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4.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tables/table5.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tables/table6.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Ex3.xml" ContentType="application/vnd.ms-office.chartex+xml"/>
  <Override PartName="/xl/charts/style7.xml" ContentType="application/vnd.ms-office.chartstyle+xml"/>
  <Override PartName="/xl/charts/colors7.xml" ContentType="application/vnd.ms-office.chartcolorstyle+xml"/>
  <Override PartName="/xl/charts/chartEx4.xml" ContentType="application/vnd.ms-office.chartex+xml"/>
  <Override PartName="/xl/charts/style8.xml" ContentType="application/vnd.ms-office.chartstyle+xml"/>
  <Override PartName="/xl/charts/colors8.xml" ContentType="application/vnd.ms-office.chartcolorstyle+xml"/>
  <Override PartName="/xl/charts/chart5.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tables/table7.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Ex5.xml" ContentType="application/vnd.ms-office.chartex+xml"/>
  <Override PartName="/xl/charts/style10.xml" ContentType="application/vnd.ms-office.chartstyle+xml"/>
  <Override PartName="/xl/charts/colors10.xml" ContentType="application/vnd.ms-office.chartcolorstyle+xml"/>
  <Override PartName="/xl/charts/chartEx6.xml" ContentType="application/vnd.ms-office.chartex+xml"/>
  <Override PartName="/xl/charts/style11.xml" ContentType="application/vnd.ms-office.chartstyle+xml"/>
  <Override PartName="/xl/charts/colors11.xml" ContentType="application/vnd.ms-office.chartcolorstyle+xml"/>
  <Override PartName="/xl/tables/table8.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9.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10.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tables/table11.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12.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tables/table13.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202300"/>
  <mc:AlternateContent xmlns:mc="http://schemas.openxmlformats.org/markup-compatibility/2006">
    <mc:Choice Requires="x15">
      <x15ac:absPath xmlns:x15ac="http://schemas.microsoft.com/office/spreadsheetml/2010/11/ac" url="C:\Users\alex_\PGA Predictor\"/>
    </mc:Choice>
  </mc:AlternateContent>
  <xr:revisionPtr revIDLastSave="0" documentId="8_{D7EFDDB7-355F-40D0-8507-0DBC61EB8045}" xr6:coauthVersionLast="47" xr6:coauthVersionMax="47" xr10:uidLastSave="{00000000-0000-0000-0000-000000000000}"/>
  <bookViews>
    <workbookView xWindow="16080" yWindow="3660" windowWidth="38640" windowHeight="21240" tabRatio="601" firstSheet="12" activeTab="17" xr2:uid="{736DDDF5-C8BC-4F80-B384-D36B3485BD02}"/>
  </bookViews>
  <sheets>
    <sheet name="FIELD" sheetId="8" r:id="rId1"/>
    <sheet name="DIST" sheetId="3" r:id="rId2"/>
    <sheet name="ACC" sheetId="4" r:id="rId3"/>
    <sheet name="APP" sheetId="14" r:id="rId4"/>
    <sheet name="ARG" sheetId="13" r:id="rId5"/>
    <sheet name="PUTT" sheetId="12" r:id="rId6"/>
    <sheet name="SG" sheetId="10" r:id="rId7"/>
    <sheet name="SGT-5" sheetId="11" r:id="rId8"/>
    <sheet name="FEDEX" sheetId="9" r:id="rId9"/>
    <sheet name="CORR Y-1" sheetId="56" state="hidden" r:id="rId10"/>
    <sheet name="CORR 2Y-1" sheetId="57" state="hidden" r:id="rId11"/>
    <sheet name="2023" sheetId="55" r:id="rId12"/>
    <sheet name="Raw Data" sheetId="7" r:id="rId13"/>
    <sheet name="Course Adjusted Result PGA" sheetId="6" r:id="rId14"/>
    <sheet name="Course Adjusted Result" sheetId="5" r:id="rId15"/>
    <sheet name="Odds Copy&amp;Paste" sheetId="72" r:id="rId16"/>
    <sheet name="OddsT5T10" sheetId="63" r:id="rId17"/>
    <sheet name="Picks" sheetId="53" r:id="rId18"/>
    <sheet name="P&amp;L" sheetId="52" r:id="rId19"/>
    <sheet name="Radar Model Fit" sheetId="17" r:id="rId20"/>
    <sheet name="WinnerKPIs" sheetId="18" r:id="rId21"/>
    <sheet name="T10KPIs" sheetId="61" r:id="rId22"/>
    <sheet name="Heritage" sheetId="86" r:id="rId23"/>
    <sheet name="Corales" sheetId="89" r:id="rId24"/>
    <sheet name="Texas" sheetId="85" r:id="rId25"/>
    <sheet name="Houston" sheetId="84" r:id="rId26"/>
    <sheet name="Valspar" sheetId="83" r:id="rId27"/>
    <sheet name="PLAYERS" sheetId="82" r:id="rId28"/>
    <sheet name="Puerto Rico" sheetId="81" r:id="rId29"/>
    <sheet name="Arnold Palmer" sheetId="76" r:id="rId30"/>
    <sheet name="Cognizant" sheetId="74" r:id="rId31"/>
    <sheet name="Mexico" sheetId="71" r:id="rId32"/>
    <sheet name="Genesis" sheetId="70" r:id="rId33"/>
    <sheet name="Pheonix" sheetId="68" r:id="rId34"/>
    <sheet name="Pebble" sheetId="69" r:id="rId35"/>
    <sheet name="Farmers" sheetId="65" r:id="rId36"/>
    <sheet name="AMEX" sheetId="60" r:id="rId37"/>
    <sheet name="Sony Open" sheetId="54" r:id="rId38"/>
    <sheet name="Sentry" sheetId="45" r:id="rId39"/>
    <sheet name="2023 Season" sheetId="62" state="hidden" r:id="rId40"/>
    <sheet name="2023 Sentry" sheetId="23" state="hidden" r:id="rId41"/>
    <sheet name="2023 Sony" sheetId="26" state="hidden" r:id="rId42"/>
    <sheet name="2023 AMEX" sheetId="27" state="hidden" r:id="rId43"/>
    <sheet name="2023 Farmers" sheetId="28" state="hidden" r:id="rId44"/>
    <sheet name="2023 Pebble" sheetId="29" state="hidden" r:id="rId45"/>
    <sheet name="2023 Pheonix" sheetId="30" state="hidden" r:id="rId46"/>
    <sheet name="2023 Genesis" sheetId="31" state="hidden" r:id="rId47"/>
    <sheet name="2023 Honda" sheetId="32" state="hidden" r:id="rId48"/>
    <sheet name="2023 Puerto Rico" sheetId="33" state="hidden" r:id="rId49"/>
    <sheet name="2023 Arnold Palmer" sheetId="34" state="hidden" r:id="rId50"/>
    <sheet name="2023 PLAYERS" sheetId="35" state="hidden" r:id="rId51"/>
    <sheet name="2023 Valspar" sheetId="36" state="hidden" r:id="rId52"/>
    <sheet name="2022 Sentry" sheetId="39" state="hidden" r:id="rId53"/>
    <sheet name="2022 Sony Open" sheetId="40" state="hidden" r:id="rId54"/>
    <sheet name="2022 RBC Heritage" sheetId="38" state="hidden" r:id="rId55"/>
    <sheet name="2022 Farmers" sheetId="41" state="hidden" r:id="rId56"/>
    <sheet name="2022 Pebble" sheetId="42" state="hidden" r:id="rId57"/>
    <sheet name="2022 Pheonix" sheetId="43" state="hidden" r:id="rId58"/>
    <sheet name="2022 Genesis" sheetId="44" state="hidden" r:id="rId59"/>
    <sheet name="2022 Honda" sheetId="46" state="hidden" r:id="rId60"/>
    <sheet name="2022 Arnold Palmer" sheetId="47" state="hidden" r:id="rId61"/>
    <sheet name="2022 PLAYERS" sheetId="48" state="hidden" r:id="rId62"/>
    <sheet name="2022 Valspar" sheetId="50" state="hidden" r:id="rId63"/>
    <sheet name="2022 Corales" sheetId="49" state="hidden" r:id="rId64"/>
    <sheet name="2022 Texas Open" sheetId="51" state="hidden" r:id="rId65"/>
  </sheets>
  <externalReferences>
    <externalReference r:id="rId66"/>
  </externalReferences>
  <definedNames>
    <definedName name="_xlnm._FilterDatabase" localSheetId="60" hidden="1">'2022 Arnold Palmer'!$A$1:$S$1</definedName>
    <definedName name="_xlnm._FilterDatabase" localSheetId="63" hidden="1">'2022 Corales'!$A$1:$S$1</definedName>
    <definedName name="_xlnm._FilterDatabase" localSheetId="55" hidden="1">'2022 Farmers'!$A$1:$S$2</definedName>
    <definedName name="_xlnm._FilterDatabase" localSheetId="58" hidden="1">'2022 Genesis'!$A$1:$S$1</definedName>
    <definedName name="_xlnm._FilterDatabase" localSheetId="59" hidden="1">'2022 Honda'!$A$1:$S$1</definedName>
    <definedName name="_xlnm._FilterDatabase" localSheetId="56" hidden="1">'2022 Pebble'!$A$1:$S$2</definedName>
    <definedName name="_xlnm._FilterDatabase" localSheetId="57" hidden="1">'2022 Pheonix'!$A$1:$S$1</definedName>
    <definedName name="_xlnm._FilterDatabase" localSheetId="61" hidden="1">'2022 PLAYERS'!$A$1:$S$1</definedName>
    <definedName name="_xlnm._FilterDatabase" localSheetId="54" hidden="1">'2022 RBC Heritage'!$A$1:$S$11</definedName>
    <definedName name="_xlnm._FilterDatabase" localSheetId="52" hidden="1">'2022 Sentry'!$A$1:$S$2</definedName>
    <definedName name="_xlnm._FilterDatabase" localSheetId="53" hidden="1">'2022 Sony Open'!$A$1:$S$2</definedName>
    <definedName name="_xlnm._FilterDatabase" localSheetId="64" hidden="1">'2022 Texas Open'!$A$1:$S$1</definedName>
    <definedName name="_xlnm._FilterDatabase" localSheetId="62" hidden="1">'2022 Valspar'!$A$1:$S$1</definedName>
    <definedName name="_xlnm._FilterDatabase" localSheetId="11" hidden="1">'2023'!$A$1:$I$199</definedName>
    <definedName name="_xlnm._FilterDatabase" localSheetId="42" hidden="1">'2023 AMEX'!$A$1:$S$144</definedName>
    <definedName name="_xlnm._FilterDatabase" localSheetId="49" hidden="1">'2023 Arnold Palmer'!$A$1:$S$109</definedName>
    <definedName name="_xlnm._FilterDatabase" localSheetId="43" hidden="1">'2023 Farmers'!$A$1:$S$141</definedName>
    <definedName name="_xlnm._FilterDatabase" localSheetId="46" hidden="1">'2023 Genesis'!$A$1:$S$117</definedName>
    <definedName name="_xlnm._FilterDatabase" localSheetId="47" hidden="1">'2023 Honda'!$A$1:$S$122</definedName>
    <definedName name="_xlnm._FilterDatabase" localSheetId="44" hidden="1">'2023 Pebble'!$A$1:$S$129</definedName>
    <definedName name="_xlnm._FilterDatabase" localSheetId="45" hidden="1">'2023 Pheonix'!$A$1:$S$124</definedName>
    <definedName name="_xlnm._FilterDatabase" localSheetId="50" hidden="1">'2023 PLAYERS'!$A$1:$S$140</definedName>
    <definedName name="_xlnm._FilterDatabase" localSheetId="48" hidden="1">'2023 Puerto Rico'!$A$1:$S$56</definedName>
    <definedName name="_xlnm._FilterDatabase" localSheetId="40" hidden="1">'2023 Sentry'!$A$1:$S$37</definedName>
    <definedName name="_xlnm._FilterDatabase" localSheetId="41" hidden="1">'2023 Sony'!$A$1:$S$126</definedName>
    <definedName name="_xlnm._FilterDatabase" localSheetId="51" hidden="1">'2023 Valspar'!$A$1:$S$131</definedName>
    <definedName name="_xlnm._FilterDatabase" localSheetId="2" hidden="1">ACC!$A$1:$E$1</definedName>
    <definedName name="_xlnm._FilterDatabase" localSheetId="36" hidden="1">AMEX!$A$1:$S$1</definedName>
    <definedName name="_xlnm._FilterDatabase" localSheetId="3" hidden="1">APP!$A$1:$E$1</definedName>
    <definedName name="_xlnm._FilterDatabase" localSheetId="4" hidden="1">ARG!$A$1:$E$1</definedName>
    <definedName name="_xlnm._FilterDatabase" localSheetId="29" hidden="1">'Arnold Palmer'!$A$1:$O$1</definedName>
    <definedName name="_xlnm._FilterDatabase" localSheetId="30" hidden="1">Cognizant!$A$1:$O$1</definedName>
    <definedName name="_xlnm._FilterDatabase" localSheetId="23" hidden="1">Corales!$A$1:$O$1</definedName>
    <definedName name="_xlnm._FilterDatabase" localSheetId="10" hidden="1">'CORR 2Y-1'!$A$1:$C$105</definedName>
    <definedName name="_xlnm._FilterDatabase" localSheetId="9" hidden="1">'CORR Y-1'!$A$1:$D$1</definedName>
    <definedName name="_xlnm._FilterDatabase" localSheetId="14" hidden="1">'Course Adjusted Result'!$A$1:$O$1</definedName>
    <definedName name="_xlnm._FilterDatabase" localSheetId="13" hidden="1">'Course Adjusted Result PGA'!$A$1:$S$228</definedName>
    <definedName name="_xlnm._FilterDatabase" localSheetId="1" hidden="1">DIST!$A$1:$E$1</definedName>
    <definedName name="_xlnm._FilterDatabase" localSheetId="35" hidden="1">Farmers!$A$1:$S$1</definedName>
    <definedName name="_xlnm._FilterDatabase" localSheetId="8" hidden="1">FEDEX!$A$1:$H$1</definedName>
    <definedName name="_xlnm._FilterDatabase" localSheetId="32" hidden="1">Genesis!$A$1:$S$1</definedName>
    <definedName name="_xlnm._FilterDatabase" localSheetId="22" hidden="1">Heritage!$A$1:$O$1</definedName>
    <definedName name="_xlnm._FilterDatabase" localSheetId="25" hidden="1">Houston!$A$1:$O$1</definedName>
    <definedName name="_xlnm._FilterDatabase" localSheetId="31" hidden="1">Mexico!$A$1:$S$1</definedName>
    <definedName name="_xlnm._FilterDatabase" localSheetId="16" hidden="1">OddsT5T10!$A$1:$Z$1</definedName>
    <definedName name="_xlnm._FilterDatabase" localSheetId="34" hidden="1">Pebble!$A$1:$S$1</definedName>
    <definedName name="_xlnm._FilterDatabase" localSheetId="33" hidden="1">Pheonix!$A$1:$S$1</definedName>
    <definedName name="_xlnm._FilterDatabase" localSheetId="27" hidden="1">PLAYERS!$A$1:$O$1</definedName>
    <definedName name="_xlnm._FilterDatabase" localSheetId="28" hidden="1">'Puerto Rico'!$A$1:$O$1</definedName>
    <definedName name="_xlnm._FilterDatabase" localSheetId="5" hidden="1">PUTT!$A$1:$E$1</definedName>
    <definedName name="_xlnm._FilterDatabase" localSheetId="12" hidden="1">'Raw Data'!$I$1:$X$205</definedName>
    <definedName name="_xlnm._FilterDatabase" localSheetId="38" hidden="1">Sentry!$A$1:$S$1</definedName>
    <definedName name="_xlnm._FilterDatabase" localSheetId="6" hidden="1">SG!$A$1:$F$1</definedName>
    <definedName name="_xlnm._FilterDatabase" localSheetId="7" hidden="1">'SGT-5'!$A$1:$C$1</definedName>
    <definedName name="_xlnm._FilterDatabase" localSheetId="37" hidden="1">'Sony Open'!$A$1:$T$1</definedName>
    <definedName name="_xlnm._FilterDatabase" localSheetId="24" hidden="1">Texas!$A$1:$O$1</definedName>
    <definedName name="_xlnm._FilterDatabase" localSheetId="26" hidden="1">Valspar!$A$1:$O$1</definedName>
    <definedName name="_xlnm._FilterDatabase" localSheetId="20" hidden="1">WinnerKPIs!$K$2:$L$2</definedName>
    <definedName name="_xlchart.v2.0" hidden="1">WinnerKPIs!$O$45:$O$51</definedName>
    <definedName name="_xlchart.v2.1" hidden="1">WinnerKPIs!$P$45:$P$51</definedName>
    <definedName name="_xlchart.v2.10" hidden="1">T10KPIs!$T$22:$T$30</definedName>
    <definedName name="_xlchart.v2.11" hidden="1">T10KPIs!$U$22:$U$30</definedName>
    <definedName name="_xlchart.v2.2" hidden="1">WinnerKPIs!$O$11:$O$17</definedName>
    <definedName name="_xlchart.v2.3" hidden="1">WinnerKPIs!$P$11:$P$17</definedName>
    <definedName name="_xlchart.v2.4" hidden="1">WinnerKPIs!$AA$11:$AA$17</definedName>
    <definedName name="_xlchart.v2.5" hidden="1">WinnerKPIs!$Z$11:$Z$17</definedName>
    <definedName name="_xlchart.v2.6" hidden="1">WinnerKPIs!$AA$45:$AA$51</definedName>
    <definedName name="_xlchart.v2.7" hidden="1">WinnerKPIs!$Z$45:$Z$51</definedName>
    <definedName name="_xlchart.v2.8" hidden="1">T10KPIs!$T$48:$T$53</definedName>
    <definedName name="_xlchart.v2.9" hidden="1">T10KPIs!$U$48:$U$53</definedName>
    <definedName name="ExternalData_10" localSheetId="8" hidden="1">FEDEX!#REF!</definedName>
    <definedName name="ExternalData_8" localSheetId="12" hidden="1">'Raw Data'!$A$1:$G$220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4" i="53" l="1"/>
  <c r="L36" i="53"/>
  <c r="L35" i="53"/>
  <c r="L34" i="53"/>
  <c r="L33" i="53"/>
  <c r="J36" i="53"/>
  <c r="J35" i="53"/>
  <c r="J33" i="53"/>
  <c r="Q19" i="61"/>
  <c r="R19" i="61" s="1"/>
  <c r="P19" i="61"/>
  <c r="O19" i="61"/>
  <c r="U1" i="18"/>
  <c r="Q4" i="61"/>
  <c r="P4" i="61"/>
  <c r="O4" i="61"/>
  <c r="H7" i="61"/>
  <c r="G7" i="61"/>
  <c r="Q16" i="61"/>
  <c r="P16" i="61"/>
  <c r="O16" i="61"/>
  <c r="G19" i="61"/>
  <c r="H19" i="61"/>
  <c r="I19" i="61"/>
  <c r="D19" i="61"/>
  <c r="E19" i="61"/>
  <c r="F19" i="61"/>
  <c r="C19" i="61"/>
  <c r="R76" i="18"/>
  <c r="I103" i="17"/>
  <c r="P32" i="52"/>
  <c r="O36" i="52"/>
  <c r="P36" i="52"/>
  <c r="F58" i="52"/>
  <c r="I58" i="52"/>
  <c r="J58" i="52"/>
  <c r="F59" i="52"/>
  <c r="I59" i="52"/>
  <c r="I60" i="52" s="1"/>
  <c r="J59" i="52"/>
  <c r="F60" i="52"/>
  <c r="J60" i="52"/>
  <c r="E58" i="52"/>
  <c r="E59" i="52" s="1"/>
  <c r="E60" i="52" s="1"/>
  <c r="U3" i="5" a="1"/>
  <c r="U3" i="5" s="1"/>
  <c r="T3" i="5" s="1"/>
  <c r="U4" i="5" a="1"/>
  <c r="U4" i="5" s="1"/>
  <c r="U5" i="5" a="1"/>
  <c r="U5" i="5" s="1"/>
  <c r="U6" i="5" a="1"/>
  <c r="U6" i="5" s="1"/>
  <c r="U7" i="5" a="1"/>
  <c r="U7" i="5" s="1"/>
  <c r="U8" i="5" a="1"/>
  <c r="U8" i="5" s="1"/>
  <c r="U9" i="5" a="1"/>
  <c r="U9" i="5" s="1"/>
  <c r="U10" i="5" a="1"/>
  <c r="U10" i="5" s="1"/>
  <c r="U11" i="5" a="1"/>
  <c r="U11" i="5" s="1"/>
  <c r="U12" i="5" a="1"/>
  <c r="U12" i="5" s="1"/>
  <c r="U13" i="5" a="1"/>
  <c r="U13" i="5" s="1"/>
  <c r="U14" i="5" a="1"/>
  <c r="U14" i="5" s="1"/>
  <c r="U15" i="5" a="1"/>
  <c r="U15" i="5" s="1"/>
  <c r="U16" i="5" a="1"/>
  <c r="U16" i="5" s="1"/>
  <c r="U17" i="5" a="1"/>
  <c r="U17" i="5" s="1"/>
  <c r="U18" i="5" a="1"/>
  <c r="U18" i="5" s="1"/>
  <c r="U19" i="5" a="1"/>
  <c r="U19" i="5" s="1"/>
  <c r="T19" i="5" s="1"/>
  <c r="U20" i="5" a="1"/>
  <c r="U20" i="5" s="1"/>
  <c r="T20" i="5" s="1"/>
  <c r="U21" i="5" a="1"/>
  <c r="U21" i="5" s="1"/>
  <c r="U22" i="5" a="1"/>
  <c r="U22" i="5" s="1"/>
  <c r="U23" i="5" a="1"/>
  <c r="U23" i="5" s="1"/>
  <c r="U24" i="5" a="1"/>
  <c r="U24" i="5" s="1"/>
  <c r="U25" i="5" a="1"/>
  <c r="U25" i="5" s="1"/>
  <c r="U26" i="5" a="1"/>
  <c r="U26" i="5" s="1"/>
  <c r="U27" i="5" a="1"/>
  <c r="U27" i="5" s="1"/>
  <c r="U28" i="5" a="1"/>
  <c r="U28" i="5" s="1"/>
  <c r="U29" i="5" a="1"/>
  <c r="U29" i="5" s="1"/>
  <c r="U30" i="5" a="1"/>
  <c r="U30" i="5" s="1"/>
  <c r="U31" i="5" a="1"/>
  <c r="U31" i="5" s="1"/>
  <c r="U32" i="5" a="1"/>
  <c r="U32" i="5" s="1"/>
  <c r="U33" i="5" a="1"/>
  <c r="U33" i="5" s="1"/>
  <c r="U34" i="5" a="1"/>
  <c r="U34" i="5" s="1"/>
  <c r="U35" i="5" a="1"/>
  <c r="U35" i="5" s="1"/>
  <c r="U36" i="5" a="1"/>
  <c r="U36" i="5" s="1"/>
  <c r="U37" i="5" a="1"/>
  <c r="U37" i="5" s="1"/>
  <c r="U38" i="5" a="1"/>
  <c r="U38" i="5" s="1"/>
  <c r="U39" i="5" a="1"/>
  <c r="U39" i="5" s="1"/>
  <c r="U40" i="5" a="1"/>
  <c r="U40" i="5" s="1"/>
  <c r="U41" i="5" a="1"/>
  <c r="U41" i="5" s="1"/>
  <c r="U42" i="5" a="1"/>
  <c r="U42" i="5" s="1"/>
  <c r="U43" i="5" a="1"/>
  <c r="U43" i="5" s="1"/>
  <c r="U44" i="5" a="1"/>
  <c r="U44" i="5" s="1"/>
  <c r="U45" i="5" a="1"/>
  <c r="U45" i="5" s="1"/>
  <c r="U46" i="5" a="1"/>
  <c r="U46" i="5" s="1"/>
  <c r="U47" i="5" a="1"/>
  <c r="U47" i="5" s="1"/>
  <c r="U48" i="5" a="1"/>
  <c r="U48" i="5" s="1"/>
  <c r="U49" i="5" a="1"/>
  <c r="U49" i="5" s="1"/>
  <c r="U50" i="5" a="1"/>
  <c r="U50" i="5" s="1"/>
  <c r="T50" i="5" s="1"/>
  <c r="U51" i="5" a="1"/>
  <c r="U51" i="5" s="1"/>
  <c r="U52" i="5" a="1"/>
  <c r="U52" i="5" s="1"/>
  <c r="U53" i="5" a="1"/>
  <c r="U53" i="5" s="1"/>
  <c r="U54" i="5" a="1"/>
  <c r="U54" i="5" s="1"/>
  <c r="U55" i="5" a="1"/>
  <c r="U55" i="5" s="1"/>
  <c r="U56" i="5" a="1"/>
  <c r="U56" i="5" s="1"/>
  <c r="U57" i="5" a="1"/>
  <c r="U57" i="5" s="1"/>
  <c r="U58" i="5" a="1"/>
  <c r="U58" i="5" s="1"/>
  <c r="U59" i="5" a="1"/>
  <c r="U59" i="5" s="1"/>
  <c r="U60" i="5" a="1"/>
  <c r="U60" i="5" s="1"/>
  <c r="U61" i="5" a="1"/>
  <c r="U61" i="5" s="1"/>
  <c r="U62" i="5" a="1"/>
  <c r="U62" i="5" s="1"/>
  <c r="U63" i="5" a="1"/>
  <c r="U63" i="5" s="1"/>
  <c r="U64" i="5" a="1"/>
  <c r="U64" i="5" s="1"/>
  <c r="T64" i="5" s="1"/>
  <c r="U65" i="5" a="1"/>
  <c r="U65" i="5" s="1"/>
  <c r="U66" i="5" a="1"/>
  <c r="U66" i="5" s="1"/>
  <c r="U67" i="5" a="1"/>
  <c r="U67" i="5" s="1"/>
  <c r="U68" i="5" a="1"/>
  <c r="U68" i="5" s="1"/>
  <c r="T68" i="5" s="1"/>
  <c r="U69" i="5" a="1"/>
  <c r="U69" i="5" s="1"/>
  <c r="U70" i="5" a="1"/>
  <c r="U70" i="5" s="1"/>
  <c r="U71" i="5" a="1"/>
  <c r="U71" i="5" s="1"/>
  <c r="U72" i="5" a="1"/>
  <c r="U72" i="5" s="1"/>
  <c r="U73" i="5" a="1"/>
  <c r="U73" i="5" s="1"/>
  <c r="U74" i="5" a="1"/>
  <c r="U74" i="5" s="1"/>
  <c r="U75" i="5" a="1"/>
  <c r="U75" i="5" s="1"/>
  <c r="U76" i="5" a="1"/>
  <c r="U76" i="5" s="1"/>
  <c r="U77" i="5" a="1"/>
  <c r="U77" i="5" s="1"/>
  <c r="U78" i="5" a="1"/>
  <c r="U78" i="5" s="1"/>
  <c r="U79" i="5" a="1"/>
  <c r="U79" i="5" s="1"/>
  <c r="U80" i="5" a="1"/>
  <c r="U80" i="5" s="1"/>
  <c r="U81" i="5" a="1"/>
  <c r="U81" i="5" s="1"/>
  <c r="T81" i="5" s="1"/>
  <c r="U82" i="5" a="1"/>
  <c r="U82" i="5" s="1"/>
  <c r="U83" i="5" a="1"/>
  <c r="U83" i="5" s="1"/>
  <c r="U84" i="5" a="1"/>
  <c r="U84" i="5" s="1"/>
  <c r="U85" i="5" a="1"/>
  <c r="U85" i="5" s="1"/>
  <c r="U86" i="5" a="1"/>
  <c r="U86" i="5" s="1"/>
  <c r="U87" i="5" a="1"/>
  <c r="U87" i="5" s="1"/>
  <c r="U88" i="5" a="1"/>
  <c r="U88" i="5" s="1"/>
  <c r="T88" i="5" s="1"/>
  <c r="U89" i="5" a="1"/>
  <c r="U89" i="5" s="1"/>
  <c r="U90" i="5" a="1"/>
  <c r="U90" i="5" s="1"/>
  <c r="U91" i="5" a="1"/>
  <c r="U91" i="5" s="1"/>
  <c r="U92" i="5" a="1"/>
  <c r="U92" i="5" s="1"/>
  <c r="U93" i="5" a="1"/>
  <c r="U93" i="5" s="1"/>
  <c r="U94" i="5" a="1"/>
  <c r="U94" i="5" s="1"/>
  <c r="U95" i="5" a="1"/>
  <c r="U95" i="5" s="1"/>
  <c r="U96" i="5" a="1"/>
  <c r="U96" i="5" s="1"/>
  <c r="U97" i="5" a="1"/>
  <c r="U97" i="5" s="1"/>
  <c r="U98" i="5" a="1"/>
  <c r="U98" i="5" s="1"/>
  <c r="U99" i="5" a="1"/>
  <c r="U99" i="5" s="1"/>
  <c r="U100" i="5" a="1"/>
  <c r="U100" i="5" s="1"/>
  <c r="U101" i="5" a="1"/>
  <c r="U101" i="5" s="1"/>
  <c r="U102" i="5" a="1"/>
  <c r="U102" i="5" s="1"/>
  <c r="U103" i="5" a="1"/>
  <c r="U103" i="5" s="1"/>
  <c r="U104" i="5" a="1"/>
  <c r="U104" i="5" s="1"/>
  <c r="U105" i="5" a="1"/>
  <c r="U105" i="5" s="1"/>
  <c r="U106" i="5" a="1"/>
  <c r="U106" i="5" s="1"/>
  <c r="U107" i="5" a="1"/>
  <c r="U107" i="5" s="1"/>
  <c r="U108" i="5" a="1"/>
  <c r="U108" i="5" s="1"/>
  <c r="U109" i="5" a="1"/>
  <c r="U109" i="5" s="1"/>
  <c r="U110" i="5" a="1"/>
  <c r="U110" i="5" s="1"/>
  <c r="U2" i="5" a="1"/>
  <c r="U2" i="5" s="1"/>
  <c r="U110" i="89" a="1"/>
  <c r="U110" i="89" s="1"/>
  <c r="O110" i="89"/>
  <c r="N110" i="89"/>
  <c r="M110" i="89"/>
  <c r="L110" i="89"/>
  <c r="U109" i="89" a="1"/>
  <c r="U109" i="89" s="1"/>
  <c r="T109" i="89" s="1"/>
  <c r="O109" i="89"/>
  <c r="N109" i="89"/>
  <c r="M109" i="89"/>
  <c r="L109" i="89"/>
  <c r="U108" i="89" a="1"/>
  <c r="U108" i="89" s="1"/>
  <c r="O108" i="89"/>
  <c r="N108" i="89"/>
  <c r="M108" i="89"/>
  <c r="L108" i="89"/>
  <c r="U107" i="89" a="1"/>
  <c r="U107" i="89" s="1"/>
  <c r="O107" i="89"/>
  <c r="N107" i="89"/>
  <c r="M107" i="89"/>
  <c r="L107" i="89"/>
  <c r="Z106" i="89"/>
  <c r="AA106" i="89" s="1"/>
  <c r="Y106" i="89"/>
  <c r="X106" i="89"/>
  <c r="U106" i="89" a="1"/>
  <c r="U106" i="89" s="1"/>
  <c r="T106" i="89" s="1"/>
  <c r="O106" i="89"/>
  <c r="N106" i="89"/>
  <c r="M106" i="89"/>
  <c r="L106" i="89"/>
  <c r="Z105" i="89"/>
  <c r="Y105" i="89"/>
  <c r="X105" i="89"/>
  <c r="U105" i="89" a="1"/>
  <c r="U105" i="89" s="1"/>
  <c r="T105" i="89" s="1"/>
  <c r="O105" i="89"/>
  <c r="N105" i="89"/>
  <c r="M105" i="89"/>
  <c r="L105" i="89"/>
  <c r="Z104" i="89"/>
  <c r="Y104" i="89"/>
  <c r="X104" i="89"/>
  <c r="U104" i="89" a="1"/>
  <c r="U104" i="89" s="1"/>
  <c r="T104" i="89" s="1"/>
  <c r="O104" i="89"/>
  <c r="N104" i="89"/>
  <c r="M104" i="89"/>
  <c r="L104" i="89"/>
  <c r="Z103" i="89"/>
  <c r="Y103" i="89"/>
  <c r="X103" i="89"/>
  <c r="U103" i="89" a="1"/>
  <c r="U103" i="89" s="1"/>
  <c r="O103" i="89"/>
  <c r="N103" i="89"/>
  <c r="M103" i="89"/>
  <c r="L103" i="89"/>
  <c r="Z102" i="89"/>
  <c r="Y102" i="89"/>
  <c r="X102" i="89"/>
  <c r="U102" i="89" a="1"/>
  <c r="U102" i="89" s="1"/>
  <c r="T102" i="89" s="1"/>
  <c r="O102" i="89"/>
  <c r="N102" i="89"/>
  <c r="M102" i="89"/>
  <c r="L102" i="89"/>
  <c r="Z101" i="89"/>
  <c r="Y101" i="89"/>
  <c r="X101" i="89"/>
  <c r="U101" i="89" a="1"/>
  <c r="U101" i="89" s="1"/>
  <c r="T101" i="89" s="1"/>
  <c r="O101" i="89"/>
  <c r="N101" i="89"/>
  <c r="M101" i="89"/>
  <c r="L101" i="89"/>
  <c r="Z100" i="89"/>
  <c r="AA100" i="89" s="1"/>
  <c r="Y100" i="89"/>
  <c r="X100" i="89"/>
  <c r="U100" i="89" a="1"/>
  <c r="U100" i="89" s="1"/>
  <c r="O100" i="89"/>
  <c r="N100" i="89"/>
  <c r="M100" i="89"/>
  <c r="L100" i="89"/>
  <c r="Z99" i="89"/>
  <c r="Y99" i="89"/>
  <c r="X99" i="89"/>
  <c r="U99" i="89" a="1"/>
  <c r="U99" i="89" s="1"/>
  <c r="O99" i="89"/>
  <c r="N99" i="89"/>
  <c r="M99" i="89"/>
  <c r="L99" i="89"/>
  <c r="Z98" i="89"/>
  <c r="Y98" i="89"/>
  <c r="X98" i="89"/>
  <c r="U98" i="89" a="1"/>
  <c r="U98" i="89" s="1"/>
  <c r="T98" i="89" s="1"/>
  <c r="O98" i="89"/>
  <c r="N98" i="89"/>
  <c r="M98" i="89"/>
  <c r="L98" i="89"/>
  <c r="Z97" i="89"/>
  <c r="AA97" i="89" s="1"/>
  <c r="Y97" i="89"/>
  <c r="X97" i="89"/>
  <c r="U3" i="89" a="1"/>
  <c r="U3" i="89" s="1"/>
  <c r="O3" i="89"/>
  <c r="N3" i="89"/>
  <c r="M3" i="89"/>
  <c r="L3" i="89"/>
  <c r="Z96" i="89"/>
  <c r="Y96" i="89"/>
  <c r="X96" i="89"/>
  <c r="U97" i="89" a="1"/>
  <c r="U97" i="89" s="1"/>
  <c r="O97" i="89"/>
  <c r="N97" i="89"/>
  <c r="M97" i="89"/>
  <c r="L97" i="89"/>
  <c r="Z95" i="89"/>
  <c r="Y95" i="89"/>
  <c r="X95" i="89"/>
  <c r="U96" i="89" a="1"/>
  <c r="U96" i="89" s="1"/>
  <c r="T96" i="89" s="1"/>
  <c r="O96" i="89"/>
  <c r="N96" i="89"/>
  <c r="M96" i="89"/>
  <c r="L96" i="89"/>
  <c r="Z94" i="89"/>
  <c r="Y94" i="89"/>
  <c r="X94" i="89"/>
  <c r="U95" i="89" a="1"/>
  <c r="U95" i="89" s="1"/>
  <c r="O95" i="89"/>
  <c r="N95" i="89"/>
  <c r="M95" i="89"/>
  <c r="L95" i="89"/>
  <c r="Z93" i="89"/>
  <c r="Y93" i="89"/>
  <c r="AA93" i="89" s="1"/>
  <c r="X93" i="89"/>
  <c r="U94" i="89" a="1"/>
  <c r="U94" i="89" s="1"/>
  <c r="O94" i="89"/>
  <c r="N94" i="89"/>
  <c r="M94" i="89"/>
  <c r="L94" i="89"/>
  <c r="Z92" i="89"/>
  <c r="Y92" i="89"/>
  <c r="X92" i="89"/>
  <c r="U93" i="89" a="1"/>
  <c r="U93" i="89" s="1"/>
  <c r="T93" i="89" s="1"/>
  <c r="O93" i="89"/>
  <c r="N93" i="89"/>
  <c r="M93" i="89"/>
  <c r="L93" i="89"/>
  <c r="Z91" i="89"/>
  <c r="AA91" i="89" s="1"/>
  <c r="Y91" i="89"/>
  <c r="X91" i="89"/>
  <c r="U92" i="89" a="1"/>
  <c r="U92" i="89" s="1"/>
  <c r="O92" i="89"/>
  <c r="N92" i="89"/>
  <c r="M92" i="89"/>
  <c r="L92" i="89"/>
  <c r="Z90" i="89"/>
  <c r="Y90" i="89"/>
  <c r="X90" i="89"/>
  <c r="U91" i="89" a="1"/>
  <c r="U91" i="89" s="1"/>
  <c r="O91" i="89"/>
  <c r="N91" i="89"/>
  <c r="M91" i="89"/>
  <c r="L91" i="89"/>
  <c r="Z89" i="89"/>
  <c r="Y89" i="89"/>
  <c r="X89" i="89"/>
  <c r="U90" i="89" a="1"/>
  <c r="U90" i="89" s="1"/>
  <c r="T90" i="89" s="1"/>
  <c r="O90" i="89"/>
  <c r="N90" i="89"/>
  <c r="M90" i="89"/>
  <c r="L90" i="89"/>
  <c r="Z88" i="89"/>
  <c r="Y88" i="89"/>
  <c r="X88" i="89"/>
  <c r="U89" i="89" a="1"/>
  <c r="U89" i="89" s="1"/>
  <c r="O89" i="89"/>
  <c r="N89" i="89"/>
  <c r="M89" i="89"/>
  <c r="L89" i="89"/>
  <c r="Z87" i="89"/>
  <c r="Y87" i="89"/>
  <c r="X87" i="89"/>
  <c r="U88" i="89" a="1"/>
  <c r="U88" i="89" s="1"/>
  <c r="O88" i="89"/>
  <c r="N88" i="89"/>
  <c r="M88" i="89"/>
  <c r="L88" i="89"/>
  <c r="Z86" i="89"/>
  <c r="Y86" i="89"/>
  <c r="X86" i="89"/>
  <c r="U87" i="89" a="1"/>
  <c r="U87" i="89" s="1"/>
  <c r="T87" i="89" s="1"/>
  <c r="O87" i="89"/>
  <c r="N87" i="89"/>
  <c r="M87" i="89"/>
  <c r="L87" i="89"/>
  <c r="Z85" i="89"/>
  <c r="Y85" i="89"/>
  <c r="X85" i="89"/>
  <c r="U86" i="89" a="1"/>
  <c r="U86" i="89" s="1"/>
  <c r="O86" i="89"/>
  <c r="N86" i="89"/>
  <c r="M86" i="89"/>
  <c r="L86" i="89"/>
  <c r="Z84" i="89"/>
  <c r="Y84" i="89"/>
  <c r="X84" i="89"/>
  <c r="U85" i="89" a="1"/>
  <c r="U85" i="89" s="1"/>
  <c r="O85" i="89"/>
  <c r="N85" i="89"/>
  <c r="M85" i="89"/>
  <c r="L85" i="89"/>
  <c r="Z83" i="89"/>
  <c r="Y83" i="89"/>
  <c r="X83" i="89"/>
  <c r="U84" i="89" a="1"/>
  <c r="U84" i="89" s="1"/>
  <c r="T84" i="89" s="1"/>
  <c r="O84" i="89"/>
  <c r="N84" i="89"/>
  <c r="M84" i="89"/>
  <c r="L84" i="89"/>
  <c r="Z82" i="89"/>
  <c r="Y82" i="89"/>
  <c r="X82" i="89"/>
  <c r="U83" i="89" a="1"/>
  <c r="U83" i="89" s="1"/>
  <c r="O83" i="89"/>
  <c r="N83" i="89"/>
  <c r="M83" i="89"/>
  <c r="L83" i="89"/>
  <c r="Z81" i="89"/>
  <c r="Y81" i="89"/>
  <c r="AA81" i="89" s="1"/>
  <c r="X81" i="89"/>
  <c r="U82" i="89" a="1"/>
  <c r="U82" i="89" s="1"/>
  <c r="O82" i="89"/>
  <c r="N82" i="89"/>
  <c r="M82" i="89"/>
  <c r="L82" i="89"/>
  <c r="Z80" i="89"/>
  <c r="Y80" i="89"/>
  <c r="X80" i="89"/>
  <c r="U81" i="89" a="1"/>
  <c r="U81" i="89" s="1"/>
  <c r="T81" i="89" s="1"/>
  <c r="O81" i="89"/>
  <c r="N81" i="89"/>
  <c r="M81" i="89"/>
  <c r="L81" i="89"/>
  <c r="Z79" i="89"/>
  <c r="AA79" i="89" s="1"/>
  <c r="Y79" i="89"/>
  <c r="X79" i="89"/>
  <c r="U80" i="89" a="1"/>
  <c r="U80" i="89" s="1"/>
  <c r="O80" i="89"/>
  <c r="N80" i="89"/>
  <c r="M80" i="89"/>
  <c r="L80" i="89"/>
  <c r="Z78" i="89"/>
  <c r="Y78" i="89"/>
  <c r="X78" i="89"/>
  <c r="U79" i="89" a="1"/>
  <c r="U79" i="89" s="1"/>
  <c r="O79" i="89"/>
  <c r="N79" i="89"/>
  <c r="M79" i="89"/>
  <c r="L79" i="89"/>
  <c r="Z77" i="89"/>
  <c r="Y77" i="89"/>
  <c r="X77" i="89"/>
  <c r="U78" i="89" a="1"/>
  <c r="U78" i="89" s="1"/>
  <c r="T78" i="89" s="1"/>
  <c r="O78" i="89"/>
  <c r="N78" i="89"/>
  <c r="M78" i="89"/>
  <c r="L78" i="89"/>
  <c r="Z76" i="89"/>
  <c r="AA76" i="89" s="1"/>
  <c r="Y76" i="89"/>
  <c r="X76" i="89"/>
  <c r="U77" i="89" a="1"/>
  <c r="U77" i="89" s="1"/>
  <c r="O77" i="89"/>
  <c r="N77" i="89"/>
  <c r="M77" i="89"/>
  <c r="L77" i="89"/>
  <c r="Z75" i="89"/>
  <c r="Y75" i="89"/>
  <c r="X75" i="89"/>
  <c r="U76" i="89" a="1"/>
  <c r="U76" i="89" s="1"/>
  <c r="O76" i="89"/>
  <c r="N76" i="89"/>
  <c r="M76" i="89"/>
  <c r="L76" i="89"/>
  <c r="Z74" i="89"/>
  <c r="Y74" i="89"/>
  <c r="X74" i="89"/>
  <c r="U75" i="89" a="1"/>
  <c r="U75" i="89" s="1"/>
  <c r="T75" i="89" s="1"/>
  <c r="O75" i="89"/>
  <c r="N75" i="89"/>
  <c r="M75" i="89"/>
  <c r="L75" i="89"/>
  <c r="Z73" i="89"/>
  <c r="Y73" i="89"/>
  <c r="X73" i="89"/>
  <c r="U74" i="89" a="1"/>
  <c r="U74" i="89" s="1"/>
  <c r="O74" i="89"/>
  <c r="N74" i="89"/>
  <c r="M74" i="89"/>
  <c r="L74" i="89"/>
  <c r="Z72" i="89"/>
  <c r="Y72" i="89"/>
  <c r="AA72" i="89" s="1"/>
  <c r="X72" i="89"/>
  <c r="U73" i="89" a="1"/>
  <c r="U73" i="89" s="1"/>
  <c r="O73" i="89"/>
  <c r="N73" i="89"/>
  <c r="M73" i="89"/>
  <c r="L73" i="89"/>
  <c r="Z71" i="89"/>
  <c r="Y71" i="89"/>
  <c r="X71" i="89"/>
  <c r="U72" i="89" a="1"/>
  <c r="U72" i="89" s="1"/>
  <c r="T72" i="89" s="1"/>
  <c r="O72" i="89"/>
  <c r="N72" i="89"/>
  <c r="M72" i="89"/>
  <c r="L72" i="89"/>
  <c r="Z70" i="89"/>
  <c r="AA70" i="89" s="1"/>
  <c r="Y70" i="89"/>
  <c r="X70" i="89"/>
  <c r="U71" i="89" a="1"/>
  <c r="U71" i="89" s="1"/>
  <c r="O71" i="89"/>
  <c r="N71" i="89"/>
  <c r="M71" i="89"/>
  <c r="L71" i="89"/>
  <c r="Z69" i="89"/>
  <c r="Y69" i="89"/>
  <c r="X69" i="89"/>
  <c r="U70" i="89" a="1"/>
  <c r="U70" i="89" s="1"/>
  <c r="O70" i="89"/>
  <c r="N70" i="89"/>
  <c r="M70" i="89"/>
  <c r="L70" i="89"/>
  <c r="Z68" i="89"/>
  <c r="Y68" i="89"/>
  <c r="X68" i="89"/>
  <c r="U69" i="89" a="1"/>
  <c r="U69" i="89" s="1"/>
  <c r="T69" i="89" s="1"/>
  <c r="O69" i="89"/>
  <c r="N69" i="89"/>
  <c r="M69" i="89"/>
  <c r="L69" i="89"/>
  <c r="Z67" i="89"/>
  <c r="AA67" i="89" s="1"/>
  <c r="Y67" i="89"/>
  <c r="X67" i="89"/>
  <c r="U68" i="89" a="1"/>
  <c r="U68" i="89" s="1"/>
  <c r="O68" i="89"/>
  <c r="N68" i="89"/>
  <c r="M68" i="89"/>
  <c r="L68" i="89"/>
  <c r="Z66" i="89"/>
  <c r="Y66" i="89"/>
  <c r="X66" i="89"/>
  <c r="U67" i="89" a="1"/>
  <c r="U67" i="89" s="1"/>
  <c r="O67" i="89"/>
  <c r="N67" i="89"/>
  <c r="M67" i="89"/>
  <c r="L67" i="89"/>
  <c r="Z65" i="89"/>
  <c r="Y65" i="89"/>
  <c r="X65" i="89"/>
  <c r="U66" i="89" a="1"/>
  <c r="U66" i="89" s="1"/>
  <c r="T66" i="89" s="1"/>
  <c r="O66" i="89"/>
  <c r="N66" i="89"/>
  <c r="M66" i="89"/>
  <c r="L66" i="89"/>
  <c r="Z64" i="89"/>
  <c r="Y64" i="89"/>
  <c r="X64" i="89"/>
  <c r="U65" i="89" a="1"/>
  <c r="U65" i="89" s="1"/>
  <c r="O65" i="89"/>
  <c r="N65" i="89"/>
  <c r="M65" i="89"/>
  <c r="L65" i="89"/>
  <c r="Z63" i="89"/>
  <c r="Y63" i="89"/>
  <c r="X63" i="89"/>
  <c r="U64" i="89" a="1"/>
  <c r="U64" i="89" s="1"/>
  <c r="O64" i="89"/>
  <c r="N64" i="89"/>
  <c r="M64" i="89"/>
  <c r="L64" i="89"/>
  <c r="Z62" i="89"/>
  <c r="Y62" i="89"/>
  <c r="X62" i="89"/>
  <c r="U63" i="89" a="1"/>
  <c r="U63" i="89" s="1"/>
  <c r="T63" i="89" s="1"/>
  <c r="O63" i="89"/>
  <c r="N63" i="89"/>
  <c r="M63" i="89"/>
  <c r="L63" i="89"/>
  <c r="Z61" i="89"/>
  <c r="AA61" i="89" s="1"/>
  <c r="Y61" i="89"/>
  <c r="X61" i="89"/>
  <c r="U4" i="89" a="1"/>
  <c r="U4" i="89" s="1"/>
  <c r="O4" i="89"/>
  <c r="N4" i="89"/>
  <c r="M4" i="89"/>
  <c r="L4" i="89"/>
  <c r="Z60" i="89"/>
  <c r="Y60" i="89"/>
  <c r="X60" i="89"/>
  <c r="U62" i="89" a="1"/>
  <c r="U62" i="89" s="1"/>
  <c r="O62" i="89"/>
  <c r="N62" i="89"/>
  <c r="M62" i="89"/>
  <c r="L62" i="89"/>
  <c r="Z59" i="89"/>
  <c r="Y59" i="89"/>
  <c r="X59" i="89"/>
  <c r="U61" i="89" a="1"/>
  <c r="U61" i="89" s="1"/>
  <c r="T61" i="89" s="1"/>
  <c r="O61" i="89"/>
  <c r="N61" i="89"/>
  <c r="M61" i="89"/>
  <c r="L61" i="89"/>
  <c r="Z58" i="89"/>
  <c r="AA58" i="89" s="1"/>
  <c r="Y58" i="89"/>
  <c r="X58" i="89"/>
  <c r="U60" i="89" a="1"/>
  <c r="U60" i="89" s="1"/>
  <c r="O60" i="89"/>
  <c r="N60" i="89"/>
  <c r="M60" i="89"/>
  <c r="L60" i="89"/>
  <c r="Z57" i="89"/>
  <c r="Y57" i="89"/>
  <c r="X57" i="89"/>
  <c r="U59" i="89" a="1"/>
  <c r="U59" i="89" s="1"/>
  <c r="O59" i="89"/>
  <c r="N59" i="89"/>
  <c r="M59" i="89"/>
  <c r="L59" i="89"/>
  <c r="Z56" i="89"/>
  <c r="Y56" i="89"/>
  <c r="X56" i="89"/>
  <c r="U58" i="89" a="1"/>
  <c r="U58" i="89" s="1"/>
  <c r="T58" i="89" s="1"/>
  <c r="O58" i="89"/>
  <c r="N58" i="89"/>
  <c r="M58" i="89"/>
  <c r="L58" i="89"/>
  <c r="Z55" i="89"/>
  <c r="AA55" i="89" s="1"/>
  <c r="Y55" i="89"/>
  <c r="X55" i="89"/>
  <c r="U57" i="89" a="1"/>
  <c r="U57" i="89" s="1"/>
  <c r="O57" i="89"/>
  <c r="N57" i="89"/>
  <c r="M57" i="89"/>
  <c r="L57" i="89"/>
  <c r="Z54" i="89"/>
  <c r="Y54" i="89"/>
  <c r="X54" i="89"/>
  <c r="U56" i="89" a="1"/>
  <c r="U56" i="89" s="1"/>
  <c r="O56" i="89"/>
  <c r="N56" i="89"/>
  <c r="M56" i="89"/>
  <c r="L56" i="89"/>
  <c r="Z53" i="89"/>
  <c r="Y53" i="89"/>
  <c r="X53" i="89"/>
  <c r="U55" i="89" a="1"/>
  <c r="U55" i="89" s="1"/>
  <c r="T55" i="89" s="1"/>
  <c r="O55" i="89"/>
  <c r="N55" i="89"/>
  <c r="M55" i="89"/>
  <c r="L55" i="89"/>
  <c r="Z52" i="89"/>
  <c r="Y52" i="89"/>
  <c r="X52" i="89"/>
  <c r="U9" i="89" a="1"/>
  <c r="U9" i="89" s="1"/>
  <c r="O9" i="89"/>
  <c r="N9" i="89"/>
  <c r="M9" i="89"/>
  <c r="L9" i="89"/>
  <c r="Z51" i="89"/>
  <c r="Y51" i="89"/>
  <c r="X51" i="89"/>
  <c r="U54" i="89" a="1"/>
  <c r="U54" i="89" s="1"/>
  <c r="O54" i="89"/>
  <c r="N54" i="89"/>
  <c r="M54" i="89"/>
  <c r="L54" i="89"/>
  <c r="Z50" i="89"/>
  <c r="Y50" i="89"/>
  <c r="X50" i="89"/>
  <c r="U53" i="89" a="1"/>
  <c r="U53" i="89" s="1"/>
  <c r="T53" i="89" s="1"/>
  <c r="O53" i="89"/>
  <c r="N53" i="89"/>
  <c r="M53" i="89"/>
  <c r="L53" i="89"/>
  <c r="Z49" i="89"/>
  <c r="Y49" i="89"/>
  <c r="X49" i="89"/>
  <c r="U52" i="89" a="1"/>
  <c r="U52" i="89" s="1"/>
  <c r="T52" i="89" s="1"/>
  <c r="O52" i="89"/>
  <c r="N52" i="89"/>
  <c r="M52" i="89"/>
  <c r="L52" i="89"/>
  <c r="Z48" i="89"/>
  <c r="Y48" i="89"/>
  <c r="X48" i="89"/>
  <c r="U51" i="89" a="1"/>
  <c r="U51" i="89" s="1"/>
  <c r="O51" i="89"/>
  <c r="N51" i="89"/>
  <c r="M51" i="89"/>
  <c r="L51" i="89"/>
  <c r="Z47" i="89"/>
  <c r="Y47" i="89"/>
  <c r="X47" i="89"/>
  <c r="U50" i="89" a="1"/>
  <c r="U50" i="89" s="1"/>
  <c r="T50" i="89" s="1"/>
  <c r="O50" i="89"/>
  <c r="N50" i="89"/>
  <c r="M50" i="89"/>
  <c r="L50" i="89"/>
  <c r="Z46" i="89"/>
  <c r="Y46" i="89"/>
  <c r="X46" i="89"/>
  <c r="U6" i="89" a="1"/>
  <c r="U6" i="89" s="1"/>
  <c r="T6" i="89" s="1"/>
  <c r="O6" i="89"/>
  <c r="N6" i="89"/>
  <c r="M6" i="89"/>
  <c r="L6" i="89"/>
  <c r="Z45" i="89"/>
  <c r="Y45" i="89"/>
  <c r="X45" i="89"/>
  <c r="U49" i="89" a="1"/>
  <c r="U49" i="89" s="1"/>
  <c r="O49" i="89"/>
  <c r="N49" i="89"/>
  <c r="M49" i="89"/>
  <c r="L49" i="89"/>
  <c r="Z44" i="89"/>
  <c r="Y44" i="89"/>
  <c r="X44" i="89"/>
  <c r="U48" i="89" a="1"/>
  <c r="U48" i="89" s="1"/>
  <c r="T48" i="89" s="1"/>
  <c r="O48" i="89"/>
  <c r="N48" i="89"/>
  <c r="M48" i="89"/>
  <c r="L48" i="89"/>
  <c r="Z43" i="89"/>
  <c r="Y43" i="89"/>
  <c r="X43" i="89"/>
  <c r="U47" i="89" a="1"/>
  <c r="U47" i="89" s="1"/>
  <c r="T47" i="89" s="1"/>
  <c r="O47" i="89"/>
  <c r="N47" i="89"/>
  <c r="M47" i="89"/>
  <c r="L47" i="89"/>
  <c r="Z42" i="89"/>
  <c r="Y42" i="89"/>
  <c r="X42" i="89"/>
  <c r="U46" i="89" a="1"/>
  <c r="U46" i="89" s="1"/>
  <c r="T46" i="89" s="1"/>
  <c r="O46" i="89"/>
  <c r="N46" i="89"/>
  <c r="M46" i="89"/>
  <c r="L46" i="89"/>
  <c r="Z41" i="89"/>
  <c r="Y41" i="89"/>
  <c r="X41" i="89"/>
  <c r="U45" i="89" a="1"/>
  <c r="U45" i="89" s="1"/>
  <c r="T45" i="89" s="1"/>
  <c r="O45" i="89"/>
  <c r="N45" i="89"/>
  <c r="M45" i="89"/>
  <c r="L45" i="89"/>
  <c r="Z40" i="89"/>
  <c r="AA40" i="89" s="1"/>
  <c r="Y40" i="89"/>
  <c r="X40" i="89"/>
  <c r="U44" i="89" a="1"/>
  <c r="U44" i="89" s="1"/>
  <c r="T44" i="89" s="1"/>
  <c r="O44" i="89"/>
  <c r="N44" i="89"/>
  <c r="M44" i="89"/>
  <c r="L44" i="89"/>
  <c r="Z39" i="89"/>
  <c r="Y39" i="89"/>
  <c r="X39" i="89"/>
  <c r="U11" i="89" a="1"/>
  <c r="U11" i="89" s="1"/>
  <c r="T11" i="89" s="1"/>
  <c r="O11" i="89"/>
  <c r="N11" i="89"/>
  <c r="M11" i="89"/>
  <c r="L11" i="89"/>
  <c r="Z38" i="89"/>
  <c r="Y38" i="89"/>
  <c r="X38" i="89"/>
  <c r="U43" i="89" a="1"/>
  <c r="U43" i="89" s="1"/>
  <c r="T43" i="89" s="1"/>
  <c r="O43" i="89"/>
  <c r="N43" i="89"/>
  <c r="M43" i="89"/>
  <c r="L43" i="89"/>
  <c r="Z37" i="89"/>
  <c r="AA37" i="89" s="1"/>
  <c r="Y37" i="89"/>
  <c r="X37" i="89"/>
  <c r="U42" i="89" a="1"/>
  <c r="U42" i="89" s="1"/>
  <c r="T42" i="89" s="1"/>
  <c r="O42" i="89"/>
  <c r="N42" i="89"/>
  <c r="M42" i="89"/>
  <c r="L42" i="89"/>
  <c r="Z36" i="89"/>
  <c r="Y36" i="89"/>
  <c r="X36" i="89"/>
  <c r="U41" i="89" a="1"/>
  <c r="U41" i="89" s="1"/>
  <c r="T41" i="89" s="1"/>
  <c r="O41" i="89"/>
  <c r="N41" i="89"/>
  <c r="M41" i="89"/>
  <c r="L41" i="89"/>
  <c r="Z35" i="89"/>
  <c r="Y35" i="89"/>
  <c r="X35" i="89"/>
  <c r="U40" i="89" a="1"/>
  <c r="U40" i="89" s="1"/>
  <c r="T40" i="89" s="1"/>
  <c r="O40" i="89"/>
  <c r="N40" i="89"/>
  <c r="M40" i="89"/>
  <c r="L40" i="89"/>
  <c r="Z34" i="89"/>
  <c r="AA34" i="89" s="1"/>
  <c r="Y34" i="89"/>
  <c r="X34" i="89"/>
  <c r="U5" i="89" a="1"/>
  <c r="U5" i="89" s="1"/>
  <c r="T5" i="89" s="1"/>
  <c r="O5" i="89"/>
  <c r="N5" i="89"/>
  <c r="M5" i="89"/>
  <c r="L5" i="89"/>
  <c r="Z33" i="89"/>
  <c r="Y33" i="89"/>
  <c r="X33" i="89"/>
  <c r="U39" i="89" a="1"/>
  <c r="U39" i="89" s="1"/>
  <c r="T39" i="89" s="1"/>
  <c r="O39" i="89"/>
  <c r="N39" i="89"/>
  <c r="M39" i="89"/>
  <c r="L39" i="89"/>
  <c r="Z32" i="89"/>
  <c r="Y32" i="89"/>
  <c r="X32" i="89"/>
  <c r="U38" i="89" a="1"/>
  <c r="U38" i="89" s="1"/>
  <c r="T38" i="89" s="1"/>
  <c r="O38" i="89"/>
  <c r="N38" i="89"/>
  <c r="M38" i="89"/>
  <c r="L38" i="89"/>
  <c r="Z31" i="89"/>
  <c r="Y31" i="89"/>
  <c r="X31" i="89"/>
  <c r="U37" i="89" a="1"/>
  <c r="U37" i="89" s="1"/>
  <c r="O37" i="89"/>
  <c r="N37" i="89"/>
  <c r="M37" i="89"/>
  <c r="L37" i="89"/>
  <c r="Z30" i="89"/>
  <c r="Y30" i="89"/>
  <c r="X30" i="89"/>
  <c r="U36" i="89" a="1"/>
  <c r="U36" i="89" s="1"/>
  <c r="T36" i="89" s="1"/>
  <c r="O36" i="89"/>
  <c r="N36" i="89"/>
  <c r="M36" i="89"/>
  <c r="L36" i="89"/>
  <c r="Z29" i="89"/>
  <c r="Y29" i="89"/>
  <c r="X29" i="89"/>
  <c r="U35" i="89" a="1"/>
  <c r="U35" i="89" s="1"/>
  <c r="T35" i="89" s="1"/>
  <c r="O35" i="89"/>
  <c r="N35" i="89"/>
  <c r="M35" i="89"/>
  <c r="L35" i="89"/>
  <c r="Z28" i="89"/>
  <c r="Y28" i="89"/>
  <c r="X28" i="89"/>
  <c r="U34" i="89" a="1"/>
  <c r="U34" i="89" s="1"/>
  <c r="O34" i="89"/>
  <c r="N34" i="89"/>
  <c r="M34" i="89"/>
  <c r="L34" i="89"/>
  <c r="Z27" i="89"/>
  <c r="Y27" i="89"/>
  <c r="X27" i="89"/>
  <c r="U33" i="89" a="1"/>
  <c r="U33" i="89" s="1"/>
  <c r="T33" i="89" s="1"/>
  <c r="O33" i="89"/>
  <c r="N33" i="89"/>
  <c r="M33" i="89"/>
  <c r="L33" i="89"/>
  <c r="Z26" i="89"/>
  <c r="Y26" i="89"/>
  <c r="X26" i="89"/>
  <c r="U32" i="89" a="1"/>
  <c r="U32" i="89" s="1"/>
  <c r="T32" i="89" s="1"/>
  <c r="O32" i="89"/>
  <c r="N32" i="89"/>
  <c r="M32" i="89"/>
  <c r="L32" i="89"/>
  <c r="Z25" i="89"/>
  <c r="Y25" i="89"/>
  <c r="X25" i="89"/>
  <c r="U31" i="89" a="1"/>
  <c r="U31" i="89" s="1"/>
  <c r="O31" i="89"/>
  <c r="N31" i="89"/>
  <c r="M31" i="89"/>
  <c r="L31" i="89"/>
  <c r="Z24" i="89"/>
  <c r="Y24" i="89"/>
  <c r="X24" i="89"/>
  <c r="U8" i="89" a="1"/>
  <c r="U8" i="89" s="1"/>
  <c r="T8" i="89" s="1"/>
  <c r="O8" i="89"/>
  <c r="N8" i="89"/>
  <c r="M8" i="89"/>
  <c r="L8" i="89"/>
  <c r="Z23" i="89"/>
  <c r="Y23" i="89"/>
  <c r="X23" i="89"/>
  <c r="U30" i="89" a="1"/>
  <c r="U30" i="89" s="1"/>
  <c r="T30" i="89" s="1"/>
  <c r="O30" i="89"/>
  <c r="N30" i="89"/>
  <c r="M30" i="89"/>
  <c r="L30" i="89"/>
  <c r="Z22" i="89"/>
  <c r="Y22" i="89"/>
  <c r="X22" i="89"/>
  <c r="U29" i="89" a="1"/>
  <c r="U29" i="89" s="1"/>
  <c r="T29" i="89" s="1"/>
  <c r="O29" i="89"/>
  <c r="N29" i="89"/>
  <c r="M29" i="89"/>
  <c r="L29" i="89"/>
  <c r="Z21" i="89"/>
  <c r="Y21" i="89"/>
  <c r="X21" i="89"/>
  <c r="U28" i="89" a="1"/>
  <c r="U28" i="89" s="1"/>
  <c r="T28" i="89" s="1"/>
  <c r="O28" i="89"/>
  <c r="N28" i="89"/>
  <c r="M28" i="89"/>
  <c r="L28" i="89"/>
  <c r="Z20" i="89"/>
  <c r="Y20" i="89"/>
  <c r="X20" i="89"/>
  <c r="U27" i="89" a="1"/>
  <c r="U27" i="89" s="1"/>
  <c r="T27" i="89" s="1"/>
  <c r="O27" i="89"/>
  <c r="N27" i="89"/>
  <c r="M27" i="89"/>
  <c r="L27" i="89"/>
  <c r="Z19" i="89"/>
  <c r="Y19" i="89"/>
  <c r="X19" i="89"/>
  <c r="U26" i="89" a="1"/>
  <c r="U26" i="89" s="1"/>
  <c r="T26" i="89" s="1"/>
  <c r="O26" i="89"/>
  <c r="N26" i="89"/>
  <c r="M26" i="89"/>
  <c r="L26" i="89"/>
  <c r="Z18" i="89"/>
  <c r="Y18" i="89"/>
  <c r="X18" i="89"/>
  <c r="U25" i="89" a="1"/>
  <c r="U25" i="89" s="1"/>
  <c r="T25" i="89" s="1"/>
  <c r="O25" i="89"/>
  <c r="N25" i="89"/>
  <c r="M25" i="89"/>
  <c r="L25" i="89"/>
  <c r="Z17" i="89"/>
  <c r="Y17" i="89"/>
  <c r="X17" i="89"/>
  <c r="U24" i="89" a="1"/>
  <c r="U24" i="89" s="1"/>
  <c r="O24" i="89"/>
  <c r="N24" i="89"/>
  <c r="M24" i="89"/>
  <c r="L24" i="89"/>
  <c r="Z16" i="89"/>
  <c r="Y16" i="89"/>
  <c r="X16" i="89"/>
  <c r="U23" i="89" a="1"/>
  <c r="U23" i="89" s="1"/>
  <c r="T23" i="89" s="1"/>
  <c r="O23" i="89"/>
  <c r="N23" i="89"/>
  <c r="M23" i="89"/>
  <c r="L23" i="89"/>
  <c r="Z15" i="89"/>
  <c r="Y15" i="89"/>
  <c r="X15" i="89"/>
  <c r="U2" i="89" a="1"/>
  <c r="U2" i="89" s="1"/>
  <c r="O2" i="89"/>
  <c r="N2" i="89"/>
  <c r="M2" i="89"/>
  <c r="L2" i="89"/>
  <c r="Z14" i="89"/>
  <c r="Y14" i="89"/>
  <c r="X14" i="89"/>
  <c r="U7" i="89" a="1"/>
  <c r="U7" i="89" s="1"/>
  <c r="O7" i="89"/>
  <c r="N7" i="89"/>
  <c r="M7" i="89"/>
  <c r="L7" i="89"/>
  <c r="Z13" i="89"/>
  <c r="Y13" i="89"/>
  <c r="X13" i="89"/>
  <c r="U22" i="89" a="1"/>
  <c r="U22" i="89" s="1"/>
  <c r="T22" i="89" s="1"/>
  <c r="O22" i="89"/>
  <c r="N22" i="89"/>
  <c r="M22" i="89"/>
  <c r="L22" i="89"/>
  <c r="Z12" i="89"/>
  <c r="Y12" i="89"/>
  <c r="X12" i="89"/>
  <c r="U21" i="89" a="1"/>
  <c r="U21" i="89" s="1"/>
  <c r="O21" i="89"/>
  <c r="N21" i="89"/>
  <c r="M21" i="89"/>
  <c r="L21" i="89"/>
  <c r="Z11" i="89"/>
  <c r="Y11" i="89"/>
  <c r="X11" i="89"/>
  <c r="U20" i="89" a="1"/>
  <c r="U20" i="89" s="1"/>
  <c r="O20" i="89"/>
  <c r="N20" i="89"/>
  <c r="M20" i="89"/>
  <c r="L20" i="89"/>
  <c r="Z10" i="89"/>
  <c r="Y10" i="89"/>
  <c r="X10" i="89"/>
  <c r="U19" i="89" a="1"/>
  <c r="U19" i="89" s="1"/>
  <c r="T19" i="89" s="1"/>
  <c r="O19" i="89"/>
  <c r="N19" i="89"/>
  <c r="M19" i="89"/>
  <c r="L19" i="89"/>
  <c r="Z9" i="89"/>
  <c r="Y9" i="89"/>
  <c r="X9" i="89"/>
  <c r="U18" i="89" a="1"/>
  <c r="U18" i="89" s="1"/>
  <c r="O18" i="89"/>
  <c r="N18" i="89"/>
  <c r="M18" i="89"/>
  <c r="L18" i="89"/>
  <c r="Z8" i="89"/>
  <c r="Y8" i="89"/>
  <c r="X8" i="89"/>
  <c r="U17" i="89" a="1"/>
  <c r="U17" i="89" s="1"/>
  <c r="O17" i="89"/>
  <c r="N17" i="89"/>
  <c r="M17" i="89"/>
  <c r="L17" i="89"/>
  <c r="Z7" i="89"/>
  <c r="Y7" i="89"/>
  <c r="X7" i="89"/>
  <c r="U16" i="89" a="1"/>
  <c r="U16" i="89" s="1"/>
  <c r="T16" i="89" s="1"/>
  <c r="O16" i="89"/>
  <c r="N16" i="89"/>
  <c r="M16" i="89"/>
  <c r="L16" i="89"/>
  <c r="Z6" i="89"/>
  <c r="Y6" i="89"/>
  <c r="X6" i="89"/>
  <c r="U15" i="89" a="1"/>
  <c r="U15" i="89" s="1"/>
  <c r="O15" i="89"/>
  <c r="N15" i="89"/>
  <c r="M15" i="89"/>
  <c r="L15" i="89"/>
  <c r="Z5" i="89"/>
  <c r="Y5" i="89"/>
  <c r="X5" i="89"/>
  <c r="U14" i="89" a="1"/>
  <c r="U14" i="89" s="1"/>
  <c r="O14" i="89"/>
  <c r="N14" i="89"/>
  <c r="M14" i="89"/>
  <c r="L14" i="89"/>
  <c r="Z4" i="89"/>
  <c r="Y4" i="89"/>
  <c r="X4" i="89"/>
  <c r="U13" i="89" a="1"/>
  <c r="U13" i="89" s="1"/>
  <c r="T13" i="89" s="1"/>
  <c r="O13" i="89"/>
  <c r="N13" i="89"/>
  <c r="M13" i="89"/>
  <c r="L13" i="89"/>
  <c r="Z3" i="89"/>
  <c r="Y3" i="89"/>
  <c r="X3" i="89"/>
  <c r="U12" i="89" a="1"/>
  <c r="U12" i="89" s="1"/>
  <c r="O12" i="89"/>
  <c r="N12" i="89"/>
  <c r="M12" i="89"/>
  <c r="L12" i="89"/>
  <c r="Z2" i="89"/>
  <c r="Y2" i="89"/>
  <c r="X2" i="89"/>
  <c r="U10" i="89" a="1"/>
  <c r="U10" i="89" s="1"/>
  <c r="O10" i="89"/>
  <c r="N10" i="89"/>
  <c r="M10" i="89"/>
  <c r="L10" i="89"/>
  <c r="Y4" i="5"/>
  <c r="G3" i="8"/>
  <c r="G4" i="8"/>
  <c r="G5" i="8"/>
  <c r="G6" i="8"/>
  <c r="G7" i="8"/>
  <c r="G8" i="8"/>
  <c r="V8" i="6" s="1"/>
  <c r="G9" i="8"/>
  <c r="G10" i="8"/>
  <c r="G11" i="8"/>
  <c r="G12" i="8"/>
  <c r="G13" i="8"/>
  <c r="V13" i="6" s="1"/>
  <c r="G14" i="8"/>
  <c r="V14" i="6" s="1"/>
  <c r="G15" i="8"/>
  <c r="G16" i="8"/>
  <c r="G17" i="8"/>
  <c r="G18" i="8"/>
  <c r="G19" i="8"/>
  <c r="G20" i="8"/>
  <c r="V20" i="6" s="1"/>
  <c r="G21" i="8"/>
  <c r="G22" i="8"/>
  <c r="G23" i="8"/>
  <c r="G24" i="8"/>
  <c r="G25" i="8"/>
  <c r="V25" i="6" s="1"/>
  <c r="G26" i="8"/>
  <c r="V26" i="6" s="1"/>
  <c r="G27" i="8"/>
  <c r="G28" i="8"/>
  <c r="G29" i="8"/>
  <c r="G30" i="8"/>
  <c r="G31" i="8"/>
  <c r="G32" i="8"/>
  <c r="G33" i="8"/>
  <c r="G34" i="8"/>
  <c r="G35" i="8"/>
  <c r="G36" i="8"/>
  <c r="G37" i="8"/>
  <c r="V37" i="6" s="1"/>
  <c r="G38" i="8"/>
  <c r="V38" i="6" s="1"/>
  <c r="G39" i="8"/>
  <c r="G40" i="8"/>
  <c r="G41" i="8"/>
  <c r="G42" i="8"/>
  <c r="G43" i="8"/>
  <c r="G44" i="8"/>
  <c r="V44" i="6" s="1"/>
  <c r="G45" i="8"/>
  <c r="G46" i="8"/>
  <c r="G47" i="8"/>
  <c r="G48" i="8"/>
  <c r="G49" i="8"/>
  <c r="V49" i="6" s="1"/>
  <c r="G50" i="8"/>
  <c r="V50" i="6" s="1"/>
  <c r="G51" i="8"/>
  <c r="G52" i="8"/>
  <c r="G53" i="8"/>
  <c r="G54" i="8"/>
  <c r="G55" i="8"/>
  <c r="G56" i="8"/>
  <c r="V56" i="6" s="1"/>
  <c r="G57" i="8"/>
  <c r="G58" i="8"/>
  <c r="G59" i="8"/>
  <c r="G60" i="8"/>
  <c r="G61" i="8"/>
  <c r="G62" i="8"/>
  <c r="V62" i="6" s="1"/>
  <c r="G63" i="8"/>
  <c r="G64" i="8"/>
  <c r="G65" i="8"/>
  <c r="G66" i="8"/>
  <c r="G67" i="8"/>
  <c r="G68" i="8"/>
  <c r="V68" i="6" s="1"/>
  <c r="G69" i="8"/>
  <c r="G70" i="8"/>
  <c r="G71" i="8"/>
  <c r="G72" i="8"/>
  <c r="G73" i="8"/>
  <c r="G74" i="8"/>
  <c r="V74" i="6" s="1"/>
  <c r="G75" i="8"/>
  <c r="G76" i="8"/>
  <c r="G77" i="8"/>
  <c r="G78" i="8"/>
  <c r="G79" i="8"/>
  <c r="G80" i="8"/>
  <c r="G81" i="8"/>
  <c r="G82" i="8"/>
  <c r="G83" i="8"/>
  <c r="G84" i="8"/>
  <c r="G85" i="8"/>
  <c r="V85" i="6" s="1"/>
  <c r="G86" i="8"/>
  <c r="V86" i="6" s="1"/>
  <c r="G87" i="8"/>
  <c r="G88" i="8"/>
  <c r="G89" i="8"/>
  <c r="G90" i="8"/>
  <c r="G91" i="8"/>
  <c r="G92" i="8"/>
  <c r="V92" i="6" s="1"/>
  <c r="G93" i="8"/>
  <c r="G94" i="8"/>
  <c r="G95" i="8"/>
  <c r="G96" i="8"/>
  <c r="G97" i="8"/>
  <c r="V97" i="6" s="1"/>
  <c r="G98" i="8"/>
  <c r="V98" i="6" s="1"/>
  <c r="G99" i="8"/>
  <c r="G100" i="8"/>
  <c r="G101" i="8"/>
  <c r="G102" i="8"/>
  <c r="G103" i="8"/>
  <c r="G104" i="8"/>
  <c r="V104" i="6" s="1"/>
  <c r="G105" i="8"/>
  <c r="G106" i="8"/>
  <c r="G107" i="8"/>
  <c r="G108" i="8"/>
  <c r="G109" i="8"/>
  <c r="V109" i="6" s="1"/>
  <c r="G110" i="8"/>
  <c r="V110" i="6" s="1"/>
  <c r="G111" i="8"/>
  <c r="G112" i="8"/>
  <c r="G113" i="8"/>
  <c r="G114" i="8"/>
  <c r="G115" i="8"/>
  <c r="G116" i="8"/>
  <c r="G117" i="8"/>
  <c r="G118" i="8"/>
  <c r="G119" i="8"/>
  <c r="G120" i="8"/>
  <c r="G121" i="8"/>
  <c r="G122" i="8"/>
  <c r="V122" i="6" s="1"/>
  <c r="G123" i="8"/>
  <c r="G124" i="8"/>
  <c r="G125" i="8"/>
  <c r="G126" i="8"/>
  <c r="G127" i="8"/>
  <c r="G128" i="8"/>
  <c r="V128" i="6" s="1"/>
  <c r="G129" i="8"/>
  <c r="G130" i="8"/>
  <c r="G131" i="8"/>
  <c r="G132" i="8"/>
  <c r="G133" i="8"/>
  <c r="V133" i="6" s="1"/>
  <c r="O85" i="5"/>
  <c r="O9" i="5"/>
  <c r="O55" i="5"/>
  <c r="O97" i="5"/>
  <c r="O86" i="5"/>
  <c r="O20" i="5"/>
  <c r="O58" i="5"/>
  <c r="O75" i="5"/>
  <c r="O68" i="5"/>
  <c r="O90" i="5"/>
  <c r="O108" i="5"/>
  <c r="O65" i="5"/>
  <c r="O18" i="5"/>
  <c r="O105" i="5"/>
  <c r="O96" i="5"/>
  <c r="O83" i="5"/>
  <c r="O101" i="5"/>
  <c r="O31" i="5"/>
  <c r="O38" i="5"/>
  <c r="O27" i="5"/>
  <c r="O42" i="5"/>
  <c r="O62" i="5"/>
  <c r="O74" i="5"/>
  <c r="O93" i="5"/>
  <c r="O66" i="5"/>
  <c r="O79" i="5"/>
  <c r="O100" i="5"/>
  <c r="O22" i="5"/>
  <c r="O81" i="5"/>
  <c r="O104" i="5"/>
  <c r="O63" i="5"/>
  <c r="O45" i="5"/>
  <c r="O2" i="5"/>
  <c r="O103" i="5"/>
  <c r="O88" i="5"/>
  <c r="O54" i="5"/>
  <c r="O73" i="5"/>
  <c r="O14" i="5"/>
  <c r="O3" i="5"/>
  <c r="O94" i="5"/>
  <c r="O107" i="5"/>
  <c r="O37" i="5"/>
  <c r="O10" i="5"/>
  <c r="O69" i="5"/>
  <c r="O23" i="5"/>
  <c r="O4" i="5"/>
  <c r="O25" i="5"/>
  <c r="O77" i="5"/>
  <c r="O91" i="5"/>
  <c r="O16" i="5"/>
  <c r="O6" i="5"/>
  <c r="O40" i="5"/>
  <c r="O110" i="5"/>
  <c r="O12" i="5"/>
  <c r="O61" i="5"/>
  <c r="O28" i="5"/>
  <c r="O50" i="5"/>
  <c r="O21" i="5"/>
  <c r="O48" i="5"/>
  <c r="O46" i="5"/>
  <c r="O80" i="5"/>
  <c r="O7" i="5"/>
  <c r="O33" i="5"/>
  <c r="O99" i="5"/>
  <c r="O60" i="5"/>
  <c r="O70" i="5"/>
  <c r="O44" i="5"/>
  <c r="O29" i="5"/>
  <c r="O106" i="5"/>
  <c r="O13" i="5"/>
  <c r="O71" i="5"/>
  <c r="O78" i="5"/>
  <c r="O35" i="5"/>
  <c r="O87" i="5"/>
  <c r="O11" i="5"/>
  <c r="O64" i="5"/>
  <c r="O92" i="5"/>
  <c r="O95" i="5"/>
  <c r="O39" i="5"/>
  <c r="O32" i="5"/>
  <c r="O17" i="5"/>
  <c r="O8" i="5"/>
  <c r="O84" i="5"/>
  <c r="O67" i="5"/>
  <c r="O72" i="5"/>
  <c r="O26" i="5"/>
  <c r="O57" i="5"/>
  <c r="O34" i="5"/>
  <c r="O24" i="5"/>
  <c r="O76" i="5"/>
  <c r="O49" i="5"/>
  <c r="O41" i="5"/>
  <c r="O56" i="5"/>
  <c r="O36" i="5"/>
  <c r="O82" i="5"/>
  <c r="O59" i="5"/>
  <c r="O15" i="5"/>
  <c r="O43" i="5"/>
  <c r="O47" i="5"/>
  <c r="O109" i="5"/>
  <c r="O30" i="5"/>
  <c r="O51" i="5"/>
  <c r="O89" i="5"/>
  <c r="O102" i="5"/>
  <c r="O52" i="5"/>
  <c r="O5" i="5"/>
  <c r="O98" i="5"/>
  <c r="O53" i="5"/>
  <c r="O19" i="5"/>
  <c r="N85" i="5"/>
  <c r="N9" i="5"/>
  <c r="N55" i="5"/>
  <c r="N97" i="5"/>
  <c r="N86" i="5"/>
  <c r="N20" i="5"/>
  <c r="N58" i="5"/>
  <c r="N75" i="5"/>
  <c r="N68" i="5"/>
  <c r="N90" i="5"/>
  <c r="N108" i="5"/>
  <c r="N65" i="5"/>
  <c r="N18" i="5"/>
  <c r="N105" i="5"/>
  <c r="N96" i="5"/>
  <c r="N83" i="5"/>
  <c r="N101" i="5"/>
  <c r="N31" i="5"/>
  <c r="N38" i="5"/>
  <c r="N27" i="5"/>
  <c r="N42" i="5"/>
  <c r="N62" i="5"/>
  <c r="N74" i="5"/>
  <c r="N93" i="5"/>
  <c r="N66" i="5"/>
  <c r="N79" i="5"/>
  <c r="N100" i="5"/>
  <c r="N22" i="5"/>
  <c r="N81" i="5"/>
  <c r="N104" i="5"/>
  <c r="N63" i="5"/>
  <c r="N45" i="5"/>
  <c r="N2" i="5"/>
  <c r="N103" i="5"/>
  <c r="N88" i="5"/>
  <c r="N54" i="5"/>
  <c r="N73" i="5"/>
  <c r="N14" i="5"/>
  <c r="N3" i="5"/>
  <c r="N94" i="5"/>
  <c r="N107" i="5"/>
  <c r="N37" i="5"/>
  <c r="N10" i="5"/>
  <c r="N69" i="5"/>
  <c r="N23" i="5"/>
  <c r="N4" i="5"/>
  <c r="N25" i="5"/>
  <c r="N77" i="5"/>
  <c r="N91" i="5"/>
  <c r="N16" i="5"/>
  <c r="N6" i="5"/>
  <c r="N40" i="5"/>
  <c r="N110" i="5"/>
  <c r="N12" i="5"/>
  <c r="N61" i="5"/>
  <c r="N28" i="5"/>
  <c r="N50" i="5"/>
  <c r="N21" i="5"/>
  <c r="N48" i="5"/>
  <c r="N46" i="5"/>
  <c r="N80" i="5"/>
  <c r="N7" i="5"/>
  <c r="N33" i="5"/>
  <c r="N99" i="5"/>
  <c r="N60" i="5"/>
  <c r="N70" i="5"/>
  <c r="N44" i="5"/>
  <c r="N29" i="5"/>
  <c r="N106" i="5"/>
  <c r="N13" i="5"/>
  <c r="N71" i="5"/>
  <c r="N78" i="5"/>
  <c r="N35" i="5"/>
  <c r="N87" i="5"/>
  <c r="N11" i="5"/>
  <c r="N64" i="5"/>
  <c r="N92" i="5"/>
  <c r="N95" i="5"/>
  <c r="N39" i="5"/>
  <c r="N32" i="5"/>
  <c r="N17" i="5"/>
  <c r="N8" i="5"/>
  <c r="N84" i="5"/>
  <c r="N67" i="5"/>
  <c r="N72" i="5"/>
  <c r="N26" i="5"/>
  <c r="N57" i="5"/>
  <c r="N34" i="5"/>
  <c r="N24" i="5"/>
  <c r="N76" i="5"/>
  <c r="N49" i="5"/>
  <c r="N41" i="5"/>
  <c r="N56" i="5"/>
  <c r="N36" i="5"/>
  <c r="N82" i="5"/>
  <c r="N59" i="5"/>
  <c r="N15" i="5"/>
  <c r="N43" i="5"/>
  <c r="N47" i="5"/>
  <c r="N109" i="5"/>
  <c r="N30" i="5"/>
  <c r="N51" i="5"/>
  <c r="N89" i="5"/>
  <c r="N102" i="5"/>
  <c r="N52" i="5"/>
  <c r="N5" i="5"/>
  <c r="N98" i="5"/>
  <c r="N53" i="5"/>
  <c r="N19" i="5"/>
  <c r="M85" i="5"/>
  <c r="M9" i="5"/>
  <c r="M55" i="5"/>
  <c r="M97" i="5"/>
  <c r="M86" i="5"/>
  <c r="M20" i="5"/>
  <c r="M58" i="5"/>
  <c r="M75" i="5"/>
  <c r="M68" i="5"/>
  <c r="M90" i="5"/>
  <c r="M108" i="5"/>
  <c r="M65" i="5"/>
  <c r="M18" i="5"/>
  <c r="M105" i="5"/>
  <c r="M96" i="5"/>
  <c r="M83" i="5"/>
  <c r="M101" i="5"/>
  <c r="M31" i="5"/>
  <c r="M38" i="5"/>
  <c r="M27" i="5"/>
  <c r="M42" i="5"/>
  <c r="M62" i="5"/>
  <c r="M74" i="5"/>
  <c r="M93" i="5"/>
  <c r="M66" i="5"/>
  <c r="M79" i="5"/>
  <c r="M100" i="5"/>
  <c r="M22" i="5"/>
  <c r="M81" i="5"/>
  <c r="M104" i="5"/>
  <c r="M63" i="5"/>
  <c r="M45" i="5"/>
  <c r="M2" i="5"/>
  <c r="M103" i="5"/>
  <c r="M88" i="5"/>
  <c r="M54" i="5"/>
  <c r="M73" i="5"/>
  <c r="M14" i="5"/>
  <c r="M3" i="5"/>
  <c r="M94" i="5"/>
  <c r="M107" i="5"/>
  <c r="M37" i="5"/>
  <c r="M10" i="5"/>
  <c r="M69" i="5"/>
  <c r="M23" i="5"/>
  <c r="M4" i="5"/>
  <c r="M25" i="5"/>
  <c r="M77" i="5"/>
  <c r="M91" i="5"/>
  <c r="M16" i="5"/>
  <c r="M6" i="5"/>
  <c r="M40" i="5"/>
  <c r="M110" i="5"/>
  <c r="M12" i="5"/>
  <c r="M61" i="5"/>
  <c r="M28" i="5"/>
  <c r="M50" i="5"/>
  <c r="M21" i="5"/>
  <c r="M48" i="5"/>
  <c r="M46" i="5"/>
  <c r="M80" i="5"/>
  <c r="M7" i="5"/>
  <c r="M33" i="5"/>
  <c r="M99" i="5"/>
  <c r="M60" i="5"/>
  <c r="M70" i="5"/>
  <c r="M44" i="5"/>
  <c r="M29" i="5"/>
  <c r="M106" i="5"/>
  <c r="M13" i="5"/>
  <c r="M71" i="5"/>
  <c r="M78" i="5"/>
  <c r="M35" i="5"/>
  <c r="M87" i="5"/>
  <c r="M11" i="5"/>
  <c r="M64" i="5"/>
  <c r="M92" i="5"/>
  <c r="M95" i="5"/>
  <c r="M39" i="5"/>
  <c r="M32" i="5"/>
  <c r="M17" i="5"/>
  <c r="M8" i="5"/>
  <c r="M84" i="5"/>
  <c r="M67" i="5"/>
  <c r="M72" i="5"/>
  <c r="M26" i="5"/>
  <c r="M57" i="5"/>
  <c r="M34" i="5"/>
  <c r="M24" i="5"/>
  <c r="M76" i="5"/>
  <c r="M49" i="5"/>
  <c r="M41" i="5"/>
  <c r="M56" i="5"/>
  <c r="M36" i="5"/>
  <c r="M82" i="5"/>
  <c r="M59" i="5"/>
  <c r="M15" i="5"/>
  <c r="M43" i="5"/>
  <c r="M47" i="5"/>
  <c r="M109" i="5"/>
  <c r="M30" i="5"/>
  <c r="M51" i="5"/>
  <c r="M89" i="5"/>
  <c r="M102" i="5"/>
  <c r="M52" i="5"/>
  <c r="M5" i="5"/>
  <c r="M98" i="5"/>
  <c r="M53" i="5"/>
  <c r="M19" i="5"/>
  <c r="L85" i="5"/>
  <c r="L9" i="5"/>
  <c r="L55" i="5"/>
  <c r="L97" i="5"/>
  <c r="L86" i="5"/>
  <c r="L20" i="5"/>
  <c r="L58" i="5"/>
  <c r="L75" i="5"/>
  <c r="L68" i="5"/>
  <c r="L90" i="5"/>
  <c r="L108" i="5"/>
  <c r="L65" i="5"/>
  <c r="L18" i="5"/>
  <c r="L105" i="5"/>
  <c r="L96" i="5"/>
  <c r="L83" i="5"/>
  <c r="L101" i="5"/>
  <c r="L31" i="5"/>
  <c r="L38" i="5"/>
  <c r="L27" i="5"/>
  <c r="L42" i="5"/>
  <c r="L62" i="5"/>
  <c r="L74" i="5"/>
  <c r="L93" i="5"/>
  <c r="L66" i="5"/>
  <c r="L79" i="5"/>
  <c r="L100" i="5"/>
  <c r="L22" i="5"/>
  <c r="L81" i="5"/>
  <c r="L104" i="5"/>
  <c r="L63" i="5"/>
  <c r="L45" i="5"/>
  <c r="L2" i="5"/>
  <c r="L103" i="5"/>
  <c r="L88" i="5"/>
  <c r="L54" i="5"/>
  <c r="L73" i="5"/>
  <c r="L14" i="5"/>
  <c r="L3" i="5"/>
  <c r="L94" i="5"/>
  <c r="L107" i="5"/>
  <c r="L37" i="5"/>
  <c r="L10" i="5"/>
  <c r="L69" i="5"/>
  <c r="L23" i="5"/>
  <c r="L4" i="5"/>
  <c r="L25" i="5"/>
  <c r="L77" i="5"/>
  <c r="L91" i="5"/>
  <c r="L16" i="5"/>
  <c r="L6" i="5"/>
  <c r="L40" i="5"/>
  <c r="L110" i="5"/>
  <c r="L12" i="5"/>
  <c r="L61" i="5"/>
  <c r="L28" i="5"/>
  <c r="L50" i="5"/>
  <c r="L21" i="5"/>
  <c r="L48" i="5"/>
  <c r="L46" i="5"/>
  <c r="L80" i="5"/>
  <c r="L7" i="5"/>
  <c r="L33" i="5"/>
  <c r="L99" i="5"/>
  <c r="L60" i="5"/>
  <c r="L70" i="5"/>
  <c r="L44" i="5"/>
  <c r="L29" i="5"/>
  <c r="L106" i="5"/>
  <c r="L13" i="5"/>
  <c r="L71" i="5"/>
  <c r="L78" i="5"/>
  <c r="L35" i="5"/>
  <c r="L87" i="5"/>
  <c r="L11" i="5"/>
  <c r="L64" i="5"/>
  <c r="L92" i="5"/>
  <c r="L95" i="5"/>
  <c r="L39" i="5"/>
  <c r="L32" i="5"/>
  <c r="L17" i="5"/>
  <c r="L8" i="5"/>
  <c r="L84" i="5"/>
  <c r="L67" i="5"/>
  <c r="L72" i="5"/>
  <c r="L26" i="5"/>
  <c r="L57" i="5"/>
  <c r="L34" i="5"/>
  <c r="L24" i="5"/>
  <c r="L76" i="5"/>
  <c r="L49" i="5"/>
  <c r="L41" i="5"/>
  <c r="L56" i="5"/>
  <c r="L36" i="5"/>
  <c r="L82" i="5"/>
  <c r="L59" i="5"/>
  <c r="L15" i="5"/>
  <c r="L43" i="5"/>
  <c r="L47" i="5"/>
  <c r="L109" i="5"/>
  <c r="L30" i="5"/>
  <c r="L51" i="5"/>
  <c r="L89" i="5"/>
  <c r="L102" i="5"/>
  <c r="L52" i="5"/>
  <c r="L5" i="5"/>
  <c r="L98" i="5"/>
  <c r="L53" i="5"/>
  <c r="L19" i="5"/>
  <c r="A227" i="6"/>
  <c r="Q227" i="6"/>
  <c r="A228" i="6"/>
  <c r="Q228" i="6"/>
  <c r="A229" i="6"/>
  <c r="Q229" i="6"/>
  <c r="A230" i="6"/>
  <c r="Q230" i="6"/>
  <c r="A231" i="6"/>
  <c r="Q231" i="6"/>
  <c r="A232" i="6"/>
  <c r="Q232" i="6"/>
  <c r="R197" i="7"/>
  <c r="R198" i="7"/>
  <c r="R221" i="7"/>
  <c r="R222" i="7"/>
  <c r="P227" i="7"/>
  <c r="I227" i="6" s="1"/>
  <c r="P228" i="7"/>
  <c r="I228" i="6" s="1"/>
  <c r="P229" i="7"/>
  <c r="I229" i="6" s="1"/>
  <c r="P230" i="7"/>
  <c r="I230" i="6" s="1"/>
  <c r="P231" i="7"/>
  <c r="I231" i="6" s="1"/>
  <c r="P232" i="7"/>
  <c r="I232" i="6" s="1"/>
  <c r="P186" i="7"/>
  <c r="R186" i="7" s="1"/>
  <c r="P187" i="7"/>
  <c r="R187" i="7" s="1"/>
  <c r="P188" i="7"/>
  <c r="R188" i="7" s="1"/>
  <c r="P189" i="7"/>
  <c r="I189" i="6" s="1"/>
  <c r="P190" i="7"/>
  <c r="I190" i="6" s="1"/>
  <c r="P191" i="7"/>
  <c r="I191" i="6" s="1"/>
  <c r="P192" i="7"/>
  <c r="R192" i="7" s="1"/>
  <c r="P193" i="7"/>
  <c r="R193" i="7" s="1"/>
  <c r="P194" i="7"/>
  <c r="R194" i="7" s="1"/>
  <c r="P195" i="7"/>
  <c r="R195" i="7" s="1"/>
  <c r="P196" i="7"/>
  <c r="I196" i="6" s="1"/>
  <c r="P197" i="7"/>
  <c r="I197" i="6" s="1"/>
  <c r="P198" i="7"/>
  <c r="P199" i="7"/>
  <c r="R199" i="7" s="1"/>
  <c r="P200" i="7"/>
  <c r="R200" i="7" s="1"/>
  <c r="P201" i="7"/>
  <c r="R201" i="7" s="1"/>
  <c r="P202" i="7"/>
  <c r="I202" i="6" s="1"/>
  <c r="P203" i="7"/>
  <c r="I203" i="6" s="1"/>
  <c r="P204" i="7"/>
  <c r="R204" i="7" s="1"/>
  <c r="P205" i="7"/>
  <c r="R205" i="7" s="1"/>
  <c r="P206" i="7"/>
  <c r="I206" i="6" s="1"/>
  <c r="P207" i="7"/>
  <c r="R207" i="7" s="1"/>
  <c r="P208" i="7"/>
  <c r="I208" i="6" s="1"/>
  <c r="P209" i="7"/>
  <c r="I209" i="6" s="1"/>
  <c r="P210" i="7"/>
  <c r="R210" i="7" s="1"/>
  <c r="P211" i="7"/>
  <c r="R211" i="7" s="1"/>
  <c r="P212" i="7"/>
  <c r="R212" i="7" s="1"/>
  <c r="P213" i="7"/>
  <c r="I213" i="6" s="1"/>
  <c r="P214" i="7"/>
  <c r="R214" i="7" s="1"/>
  <c r="P215" i="7"/>
  <c r="I215" i="6" s="1"/>
  <c r="P216" i="7"/>
  <c r="R216" i="7" s="1"/>
  <c r="P217" i="7"/>
  <c r="R217" i="7" s="1"/>
  <c r="P218" i="7"/>
  <c r="I218" i="6" s="1"/>
  <c r="P219" i="7"/>
  <c r="R219" i="7" s="1"/>
  <c r="P220" i="7"/>
  <c r="I220" i="6" s="1"/>
  <c r="P221" i="7"/>
  <c r="I221" i="6" s="1"/>
  <c r="P222" i="7"/>
  <c r="P223" i="7"/>
  <c r="R223" i="7" s="1"/>
  <c r="P224" i="7"/>
  <c r="I224" i="6" s="1"/>
  <c r="P225" i="7"/>
  <c r="R225" i="7" s="1"/>
  <c r="P226" i="7"/>
  <c r="I226" i="6" s="1"/>
  <c r="P185" i="7"/>
  <c r="R185" i="7" s="1"/>
  <c r="J227" i="7"/>
  <c r="C227" i="6" s="1"/>
  <c r="K227" i="7"/>
  <c r="D227" i="6" s="1"/>
  <c r="L227" i="7"/>
  <c r="E227" i="6" s="1"/>
  <c r="M227" i="7"/>
  <c r="F227" i="6" s="1"/>
  <c r="N227" i="7"/>
  <c r="G227" i="6" s="1"/>
  <c r="O227" i="7"/>
  <c r="H227" i="6" s="1"/>
  <c r="J228" i="7"/>
  <c r="C228" i="6" s="1"/>
  <c r="K228" i="7"/>
  <c r="D228" i="6" s="1"/>
  <c r="L228" i="7"/>
  <c r="E228" i="6" s="1"/>
  <c r="M228" i="7"/>
  <c r="F228" i="6" s="1"/>
  <c r="N228" i="7"/>
  <c r="G228" i="6" s="1"/>
  <c r="O228" i="7"/>
  <c r="H228" i="6" s="1"/>
  <c r="J229" i="7"/>
  <c r="C229" i="6" s="1"/>
  <c r="K229" i="7"/>
  <c r="D229" i="6" s="1"/>
  <c r="L229" i="7"/>
  <c r="E229" i="6" s="1"/>
  <c r="M229" i="7"/>
  <c r="F229" i="6" s="1"/>
  <c r="N229" i="7"/>
  <c r="G229" i="6" s="1"/>
  <c r="O229" i="7"/>
  <c r="H229" i="6" s="1"/>
  <c r="J230" i="7"/>
  <c r="C230" i="6" s="1"/>
  <c r="K230" i="7"/>
  <c r="D230" i="6" s="1"/>
  <c r="L230" i="7"/>
  <c r="E230" i="6" s="1"/>
  <c r="M230" i="7"/>
  <c r="F230" i="6" s="1"/>
  <c r="N230" i="7"/>
  <c r="G230" i="6" s="1"/>
  <c r="O230" i="7"/>
  <c r="H230" i="6" s="1"/>
  <c r="J231" i="7"/>
  <c r="C231" i="6" s="1"/>
  <c r="K231" i="7"/>
  <c r="D231" i="6" s="1"/>
  <c r="L231" i="7"/>
  <c r="E231" i="6" s="1"/>
  <c r="M231" i="7"/>
  <c r="F231" i="6" s="1"/>
  <c r="N231" i="7"/>
  <c r="G231" i="6" s="1"/>
  <c r="O231" i="7"/>
  <c r="H231" i="6" s="1"/>
  <c r="J232" i="7"/>
  <c r="C232" i="6" s="1"/>
  <c r="K232" i="7"/>
  <c r="D232" i="6" s="1"/>
  <c r="L232" i="7"/>
  <c r="E232" i="6" s="1"/>
  <c r="M232" i="7"/>
  <c r="F232" i="6" s="1"/>
  <c r="N232" i="7"/>
  <c r="G232" i="6" s="1"/>
  <c r="O232" i="7"/>
  <c r="H232" i="6" s="1"/>
  <c r="H256" i="55"/>
  <c r="J186" i="7"/>
  <c r="K186" i="7"/>
  <c r="L186" i="7"/>
  <c r="M186" i="7"/>
  <c r="N186" i="7"/>
  <c r="G186" i="6" s="1"/>
  <c r="O186" i="7"/>
  <c r="H186" i="6" s="1"/>
  <c r="J187" i="7"/>
  <c r="C187" i="6" s="1"/>
  <c r="K187" i="7"/>
  <c r="D187" i="6" s="1"/>
  <c r="L187" i="7"/>
  <c r="E187" i="6" s="1"/>
  <c r="M187" i="7"/>
  <c r="F187" i="6" s="1"/>
  <c r="N187" i="7"/>
  <c r="G187" i="6" s="1"/>
  <c r="O187" i="7"/>
  <c r="H187" i="6" s="1"/>
  <c r="J188" i="7"/>
  <c r="K188" i="7"/>
  <c r="L188" i="7"/>
  <c r="M188" i="7"/>
  <c r="N188" i="7"/>
  <c r="G188" i="6" s="1"/>
  <c r="O188" i="7"/>
  <c r="H188" i="6" s="1"/>
  <c r="J189" i="7"/>
  <c r="C189" i="6" s="1"/>
  <c r="K189" i="7"/>
  <c r="D189" i="6" s="1"/>
  <c r="L189" i="7"/>
  <c r="E189" i="6" s="1"/>
  <c r="M189" i="7"/>
  <c r="F189" i="6" s="1"/>
  <c r="N189" i="7"/>
  <c r="G189" i="6" s="1"/>
  <c r="O189" i="7"/>
  <c r="H189" i="6" s="1"/>
  <c r="J190" i="7"/>
  <c r="K190" i="7"/>
  <c r="L190" i="7"/>
  <c r="M190" i="7"/>
  <c r="N190" i="7"/>
  <c r="G190" i="6" s="1"/>
  <c r="O190" i="7"/>
  <c r="H190" i="6" s="1"/>
  <c r="J191" i="7"/>
  <c r="K191" i="7"/>
  <c r="D191" i="6" s="1"/>
  <c r="L191" i="7"/>
  <c r="E191" i="6" s="1"/>
  <c r="M191" i="7"/>
  <c r="F191" i="6" s="1"/>
  <c r="N191" i="7"/>
  <c r="G191" i="6" s="1"/>
  <c r="O191" i="7"/>
  <c r="H191" i="6" s="1"/>
  <c r="J192" i="7"/>
  <c r="K192" i="7"/>
  <c r="D192" i="6" s="1"/>
  <c r="L192" i="7"/>
  <c r="E192" i="6" s="1"/>
  <c r="M192" i="7"/>
  <c r="F192" i="6" s="1"/>
  <c r="N192" i="7"/>
  <c r="G192" i="6" s="1"/>
  <c r="O192" i="7"/>
  <c r="H192" i="6" s="1"/>
  <c r="J193" i="7"/>
  <c r="C193" i="6" s="1"/>
  <c r="K193" i="7"/>
  <c r="D193" i="6" s="1"/>
  <c r="L193" i="7"/>
  <c r="E193" i="6" s="1"/>
  <c r="M193" i="7"/>
  <c r="F193" i="6" s="1"/>
  <c r="N193" i="7"/>
  <c r="G193" i="6" s="1"/>
  <c r="O193" i="7"/>
  <c r="H193" i="6" s="1"/>
  <c r="J194" i="7"/>
  <c r="K194" i="7"/>
  <c r="D194" i="6" s="1"/>
  <c r="L194" i="7"/>
  <c r="E194" i="6" s="1"/>
  <c r="M194" i="7"/>
  <c r="F194" i="6" s="1"/>
  <c r="N194" i="7"/>
  <c r="G194" i="6" s="1"/>
  <c r="O194" i="7"/>
  <c r="H194" i="6" s="1"/>
  <c r="J195" i="7"/>
  <c r="C195" i="6" s="1"/>
  <c r="K195" i="7"/>
  <c r="D195" i="6" s="1"/>
  <c r="L195" i="7"/>
  <c r="E195" i="6" s="1"/>
  <c r="M195" i="7"/>
  <c r="F195" i="6" s="1"/>
  <c r="N195" i="7"/>
  <c r="G195" i="6" s="1"/>
  <c r="O195" i="7"/>
  <c r="H195" i="6" s="1"/>
  <c r="J196" i="7"/>
  <c r="K196" i="7"/>
  <c r="L196" i="7"/>
  <c r="E196" i="6" s="1"/>
  <c r="M196" i="7"/>
  <c r="F196" i="6" s="1"/>
  <c r="N196" i="7"/>
  <c r="G196" i="6" s="1"/>
  <c r="O196" i="7"/>
  <c r="H196" i="6" s="1"/>
  <c r="J197" i="7"/>
  <c r="C197" i="6" s="1"/>
  <c r="K197" i="7"/>
  <c r="D197" i="6" s="1"/>
  <c r="L197" i="7"/>
  <c r="E197" i="6" s="1"/>
  <c r="M197" i="7"/>
  <c r="F197" i="6" s="1"/>
  <c r="N197" i="7"/>
  <c r="G197" i="6" s="1"/>
  <c r="O197" i="7"/>
  <c r="H197" i="6" s="1"/>
  <c r="J198" i="7"/>
  <c r="K198" i="7"/>
  <c r="L198" i="7"/>
  <c r="M198" i="7"/>
  <c r="F198" i="6" s="1"/>
  <c r="N198" i="7"/>
  <c r="G198" i="6" s="1"/>
  <c r="O198" i="7"/>
  <c r="H198" i="6" s="1"/>
  <c r="J199" i="7"/>
  <c r="C199" i="6" s="1"/>
  <c r="K199" i="7"/>
  <c r="D199" i="6" s="1"/>
  <c r="L199" i="7"/>
  <c r="E199" i="6" s="1"/>
  <c r="M199" i="7"/>
  <c r="F199" i="6" s="1"/>
  <c r="N199" i="7"/>
  <c r="G199" i="6" s="1"/>
  <c r="O199" i="7"/>
  <c r="H199" i="6" s="1"/>
  <c r="J200" i="7"/>
  <c r="K200" i="7"/>
  <c r="L200" i="7"/>
  <c r="M200" i="7"/>
  <c r="F200" i="6" s="1"/>
  <c r="N200" i="7"/>
  <c r="G200" i="6" s="1"/>
  <c r="O200" i="7"/>
  <c r="H200" i="6" s="1"/>
  <c r="J201" i="7"/>
  <c r="C201" i="6" s="1"/>
  <c r="K201" i="7"/>
  <c r="D201" i="6" s="1"/>
  <c r="L201" i="7"/>
  <c r="E201" i="6" s="1"/>
  <c r="M201" i="7"/>
  <c r="F201" i="6" s="1"/>
  <c r="N201" i="7"/>
  <c r="G201" i="6" s="1"/>
  <c r="O201" i="7"/>
  <c r="H201" i="6" s="1"/>
  <c r="J202" i="7"/>
  <c r="K202" i="7"/>
  <c r="L202" i="7"/>
  <c r="M202" i="7"/>
  <c r="F202" i="6" s="1"/>
  <c r="N202" i="7"/>
  <c r="G202" i="6" s="1"/>
  <c r="O202" i="7"/>
  <c r="H202" i="6" s="1"/>
  <c r="J203" i="7"/>
  <c r="C203" i="6" s="1"/>
  <c r="K203" i="7"/>
  <c r="D203" i="6" s="1"/>
  <c r="L203" i="7"/>
  <c r="E203" i="6" s="1"/>
  <c r="M203" i="7"/>
  <c r="F203" i="6" s="1"/>
  <c r="N203" i="7"/>
  <c r="G203" i="6" s="1"/>
  <c r="O203" i="7"/>
  <c r="H203" i="6" s="1"/>
  <c r="J204" i="7"/>
  <c r="K204" i="7"/>
  <c r="L204" i="7"/>
  <c r="M204" i="7"/>
  <c r="N204" i="7"/>
  <c r="G204" i="6" s="1"/>
  <c r="O204" i="7"/>
  <c r="H204" i="6" s="1"/>
  <c r="J205" i="7"/>
  <c r="K205" i="7"/>
  <c r="D205" i="6" s="1"/>
  <c r="L205" i="7"/>
  <c r="E205" i="6" s="1"/>
  <c r="M205" i="7"/>
  <c r="F205" i="6" s="1"/>
  <c r="N205" i="7"/>
  <c r="G205" i="6" s="1"/>
  <c r="O205" i="7"/>
  <c r="H205" i="6" s="1"/>
  <c r="J206" i="7"/>
  <c r="K206" i="7"/>
  <c r="D206" i="6" s="1"/>
  <c r="L206" i="7"/>
  <c r="M206" i="7"/>
  <c r="N206" i="7"/>
  <c r="G206" i="6" s="1"/>
  <c r="O206" i="7"/>
  <c r="H206" i="6" s="1"/>
  <c r="J207" i="7"/>
  <c r="C207" i="6" s="1"/>
  <c r="K207" i="7"/>
  <c r="D207" i="6" s="1"/>
  <c r="L207" i="7"/>
  <c r="E207" i="6" s="1"/>
  <c r="M207" i="7"/>
  <c r="F207" i="6" s="1"/>
  <c r="N207" i="7"/>
  <c r="G207" i="6" s="1"/>
  <c r="O207" i="7"/>
  <c r="H207" i="6" s="1"/>
  <c r="J208" i="7"/>
  <c r="K208" i="7"/>
  <c r="D208" i="6" s="1"/>
  <c r="L208" i="7"/>
  <c r="M208" i="7"/>
  <c r="N208" i="7"/>
  <c r="G208" i="6" s="1"/>
  <c r="O208" i="7"/>
  <c r="H208" i="6" s="1"/>
  <c r="J209" i="7"/>
  <c r="C209" i="6" s="1"/>
  <c r="K209" i="7"/>
  <c r="D209" i="6" s="1"/>
  <c r="L209" i="7"/>
  <c r="E209" i="6" s="1"/>
  <c r="M209" i="7"/>
  <c r="F209" i="6" s="1"/>
  <c r="N209" i="7"/>
  <c r="G209" i="6" s="1"/>
  <c r="O209" i="7"/>
  <c r="H209" i="6" s="1"/>
  <c r="J210" i="7"/>
  <c r="K210" i="7"/>
  <c r="D210" i="6" s="1"/>
  <c r="L210" i="7"/>
  <c r="E210" i="6" s="1"/>
  <c r="M210" i="7"/>
  <c r="F210" i="6" s="1"/>
  <c r="N210" i="7"/>
  <c r="G210" i="6" s="1"/>
  <c r="O210" i="7"/>
  <c r="H210" i="6" s="1"/>
  <c r="J211" i="7"/>
  <c r="C211" i="6" s="1"/>
  <c r="K211" i="7"/>
  <c r="D211" i="6" s="1"/>
  <c r="L211" i="7"/>
  <c r="E211" i="6" s="1"/>
  <c r="M211" i="7"/>
  <c r="F211" i="6" s="1"/>
  <c r="N211" i="7"/>
  <c r="G211" i="6" s="1"/>
  <c r="O211" i="7"/>
  <c r="H211" i="6" s="1"/>
  <c r="J212" i="7"/>
  <c r="K212" i="7"/>
  <c r="D212" i="6" s="1"/>
  <c r="L212" i="7"/>
  <c r="E212" i="6" s="1"/>
  <c r="M212" i="7"/>
  <c r="F212" i="6" s="1"/>
  <c r="N212" i="7"/>
  <c r="G212" i="6" s="1"/>
  <c r="O212" i="7"/>
  <c r="H212" i="6" s="1"/>
  <c r="J213" i="7"/>
  <c r="C213" i="6" s="1"/>
  <c r="K213" i="7"/>
  <c r="D213" i="6" s="1"/>
  <c r="L213" i="7"/>
  <c r="E213" i="6" s="1"/>
  <c r="M213" i="7"/>
  <c r="F213" i="6" s="1"/>
  <c r="N213" i="7"/>
  <c r="G213" i="6" s="1"/>
  <c r="O213" i="7"/>
  <c r="J214" i="7"/>
  <c r="K214" i="7"/>
  <c r="L214" i="7"/>
  <c r="M214" i="7"/>
  <c r="F214" i="6" s="1"/>
  <c r="N214" i="7"/>
  <c r="G214" i="6" s="1"/>
  <c r="O214" i="7"/>
  <c r="H214" i="6" s="1"/>
  <c r="J215" i="7"/>
  <c r="C215" i="6" s="1"/>
  <c r="K215" i="7"/>
  <c r="D215" i="6" s="1"/>
  <c r="L215" i="7"/>
  <c r="E215" i="6" s="1"/>
  <c r="M215" i="7"/>
  <c r="F215" i="6" s="1"/>
  <c r="N215" i="7"/>
  <c r="G215" i="6" s="1"/>
  <c r="O215" i="7"/>
  <c r="H215" i="6" s="1"/>
  <c r="J216" i="7"/>
  <c r="K216" i="7"/>
  <c r="D216" i="6" s="1"/>
  <c r="L216" i="7"/>
  <c r="M216" i="7"/>
  <c r="N216" i="7"/>
  <c r="G216" i="6" s="1"/>
  <c r="O216" i="7"/>
  <c r="H216" i="6" s="1"/>
  <c r="J217" i="7"/>
  <c r="C217" i="6" s="1"/>
  <c r="K217" i="7"/>
  <c r="D217" i="6" s="1"/>
  <c r="L217" i="7"/>
  <c r="E217" i="6" s="1"/>
  <c r="M217" i="7"/>
  <c r="F217" i="6" s="1"/>
  <c r="N217" i="7"/>
  <c r="G217" i="6" s="1"/>
  <c r="O217" i="7"/>
  <c r="H217" i="6" s="1"/>
  <c r="J218" i="7"/>
  <c r="K218" i="7"/>
  <c r="D218" i="6" s="1"/>
  <c r="L218" i="7"/>
  <c r="M218" i="7"/>
  <c r="N218" i="7"/>
  <c r="O218" i="7"/>
  <c r="H218" i="6" s="1"/>
  <c r="J219" i="7"/>
  <c r="C219" i="6" s="1"/>
  <c r="K219" i="7"/>
  <c r="D219" i="6" s="1"/>
  <c r="L219" i="7"/>
  <c r="E219" i="6" s="1"/>
  <c r="M219" i="7"/>
  <c r="F219" i="6" s="1"/>
  <c r="N219" i="7"/>
  <c r="G219" i="6" s="1"/>
  <c r="O219" i="7"/>
  <c r="H219" i="6" s="1"/>
  <c r="J220" i="7"/>
  <c r="K220" i="7"/>
  <c r="D220" i="6" s="1"/>
  <c r="L220" i="7"/>
  <c r="E220" i="6" s="1"/>
  <c r="M220" i="7"/>
  <c r="F220" i="6" s="1"/>
  <c r="N220" i="7"/>
  <c r="G220" i="6" s="1"/>
  <c r="O220" i="7"/>
  <c r="H220" i="6" s="1"/>
  <c r="J221" i="7"/>
  <c r="C221" i="6" s="1"/>
  <c r="K221" i="7"/>
  <c r="D221" i="6" s="1"/>
  <c r="L221" i="7"/>
  <c r="E221" i="6" s="1"/>
  <c r="M221" i="7"/>
  <c r="F221" i="6" s="1"/>
  <c r="N221" i="7"/>
  <c r="G221" i="6" s="1"/>
  <c r="O221" i="7"/>
  <c r="H221" i="6" s="1"/>
  <c r="J222" i="7"/>
  <c r="K222" i="7"/>
  <c r="D222" i="6" s="1"/>
  <c r="L222" i="7"/>
  <c r="E222" i="6" s="1"/>
  <c r="M222" i="7"/>
  <c r="F222" i="6" s="1"/>
  <c r="N222" i="7"/>
  <c r="G222" i="6" s="1"/>
  <c r="O222" i="7"/>
  <c r="H222" i="6" s="1"/>
  <c r="J223" i="7"/>
  <c r="C223" i="6" s="1"/>
  <c r="K223" i="7"/>
  <c r="D223" i="6" s="1"/>
  <c r="L223" i="7"/>
  <c r="E223" i="6" s="1"/>
  <c r="M223" i="7"/>
  <c r="F223" i="6" s="1"/>
  <c r="N223" i="7"/>
  <c r="G223" i="6" s="1"/>
  <c r="O223" i="7"/>
  <c r="H223" i="6" s="1"/>
  <c r="J224" i="7"/>
  <c r="C224" i="6" s="1"/>
  <c r="K224" i="7"/>
  <c r="D224" i="6" s="1"/>
  <c r="L224" i="7"/>
  <c r="M224" i="7"/>
  <c r="N224" i="7"/>
  <c r="O224" i="7"/>
  <c r="H224" i="6" s="1"/>
  <c r="J225" i="7"/>
  <c r="C225" i="6" s="1"/>
  <c r="K225" i="7"/>
  <c r="D225" i="6" s="1"/>
  <c r="L225" i="7"/>
  <c r="E225" i="6" s="1"/>
  <c r="M225" i="7"/>
  <c r="F225" i="6" s="1"/>
  <c r="N225" i="7"/>
  <c r="G225" i="6" s="1"/>
  <c r="O225" i="7"/>
  <c r="H225" i="6" s="1"/>
  <c r="J226" i="7"/>
  <c r="C226" i="6" s="1"/>
  <c r="K226" i="7"/>
  <c r="D226" i="6" s="1"/>
  <c r="L226" i="7"/>
  <c r="E226" i="6" s="1"/>
  <c r="M226" i="7"/>
  <c r="F226" i="6" s="1"/>
  <c r="N226" i="7"/>
  <c r="G226" i="6" s="1"/>
  <c r="O226" i="7"/>
  <c r="H226" i="6" s="1"/>
  <c r="O185" i="7"/>
  <c r="N185" i="7"/>
  <c r="M185" i="7"/>
  <c r="L185" i="7"/>
  <c r="K185" i="7"/>
  <c r="J185" i="7"/>
  <c r="C185" i="6" s="1"/>
  <c r="C196" i="6"/>
  <c r="C220" i="6"/>
  <c r="X231" i="7"/>
  <c r="X230" i="7"/>
  <c r="X229" i="7"/>
  <c r="X228" i="7"/>
  <c r="H278" i="55"/>
  <c r="H277" i="55"/>
  <c r="H276" i="55"/>
  <c r="H275" i="55"/>
  <c r="H274" i="55"/>
  <c r="H273" i="55"/>
  <c r="H271" i="55"/>
  <c r="H272" i="55"/>
  <c r="H270" i="55"/>
  <c r="H269" i="55"/>
  <c r="H268" i="55"/>
  <c r="H267" i="55"/>
  <c r="H266" i="55"/>
  <c r="H265" i="55"/>
  <c r="H264" i="55"/>
  <c r="H263" i="55"/>
  <c r="H262" i="55"/>
  <c r="H261" i="55"/>
  <c r="H260" i="55"/>
  <c r="H259" i="55"/>
  <c r="H258" i="55"/>
  <c r="H257" i="55"/>
  <c r="H255" i="55"/>
  <c r="H254" i="55"/>
  <c r="X24" i="5"/>
  <c r="X83" i="5"/>
  <c r="X25" i="5"/>
  <c r="X23" i="5"/>
  <c r="X103" i="5"/>
  <c r="X26" i="5"/>
  <c r="X27" i="5"/>
  <c r="X95" i="5"/>
  <c r="X28" i="5"/>
  <c r="X16" i="5"/>
  <c r="X29" i="5"/>
  <c r="X30" i="5"/>
  <c r="X101" i="5"/>
  <c r="X88" i="5"/>
  <c r="X93" i="5"/>
  <c r="X100" i="5"/>
  <c r="X84" i="5"/>
  <c r="X102" i="5"/>
  <c r="X20" i="5"/>
  <c r="X31" i="5"/>
  <c r="X7" i="5"/>
  <c r="X32" i="5"/>
  <c r="X13" i="5"/>
  <c r="X33" i="5"/>
  <c r="X17" i="5"/>
  <c r="X34" i="5"/>
  <c r="X35" i="5"/>
  <c r="X9" i="5"/>
  <c r="X90" i="5"/>
  <c r="X36" i="5"/>
  <c r="X96" i="5"/>
  <c r="X97" i="5"/>
  <c r="X18" i="5"/>
  <c r="X37" i="5"/>
  <c r="X38" i="5"/>
  <c r="X39" i="5"/>
  <c r="X8" i="5"/>
  <c r="X15" i="5"/>
  <c r="X40" i="5"/>
  <c r="X41" i="5"/>
  <c r="X19" i="5"/>
  <c r="X98" i="5"/>
  <c r="X105" i="5"/>
  <c r="X82" i="5"/>
  <c r="X42" i="5"/>
  <c r="X43" i="5"/>
  <c r="X99" i="5"/>
  <c r="X44" i="5"/>
  <c r="X89" i="5"/>
  <c r="X12" i="5"/>
  <c r="X45" i="5"/>
  <c r="X86" i="5"/>
  <c r="X46" i="5"/>
  <c r="X4" i="5"/>
  <c r="X47" i="5"/>
  <c r="X11" i="5"/>
  <c r="X48" i="5"/>
  <c r="X81" i="5"/>
  <c r="X106" i="5"/>
  <c r="X49" i="5"/>
  <c r="X87" i="5"/>
  <c r="X22" i="5"/>
  <c r="X50" i="5"/>
  <c r="X51" i="5"/>
  <c r="X52" i="5"/>
  <c r="X3" i="5"/>
  <c r="X53" i="5"/>
  <c r="X54" i="5"/>
  <c r="X55" i="5"/>
  <c r="X56" i="5"/>
  <c r="X57" i="5"/>
  <c r="X58" i="5"/>
  <c r="X85" i="5"/>
  <c r="X59" i="5"/>
  <c r="X60" i="5"/>
  <c r="X61" i="5"/>
  <c r="X62" i="5"/>
  <c r="X94" i="5"/>
  <c r="X14" i="5"/>
  <c r="X91" i="5"/>
  <c r="X2" i="5"/>
  <c r="X63" i="5"/>
  <c r="X64" i="5"/>
  <c r="X104" i="5"/>
  <c r="X65" i="5"/>
  <c r="X5" i="5"/>
  <c r="X21" i="5"/>
  <c r="X66" i="5"/>
  <c r="X67" i="5"/>
  <c r="X68" i="5"/>
  <c r="X69" i="5"/>
  <c r="X70" i="5"/>
  <c r="X71" i="5"/>
  <c r="X72" i="5"/>
  <c r="X73" i="5"/>
  <c r="X92" i="5"/>
  <c r="X6" i="5"/>
  <c r="X74" i="5"/>
  <c r="X75" i="5"/>
  <c r="X76" i="5"/>
  <c r="X77" i="5"/>
  <c r="X78" i="5"/>
  <c r="X79" i="5"/>
  <c r="X80" i="5"/>
  <c r="X10" i="5"/>
  <c r="Z42" i="5"/>
  <c r="Z43" i="5"/>
  <c r="Z99" i="5"/>
  <c r="Z44" i="5"/>
  <c r="Z89" i="5"/>
  <c r="Z12" i="5"/>
  <c r="Z45" i="5"/>
  <c r="Z86" i="5"/>
  <c r="Z46" i="5"/>
  <c r="Z4" i="5"/>
  <c r="Z47" i="5"/>
  <c r="Z11" i="5"/>
  <c r="Z48" i="5"/>
  <c r="Z81" i="5"/>
  <c r="Z106" i="5"/>
  <c r="Z49" i="5"/>
  <c r="Z87" i="5"/>
  <c r="Z22" i="5"/>
  <c r="Z50" i="5"/>
  <c r="Z51" i="5"/>
  <c r="Z52" i="5"/>
  <c r="Z3" i="5"/>
  <c r="Z53" i="5"/>
  <c r="Z54" i="5"/>
  <c r="Z55" i="5"/>
  <c r="Z56" i="5"/>
  <c r="Z57" i="5"/>
  <c r="Z58" i="5"/>
  <c r="Z85" i="5"/>
  <c r="Z59" i="5"/>
  <c r="Z60" i="5"/>
  <c r="Z61" i="5"/>
  <c r="Z62" i="5"/>
  <c r="Z94" i="5"/>
  <c r="Z14" i="5"/>
  <c r="Z91" i="5"/>
  <c r="Z2" i="5"/>
  <c r="Z63" i="5"/>
  <c r="Z64" i="5"/>
  <c r="Z104" i="5"/>
  <c r="Z65" i="5"/>
  <c r="Z5" i="5"/>
  <c r="Z21" i="5"/>
  <c r="Z66" i="5"/>
  <c r="Z67" i="5"/>
  <c r="Z68" i="5"/>
  <c r="Z69" i="5"/>
  <c r="Z70" i="5"/>
  <c r="Z71" i="5"/>
  <c r="Z72" i="5"/>
  <c r="Z73" i="5"/>
  <c r="Z92" i="5"/>
  <c r="Z6" i="5"/>
  <c r="Z74" i="5"/>
  <c r="Z75" i="5"/>
  <c r="Z76" i="5"/>
  <c r="Z77" i="5"/>
  <c r="Z78" i="5"/>
  <c r="Z79" i="5"/>
  <c r="Z80" i="5"/>
  <c r="Z24" i="5"/>
  <c r="Z83" i="5"/>
  <c r="Z25" i="5"/>
  <c r="Z23" i="5"/>
  <c r="Z103" i="5"/>
  <c r="Z26" i="5"/>
  <c r="Z27" i="5"/>
  <c r="Z95" i="5"/>
  <c r="Z28" i="5"/>
  <c r="Z16" i="5"/>
  <c r="Z29" i="5"/>
  <c r="Z30" i="5"/>
  <c r="Z101" i="5"/>
  <c r="Z88" i="5"/>
  <c r="Z93" i="5"/>
  <c r="Z100" i="5"/>
  <c r="Z84" i="5"/>
  <c r="Z102" i="5"/>
  <c r="Z20" i="5"/>
  <c r="Z31" i="5"/>
  <c r="Z7" i="5"/>
  <c r="Z32" i="5"/>
  <c r="Z13" i="5"/>
  <c r="Z33" i="5"/>
  <c r="Z17" i="5"/>
  <c r="Z34" i="5"/>
  <c r="Z35" i="5"/>
  <c r="Z9" i="5"/>
  <c r="Z90" i="5"/>
  <c r="Z36" i="5"/>
  <c r="Z96" i="5"/>
  <c r="Z97" i="5"/>
  <c r="Z18" i="5"/>
  <c r="Z37" i="5"/>
  <c r="Z38" i="5"/>
  <c r="Z39" i="5"/>
  <c r="Z8" i="5"/>
  <c r="Z15" i="5"/>
  <c r="Z40" i="5"/>
  <c r="Z41" i="5"/>
  <c r="Z19" i="5"/>
  <c r="Z98" i="5"/>
  <c r="Z105" i="5"/>
  <c r="Z82" i="5"/>
  <c r="Z10" i="5"/>
  <c r="Y42" i="5"/>
  <c r="Y43" i="5"/>
  <c r="Y99" i="5"/>
  <c r="Y44" i="5"/>
  <c r="Y89" i="5"/>
  <c r="Y12" i="5"/>
  <c r="Y45" i="5"/>
  <c r="Y86" i="5"/>
  <c r="Y46" i="5"/>
  <c r="Y47" i="5"/>
  <c r="Y11" i="5"/>
  <c r="Y48" i="5"/>
  <c r="Y81" i="5"/>
  <c r="Y106" i="5"/>
  <c r="Y49" i="5"/>
  <c r="Y87" i="5"/>
  <c r="Y22" i="5"/>
  <c r="Y50" i="5"/>
  <c r="Y51" i="5"/>
  <c r="Y52" i="5"/>
  <c r="Y3" i="5"/>
  <c r="Y53" i="5"/>
  <c r="Y54" i="5"/>
  <c r="Y55" i="5"/>
  <c r="Y56" i="5"/>
  <c r="Y57" i="5"/>
  <c r="Y58" i="5"/>
  <c r="Y85" i="5"/>
  <c r="Y59" i="5"/>
  <c r="Y60" i="5"/>
  <c r="Y61" i="5"/>
  <c r="Y62" i="5"/>
  <c r="Y94" i="5"/>
  <c r="Y14" i="5"/>
  <c r="Y91" i="5"/>
  <c r="Y2" i="5"/>
  <c r="Y63" i="5"/>
  <c r="Y64" i="5"/>
  <c r="Y104" i="5"/>
  <c r="Y65" i="5"/>
  <c r="Y5" i="5"/>
  <c r="Y21" i="5"/>
  <c r="Y66" i="5"/>
  <c r="Y67" i="5"/>
  <c r="Y68" i="5"/>
  <c r="Y69" i="5"/>
  <c r="Y70" i="5"/>
  <c r="Y71" i="5"/>
  <c r="Y72" i="5"/>
  <c r="Y73" i="5"/>
  <c r="Y92" i="5"/>
  <c r="Y6" i="5"/>
  <c r="Y74" i="5"/>
  <c r="Y75" i="5"/>
  <c r="Y76" i="5"/>
  <c r="Y77" i="5"/>
  <c r="Y78" i="5"/>
  <c r="Y79" i="5"/>
  <c r="Y80" i="5"/>
  <c r="Y24" i="5"/>
  <c r="Y83" i="5"/>
  <c r="Y25" i="5"/>
  <c r="Y23" i="5"/>
  <c r="Y103" i="5"/>
  <c r="Y26" i="5"/>
  <c r="Y27" i="5"/>
  <c r="Y95" i="5"/>
  <c r="Y28" i="5"/>
  <c r="Y16" i="5"/>
  <c r="Y29" i="5"/>
  <c r="Y30" i="5"/>
  <c r="Y101" i="5"/>
  <c r="Y88" i="5"/>
  <c r="Y93" i="5"/>
  <c r="Y100" i="5"/>
  <c r="Y84" i="5"/>
  <c r="Y102" i="5"/>
  <c r="Y20" i="5"/>
  <c r="Y31" i="5"/>
  <c r="Y7" i="5"/>
  <c r="Y32" i="5"/>
  <c r="Y13" i="5"/>
  <c r="Y33" i="5"/>
  <c r="Y17" i="5"/>
  <c r="Y34" i="5"/>
  <c r="Y35" i="5"/>
  <c r="Y9" i="5"/>
  <c r="Y90" i="5"/>
  <c r="Y36" i="5"/>
  <c r="Y96" i="5"/>
  <c r="Y97" i="5"/>
  <c r="Y18" i="5"/>
  <c r="Y37" i="5"/>
  <c r="Y38" i="5"/>
  <c r="Y39" i="5"/>
  <c r="Y8" i="5"/>
  <c r="Y15" i="5"/>
  <c r="Y40" i="5"/>
  <c r="Y41" i="5"/>
  <c r="Y19" i="5"/>
  <c r="Y98" i="5"/>
  <c r="Y105" i="5"/>
  <c r="Y82" i="5"/>
  <c r="Y10" i="5"/>
  <c r="AC45" i="18"/>
  <c r="P76" i="18"/>
  <c r="Q76" i="18"/>
  <c r="O76" i="18"/>
  <c r="V81" i="6"/>
  <c r="V82" i="6"/>
  <c r="V93" i="6"/>
  <c r="V94" i="6"/>
  <c r="V105" i="6"/>
  <c r="V106" i="6"/>
  <c r="V117" i="6"/>
  <c r="V118" i="6"/>
  <c r="V129" i="6"/>
  <c r="V130" i="6"/>
  <c r="Q29" i="53"/>
  <c r="K13" i="53"/>
  <c r="L16" i="86"/>
  <c r="K14" i="53"/>
  <c r="K15" i="53"/>
  <c r="K16" i="53"/>
  <c r="O69" i="86"/>
  <c r="N69" i="86"/>
  <c r="M69" i="86"/>
  <c r="L69" i="86"/>
  <c r="O68" i="86"/>
  <c r="N68" i="86"/>
  <c r="M68" i="86"/>
  <c r="L68" i="86"/>
  <c r="O67" i="86"/>
  <c r="N67" i="86"/>
  <c r="M67" i="86"/>
  <c r="L67" i="86"/>
  <c r="O66" i="86"/>
  <c r="N66" i="86"/>
  <c r="M66" i="86"/>
  <c r="L66" i="86"/>
  <c r="O65" i="86"/>
  <c r="N65" i="86"/>
  <c r="M65" i="86"/>
  <c r="L65" i="86"/>
  <c r="O64" i="86"/>
  <c r="N64" i="86"/>
  <c r="M64" i="86"/>
  <c r="L64" i="86"/>
  <c r="O63" i="86"/>
  <c r="N63" i="86"/>
  <c r="M63" i="86"/>
  <c r="L63" i="86"/>
  <c r="O62" i="86"/>
  <c r="N62" i="86"/>
  <c r="M62" i="86"/>
  <c r="L62" i="86"/>
  <c r="O9" i="86"/>
  <c r="N9" i="86"/>
  <c r="M9" i="86"/>
  <c r="L9" i="86"/>
  <c r="O61" i="86"/>
  <c r="N61" i="86"/>
  <c r="M61" i="86"/>
  <c r="L61" i="86"/>
  <c r="O60" i="86"/>
  <c r="N60" i="86"/>
  <c r="M60" i="86"/>
  <c r="L60" i="86"/>
  <c r="O59" i="86"/>
  <c r="N59" i="86"/>
  <c r="M59" i="86"/>
  <c r="L59" i="86"/>
  <c r="O58" i="86"/>
  <c r="N58" i="86"/>
  <c r="M58" i="86"/>
  <c r="L58" i="86"/>
  <c r="O57" i="86"/>
  <c r="N57" i="86"/>
  <c r="M57" i="86"/>
  <c r="L57" i="86"/>
  <c r="O56" i="86"/>
  <c r="N56" i="86"/>
  <c r="M56" i="86"/>
  <c r="L56" i="86"/>
  <c r="O55" i="86"/>
  <c r="N55" i="86"/>
  <c r="M55" i="86"/>
  <c r="L55" i="86"/>
  <c r="O54" i="86"/>
  <c r="N54" i="86"/>
  <c r="M54" i="86"/>
  <c r="L54" i="86"/>
  <c r="O8" i="86"/>
  <c r="N8" i="86"/>
  <c r="M8" i="86"/>
  <c r="L8" i="86"/>
  <c r="O53" i="86"/>
  <c r="N53" i="86"/>
  <c r="M53" i="86"/>
  <c r="L53" i="86"/>
  <c r="O52" i="86"/>
  <c r="N52" i="86"/>
  <c r="M52" i="86"/>
  <c r="L52" i="86"/>
  <c r="O51" i="86"/>
  <c r="N51" i="86"/>
  <c r="M51" i="86"/>
  <c r="L51" i="86"/>
  <c r="O50" i="86"/>
  <c r="N50" i="86"/>
  <c r="M50" i="86"/>
  <c r="L50" i="86"/>
  <c r="O49" i="86"/>
  <c r="N49" i="86"/>
  <c r="M49" i="86"/>
  <c r="L49" i="86"/>
  <c r="AA46" i="86"/>
  <c r="O48" i="86"/>
  <c r="N48" i="86"/>
  <c r="M48" i="86"/>
  <c r="L48" i="86"/>
  <c r="AA45" i="86"/>
  <c r="O47" i="86"/>
  <c r="N47" i="86"/>
  <c r="M47" i="86"/>
  <c r="L47" i="86"/>
  <c r="AA44" i="86"/>
  <c r="O46" i="86"/>
  <c r="N46" i="86"/>
  <c r="M46" i="86"/>
  <c r="L46" i="86"/>
  <c r="AA43" i="86"/>
  <c r="O45" i="86"/>
  <c r="N45" i="86"/>
  <c r="M45" i="86"/>
  <c r="L45" i="86"/>
  <c r="AA42" i="86"/>
  <c r="O44" i="86"/>
  <c r="N44" i="86"/>
  <c r="M44" i="86"/>
  <c r="L44" i="86"/>
  <c r="AA41" i="86"/>
  <c r="O7" i="86"/>
  <c r="N7" i="86"/>
  <c r="M7" i="86"/>
  <c r="L7" i="86"/>
  <c r="AA40" i="86"/>
  <c r="O43" i="86"/>
  <c r="N43" i="86"/>
  <c r="M43" i="86"/>
  <c r="L43" i="86"/>
  <c r="AA39" i="86"/>
  <c r="O42" i="86"/>
  <c r="N42" i="86"/>
  <c r="M42" i="86"/>
  <c r="L42" i="86"/>
  <c r="AA38" i="86"/>
  <c r="O41" i="86"/>
  <c r="N41" i="86"/>
  <c r="M41" i="86"/>
  <c r="L41" i="86"/>
  <c r="AA37" i="86"/>
  <c r="O40" i="86"/>
  <c r="N40" i="86"/>
  <c r="M40" i="86"/>
  <c r="L40" i="86"/>
  <c r="AA36" i="86"/>
  <c r="O39" i="86"/>
  <c r="N39" i="86"/>
  <c r="M39" i="86"/>
  <c r="L39" i="86"/>
  <c r="AA35" i="86"/>
  <c r="O38" i="86"/>
  <c r="N38" i="86"/>
  <c r="M38" i="86"/>
  <c r="L38" i="86"/>
  <c r="AA34" i="86"/>
  <c r="O37" i="86"/>
  <c r="N37" i="86"/>
  <c r="M37" i="86"/>
  <c r="L37" i="86"/>
  <c r="AA33" i="86"/>
  <c r="O36" i="86"/>
  <c r="N36" i="86"/>
  <c r="M36" i="86"/>
  <c r="L36" i="86"/>
  <c r="AA32" i="86"/>
  <c r="O35" i="86"/>
  <c r="N35" i="86"/>
  <c r="M35" i="86"/>
  <c r="L35" i="86"/>
  <c r="AA31" i="86"/>
  <c r="O34" i="86"/>
  <c r="N34" i="86"/>
  <c r="M34" i="86"/>
  <c r="L34" i="86"/>
  <c r="AA30" i="86"/>
  <c r="O33" i="86"/>
  <c r="N33" i="86"/>
  <c r="M33" i="86"/>
  <c r="L33" i="86"/>
  <c r="AA29" i="86"/>
  <c r="O10" i="86"/>
  <c r="N10" i="86"/>
  <c r="M10" i="86"/>
  <c r="L10" i="86"/>
  <c r="AA28" i="86"/>
  <c r="O32" i="86"/>
  <c r="N32" i="86"/>
  <c r="M32" i="86"/>
  <c r="L32" i="86"/>
  <c r="AA27" i="86"/>
  <c r="O31" i="86"/>
  <c r="N31" i="86"/>
  <c r="M31" i="86"/>
  <c r="L31" i="86"/>
  <c r="AA26" i="86"/>
  <c r="O30" i="86"/>
  <c r="N30" i="86"/>
  <c r="M30" i="86"/>
  <c r="L30" i="86"/>
  <c r="AA25" i="86"/>
  <c r="O29" i="86"/>
  <c r="N29" i="86"/>
  <c r="M29" i="86"/>
  <c r="L29" i="86"/>
  <c r="AA24" i="86"/>
  <c r="O6" i="86"/>
  <c r="N6" i="86"/>
  <c r="M6" i="86"/>
  <c r="L6" i="86"/>
  <c r="AA23" i="86"/>
  <c r="O28" i="86"/>
  <c r="N28" i="86"/>
  <c r="M28" i="86"/>
  <c r="L28" i="86"/>
  <c r="AA22" i="86"/>
  <c r="O27" i="86"/>
  <c r="N27" i="86"/>
  <c r="M27" i="86"/>
  <c r="L27" i="86"/>
  <c r="AA21" i="86"/>
  <c r="O26" i="86"/>
  <c r="N26" i="86"/>
  <c r="M26" i="86"/>
  <c r="L26" i="86"/>
  <c r="AA20" i="86"/>
  <c r="O25" i="86"/>
  <c r="N25" i="86"/>
  <c r="M25" i="86"/>
  <c r="L25" i="86"/>
  <c r="AA19" i="86"/>
  <c r="O24" i="86"/>
  <c r="N24" i="86"/>
  <c r="M24" i="86"/>
  <c r="L24" i="86"/>
  <c r="AA18" i="86"/>
  <c r="O3" i="86"/>
  <c r="N3" i="86"/>
  <c r="M3" i="86"/>
  <c r="L3" i="86"/>
  <c r="AA17" i="86"/>
  <c r="O23" i="86"/>
  <c r="N23" i="86"/>
  <c r="M23" i="86"/>
  <c r="L23" i="86"/>
  <c r="AA16" i="86"/>
  <c r="O12" i="86"/>
  <c r="N12" i="86"/>
  <c r="M12" i="86"/>
  <c r="L12" i="86"/>
  <c r="AA15" i="86"/>
  <c r="O22" i="86"/>
  <c r="N22" i="86"/>
  <c r="M22" i="86"/>
  <c r="L22" i="86"/>
  <c r="AA14" i="86"/>
  <c r="O21" i="86"/>
  <c r="N21" i="86"/>
  <c r="M21" i="86"/>
  <c r="L21" i="86"/>
  <c r="AA13" i="86"/>
  <c r="O5" i="86"/>
  <c r="N5" i="86"/>
  <c r="M5" i="86"/>
  <c r="L5" i="86"/>
  <c r="AA12" i="86"/>
  <c r="O20" i="86"/>
  <c r="N20" i="86"/>
  <c r="M20" i="86"/>
  <c r="L20" i="86"/>
  <c r="AA11" i="86"/>
  <c r="O19" i="86"/>
  <c r="N19" i="86"/>
  <c r="M19" i="86"/>
  <c r="L19" i="86"/>
  <c r="AA10" i="86"/>
  <c r="O18" i="86"/>
  <c r="N18" i="86"/>
  <c r="M18" i="86"/>
  <c r="L18" i="86"/>
  <c r="AA9" i="86"/>
  <c r="O17" i="86"/>
  <c r="N17" i="86"/>
  <c r="M17" i="86"/>
  <c r="L17" i="86"/>
  <c r="AA8" i="86"/>
  <c r="O16" i="86"/>
  <c r="N16" i="86"/>
  <c r="M16" i="86"/>
  <c r="AA7" i="86"/>
  <c r="O4" i="86"/>
  <c r="N4" i="86"/>
  <c r="M4" i="86"/>
  <c r="L4" i="86"/>
  <c r="AA6" i="86"/>
  <c r="O15" i="86"/>
  <c r="N15" i="86"/>
  <c r="M15" i="86"/>
  <c r="L15" i="86"/>
  <c r="AA5" i="86"/>
  <c r="O11" i="86"/>
  <c r="N11" i="86"/>
  <c r="M11" i="86"/>
  <c r="L11" i="86"/>
  <c r="AA4" i="86"/>
  <c r="O14" i="86"/>
  <c r="N14" i="86"/>
  <c r="M14" i="86"/>
  <c r="L14" i="86"/>
  <c r="AA3" i="86"/>
  <c r="O13" i="86"/>
  <c r="N13" i="86"/>
  <c r="M13" i="86"/>
  <c r="L13" i="86"/>
  <c r="AA2" i="86"/>
  <c r="O2" i="86"/>
  <c r="N2" i="86"/>
  <c r="M2" i="86"/>
  <c r="L2" i="86"/>
  <c r="A185" i="6"/>
  <c r="Q185" i="6" s="1"/>
  <c r="I185" i="6"/>
  <c r="A186" i="6"/>
  <c r="Q186" i="6" s="1"/>
  <c r="C186" i="6"/>
  <c r="D186" i="6"/>
  <c r="E186" i="6"/>
  <c r="F186" i="6"/>
  <c r="I186" i="6"/>
  <c r="A187" i="6"/>
  <c r="I187" i="6"/>
  <c r="A188" i="6"/>
  <c r="Q188" i="6" s="1"/>
  <c r="C188" i="6"/>
  <c r="D188" i="6"/>
  <c r="E188" i="6"/>
  <c r="F188" i="6"/>
  <c r="A189" i="6"/>
  <c r="Q189" i="6" s="1"/>
  <c r="A190" i="6"/>
  <c r="Q190" i="6" s="1"/>
  <c r="C190" i="6"/>
  <c r="D190" i="6"/>
  <c r="E190" i="6"/>
  <c r="F190" i="6"/>
  <c r="A191" i="6"/>
  <c r="Q191" i="6" s="1"/>
  <c r="C191" i="6"/>
  <c r="A192" i="6"/>
  <c r="Q192" i="6" s="1"/>
  <c r="C192" i="6"/>
  <c r="I192" i="6"/>
  <c r="A193" i="6"/>
  <c r="Q193" i="6" s="1"/>
  <c r="I193" i="6"/>
  <c r="A194" i="6"/>
  <c r="C194" i="6"/>
  <c r="I194" i="6"/>
  <c r="A195" i="6"/>
  <c r="Q195" i="6" s="1"/>
  <c r="I195" i="6"/>
  <c r="A196" i="6"/>
  <c r="Q196" i="6" s="1"/>
  <c r="D196" i="6"/>
  <c r="A197" i="6"/>
  <c r="Q197" i="6" s="1"/>
  <c r="A198" i="6"/>
  <c r="C198" i="6"/>
  <c r="D198" i="6"/>
  <c r="E198" i="6"/>
  <c r="I198" i="6"/>
  <c r="A199" i="6"/>
  <c r="Q199" i="6" s="1"/>
  <c r="I199" i="6"/>
  <c r="A200" i="6"/>
  <c r="Q200" i="6" s="1"/>
  <c r="C200" i="6"/>
  <c r="D200" i="6"/>
  <c r="E200" i="6"/>
  <c r="A201" i="6"/>
  <c r="Q201" i="6" s="1"/>
  <c r="A202" i="6"/>
  <c r="Q202" i="6" s="1"/>
  <c r="C202" i="6"/>
  <c r="D202" i="6"/>
  <c r="E202" i="6"/>
  <c r="A203" i="6"/>
  <c r="Q203" i="6" s="1"/>
  <c r="A204" i="6"/>
  <c r="Q204" i="6" s="1"/>
  <c r="C204" i="6"/>
  <c r="D204" i="6"/>
  <c r="E204" i="6"/>
  <c r="F204" i="6"/>
  <c r="I204" i="6"/>
  <c r="A205" i="6"/>
  <c r="C205" i="6"/>
  <c r="A206" i="6"/>
  <c r="Q206" i="6" s="1"/>
  <c r="C206" i="6"/>
  <c r="E206" i="6"/>
  <c r="F206" i="6"/>
  <c r="A207" i="6"/>
  <c r="Q207" i="6" s="1"/>
  <c r="I207" i="6"/>
  <c r="A208" i="6"/>
  <c r="Q208" i="6" s="1"/>
  <c r="C208" i="6"/>
  <c r="E208" i="6"/>
  <c r="F208" i="6"/>
  <c r="A209" i="6"/>
  <c r="Q209" i="6" s="1"/>
  <c r="A210" i="6"/>
  <c r="Q210" i="6" s="1"/>
  <c r="C210" i="6"/>
  <c r="I210" i="6"/>
  <c r="A211" i="6"/>
  <c r="Q211" i="6" s="1"/>
  <c r="I211" i="6"/>
  <c r="A212" i="6"/>
  <c r="Q212" i="6" s="1"/>
  <c r="C212" i="6"/>
  <c r="A213" i="6"/>
  <c r="Q213" i="6" s="1"/>
  <c r="H213" i="6"/>
  <c r="A214" i="6"/>
  <c r="Q214" i="6" s="1"/>
  <c r="C214" i="6"/>
  <c r="D214" i="6"/>
  <c r="E214" i="6"/>
  <c r="A215" i="6"/>
  <c r="Q215" i="6" s="1"/>
  <c r="A216" i="6"/>
  <c r="Q216" i="6" s="1"/>
  <c r="C216" i="6"/>
  <c r="E216" i="6"/>
  <c r="F216" i="6"/>
  <c r="I216" i="6"/>
  <c r="A217" i="6"/>
  <c r="Q217" i="6" s="1"/>
  <c r="I217" i="6"/>
  <c r="A218" i="6"/>
  <c r="Q218" i="6" s="1"/>
  <c r="C218" i="6"/>
  <c r="E218" i="6"/>
  <c r="F218" i="6"/>
  <c r="G218" i="6"/>
  <c r="A219" i="6"/>
  <c r="Q219" i="6" s="1"/>
  <c r="I219" i="6"/>
  <c r="A220" i="6"/>
  <c r="Q220" i="6" s="1"/>
  <c r="A221" i="6"/>
  <c r="Q221" i="6" s="1"/>
  <c r="A222" i="6"/>
  <c r="Q222" i="6" s="1"/>
  <c r="C222" i="6"/>
  <c r="I222" i="6"/>
  <c r="A223" i="6"/>
  <c r="Q223" i="6" s="1"/>
  <c r="A224" i="6"/>
  <c r="Q224" i="6" s="1"/>
  <c r="E224" i="6"/>
  <c r="F224" i="6"/>
  <c r="G224" i="6"/>
  <c r="A225" i="6"/>
  <c r="Q225" i="6" s="1"/>
  <c r="A226" i="6"/>
  <c r="Q226" i="6" s="1"/>
  <c r="X186" i="7"/>
  <c r="X187" i="7"/>
  <c r="X188" i="7"/>
  <c r="X191" i="7"/>
  <c r="X192" i="7"/>
  <c r="X194" i="7"/>
  <c r="X195" i="7"/>
  <c r="X196" i="7"/>
  <c r="X198" i="7"/>
  <c r="X200" i="7"/>
  <c r="X201" i="7"/>
  <c r="X202" i="7"/>
  <c r="X204" i="7"/>
  <c r="X205" i="7"/>
  <c r="X207" i="7"/>
  <c r="X210" i="7"/>
  <c r="X212" i="7"/>
  <c r="X217" i="7"/>
  <c r="X219" i="7"/>
  <c r="X222" i="7"/>
  <c r="X223" i="7"/>
  <c r="A220" i="7"/>
  <c r="G220" i="7" s="1"/>
  <c r="A219" i="7"/>
  <c r="F219" i="7" s="1"/>
  <c r="A218" i="7"/>
  <c r="A217" i="7"/>
  <c r="D217" i="7" s="1"/>
  <c r="A216" i="7"/>
  <c r="A215" i="7"/>
  <c r="A214" i="7"/>
  <c r="B214" i="7" s="1"/>
  <c r="A213" i="7"/>
  <c r="A212" i="7"/>
  <c r="G212" i="7" s="1"/>
  <c r="A211" i="7"/>
  <c r="B211" i="7" s="1"/>
  <c r="A210" i="7"/>
  <c r="C210" i="7" s="1"/>
  <c r="A209" i="7"/>
  <c r="E209" i="7" s="1"/>
  <c r="A208" i="7"/>
  <c r="E208" i="7" s="1"/>
  <c r="A207" i="7"/>
  <c r="B207" i="7" s="1"/>
  <c r="A206" i="7"/>
  <c r="A205" i="7"/>
  <c r="B205" i="7" s="1"/>
  <c r="A204" i="7"/>
  <c r="B204" i="7" s="1"/>
  <c r="A203" i="7"/>
  <c r="D203" i="7" s="1"/>
  <c r="A202" i="7"/>
  <c r="G202" i="7" s="1"/>
  <c r="A201" i="7"/>
  <c r="G201" i="7" s="1"/>
  <c r="A200" i="7"/>
  <c r="G200" i="7" s="1"/>
  <c r="A199" i="7"/>
  <c r="A198" i="7"/>
  <c r="A197" i="7"/>
  <c r="E197" i="7" s="1"/>
  <c r="A196" i="7"/>
  <c r="E196" i="7" s="1"/>
  <c r="A195" i="7"/>
  <c r="B195" i="7" s="1"/>
  <c r="A194" i="7"/>
  <c r="A193" i="7"/>
  <c r="A192" i="7"/>
  <c r="D192" i="7" s="1"/>
  <c r="A191" i="7"/>
  <c r="D191" i="7" s="1"/>
  <c r="A190" i="7"/>
  <c r="G190" i="7" s="1"/>
  <c r="A189" i="7"/>
  <c r="G189" i="7" s="1"/>
  <c r="A188" i="7"/>
  <c r="G188" i="7" s="1"/>
  <c r="A187" i="7"/>
  <c r="B187" i="7" s="1"/>
  <c r="A186" i="7"/>
  <c r="C186" i="7" s="1"/>
  <c r="A185" i="7"/>
  <c r="E185" i="7" s="1"/>
  <c r="A184" i="7"/>
  <c r="E184" i="7" s="1"/>
  <c r="A183" i="7"/>
  <c r="G183" i="7" s="1"/>
  <c r="A182" i="7"/>
  <c r="B182" i="7" s="1"/>
  <c r="A181" i="7"/>
  <c r="B181" i="7" s="1"/>
  <c r="A180" i="7"/>
  <c r="A179" i="7"/>
  <c r="D179" i="7" s="1"/>
  <c r="A178" i="7"/>
  <c r="G178" i="7" s="1"/>
  <c r="A177" i="7"/>
  <c r="G177" i="7" s="1"/>
  <c r="A176" i="7"/>
  <c r="G176" i="7" s="1"/>
  <c r="A175" i="7"/>
  <c r="B175" i="7" s="1"/>
  <c r="A174" i="7"/>
  <c r="A173" i="7"/>
  <c r="A172" i="7"/>
  <c r="E172" i="7" s="1"/>
  <c r="A171" i="7"/>
  <c r="G171" i="7" s="1"/>
  <c r="A170" i="7"/>
  <c r="B170" i="7" s="1"/>
  <c r="A169" i="7"/>
  <c r="B169" i="7" s="1"/>
  <c r="A168" i="7"/>
  <c r="A167" i="7"/>
  <c r="D167" i="7" s="1"/>
  <c r="A166" i="7"/>
  <c r="G166" i="7" s="1"/>
  <c r="A165" i="7"/>
  <c r="G165" i="7" s="1"/>
  <c r="A164" i="7"/>
  <c r="E164" i="7" s="1"/>
  <c r="A163" i="7"/>
  <c r="D163" i="7" s="1"/>
  <c r="A162" i="7"/>
  <c r="A161" i="7"/>
  <c r="G161" i="7" s="1"/>
  <c r="A160" i="7"/>
  <c r="G160" i="7" s="1"/>
  <c r="A159" i="7"/>
  <c r="G159" i="7" s="1"/>
  <c r="A158" i="7"/>
  <c r="E158" i="7" s="1"/>
  <c r="A157" i="7"/>
  <c r="B157" i="7" s="1"/>
  <c r="A156" i="7"/>
  <c r="F156" i="7" s="1"/>
  <c r="A155" i="7"/>
  <c r="D155" i="7" s="1"/>
  <c r="A154" i="7"/>
  <c r="C154" i="7" s="1"/>
  <c r="A153" i="7"/>
  <c r="B153" i="7" s="1"/>
  <c r="A152" i="7"/>
  <c r="G152" i="7" s="1"/>
  <c r="A151" i="7"/>
  <c r="B151" i="7" s="1"/>
  <c r="A150" i="7"/>
  <c r="D150" i="7" s="1"/>
  <c r="A149" i="7"/>
  <c r="G149" i="7" s="1"/>
  <c r="A148" i="7"/>
  <c r="G148" i="7" s="1"/>
  <c r="A147" i="7"/>
  <c r="E147" i="7" s="1"/>
  <c r="A146" i="7"/>
  <c r="A145" i="7"/>
  <c r="B145" i="7" s="1"/>
  <c r="A144" i="7"/>
  <c r="F144" i="7" s="1"/>
  <c r="A143" i="7"/>
  <c r="D143" i="7" s="1"/>
  <c r="A142" i="7"/>
  <c r="G142" i="7" s="1"/>
  <c r="A141" i="7"/>
  <c r="G141" i="7" s="1"/>
  <c r="A140" i="7"/>
  <c r="G140" i="7" s="1"/>
  <c r="A139" i="7"/>
  <c r="D139" i="7" s="1"/>
  <c r="A138" i="7"/>
  <c r="A137" i="7"/>
  <c r="G137" i="7" s="1"/>
  <c r="A136" i="7"/>
  <c r="G136" i="7" s="1"/>
  <c r="A135" i="7"/>
  <c r="G135" i="7" s="1"/>
  <c r="A134" i="7"/>
  <c r="E134" i="7" s="1"/>
  <c r="A133" i="7"/>
  <c r="B133" i="7" s="1"/>
  <c r="A132" i="7"/>
  <c r="F132" i="7" s="1"/>
  <c r="A131" i="7"/>
  <c r="D131" i="7" s="1"/>
  <c r="A130" i="7"/>
  <c r="C130" i="7" s="1"/>
  <c r="A129" i="7"/>
  <c r="B129" i="7" s="1"/>
  <c r="A128" i="7"/>
  <c r="C128" i="7" s="1"/>
  <c r="A127" i="7"/>
  <c r="B127" i="7" s="1"/>
  <c r="A126" i="7"/>
  <c r="D126" i="7" s="1"/>
  <c r="A125" i="7"/>
  <c r="G125" i="7" s="1"/>
  <c r="A124" i="7"/>
  <c r="C124" i="7" s="1"/>
  <c r="A123" i="7"/>
  <c r="E123" i="7" s="1"/>
  <c r="A122" i="7"/>
  <c r="A121" i="7"/>
  <c r="B121" i="7" s="1"/>
  <c r="A120" i="7"/>
  <c r="F120" i="7" s="1"/>
  <c r="A119" i="7"/>
  <c r="D119" i="7" s="1"/>
  <c r="A118" i="7"/>
  <c r="G118" i="7" s="1"/>
  <c r="A117" i="7"/>
  <c r="G117" i="7" s="1"/>
  <c r="A116" i="7"/>
  <c r="D116" i="7" s="1"/>
  <c r="A115" i="7"/>
  <c r="D115" i="7" s="1"/>
  <c r="A114" i="7"/>
  <c r="A113" i="7"/>
  <c r="G113" i="7" s="1"/>
  <c r="A112" i="7"/>
  <c r="F112" i="7" s="1"/>
  <c r="A111" i="7"/>
  <c r="G111" i="7" s="1"/>
  <c r="A110" i="7"/>
  <c r="E110" i="7" s="1"/>
  <c r="A109" i="7"/>
  <c r="B109" i="7" s="1"/>
  <c r="A108" i="7"/>
  <c r="F108" i="7" s="1"/>
  <c r="A107" i="7"/>
  <c r="D107" i="7" s="1"/>
  <c r="A106" i="7"/>
  <c r="C106" i="7" s="1"/>
  <c r="A105" i="7"/>
  <c r="B105" i="7" s="1"/>
  <c r="A104" i="7"/>
  <c r="G104" i="7" s="1"/>
  <c r="A103" i="7"/>
  <c r="B103" i="7" s="1"/>
  <c r="A102" i="7"/>
  <c r="D102" i="7" s="1"/>
  <c r="A101" i="7"/>
  <c r="G101" i="7" s="1"/>
  <c r="A100" i="7"/>
  <c r="F100" i="7" s="1"/>
  <c r="A99" i="7"/>
  <c r="D99" i="7" s="1"/>
  <c r="A98" i="7"/>
  <c r="A97" i="7"/>
  <c r="B97" i="7" s="1"/>
  <c r="A96" i="7"/>
  <c r="F96" i="7" s="1"/>
  <c r="A95" i="7"/>
  <c r="G95" i="7" s="1"/>
  <c r="A94" i="7"/>
  <c r="G94" i="7" s="1"/>
  <c r="A93" i="7"/>
  <c r="G93" i="7" s="1"/>
  <c r="A92" i="7"/>
  <c r="G92" i="7" s="1"/>
  <c r="A91" i="7"/>
  <c r="G91" i="7" s="1"/>
  <c r="A90" i="7"/>
  <c r="E90" i="7" s="1"/>
  <c r="A89" i="7"/>
  <c r="C89" i="7" s="1"/>
  <c r="A88" i="7"/>
  <c r="B88" i="7" s="1"/>
  <c r="A87" i="7"/>
  <c r="C87" i="7" s="1"/>
  <c r="A86" i="7"/>
  <c r="C86" i="7" s="1"/>
  <c r="A85" i="7"/>
  <c r="C85" i="7" s="1"/>
  <c r="A84" i="7"/>
  <c r="F84" i="7" s="1"/>
  <c r="A83" i="7"/>
  <c r="C83" i="7" s="1"/>
  <c r="A82" i="7"/>
  <c r="G82" i="7" s="1"/>
  <c r="A81" i="7"/>
  <c r="E81" i="7" s="1"/>
  <c r="A80" i="7"/>
  <c r="G80" i="7" s="1"/>
  <c r="A79" i="7"/>
  <c r="G79" i="7" s="1"/>
  <c r="A78" i="7"/>
  <c r="B78" i="7" s="1"/>
  <c r="A77" i="7"/>
  <c r="G77" i="7" s="1"/>
  <c r="A76" i="7"/>
  <c r="D76" i="7" s="1"/>
  <c r="A75" i="7"/>
  <c r="G75" i="7" s="1"/>
  <c r="A74" i="7"/>
  <c r="F74" i="7" s="1"/>
  <c r="A73" i="7"/>
  <c r="E73" i="7" s="1"/>
  <c r="A72" i="7"/>
  <c r="C72" i="7" s="1"/>
  <c r="A71" i="7"/>
  <c r="C71" i="7" s="1"/>
  <c r="A70" i="7"/>
  <c r="D70" i="7" s="1"/>
  <c r="A69" i="7"/>
  <c r="E69" i="7" s="1"/>
  <c r="A68" i="7"/>
  <c r="F68" i="7" s="1"/>
  <c r="A67" i="7"/>
  <c r="G67" i="7" s="1"/>
  <c r="A66" i="7"/>
  <c r="B66" i="7" s="1"/>
  <c r="A65" i="7"/>
  <c r="D65" i="7" s="1"/>
  <c r="A64" i="7"/>
  <c r="D64" i="7" s="1"/>
  <c r="A63" i="7"/>
  <c r="E63" i="7" s="1"/>
  <c r="A62" i="7"/>
  <c r="F62" i="7" s="1"/>
  <c r="A61" i="7"/>
  <c r="F61" i="7" s="1"/>
  <c r="A60" i="7"/>
  <c r="G60" i="7" s="1"/>
  <c r="A59" i="7"/>
  <c r="C59" i="7" s="1"/>
  <c r="A58" i="7"/>
  <c r="G58" i="7" s="1"/>
  <c r="A57" i="7"/>
  <c r="E57" i="7" s="1"/>
  <c r="A56" i="7"/>
  <c r="G56" i="7" s="1"/>
  <c r="A55" i="7"/>
  <c r="G55" i="7" s="1"/>
  <c r="A54" i="7"/>
  <c r="B54" i="7" s="1"/>
  <c r="A53" i="7"/>
  <c r="G53" i="7" s="1"/>
  <c r="A52" i="7"/>
  <c r="D52" i="7" s="1"/>
  <c r="A51" i="7"/>
  <c r="G51" i="7" s="1"/>
  <c r="A50" i="7"/>
  <c r="B50" i="7" s="1"/>
  <c r="A49" i="7"/>
  <c r="G49" i="7" s="1"/>
  <c r="A48" i="7"/>
  <c r="D48" i="7" s="1"/>
  <c r="A47" i="7"/>
  <c r="G47" i="7" s="1"/>
  <c r="A46" i="7"/>
  <c r="G46" i="7" s="1"/>
  <c r="A45" i="7"/>
  <c r="E45" i="7" s="1"/>
  <c r="A44" i="7"/>
  <c r="G44" i="7" s="1"/>
  <c r="A43" i="7"/>
  <c r="C43" i="7" s="1"/>
  <c r="A42" i="7"/>
  <c r="G42" i="7" s="1"/>
  <c r="A41" i="7"/>
  <c r="F41" i="7" s="1"/>
  <c r="A40" i="7"/>
  <c r="D40" i="7" s="1"/>
  <c r="A39" i="7"/>
  <c r="G39" i="7" s="1"/>
  <c r="A38" i="7"/>
  <c r="B38" i="7" s="1"/>
  <c r="A37" i="7"/>
  <c r="F37" i="7" s="1"/>
  <c r="A36" i="7"/>
  <c r="D36" i="7" s="1"/>
  <c r="A35" i="7"/>
  <c r="B35" i="7" s="1"/>
  <c r="A34" i="7"/>
  <c r="G34" i="7" s="1"/>
  <c r="A33" i="7"/>
  <c r="E33" i="7" s="1"/>
  <c r="A32" i="7"/>
  <c r="G32" i="7" s="1"/>
  <c r="A31" i="7"/>
  <c r="C31" i="7" s="1"/>
  <c r="A30" i="7"/>
  <c r="G30" i="7" s="1"/>
  <c r="A29" i="7"/>
  <c r="F29" i="7" s="1"/>
  <c r="A28" i="7"/>
  <c r="D28" i="7" s="1"/>
  <c r="A27" i="7"/>
  <c r="G27" i="7" s="1"/>
  <c r="A26" i="7"/>
  <c r="B26" i="7" s="1"/>
  <c r="A25" i="7"/>
  <c r="F25" i="7" s="1"/>
  <c r="A24" i="7"/>
  <c r="D24" i="7" s="1"/>
  <c r="A23" i="7"/>
  <c r="G23" i="7" s="1"/>
  <c r="A22" i="7"/>
  <c r="F22" i="7" s="1"/>
  <c r="A21" i="7"/>
  <c r="E21" i="7" s="1"/>
  <c r="A20" i="7"/>
  <c r="G20" i="7" s="1"/>
  <c r="A19" i="7"/>
  <c r="C19" i="7" s="1"/>
  <c r="A18" i="7"/>
  <c r="F18" i="7" s="1"/>
  <c r="A17" i="7"/>
  <c r="E17" i="7" s="1"/>
  <c r="A16" i="7"/>
  <c r="G16" i="7" s="1"/>
  <c r="A15" i="7"/>
  <c r="G15" i="7" s="1"/>
  <c r="A14" i="7"/>
  <c r="B14" i="7" s="1"/>
  <c r="A13" i="7"/>
  <c r="G13" i="7" s="1"/>
  <c r="A12" i="7"/>
  <c r="D12" i="7" s="1"/>
  <c r="A11" i="7"/>
  <c r="D11" i="7" s="1"/>
  <c r="A10" i="7"/>
  <c r="F10" i="7" s="1"/>
  <c r="A9" i="7"/>
  <c r="E9" i="7" s="1"/>
  <c r="A8" i="7"/>
  <c r="G8" i="7" s="1"/>
  <c r="A7" i="7"/>
  <c r="C7" i="7" s="1"/>
  <c r="A6" i="7"/>
  <c r="C6" i="7" s="1"/>
  <c r="A5" i="7"/>
  <c r="E5" i="7" s="1"/>
  <c r="A4" i="7"/>
  <c r="G4" i="7" s="1"/>
  <c r="A3" i="7"/>
  <c r="G3" i="7" s="1"/>
  <c r="G2" i="8"/>
  <c r="V10" i="6"/>
  <c r="V11" i="6"/>
  <c r="V12" i="6"/>
  <c r="V22" i="6"/>
  <c r="V23" i="6"/>
  <c r="V24" i="6"/>
  <c r="V34" i="6"/>
  <c r="V35" i="6"/>
  <c r="V36" i="6"/>
  <c r="V47" i="6"/>
  <c r="V48" i="6"/>
  <c r="V58" i="6"/>
  <c r="V59" i="6"/>
  <c r="V60" i="6"/>
  <c r="V61" i="6"/>
  <c r="V70" i="6"/>
  <c r="W9" i="18"/>
  <c r="W8" i="18"/>
  <c r="W7" i="18"/>
  <c r="R16" i="61"/>
  <c r="C16" i="61"/>
  <c r="H16" i="61"/>
  <c r="I16" i="61"/>
  <c r="G16" i="61"/>
  <c r="F16" i="61"/>
  <c r="D16" i="61"/>
  <c r="E16" i="61"/>
  <c r="E56" i="52"/>
  <c r="E57" i="52" s="1"/>
  <c r="F56" i="52"/>
  <c r="J56" i="52"/>
  <c r="F57" i="52"/>
  <c r="J57" i="52"/>
  <c r="U147" i="85" a="1"/>
  <c r="U147" i="85" s="1"/>
  <c r="O147" i="85"/>
  <c r="N147" i="85"/>
  <c r="M147" i="85"/>
  <c r="L147" i="85"/>
  <c r="U146" i="85" a="1"/>
  <c r="U146" i="85" s="1"/>
  <c r="O146" i="85"/>
  <c r="N146" i="85"/>
  <c r="M146" i="85"/>
  <c r="L146" i="85"/>
  <c r="U145" i="85" a="1"/>
  <c r="U145" i="85" s="1"/>
  <c r="T145" i="85" s="1"/>
  <c r="O145" i="85"/>
  <c r="N145" i="85"/>
  <c r="M145" i="85"/>
  <c r="L145" i="85"/>
  <c r="U144" i="85" a="1"/>
  <c r="U144" i="85" s="1"/>
  <c r="O144" i="85"/>
  <c r="N144" i="85"/>
  <c r="M144" i="85"/>
  <c r="L144" i="85"/>
  <c r="U143" i="85" a="1"/>
  <c r="U143" i="85" s="1"/>
  <c r="O143" i="85"/>
  <c r="N143" i="85"/>
  <c r="M143" i="85"/>
  <c r="L143" i="85"/>
  <c r="U142" i="85" a="1"/>
  <c r="U142" i="85" s="1"/>
  <c r="T142" i="85" s="1"/>
  <c r="O142" i="85"/>
  <c r="N142" i="85"/>
  <c r="M142" i="85"/>
  <c r="L142" i="85"/>
  <c r="U141" i="85" a="1"/>
  <c r="U141" i="85" s="1"/>
  <c r="O141" i="85"/>
  <c r="N141" i="85"/>
  <c r="M141" i="85"/>
  <c r="L141" i="85"/>
  <c r="U140" i="85" a="1"/>
  <c r="U140" i="85" s="1"/>
  <c r="O140" i="85"/>
  <c r="N140" i="85"/>
  <c r="M140" i="85"/>
  <c r="L140" i="85"/>
  <c r="U139" i="85" a="1"/>
  <c r="U139" i="85" s="1"/>
  <c r="T139" i="85" s="1"/>
  <c r="O139" i="85"/>
  <c r="N139" i="85"/>
  <c r="M139" i="85"/>
  <c r="L139" i="85"/>
  <c r="U138" i="85" a="1"/>
  <c r="U138" i="85" s="1"/>
  <c r="O138" i="85"/>
  <c r="N138" i="85"/>
  <c r="M138" i="85"/>
  <c r="L138" i="85"/>
  <c r="U137" i="85" a="1"/>
  <c r="U137" i="85" s="1"/>
  <c r="O137" i="85"/>
  <c r="N137" i="85"/>
  <c r="M137" i="85"/>
  <c r="L137" i="85"/>
  <c r="U136" i="85" a="1"/>
  <c r="U136" i="85" s="1"/>
  <c r="T136" i="85" s="1"/>
  <c r="O136" i="85"/>
  <c r="N136" i="85"/>
  <c r="M136" i="85"/>
  <c r="L136" i="85"/>
  <c r="U135" i="85" a="1"/>
  <c r="U135" i="85" s="1"/>
  <c r="O135" i="85"/>
  <c r="N135" i="85"/>
  <c r="M135" i="85"/>
  <c r="L135" i="85"/>
  <c r="U134" i="85" a="1"/>
  <c r="U134" i="85" s="1"/>
  <c r="O134" i="85"/>
  <c r="N134" i="85"/>
  <c r="M134" i="85"/>
  <c r="L134" i="85"/>
  <c r="U133" i="85" a="1"/>
  <c r="U133" i="85" s="1"/>
  <c r="T133" i="85" s="1"/>
  <c r="O133" i="85"/>
  <c r="N133" i="85"/>
  <c r="M133" i="85"/>
  <c r="L133" i="85"/>
  <c r="U132" i="85" a="1"/>
  <c r="U132" i="85" s="1"/>
  <c r="O132" i="85"/>
  <c r="N132" i="85"/>
  <c r="M132" i="85"/>
  <c r="L132" i="85"/>
  <c r="U131" i="85" a="1"/>
  <c r="U131" i="85" s="1"/>
  <c r="O131" i="85"/>
  <c r="N131" i="85"/>
  <c r="M131" i="85"/>
  <c r="L131" i="85"/>
  <c r="U130" i="85" a="1"/>
  <c r="U130" i="85" s="1"/>
  <c r="T130" i="85" s="1"/>
  <c r="O130" i="85"/>
  <c r="N130" i="85"/>
  <c r="M130" i="85"/>
  <c r="L130" i="85"/>
  <c r="U129" i="85" a="1"/>
  <c r="U129" i="85" s="1"/>
  <c r="O129" i="85"/>
  <c r="N129" i="85"/>
  <c r="M129" i="85"/>
  <c r="L129" i="85"/>
  <c r="U128" i="85" a="1"/>
  <c r="U128" i="85" s="1"/>
  <c r="O128" i="85"/>
  <c r="N128" i="85"/>
  <c r="M128" i="85"/>
  <c r="L128" i="85"/>
  <c r="U127" i="85" a="1"/>
  <c r="U127" i="85" s="1"/>
  <c r="T127" i="85" s="1"/>
  <c r="O127" i="85"/>
  <c r="N127" i="85"/>
  <c r="M127" i="85"/>
  <c r="L127" i="85"/>
  <c r="U126" i="85" a="1"/>
  <c r="U126" i="85" s="1"/>
  <c r="O126" i="85"/>
  <c r="N126" i="85"/>
  <c r="M126" i="85"/>
  <c r="L126" i="85"/>
  <c r="U125" i="85" a="1"/>
  <c r="U125" i="85" s="1"/>
  <c r="O125" i="85"/>
  <c r="N125" i="85"/>
  <c r="M125" i="85"/>
  <c r="L125" i="85"/>
  <c r="U124" i="85" a="1"/>
  <c r="U124" i="85" s="1"/>
  <c r="T124" i="85" s="1"/>
  <c r="O124" i="85"/>
  <c r="N124" i="85"/>
  <c r="M124" i="85"/>
  <c r="L124" i="85"/>
  <c r="U123" i="85" a="1"/>
  <c r="U123" i="85" s="1"/>
  <c r="O123" i="85"/>
  <c r="N123" i="85"/>
  <c r="M123" i="85"/>
  <c r="L123" i="85"/>
  <c r="U122" i="85" a="1"/>
  <c r="U122" i="85" s="1"/>
  <c r="O122" i="85"/>
  <c r="N122" i="85"/>
  <c r="M122" i="85"/>
  <c r="L122" i="85"/>
  <c r="U121" i="85" a="1"/>
  <c r="U121" i="85" s="1"/>
  <c r="T121" i="85" s="1"/>
  <c r="O121" i="85"/>
  <c r="N121" i="85"/>
  <c r="M121" i="85"/>
  <c r="L121" i="85"/>
  <c r="U120" i="85" a="1"/>
  <c r="U120" i="85" s="1"/>
  <c r="O120" i="85"/>
  <c r="N120" i="85"/>
  <c r="M120" i="85"/>
  <c r="L120" i="85"/>
  <c r="U119" i="85" a="1"/>
  <c r="U119" i="85" s="1"/>
  <c r="O119" i="85"/>
  <c r="N119" i="85"/>
  <c r="M119" i="85"/>
  <c r="L119" i="85"/>
  <c r="U118" i="85" a="1"/>
  <c r="U118" i="85" s="1"/>
  <c r="T118" i="85" s="1"/>
  <c r="O118" i="85"/>
  <c r="N118" i="85"/>
  <c r="M118" i="85"/>
  <c r="L118" i="85"/>
  <c r="U117" i="85" a="1"/>
  <c r="U117" i="85" s="1"/>
  <c r="O117" i="85"/>
  <c r="N117" i="85"/>
  <c r="M117" i="85"/>
  <c r="L117" i="85"/>
  <c r="U116" i="85" a="1"/>
  <c r="U116" i="85" s="1"/>
  <c r="O116" i="85"/>
  <c r="N116" i="85"/>
  <c r="M116" i="85"/>
  <c r="L116" i="85"/>
  <c r="U115" i="85" a="1"/>
  <c r="U115" i="85" s="1"/>
  <c r="T115" i="85" s="1"/>
  <c r="O115" i="85"/>
  <c r="N115" i="85"/>
  <c r="M115" i="85"/>
  <c r="L115" i="85"/>
  <c r="U114" i="85" a="1"/>
  <c r="U114" i="85" s="1"/>
  <c r="O114" i="85"/>
  <c r="N114" i="85"/>
  <c r="M114" i="85"/>
  <c r="L114" i="85"/>
  <c r="U113" i="85" a="1"/>
  <c r="U113" i="85" s="1"/>
  <c r="O113" i="85"/>
  <c r="N113" i="85"/>
  <c r="M113" i="85"/>
  <c r="L113" i="85"/>
  <c r="U112" i="85" a="1"/>
  <c r="U112" i="85" s="1"/>
  <c r="T112" i="85" s="1"/>
  <c r="O112" i="85"/>
  <c r="N112" i="85"/>
  <c r="M112" i="85"/>
  <c r="L112" i="85"/>
  <c r="U111" i="85" a="1"/>
  <c r="U111" i="85" s="1"/>
  <c r="O111" i="85"/>
  <c r="N111" i="85"/>
  <c r="M111" i="85"/>
  <c r="L111" i="85"/>
  <c r="U110" i="85" a="1"/>
  <c r="U110" i="85" s="1"/>
  <c r="O110" i="85"/>
  <c r="N110" i="85"/>
  <c r="M110" i="85"/>
  <c r="L110" i="85"/>
  <c r="U109" i="85" a="1"/>
  <c r="U109" i="85" s="1"/>
  <c r="T109" i="85" s="1"/>
  <c r="O109" i="85"/>
  <c r="N109" i="85"/>
  <c r="M109" i="85"/>
  <c r="L109" i="85"/>
  <c r="U108" i="85" a="1"/>
  <c r="U108" i="85" s="1"/>
  <c r="O108" i="85"/>
  <c r="N108" i="85"/>
  <c r="M108" i="85"/>
  <c r="L108" i="85"/>
  <c r="U107" i="85" a="1"/>
  <c r="U107" i="85" s="1"/>
  <c r="O107" i="85"/>
  <c r="N107" i="85"/>
  <c r="M107" i="85"/>
  <c r="L107" i="85"/>
  <c r="U106" i="85" a="1"/>
  <c r="U106" i="85" s="1"/>
  <c r="T106" i="85" s="1"/>
  <c r="O106" i="85"/>
  <c r="N106" i="85"/>
  <c r="M106" i="85"/>
  <c r="L106" i="85"/>
  <c r="U105" i="85" a="1"/>
  <c r="U105" i="85" s="1"/>
  <c r="O105" i="85"/>
  <c r="N105" i="85"/>
  <c r="M105" i="85"/>
  <c r="L105" i="85"/>
  <c r="U104" i="85" a="1"/>
  <c r="U104" i="85" s="1"/>
  <c r="O104" i="85"/>
  <c r="N104" i="85"/>
  <c r="M104" i="85"/>
  <c r="L104" i="85"/>
  <c r="U103" i="85" a="1"/>
  <c r="U103" i="85" s="1"/>
  <c r="T103" i="85" s="1"/>
  <c r="O103" i="85"/>
  <c r="N103" i="85"/>
  <c r="M103" i="85"/>
  <c r="L103" i="85"/>
  <c r="U102" i="85" a="1"/>
  <c r="U102" i="85" s="1"/>
  <c r="O102" i="85"/>
  <c r="N102" i="85"/>
  <c r="M102" i="85"/>
  <c r="L102" i="85"/>
  <c r="U101" i="85" a="1"/>
  <c r="U101" i="85" s="1"/>
  <c r="O101" i="85"/>
  <c r="N101" i="85"/>
  <c r="M101" i="85"/>
  <c r="L101" i="85"/>
  <c r="AF100" i="85"/>
  <c r="U100" i="85" a="1"/>
  <c r="U100" i="85" s="1"/>
  <c r="T100" i="85" s="1"/>
  <c r="O100" i="85"/>
  <c r="N100" i="85"/>
  <c r="M100" i="85"/>
  <c r="L100" i="85"/>
  <c r="AF99" i="85"/>
  <c r="U99" i="85" a="1"/>
  <c r="U99" i="85" s="1"/>
  <c r="O99" i="85"/>
  <c r="N99" i="85"/>
  <c r="M99" i="85"/>
  <c r="L99" i="85"/>
  <c r="AF98" i="85"/>
  <c r="U98" i="85" a="1"/>
  <c r="U98" i="85" s="1"/>
  <c r="O98" i="85"/>
  <c r="N98" i="85"/>
  <c r="M98" i="85"/>
  <c r="L98" i="85"/>
  <c r="AF97" i="85"/>
  <c r="U97" i="85" a="1"/>
  <c r="U97" i="85" s="1"/>
  <c r="O97" i="85"/>
  <c r="N97" i="85"/>
  <c r="M97" i="85"/>
  <c r="L97" i="85"/>
  <c r="AF96" i="85"/>
  <c r="U96" i="85" a="1"/>
  <c r="U96" i="85" s="1"/>
  <c r="T96" i="85" s="1"/>
  <c r="O96" i="85"/>
  <c r="N96" i="85"/>
  <c r="M96" i="85"/>
  <c r="L96" i="85"/>
  <c r="AF95" i="85"/>
  <c r="U95" i="85" a="1"/>
  <c r="U95" i="85" s="1"/>
  <c r="O95" i="85"/>
  <c r="N95" i="85"/>
  <c r="M95" i="85"/>
  <c r="L95" i="85"/>
  <c r="AF94" i="85"/>
  <c r="U94" i="85" a="1"/>
  <c r="U94" i="85" s="1"/>
  <c r="O94" i="85"/>
  <c r="N94" i="85"/>
  <c r="M94" i="85"/>
  <c r="L94" i="85"/>
  <c r="AF93" i="85"/>
  <c r="U93" i="85" a="1"/>
  <c r="U93" i="85" s="1"/>
  <c r="O93" i="85"/>
  <c r="N93" i="85"/>
  <c r="M93" i="85"/>
  <c r="L93" i="85"/>
  <c r="AF92" i="85"/>
  <c r="U92" i="85" a="1"/>
  <c r="U92" i="85" s="1"/>
  <c r="T92" i="85" s="1"/>
  <c r="O92" i="85"/>
  <c r="N92" i="85"/>
  <c r="M92" i="85"/>
  <c r="L92" i="85"/>
  <c r="AF91" i="85"/>
  <c r="U91" i="85" a="1"/>
  <c r="U91" i="85" s="1"/>
  <c r="O91" i="85"/>
  <c r="N91" i="85"/>
  <c r="M91" i="85"/>
  <c r="L91" i="85"/>
  <c r="AF90" i="85"/>
  <c r="U90" i="85" a="1"/>
  <c r="U90" i="85" s="1"/>
  <c r="O90" i="85"/>
  <c r="N90" i="85"/>
  <c r="M90" i="85"/>
  <c r="L90" i="85"/>
  <c r="AF89" i="85"/>
  <c r="U89" i="85" a="1"/>
  <c r="U89" i="85" s="1"/>
  <c r="O89" i="85"/>
  <c r="N89" i="85"/>
  <c r="M89" i="85"/>
  <c r="L89" i="85"/>
  <c r="AF88" i="85"/>
  <c r="U88" i="85" a="1"/>
  <c r="U88" i="85" s="1"/>
  <c r="T88" i="85" s="1"/>
  <c r="O88" i="85"/>
  <c r="N88" i="85"/>
  <c r="M88" i="85"/>
  <c r="L88" i="85"/>
  <c r="AF87" i="85"/>
  <c r="U87" i="85" a="1"/>
  <c r="U87" i="85" s="1"/>
  <c r="O87" i="85"/>
  <c r="N87" i="85"/>
  <c r="M87" i="85"/>
  <c r="L87" i="85"/>
  <c r="AF86" i="85"/>
  <c r="U86" i="85" a="1"/>
  <c r="U86" i="85" s="1"/>
  <c r="O86" i="85"/>
  <c r="N86" i="85"/>
  <c r="M86" i="85"/>
  <c r="L86" i="85"/>
  <c r="AF85" i="85"/>
  <c r="U85" i="85" a="1"/>
  <c r="U85" i="85" s="1"/>
  <c r="O85" i="85"/>
  <c r="N85" i="85"/>
  <c r="M85" i="85"/>
  <c r="L85" i="85"/>
  <c r="AF84" i="85"/>
  <c r="U84" i="85" a="1"/>
  <c r="U84" i="85" s="1"/>
  <c r="T84" i="85" s="1"/>
  <c r="O84" i="85"/>
  <c r="N84" i="85"/>
  <c r="M84" i="85"/>
  <c r="L84" i="85"/>
  <c r="AF83" i="85"/>
  <c r="U83" i="85" a="1"/>
  <c r="U83" i="85" s="1"/>
  <c r="O83" i="85"/>
  <c r="N83" i="85"/>
  <c r="M83" i="85"/>
  <c r="L83" i="85"/>
  <c r="AF82" i="85"/>
  <c r="U82" i="85" a="1"/>
  <c r="U82" i="85" s="1"/>
  <c r="O82" i="85"/>
  <c r="N82" i="85"/>
  <c r="M82" i="85"/>
  <c r="L82" i="85"/>
  <c r="AF81" i="85"/>
  <c r="U81" i="85" a="1"/>
  <c r="U81" i="85" s="1"/>
  <c r="O81" i="85"/>
  <c r="N81" i="85"/>
  <c r="M81" i="85"/>
  <c r="L81" i="85"/>
  <c r="AF80" i="85"/>
  <c r="U80" i="85" a="1"/>
  <c r="U80" i="85" s="1"/>
  <c r="T80" i="85" s="1"/>
  <c r="O80" i="85"/>
  <c r="N80" i="85"/>
  <c r="M80" i="85"/>
  <c r="L80" i="85"/>
  <c r="AF79" i="85"/>
  <c r="U79" i="85" a="1"/>
  <c r="U79" i="85" s="1"/>
  <c r="O79" i="85"/>
  <c r="N79" i="85"/>
  <c r="M79" i="85"/>
  <c r="L79" i="85"/>
  <c r="AF78" i="85"/>
  <c r="U78" i="85" a="1"/>
  <c r="U78" i="85" s="1"/>
  <c r="O78" i="85"/>
  <c r="N78" i="85"/>
  <c r="M78" i="85"/>
  <c r="L78" i="85"/>
  <c r="AF77" i="85"/>
  <c r="U77" i="85" a="1"/>
  <c r="U77" i="85" s="1"/>
  <c r="O77" i="85"/>
  <c r="N77" i="85"/>
  <c r="M77" i="85"/>
  <c r="L77" i="85"/>
  <c r="AF76" i="85"/>
  <c r="U76" i="85" a="1"/>
  <c r="U76" i="85" s="1"/>
  <c r="T76" i="85" s="1"/>
  <c r="O76" i="85"/>
  <c r="N76" i="85"/>
  <c r="M76" i="85"/>
  <c r="L76" i="85"/>
  <c r="AF75" i="85"/>
  <c r="U75" i="85" a="1"/>
  <c r="U75" i="85" s="1"/>
  <c r="O75" i="85"/>
  <c r="N75" i="85"/>
  <c r="M75" i="85"/>
  <c r="L75" i="85"/>
  <c r="AF74" i="85"/>
  <c r="U74" i="85" a="1"/>
  <c r="U74" i="85" s="1"/>
  <c r="O74" i="85"/>
  <c r="N74" i="85"/>
  <c r="M74" i="85"/>
  <c r="L74" i="85"/>
  <c r="AF73" i="85"/>
  <c r="U73" i="85" a="1"/>
  <c r="U73" i="85" s="1"/>
  <c r="O73" i="85"/>
  <c r="N73" i="85"/>
  <c r="M73" i="85"/>
  <c r="L73" i="85"/>
  <c r="AF72" i="85"/>
  <c r="U72" i="85" a="1"/>
  <c r="U72" i="85" s="1"/>
  <c r="T72" i="85" s="1"/>
  <c r="O72" i="85"/>
  <c r="N72" i="85"/>
  <c r="M72" i="85"/>
  <c r="L72" i="85"/>
  <c r="AF71" i="85"/>
  <c r="O71" i="85"/>
  <c r="N71" i="85"/>
  <c r="M71" i="85"/>
  <c r="L71" i="85"/>
  <c r="AF70" i="85"/>
  <c r="U70" i="85" a="1"/>
  <c r="U70" i="85" s="1"/>
  <c r="O70" i="85"/>
  <c r="N70" i="85"/>
  <c r="M70" i="85"/>
  <c r="L70" i="85"/>
  <c r="AF69" i="85"/>
  <c r="U69" i="85" a="1"/>
  <c r="U69" i="85" s="1"/>
  <c r="T69" i="85" s="1"/>
  <c r="O69" i="85"/>
  <c r="N69" i="85"/>
  <c r="M69" i="85"/>
  <c r="L69" i="85"/>
  <c r="AF68" i="85"/>
  <c r="U68" i="85" a="1"/>
  <c r="U68" i="85" s="1"/>
  <c r="O68" i="85"/>
  <c r="N68" i="85"/>
  <c r="M68" i="85"/>
  <c r="L68" i="85"/>
  <c r="AF67" i="85"/>
  <c r="U67" i="85" a="1"/>
  <c r="U67" i="85" s="1"/>
  <c r="O67" i="85"/>
  <c r="N67" i="85"/>
  <c r="M67" i="85"/>
  <c r="L67" i="85"/>
  <c r="AF66" i="85"/>
  <c r="U66" i="85" a="1"/>
  <c r="U66" i="85" s="1"/>
  <c r="O66" i="85"/>
  <c r="N66" i="85"/>
  <c r="M66" i="85"/>
  <c r="L66" i="85"/>
  <c r="AF65" i="85"/>
  <c r="U65" i="85" a="1"/>
  <c r="U65" i="85" s="1"/>
  <c r="O65" i="85"/>
  <c r="N65" i="85"/>
  <c r="M65" i="85"/>
  <c r="L65" i="85"/>
  <c r="AF64" i="85"/>
  <c r="U64" i="85" a="1"/>
  <c r="U64" i="85" s="1"/>
  <c r="O64" i="85"/>
  <c r="N64" i="85"/>
  <c r="M64" i="85"/>
  <c r="L64" i="85"/>
  <c r="AF63" i="85"/>
  <c r="U63" i="85" a="1"/>
  <c r="U63" i="85" s="1"/>
  <c r="O63" i="85"/>
  <c r="N63" i="85"/>
  <c r="M63" i="85"/>
  <c r="L63" i="85"/>
  <c r="AF62" i="85"/>
  <c r="U62" i="85" a="1"/>
  <c r="U62" i="85" s="1"/>
  <c r="O62" i="85"/>
  <c r="N62" i="85"/>
  <c r="M62" i="85"/>
  <c r="L62" i="85"/>
  <c r="AF61" i="85"/>
  <c r="U61" i="85" a="1"/>
  <c r="U61" i="85" s="1"/>
  <c r="O61" i="85"/>
  <c r="N61" i="85"/>
  <c r="M61" i="85"/>
  <c r="L61" i="85"/>
  <c r="AF60" i="85"/>
  <c r="U60" i="85" a="1"/>
  <c r="U60" i="85" s="1"/>
  <c r="O60" i="85"/>
  <c r="N60" i="85"/>
  <c r="M60" i="85"/>
  <c r="L60" i="85"/>
  <c r="AF59" i="85"/>
  <c r="U59" i="85" a="1"/>
  <c r="U59" i="85" s="1"/>
  <c r="O59" i="85"/>
  <c r="N59" i="85"/>
  <c r="M59" i="85"/>
  <c r="L59" i="85"/>
  <c r="AF58" i="85"/>
  <c r="U58" i="85" a="1"/>
  <c r="U58" i="85" s="1"/>
  <c r="O58" i="85"/>
  <c r="N58" i="85"/>
  <c r="M58" i="85"/>
  <c r="L58" i="85"/>
  <c r="AF57" i="85"/>
  <c r="U57" i="85" a="1"/>
  <c r="U57" i="85" s="1"/>
  <c r="O57" i="85"/>
  <c r="N57" i="85"/>
  <c r="M57" i="85"/>
  <c r="L57" i="85"/>
  <c r="AF56" i="85"/>
  <c r="U56" i="85" a="1"/>
  <c r="U56" i="85" s="1"/>
  <c r="O56" i="85"/>
  <c r="N56" i="85"/>
  <c r="M56" i="85"/>
  <c r="L56" i="85"/>
  <c r="AF55" i="85"/>
  <c r="U55" i="85" a="1"/>
  <c r="U55" i="85" s="1"/>
  <c r="O55" i="85"/>
  <c r="N55" i="85"/>
  <c r="M55" i="85"/>
  <c r="L55" i="85"/>
  <c r="AF54" i="85"/>
  <c r="U54" i="85" a="1"/>
  <c r="U54" i="85" s="1"/>
  <c r="O54" i="85"/>
  <c r="N54" i="85"/>
  <c r="M54" i="85"/>
  <c r="L54" i="85"/>
  <c r="AF53" i="85"/>
  <c r="U53" i="85" a="1"/>
  <c r="U53" i="85" s="1"/>
  <c r="O53" i="85"/>
  <c r="N53" i="85"/>
  <c r="M53" i="85"/>
  <c r="L53" i="85"/>
  <c r="AF52" i="85"/>
  <c r="U52" i="85" a="1"/>
  <c r="U52" i="85" s="1"/>
  <c r="O52" i="85"/>
  <c r="N52" i="85"/>
  <c r="M52" i="85"/>
  <c r="L52" i="85"/>
  <c r="AF51" i="85"/>
  <c r="U12" i="85" a="1"/>
  <c r="U12" i="85" s="1"/>
  <c r="O12" i="85"/>
  <c r="N12" i="85"/>
  <c r="M12" i="85"/>
  <c r="L12" i="85"/>
  <c r="AF50" i="85"/>
  <c r="U51" i="85" a="1"/>
  <c r="U51" i="85" s="1"/>
  <c r="O51" i="85"/>
  <c r="N51" i="85"/>
  <c r="M51" i="85"/>
  <c r="L51" i="85"/>
  <c r="AF49" i="85"/>
  <c r="U50" i="85" a="1"/>
  <c r="U50" i="85" s="1"/>
  <c r="O50" i="85"/>
  <c r="N50" i="85"/>
  <c r="M50" i="85"/>
  <c r="L50" i="85"/>
  <c r="AF48" i="85"/>
  <c r="U49" i="85" a="1"/>
  <c r="U49" i="85" s="1"/>
  <c r="O49" i="85"/>
  <c r="N49" i="85"/>
  <c r="M49" i="85"/>
  <c r="L49" i="85"/>
  <c r="AF47" i="85"/>
  <c r="U48" i="85" a="1"/>
  <c r="U48" i="85" s="1"/>
  <c r="O48" i="85"/>
  <c r="N48" i="85"/>
  <c r="M48" i="85"/>
  <c r="L48" i="85"/>
  <c r="AF46" i="85"/>
  <c r="AA46" i="85"/>
  <c r="U47" i="85" a="1"/>
  <c r="U47" i="85" s="1"/>
  <c r="T47" i="85" s="1"/>
  <c r="O47" i="85"/>
  <c r="N47" i="85"/>
  <c r="M47" i="85"/>
  <c r="L47" i="85"/>
  <c r="AF45" i="85"/>
  <c r="AA45" i="85"/>
  <c r="U46" i="85" a="1"/>
  <c r="U46" i="85" s="1"/>
  <c r="T46" i="85" s="1"/>
  <c r="O46" i="85"/>
  <c r="N46" i="85"/>
  <c r="M46" i="85"/>
  <c r="L46" i="85"/>
  <c r="AF44" i="85"/>
  <c r="AA44" i="85"/>
  <c r="U45" i="85" a="1"/>
  <c r="U45" i="85" s="1"/>
  <c r="O45" i="85"/>
  <c r="N45" i="85"/>
  <c r="M45" i="85"/>
  <c r="L45" i="85"/>
  <c r="AF43" i="85"/>
  <c r="AA43" i="85"/>
  <c r="U44" i="85" a="1"/>
  <c r="U44" i="85" s="1"/>
  <c r="O44" i="85"/>
  <c r="N44" i="85"/>
  <c r="M44" i="85"/>
  <c r="L44" i="85"/>
  <c r="AF42" i="85"/>
  <c r="AA42" i="85"/>
  <c r="U3" i="85" a="1"/>
  <c r="U3" i="85" s="1"/>
  <c r="T3" i="85" s="1"/>
  <c r="O3" i="85"/>
  <c r="N3" i="85"/>
  <c r="M3" i="85"/>
  <c r="L3" i="85"/>
  <c r="AF41" i="85"/>
  <c r="AA41" i="85"/>
  <c r="U43" i="85" a="1"/>
  <c r="U43" i="85" s="1"/>
  <c r="O43" i="85"/>
  <c r="N43" i="85"/>
  <c r="M43" i="85"/>
  <c r="L43" i="85"/>
  <c r="AF40" i="85"/>
  <c r="AA40" i="85"/>
  <c r="U42" i="85" a="1"/>
  <c r="U42" i="85" s="1"/>
  <c r="T42" i="85" s="1"/>
  <c r="O42" i="85"/>
  <c r="N42" i="85"/>
  <c r="M42" i="85"/>
  <c r="L42" i="85"/>
  <c r="AF39" i="85"/>
  <c r="AA39" i="85"/>
  <c r="U41" i="85" a="1"/>
  <c r="U41" i="85" s="1"/>
  <c r="T41" i="85" s="1"/>
  <c r="O41" i="85"/>
  <c r="N41" i="85"/>
  <c r="M41" i="85"/>
  <c r="L41" i="85"/>
  <c r="AF38" i="85"/>
  <c r="AA38" i="85"/>
  <c r="U40" i="85" a="1"/>
  <c r="U40" i="85" s="1"/>
  <c r="O40" i="85"/>
  <c r="N40" i="85"/>
  <c r="M40" i="85"/>
  <c r="L40" i="85"/>
  <c r="AF37" i="85"/>
  <c r="AA37" i="85"/>
  <c r="U39" i="85" a="1"/>
  <c r="U39" i="85" s="1"/>
  <c r="O39" i="85"/>
  <c r="N39" i="85"/>
  <c r="M39" i="85"/>
  <c r="L39" i="85"/>
  <c r="AF36" i="85"/>
  <c r="AA36" i="85"/>
  <c r="U38" i="85" a="1"/>
  <c r="U38" i="85" s="1"/>
  <c r="T38" i="85" s="1"/>
  <c r="O38" i="85"/>
  <c r="N38" i="85"/>
  <c r="M38" i="85"/>
  <c r="L38" i="85"/>
  <c r="AF35" i="85"/>
  <c r="AA35" i="85"/>
  <c r="U37" i="85" a="1"/>
  <c r="U37" i="85" s="1"/>
  <c r="O37" i="85"/>
  <c r="N37" i="85"/>
  <c r="M37" i="85"/>
  <c r="L37" i="85"/>
  <c r="AF34" i="85"/>
  <c r="AA34" i="85"/>
  <c r="U36" i="85" a="1"/>
  <c r="U36" i="85" s="1"/>
  <c r="T36" i="85" s="1"/>
  <c r="O36" i="85"/>
  <c r="N36" i="85"/>
  <c r="M36" i="85"/>
  <c r="L36" i="85"/>
  <c r="AF33" i="85"/>
  <c r="AA33" i="85"/>
  <c r="U35" i="85" a="1"/>
  <c r="U35" i="85" s="1"/>
  <c r="T35" i="85" s="1"/>
  <c r="O35" i="85"/>
  <c r="N35" i="85"/>
  <c r="M35" i="85"/>
  <c r="L35" i="85"/>
  <c r="AF32" i="85"/>
  <c r="AA32" i="85"/>
  <c r="U34" i="85" a="1"/>
  <c r="U34" i="85" s="1"/>
  <c r="O34" i="85"/>
  <c r="N34" i="85"/>
  <c r="M34" i="85"/>
  <c r="L34" i="85"/>
  <c r="AF31" i="85"/>
  <c r="AA31" i="85"/>
  <c r="U33" i="85" a="1"/>
  <c r="U33" i="85" s="1"/>
  <c r="O33" i="85"/>
  <c r="N33" i="85"/>
  <c r="M33" i="85"/>
  <c r="L33" i="85"/>
  <c r="AF30" i="85"/>
  <c r="AA30" i="85"/>
  <c r="U32" i="85" a="1"/>
  <c r="U32" i="85" s="1"/>
  <c r="T32" i="85" s="1"/>
  <c r="O32" i="85"/>
  <c r="N32" i="85"/>
  <c r="M32" i="85"/>
  <c r="L32" i="85"/>
  <c r="AF29" i="85"/>
  <c r="AA29" i="85"/>
  <c r="U2" i="85" a="1"/>
  <c r="U2" i="85" s="1"/>
  <c r="O2" i="85"/>
  <c r="N2" i="85"/>
  <c r="M2" i="85"/>
  <c r="L2" i="85"/>
  <c r="AF28" i="85"/>
  <c r="AA28" i="85"/>
  <c r="U31" i="85" a="1"/>
  <c r="U31" i="85" s="1"/>
  <c r="T31" i="85" s="1"/>
  <c r="O31" i="85"/>
  <c r="N31" i="85"/>
  <c r="M31" i="85"/>
  <c r="L31" i="85"/>
  <c r="AF27" i="85"/>
  <c r="AA27" i="85"/>
  <c r="U30" i="85" a="1"/>
  <c r="U30" i="85" s="1"/>
  <c r="T30" i="85" s="1"/>
  <c r="O30" i="85"/>
  <c r="N30" i="85"/>
  <c r="M30" i="85"/>
  <c r="L30" i="85"/>
  <c r="AF26" i="85"/>
  <c r="AA26" i="85"/>
  <c r="U29" i="85" a="1"/>
  <c r="U29" i="85" s="1"/>
  <c r="O29" i="85"/>
  <c r="N29" i="85"/>
  <c r="M29" i="85"/>
  <c r="L29" i="85"/>
  <c r="AF25" i="85"/>
  <c r="AA25" i="85"/>
  <c r="U28" i="85" a="1"/>
  <c r="U28" i="85" s="1"/>
  <c r="O28" i="85"/>
  <c r="N28" i="85"/>
  <c r="M28" i="85"/>
  <c r="L28" i="85"/>
  <c r="AF24" i="85"/>
  <c r="AA24" i="85"/>
  <c r="U5" i="85" a="1"/>
  <c r="U5" i="85" s="1"/>
  <c r="T5" i="85" s="1"/>
  <c r="O5" i="85"/>
  <c r="N5" i="85"/>
  <c r="M5" i="85"/>
  <c r="L5" i="85"/>
  <c r="AF23" i="85"/>
  <c r="AA23" i="85"/>
  <c r="U7" i="85" a="1"/>
  <c r="U7" i="85" s="1"/>
  <c r="O7" i="85"/>
  <c r="N7" i="85"/>
  <c r="M7" i="85"/>
  <c r="L7" i="85"/>
  <c r="AF22" i="85"/>
  <c r="AA22" i="85"/>
  <c r="U27" i="85" a="1"/>
  <c r="U27" i="85" s="1"/>
  <c r="T27" i="85" s="1"/>
  <c r="O27" i="85"/>
  <c r="N27" i="85"/>
  <c r="M27" i="85"/>
  <c r="L27" i="85"/>
  <c r="AF21" i="85"/>
  <c r="AA21" i="85"/>
  <c r="U26" i="85" a="1"/>
  <c r="U26" i="85" s="1"/>
  <c r="T26" i="85" s="1"/>
  <c r="O26" i="85"/>
  <c r="N26" i="85"/>
  <c r="M26" i="85"/>
  <c r="L26" i="85"/>
  <c r="AF20" i="85"/>
  <c r="AA20" i="85"/>
  <c r="U25" i="85" a="1"/>
  <c r="U25" i="85" s="1"/>
  <c r="O25" i="85"/>
  <c r="N25" i="85"/>
  <c r="M25" i="85"/>
  <c r="L25" i="85"/>
  <c r="AF19" i="85"/>
  <c r="AA19" i="85"/>
  <c r="U24" i="85" a="1"/>
  <c r="U24" i="85" s="1"/>
  <c r="O24" i="85"/>
  <c r="N24" i="85"/>
  <c r="M24" i="85"/>
  <c r="L24" i="85"/>
  <c r="AF18" i="85"/>
  <c r="AA18" i="85"/>
  <c r="U6" i="85" a="1"/>
  <c r="U6" i="85" s="1"/>
  <c r="T6" i="85" s="1"/>
  <c r="O6" i="85"/>
  <c r="N6" i="85"/>
  <c r="M6" i="85"/>
  <c r="L6" i="85"/>
  <c r="AF17" i="85"/>
  <c r="AA17" i="85"/>
  <c r="U23" i="85" a="1"/>
  <c r="U23" i="85" s="1"/>
  <c r="O23" i="85"/>
  <c r="N23" i="85"/>
  <c r="M23" i="85"/>
  <c r="L23" i="85"/>
  <c r="AF16" i="85"/>
  <c r="AA16" i="85"/>
  <c r="U22" i="85" a="1"/>
  <c r="U22" i="85" s="1"/>
  <c r="T22" i="85" s="1"/>
  <c r="O22" i="85"/>
  <c r="N22" i="85"/>
  <c r="M22" i="85"/>
  <c r="L22" i="85"/>
  <c r="AF15" i="85"/>
  <c r="AA15" i="85"/>
  <c r="U21" i="85" a="1"/>
  <c r="U21" i="85" s="1"/>
  <c r="T21" i="85" s="1"/>
  <c r="O21" i="85"/>
  <c r="N21" i="85"/>
  <c r="M21" i="85"/>
  <c r="L21" i="85"/>
  <c r="AF14" i="85"/>
  <c r="AA14" i="85"/>
  <c r="U11" i="85" a="1"/>
  <c r="U11" i="85" s="1"/>
  <c r="O11" i="85"/>
  <c r="N11" i="85"/>
  <c r="M11" i="85"/>
  <c r="L11" i="85"/>
  <c r="AF13" i="85"/>
  <c r="AA13" i="85"/>
  <c r="U10" i="85" a="1"/>
  <c r="U10" i="85" s="1"/>
  <c r="O10" i="85"/>
  <c r="N10" i="85"/>
  <c r="M10" i="85"/>
  <c r="L10" i="85"/>
  <c r="AF12" i="85"/>
  <c r="AA12" i="85"/>
  <c r="U20" i="85" a="1"/>
  <c r="U20" i="85" s="1"/>
  <c r="T20" i="85" s="1"/>
  <c r="O20" i="85"/>
  <c r="N20" i="85"/>
  <c r="M20" i="85"/>
  <c r="L20" i="85"/>
  <c r="AF11" i="85"/>
  <c r="AA11" i="85"/>
  <c r="U9" i="85" a="1"/>
  <c r="U9" i="85" s="1"/>
  <c r="O9" i="85"/>
  <c r="N9" i="85"/>
  <c r="M9" i="85"/>
  <c r="L9" i="85"/>
  <c r="AF10" i="85"/>
  <c r="AA10" i="85"/>
  <c r="U19" i="85" a="1"/>
  <c r="U19" i="85" s="1"/>
  <c r="T19" i="85" s="1"/>
  <c r="O19" i="85"/>
  <c r="N19" i="85"/>
  <c r="M19" i="85"/>
  <c r="L19" i="85"/>
  <c r="AF9" i="85"/>
  <c r="AA9" i="85"/>
  <c r="U18" i="85" a="1"/>
  <c r="U18" i="85" s="1"/>
  <c r="T18" i="85" s="1"/>
  <c r="O18" i="85"/>
  <c r="N18" i="85"/>
  <c r="M18" i="85"/>
  <c r="L18" i="85"/>
  <c r="AF8" i="85"/>
  <c r="AA8" i="85"/>
  <c r="U17" i="85" a="1"/>
  <c r="U17" i="85" s="1"/>
  <c r="O17" i="85"/>
  <c r="N17" i="85"/>
  <c r="M17" i="85"/>
  <c r="L17" i="85"/>
  <c r="AF7" i="85"/>
  <c r="AA7" i="85"/>
  <c r="U8" i="85" a="1"/>
  <c r="U8" i="85" s="1"/>
  <c r="O8" i="85"/>
  <c r="N8" i="85"/>
  <c r="M8" i="85"/>
  <c r="L8" i="85"/>
  <c r="AF6" i="85"/>
  <c r="AA6" i="85"/>
  <c r="U16" i="85" a="1"/>
  <c r="U16" i="85" s="1"/>
  <c r="T16" i="85" s="1"/>
  <c r="O16" i="85"/>
  <c r="N16" i="85"/>
  <c r="M16" i="85"/>
  <c r="L16" i="85"/>
  <c r="AF5" i="85"/>
  <c r="AA5" i="85"/>
  <c r="U4" i="85" a="1"/>
  <c r="U4" i="85" s="1"/>
  <c r="O4" i="85"/>
  <c r="N4" i="85"/>
  <c r="M4" i="85"/>
  <c r="L4" i="85"/>
  <c r="AF4" i="85"/>
  <c r="AA4" i="85"/>
  <c r="U15" i="85" a="1"/>
  <c r="U15" i="85" s="1"/>
  <c r="T15" i="85" s="1"/>
  <c r="O15" i="85"/>
  <c r="N15" i="85"/>
  <c r="M15" i="85"/>
  <c r="L15" i="85"/>
  <c r="AF3" i="85"/>
  <c r="AA3" i="85"/>
  <c r="U14" i="85" a="1"/>
  <c r="U14" i="85" s="1"/>
  <c r="T14" i="85" s="1"/>
  <c r="O14" i="85"/>
  <c r="N14" i="85"/>
  <c r="M14" i="85"/>
  <c r="L14" i="85"/>
  <c r="AF2" i="85"/>
  <c r="AA2" i="85"/>
  <c r="U13" i="85" a="1"/>
  <c r="U13" i="85" s="1"/>
  <c r="O13" i="85"/>
  <c r="N13" i="85"/>
  <c r="M13" i="85"/>
  <c r="L13" i="85"/>
  <c r="Q15" i="61"/>
  <c r="R15" i="61" s="1"/>
  <c r="P15" i="61"/>
  <c r="O15" i="61"/>
  <c r="I15" i="61"/>
  <c r="H15" i="61"/>
  <c r="G15" i="61"/>
  <c r="F15" i="61"/>
  <c r="E15" i="61"/>
  <c r="D15" i="61"/>
  <c r="C15" i="61"/>
  <c r="AF183" i="84"/>
  <c r="AF182" i="84"/>
  <c r="AF181" i="84"/>
  <c r="AF180" i="84"/>
  <c r="AF179" i="84"/>
  <c r="AF178" i="84"/>
  <c r="AF177" i="84"/>
  <c r="AF176" i="84"/>
  <c r="AF175" i="84"/>
  <c r="AF174" i="84"/>
  <c r="AF173" i="84"/>
  <c r="AF172" i="84"/>
  <c r="AF171" i="84"/>
  <c r="AF170" i="84"/>
  <c r="AF169" i="84"/>
  <c r="AF168" i="84"/>
  <c r="AF167" i="84"/>
  <c r="AF166" i="84"/>
  <c r="AF165" i="84"/>
  <c r="AF164" i="84"/>
  <c r="AF163" i="84"/>
  <c r="AF162" i="84"/>
  <c r="AF161" i="84"/>
  <c r="AF160" i="84"/>
  <c r="AF159" i="84"/>
  <c r="AF158" i="84"/>
  <c r="AF157" i="84"/>
  <c r="AF156" i="84"/>
  <c r="AF155" i="84"/>
  <c r="AF154" i="84"/>
  <c r="AF153" i="84"/>
  <c r="AF152" i="84"/>
  <c r="AF151" i="84"/>
  <c r="AF150" i="84"/>
  <c r="AF149" i="84"/>
  <c r="AF148" i="84"/>
  <c r="AF147" i="84"/>
  <c r="AF146" i="84"/>
  <c r="AF145" i="84"/>
  <c r="AF144" i="84"/>
  <c r="AF143" i="84"/>
  <c r="AF142" i="84"/>
  <c r="AF141" i="84"/>
  <c r="AF140" i="84"/>
  <c r="AF139" i="84"/>
  <c r="AF138" i="84"/>
  <c r="AF137" i="84"/>
  <c r="AF136" i="84"/>
  <c r="AF135" i="84"/>
  <c r="AF134" i="84"/>
  <c r="AF133" i="84"/>
  <c r="AF132" i="84"/>
  <c r="AF131" i="84"/>
  <c r="AF130" i="84"/>
  <c r="AF129" i="84"/>
  <c r="AA129" i="84"/>
  <c r="AF128" i="84"/>
  <c r="AA128" i="84"/>
  <c r="U128" i="84" a="1"/>
  <c r="U128" i="84" s="1"/>
  <c r="O128" i="84"/>
  <c r="N128" i="84"/>
  <c r="M128" i="84"/>
  <c r="L128" i="84"/>
  <c r="AF127" i="84"/>
  <c r="AA127" i="84"/>
  <c r="U127" i="84" a="1"/>
  <c r="U127" i="84" s="1"/>
  <c r="T127" i="84" s="1"/>
  <c r="O127" i="84"/>
  <c r="N127" i="84"/>
  <c r="M127" i="84"/>
  <c r="L127" i="84"/>
  <c r="AF126" i="84"/>
  <c r="AA126" i="84"/>
  <c r="U126" i="84" a="1"/>
  <c r="U126" i="84" s="1"/>
  <c r="T126" i="84" s="1"/>
  <c r="O126" i="84"/>
  <c r="N126" i="84"/>
  <c r="M126" i="84"/>
  <c r="L126" i="84"/>
  <c r="AF125" i="84"/>
  <c r="AA125" i="84"/>
  <c r="U125" i="84" a="1"/>
  <c r="U125" i="84" s="1"/>
  <c r="T125" i="84" s="1"/>
  <c r="O125" i="84"/>
  <c r="N125" i="84"/>
  <c r="M125" i="84"/>
  <c r="L125" i="84"/>
  <c r="AF124" i="84"/>
  <c r="AA124" i="84"/>
  <c r="U124" i="84" a="1"/>
  <c r="U124" i="84" s="1"/>
  <c r="O124" i="84"/>
  <c r="N124" i="84"/>
  <c r="M124" i="84"/>
  <c r="L124" i="84"/>
  <c r="AF123" i="84"/>
  <c r="AA123" i="84"/>
  <c r="U123" i="84" a="1"/>
  <c r="U123" i="84" s="1"/>
  <c r="T123" i="84" s="1"/>
  <c r="O123" i="84"/>
  <c r="N123" i="84"/>
  <c r="M123" i="84"/>
  <c r="L123" i="84"/>
  <c r="AF122" i="84"/>
  <c r="AA122" i="84"/>
  <c r="U122" i="84" a="1"/>
  <c r="U122" i="84" s="1"/>
  <c r="O122" i="84"/>
  <c r="N122" i="84"/>
  <c r="M122" i="84"/>
  <c r="L122" i="84"/>
  <c r="AF121" i="84"/>
  <c r="AA121" i="84"/>
  <c r="U121" i="84" a="1"/>
  <c r="U121" i="84" s="1"/>
  <c r="T121" i="84" s="1"/>
  <c r="O121" i="84"/>
  <c r="N121" i="84"/>
  <c r="M121" i="84"/>
  <c r="L121" i="84"/>
  <c r="AF120" i="84"/>
  <c r="AA120" i="84"/>
  <c r="U6" i="84" a="1"/>
  <c r="U6" i="84" s="1"/>
  <c r="O6" i="84"/>
  <c r="N6" i="84"/>
  <c r="M6" i="84"/>
  <c r="L6" i="84"/>
  <c r="AF119" i="84"/>
  <c r="AA119" i="84"/>
  <c r="U120" i="84" a="1"/>
  <c r="U120" i="84" s="1"/>
  <c r="O120" i="84"/>
  <c r="N120" i="84"/>
  <c r="M120" i="84"/>
  <c r="L120" i="84"/>
  <c r="AF118" i="84"/>
  <c r="AA118" i="84"/>
  <c r="U119" i="84" a="1"/>
  <c r="U119" i="84" s="1"/>
  <c r="O119" i="84"/>
  <c r="N119" i="84"/>
  <c r="M119" i="84"/>
  <c r="L119" i="84"/>
  <c r="AF117" i="84"/>
  <c r="AA117" i="84"/>
  <c r="U118" i="84" a="1"/>
  <c r="U118" i="84" s="1"/>
  <c r="T118" i="84" s="1"/>
  <c r="O118" i="84"/>
  <c r="N118" i="84"/>
  <c r="M118" i="84"/>
  <c r="L118" i="84"/>
  <c r="AF116" i="84"/>
  <c r="AA116" i="84"/>
  <c r="U117" i="84" a="1"/>
  <c r="U117" i="84" s="1"/>
  <c r="O117" i="84"/>
  <c r="N117" i="84"/>
  <c r="M117" i="84"/>
  <c r="L117" i="84"/>
  <c r="AF115" i="84"/>
  <c r="AA115" i="84"/>
  <c r="U116" i="84" a="1"/>
  <c r="U116" i="84" s="1"/>
  <c r="T116" i="84" s="1"/>
  <c r="O116" i="84"/>
  <c r="N116" i="84"/>
  <c r="M116" i="84"/>
  <c r="L116" i="84"/>
  <c r="AF114" i="84"/>
  <c r="AA114" i="84"/>
  <c r="O115" i="84"/>
  <c r="N115" i="84"/>
  <c r="M115" i="84"/>
  <c r="L115" i="84"/>
  <c r="AF113" i="84"/>
  <c r="AA113" i="84"/>
  <c r="U114" i="84" a="1"/>
  <c r="U114" i="84" s="1"/>
  <c r="T114" i="84" s="1"/>
  <c r="O114" i="84"/>
  <c r="N114" i="84"/>
  <c r="M114" i="84"/>
  <c r="L114" i="84"/>
  <c r="AF112" i="84"/>
  <c r="AA112" i="84"/>
  <c r="U113" i="84" a="1"/>
  <c r="U113" i="84" s="1"/>
  <c r="T113" i="84" s="1"/>
  <c r="O113" i="84"/>
  <c r="N113" i="84"/>
  <c r="M113" i="84"/>
  <c r="L113" i="84"/>
  <c r="AF111" i="84"/>
  <c r="AA111" i="84"/>
  <c r="U112" i="84" a="1"/>
  <c r="U112" i="84" s="1"/>
  <c r="T112" i="84" s="1"/>
  <c r="O112" i="84"/>
  <c r="N112" i="84"/>
  <c r="M112" i="84"/>
  <c r="L112" i="84"/>
  <c r="AF110" i="84"/>
  <c r="AA110" i="84"/>
  <c r="U111" i="84" a="1"/>
  <c r="U111" i="84" s="1"/>
  <c r="O111" i="84"/>
  <c r="N111" i="84"/>
  <c r="M111" i="84"/>
  <c r="L111" i="84"/>
  <c r="AF109" i="84"/>
  <c r="AA109" i="84"/>
  <c r="U110" i="84" a="1"/>
  <c r="U110" i="84" s="1"/>
  <c r="T110" i="84" s="1"/>
  <c r="O110" i="84"/>
  <c r="N110" i="84"/>
  <c r="M110" i="84"/>
  <c r="L110" i="84"/>
  <c r="AF108" i="84"/>
  <c r="AA108" i="84"/>
  <c r="U109" i="84" a="1"/>
  <c r="U109" i="84" s="1"/>
  <c r="O109" i="84"/>
  <c r="N109" i="84"/>
  <c r="M109" i="84"/>
  <c r="L109" i="84"/>
  <c r="AF107" i="84"/>
  <c r="AA107" i="84"/>
  <c r="U108" i="84" a="1"/>
  <c r="U108" i="84" s="1"/>
  <c r="T108" i="84" s="1"/>
  <c r="O108" i="84"/>
  <c r="N108" i="84"/>
  <c r="M108" i="84"/>
  <c r="L108" i="84"/>
  <c r="AF106" i="84"/>
  <c r="AA106" i="84"/>
  <c r="U107" i="84" a="1"/>
  <c r="U107" i="84" s="1"/>
  <c r="T107" i="84" s="1"/>
  <c r="O107" i="84"/>
  <c r="N107" i="84"/>
  <c r="M107" i="84"/>
  <c r="L107" i="84"/>
  <c r="AF105" i="84"/>
  <c r="AA105" i="84"/>
  <c r="U106" i="84" a="1"/>
  <c r="U106" i="84" s="1"/>
  <c r="T106" i="84" s="1"/>
  <c r="O106" i="84"/>
  <c r="N106" i="84"/>
  <c r="M106" i="84"/>
  <c r="L106" i="84"/>
  <c r="AF104" i="84"/>
  <c r="AA104" i="84"/>
  <c r="U105" i="84" a="1"/>
  <c r="U105" i="84" s="1"/>
  <c r="O105" i="84"/>
  <c r="N105" i="84"/>
  <c r="M105" i="84"/>
  <c r="L105" i="84"/>
  <c r="AF103" i="84"/>
  <c r="AA103" i="84"/>
  <c r="U104" i="84" a="1"/>
  <c r="U104" i="84" s="1"/>
  <c r="T104" i="84" s="1"/>
  <c r="O104" i="84"/>
  <c r="N104" i="84"/>
  <c r="M104" i="84"/>
  <c r="L104" i="84"/>
  <c r="AF102" i="84"/>
  <c r="AA102" i="84"/>
  <c r="U103" i="84" a="1"/>
  <c r="U103" i="84" s="1"/>
  <c r="O103" i="84"/>
  <c r="N103" i="84"/>
  <c r="M103" i="84"/>
  <c r="L103" i="84"/>
  <c r="AF101" i="84"/>
  <c r="AA101" i="84"/>
  <c r="U102" i="84" a="1"/>
  <c r="U102" i="84" s="1"/>
  <c r="T102" i="84" s="1"/>
  <c r="O102" i="84"/>
  <c r="N102" i="84"/>
  <c r="M102" i="84"/>
  <c r="L102" i="84"/>
  <c r="AF100" i="84"/>
  <c r="AA100" i="84"/>
  <c r="U101" i="84" a="1"/>
  <c r="U101" i="84" s="1"/>
  <c r="T101" i="84" s="1"/>
  <c r="O101" i="84"/>
  <c r="N101" i="84"/>
  <c r="M101" i="84"/>
  <c r="L101" i="84"/>
  <c r="AF99" i="84"/>
  <c r="AA99" i="84"/>
  <c r="U100" i="84" a="1"/>
  <c r="U100" i="84" s="1"/>
  <c r="T100" i="84" s="1"/>
  <c r="O100" i="84"/>
  <c r="N100" i="84"/>
  <c r="M100" i="84"/>
  <c r="L100" i="84"/>
  <c r="AF98" i="84"/>
  <c r="AA98" i="84"/>
  <c r="U99" i="84" a="1"/>
  <c r="U99" i="84" s="1"/>
  <c r="O99" i="84"/>
  <c r="N99" i="84"/>
  <c r="M99" i="84"/>
  <c r="L99" i="84"/>
  <c r="AF97" i="84"/>
  <c r="AA97" i="84"/>
  <c r="U98" i="84" a="1"/>
  <c r="U98" i="84" s="1"/>
  <c r="T98" i="84" s="1"/>
  <c r="O98" i="84"/>
  <c r="N98" i="84"/>
  <c r="M98" i="84"/>
  <c r="L98" i="84"/>
  <c r="AF96" i="84"/>
  <c r="AA96" i="84"/>
  <c r="U97" i="84" a="1"/>
  <c r="U97" i="84" s="1"/>
  <c r="O97" i="84"/>
  <c r="N97" i="84"/>
  <c r="M97" i="84"/>
  <c r="L97" i="84"/>
  <c r="AF95" i="84"/>
  <c r="AA95" i="84"/>
  <c r="U96" i="84" a="1"/>
  <c r="U96" i="84" s="1"/>
  <c r="T96" i="84" s="1"/>
  <c r="O96" i="84"/>
  <c r="N96" i="84"/>
  <c r="M96" i="84"/>
  <c r="L96" i="84"/>
  <c r="AF94" i="84"/>
  <c r="AA94" i="84"/>
  <c r="U95" i="84" a="1"/>
  <c r="U95" i="84" s="1"/>
  <c r="T95" i="84" s="1"/>
  <c r="O95" i="84"/>
  <c r="N95" i="84"/>
  <c r="M95" i="84"/>
  <c r="L95" i="84"/>
  <c r="AF93" i="84"/>
  <c r="AA93" i="84"/>
  <c r="U94" i="84" a="1"/>
  <c r="U94" i="84" s="1"/>
  <c r="T94" i="84" s="1"/>
  <c r="O94" i="84"/>
  <c r="N94" i="84"/>
  <c r="M94" i="84"/>
  <c r="L94" i="84"/>
  <c r="AF92" i="84"/>
  <c r="AA92" i="84"/>
  <c r="U93" i="84" a="1"/>
  <c r="U93" i="84" s="1"/>
  <c r="O93" i="84"/>
  <c r="N93" i="84"/>
  <c r="M93" i="84"/>
  <c r="L93" i="84"/>
  <c r="AF91" i="84"/>
  <c r="AA91" i="84"/>
  <c r="U92" i="84" a="1"/>
  <c r="U92" i="84" s="1"/>
  <c r="T92" i="84" s="1"/>
  <c r="O92" i="84"/>
  <c r="N92" i="84"/>
  <c r="M92" i="84"/>
  <c r="L92" i="84"/>
  <c r="AF90" i="84"/>
  <c r="AA90" i="84"/>
  <c r="U91" i="84" a="1"/>
  <c r="U91" i="84" s="1"/>
  <c r="O91" i="84"/>
  <c r="N91" i="84"/>
  <c r="M91" i="84"/>
  <c r="L91" i="84"/>
  <c r="AF89" i="84"/>
  <c r="AA89" i="84"/>
  <c r="U90" i="84" a="1"/>
  <c r="U90" i="84" s="1"/>
  <c r="T90" i="84" s="1"/>
  <c r="O90" i="84"/>
  <c r="N90" i="84"/>
  <c r="M90" i="84"/>
  <c r="L90" i="84"/>
  <c r="AF88" i="84"/>
  <c r="AA88" i="84"/>
  <c r="U89" i="84" a="1"/>
  <c r="U89" i="84" s="1"/>
  <c r="T89" i="84" s="1"/>
  <c r="O89" i="84"/>
  <c r="N89" i="84"/>
  <c r="M89" i="84"/>
  <c r="L89" i="84"/>
  <c r="AF87" i="84"/>
  <c r="AA87" i="84"/>
  <c r="U88" i="84" a="1"/>
  <c r="U88" i="84" s="1"/>
  <c r="T88" i="84" s="1"/>
  <c r="O88" i="84"/>
  <c r="N88" i="84"/>
  <c r="M88" i="84"/>
  <c r="L88" i="84"/>
  <c r="AF86" i="84"/>
  <c r="AA86" i="84"/>
  <c r="U87" i="84" a="1"/>
  <c r="U87" i="84" s="1"/>
  <c r="O87" i="84"/>
  <c r="N87" i="84"/>
  <c r="M87" i="84"/>
  <c r="L87" i="84"/>
  <c r="AF85" i="84"/>
  <c r="AA85" i="84"/>
  <c r="U86" i="84" a="1"/>
  <c r="U86" i="84" s="1"/>
  <c r="T86" i="84" s="1"/>
  <c r="O86" i="84"/>
  <c r="N86" i="84"/>
  <c r="M86" i="84"/>
  <c r="L86" i="84"/>
  <c r="AF84" i="84"/>
  <c r="AA84" i="84"/>
  <c r="U85" i="84" a="1"/>
  <c r="U85" i="84" s="1"/>
  <c r="O85" i="84"/>
  <c r="N85" i="84"/>
  <c r="M85" i="84"/>
  <c r="L85" i="84"/>
  <c r="AF83" i="84"/>
  <c r="AA83" i="84"/>
  <c r="U84" i="84" a="1"/>
  <c r="U84" i="84" s="1"/>
  <c r="T84" i="84" s="1"/>
  <c r="O84" i="84"/>
  <c r="N84" i="84"/>
  <c r="M84" i="84"/>
  <c r="L84" i="84"/>
  <c r="AF82" i="84"/>
  <c r="AA82" i="84"/>
  <c r="U83" i="84" a="1"/>
  <c r="U83" i="84" s="1"/>
  <c r="T83" i="84" s="1"/>
  <c r="O83" i="84"/>
  <c r="N83" i="84"/>
  <c r="M83" i="84"/>
  <c r="L83" i="84"/>
  <c r="AF81" i="84"/>
  <c r="AA81" i="84"/>
  <c r="U82" i="84" a="1"/>
  <c r="U82" i="84" s="1"/>
  <c r="T82" i="84" s="1"/>
  <c r="O82" i="84"/>
  <c r="N82" i="84"/>
  <c r="M82" i="84"/>
  <c r="L82" i="84"/>
  <c r="AF80" i="84"/>
  <c r="AA80" i="84"/>
  <c r="U81" i="84" a="1"/>
  <c r="U81" i="84" s="1"/>
  <c r="O81" i="84"/>
  <c r="N81" i="84"/>
  <c r="M81" i="84"/>
  <c r="L81" i="84"/>
  <c r="AF79" i="84"/>
  <c r="AA79" i="84"/>
  <c r="U80" i="84" a="1"/>
  <c r="U80" i="84" s="1"/>
  <c r="T80" i="84" s="1"/>
  <c r="O80" i="84"/>
  <c r="N80" i="84"/>
  <c r="M80" i="84"/>
  <c r="L80" i="84"/>
  <c r="AF78" i="84"/>
  <c r="AA78" i="84"/>
  <c r="U79" i="84" a="1"/>
  <c r="U79" i="84" s="1"/>
  <c r="O79" i="84"/>
  <c r="N79" i="84"/>
  <c r="M79" i="84"/>
  <c r="L79" i="84"/>
  <c r="AF77" i="84"/>
  <c r="AA77" i="84"/>
  <c r="U78" i="84" a="1"/>
  <c r="U78" i="84" s="1"/>
  <c r="T78" i="84" s="1"/>
  <c r="O78" i="84"/>
  <c r="N78" i="84"/>
  <c r="M78" i="84"/>
  <c r="L78" i="84"/>
  <c r="AF76" i="84"/>
  <c r="AA76" i="84"/>
  <c r="U77" i="84" a="1"/>
  <c r="U77" i="84" s="1"/>
  <c r="T77" i="84" s="1"/>
  <c r="O77" i="84"/>
  <c r="N77" i="84"/>
  <c r="M77" i="84"/>
  <c r="L77" i="84"/>
  <c r="AF75" i="84"/>
  <c r="AA75" i="84"/>
  <c r="U76" i="84" a="1"/>
  <c r="U76" i="84" s="1"/>
  <c r="T76" i="84" s="1"/>
  <c r="O76" i="84"/>
  <c r="N76" i="84"/>
  <c r="M76" i="84"/>
  <c r="L76" i="84"/>
  <c r="AF74" i="84"/>
  <c r="AA74" i="84"/>
  <c r="U75" i="84" a="1"/>
  <c r="U75" i="84" s="1"/>
  <c r="O75" i="84"/>
  <c r="N75" i="84"/>
  <c r="M75" i="84"/>
  <c r="L75" i="84"/>
  <c r="AF73" i="84"/>
  <c r="AA73" i="84"/>
  <c r="U74" i="84" a="1"/>
  <c r="U74" i="84" s="1"/>
  <c r="T74" i="84" s="1"/>
  <c r="O74" i="84"/>
  <c r="N74" i="84"/>
  <c r="M74" i="84"/>
  <c r="L74" i="84"/>
  <c r="AF72" i="84"/>
  <c r="AA72" i="84"/>
  <c r="U73" i="84" a="1"/>
  <c r="U73" i="84" s="1"/>
  <c r="O73" i="84"/>
  <c r="N73" i="84"/>
  <c r="M73" i="84"/>
  <c r="L73" i="84"/>
  <c r="AF71" i="84"/>
  <c r="AA71" i="84"/>
  <c r="U72" i="84" a="1"/>
  <c r="U72" i="84" s="1"/>
  <c r="T72" i="84" s="1"/>
  <c r="O72" i="84"/>
  <c r="N72" i="84"/>
  <c r="M72" i="84"/>
  <c r="L72" i="84"/>
  <c r="AF70" i="84"/>
  <c r="AA70" i="84"/>
  <c r="U71" i="84" a="1"/>
  <c r="U71" i="84" s="1"/>
  <c r="T71" i="84" s="1"/>
  <c r="O71" i="84"/>
  <c r="N71" i="84"/>
  <c r="M71" i="84"/>
  <c r="L71" i="84"/>
  <c r="AF69" i="84"/>
  <c r="AA69" i="84"/>
  <c r="U70" i="84" a="1"/>
  <c r="U70" i="84" s="1"/>
  <c r="T70" i="84" s="1"/>
  <c r="O70" i="84"/>
  <c r="N70" i="84"/>
  <c r="M70" i="84"/>
  <c r="L70" i="84"/>
  <c r="AF68" i="84"/>
  <c r="AA68" i="84"/>
  <c r="U69" i="84" a="1"/>
  <c r="U69" i="84" s="1"/>
  <c r="O69" i="84"/>
  <c r="N69" i="84"/>
  <c r="M69" i="84"/>
  <c r="L69" i="84"/>
  <c r="AF67" i="84"/>
  <c r="AA67" i="84"/>
  <c r="U68" i="84" a="1"/>
  <c r="U68" i="84" s="1"/>
  <c r="T68" i="84" s="1"/>
  <c r="O68" i="84"/>
  <c r="N68" i="84"/>
  <c r="M68" i="84"/>
  <c r="L68" i="84"/>
  <c r="AF66" i="84"/>
  <c r="AA66" i="84"/>
  <c r="U67" i="84" a="1"/>
  <c r="U67" i="84" s="1"/>
  <c r="O67" i="84"/>
  <c r="N67" i="84"/>
  <c r="M67" i="84"/>
  <c r="L67" i="84"/>
  <c r="AF65" i="84"/>
  <c r="AA65" i="84"/>
  <c r="U66" i="84" a="1"/>
  <c r="U66" i="84" s="1"/>
  <c r="T66" i="84" s="1"/>
  <c r="O66" i="84"/>
  <c r="N66" i="84"/>
  <c r="M66" i="84"/>
  <c r="L66" i="84"/>
  <c r="AF64" i="84"/>
  <c r="AA64" i="84"/>
  <c r="U65" i="84" a="1"/>
  <c r="U65" i="84" s="1"/>
  <c r="T65" i="84" s="1"/>
  <c r="O65" i="84"/>
  <c r="N65" i="84"/>
  <c r="M65" i="84"/>
  <c r="L65" i="84"/>
  <c r="AF63" i="84"/>
  <c r="AA63" i="84"/>
  <c r="U64" i="84" a="1"/>
  <c r="U64" i="84" s="1"/>
  <c r="T64" i="84" s="1"/>
  <c r="O64" i="84"/>
  <c r="N64" i="84"/>
  <c r="M64" i="84"/>
  <c r="L64" i="84"/>
  <c r="AF62" i="84"/>
  <c r="AA62" i="84"/>
  <c r="U63" i="84" a="1"/>
  <c r="U63" i="84" s="1"/>
  <c r="O63" i="84"/>
  <c r="N63" i="84"/>
  <c r="M63" i="84"/>
  <c r="L63" i="84"/>
  <c r="AF61" i="84"/>
  <c r="AA61" i="84"/>
  <c r="U62" i="84" a="1"/>
  <c r="U62" i="84" s="1"/>
  <c r="T62" i="84" s="1"/>
  <c r="O62" i="84"/>
  <c r="N62" i="84"/>
  <c r="M62" i="84"/>
  <c r="L62" i="84"/>
  <c r="AF60" i="84"/>
  <c r="AA60" i="84"/>
  <c r="U61" i="84" a="1"/>
  <c r="U61" i="84" s="1"/>
  <c r="O61" i="84"/>
  <c r="N61" i="84"/>
  <c r="M61" i="84"/>
  <c r="L61" i="84"/>
  <c r="AF59" i="84"/>
  <c r="AA59" i="84"/>
  <c r="U60" i="84" a="1"/>
  <c r="U60" i="84" s="1"/>
  <c r="T60" i="84" s="1"/>
  <c r="O60" i="84"/>
  <c r="N60" i="84"/>
  <c r="M60" i="84"/>
  <c r="L60" i="84"/>
  <c r="AF58" i="84"/>
  <c r="AA58" i="84"/>
  <c r="U5" i="84" a="1"/>
  <c r="U5" i="84" s="1"/>
  <c r="T5" i="84" s="1"/>
  <c r="O5" i="84"/>
  <c r="N5" i="84"/>
  <c r="M5" i="84"/>
  <c r="L5" i="84"/>
  <c r="AF57" i="84"/>
  <c r="AA57" i="84"/>
  <c r="U59" i="84" a="1"/>
  <c r="U59" i="84" s="1"/>
  <c r="T59" i="84" s="1"/>
  <c r="O59" i="84"/>
  <c r="N59" i="84"/>
  <c r="M59" i="84"/>
  <c r="L59" i="84"/>
  <c r="AF56" i="84"/>
  <c r="AA56" i="84"/>
  <c r="U11" i="84" a="1"/>
  <c r="U11" i="84" s="1"/>
  <c r="O11" i="84"/>
  <c r="N11" i="84"/>
  <c r="M11" i="84"/>
  <c r="L11" i="84"/>
  <c r="AF55" i="84"/>
  <c r="AA55" i="84"/>
  <c r="U58" i="84" a="1"/>
  <c r="U58" i="84" s="1"/>
  <c r="T58" i="84" s="1"/>
  <c r="O58" i="84"/>
  <c r="N58" i="84"/>
  <c r="M58" i="84"/>
  <c r="L58" i="84"/>
  <c r="AF54" i="84"/>
  <c r="AA54" i="84"/>
  <c r="U57" i="84" a="1"/>
  <c r="U57" i="84" s="1"/>
  <c r="O57" i="84"/>
  <c r="N57" i="84"/>
  <c r="M57" i="84"/>
  <c r="L57" i="84"/>
  <c r="AF53" i="84"/>
  <c r="AA53" i="84"/>
  <c r="U56" i="84" a="1"/>
  <c r="U56" i="84" s="1"/>
  <c r="T56" i="84" s="1"/>
  <c r="O56" i="84"/>
  <c r="N56" i="84"/>
  <c r="M56" i="84"/>
  <c r="L56" i="84"/>
  <c r="AF52" i="84"/>
  <c r="AA52" i="84"/>
  <c r="U55" i="84" a="1"/>
  <c r="U55" i="84" s="1"/>
  <c r="T55" i="84" s="1"/>
  <c r="O55" i="84"/>
  <c r="N55" i="84"/>
  <c r="M55" i="84"/>
  <c r="L55" i="84"/>
  <c r="AF51" i="84"/>
  <c r="AA51" i="84"/>
  <c r="U54" i="84" a="1"/>
  <c r="U54" i="84" s="1"/>
  <c r="T54" i="84" s="1"/>
  <c r="O54" i="84"/>
  <c r="N54" i="84"/>
  <c r="M54" i="84"/>
  <c r="L54" i="84"/>
  <c r="AF50" i="84"/>
  <c r="AA50" i="84"/>
  <c r="U53" i="84" a="1"/>
  <c r="U53" i="84" s="1"/>
  <c r="O53" i="84"/>
  <c r="N53" i="84"/>
  <c r="M53" i="84"/>
  <c r="L53" i="84"/>
  <c r="AF49" i="84"/>
  <c r="AA49" i="84"/>
  <c r="U52" i="84" a="1"/>
  <c r="U52" i="84" s="1"/>
  <c r="T52" i="84" s="1"/>
  <c r="O52" i="84"/>
  <c r="N52" i="84"/>
  <c r="M52" i="84"/>
  <c r="L52" i="84"/>
  <c r="AF48" i="84"/>
  <c r="AA48" i="84"/>
  <c r="U51" i="84" a="1"/>
  <c r="U51" i="84" s="1"/>
  <c r="O51" i="84"/>
  <c r="N51" i="84"/>
  <c r="M51" i="84"/>
  <c r="L51" i="84"/>
  <c r="AF47" i="84"/>
  <c r="AA47" i="84"/>
  <c r="U50" i="84" a="1"/>
  <c r="U50" i="84" s="1"/>
  <c r="T50" i="84" s="1"/>
  <c r="O50" i="84"/>
  <c r="N50" i="84"/>
  <c r="M50" i="84"/>
  <c r="L50" i="84"/>
  <c r="AF46" i="84"/>
  <c r="AA46" i="84"/>
  <c r="U49" i="84" a="1"/>
  <c r="U49" i="84" s="1"/>
  <c r="T49" i="84" s="1"/>
  <c r="O49" i="84"/>
  <c r="N49" i="84"/>
  <c r="M49" i="84"/>
  <c r="L49" i="84"/>
  <c r="AF45" i="84"/>
  <c r="AA45" i="84"/>
  <c r="U48" i="84" a="1"/>
  <c r="U48" i="84" s="1"/>
  <c r="T48" i="84" s="1"/>
  <c r="O48" i="84"/>
  <c r="N48" i="84"/>
  <c r="M48" i="84"/>
  <c r="L48" i="84"/>
  <c r="AF44" i="84"/>
  <c r="AA44" i="84"/>
  <c r="U47" i="84" a="1"/>
  <c r="U47" i="84" s="1"/>
  <c r="O47" i="84"/>
  <c r="N47" i="84"/>
  <c r="M47" i="84"/>
  <c r="L47" i="84"/>
  <c r="AF43" i="84"/>
  <c r="AA43" i="84"/>
  <c r="U46" i="84" a="1"/>
  <c r="U46" i="84" s="1"/>
  <c r="T46" i="84" s="1"/>
  <c r="O46" i="84"/>
  <c r="N46" i="84"/>
  <c r="M46" i="84"/>
  <c r="L46" i="84"/>
  <c r="AF42" i="84"/>
  <c r="AA42" i="84"/>
  <c r="U45" i="84" a="1"/>
  <c r="U45" i="84" s="1"/>
  <c r="O45" i="84"/>
  <c r="N45" i="84"/>
  <c r="M45" i="84"/>
  <c r="L45" i="84"/>
  <c r="AF41" i="84"/>
  <c r="AA41" i="84"/>
  <c r="U44" i="84" a="1"/>
  <c r="U44" i="84" s="1"/>
  <c r="T44" i="84" s="1"/>
  <c r="O44" i="84"/>
  <c r="N44" i="84"/>
  <c r="M44" i="84"/>
  <c r="L44" i="84"/>
  <c r="AF40" i="84"/>
  <c r="AA40" i="84"/>
  <c r="U43" i="84" a="1"/>
  <c r="U43" i="84" s="1"/>
  <c r="T43" i="84" s="1"/>
  <c r="O43" i="84"/>
  <c r="N43" i="84"/>
  <c r="M43" i="84"/>
  <c r="L43" i="84"/>
  <c r="AF39" i="84"/>
  <c r="AA39" i="84"/>
  <c r="U42" i="84" a="1"/>
  <c r="U42" i="84" s="1"/>
  <c r="T42" i="84" s="1"/>
  <c r="O42" i="84"/>
  <c r="N42" i="84"/>
  <c r="M42" i="84"/>
  <c r="L42" i="84"/>
  <c r="AF38" i="84"/>
  <c r="AA38" i="84"/>
  <c r="U4" i="84" a="1"/>
  <c r="U4" i="84" s="1"/>
  <c r="O4" i="84"/>
  <c r="N4" i="84"/>
  <c r="M4" i="84"/>
  <c r="L4" i="84"/>
  <c r="AF37" i="84"/>
  <c r="AA37" i="84"/>
  <c r="U41" i="84" a="1"/>
  <c r="U41" i="84" s="1"/>
  <c r="T41" i="84" s="1"/>
  <c r="O41" i="84"/>
  <c r="N41" i="84"/>
  <c r="M41" i="84"/>
  <c r="L41" i="84"/>
  <c r="AF36" i="84"/>
  <c r="AA36" i="84"/>
  <c r="U40" i="84" a="1"/>
  <c r="U40" i="84" s="1"/>
  <c r="O40" i="84"/>
  <c r="N40" i="84"/>
  <c r="M40" i="84"/>
  <c r="L40" i="84"/>
  <c r="AF35" i="84"/>
  <c r="AA35" i="84"/>
  <c r="U39" i="84" a="1"/>
  <c r="U39" i="84" s="1"/>
  <c r="T39" i="84" s="1"/>
  <c r="O39" i="84"/>
  <c r="N39" i="84"/>
  <c r="M39" i="84"/>
  <c r="L39" i="84"/>
  <c r="AF34" i="84"/>
  <c r="AA34" i="84"/>
  <c r="U38" i="84" a="1"/>
  <c r="U38" i="84" s="1"/>
  <c r="T38" i="84" s="1"/>
  <c r="O38" i="84"/>
  <c r="N38" i="84"/>
  <c r="M38" i="84"/>
  <c r="L38" i="84"/>
  <c r="AF33" i="84"/>
  <c r="AA33" i="84"/>
  <c r="U37" i="84" a="1"/>
  <c r="U37" i="84" s="1"/>
  <c r="T37" i="84" s="1"/>
  <c r="O37" i="84"/>
  <c r="N37" i="84"/>
  <c r="M37" i="84"/>
  <c r="L37" i="84"/>
  <c r="AF32" i="84"/>
  <c r="AA32" i="84"/>
  <c r="U36" i="84" a="1"/>
  <c r="U36" i="84" s="1"/>
  <c r="O36" i="84"/>
  <c r="N36" i="84"/>
  <c r="M36" i="84"/>
  <c r="L36" i="84"/>
  <c r="AF31" i="84"/>
  <c r="AA31" i="84"/>
  <c r="U35" i="84" a="1"/>
  <c r="U35" i="84" s="1"/>
  <c r="T35" i="84" s="1"/>
  <c r="O35" i="84"/>
  <c r="N35" i="84"/>
  <c r="M35" i="84"/>
  <c r="L35" i="84"/>
  <c r="AF30" i="84"/>
  <c r="AA30" i="84"/>
  <c r="U34" i="84" a="1"/>
  <c r="U34" i="84" s="1"/>
  <c r="O34" i="84"/>
  <c r="N34" i="84"/>
  <c r="M34" i="84"/>
  <c r="L34" i="84"/>
  <c r="AF29" i="84"/>
  <c r="AA29" i="84"/>
  <c r="U10" i="84" a="1"/>
  <c r="U10" i="84" s="1"/>
  <c r="T10" i="84" s="1"/>
  <c r="O10" i="84"/>
  <c r="N10" i="84"/>
  <c r="M10" i="84"/>
  <c r="L10" i="84"/>
  <c r="AF28" i="84"/>
  <c r="AA28" i="84"/>
  <c r="U33" i="84" a="1"/>
  <c r="U33" i="84" s="1"/>
  <c r="T33" i="84" s="1"/>
  <c r="O33" i="84"/>
  <c r="N33" i="84"/>
  <c r="M33" i="84"/>
  <c r="L33" i="84"/>
  <c r="AF27" i="84"/>
  <c r="AA27" i="84"/>
  <c r="U32" i="84" a="1"/>
  <c r="U32" i="84" s="1"/>
  <c r="T32" i="84" s="1"/>
  <c r="O32" i="84"/>
  <c r="N32" i="84"/>
  <c r="M32" i="84"/>
  <c r="L32" i="84"/>
  <c r="AF26" i="84"/>
  <c r="AA26" i="84"/>
  <c r="U31" i="84" a="1"/>
  <c r="U31" i="84" s="1"/>
  <c r="O31" i="84"/>
  <c r="N31" i="84"/>
  <c r="M31" i="84"/>
  <c r="L31" i="84"/>
  <c r="AF25" i="84"/>
  <c r="AA25" i="84"/>
  <c r="U9" i="84" a="1"/>
  <c r="U9" i="84" s="1"/>
  <c r="T9" i="84" s="1"/>
  <c r="O9" i="84"/>
  <c r="N9" i="84"/>
  <c r="M9" i="84"/>
  <c r="L9" i="84"/>
  <c r="AF24" i="84"/>
  <c r="AA24" i="84"/>
  <c r="U30" i="84" a="1"/>
  <c r="U30" i="84" s="1"/>
  <c r="O30" i="84"/>
  <c r="N30" i="84"/>
  <c r="M30" i="84"/>
  <c r="L30" i="84"/>
  <c r="AF23" i="84"/>
  <c r="AA23" i="84"/>
  <c r="U29" i="84" a="1"/>
  <c r="U29" i="84" s="1"/>
  <c r="T29" i="84" s="1"/>
  <c r="O29" i="84"/>
  <c r="N29" i="84"/>
  <c r="M29" i="84"/>
  <c r="L29" i="84"/>
  <c r="AF22" i="84"/>
  <c r="AA22" i="84"/>
  <c r="U28" i="84" a="1"/>
  <c r="U28" i="84" s="1"/>
  <c r="T28" i="84" s="1"/>
  <c r="O28" i="84"/>
  <c r="N28" i="84"/>
  <c r="M28" i="84"/>
  <c r="L28" i="84"/>
  <c r="AF21" i="84"/>
  <c r="AA21" i="84"/>
  <c r="U27" i="84" a="1"/>
  <c r="U27" i="84" s="1"/>
  <c r="T27" i="84" s="1"/>
  <c r="O27" i="84"/>
  <c r="N27" i="84"/>
  <c r="M27" i="84"/>
  <c r="L27" i="84"/>
  <c r="AF20" i="84"/>
  <c r="AA20" i="84"/>
  <c r="U26" i="84" a="1"/>
  <c r="U26" i="84" s="1"/>
  <c r="O26" i="84"/>
  <c r="N26" i="84"/>
  <c r="M26" i="84"/>
  <c r="L26" i="84"/>
  <c r="AF19" i="84"/>
  <c r="AA19" i="84"/>
  <c r="U25" i="84" a="1"/>
  <c r="U25" i="84" s="1"/>
  <c r="T25" i="84" s="1"/>
  <c r="O25" i="84"/>
  <c r="N25" i="84"/>
  <c r="M25" i="84"/>
  <c r="L25" i="84"/>
  <c r="AF18" i="84"/>
  <c r="AA18" i="84"/>
  <c r="U24" i="84" a="1"/>
  <c r="U24" i="84" s="1"/>
  <c r="O24" i="84"/>
  <c r="N24" i="84"/>
  <c r="M24" i="84"/>
  <c r="L24" i="84"/>
  <c r="AF17" i="84"/>
  <c r="AA17" i="84"/>
  <c r="U23" i="84" a="1"/>
  <c r="U23" i="84" s="1"/>
  <c r="T23" i="84" s="1"/>
  <c r="O23" i="84"/>
  <c r="N23" i="84"/>
  <c r="M23" i="84"/>
  <c r="L23" i="84"/>
  <c r="AF16" i="84"/>
  <c r="AA16" i="84"/>
  <c r="U22" i="84" a="1"/>
  <c r="U22" i="84" s="1"/>
  <c r="T22" i="84" s="1"/>
  <c r="O22" i="84"/>
  <c r="N22" i="84"/>
  <c r="M22" i="84"/>
  <c r="L22" i="84"/>
  <c r="AF15" i="84"/>
  <c r="AA15" i="84"/>
  <c r="U21" i="84" a="1"/>
  <c r="U21" i="84" s="1"/>
  <c r="T21" i="84" s="1"/>
  <c r="O21" i="84"/>
  <c r="N21" i="84"/>
  <c r="M21" i="84"/>
  <c r="L21" i="84"/>
  <c r="AF14" i="84"/>
  <c r="AA14" i="84"/>
  <c r="U20" i="84" a="1"/>
  <c r="U20" i="84" s="1"/>
  <c r="O20" i="84"/>
  <c r="N20" i="84"/>
  <c r="M20" i="84"/>
  <c r="L20" i="84"/>
  <c r="AF13" i="84"/>
  <c r="AA13" i="84"/>
  <c r="U19" i="84" a="1"/>
  <c r="U19" i="84" s="1"/>
  <c r="T19" i="84" s="1"/>
  <c r="O19" i="84"/>
  <c r="N19" i="84"/>
  <c r="M19" i="84"/>
  <c r="L19" i="84"/>
  <c r="AF12" i="84"/>
  <c r="AA12" i="84"/>
  <c r="U18" i="84" a="1"/>
  <c r="U18" i="84" s="1"/>
  <c r="O18" i="84"/>
  <c r="N18" i="84"/>
  <c r="M18" i="84"/>
  <c r="L18" i="84"/>
  <c r="AF11" i="84"/>
  <c r="AA11" i="84"/>
  <c r="U17" i="84" a="1"/>
  <c r="U17" i="84" s="1"/>
  <c r="T17" i="84" s="1"/>
  <c r="O17" i="84"/>
  <c r="N17" i="84"/>
  <c r="M17" i="84"/>
  <c r="L17" i="84"/>
  <c r="AF10" i="84"/>
  <c r="AA10" i="84"/>
  <c r="U8" i="84" a="1"/>
  <c r="U8" i="84" s="1"/>
  <c r="T8" i="84" s="1"/>
  <c r="O8" i="84"/>
  <c r="N8" i="84"/>
  <c r="M8" i="84"/>
  <c r="L8" i="84"/>
  <c r="AF9" i="84"/>
  <c r="AA9" i="84"/>
  <c r="U16" i="84" a="1"/>
  <c r="U16" i="84" s="1"/>
  <c r="T16" i="84" s="1"/>
  <c r="O16" i="84"/>
  <c r="N16" i="84"/>
  <c r="M16" i="84"/>
  <c r="L16" i="84"/>
  <c r="AF8" i="84"/>
  <c r="AA8" i="84"/>
  <c r="U15" i="84" a="1"/>
  <c r="U15" i="84" s="1"/>
  <c r="O15" i="84"/>
  <c r="N15" i="84"/>
  <c r="M15" i="84"/>
  <c r="L15" i="84"/>
  <c r="AF7" i="84"/>
  <c r="AA7" i="84"/>
  <c r="U7" i="84" a="1"/>
  <c r="U7" i="84" s="1"/>
  <c r="T7" i="84" s="1"/>
  <c r="O7" i="84"/>
  <c r="N7" i="84"/>
  <c r="M7" i="84"/>
  <c r="L7" i="84"/>
  <c r="AF6" i="84"/>
  <c r="AA6" i="84"/>
  <c r="U2" i="84" a="1"/>
  <c r="U2" i="84" s="1"/>
  <c r="O2" i="84"/>
  <c r="N2" i="84"/>
  <c r="M2" i="84"/>
  <c r="L2" i="84"/>
  <c r="AF5" i="84"/>
  <c r="AA5" i="84"/>
  <c r="U14" i="84" a="1"/>
  <c r="U14" i="84" s="1"/>
  <c r="T14" i="84" s="1"/>
  <c r="O14" i="84"/>
  <c r="N14" i="84"/>
  <c r="M14" i="84"/>
  <c r="L14" i="84"/>
  <c r="AF4" i="84"/>
  <c r="AA4" i="84"/>
  <c r="U3" i="84" a="1"/>
  <c r="U3" i="84" s="1"/>
  <c r="T3" i="84" s="1"/>
  <c r="O3" i="84"/>
  <c r="N3" i="84"/>
  <c r="M3" i="84"/>
  <c r="L3" i="84"/>
  <c r="AF3" i="84"/>
  <c r="AA3" i="84"/>
  <c r="U13" i="84" a="1"/>
  <c r="U13" i="84" s="1"/>
  <c r="T13" i="84" s="1"/>
  <c r="O13" i="84"/>
  <c r="N13" i="84"/>
  <c r="M13" i="84"/>
  <c r="L13" i="84"/>
  <c r="U12" i="84" a="1"/>
  <c r="U12" i="84" s="1"/>
  <c r="O12" i="84"/>
  <c r="N12" i="84"/>
  <c r="M12" i="84"/>
  <c r="L12" i="84"/>
  <c r="N35" i="52"/>
  <c r="O35" i="52"/>
  <c r="P35" i="52"/>
  <c r="P31" i="52"/>
  <c r="Q31" i="52"/>
  <c r="N31" i="52"/>
  <c r="J55" i="52"/>
  <c r="F55" i="52"/>
  <c r="E55" i="52"/>
  <c r="U22" i="61"/>
  <c r="V22" i="61" s="1"/>
  <c r="Q14" i="61"/>
  <c r="R14" i="61" s="1"/>
  <c r="P14" i="61"/>
  <c r="O14" i="61"/>
  <c r="I14" i="61"/>
  <c r="H14" i="61"/>
  <c r="G14" i="61"/>
  <c r="F14" i="61"/>
  <c r="E14" i="61"/>
  <c r="D14" i="61"/>
  <c r="C14" i="61"/>
  <c r="U29" i="61"/>
  <c r="U28" i="61"/>
  <c r="U27" i="61"/>
  <c r="U26" i="61"/>
  <c r="O143" i="83"/>
  <c r="N143" i="83"/>
  <c r="M143" i="83"/>
  <c r="L143" i="83"/>
  <c r="O142" i="83"/>
  <c r="N142" i="83"/>
  <c r="M142" i="83"/>
  <c r="L142" i="83"/>
  <c r="O141" i="83"/>
  <c r="N141" i="83"/>
  <c r="M141" i="83"/>
  <c r="L141" i="83"/>
  <c r="O140" i="83"/>
  <c r="N140" i="83"/>
  <c r="M140" i="83"/>
  <c r="L140" i="83"/>
  <c r="O139" i="83"/>
  <c r="N139" i="83"/>
  <c r="M139" i="83"/>
  <c r="L139" i="83"/>
  <c r="O138" i="83"/>
  <c r="N138" i="83"/>
  <c r="M138" i="83"/>
  <c r="L138" i="83"/>
  <c r="O137" i="83"/>
  <c r="N137" i="83"/>
  <c r="M137" i="83"/>
  <c r="L137" i="83"/>
  <c r="O136" i="83"/>
  <c r="N136" i="83"/>
  <c r="M136" i="83"/>
  <c r="L136" i="83"/>
  <c r="O135" i="83"/>
  <c r="N135" i="83"/>
  <c r="M135" i="83"/>
  <c r="L135" i="83"/>
  <c r="O134" i="83"/>
  <c r="N134" i="83"/>
  <c r="M134" i="83"/>
  <c r="L134" i="83"/>
  <c r="O133" i="83"/>
  <c r="N133" i="83"/>
  <c r="M133" i="83"/>
  <c r="L133" i="83"/>
  <c r="O132" i="83"/>
  <c r="N132" i="83"/>
  <c r="M132" i="83"/>
  <c r="L132" i="83"/>
  <c r="O131" i="83"/>
  <c r="N131" i="83"/>
  <c r="M131" i="83"/>
  <c r="L131" i="83"/>
  <c r="O130" i="83"/>
  <c r="N130" i="83"/>
  <c r="M130" i="83"/>
  <c r="L130" i="83"/>
  <c r="O129" i="83"/>
  <c r="N129" i="83"/>
  <c r="M129" i="83"/>
  <c r="L129" i="83"/>
  <c r="O128" i="83"/>
  <c r="N128" i="83"/>
  <c r="M128" i="83"/>
  <c r="L128" i="83"/>
  <c r="O127" i="83"/>
  <c r="N127" i="83"/>
  <c r="M127" i="83"/>
  <c r="L127" i="83"/>
  <c r="O126" i="83"/>
  <c r="N126" i="83"/>
  <c r="M126" i="83"/>
  <c r="L126" i="83"/>
  <c r="O125" i="83"/>
  <c r="N125" i="83"/>
  <c r="M125" i="83"/>
  <c r="L125" i="83"/>
  <c r="O124" i="83"/>
  <c r="N124" i="83"/>
  <c r="M124" i="83"/>
  <c r="L124" i="83"/>
  <c r="O123" i="83"/>
  <c r="N123" i="83"/>
  <c r="M123" i="83"/>
  <c r="L123" i="83"/>
  <c r="O122" i="83"/>
  <c r="N122" i="83"/>
  <c r="M122" i="83"/>
  <c r="L122" i="83"/>
  <c r="O121" i="83"/>
  <c r="N121" i="83"/>
  <c r="M121" i="83"/>
  <c r="L121" i="83"/>
  <c r="O2" i="83"/>
  <c r="N2" i="83"/>
  <c r="M2" i="83"/>
  <c r="L2" i="83"/>
  <c r="O120" i="83"/>
  <c r="N120" i="83"/>
  <c r="M120" i="83"/>
  <c r="L120" i="83"/>
  <c r="O9" i="83"/>
  <c r="N9" i="83"/>
  <c r="M9" i="83"/>
  <c r="L9" i="83"/>
  <c r="O119" i="83"/>
  <c r="N119" i="83"/>
  <c r="M119" i="83"/>
  <c r="L119" i="83"/>
  <c r="O5" i="83"/>
  <c r="N5" i="83"/>
  <c r="M5" i="83"/>
  <c r="L5" i="83"/>
  <c r="O118" i="83"/>
  <c r="N118" i="83"/>
  <c r="M118" i="83"/>
  <c r="L118" i="83"/>
  <c r="O117" i="83"/>
  <c r="N117" i="83"/>
  <c r="M117" i="83"/>
  <c r="L117" i="83"/>
  <c r="O116" i="83"/>
  <c r="N116" i="83"/>
  <c r="M116" i="83"/>
  <c r="L116" i="83"/>
  <c r="O115" i="83"/>
  <c r="N115" i="83"/>
  <c r="M115" i="83"/>
  <c r="L115" i="83"/>
  <c r="O114" i="83"/>
  <c r="N114" i="83"/>
  <c r="M114" i="83"/>
  <c r="L114" i="83"/>
  <c r="O113" i="83"/>
  <c r="N113" i="83"/>
  <c r="M113" i="83"/>
  <c r="L113" i="83"/>
  <c r="O112" i="83"/>
  <c r="N112" i="83"/>
  <c r="M112" i="83"/>
  <c r="L112" i="83"/>
  <c r="O111" i="83"/>
  <c r="N111" i="83"/>
  <c r="M111" i="83"/>
  <c r="L111" i="83"/>
  <c r="O110" i="83"/>
  <c r="N110" i="83"/>
  <c r="M110" i="83"/>
  <c r="L110" i="83"/>
  <c r="O109" i="83"/>
  <c r="N109" i="83"/>
  <c r="M109" i="83"/>
  <c r="L109" i="83"/>
  <c r="O108" i="83"/>
  <c r="N108" i="83"/>
  <c r="M108" i="83"/>
  <c r="L108" i="83"/>
  <c r="O107" i="83"/>
  <c r="N107" i="83"/>
  <c r="M107" i="83"/>
  <c r="L107" i="83"/>
  <c r="O106" i="83"/>
  <c r="N106" i="83"/>
  <c r="M106" i="83"/>
  <c r="L106" i="83"/>
  <c r="O105" i="83"/>
  <c r="N105" i="83"/>
  <c r="M105" i="83"/>
  <c r="L105" i="83"/>
  <c r="O104" i="83"/>
  <c r="N104" i="83"/>
  <c r="M104" i="83"/>
  <c r="L104" i="83"/>
  <c r="O103" i="83"/>
  <c r="N103" i="83"/>
  <c r="M103" i="83"/>
  <c r="L103" i="83"/>
  <c r="O102" i="83"/>
  <c r="N102" i="83"/>
  <c r="M102" i="83"/>
  <c r="L102" i="83"/>
  <c r="O101" i="83"/>
  <c r="N101" i="83"/>
  <c r="M101" i="83"/>
  <c r="L101" i="83"/>
  <c r="O100" i="83"/>
  <c r="N100" i="83"/>
  <c r="M100" i="83"/>
  <c r="L100" i="83"/>
  <c r="O99" i="83"/>
  <c r="N99" i="83"/>
  <c r="M99" i="83"/>
  <c r="L99" i="83"/>
  <c r="O98" i="83"/>
  <c r="N98" i="83"/>
  <c r="M98" i="83"/>
  <c r="L98" i="83"/>
  <c r="O97" i="83"/>
  <c r="N97" i="83"/>
  <c r="M97" i="83"/>
  <c r="L97" i="83"/>
  <c r="O96" i="83"/>
  <c r="N96" i="83"/>
  <c r="M96" i="83"/>
  <c r="L96" i="83"/>
  <c r="O95" i="83"/>
  <c r="N95" i="83"/>
  <c r="M95" i="83"/>
  <c r="L95" i="83"/>
  <c r="O94" i="83"/>
  <c r="N94" i="83"/>
  <c r="M94" i="83"/>
  <c r="L94" i="83"/>
  <c r="O93" i="83"/>
  <c r="N93" i="83"/>
  <c r="M93" i="83"/>
  <c r="L93" i="83"/>
  <c r="O92" i="83"/>
  <c r="N92" i="83"/>
  <c r="M92" i="83"/>
  <c r="L92" i="83"/>
  <c r="O91" i="83"/>
  <c r="N91" i="83"/>
  <c r="M91" i="83"/>
  <c r="L91" i="83"/>
  <c r="O90" i="83"/>
  <c r="N90" i="83"/>
  <c r="M90" i="83"/>
  <c r="L90" i="83"/>
  <c r="O89" i="83"/>
  <c r="N89" i="83"/>
  <c r="M89" i="83"/>
  <c r="L89" i="83"/>
  <c r="O88" i="83"/>
  <c r="N88" i="83"/>
  <c r="M88" i="83"/>
  <c r="L88" i="83"/>
  <c r="O87" i="83"/>
  <c r="N87" i="83"/>
  <c r="M87" i="83"/>
  <c r="L87" i="83"/>
  <c r="O86" i="83"/>
  <c r="N86" i="83"/>
  <c r="M86" i="83"/>
  <c r="L86" i="83"/>
  <c r="O85" i="83"/>
  <c r="N85" i="83"/>
  <c r="M85" i="83"/>
  <c r="L85" i="83"/>
  <c r="O84" i="83"/>
  <c r="N84" i="83"/>
  <c r="M84" i="83"/>
  <c r="L84" i="83"/>
  <c r="O83" i="83"/>
  <c r="N83" i="83"/>
  <c r="M83" i="83"/>
  <c r="L83" i="83"/>
  <c r="O82" i="83"/>
  <c r="N82" i="83"/>
  <c r="M82" i="83"/>
  <c r="L82" i="83"/>
  <c r="O81" i="83"/>
  <c r="N81" i="83"/>
  <c r="M81" i="83"/>
  <c r="L81" i="83"/>
  <c r="O80" i="83"/>
  <c r="N80" i="83"/>
  <c r="M80" i="83"/>
  <c r="L80" i="83"/>
  <c r="O79" i="83"/>
  <c r="N79" i="83"/>
  <c r="M79" i="83"/>
  <c r="L79" i="83"/>
  <c r="O78" i="83"/>
  <c r="N78" i="83"/>
  <c r="M78" i="83"/>
  <c r="L78" i="83"/>
  <c r="O77" i="83"/>
  <c r="N77" i="83"/>
  <c r="M77" i="83"/>
  <c r="L77" i="83"/>
  <c r="O76" i="83"/>
  <c r="N76" i="83"/>
  <c r="M76" i="83"/>
  <c r="L76" i="83"/>
  <c r="O75" i="83"/>
  <c r="N75" i="83"/>
  <c r="M75" i="83"/>
  <c r="L75" i="83"/>
  <c r="O74" i="83"/>
  <c r="N74" i="83"/>
  <c r="M74" i="83"/>
  <c r="L74" i="83"/>
  <c r="O73" i="83"/>
  <c r="N73" i="83"/>
  <c r="M73" i="83"/>
  <c r="L73" i="83"/>
  <c r="O72" i="83"/>
  <c r="N72" i="83"/>
  <c r="M72" i="83"/>
  <c r="L72" i="83"/>
  <c r="O71" i="83"/>
  <c r="N71" i="83"/>
  <c r="M71" i="83"/>
  <c r="L71" i="83"/>
  <c r="O70" i="83"/>
  <c r="N70" i="83"/>
  <c r="M70" i="83"/>
  <c r="L70" i="83"/>
  <c r="O69" i="83"/>
  <c r="N69" i="83"/>
  <c r="M69" i="83"/>
  <c r="L69" i="83"/>
  <c r="O68" i="83"/>
  <c r="N68" i="83"/>
  <c r="M68" i="83"/>
  <c r="L68" i="83"/>
  <c r="O67" i="83"/>
  <c r="N67" i="83"/>
  <c r="M67" i="83"/>
  <c r="L67" i="83"/>
  <c r="O66" i="83"/>
  <c r="N66" i="83"/>
  <c r="M66" i="83"/>
  <c r="L66" i="83"/>
  <c r="O65" i="83"/>
  <c r="N65" i="83"/>
  <c r="M65" i="83"/>
  <c r="L65" i="83"/>
  <c r="O64" i="83"/>
  <c r="N64" i="83"/>
  <c r="M64" i="83"/>
  <c r="L64" i="83"/>
  <c r="O63" i="83"/>
  <c r="N63" i="83"/>
  <c r="M63" i="83"/>
  <c r="L63" i="83"/>
  <c r="O62" i="83"/>
  <c r="N62" i="83"/>
  <c r="M62" i="83"/>
  <c r="L62" i="83"/>
  <c r="O61" i="83"/>
  <c r="N61" i="83"/>
  <c r="M61" i="83"/>
  <c r="L61" i="83"/>
  <c r="O60" i="83"/>
  <c r="N60" i="83"/>
  <c r="M60" i="83"/>
  <c r="L60" i="83"/>
  <c r="O11" i="83"/>
  <c r="N11" i="83"/>
  <c r="M11" i="83"/>
  <c r="L11" i="83"/>
  <c r="O59" i="83"/>
  <c r="N59" i="83"/>
  <c r="M59" i="83"/>
  <c r="L59" i="83"/>
  <c r="O58" i="83"/>
  <c r="N58" i="83"/>
  <c r="M58" i="83"/>
  <c r="L58" i="83"/>
  <c r="O57" i="83"/>
  <c r="N57" i="83"/>
  <c r="M57" i="83"/>
  <c r="L57" i="83"/>
  <c r="O56" i="83"/>
  <c r="N56" i="83"/>
  <c r="M56" i="83"/>
  <c r="L56" i="83"/>
  <c r="O55" i="83"/>
  <c r="N55" i="83"/>
  <c r="M55" i="83"/>
  <c r="L55" i="83"/>
  <c r="O54" i="83"/>
  <c r="N54" i="83"/>
  <c r="M54" i="83"/>
  <c r="L54" i="83"/>
  <c r="O53" i="83"/>
  <c r="N53" i="83"/>
  <c r="M53" i="83"/>
  <c r="L53" i="83"/>
  <c r="O52" i="83"/>
  <c r="N52" i="83"/>
  <c r="M52" i="83"/>
  <c r="L52" i="83"/>
  <c r="O51" i="83"/>
  <c r="N51" i="83"/>
  <c r="M51" i="83"/>
  <c r="L51" i="83"/>
  <c r="O10" i="83"/>
  <c r="N10" i="83"/>
  <c r="M10" i="83"/>
  <c r="L10" i="83"/>
  <c r="O3" i="83"/>
  <c r="N3" i="83"/>
  <c r="M3" i="83"/>
  <c r="L3" i="83"/>
  <c r="O8" i="83"/>
  <c r="N8" i="83"/>
  <c r="M8" i="83"/>
  <c r="L8" i="83"/>
  <c r="O7" i="83"/>
  <c r="N7" i="83"/>
  <c r="M7" i="83"/>
  <c r="L7" i="83"/>
  <c r="O50" i="83"/>
  <c r="N50" i="83"/>
  <c r="M50" i="83"/>
  <c r="L50" i="83"/>
  <c r="O49" i="83"/>
  <c r="N49" i="83"/>
  <c r="M49" i="83"/>
  <c r="L49" i="83"/>
  <c r="O48" i="83"/>
  <c r="N48" i="83"/>
  <c r="M48" i="83"/>
  <c r="L48" i="83"/>
  <c r="O47" i="83"/>
  <c r="N47" i="83"/>
  <c r="M47" i="83"/>
  <c r="L47" i="83"/>
  <c r="O46" i="83"/>
  <c r="N46" i="83"/>
  <c r="M46" i="83"/>
  <c r="L46" i="83"/>
  <c r="O45" i="83"/>
  <c r="N45" i="83"/>
  <c r="M45" i="83"/>
  <c r="L45" i="83"/>
  <c r="O44" i="83"/>
  <c r="N44" i="83"/>
  <c r="M44" i="83"/>
  <c r="L44" i="83"/>
  <c r="O43" i="83"/>
  <c r="N43" i="83"/>
  <c r="M43" i="83"/>
  <c r="L43" i="83"/>
  <c r="O42" i="83"/>
  <c r="N42" i="83"/>
  <c r="M42" i="83"/>
  <c r="L42" i="83"/>
  <c r="O41" i="83"/>
  <c r="N41" i="83"/>
  <c r="M41" i="83"/>
  <c r="L41" i="83"/>
  <c r="O40" i="83"/>
  <c r="N40" i="83"/>
  <c r="M40" i="83"/>
  <c r="L40" i="83"/>
  <c r="O39" i="83"/>
  <c r="N39" i="83"/>
  <c r="M39" i="83"/>
  <c r="L39" i="83"/>
  <c r="O38" i="83"/>
  <c r="N38" i="83"/>
  <c r="M38" i="83"/>
  <c r="L38" i="83"/>
  <c r="O4" i="83"/>
  <c r="N4" i="83"/>
  <c r="M4" i="83"/>
  <c r="L4" i="83"/>
  <c r="O37" i="83"/>
  <c r="N37" i="83"/>
  <c r="M37" i="83"/>
  <c r="L37" i="83"/>
  <c r="O36" i="83"/>
  <c r="N36" i="83"/>
  <c r="M36" i="83"/>
  <c r="L36" i="83"/>
  <c r="O35" i="83"/>
  <c r="N35" i="83"/>
  <c r="M35" i="83"/>
  <c r="L35" i="83"/>
  <c r="O34" i="83"/>
  <c r="N34" i="83"/>
  <c r="M34" i="83"/>
  <c r="L34" i="83"/>
  <c r="O33" i="83"/>
  <c r="N33" i="83"/>
  <c r="M33" i="83"/>
  <c r="L33" i="83"/>
  <c r="O32" i="83"/>
  <c r="N32" i="83"/>
  <c r="M32" i="83"/>
  <c r="L32" i="83"/>
  <c r="O31" i="83"/>
  <c r="N31" i="83"/>
  <c r="M31" i="83"/>
  <c r="L31" i="83"/>
  <c r="O30" i="83"/>
  <c r="N30" i="83"/>
  <c r="M30" i="83"/>
  <c r="L30" i="83"/>
  <c r="O29" i="83"/>
  <c r="N29" i="83"/>
  <c r="M29" i="83"/>
  <c r="L29" i="83"/>
  <c r="O28" i="83"/>
  <c r="N28" i="83"/>
  <c r="M28" i="83"/>
  <c r="L28" i="83"/>
  <c r="O27" i="83"/>
  <c r="N27" i="83"/>
  <c r="M27" i="83"/>
  <c r="L27" i="83"/>
  <c r="O26" i="83"/>
  <c r="N26" i="83"/>
  <c r="M26" i="83"/>
  <c r="L26" i="83"/>
  <c r="O25" i="83"/>
  <c r="N25" i="83"/>
  <c r="M25" i="83"/>
  <c r="L25" i="83"/>
  <c r="O24" i="83"/>
  <c r="N24" i="83"/>
  <c r="M24" i="83"/>
  <c r="L24" i="83"/>
  <c r="O23" i="83"/>
  <c r="N23" i="83"/>
  <c r="M23" i="83"/>
  <c r="L23" i="83"/>
  <c r="O22" i="83"/>
  <c r="N22" i="83"/>
  <c r="M22" i="83"/>
  <c r="L22" i="83"/>
  <c r="O21" i="83"/>
  <c r="N21" i="83"/>
  <c r="M21" i="83"/>
  <c r="L21" i="83"/>
  <c r="O20" i="83"/>
  <c r="N20" i="83"/>
  <c r="M20" i="83"/>
  <c r="L20" i="83"/>
  <c r="O19" i="83"/>
  <c r="N19" i="83"/>
  <c r="M19" i="83"/>
  <c r="L19" i="83"/>
  <c r="O18" i="83"/>
  <c r="N18" i="83"/>
  <c r="M18" i="83"/>
  <c r="L18" i="83"/>
  <c r="O17" i="83"/>
  <c r="N17" i="83"/>
  <c r="M17" i="83"/>
  <c r="L17" i="83"/>
  <c r="O16" i="83"/>
  <c r="N16" i="83"/>
  <c r="M16" i="83"/>
  <c r="L16" i="83"/>
  <c r="O15" i="83"/>
  <c r="N15" i="83"/>
  <c r="M15" i="83"/>
  <c r="L15" i="83"/>
  <c r="O14" i="83"/>
  <c r="N14" i="83"/>
  <c r="M14" i="83"/>
  <c r="L14" i="83"/>
  <c r="O13" i="83"/>
  <c r="N13" i="83"/>
  <c r="M13" i="83"/>
  <c r="L13" i="83"/>
  <c r="O12" i="83"/>
  <c r="N12" i="83"/>
  <c r="M12" i="83"/>
  <c r="L12" i="83"/>
  <c r="O6" i="83"/>
  <c r="N6" i="83"/>
  <c r="M6" i="83"/>
  <c r="L6" i="83"/>
  <c r="H217" i="55"/>
  <c r="O238" i="55"/>
  <c r="O239" i="55"/>
  <c r="O240" i="55"/>
  <c r="O241" i="55"/>
  <c r="O242" i="55"/>
  <c r="O243" i="55"/>
  <c r="O244" i="55"/>
  <c r="O245" i="55"/>
  <c r="O237" i="55"/>
  <c r="V148" i="6"/>
  <c r="V151" i="6"/>
  <c r="V153" i="6"/>
  <c r="V154" i="6"/>
  <c r="V155" i="6"/>
  <c r="V156" i="6"/>
  <c r="V157" i="6"/>
  <c r="V158" i="6"/>
  <c r="V159" i="6"/>
  <c r="V160" i="6"/>
  <c r="V161" i="6"/>
  <c r="V162" i="6"/>
  <c r="V163" i="6"/>
  <c r="V164" i="6"/>
  <c r="V3" i="6"/>
  <c r="V4" i="6"/>
  <c r="V5" i="6"/>
  <c r="V6" i="6"/>
  <c r="V7" i="6"/>
  <c r="V9" i="6"/>
  <c r="V15" i="6"/>
  <c r="V16" i="6"/>
  <c r="V17" i="6"/>
  <c r="V18" i="6"/>
  <c r="V19" i="6"/>
  <c r="V21" i="6"/>
  <c r="V27" i="6"/>
  <c r="V28" i="6"/>
  <c r="V29" i="6"/>
  <c r="V30" i="6"/>
  <c r="V31" i="6"/>
  <c r="V32" i="6"/>
  <c r="V33" i="6"/>
  <c r="V39" i="6"/>
  <c r="V40" i="6"/>
  <c r="V41" i="6"/>
  <c r="V42" i="6"/>
  <c r="V43" i="6"/>
  <c r="V45" i="6"/>
  <c r="V46" i="6"/>
  <c r="V51" i="6"/>
  <c r="V52" i="6"/>
  <c r="V53" i="6"/>
  <c r="V54" i="6"/>
  <c r="V55" i="6"/>
  <c r="V57" i="6"/>
  <c r="V63" i="6"/>
  <c r="V64" i="6"/>
  <c r="V65" i="6"/>
  <c r="V66" i="6"/>
  <c r="V67" i="6"/>
  <c r="V69" i="6"/>
  <c r="V71" i="6"/>
  <c r="V72" i="6"/>
  <c r="V73" i="6"/>
  <c r="V75" i="6"/>
  <c r="V76" i="6"/>
  <c r="V77" i="6"/>
  <c r="V78" i="6"/>
  <c r="V79" i="6"/>
  <c r="V80" i="6"/>
  <c r="V83" i="6"/>
  <c r="V84" i="6"/>
  <c r="V87" i="6"/>
  <c r="V88" i="6"/>
  <c r="V89" i="6"/>
  <c r="V90" i="6"/>
  <c r="V91" i="6"/>
  <c r="V95" i="6"/>
  <c r="V96" i="6"/>
  <c r="V99" i="6"/>
  <c r="V100" i="6"/>
  <c r="V101" i="6"/>
  <c r="V102" i="6"/>
  <c r="V103" i="6"/>
  <c r="V107" i="6"/>
  <c r="V108" i="6"/>
  <c r="V111" i="6"/>
  <c r="V112" i="6"/>
  <c r="V113" i="6"/>
  <c r="V114" i="6"/>
  <c r="V115" i="6"/>
  <c r="V116" i="6"/>
  <c r="V119" i="6"/>
  <c r="V120" i="6"/>
  <c r="V121" i="6"/>
  <c r="V123" i="6"/>
  <c r="V124" i="6"/>
  <c r="V125" i="6"/>
  <c r="V126" i="6"/>
  <c r="V127" i="6"/>
  <c r="V131" i="6"/>
  <c r="V132" i="6"/>
  <c r="V134" i="6"/>
  <c r="V135" i="6"/>
  <c r="V136" i="6"/>
  <c r="V137" i="6"/>
  <c r="V138" i="6"/>
  <c r="V139" i="6"/>
  <c r="V140" i="6"/>
  <c r="V141" i="6"/>
  <c r="V142" i="6"/>
  <c r="V143" i="6"/>
  <c r="V144" i="6"/>
  <c r="V145" i="6"/>
  <c r="V146" i="6"/>
  <c r="V147" i="6"/>
  <c r="V149" i="6"/>
  <c r="V150" i="6"/>
  <c r="V152" i="6"/>
  <c r="V2" i="6"/>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2" i="8"/>
  <c r="U48" i="61"/>
  <c r="V48" i="61" s="1"/>
  <c r="Q13" i="61"/>
  <c r="R13" i="61" s="1"/>
  <c r="P13" i="61"/>
  <c r="O13" i="61"/>
  <c r="F13" i="61"/>
  <c r="I13" i="61"/>
  <c r="H13" i="61"/>
  <c r="G13" i="61"/>
  <c r="E13" i="61"/>
  <c r="D13" i="61"/>
  <c r="C13" i="61"/>
  <c r="R12" i="18"/>
  <c r="P12" i="18" s="1"/>
  <c r="J54" i="52"/>
  <c r="E54" i="52"/>
  <c r="F54" i="52"/>
  <c r="O143" i="82"/>
  <c r="N143" i="82"/>
  <c r="M143" i="82"/>
  <c r="L143" i="82"/>
  <c r="O142" i="82"/>
  <c r="N142" i="82"/>
  <c r="M142" i="82"/>
  <c r="L142" i="82"/>
  <c r="O141" i="82"/>
  <c r="N141" i="82"/>
  <c r="M141" i="82"/>
  <c r="L141" i="82"/>
  <c r="O140" i="82"/>
  <c r="N140" i="82"/>
  <c r="M140" i="82"/>
  <c r="L140" i="82"/>
  <c r="O139" i="82"/>
  <c r="N139" i="82"/>
  <c r="M139" i="82"/>
  <c r="L139" i="82"/>
  <c r="O138" i="82"/>
  <c r="N138" i="82"/>
  <c r="M138" i="82"/>
  <c r="L138" i="82"/>
  <c r="O137" i="82"/>
  <c r="N137" i="82"/>
  <c r="M137" i="82"/>
  <c r="L137" i="82"/>
  <c r="O136" i="82"/>
  <c r="N136" i="82"/>
  <c r="M136" i="82"/>
  <c r="L136" i="82"/>
  <c r="O135" i="82"/>
  <c r="N135" i="82"/>
  <c r="M135" i="82"/>
  <c r="L135" i="82"/>
  <c r="O134" i="82"/>
  <c r="N134" i="82"/>
  <c r="M134" i="82"/>
  <c r="L134" i="82"/>
  <c r="O133" i="82"/>
  <c r="N133" i="82"/>
  <c r="M133" i="82"/>
  <c r="L133" i="82"/>
  <c r="O132" i="82"/>
  <c r="N132" i="82"/>
  <c r="M132" i="82"/>
  <c r="L132" i="82"/>
  <c r="O131" i="82"/>
  <c r="N131" i="82"/>
  <c r="M131" i="82"/>
  <c r="L131" i="82"/>
  <c r="O130" i="82"/>
  <c r="N130" i="82"/>
  <c r="M130" i="82"/>
  <c r="L130" i="82"/>
  <c r="O129" i="82"/>
  <c r="N129" i="82"/>
  <c r="M129" i="82"/>
  <c r="L129" i="82"/>
  <c r="O128" i="82"/>
  <c r="N128" i="82"/>
  <c r="M128" i="82"/>
  <c r="L128" i="82"/>
  <c r="O127" i="82"/>
  <c r="N127" i="82"/>
  <c r="M127" i="82"/>
  <c r="L127" i="82"/>
  <c r="O126" i="82"/>
  <c r="N126" i="82"/>
  <c r="M126" i="82"/>
  <c r="L126" i="82"/>
  <c r="O125" i="82"/>
  <c r="N125" i="82"/>
  <c r="M125" i="82"/>
  <c r="L125" i="82"/>
  <c r="O124" i="82"/>
  <c r="N124" i="82"/>
  <c r="M124" i="82"/>
  <c r="L124" i="82"/>
  <c r="O123" i="82"/>
  <c r="N123" i="82"/>
  <c r="M123" i="82"/>
  <c r="L123" i="82"/>
  <c r="O122" i="82"/>
  <c r="N122" i="82"/>
  <c r="M122" i="82"/>
  <c r="L122" i="82"/>
  <c r="O121" i="82"/>
  <c r="N121" i="82"/>
  <c r="M121" i="82"/>
  <c r="L121" i="82"/>
  <c r="O120" i="82"/>
  <c r="N120" i="82"/>
  <c r="M120" i="82"/>
  <c r="L120" i="82"/>
  <c r="O119" i="82"/>
  <c r="N119" i="82"/>
  <c r="M119" i="82"/>
  <c r="L119" i="82"/>
  <c r="O118" i="82"/>
  <c r="N118" i="82"/>
  <c r="M118" i="82"/>
  <c r="L118" i="82"/>
  <c r="O117" i="82"/>
  <c r="N117" i="82"/>
  <c r="M117" i="82"/>
  <c r="L117" i="82"/>
  <c r="O116" i="82"/>
  <c r="N116" i="82"/>
  <c r="M116" i="82"/>
  <c r="L116" i="82"/>
  <c r="O115" i="82"/>
  <c r="N115" i="82"/>
  <c r="M115" i="82"/>
  <c r="L115" i="82"/>
  <c r="O114" i="82"/>
  <c r="N114" i="82"/>
  <c r="M114" i="82"/>
  <c r="L114" i="82"/>
  <c r="O113" i="82"/>
  <c r="N113" i="82"/>
  <c r="M113" i="82"/>
  <c r="L113" i="82"/>
  <c r="O112" i="82"/>
  <c r="N112" i="82"/>
  <c r="M112" i="82"/>
  <c r="L112" i="82"/>
  <c r="O111" i="82"/>
  <c r="N111" i="82"/>
  <c r="M111" i="82"/>
  <c r="L111" i="82"/>
  <c r="O110" i="82"/>
  <c r="N110" i="82"/>
  <c r="M110" i="82"/>
  <c r="L110" i="82"/>
  <c r="O109" i="82"/>
  <c r="N109" i="82"/>
  <c r="M109" i="82"/>
  <c r="L109" i="82"/>
  <c r="O108" i="82"/>
  <c r="N108" i="82"/>
  <c r="M108" i="82"/>
  <c r="L108" i="82"/>
  <c r="O107" i="82"/>
  <c r="N107" i="82"/>
  <c r="M107" i="82"/>
  <c r="L107" i="82"/>
  <c r="O106" i="82"/>
  <c r="N106" i="82"/>
  <c r="M106" i="82"/>
  <c r="L106" i="82"/>
  <c r="O105" i="82"/>
  <c r="N105" i="82"/>
  <c r="M105" i="82"/>
  <c r="L105" i="82"/>
  <c r="O104" i="82"/>
  <c r="N104" i="82"/>
  <c r="M104" i="82"/>
  <c r="L104" i="82"/>
  <c r="O103" i="82"/>
  <c r="N103" i="82"/>
  <c r="M103" i="82"/>
  <c r="L103" i="82"/>
  <c r="O102" i="82"/>
  <c r="N102" i="82"/>
  <c r="M102" i="82"/>
  <c r="L102" i="82"/>
  <c r="O101" i="82"/>
  <c r="N101" i="82"/>
  <c r="M101" i="82"/>
  <c r="L101" i="82"/>
  <c r="O100" i="82"/>
  <c r="N100" i="82"/>
  <c r="M100" i="82"/>
  <c r="L100" i="82"/>
  <c r="O99" i="82"/>
  <c r="N99" i="82"/>
  <c r="M99" i="82"/>
  <c r="L99" i="82"/>
  <c r="O98" i="82"/>
  <c r="N98" i="82"/>
  <c r="M98" i="82"/>
  <c r="L98" i="82"/>
  <c r="O97" i="82"/>
  <c r="N97" i="82"/>
  <c r="M97" i="82"/>
  <c r="L97" i="82"/>
  <c r="O96" i="82"/>
  <c r="N96" i="82"/>
  <c r="M96" i="82"/>
  <c r="L96" i="82"/>
  <c r="O95" i="82"/>
  <c r="N95" i="82"/>
  <c r="M95" i="82"/>
  <c r="L95" i="82"/>
  <c r="O11" i="82"/>
  <c r="N11" i="82"/>
  <c r="M11" i="82"/>
  <c r="L11" i="82"/>
  <c r="O94" i="82"/>
  <c r="N94" i="82"/>
  <c r="M94" i="82"/>
  <c r="L94" i="82"/>
  <c r="O93" i="82"/>
  <c r="N93" i="82"/>
  <c r="M93" i="82"/>
  <c r="L93" i="82"/>
  <c r="O92" i="82"/>
  <c r="N92" i="82"/>
  <c r="M92" i="82"/>
  <c r="L92" i="82"/>
  <c r="O91" i="82"/>
  <c r="N91" i="82"/>
  <c r="M91" i="82"/>
  <c r="L91" i="82"/>
  <c r="O90" i="82"/>
  <c r="N90" i="82"/>
  <c r="M90" i="82"/>
  <c r="L90" i="82"/>
  <c r="O89" i="82"/>
  <c r="N89" i="82"/>
  <c r="M89" i="82"/>
  <c r="L89" i="82"/>
  <c r="O88" i="82"/>
  <c r="N88" i="82"/>
  <c r="M88" i="82"/>
  <c r="L88" i="82"/>
  <c r="O87" i="82"/>
  <c r="N87" i="82"/>
  <c r="M87" i="82"/>
  <c r="L87" i="82"/>
  <c r="O86" i="82"/>
  <c r="N86" i="82"/>
  <c r="M86" i="82"/>
  <c r="L86" i="82"/>
  <c r="O85" i="82"/>
  <c r="N85" i="82"/>
  <c r="M85" i="82"/>
  <c r="L85" i="82"/>
  <c r="O84" i="82"/>
  <c r="N84" i="82"/>
  <c r="M84" i="82"/>
  <c r="L84" i="82"/>
  <c r="O83" i="82"/>
  <c r="N83" i="82"/>
  <c r="M83" i="82"/>
  <c r="L83" i="82"/>
  <c r="O82" i="82"/>
  <c r="N82" i="82"/>
  <c r="M82" i="82"/>
  <c r="L82" i="82"/>
  <c r="O81" i="82"/>
  <c r="N81" i="82"/>
  <c r="M81" i="82"/>
  <c r="L81" i="82"/>
  <c r="O80" i="82"/>
  <c r="N80" i="82"/>
  <c r="M80" i="82"/>
  <c r="L80" i="82"/>
  <c r="O79" i="82"/>
  <c r="N79" i="82"/>
  <c r="M79" i="82"/>
  <c r="L79" i="82"/>
  <c r="O78" i="82"/>
  <c r="N78" i="82"/>
  <c r="M78" i="82"/>
  <c r="L78" i="82"/>
  <c r="O77" i="82"/>
  <c r="N77" i="82"/>
  <c r="M77" i="82"/>
  <c r="L77" i="82"/>
  <c r="O76" i="82"/>
  <c r="N76" i="82"/>
  <c r="M76" i="82"/>
  <c r="L76" i="82"/>
  <c r="O75" i="82"/>
  <c r="N75" i="82"/>
  <c r="M75" i="82"/>
  <c r="L75" i="82"/>
  <c r="O74" i="82"/>
  <c r="N74" i="82"/>
  <c r="M74" i="82"/>
  <c r="L74" i="82"/>
  <c r="O6" i="82"/>
  <c r="N6" i="82"/>
  <c r="M6" i="82"/>
  <c r="L6" i="82"/>
  <c r="O73" i="82"/>
  <c r="N73" i="82"/>
  <c r="M73" i="82"/>
  <c r="L73" i="82"/>
  <c r="O72" i="82"/>
  <c r="N72" i="82"/>
  <c r="M72" i="82"/>
  <c r="L72" i="82"/>
  <c r="O71" i="82"/>
  <c r="N71" i="82"/>
  <c r="M71" i="82"/>
  <c r="L71" i="82"/>
  <c r="O70" i="82"/>
  <c r="N70" i="82"/>
  <c r="M70" i="82"/>
  <c r="L70" i="82"/>
  <c r="O69" i="82"/>
  <c r="N69" i="82"/>
  <c r="M69" i="82"/>
  <c r="L69" i="82"/>
  <c r="O68" i="82"/>
  <c r="N68" i="82"/>
  <c r="M68" i="82"/>
  <c r="L68" i="82"/>
  <c r="O67" i="82"/>
  <c r="N67" i="82"/>
  <c r="M67" i="82"/>
  <c r="L67" i="82"/>
  <c r="O66" i="82"/>
  <c r="N66" i="82"/>
  <c r="M66" i="82"/>
  <c r="L66" i="82"/>
  <c r="O65" i="82"/>
  <c r="N65" i="82"/>
  <c r="M65" i="82"/>
  <c r="L65" i="82"/>
  <c r="O64" i="82"/>
  <c r="N64" i="82"/>
  <c r="M64" i="82"/>
  <c r="L64" i="82"/>
  <c r="O63" i="82"/>
  <c r="N63" i="82"/>
  <c r="M63" i="82"/>
  <c r="L63" i="82"/>
  <c r="O62" i="82"/>
  <c r="N62" i="82"/>
  <c r="M62" i="82"/>
  <c r="L62" i="82"/>
  <c r="O61" i="82"/>
  <c r="N61" i="82"/>
  <c r="M61" i="82"/>
  <c r="L61" i="82"/>
  <c r="O60" i="82"/>
  <c r="N60" i="82"/>
  <c r="M60" i="82"/>
  <c r="L60" i="82"/>
  <c r="O59" i="82"/>
  <c r="N59" i="82"/>
  <c r="M59" i="82"/>
  <c r="L59" i="82"/>
  <c r="O58" i="82"/>
  <c r="N58" i="82"/>
  <c r="M58" i="82"/>
  <c r="L58" i="82"/>
  <c r="O57" i="82"/>
  <c r="N57" i="82"/>
  <c r="M57" i="82"/>
  <c r="L57" i="82"/>
  <c r="O5" i="82"/>
  <c r="N5" i="82"/>
  <c r="M5" i="82"/>
  <c r="L5" i="82"/>
  <c r="O56" i="82"/>
  <c r="N56" i="82"/>
  <c r="M56" i="82"/>
  <c r="L56" i="82"/>
  <c r="O55" i="82"/>
  <c r="N55" i="82"/>
  <c r="M55" i="82"/>
  <c r="L55" i="82"/>
  <c r="O54" i="82"/>
  <c r="N54" i="82"/>
  <c r="M54" i="82"/>
  <c r="L54" i="82"/>
  <c r="O53" i="82"/>
  <c r="N53" i="82"/>
  <c r="M53" i="82"/>
  <c r="L53" i="82"/>
  <c r="O52" i="82"/>
  <c r="N52" i="82"/>
  <c r="M52" i="82"/>
  <c r="L52" i="82"/>
  <c r="O10" i="82"/>
  <c r="N10" i="82"/>
  <c r="M10" i="82"/>
  <c r="L10" i="82"/>
  <c r="O51" i="82"/>
  <c r="N51" i="82"/>
  <c r="M51" i="82"/>
  <c r="L51" i="82"/>
  <c r="O50" i="82"/>
  <c r="N50" i="82"/>
  <c r="M50" i="82"/>
  <c r="L50" i="82"/>
  <c r="O8" i="82"/>
  <c r="N8" i="82"/>
  <c r="M8" i="82"/>
  <c r="L8" i="82"/>
  <c r="O49" i="82"/>
  <c r="N49" i="82"/>
  <c r="M49" i="82"/>
  <c r="L49" i="82"/>
  <c r="O48" i="82"/>
  <c r="N48" i="82"/>
  <c r="M48" i="82"/>
  <c r="L48" i="82"/>
  <c r="O47" i="82"/>
  <c r="N47" i="82"/>
  <c r="M47" i="82"/>
  <c r="L47" i="82"/>
  <c r="O46" i="82"/>
  <c r="N46" i="82"/>
  <c r="M46" i="82"/>
  <c r="L46" i="82"/>
  <c r="O45" i="82"/>
  <c r="N45" i="82"/>
  <c r="M45" i="82"/>
  <c r="L45" i="82"/>
  <c r="O44" i="82"/>
  <c r="N44" i="82"/>
  <c r="M44" i="82"/>
  <c r="L44" i="82"/>
  <c r="O43" i="82"/>
  <c r="N43" i="82"/>
  <c r="M43" i="82"/>
  <c r="L43" i="82"/>
  <c r="O42" i="82"/>
  <c r="N42" i="82"/>
  <c r="M42" i="82"/>
  <c r="L42" i="82"/>
  <c r="O41" i="82"/>
  <c r="N41" i="82"/>
  <c r="M41" i="82"/>
  <c r="L41" i="82"/>
  <c r="O40" i="82"/>
  <c r="N40" i="82"/>
  <c r="M40" i="82"/>
  <c r="L40" i="82"/>
  <c r="O39" i="82"/>
  <c r="N39" i="82"/>
  <c r="M39" i="82"/>
  <c r="L39" i="82"/>
  <c r="O38" i="82"/>
  <c r="N38" i="82"/>
  <c r="M38" i="82"/>
  <c r="L38" i="82"/>
  <c r="O37" i="82"/>
  <c r="N37" i="82"/>
  <c r="M37" i="82"/>
  <c r="L37" i="82"/>
  <c r="O36" i="82"/>
  <c r="N36" i="82"/>
  <c r="M36" i="82"/>
  <c r="L36" i="82"/>
  <c r="O35" i="82"/>
  <c r="N35" i="82"/>
  <c r="M35" i="82"/>
  <c r="L35" i="82"/>
  <c r="O34" i="82"/>
  <c r="N34" i="82"/>
  <c r="M34" i="82"/>
  <c r="L34" i="82"/>
  <c r="O33" i="82"/>
  <c r="N33" i="82"/>
  <c r="M33" i="82"/>
  <c r="L33" i="82"/>
  <c r="O32" i="82"/>
  <c r="N32" i="82"/>
  <c r="M32" i="82"/>
  <c r="L32" i="82"/>
  <c r="O31" i="82"/>
  <c r="N31" i="82"/>
  <c r="M31" i="82"/>
  <c r="L31" i="82"/>
  <c r="O30" i="82"/>
  <c r="N30" i="82"/>
  <c r="M30" i="82"/>
  <c r="L30" i="82"/>
  <c r="O7" i="82"/>
  <c r="N7" i="82"/>
  <c r="M7" i="82"/>
  <c r="L7" i="82"/>
  <c r="O29" i="82"/>
  <c r="N29" i="82"/>
  <c r="M29" i="82"/>
  <c r="L29" i="82"/>
  <c r="O28" i="82"/>
  <c r="N28" i="82"/>
  <c r="M28" i="82"/>
  <c r="L28" i="82"/>
  <c r="O27" i="82"/>
  <c r="N27" i="82"/>
  <c r="M27" i="82"/>
  <c r="L27" i="82"/>
  <c r="O26" i="82"/>
  <c r="N26" i="82"/>
  <c r="M26" i="82"/>
  <c r="L26" i="82"/>
  <c r="O25" i="82"/>
  <c r="N25" i="82"/>
  <c r="M25" i="82"/>
  <c r="L25" i="82"/>
  <c r="O24" i="82"/>
  <c r="N24" i="82"/>
  <c r="M24" i="82"/>
  <c r="L24" i="82"/>
  <c r="O23" i="82"/>
  <c r="N23" i="82"/>
  <c r="M23" i="82"/>
  <c r="L23" i="82"/>
  <c r="O4" i="82"/>
  <c r="N4" i="82"/>
  <c r="M4" i="82"/>
  <c r="L4" i="82"/>
  <c r="O22" i="82"/>
  <c r="N22" i="82"/>
  <c r="M22" i="82"/>
  <c r="L22" i="82"/>
  <c r="O21" i="82"/>
  <c r="N21" i="82"/>
  <c r="M21" i="82"/>
  <c r="L21" i="82"/>
  <c r="O20" i="82"/>
  <c r="N20" i="82"/>
  <c r="M20" i="82"/>
  <c r="L20" i="82"/>
  <c r="O19" i="82"/>
  <c r="N19" i="82"/>
  <c r="M19" i="82"/>
  <c r="L19" i="82"/>
  <c r="O18" i="82"/>
  <c r="N18" i="82"/>
  <c r="M18" i="82"/>
  <c r="L18" i="82"/>
  <c r="O17" i="82"/>
  <c r="N17" i="82"/>
  <c r="M17" i="82"/>
  <c r="L17" i="82"/>
  <c r="O16" i="82"/>
  <c r="N16" i="82"/>
  <c r="M16" i="82"/>
  <c r="L16" i="82"/>
  <c r="O3" i="82"/>
  <c r="N3" i="82"/>
  <c r="M3" i="82"/>
  <c r="L3" i="82"/>
  <c r="O15" i="82"/>
  <c r="N15" i="82"/>
  <c r="M15" i="82"/>
  <c r="L15" i="82"/>
  <c r="O14" i="82"/>
  <c r="N14" i="82"/>
  <c r="M14" i="82"/>
  <c r="L14" i="82"/>
  <c r="O9" i="82"/>
  <c r="N9" i="82"/>
  <c r="M9" i="82"/>
  <c r="L9" i="82"/>
  <c r="O13" i="82"/>
  <c r="N13" i="82"/>
  <c r="M13" i="82"/>
  <c r="L13" i="82"/>
  <c r="O2" i="82"/>
  <c r="N2" i="82"/>
  <c r="M2" i="82"/>
  <c r="L2" i="82"/>
  <c r="O12" i="82"/>
  <c r="N12" i="82"/>
  <c r="M12" i="82"/>
  <c r="L12" i="82"/>
  <c r="Q11" i="61"/>
  <c r="R11" i="61" s="1"/>
  <c r="P11" i="61"/>
  <c r="O11" i="61"/>
  <c r="H11" i="61"/>
  <c r="I11" i="61"/>
  <c r="G11" i="61"/>
  <c r="C11" i="61"/>
  <c r="F11" i="61"/>
  <c r="E11" i="61"/>
  <c r="D11" i="61"/>
  <c r="C10" i="61"/>
  <c r="AA2" i="7"/>
  <c r="AB2" i="7"/>
  <c r="AC2" i="7"/>
  <c r="AD2" i="7"/>
  <c r="Z2" i="7"/>
  <c r="E52" i="52"/>
  <c r="F52" i="52"/>
  <c r="E53" i="52"/>
  <c r="F53" i="52"/>
  <c r="J52" i="52"/>
  <c r="J53" i="52"/>
  <c r="O104" i="81"/>
  <c r="N104" i="81"/>
  <c r="M104" i="81"/>
  <c r="L104" i="81"/>
  <c r="O103" i="81"/>
  <c r="N103" i="81"/>
  <c r="M103" i="81"/>
  <c r="L103" i="81"/>
  <c r="O102" i="81"/>
  <c r="N102" i="81"/>
  <c r="M102" i="81"/>
  <c r="L102" i="81"/>
  <c r="O101" i="81"/>
  <c r="N101" i="81"/>
  <c r="M101" i="81"/>
  <c r="L101" i="81"/>
  <c r="O100" i="81"/>
  <c r="N100" i="81"/>
  <c r="M100" i="81"/>
  <c r="L100" i="81"/>
  <c r="O99" i="81"/>
  <c r="N99" i="81"/>
  <c r="M99" i="81"/>
  <c r="L99" i="81"/>
  <c r="O98" i="81"/>
  <c r="N98" i="81"/>
  <c r="M98" i="81"/>
  <c r="L98" i="81"/>
  <c r="O97" i="81"/>
  <c r="N97" i="81"/>
  <c r="M97" i="81"/>
  <c r="L97" i="81"/>
  <c r="O96" i="81"/>
  <c r="N96" i="81"/>
  <c r="M96" i="81"/>
  <c r="L96" i="81"/>
  <c r="O9" i="81"/>
  <c r="N9" i="81"/>
  <c r="M9" i="81"/>
  <c r="L9" i="81"/>
  <c r="O95" i="81"/>
  <c r="N95" i="81"/>
  <c r="M95" i="81"/>
  <c r="L95" i="81"/>
  <c r="O94" i="81"/>
  <c r="N94" i="81"/>
  <c r="M94" i="81"/>
  <c r="L94" i="81"/>
  <c r="O93" i="81"/>
  <c r="N93" i="81"/>
  <c r="M93" i="81"/>
  <c r="L93" i="81"/>
  <c r="O92" i="81"/>
  <c r="N92" i="81"/>
  <c r="M92" i="81"/>
  <c r="L92" i="81"/>
  <c r="O91" i="81"/>
  <c r="N91" i="81"/>
  <c r="M91" i="81"/>
  <c r="L91" i="81"/>
  <c r="O90" i="81"/>
  <c r="N90" i="81"/>
  <c r="M90" i="81"/>
  <c r="L90" i="81"/>
  <c r="O89" i="81"/>
  <c r="N89" i="81"/>
  <c r="M89" i="81"/>
  <c r="L89" i="81"/>
  <c r="O8" i="81"/>
  <c r="N8" i="81"/>
  <c r="M8" i="81"/>
  <c r="L8" i="81"/>
  <c r="O88" i="81"/>
  <c r="N88" i="81"/>
  <c r="M88" i="81"/>
  <c r="L88" i="81"/>
  <c r="O87" i="81"/>
  <c r="N87" i="81"/>
  <c r="M87" i="81"/>
  <c r="L87" i="81"/>
  <c r="O86" i="81"/>
  <c r="N86" i="81"/>
  <c r="M86" i="81"/>
  <c r="L86" i="81"/>
  <c r="O7" i="81"/>
  <c r="N7" i="81"/>
  <c r="M7" i="81"/>
  <c r="L7" i="81"/>
  <c r="O85" i="81"/>
  <c r="N85" i="81"/>
  <c r="M85" i="81"/>
  <c r="L85" i="81"/>
  <c r="O84" i="81"/>
  <c r="N84" i="81"/>
  <c r="M84" i="81"/>
  <c r="L84" i="81"/>
  <c r="O83" i="81"/>
  <c r="N83" i="81"/>
  <c r="M83" i="81"/>
  <c r="L83" i="81"/>
  <c r="O82" i="81"/>
  <c r="N82" i="81"/>
  <c r="M82" i="81"/>
  <c r="L82" i="81"/>
  <c r="O81" i="81"/>
  <c r="N81" i="81"/>
  <c r="M81" i="81"/>
  <c r="L81" i="81"/>
  <c r="O80" i="81"/>
  <c r="N80" i="81"/>
  <c r="M80" i="81"/>
  <c r="L80" i="81"/>
  <c r="O13" i="81"/>
  <c r="N13" i="81"/>
  <c r="M13" i="81"/>
  <c r="L13" i="81"/>
  <c r="O79" i="81"/>
  <c r="N79" i="81"/>
  <c r="M79" i="81"/>
  <c r="L79" i="81"/>
  <c r="O78" i="81"/>
  <c r="N78" i="81"/>
  <c r="M78" i="81"/>
  <c r="L78" i="81"/>
  <c r="O77" i="81"/>
  <c r="N77" i="81"/>
  <c r="M77" i="81"/>
  <c r="L77" i="81"/>
  <c r="O76" i="81"/>
  <c r="N76" i="81"/>
  <c r="M76" i="81"/>
  <c r="L76" i="81"/>
  <c r="O75" i="81"/>
  <c r="N75" i="81"/>
  <c r="M75" i="81"/>
  <c r="L75" i="81"/>
  <c r="O74" i="81"/>
  <c r="N74" i="81"/>
  <c r="M74" i="81"/>
  <c r="L74" i="81"/>
  <c r="O73" i="81"/>
  <c r="N73" i="81"/>
  <c r="M73" i="81"/>
  <c r="L73" i="81"/>
  <c r="O10" i="81"/>
  <c r="N10" i="81"/>
  <c r="M10" i="81"/>
  <c r="L10" i="81"/>
  <c r="O72" i="81"/>
  <c r="N72" i="81"/>
  <c r="M72" i="81"/>
  <c r="L72" i="81"/>
  <c r="O71" i="81"/>
  <c r="N71" i="81"/>
  <c r="M71" i="81"/>
  <c r="L71" i="81"/>
  <c r="O70" i="81"/>
  <c r="N70" i="81"/>
  <c r="M70" i="81"/>
  <c r="L70" i="81"/>
  <c r="O69" i="81"/>
  <c r="N69" i="81"/>
  <c r="M69" i="81"/>
  <c r="L69" i="81"/>
  <c r="O68" i="81"/>
  <c r="N68" i="81"/>
  <c r="M68" i="81"/>
  <c r="L68" i="81"/>
  <c r="O67" i="81"/>
  <c r="N67" i="81"/>
  <c r="M67" i="81"/>
  <c r="L67" i="81"/>
  <c r="O66" i="81"/>
  <c r="N66" i="81"/>
  <c r="M66" i="81"/>
  <c r="L66" i="81"/>
  <c r="O65" i="81"/>
  <c r="N65" i="81"/>
  <c r="M65" i="81"/>
  <c r="L65" i="81"/>
  <c r="O64" i="81"/>
  <c r="N64" i="81"/>
  <c r="M64" i="81"/>
  <c r="L64" i="81"/>
  <c r="O63" i="81"/>
  <c r="N63" i="81"/>
  <c r="M63" i="81"/>
  <c r="L63" i="81"/>
  <c r="O62" i="81"/>
  <c r="N62" i="81"/>
  <c r="M62" i="81"/>
  <c r="L62" i="81"/>
  <c r="O61" i="81"/>
  <c r="N61" i="81"/>
  <c r="M61" i="81"/>
  <c r="L61" i="81"/>
  <c r="O2" i="81"/>
  <c r="N2" i="81"/>
  <c r="M2" i="81"/>
  <c r="L2" i="81"/>
  <c r="O60" i="81"/>
  <c r="N60" i="81"/>
  <c r="M60" i="81"/>
  <c r="L60" i="81"/>
  <c r="O59" i="81"/>
  <c r="N59" i="81"/>
  <c r="M59" i="81"/>
  <c r="L59" i="81"/>
  <c r="O58" i="81"/>
  <c r="N58" i="81"/>
  <c r="M58" i="81"/>
  <c r="L58" i="81"/>
  <c r="O57" i="81"/>
  <c r="N57" i="81"/>
  <c r="M57" i="81"/>
  <c r="L57" i="81"/>
  <c r="O56" i="81"/>
  <c r="N56" i="81"/>
  <c r="M56" i="81"/>
  <c r="L56" i="81"/>
  <c r="O55" i="81"/>
  <c r="N55" i="81"/>
  <c r="M55" i="81"/>
  <c r="L55" i="81"/>
  <c r="O54" i="81"/>
  <c r="N54" i="81"/>
  <c r="M54" i="81"/>
  <c r="L54" i="81"/>
  <c r="O12" i="81"/>
  <c r="N12" i="81"/>
  <c r="M12" i="81"/>
  <c r="L12" i="81"/>
  <c r="O53" i="81"/>
  <c r="N53" i="81"/>
  <c r="M53" i="81"/>
  <c r="L53" i="81"/>
  <c r="O52" i="81"/>
  <c r="N52" i="81"/>
  <c r="M52" i="81"/>
  <c r="L52" i="81"/>
  <c r="O51" i="81"/>
  <c r="N51" i="81"/>
  <c r="M51" i="81"/>
  <c r="L51" i="81"/>
  <c r="O50" i="81"/>
  <c r="N50" i="81"/>
  <c r="M50" i="81"/>
  <c r="L50" i="81"/>
  <c r="O49" i="81"/>
  <c r="N49" i="81"/>
  <c r="M49" i="81"/>
  <c r="L49" i="81"/>
  <c r="O48" i="81"/>
  <c r="N48" i="81"/>
  <c r="M48" i="81"/>
  <c r="L48" i="81"/>
  <c r="O47" i="81"/>
  <c r="N47" i="81"/>
  <c r="M47" i="81"/>
  <c r="L47" i="81"/>
  <c r="O46" i="81"/>
  <c r="N46" i="81"/>
  <c r="M46" i="81"/>
  <c r="L46" i="81"/>
  <c r="O45" i="81"/>
  <c r="N45" i="81"/>
  <c r="M45" i="81"/>
  <c r="L45" i="81"/>
  <c r="O44" i="81"/>
  <c r="N44" i="81"/>
  <c r="M44" i="81"/>
  <c r="L44" i="81"/>
  <c r="O43" i="81"/>
  <c r="N43" i="81"/>
  <c r="M43" i="81"/>
  <c r="L43" i="81"/>
  <c r="O42" i="81"/>
  <c r="N42" i="81"/>
  <c r="M42" i="81"/>
  <c r="L42" i="81"/>
  <c r="O11" i="81"/>
  <c r="N11" i="81"/>
  <c r="M11" i="81"/>
  <c r="L11" i="81"/>
  <c r="O41" i="81"/>
  <c r="N41" i="81"/>
  <c r="M41" i="81"/>
  <c r="L41" i="81"/>
  <c r="O40" i="81"/>
  <c r="N40" i="81"/>
  <c r="M40" i="81"/>
  <c r="L40" i="81"/>
  <c r="O39" i="81"/>
  <c r="N39" i="81"/>
  <c r="M39" i="81"/>
  <c r="L39" i="81"/>
  <c r="O38" i="81"/>
  <c r="N38" i="81"/>
  <c r="M38" i="81"/>
  <c r="L38" i="81"/>
  <c r="O37" i="81"/>
  <c r="N37" i="81"/>
  <c r="M37" i="81"/>
  <c r="L37" i="81"/>
  <c r="O36" i="81"/>
  <c r="N36" i="81"/>
  <c r="M36" i="81"/>
  <c r="L36" i="81"/>
  <c r="O35" i="81"/>
  <c r="N35" i="81"/>
  <c r="M35" i="81"/>
  <c r="L35" i="81"/>
  <c r="O34" i="81"/>
  <c r="N34" i="81"/>
  <c r="M34" i="81"/>
  <c r="L34" i="81"/>
  <c r="O33" i="81"/>
  <c r="N33" i="81"/>
  <c r="M33" i="81"/>
  <c r="L33" i="81"/>
  <c r="O32" i="81"/>
  <c r="N32" i="81"/>
  <c r="M32" i="81"/>
  <c r="L32" i="81"/>
  <c r="O3" i="81"/>
  <c r="N3" i="81"/>
  <c r="M3" i="81"/>
  <c r="L3" i="81"/>
  <c r="O31" i="81"/>
  <c r="N31" i="81"/>
  <c r="M31" i="81"/>
  <c r="L31" i="81"/>
  <c r="O6" i="81"/>
  <c r="N6" i="81"/>
  <c r="M6" i="81"/>
  <c r="L6" i="81"/>
  <c r="O30" i="81"/>
  <c r="N30" i="81"/>
  <c r="M30" i="81"/>
  <c r="L30" i="81"/>
  <c r="O29" i="81"/>
  <c r="N29" i="81"/>
  <c r="M29" i="81"/>
  <c r="L29" i="81"/>
  <c r="O28" i="81"/>
  <c r="N28" i="81"/>
  <c r="M28" i="81"/>
  <c r="L28" i="81"/>
  <c r="O27" i="81"/>
  <c r="N27" i="81"/>
  <c r="M27" i="81"/>
  <c r="L27" i="81"/>
  <c r="O26" i="81"/>
  <c r="N26" i="81"/>
  <c r="M26" i="81"/>
  <c r="L26" i="81"/>
  <c r="O25" i="81"/>
  <c r="N25" i="81"/>
  <c r="M25" i="81"/>
  <c r="L25" i="81"/>
  <c r="O24" i="81"/>
  <c r="N24" i="81"/>
  <c r="M24" i="81"/>
  <c r="L24" i="81"/>
  <c r="O23" i="81"/>
  <c r="N23" i="81"/>
  <c r="M23" i="81"/>
  <c r="L23" i="81"/>
  <c r="O5" i="81"/>
  <c r="N5" i="81"/>
  <c r="M5" i="81"/>
  <c r="L5" i="81"/>
  <c r="O22" i="81"/>
  <c r="N22" i="81"/>
  <c r="M22" i="81"/>
  <c r="L22" i="81"/>
  <c r="O21" i="81"/>
  <c r="N21" i="81"/>
  <c r="M21" i="81"/>
  <c r="L21" i="81"/>
  <c r="O20" i="81"/>
  <c r="N20" i="81"/>
  <c r="M20" i="81"/>
  <c r="L20" i="81"/>
  <c r="O19" i="81"/>
  <c r="N19" i="81"/>
  <c r="M19" i="81"/>
  <c r="L19" i="81"/>
  <c r="O18" i="81"/>
  <c r="N18" i="81"/>
  <c r="M18" i="81"/>
  <c r="L18" i="81"/>
  <c r="O17" i="81"/>
  <c r="N17" i="81"/>
  <c r="M17" i="81"/>
  <c r="L17" i="81"/>
  <c r="O16" i="81"/>
  <c r="N16" i="81"/>
  <c r="M16" i="81"/>
  <c r="L16" i="81"/>
  <c r="O15" i="81"/>
  <c r="N15" i="81"/>
  <c r="M15" i="81"/>
  <c r="L15" i="81"/>
  <c r="O4" i="81"/>
  <c r="N4" i="81"/>
  <c r="M4" i="81"/>
  <c r="L4" i="81"/>
  <c r="O14" i="81"/>
  <c r="N14" i="81"/>
  <c r="M14" i="81"/>
  <c r="L14" i="81"/>
  <c r="H216" i="55"/>
  <c r="H215" i="55"/>
  <c r="H214" i="55"/>
  <c r="H213" i="55"/>
  <c r="H212" i="55"/>
  <c r="H211" i="55"/>
  <c r="H209" i="55"/>
  <c r="H210" i="55"/>
  <c r="T35" i="76"/>
  <c r="T4" i="76"/>
  <c r="T69" i="76"/>
  <c r="O69" i="76"/>
  <c r="N69" i="76"/>
  <c r="M69" i="76"/>
  <c r="L69" i="76"/>
  <c r="O68" i="76"/>
  <c r="N68" i="76"/>
  <c r="M68" i="76"/>
  <c r="L68" i="76"/>
  <c r="O67" i="76"/>
  <c r="N67" i="76"/>
  <c r="M67" i="76"/>
  <c r="L67" i="76"/>
  <c r="T66" i="76"/>
  <c r="O66" i="76"/>
  <c r="N66" i="76"/>
  <c r="M66" i="76"/>
  <c r="L66" i="76"/>
  <c r="O65" i="76"/>
  <c r="N65" i="76"/>
  <c r="M65" i="76"/>
  <c r="L65" i="76"/>
  <c r="O64" i="76"/>
  <c r="N64" i="76"/>
  <c r="M64" i="76"/>
  <c r="L64" i="76"/>
  <c r="T63" i="76"/>
  <c r="O63" i="76"/>
  <c r="N63" i="76"/>
  <c r="M63" i="76"/>
  <c r="L63" i="76"/>
  <c r="O62" i="76"/>
  <c r="N62" i="76"/>
  <c r="M62" i="76"/>
  <c r="L62" i="76"/>
  <c r="O61" i="76"/>
  <c r="N61" i="76"/>
  <c r="M61" i="76"/>
  <c r="L61" i="76"/>
  <c r="T60" i="76"/>
  <c r="O60" i="76"/>
  <c r="N60" i="76"/>
  <c r="M60" i="76"/>
  <c r="L60" i="76"/>
  <c r="O59" i="76"/>
  <c r="N59" i="76"/>
  <c r="M59" i="76"/>
  <c r="L59" i="76"/>
  <c r="O6" i="76"/>
  <c r="N6" i="76"/>
  <c r="M6" i="76"/>
  <c r="L6" i="76"/>
  <c r="T58" i="76"/>
  <c r="O58" i="76"/>
  <c r="N58" i="76"/>
  <c r="M58" i="76"/>
  <c r="L58" i="76"/>
  <c r="O57" i="76"/>
  <c r="N57" i="76"/>
  <c r="M57" i="76"/>
  <c r="L57" i="76"/>
  <c r="O56" i="76"/>
  <c r="N56" i="76"/>
  <c r="M56" i="76"/>
  <c r="L56" i="76"/>
  <c r="T55" i="76"/>
  <c r="O55" i="76"/>
  <c r="N55" i="76"/>
  <c r="M55" i="76"/>
  <c r="L55" i="76"/>
  <c r="O54" i="76"/>
  <c r="N54" i="76"/>
  <c r="M54" i="76"/>
  <c r="L54" i="76"/>
  <c r="O53" i="76"/>
  <c r="N53" i="76"/>
  <c r="M53" i="76"/>
  <c r="L53" i="76"/>
  <c r="T52" i="76"/>
  <c r="O52" i="76"/>
  <c r="N52" i="76"/>
  <c r="M52" i="76"/>
  <c r="L52" i="76"/>
  <c r="O51" i="76"/>
  <c r="N51" i="76"/>
  <c r="M51" i="76"/>
  <c r="L51" i="76"/>
  <c r="O50" i="76"/>
  <c r="N50" i="76"/>
  <c r="M50" i="76"/>
  <c r="L50" i="76"/>
  <c r="T49" i="76"/>
  <c r="O49" i="76"/>
  <c r="N49" i="76"/>
  <c r="M49" i="76"/>
  <c r="L49" i="76"/>
  <c r="O48" i="76"/>
  <c r="N48" i="76"/>
  <c r="M48" i="76"/>
  <c r="L48" i="76"/>
  <c r="O47" i="76"/>
  <c r="N47" i="76"/>
  <c r="M47" i="76"/>
  <c r="L47" i="76"/>
  <c r="T12" i="76"/>
  <c r="O12" i="76"/>
  <c r="N12" i="76"/>
  <c r="M12" i="76"/>
  <c r="L12" i="76"/>
  <c r="O11" i="76"/>
  <c r="N11" i="76"/>
  <c r="M11" i="76"/>
  <c r="L11" i="76"/>
  <c r="O46" i="76"/>
  <c r="N46" i="76"/>
  <c r="M46" i="76"/>
  <c r="L46" i="76"/>
  <c r="T45" i="76"/>
  <c r="O45" i="76"/>
  <c r="N45" i="76"/>
  <c r="M45" i="76"/>
  <c r="L45" i="76"/>
  <c r="O44" i="76"/>
  <c r="N44" i="76"/>
  <c r="M44" i="76"/>
  <c r="L44" i="76"/>
  <c r="O43" i="76"/>
  <c r="N43" i="76"/>
  <c r="M43" i="76"/>
  <c r="L43" i="76"/>
  <c r="T42" i="76"/>
  <c r="O42" i="76"/>
  <c r="N42" i="76"/>
  <c r="M42" i="76"/>
  <c r="L42" i="76"/>
  <c r="O5" i="76"/>
  <c r="N5" i="76"/>
  <c r="M5" i="76"/>
  <c r="L5" i="76"/>
  <c r="O41" i="76"/>
  <c r="N41" i="76"/>
  <c r="M41" i="76"/>
  <c r="L41" i="76"/>
  <c r="T40" i="76"/>
  <c r="O40" i="76"/>
  <c r="N40" i="76"/>
  <c r="M40" i="76"/>
  <c r="L40" i="76"/>
  <c r="O39" i="76"/>
  <c r="N39" i="76"/>
  <c r="M39" i="76"/>
  <c r="L39" i="76"/>
  <c r="O10" i="76"/>
  <c r="N10" i="76"/>
  <c r="M10" i="76"/>
  <c r="L10" i="76"/>
  <c r="T38" i="76"/>
  <c r="O38" i="76"/>
  <c r="N38" i="76"/>
  <c r="M38" i="76"/>
  <c r="L38" i="76"/>
  <c r="O37" i="76"/>
  <c r="N37" i="76"/>
  <c r="M37" i="76"/>
  <c r="L37" i="76"/>
  <c r="O36" i="76"/>
  <c r="N36" i="76"/>
  <c r="M36" i="76"/>
  <c r="L36" i="76"/>
  <c r="O35" i="76"/>
  <c r="N35" i="76"/>
  <c r="M35" i="76"/>
  <c r="L35" i="76"/>
  <c r="O34" i="76"/>
  <c r="N34" i="76"/>
  <c r="M34" i="76"/>
  <c r="L34" i="76"/>
  <c r="O8" i="76"/>
  <c r="N8" i="76"/>
  <c r="M8" i="76"/>
  <c r="L8" i="76"/>
  <c r="T33" i="76"/>
  <c r="O33" i="76"/>
  <c r="N33" i="76"/>
  <c r="M33" i="76"/>
  <c r="L33" i="76"/>
  <c r="O7" i="76"/>
  <c r="N7" i="76"/>
  <c r="M7" i="76"/>
  <c r="L7" i="76"/>
  <c r="O32" i="76"/>
  <c r="N32" i="76"/>
  <c r="M32" i="76"/>
  <c r="L32" i="76"/>
  <c r="T31" i="76"/>
  <c r="O31" i="76"/>
  <c r="N31" i="76"/>
  <c r="M31" i="76"/>
  <c r="L31" i="76"/>
  <c r="O30" i="76"/>
  <c r="N30" i="76"/>
  <c r="M30" i="76"/>
  <c r="L30" i="76"/>
  <c r="O29" i="76"/>
  <c r="N29" i="76"/>
  <c r="M29" i="76"/>
  <c r="L29" i="76"/>
  <c r="T28" i="76"/>
  <c r="O28" i="76"/>
  <c r="N28" i="76"/>
  <c r="M28" i="76"/>
  <c r="L28" i="76"/>
  <c r="O27" i="76"/>
  <c r="N27" i="76"/>
  <c r="M27" i="76"/>
  <c r="L27" i="76"/>
  <c r="O26" i="76"/>
  <c r="N26" i="76"/>
  <c r="M26" i="76"/>
  <c r="L26" i="76"/>
  <c r="T25" i="76"/>
  <c r="O25" i="76"/>
  <c r="N25" i="76"/>
  <c r="M25" i="76"/>
  <c r="L25" i="76"/>
  <c r="O24" i="76"/>
  <c r="N24" i="76"/>
  <c r="M24" i="76"/>
  <c r="L24" i="76"/>
  <c r="O23" i="76"/>
  <c r="N23" i="76"/>
  <c r="M23" i="76"/>
  <c r="L23" i="76"/>
  <c r="T22" i="76"/>
  <c r="O22" i="76"/>
  <c r="N22" i="76"/>
  <c r="M22" i="76"/>
  <c r="L22" i="76"/>
  <c r="O21" i="76"/>
  <c r="N21" i="76"/>
  <c r="M21" i="76"/>
  <c r="L21" i="76"/>
  <c r="O20" i="76"/>
  <c r="N20" i="76"/>
  <c r="M20" i="76"/>
  <c r="L20" i="76"/>
  <c r="T19" i="76"/>
  <c r="O19" i="76"/>
  <c r="N19" i="76"/>
  <c r="M19" i="76"/>
  <c r="L19" i="76"/>
  <c r="O18" i="76"/>
  <c r="N18" i="76"/>
  <c r="M18" i="76"/>
  <c r="L18" i="76"/>
  <c r="O9" i="76"/>
  <c r="N9" i="76"/>
  <c r="M9" i="76"/>
  <c r="L9" i="76"/>
  <c r="O4" i="76"/>
  <c r="N4" i="76"/>
  <c r="M4" i="76"/>
  <c r="L4" i="76"/>
  <c r="O3" i="76"/>
  <c r="N3" i="76"/>
  <c r="M3" i="76"/>
  <c r="L3" i="76"/>
  <c r="O17" i="76"/>
  <c r="N17" i="76"/>
  <c r="M17" i="76"/>
  <c r="L17" i="76"/>
  <c r="T2" i="76"/>
  <c r="O2" i="76"/>
  <c r="N2" i="76"/>
  <c r="M2" i="76"/>
  <c r="L2" i="76"/>
  <c r="O16" i="76"/>
  <c r="N16" i="76"/>
  <c r="M16" i="76"/>
  <c r="L16" i="76"/>
  <c r="O15" i="76"/>
  <c r="N15" i="76"/>
  <c r="M15" i="76"/>
  <c r="L15" i="76"/>
  <c r="T14" i="76"/>
  <c r="O14" i="76"/>
  <c r="N14" i="76"/>
  <c r="M14" i="76"/>
  <c r="L14" i="76"/>
  <c r="O13" i="76"/>
  <c r="N13" i="76"/>
  <c r="M13" i="76"/>
  <c r="L13" i="76"/>
  <c r="I10" i="61"/>
  <c r="Q9" i="61"/>
  <c r="P9" i="61"/>
  <c r="O9" i="61"/>
  <c r="Q10" i="61"/>
  <c r="R10" i="61" s="1"/>
  <c r="P10" i="61"/>
  <c r="O10" i="61"/>
  <c r="H10" i="61"/>
  <c r="G10" i="61"/>
  <c r="F10" i="61"/>
  <c r="E10" i="61"/>
  <c r="D10" i="61"/>
  <c r="C9" i="61"/>
  <c r="X1" i="18"/>
  <c r="R11" i="18" s="1"/>
  <c r="P92" i="18"/>
  <c r="R14" i="18"/>
  <c r="P14" i="18" s="1"/>
  <c r="R13" i="18"/>
  <c r="P13" i="18" s="1"/>
  <c r="J51" i="52"/>
  <c r="E51" i="52"/>
  <c r="F51" i="52"/>
  <c r="D101" i="17"/>
  <c r="O129" i="74"/>
  <c r="N129" i="74"/>
  <c r="M129" i="74"/>
  <c r="L129" i="74"/>
  <c r="O128" i="74"/>
  <c r="N128" i="74"/>
  <c r="M128" i="74"/>
  <c r="L128" i="74"/>
  <c r="O127" i="74"/>
  <c r="N127" i="74"/>
  <c r="M127" i="74"/>
  <c r="L127" i="74"/>
  <c r="O126" i="74"/>
  <c r="N126" i="74"/>
  <c r="M126" i="74"/>
  <c r="L126" i="74"/>
  <c r="O125" i="74"/>
  <c r="N125" i="74"/>
  <c r="M125" i="74"/>
  <c r="L125" i="74"/>
  <c r="O124" i="74"/>
  <c r="N124" i="74"/>
  <c r="M124" i="74"/>
  <c r="L124" i="74"/>
  <c r="O123" i="74"/>
  <c r="N123" i="74"/>
  <c r="M123" i="74"/>
  <c r="L123" i="74"/>
  <c r="O122" i="74"/>
  <c r="N122" i="74"/>
  <c r="M122" i="74"/>
  <c r="L122" i="74"/>
  <c r="O121" i="74"/>
  <c r="N121" i="74"/>
  <c r="M121" i="74"/>
  <c r="L121" i="74"/>
  <c r="O120" i="74"/>
  <c r="N120" i="74"/>
  <c r="M120" i="74"/>
  <c r="L120" i="74"/>
  <c r="O119" i="74"/>
  <c r="N119" i="74"/>
  <c r="M119" i="74"/>
  <c r="L119" i="74"/>
  <c r="O118" i="74"/>
  <c r="N118" i="74"/>
  <c r="M118" i="74"/>
  <c r="L118" i="74"/>
  <c r="O117" i="74"/>
  <c r="N117" i="74"/>
  <c r="M117" i="74"/>
  <c r="L117" i="74"/>
  <c r="O116" i="74"/>
  <c r="N116" i="74"/>
  <c r="M116" i="74"/>
  <c r="L116" i="74"/>
  <c r="O115" i="74"/>
  <c r="N115" i="74"/>
  <c r="M115" i="74"/>
  <c r="L115" i="74"/>
  <c r="O114" i="74"/>
  <c r="N114" i="74"/>
  <c r="M114" i="74"/>
  <c r="L114" i="74"/>
  <c r="O113" i="74"/>
  <c r="N113" i="74"/>
  <c r="M113" i="74"/>
  <c r="L113" i="74"/>
  <c r="O16" i="74"/>
  <c r="N16" i="74"/>
  <c r="M16" i="74"/>
  <c r="L16" i="74"/>
  <c r="O112" i="74"/>
  <c r="N112" i="74"/>
  <c r="M112" i="74"/>
  <c r="L112" i="74"/>
  <c r="O15" i="74"/>
  <c r="N15" i="74"/>
  <c r="M15" i="74"/>
  <c r="L15" i="74"/>
  <c r="O111" i="74"/>
  <c r="N111" i="74"/>
  <c r="M111" i="74"/>
  <c r="L111" i="74"/>
  <c r="O110" i="74"/>
  <c r="N110" i="74"/>
  <c r="M110" i="74"/>
  <c r="L110" i="74"/>
  <c r="O109" i="74"/>
  <c r="N109" i="74"/>
  <c r="M109" i="74"/>
  <c r="L109" i="74"/>
  <c r="O108" i="74"/>
  <c r="N108" i="74"/>
  <c r="M108" i="74"/>
  <c r="L108" i="74"/>
  <c r="O107" i="74"/>
  <c r="N107" i="74"/>
  <c r="M107" i="74"/>
  <c r="L107" i="74"/>
  <c r="O106" i="74"/>
  <c r="N106" i="74"/>
  <c r="M106" i="74"/>
  <c r="L106" i="74"/>
  <c r="O105" i="74"/>
  <c r="N105" i="74"/>
  <c r="M105" i="74"/>
  <c r="L105" i="74"/>
  <c r="O104" i="74"/>
  <c r="N104" i="74"/>
  <c r="M104" i="74"/>
  <c r="L104" i="74"/>
  <c r="O103" i="74"/>
  <c r="N103" i="74"/>
  <c r="M103" i="74"/>
  <c r="L103" i="74"/>
  <c r="O102" i="74"/>
  <c r="N102" i="74"/>
  <c r="M102" i="74"/>
  <c r="L102" i="74"/>
  <c r="O101" i="74"/>
  <c r="N101" i="74"/>
  <c r="M101" i="74"/>
  <c r="L101" i="74"/>
  <c r="O100" i="74"/>
  <c r="N100" i="74"/>
  <c r="M100" i="74"/>
  <c r="L100" i="74"/>
  <c r="O99" i="74"/>
  <c r="N99" i="74"/>
  <c r="M99" i="74"/>
  <c r="L99" i="74"/>
  <c r="O98" i="74"/>
  <c r="N98" i="74"/>
  <c r="M98" i="74"/>
  <c r="L98" i="74"/>
  <c r="O97" i="74"/>
  <c r="N97" i="74"/>
  <c r="M97" i="74"/>
  <c r="L97" i="74"/>
  <c r="O96" i="74"/>
  <c r="N96" i="74"/>
  <c r="M96" i="74"/>
  <c r="L96" i="74"/>
  <c r="O95" i="74"/>
  <c r="N95" i="74"/>
  <c r="M95" i="74"/>
  <c r="L95" i="74"/>
  <c r="O94" i="74"/>
  <c r="N94" i="74"/>
  <c r="M94" i="74"/>
  <c r="L94" i="74"/>
  <c r="O93" i="74"/>
  <c r="N93" i="74"/>
  <c r="M93" i="74"/>
  <c r="L93" i="74"/>
  <c r="O92" i="74"/>
  <c r="N92" i="74"/>
  <c r="M92" i="74"/>
  <c r="L92" i="74"/>
  <c r="O91" i="74"/>
  <c r="N91" i="74"/>
  <c r="M91" i="74"/>
  <c r="L91" i="74"/>
  <c r="O90" i="74"/>
  <c r="N90" i="74"/>
  <c r="M90" i="74"/>
  <c r="L90" i="74"/>
  <c r="O89" i="74"/>
  <c r="N89" i="74"/>
  <c r="M89" i="74"/>
  <c r="L89" i="74"/>
  <c r="O88" i="74"/>
  <c r="N88" i="74"/>
  <c r="M88" i="74"/>
  <c r="L88" i="74"/>
  <c r="O87" i="74"/>
  <c r="N87" i="74"/>
  <c r="M87" i="74"/>
  <c r="L87" i="74"/>
  <c r="O86" i="74"/>
  <c r="N86" i="74"/>
  <c r="M86" i="74"/>
  <c r="L86" i="74"/>
  <c r="O85" i="74"/>
  <c r="N85" i="74"/>
  <c r="M85" i="74"/>
  <c r="L85" i="74"/>
  <c r="O84" i="74"/>
  <c r="N84" i="74"/>
  <c r="M84" i="74"/>
  <c r="L84" i="74"/>
  <c r="O83" i="74"/>
  <c r="N83" i="74"/>
  <c r="M83" i="74"/>
  <c r="L83" i="74"/>
  <c r="O82" i="74"/>
  <c r="N82" i="74"/>
  <c r="M82" i="74"/>
  <c r="L82" i="74"/>
  <c r="O81" i="74"/>
  <c r="N81" i="74"/>
  <c r="M81" i="74"/>
  <c r="L81" i="74"/>
  <c r="O80" i="74"/>
  <c r="N80" i="74"/>
  <c r="M80" i="74"/>
  <c r="L80" i="74"/>
  <c r="O79" i="74"/>
  <c r="N79" i="74"/>
  <c r="M79" i="74"/>
  <c r="L79" i="74"/>
  <c r="O78" i="74"/>
  <c r="N78" i="74"/>
  <c r="M78" i="74"/>
  <c r="L78" i="74"/>
  <c r="O77" i="74"/>
  <c r="N77" i="74"/>
  <c r="M77" i="74"/>
  <c r="L77" i="74"/>
  <c r="O76" i="74"/>
  <c r="N76" i="74"/>
  <c r="M76" i="74"/>
  <c r="L76" i="74"/>
  <c r="O75" i="74"/>
  <c r="N75" i="74"/>
  <c r="M75" i="74"/>
  <c r="L75" i="74"/>
  <c r="O74" i="74"/>
  <c r="N74" i="74"/>
  <c r="M74" i="74"/>
  <c r="L74" i="74"/>
  <c r="O73" i="74"/>
  <c r="N73" i="74"/>
  <c r="M73" i="74"/>
  <c r="L73" i="74"/>
  <c r="O72" i="74"/>
  <c r="N72" i="74"/>
  <c r="M72" i="74"/>
  <c r="L72" i="74"/>
  <c r="O71" i="74"/>
  <c r="N71" i="74"/>
  <c r="M71" i="74"/>
  <c r="L71" i="74"/>
  <c r="O70" i="74"/>
  <c r="N70" i="74"/>
  <c r="M70" i="74"/>
  <c r="L70" i="74"/>
  <c r="O69" i="74"/>
  <c r="N69" i="74"/>
  <c r="M69" i="74"/>
  <c r="L69" i="74"/>
  <c r="O68" i="74"/>
  <c r="N68" i="74"/>
  <c r="M68" i="74"/>
  <c r="L68" i="74"/>
  <c r="O67" i="74"/>
  <c r="N67" i="74"/>
  <c r="M67" i="74"/>
  <c r="L67" i="74"/>
  <c r="O9" i="74"/>
  <c r="N9" i="74"/>
  <c r="M9" i="74"/>
  <c r="L9" i="74"/>
  <c r="O14" i="74"/>
  <c r="N14" i="74"/>
  <c r="M14" i="74"/>
  <c r="L14" i="74"/>
  <c r="O66" i="74"/>
  <c r="N66" i="74"/>
  <c r="M66" i="74"/>
  <c r="L66" i="74"/>
  <c r="O4" i="74"/>
  <c r="N4" i="74"/>
  <c r="M4" i="74"/>
  <c r="L4" i="74"/>
  <c r="O3" i="74"/>
  <c r="N3" i="74"/>
  <c r="M3" i="74"/>
  <c r="L3" i="74"/>
  <c r="O65" i="74"/>
  <c r="N65" i="74"/>
  <c r="M65" i="74"/>
  <c r="L65" i="74"/>
  <c r="O64" i="74"/>
  <c r="N64" i="74"/>
  <c r="M64" i="74"/>
  <c r="L64" i="74"/>
  <c r="O63" i="74"/>
  <c r="N63" i="74"/>
  <c r="M63" i="74"/>
  <c r="L63" i="74"/>
  <c r="O13" i="74"/>
  <c r="N13" i="74"/>
  <c r="M13" i="74"/>
  <c r="L13" i="74"/>
  <c r="O62" i="74"/>
  <c r="N62" i="74"/>
  <c r="M62" i="74"/>
  <c r="L62" i="74"/>
  <c r="O61" i="74"/>
  <c r="N61" i="74"/>
  <c r="M61" i="74"/>
  <c r="L61" i="74"/>
  <c r="O60" i="74"/>
  <c r="N60" i="74"/>
  <c r="M60" i="74"/>
  <c r="L60" i="74"/>
  <c r="O59" i="74"/>
  <c r="N59" i="74"/>
  <c r="M59" i="74"/>
  <c r="L59" i="74"/>
  <c r="O58" i="74"/>
  <c r="N58" i="74"/>
  <c r="M58" i="74"/>
  <c r="L58" i="74"/>
  <c r="O57" i="74"/>
  <c r="N57" i="74"/>
  <c r="M57" i="74"/>
  <c r="L57" i="74"/>
  <c r="O56" i="74"/>
  <c r="N56" i="74"/>
  <c r="M56" i="74"/>
  <c r="L56" i="74"/>
  <c r="O55" i="74"/>
  <c r="N55" i="74"/>
  <c r="M55" i="74"/>
  <c r="L55" i="74"/>
  <c r="O54" i="74"/>
  <c r="N54" i="74"/>
  <c r="M54" i="74"/>
  <c r="L54" i="74"/>
  <c r="O53" i="74"/>
  <c r="N53" i="74"/>
  <c r="M53" i="74"/>
  <c r="L53" i="74"/>
  <c r="O8" i="74"/>
  <c r="N8" i="74"/>
  <c r="M8" i="74"/>
  <c r="L8" i="74"/>
  <c r="O52" i="74"/>
  <c r="N52" i="74"/>
  <c r="M52" i="74"/>
  <c r="L52" i="74"/>
  <c r="O51" i="74"/>
  <c r="N51" i="74"/>
  <c r="M51" i="74"/>
  <c r="L51" i="74"/>
  <c r="O50" i="74"/>
  <c r="N50" i="74"/>
  <c r="M50" i="74"/>
  <c r="L50" i="74"/>
  <c r="O12" i="74"/>
  <c r="N12" i="74"/>
  <c r="M12" i="74"/>
  <c r="L12" i="74"/>
  <c r="O7" i="74"/>
  <c r="N7" i="74"/>
  <c r="M7" i="74"/>
  <c r="L7" i="74"/>
  <c r="O49" i="74"/>
  <c r="N49" i="74"/>
  <c r="M49" i="74"/>
  <c r="L49" i="74"/>
  <c r="O48" i="74"/>
  <c r="N48" i="74"/>
  <c r="M48" i="74"/>
  <c r="L48" i="74"/>
  <c r="O47" i="74"/>
  <c r="N47" i="74"/>
  <c r="M47" i="74"/>
  <c r="L47" i="74"/>
  <c r="O46" i="74"/>
  <c r="N46" i="74"/>
  <c r="M46" i="74"/>
  <c r="L46" i="74"/>
  <c r="O45" i="74"/>
  <c r="N45" i="74"/>
  <c r="M45" i="74"/>
  <c r="L45" i="74"/>
  <c r="O44" i="74"/>
  <c r="N44" i="74"/>
  <c r="M44" i="74"/>
  <c r="L44" i="74"/>
  <c r="O43" i="74"/>
  <c r="N43" i="74"/>
  <c r="M43" i="74"/>
  <c r="L43" i="74"/>
  <c r="O42" i="74"/>
  <c r="N42" i="74"/>
  <c r="M42" i="74"/>
  <c r="L42" i="74"/>
  <c r="O41" i="74"/>
  <c r="N41" i="74"/>
  <c r="M41" i="74"/>
  <c r="L41" i="74"/>
  <c r="O40" i="74"/>
  <c r="N40" i="74"/>
  <c r="M40" i="74"/>
  <c r="L40" i="74"/>
  <c r="O39" i="74"/>
  <c r="N39" i="74"/>
  <c r="M39" i="74"/>
  <c r="L39" i="74"/>
  <c r="O38" i="74"/>
  <c r="N38" i="74"/>
  <c r="M38" i="74"/>
  <c r="L38" i="74"/>
  <c r="O11" i="74"/>
  <c r="N11" i="74"/>
  <c r="M11" i="74"/>
  <c r="L11" i="74"/>
  <c r="O2" i="74"/>
  <c r="N2" i="74"/>
  <c r="M2" i="74"/>
  <c r="L2" i="74"/>
  <c r="O37" i="74"/>
  <c r="N37" i="74"/>
  <c r="M37" i="74"/>
  <c r="L37" i="74"/>
  <c r="O36" i="74"/>
  <c r="N36" i="74"/>
  <c r="M36" i="74"/>
  <c r="L36" i="74"/>
  <c r="O35" i="74"/>
  <c r="N35" i="74"/>
  <c r="M35" i="74"/>
  <c r="L35" i="74"/>
  <c r="O34" i="74"/>
  <c r="N34" i="74"/>
  <c r="M34" i="74"/>
  <c r="L34" i="74"/>
  <c r="O33" i="74"/>
  <c r="N33" i="74"/>
  <c r="M33" i="74"/>
  <c r="L33" i="74"/>
  <c r="O32" i="74"/>
  <c r="N32" i="74"/>
  <c r="M32" i="74"/>
  <c r="L32" i="74"/>
  <c r="O31" i="74"/>
  <c r="N31" i="74"/>
  <c r="M31" i="74"/>
  <c r="L31" i="74"/>
  <c r="O30" i="74"/>
  <c r="N30" i="74"/>
  <c r="M30" i="74"/>
  <c r="L30" i="74"/>
  <c r="O29" i="74"/>
  <c r="N29" i="74"/>
  <c r="M29" i="74"/>
  <c r="L29" i="74"/>
  <c r="O28" i="74"/>
  <c r="N28" i="74"/>
  <c r="M28" i="74"/>
  <c r="L28" i="74"/>
  <c r="O10" i="74"/>
  <c r="N10" i="74"/>
  <c r="M10" i="74"/>
  <c r="L10" i="74"/>
  <c r="O27" i="74"/>
  <c r="N27" i="74"/>
  <c r="M27" i="74"/>
  <c r="L27" i="74"/>
  <c r="O26" i="74"/>
  <c r="N26" i="74"/>
  <c r="M26" i="74"/>
  <c r="L26" i="74"/>
  <c r="O25" i="74"/>
  <c r="N25" i="74"/>
  <c r="M25" i="74"/>
  <c r="L25" i="74"/>
  <c r="O24" i="74"/>
  <c r="N24" i="74"/>
  <c r="M24" i="74"/>
  <c r="L24" i="74"/>
  <c r="O23" i="74"/>
  <c r="N23" i="74"/>
  <c r="M23" i="74"/>
  <c r="L23" i="74"/>
  <c r="O22" i="74"/>
  <c r="N22" i="74"/>
  <c r="M22" i="74"/>
  <c r="L22" i="74"/>
  <c r="O21" i="74"/>
  <c r="N21" i="74"/>
  <c r="M21" i="74"/>
  <c r="L21" i="74"/>
  <c r="O6" i="74"/>
  <c r="N6" i="74"/>
  <c r="M6" i="74"/>
  <c r="L6" i="74"/>
  <c r="O20" i="74"/>
  <c r="N20" i="74"/>
  <c r="M20" i="74"/>
  <c r="L20" i="74"/>
  <c r="O19" i="74"/>
  <c r="N19" i="74"/>
  <c r="M19" i="74"/>
  <c r="L19" i="74"/>
  <c r="O18" i="74"/>
  <c r="N18" i="74"/>
  <c r="M18" i="74"/>
  <c r="L18" i="74"/>
  <c r="O17" i="74"/>
  <c r="N17" i="74"/>
  <c r="M17" i="74"/>
  <c r="L17" i="74"/>
  <c r="O5" i="74"/>
  <c r="N5" i="74"/>
  <c r="M5" i="74"/>
  <c r="L5" i="74"/>
  <c r="H2" i="55"/>
  <c r="H119" i="55"/>
  <c r="H180" i="55"/>
  <c r="I9" i="61"/>
  <c r="H19" i="55"/>
  <c r="H116" i="55"/>
  <c r="H149" i="55"/>
  <c r="C14" i="53"/>
  <c r="D14" i="53" s="1"/>
  <c r="C13" i="53"/>
  <c r="D13" i="53" s="1"/>
  <c r="C15" i="53"/>
  <c r="D15" i="53" s="1"/>
  <c r="C16" i="53"/>
  <c r="D16" i="53" s="1"/>
  <c r="H81" i="55"/>
  <c r="U30" i="61"/>
  <c r="U25" i="61"/>
  <c r="U24" i="61"/>
  <c r="U23" i="61"/>
  <c r="U53" i="61"/>
  <c r="U52" i="61"/>
  <c r="U51" i="61"/>
  <c r="U50" i="61"/>
  <c r="U49" i="61"/>
  <c r="H90" i="55"/>
  <c r="A3" i="9"/>
  <c r="D2" i="9"/>
  <c r="X80" i="69"/>
  <c r="Y80" i="69"/>
  <c r="X79" i="69"/>
  <c r="Y79" i="69"/>
  <c r="Y78" i="69"/>
  <c r="X78" i="69"/>
  <c r="X77" i="69"/>
  <c r="Y77" i="69"/>
  <c r="X76" i="69"/>
  <c r="Y76" i="69"/>
  <c r="X75" i="69"/>
  <c r="Y75" i="69"/>
  <c r="X74" i="69"/>
  <c r="Y74" i="69"/>
  <c r="X73" i="69"/>
  <c r="Y73" i="69"/>
  <c r="Y72" i="69"/>
  <c r="X72" i="69"/>
  <c r="X71" i="69"/>
  <c r="Y71" i="69"/>
  <c r="X70" i="69"/>
  <c r="Y70" i="69"/>
  <c r="X69" i="69"/>
  <c r="Y69" i="69"/>
  <c r="X68" i="69"/>
  <c r="Y68" i="69"/>
  <c r="X67" i="69"/>
  <c r="Y67" i="69"/>
  <c r="X66" i="69"/>
  <c r="Y66" i="69"/>
  <c r="X65" i="69"/>
  <c r="Y65" i="69"/>
  <c r="X64" i="69"/>
  <c r="Y64" i="69"/>
  <c r="X63" i="69"/>
  <c r="Y63" i="69"/>
  <c r="X62" i="69"/>
  <c r="Y62" i="69"/>
  <c r="X61" i="69"/>
  <c r="Y61" i="69"/>
  <c r="X60" i="69"/>
  <c r="Y60" i="69"/>
  <c r="X59" i="69"/>
  <c r="Y59" i="69"/>
  <c r="X58" i="69"/>
  <c r="Y58" i="69"/>
  <c r="X57" i="69"/>
  <c r="Y57" i="69"/>
  <c r="X56" i="69"/>
  <c r="Y56" i="69"/>
  <c r="X55" i="69"/>
  <c r="Y55" i="69"/>
  <c r="X54" i="69"/>
  <c r="Y54" i="69"/>
  <c r="X53" i="69"/>
  <c r="Y53" i="69"/>
  <c r="X52" i="69"/>
  <c r="Y52" i="69"/>
  <c r="X51" i="69"/>
  <c r="Y51" i="69"/>
  <c r="X50" i="69"/>
  <c r="Y50" i="69"/>
  <c r="X49" i="69"/>
  <c r="Y49" i="69"/>
  <c r="X48" i="69"/>
  <c r="Y48" i="69"/>
  <c r="X47" i="69"/>
  <c r="Y47" i="69"/>
  <c r="X46" i="69"/>
  <c r="Y46" i="69"/>
  <c r="X45" i="69"/>
  <c r="Y45" i="69"/>
  <c r="X44" i="69"/>
  <c r="Y44" i="69"/>
  <c r="X43" i="69"/>
  <c r="Y43" i="69"/>
  <c r="X42" i="69"/>
  <c r="Y42" i="69"/>
  <c r="X41" i="69"/>
  <c r="Y41" i="69"/>
  <c r="X40" i="69"/>
  <c r="Y40" i="69"/>
  <c r="X39" i="69"/>
  <c r="Y39" i="69"/>
  <c r="X38" i="69"/>
  <c r="Y38" i="69"/>
  <c r="X37" i="69"/>
  <c r="Y37" i="69"/>
  <c r="X36" i="69"/>
  <c r="Y36" i="69"/>
  <c r="X35" i="69"/>
  <c r="Y35" i="69"/>
  <c r="X34" i="69"/>
  <c r="Y34" i="69"/>
  <c r="X33" i="69"/>
  <c r="Y33" i="69"/>
  <c r="X32" i="69"/>
  <c r="Y32" i="69"/>
  <c r="X31" i="69"/>
  <c r="Y31" i="69"/>
  <c r="X30" i="69"/>
  <c r="Y30" i="69"/>
  <c r="X29" i="69"/>
  <c r="Y29" i="69"/>
  <c r="X28" i="69"/>
  <c r="Y28" i="69"/>
  <c r="X27" i="69"/>
  <c r="Y27" i="69"/>
  <c r="X26" i="69"/>
  <c r="Y26" i="69"/>
  <c r="X25" i="69"/>
  <c r="Y25" i="69"/>
  <c r="X24" i="69"/>
  <c r="Y24" i="69"/>
  <c r="X23" i="69"/>
  <c r="Y23" i="69"/>
  <c r="X22" i="69"/>
  <c r="Y22" i="69"/>
  <c r="X21" i="69"/>
  <c r="Y21" i="69"/>
  <c r="X20" i="69"/>
  <c r="Y20" i="69"/>
  <c r="X19" i="69"/>
  <c r="Y19" i="69"/>
  <c r="X18" i="69"/>
  <c r="Y18" i="69"/>
  <c r="X17" i="69"/>
  <c r="Y17" i="69"/>
  <c r="X16" i="69"/>
  <c r="Y16" i="69"/>
  <c r="X15" i="69"/>
  <c r="Y15" i="69"/>
  <c r="X14" i="69"/>
  <c r="Y14" i="69"/>
  <c r="X13" i="69"/>
  <c r="Y13" i="69"/>
  <c r="X12" i="69"/>
  <c r="Y12" i="69"/>
  <c r="X11" i="69"/>
  <c r="Y11" i="69"/>
  <c r="X10" i="69"/>
  <c r="Y10" i="69"/>
  <c r="X9" i="69"/>
  <c r="Y9" i="69"/>
  <c r="X8" i="69"/>
  <c r="Y8" i="69"/>
  <c r="X7" i="69"/>
  <c r="Y7" i="69"/>
  <c r="X6" i="69"/>
  <c r="Y6" i="69"/>
  <c r="X5" i="69"/>
  <c r="Y5" i="69"/>
  <c r="X4" i="69"/>
  <c r="Y4" i="69"/>
  <c r="X3" i="69"/>
  <c r="Y3" i="69"/>
  <c r="X2" i="69"/>
  <c r="Y2" i="69"/>
  <c r="R9" i="61"/>
  <c r="H9" i="61"/>
  <c r="G9" i="61"/>
  <c r="F9" i="61"/>
  <c r="E9" i="61"/>
  <c r="D9" i="61"/>
  <c r="Q7" i="61"/>
  <c r="R7" i="61" s="1"/>
  <c r="P7" i="61"/>
  <c r="O7" i="61"/>
  <c r="J8" i="61"/>
  <c r="F7" i="61"/>
  <c r="E7" i="61"/>
  <c r="D7" i="61"/>
  <c r="C7" i="61"/>
  <c r="Q5" i="61"/>
  <c r="R5" i="61" s="1"/>
  <c r="P5" i="61"/>
  <c r="O5" i="61"/>
  <c r="J6" i="61"/>
  <c r="R4" i="61"/>
  <c r="J5" i="61"/>
  <c r="H5" i="61"/>
  <c r="G5" i="61"/>
  <c r="F5" i="61"/>
  <c r="E5" i="61"/>
  <c r="D5" i="61"/>
  <c r="C5" i="61"/>
  <c r="Z1" i="61" s="1"/>
  <c r="Z6" i="61" s="1"/>
  <c r="W4" i="61"/>
  <c r="V4" i="61"/>
  <c r="U4" i="61"/>
  <c r="T4" i="61"/>
  <c r="Q3" i="61"/>
  <c r="R3" i="61" s="1"/>
  <c r="P3" i="61"/>
  <c r="O3" i="61"/>
  <c r="I101" i="17"/>
  <c r="H101" i="17"/>
  <c r="G101" i="17"/>
  <c r="F101" i="17"/>
  <c r="E101" i="17"/>
  <c r="I118" i="18"/>
  <c r="H118" i="18"/>
  <c r="I117" i="18"/>
  <c r="I115" i="18"/>
  <c r="H115" i="18"/>
  <c r="I114" i="18"/>
  <c r="I113" i="18"/>
  <c r="H113" i="18"/>
  <c r="I111" i="18"/>
  <c r="I110" i="18"/>
  <c r="I109" i="18"/>
  <c r="I107" i="18"/>
  <c r="I106" i="18"/>
  <c r="I105" i="18"/>
  <c r="I103" i="18"/>
  <c r="I102" i="18"/>
  <c r="H99" i="18"/>
  <c r="I97" i="18"/>
  <c r="I96" i="18"/>
  <c r="I85" i="18"/>
  <c r="H85" i="18"/>
  <c r="P84" i="18"/>
  <c r="I82" i="18"/>
  <c r="H82" i="18"/>
  <c r="I81" i="18"/>
  <c r="P81" i="18"/>
  <c r="I80" i="18"/>
  <c r="P80" i="18"/>
  <c r="X76" i="18"/>
  <c r="V76" i="18"/>
  <c r="I66" i="18"/>
  <c r="I65" i="18"/>
  <c r="I63" i="18"/>
  <c r="I62" i="18"/>
  <c r="H62" i="18"/>
  <c r="I61" i="18"/>
  <c r="I48" i="18"/>
  <c r="H48" i="18"/>
  <c r="R16" i="18"/>
  <c r="P16" i="18" s="1"/>
  <c r="R15" i="18"/>
  <c r="P15" i="18" s="1"/>
  <c r="K6" i="18"/>
  <c r="I6" i="18"/>
  <c r="H6" i="18"/>
  <c r="G6" i="18"/>
  <c r="F6" i="18"/>
  <c r="E6" i="18"/>
  <c r="D6" i="18"/>
  <c r="R38" i="18" s="1"/>
  <c r="P38" i="18" s="1"/>
  <c r="R4" i="18"/>
  <c r="P4" i="18" s="1"/>
  <c r="R3" i="18"/>
  <c r="P3" i="18" s="1"/>
  <c r="I3" i="18"/>
  <c r="H3" i="18"/>
  <c r="H77" i="52"/>
  <c r="H78" i="52" s="1"/>
  <c r="D77" i="52"/>
  <c r="D78" i="52" s="1"/>
  <c r="J50" i="52"/>
  <c r="H50" i="52"/>
  <c r="F50" i="52"/>
  <c r="E50" i="52"/>
  <c r="J49" i="52"/>
  <c r="F49" i="52"/>
  <c r="E49" i="52"/>
  <c r="J48" i="52"/>
  <c r="I48" i="52"/>
  <c r="I49" i="52" s="1"/>
  <c r="I50" i="52" s="1"/>
  <c r="I51" i="52" s="1"/>
  <c r="I52" i="52" s="1"/>
  <c r="I53" i="52" s="1"/>
  <c r="I54" i="52" s="1"/>
  <c r="I55" i="52" s="1"/>
  <c r="I56" i="52" s="1"/>
  <c r="I57" i="52" s="1"/>
  <c r="F48" i="52"/>
  <c r="E48" i="52"/>
  <c r="J47" i="52"/>
  <c r="I47" i="52"/>
  <c r="F47" i="52"/>
  <c r="E47" i="52"/>
  <c r="J46" i="52"/>
  <c r="I46" i="52"/>
  <c r="H46" i="52"/>
  <c r="F46" i="52"/>
  <c r="E46" i="52"/>
  <c r="J45" i="52"/>
  <c r="I45" i="52"/>
  <c r="F45" i="52"/>
  <c r="E45" i="52"/>
  <c r="J44" i="52"/>
  <c r="I44" i="52"/>
  <c r="F44" i="52"/>
  <c r="E44" i="52"/>
  <c r="J43" i="52"/>
  <c r="I43" i="52"/>
  <c r="F43" i="52"/>
  <c r="E43" i="52"/>
  <c r="J42" i="52"/>
  <c r="I42" i="52"/>
  <c r="F42" i="52"/>
  <c r="E42" i="52"/>
  <c r="J41" i="52"/>
  <c r="I41" i="52"/>
  <c r="F41" i="52"/>
  <c r="E41" i="52"/>
  <c r="J40" i="52"/>
  <c r="I40" i="52"/>
  <c r="F40" i="52"/>
  <c r="E40" i="52"/>
  <c r="J39" i="52"/>
  <c r="I39" i="52"/>
  <c r="F39" i="52"/>
  <c r="E39" i="52"/>
  <c r="J38" i="52"/>
  <c r="I38" i="52"/>
  <c r="F38" i="52"/>
  <c r="E38" i="52"/>
  <c r="J37" i="52"/>
  <c r="I37" i="52"/>
  <c r="F37" i="52"/>
  <c r="E37" i="52"/>
  <c r="N36" i="52"/>
  <c r="J36" i="52"/>
  <c r="I36" i="52"/>
  <c r="F36" i="52"/>
  <c r="E36" i="52"/>
  <c r="J35" i="52"/>
  <c r="I35" i="52"/>
  <c r="F35" i="52"/>
  <c r="E35" i="52"/>
  <c r="J34" i="52"/>
  <c r="I34" i="52"/>
  <c r="F34" i="52"/>
  <c r="E34" i="52"/>
  <c r="J33" i="52"/>
  <c r="I33" i="52"/>
  <c r="F33" i="52"/>
  <c r="E33" i="52"/>
  <c r="O32" i="52"/>
  <c r="N32" i="52"/>
  <c r="J32" i="52"/>
  <c r="I32" i="52"/>
  <c r="F32" i="52"/>
  <c r="E32" i="52"/>
  <c r="O31" i="52"/>
  <c r="J31" i="52"/>
  <c r="I31" i="52"/>
  <c r="F31" i="52"/>
  <c r="E31" i="52"/>
  <c r="J30" i="52"/>
  <c r="I30" i="52"/>
  <c r="F30" i="52"/>
  <c r="E30" i="52"/>
  <c r="J29" i="52"/>
  <c r="I29" i="52"/>
  <c r="F29" i="52"/>
  <c r="E29" i="52"/>
  <c r="J28" i="52"/>
  <c r="I28" i="52"/>
  <c r="F28" i="52"/>
  <c r="E28" i="52"/>
  <c r="J27" i="52"/>
  <c r="I27" i="52"/>
  <c r="F27" i="52"/>
  <c r="E27" i="52"/>
  <c r="J26" i="52"/>
  <c r="I26" i="52"/>
  <c r="F26" i="52"/>
  <c r="E26" i="52"/>
  <c r="J25" i="52"/>
  <c r="I25" i="52"/>
  <c r="F25" i="52"/>
  <c r="E25" i="52"/>
  <c r="J24" i="52"/>
  <c r="I24" i="52"/>
  <c r="F24" i="52"/>
  <c r="E24" i="52"/>
  <c r="J23" i="52"/>
  <c r="I23" i="52"/>
  <c r="F23" i="52"/>
  <c r="E23" i="52"/>
  <c r="J22" i="52"/>
  <c r="I22" i="52"/>
  <c r="F22" i="52"/>
  <c r="E22" i="52"/>
  <c r="J21" i="52"/>
  <c r="I21" i="52"/>
  <c r="F21" i="52"/>
  <c r="E21" i="52"/>
  <c r="J20" i="52"/>
  <c r="I20" i="52"/>
  <c r="F20" i="52"/>
  <c r="E20" i="52"/>
  <c r="J19" i="52"/>
  <c r="I19" i="52"/>
  <c r="F19" i="52"/>
  <c r="E19" i="52"/>
  <c r="J18" i="52"/>
  <c r="I18" i="52"/>
  <c r="F18" i="52"/>
  <c r="E18" i="52"/>
  <c r="J17" i="52"/>
  <c r="I17" i="52"/>
  <c r="F17" i="52"/>
  <c r="E17" i="52"/>
  <c r="J16" i="52"/>
  <c r="I16" i="52"/>
  <c r="F16" i="52"/>
  <c r="E16" i="52"/>
  <c r="J15" i="52"/>
  <c r="I15" i="52"/>
  <c r="F15" i="52"/>
  <c r="E15" i="52"/>
  <c r="J14" i="52"/>
  <c r="I14" i="52"/>
  <c r="F14" i="52"/>
  <c r="E14" i="52"/>
  <c r="J13" i="52"/>
  <c r="I13" i="52"/>
  <c r="F13" i="52"/>
  <c r="E13" i="52"/>
  <c r="J12" i="52"/>
  <c r="I12" i="52"/>
  <c r="F12" i="52"/>
  <c r="E12" i="52"/>
  <c r="J11" i="52"/>
  <c r="I11" i="52"/>
  <c r="F11" i="52"/>
  <c r="E11" i="52"/>
  <c r="J10" i="52"/>
  <c r="I10" i="52"/>
  <c r="F10" i="52"/>
  <c r="E10" i="52"/>
  <c r="J9" i="52"/>
  <c r="I9" i="52"/>
  <c r="F9" i="52"/>
  <c r="E9" i="52"/>
  <c r="J8" i="52"/>
  <c r="I8" i="52"/>
  <c r="F8" i="52"/>
  <c r="E8" i="52"/>
  <c r="J7" i="52"/>
  <c r="I7" i="52"/>
  <c r="F7" i="52"/>
  <c r="E7" i="52"/>
  <c r="J6" i="52"/>
  <c r="I6" i="52"/>
  <c r="F6" i="52"/>
  <c r="E6" i="52"/>
  <c r="R5" i="52"/>
  <c r="J5" i="52"/>
  <c r="I5" i="52"/>
  <c r="F5" i="52"/>
  <c r="E5" i="52"/>
  <c r="N4" i="52"/>
  <c r="J4" i="52"/>
  <c r="I4" i="52"/>
  <c r="F4" i="52"/>
  <c r="E4" i="52"/>
  <c r="P3" i="52"/>
  <c r="O3" i="52"/>
  <c r="N3" i="52"/>
  <c r="J3" i="52"/>
  <c r="I3" i="52"/>
  <c r="F3" i="52"/>
  <c r="E3" i="52"/>
  <c r="K2" i="52"/>
  <c r="J2" i="52"/>
  <c r="I2" i="52"/>
  <c r="G2" i="52"/>
  <c r="F2" i="52"/>
  <c r="E2" i="52"/>
  <c r="K49" i="53"/>
  <c r="K50" i="53"/>
  <c r="C49" i="53"/>
  <c r="D49" i="53"/>
  <c r="K48" i="53"/>
  <c r="C48" i="53"/>
  <c r="D48" i="53"/>
  <c r="K47" i="53"/>
  <c r="C47" i="53"/>
  <c r="D47" i="53"/>
  <c r="K46" i="53"/>
  <c r="C46" i="53"/>
  <c r="D46" i="53"/>
  <c r="K45" i="53"/>
  <c r="C45" i="53"/>
  <c r="D45" i="53"/>
  <c r="K10" i="53"/>
  <c r="C10" i="53"/>
  <c r="D10" i="53" s="1"/>
  <c r="K9" i="53"/>
  <c r="C9" i="53"/>
  <c r="D9" i="53" s="1"/>
  <c r="K8" i="53"/>
  <c r="C8" i="53"/>
  <c r="D8" i="53" s="1"/>
  <c r="K7" i="53"/>
  <c r="C7" i="53"/>
  <c r="D7" i="53" s="1"/>
  <c r="C4" i="53"/>
  <c r="D4" i="53" s="1"/>
  <c r="C3" i="53"/>
  <c r="D3" i="53" s="1"/>
  <c r="C2" i="53"/>
  <c r="D2" i="53" s="1"/>
  <c r="Z14" i="7"/>
  <c r="Z16" i="7" s="1"/>
  <c r="Z9" i="7"/>
  <c r="R227" i="7" s="1"/>
  <c r="K227" i="6" s="1"/>
  <c r="L235" i="55"/>
  <c r="L233" i="55"/>
  <c r="L229" i="55"/>
  <c r="L227" i="55"/>
  <c r="L222" i="55"/>
  <c r="L220" i="55"/>
  <c r="L216" i="55"/>
  <c r="L214" i="55"/>
  <c r="H61" i="55"/>
  <c r="H208" i="55"/>
  <c r="H207" i="55"/>
  <c r="H206" i="55"/>
  <c r="H205" i="55"/>
  <c r="H201" i="55"/>
  <c r="H194" i="55"/>
  <c r="H200" i="55"/>
  <c r="H197" i="55"/>
  <c r="H202" i="55"/>
  <c r="H204" i="55"/>
  <c r="H199" i="55"/>
  <c r="H185" i="55"/>
  <c r="H203" i="55"/>
  <c r="H187" i="55"/>
  <c r="H190" i="55"/>
  <c r="H193" i="55"/>
  <c r="H188" i="55"/>
  <c r="H191" i="55"/>
  <c r="H195" i="55"/>
  <c r="H186" i="55"/>
  <c r="H198" i="55"/>
  <c r="H189" i="55"/>
  <c r="H181" i="55"/>
  <c r="H196" i="55"/>
  <c r="H183" i="55"/>
  <c r="H174" i="55"/>
  <c r="H156" i="55"/>
  <c r="H157" i="55"/>
  <c r="H182" i="55"/>
  <c r="H179" i="55"/>
  <c r="H176" i="55"/>
  <c r="H192" i="55"/>
  <c r="H184" i="55"/>
  <c r="H178" i="55"/>
  <c r="H163" i="55"/>
  <c r="H167" i="55"/>
  <c r="H175" i="55"/>
  <c r="H170" i="55"/>
  <c r="H165" i="55"/>
  <c r="H171" i="55"/>
  <c r="H168" i="55"/>
  <c r="H148" i="55"/>
  <c r="H150" i="55"/>
  <c r="H177" i="55"/>
  <c r="H172" i="55"/>
  <c r="H159" i="55"/>
  <c r="H146" i="55"/>
  <c r="H164" i="55"/>
  <c r="H154" i="55"/>
  <c r="H166" i="55"/>
  <c r="H169" i="55"/>
  <c r="H173" i="55"/>
  <c r="H158" i="55"/>
  <c r="H160" i="55"/>
  <c r="H147" i="55"/>
  <c r="H162" i="55"/>
  <c r="H143" i="55"/>
  <c r="H144" i="55"/>
  <c r="H125" i="55"/>
  <c r="H151" i="55"/>
  <c r="H152" i="55"/>
  <c r="H133" i="55"/>
  <c r="H136" i="55"/>
  <c r="H124" i="55"/>
  <c r="H145" i="55"/>
  <c r="H139" i="55"/>
  <c r="H153" i="55"/>
  <c r="H142" i="55"/>
  <c r="H155" i="55"/>
  <c r="H127" i="55"/>
  <c r="H140" i="55"/>
  <c r="H161" i="55"/>
  <c r="H100" i="55"/>
  <c r="H120" i="55"/>
  <c r="H132" i="55"/>
  <c r="H129" i="55"/>
  <c r="H134" i="55"/>
  <c r="H113" i="55"/>
  <c r="H138" i="55"/>
  <c r="H115" i="55"/>
  <c r="H126" i="55"/>
  <c r="H135" i="55"/>
  <c r="H137" i="55"/>
  <c r="H123" i="55"/>
  <c r="H128" i="55"/>
  <c r="H112" i="55"/>
  <c r="H101" i="55"/>
  <c r="H114" i="55"/>
  <c r="H108" i="55"/>
  <c r="H117" i="55"/>
  <c r="H131" i="55"/>
  <c r="H122" i="55"/>
  <c r="H141" i="55"/>
  <c r="H97" i="55"/>
  <c r="H105" i="55"/>
  <c r="H109" i="55"/>
  <c r="H130" i="55"/>
  <c r="H98" i="55"/>
  <c r="H104" i="55"/>
  <c r="H103" i="55"/>
  <c r="H121" i="55"/>
  <c r="H111" i="55"/>
  <c r="H84" i="55"/>
  <c r="H110" i="55"/>
  <c r="H93" i="55"/>
  <c r="H102" i="55"/>
  <c r="H96" i="55"/>
  <c r="H95" i="55"/>
  <c r="H99" i="55"/>
  <c r="H80" i="55"/>
  <c r="H82" i="55"/>
  <c r="H85" i="55"/>
  <c r="H86" i="55"/>
  <c r="H89" i="55"/>
  <c r="H77" i="55"/>
  <c r="H94" i="55"/>
  <c r="H73" i="55"/>
  <c r="H72" i="55"/>
  <c r="H83" i="55"/>
  <c r="H107" i="55"/>
  <c r="H91" i="55"/>
  <c r="H87" i="55"/>
  <c r="H88" i="55"/>
  <c r="H67" i="55"/>
  <c r="H63" i="55"/>
  <c r="H106" i="55"/>
  <c r="H118" i="55"/>
  <c r="H62" i="55"/>
  <c r="H76" i="55"/>
  <c r="H65" i="55"/>
  <c r="H68" i="55"/>
  <c r="H92" i="55"/>
  <c r="H75" i="55"/>
  <c r="H66" i="55"/>
  <c r="H78" i="55"/>
  <c r="H56" i="55"/>
  <c r="H74" i="55"/>
  <c r="H71" i="55"/>
  <c r="H50" i="55"/>
  <c r="H53" i="55"/>
  <c r="H57" i="55"/>
  <c r="H64" i="55"/>
  <c r="H79" i="55"/>
  <c r="H70" i="55"/>
  <c r="H54" i="55"/>
  <c r="H59" i="55"/>
  <c r="H47" i="55"/>
  <c r="H58" i="55"/>
  <c r="H44" i="55"/>
  <c r="H49" i="55"/>
  <c r="H48" i="55"/>
  <c r="H69" i="55"/>
  <c r="H45" i="55"/>
  <c r="H51" i="55"/>
  <c r="H43" i="55"/>
  <c r="H52" i="55"/>
  <c r="H37" i="55"/>
  <c r="H34" i="55"/>
  <c r="H40" i="55"/>
  <c r="H46" i="55"/>
  <c r="H33" i="55"/>
  <c r="H60" i="55"/>
  <c r="H27" i="55"/>
  <c r="H36" i="55"/>
  <c r="H42" i="55"/>
  <c r="H38" i="55"/>
  <c r="H39" i="55"/>
  <c r="H41" i="55"/>
  <c r="H55" i="55"/>
  <c r="H23" i="55"/>
  <c r="H22" i="55"/>
  <c r="H24" i="55"/>
  <c r="H28" i="55"/>
  <c r="H32" i="55"/>
  <c r="H21" i="55"/>
  <c r="H26" i="55"/>
  <c r="H18" i="55"/>
  <c r="H30" i="55"/>
  <c r="H25" i="55"/>
  <c r="H29" i="55"/>
  <c r="H16" i="55"/>
  <c r="H35" i="55"/>
  <c r="H31" i="55"/>
  <c r="H20" i="55"/>
  <c r="H15" i="55"/>
  <c r="H17" i="55"/>
  <c r="H14" i="55"/>
  <c r="H13" i="55"/>
  <c r="H8" i="55"/>
  <c r="H11" i="55"/>
  <c r="H10" i="55"/>
  <c r="H4" i="55"/>
  <c r="M8" i="55"/>
  <c r="M10" i="55" s="1"/>
  <c r="H12" i="55"/>
  <c r="H6" i="55"/>
  <c r="H7" i="55"/>
  <c r="H5" i="55"/>
  <c r="H3" i="55"/>
  <c r="H9" i="55"/>
  <c r="F2" i="57"/>
  <c r="D139" i="56"/>
  <c r="D138" i="56"/>
  <c r="D137" i="56"/>
  <c r="D136" i="56"/>
  <c r="D135" i="56"/>
  <c r="D134" i="56"/>
  <c r="D133" i="56"/>
  <c r="D132" i="56"/>
  <c r="D131" i="56"/>
  <c r="D130" i="56"/>
  <c r="D129" i="56"/>
  <c r="D128" i="56"/>
  <c r="D127" i="56"/>
  <c r="D126" i="56"/>
  <c r="D125" i="56"/>
  <c r="D124" i="56"/>
  <c r="D123" i="56"/>
  <c r="D122" i="56"/>
  <c r="D121" i="56"/>
  <c r="D120" i="56"/>
  <c r="D119" i="56"/>
  <c r="D118" i="56"/>
  <c r="D117" i="56"/>
  <c r="D116" i="56"/>
  <c r="D115" i="56"/>
  <c r="D114" i="56"/>
  <c r="D113" i="56"/>
  <c r="D112" i="56"/>
  <c r="D111" i="56"/>
  <c r="D110" i="56"/>
  <c r="D109" i="56"/>
  <c r="D108" i="56"/>
  <c r="D107" i="56"/>
  <c r="D106" i="56"/>
  <c r="D105" i="56"/>
  <c r="D104" i="56"/>
  <c r="D103" i="56"/>
  <c r="D102" i="56"/>
  <c r="D101" i="56"/>
  <c r="D100" i="56"/>
  <c r="D99" i="56"/>
  <c r="D98" i="56"/>
  <c r="D97" i="56"/>
  <c r="D96" i="56"/>
  <c r="D95" i="56"/>
  <c r="D94" i="56"/>
  <c r="D93" i="56"/>
  <c r="D92" i="56"/>
  <c r="D91" i="56"/>
  <c r="D90" i="56"/>
  <c r="D89" i="56"/>
  <c r="D88" i="56"/>
  <c r="D87" i="56"/>
  <c r="D86" i="56"/>
  <c r="D85" i="56"/>
  <c r="D84" i="56"/>
  <c r="D83" i="56"/>
  <c r="D82" i="56"/>
  <c r="D81" i="56"/>
  <c r="D80" i="56"/>
  <c r="D79" i="56"/>
  <c r="D78" i="56"/>
  <c r="D77" i="56"/>
  <c r="D76" i="56"/>
  <c r="D75" i="56"/>
  <c r="D74" i="56"/>
  <c r="D73" i="56"/>
  <c r="D72" i="56"/>
  <c r="D71" i="56"/>
  <c r="D70" i="56"/>
  <c r="D69" i="56"/>
  <c r="D68" i="56"/>
  <c r="D67" i="56"/>
  <c r="D66" i="56"/>
  <c r="D65" i="56"/>
  <c r="D64" i="56"/>
  <c r="D63" i="56"/>
  <c r="D62" i="56"/>
  <c r="D61" i="56"/>
  <c r="D60" i="56"/>
  <c r="D59" i="56"/>
  <c r="D58" i="56"/>
  <c r="D57" i="56"/>
  <c r="D56" i="56"/>
  <c r="D55" i="56"/>
  <c r="D54" i="56"/>
  <c r="D53" i="56"/>
  <c r="D52" i="56"/>
  <c r="D51" i="56"/>
  <c r="D50" i="56"/>
  <c r="D49" i="56"/>
  <c r="D48" i="56"/>
  <c r="D47" i="56"/>
  <c r="D46" i="56"/>
  <c r="D45" i="56"/>
  <c r="D44" i="56"/>
  <c r="D43" i="56"/>
  <c r="D42" i="56"/>
  <c r="D41" i="56"/>
  <c r="D40" i="56"/>
  <c r="D39" i="56"/>
  <c r="D38" i="56"/>
  <c r="D37" i="56"/>
  <c r="D36" i="56"/>
  <c r="D35" i="56"/>
  <c r="D34" i="56"/>
  <c r="D33" i="56"/>
  <c r="D32" i="56"/>
  <c r="D31" i="56"/>
  <c r="D30" i="56"/>
  <c r="D29" i="56"/>
  <c r="D28" i="56"/>
  <c r="D27" i="56"/>
  <c r="D26" i="56"/>
  <c r="D25" i="56"/>
  <c r="D24" i="56"/>
  <c r="D23" i="56"/>
  <c r="D22" i="56"/>
  <c r="D21" i="56"/>
  <c r="D20" i="56"/>
  <c r="D19" i="56"/>
  <c r="D18" i="56"/>
  <c r="D17" i="56"/>
  <c r="D16" i="56"/>
  <c r="D15" i="56"/>
  <c r="D14" i="56"/>
  <c r="D13" i="56"/>
  <c r="D12" i="56"/>
  <c r="D11" i="56"/>
  <c r="D10" i="56"/>
  <c r="D9" i="56"/>
  <c r="D8" i="56"/>
  <c r="D7" i="56"/>
  <c r="D6" i="56"/>
  <c r="D5" i="56"/>
  <c r="D4" i="56"/>
  <c r="D3" i="56"/>
  <c r="H2" i="56"/>
  <c r="G2" i="56"/>
  <c r="D2" i="56"/>
  <c r="H270" i="9"/>
  <c r="G270" i="9"/>
  <c r="F270" i="9"/>
  <c r="E270" i="9"/>
  <c r="D270" i="9"/>
  <c r="C270" i="9"/>
  <c r="B270" i="9"/>
  <c r="A270" i="9"/>
  <c r="H269" i="9"/>
  <c r="G269" i="9"/>
  <c r="F269" i="9"/>
  <c r="E269" i="9"/>
  <c r="D269" i="9"/>
  <c r="C269" i="9"/>
  <c r="B269" i="9"/>
  <c r="A269" i="9"/>
  <c r="H268" i="9"/>
  <c r="G268" i="9"/>
  <c r="F268" i="9"/>
  <c r="E268" i="9"/>
  <c r="D268" i="9"/>
  <c r="C268" i="9"/>
  <c r="B268" i="9"/>
  <c r="A268" i="9"/>
  <c r="H267" i="9"/>
  <c r="G267" i="9"/>
  <c r="F267" i="9"/>
  <c r="E267" i="9"/>
  <c r="D267" i="9"/>
  <c r="C267" i="9"/>
  <c r="B267" i="9"/>
  <c r="A267" i="9"/>
  <c r="H266" i="9"/>
  <c r="G266" i="9"/>
  <c r="F266" i="9"/>
  <c r="E266" i="9"/>
  <c r="D266" i="9"/>
  <c r="C266" i="9"/>
  <c r="B266" i="9"/>
  <c r="A266" i="9"/>
  <c r="H265" i="9"/>
  <c r="G265" i="9"/>
  <c r="F265" i="9"/>
  <c r="E265" i="9"/>
  <c r="D265" i="9"/>
  <c r="C265" i="9"/>
  <c r="B265" i="9"/>
  <c r="A265" i="9"/>
  <c r="H264" i="9"/>
  <c r="G264" i="9"/>
  <c r="F264" i="9"/>
  <c r="E264" i="9"/>
  <c r="D264" i="9"/>
  <c r="C264" i="9"/>
  <c r="B264" i="9"/>
  <c r="A264" i="9"/>
  <c r="H263" i="9"/>
  <c r="G263" i="9"/>
  <c r="F263" i="9"/>
  <c r="E263" i="9"/>
  <c r="D263" i="9"/>
  <c r="C263" i="9"/>
  <c r="B263" i="9"/>
  <c r="A263" i="9"/>
  <c r="H262" i="9"/>
  <c r="G262" i="9"/>
  <c r="F262" i="9"/>
  <c r="E262" i="9"/>
  <c r="D262" i="9"/>
  <c r="C262" i="9"/>
  <c r="B262" i="9"/>
  <c r="A262" i="9"/>
  <c r="H261" i="9"/>
  <c r="G261" i="9"/>
  <c r="F261" i="9"/>
  <c r="E261" i="9"/>
  <c r="D261" i="9"/>
  <c r="C261" i="9"/>
  <c r="B261" i="9"/>
  <c r="A261" i="9"/>
  <c r="H260" i="9"/>
  <c r="G260" i="9"/>
  <c r="F260" i="9"/>
  <c r="E260" i="9"/>
  <c r="D260" i="9"/>
  <c r="C260" i="9"/>
  <c r="B260" i="9"/>
  <c r="A260" i="9"/>
  <c r="H259" i="9"/>
  <c r="G259" i="9"/>
  <c r="F259" i="9"/>
  <c r="E259" i="9"/>
  <c r="D259" i="9"/>
  <c r="C259" i="9"/>
  <c r="B259" i="9"/>
  <c r="A259" i="9"/>
  <c r="H258" i="9"/>
  <c r="G258" i="9"/>
  <c r="F258" i="9"/>
  <c r="E258" i="9"/>
  <c r="D258" i="9"/>
  <c r="C258" i="9"/>
  <c r="B258" i="9"/>
  <c r="A258" i="9"/>
  <c r="H257" i="9"/>
  <c r="G257" i="9"/>
  <c r="F257" i="9"/>
  <c r="E257" i="9"/>
  <c r="D257" i="9"/>
  <c r="C257" i="9"/>
  <c r="B257" i="9"/>
  <c r="A257" i="9"/>
  <c r="H256" i="9"/>
  <c r="G256" i="9"/>
  <c r="F256" i="9"/>
  <c r="E256" i="9"/>
  <c r="D256" i="9"/>
  <c r="C256" i="9"/>
  <c r="B256" i="9"/>
  <c r="A256" i="9"/>
  <c r="H255" i="9"/>
  <c r="G255" i="9"/>
  <c r="F255" i="9"/>
  <c r="E255" i="9"/>
  <c r="D255" i="9"/>
  <c r="C255" i="9"/>
  <c r="B255" i="9"/>
  <c r="A255" i="9"/>
  <c r="H254" i="9"/>
  <c r="G254" i="9"/>
  <c r="F254" i="9"/>
  <c r="E254" i="9"/>
  <c r="D254" i="9"/>
  <c r="C254" i="9"/>
  <c r="B254" i="9"/>
  <c r="A254" i="9"/>
  <c r="H253" i="9"/>
  <c r="G253" i="9"/>
  <c r="F253" i="9"/>
  <c r="E253" i="9"/>
  <c r="D253" i="9"/>
  <c r="C253" i="9"/>
  <c r="B253" i="9"/>
  <c r="A253" i="9"/>
  <c r="H252" i="9"/>
  <c r="G252" i="9"/>
  <c r="F252" i="9"/>
  <c r="E252" i="9"/>
  <c r="D252" i="9"/>
  <c r="C252" i="9"/>
  <c r="B252" i="9"/>
  <c r="A252" i="9"/>
  <c r="H251" i="9"/>
  <c r="G251" i="9"/>
  <c r="F251" i="9"/>
  <c r="E251" i="9"/>
  <c r="D251" i="9"/>
  <c r="C251" i="9"/>
  <c r="B251" i="9"/>
  <c r="A251" i="9"/>
  <c r="H250" i="9"/>
  <c r="G250" i="9"/>
  <c r="F250" i="9"/>
  <c r="E250" i="9"/>
  <c r="D250" i="9"/>
  <c r="C250" i="9"/>
  <c r="B250" i="9"/>
  <c r="A250" i="9"/>
  <c r="H249" i="9"/>
  <c r="G249" i="9"/>
  <c r="F249" i="9"/>
  <c r="E249" i="9"/>
  <c r="D249" i="9"/>
  <c r="C249" i="9"/>
  <c r="B249" i="9"/>
  <c r="A249" i="9"/>
  <c r="H248" i="9"/>
  <c r="G248" i="9"/>
  <c r="F248" i="9"/>
  <c r="E248" i="9"/>
  <c r="D248" i="9"/>
  <c r="C248" i="9"/>
  <c r="B248" i="9"/>
  <c r="A248" i="9"/>
  <c r="H247" i="9"/>
  <c r="G247" i="9"/>
  <c r="F247" i="9"/>
  <c r="E247" i="9"/>
  <c r="D247" i="9"/>
  <c r="C247" i="9"/>
  <c r="B247" i="9"/>
  <c r="A247" i="9"/>
  <c r="H246" i="9"/>
  <c r="G246" i="9"/>
  <c r="F246" i="9"/>
  <c r="E246" i="9"/>
  <c r="D246" i="9"/>
  <c r="C246" i="9"/>
  <c r="B246" i="9"/>
  <c r="A246" i="9"/>
  <c r="H245" i="9"/>
  <c r="G245" i="9"/>
  <c r="F245" i="9"/>
  <c r="E245" i="9"/>
  <c r="D245" i="9"/>
  <c r="C245" i="9"/>
  <c r="B245" i="9"/>
  <c r="A245" i="9"/>
  <c r="H244" i="9"/>
  <c r="G244" i="9"/>
  <c r="F244" i="9"/>
  <c r="E244" i="9"/>
  <c r="D244" i="9"/>
  <c r="C244" i="9"/>
  <c r="B244" i="9"/>
  <c r="A244" i="9"/>
  <c r="H243" i="9"/>
  <c r="G243" i="9"/>
  <c r="F243" i="9"/>
  <c r="E243" i="9"/>
  <c r="D243" i="9"/>
  <c r="C243" i="9"/>
  <c r="B243" i="9"/>
  <c r="A243" i="9"/>
  <c r="H242" i="9"/>
  <c r="G242" i="9"/>
  <c r="F242" i="9"/>
  <c r="E242" i="9"/>
  <c r="D242" i="9"/>
  <c r="C242" i="9"/>
  <c r="B242" i="9"/>
  <c r="A242" i="9"/>
  <c r="H241" i="9"/>
  <c r="G241" i="9"/>
  <c r="F241" i="9"/>
  <c r="E241" i="9"/>
  <c r="D241" i="9"/>
  <c r="C241" i="9"/>
  <c r="B241" i="9"/>
  <c r="A241" i="9"/>
  <c r="H240" i="9"/>
  <c r="G240" i="9"/>
  <c r="F240" i="9"/>
  <c r="E240" i="9"/>
  <c r="D240" i="9"/>
  <c r="C240" i="9"/>
  <c r="B240" i="9"/>
  <c r="A240" i="9"/>
  <c r="H239" i="9"/>
  <c r="G239" i="9"/>
  <c r="F239" i="9"/>
  <c r="E239" i="9"/>
  <c r="D239" i="9"/>
  <c r="C239" i="9"/>
  <c r="B239" i="9"/>
  <c r="A239" i="9"/>
  <c r="H238" i="9"/>
  <c r="G238" i="9"/>
  <c r="F238" i="9"/>
  <c r="E238" i="9"/>
  <c r="D238" i="9"/>
  <c r="C238" i="9"/>
  <c r="B238" i="9"/>
  <c r="A238" i="9"/>
  <c r="H237" i="9"/>
  <c r="G237" i="9"/>
  <c r="F237" i="9"/>
  <c r="E237" i="9"/>
  <c r="D237" i="9"/>
  <c r="C237" i="9"/>
  <c r="B237" i="9"/>
  <c r="A237" i="9"/>
  <c r="H236" i="9"/>
  <c r="G236" i="9"/>
  <c r="F236" i="9"/>
  <c r="E236" i="9"/>
  <c r="D236" i="9"/>
  <c r="C236" i="9"/>
  <c r="B236" i="9"/>
  <c r="A236" i="9"/>
  <c r="H235" i="9"/>
  <c r="G235" i="9"/>
  <c r="F235" i="9"/>
  <c r="E235" i="9"/>
  <c r="D235" i="9"/>
  <c r="C235" i="9"/>
  <c r="B235" i="9"/>
  <c r="A235" i="9"/>
  <c r="H234" i="9"/>
  <c r="G234" i="9"/>
  <c r="F234" i="9"/>
  <c r="E234" i="9"/>
  <c r="D234" i="9"/>
  <c r="C234" i="9"/>
  <c r="B234" i="9"/>
  <c r="A234" i="9"/>
  <c r="H233" i="9"/>
  <c r="G233" i="9"/>
  <c r="F233" i="9"/>
  <c r="E233" i="9"/>
  <c r="D233" i="9"/>
  <c r="C233" i="9"/>
  <c r="B233" i="9"/>
  <c r="A233" i="9"/>
  <c r="H232" i="9"/>
  <c r="G232" i="9"/>
  <c r="F232" i="9"/>
  <c r="E232" i="9"/>
  <c r="D232" i="9"/>
  <c r="C232" i="9"/>
  <c r="B232" i="9"/>
  <c r="A232" i="9"/>
  <c r="H231" i="9"/>
  <c r="G231" i="9"/>
  <c r="F231" i="9"/>
  <c r="E231" i="9"/>
  <c r="D231" i="9"/>
  <c r="C231" i="9"/>
  <c r="B231" i="9"/>
  <c r="A231" i="9"/>
  <c r="H230" i="9"/>
  <c r="G230" i="9"/>
  <c r="F230" i="9"/>
  <c r="E230" i="9"/>
  <c r="D230" i="9"/>
  <c r="C230" i="9"/>
  <c r="B230" i="9"/>
  <c r="A230" i="9"/>
  <c r="H229" i="9"/>
  <c r="G229" i="9"/>
  <c r="F229" i="9"/>
  <c r="E229" i="9"/>
  <c r="D229" i="9"/>
  <c r="C229" i="9"/>
  <c r="B229" i="9"/>
  <c r="A229" i="9"/>
  <c r="H228" i="9"/>
  <c r="G228" i="9"/>
  <c r="F228" i="9"/>
  <c r="E228" i="9"/>
  <c r="D228" i="9"/>
  <c r="C228" i="9"/>
  <c r="B228" i="9"/>
  <c r="A228" i="9"/>
  <c r="H227" i="9"/>
  <c r="G227" i="9"/>
  <c r="F227" i="9"/>
  <c r="E227" i="9"/>
  <c r="D227" i="9"/>
  <c r="C227" i="9"/>
  <c r="B227" i="9"/>
  <c r="A227" i="9"/>
  <c r="H226" i="9"/>
  <c r="G226" i="9"/>
  <c r="F226" i="9"/>
  <c r="E226" i="9"/>
  <c r="D226" i="9"/>
  <c r="C226" i="9"/>
  <c r="B226" i="9"/>
  <c r="A226" i="9"/>
  <c r="H225" i="9"/>
  <c r="G225" i="9"/>
  <c r="F225" i="9"/>
  <c r="E225" i="9"/>
  <c r="D225" i="9"/>
  <c r="C225" i="9"/>
  <c r="B225" i="9"/>
  <c r="A225" i="9"/>
  <c r="H224" i="9"/>
  <c r="G224" i="9"/>
  <c r="F224" i="9"/>
  <c r="E224" i="9"/>
  <c r="D224" i="9"/>
  <c r="C224" i="9"/>
  <c r="B224" i="9"/>
  <c r="A224" i="9"/>
  <c r="H223" i="9"/>
  <c r="G223" i="9"/>
  <c r="F223" i="9"/>
  <c r="E223" i="9"/>
  <c r="D223" i="9"/>
  <c r="C223" i="9"/>
  <c r="B223" i="9"/>
  <c r="A223" i="9"/>
  <c r="H222" i="9"/>
  <c r="G222" i="9"/>
  <c r="F222" i="9"/>
  <c r="E222" i="9"/>
  <c r="D222" i="9"/>
  <c r="C222" i="9"/>
  <c r="B222" i="9"/>
  <c r="A222" i="9"/>
  <c r="H221" i="9"/>
  <c r="G221" i="9"/>
  <c r="F221" i="9"/>
  <c r="E221" i="9"/>
  <c r="D221" i="9"/>
  <c r="C221" i="9"/>
  <c r="B221" i="9"/>
  <c r="A221" i="9"/>
  <c r="H220" i="9"/>
  <c r="G220" i="9"/>
  <c r="F220" i="9"/>
  <c r="E220" i="9"/>
  <c r="D220" i="9"/>
  <c r="C220" i="9"/>
  <c r="B220" i="9"/>
  <c r="A220" i="9"/>
  <c r="H219" i="9"/>
  <c r="G219" i="9"/>
  <c r="F219" i="9"/>
  <c r="E219" i="9"/>
  <c r="D219" i="9"/>
  <c r="C219" i="9"/>
  <c r="B219" i="9"/>
  <c r="A219" i="9"/>
  <c r="H218" i="9"/>
  <c r="G218" i="9"/>
  <c r="F218" i="9"/>
  <c r="E218" i="9"/>
  <c r="D218" i="9"/>
  <c r="C218" i="9"/>
  <c r="B218" i="9"/>
  <c r="A218" i="9"/>
  <c r="H217" i="9"/>
  <c r="G217" i="9"/>
  <c r="F217" i="9"/>
  <c r="E217" i="9"/>
  <c r="D217" i="9"/>
  <c r="C217" i="9"/>
  <c r="B217" i="9"/>
  <c r="A217" i="9"/>
  <c r="H216" i="9"/>
  <c r="G216" i="9"/>
  <c r="F216" i="9"/>
  <c r="E216" i="9"/>
  <c r="D216" i="9"/>
  <c r="C216" i="9"/>
  <c r="B216" i="9"/>
  <c r="A216" i="9"/>
  <c r="H215" i="9"/>
  <c r="G215" i="9"/>
  <c r="F215" i="9"/>
  <c r="E215" i="9"/>
  <c r="D215" i="9"/>
  <c r="C215" i="9"/>
  <c r="B215" i="9"/>
  <c r="A215" i="9"/>
  <c r="H214" i="9"/>
  <c r="G214" i="9"/>
  <c r="F214" i="9"/>
  <c r="E214" i="9"/>
  <c r="D214" i="9"/>
  <c r="C214" i="9"/>
  <c r="B214" i="9"/>
  <c r="A214" i="9"/>
  <c r="H213" i="9"/>
  <c r="G213" i="9"/>
  <c r="F213" i="9"/>
  <c r="E213" i="9"/>
  <c r="D213" i="9"/>
  <c r="C213" i="9"/>
  <c r="B213" i="9"/>
  <c r="A213" i="9"/>
  <c r="H212" i="9"/>
  <c r="G212" i="9"/>
  <c r="F212" i="9"/>
  <c r="E212" i="9"/>
  <c r="D212" i="9"/>
  <c r="C212" i="9"/>
  <c r="B212" i="9"/>
  <c r="A212" i="9"/>
  <c r="H211" i="9"/>
  <c r="G211" i="9"/>
  <c r="F211" i="9"/>
  <c r="E211" i="9"/>
  <c r="D211" i="9"/>
  <c r="C211" i="9"/>
  <c r="B211" i="9"/>
  <c r="A211" i="9"/>
  <c r="H210" i="9"/>
  <c r="G210" i="9"/>
  <c r="F210" i="9"/>
  <c r="E210" i="9"/>
  <c r="D210" i="9"/>
  <c r="C210" i="9"/>
  <c r="B210" i="9"/>
  <c r="A210" i="9"/>
  <c r="H209" i="9"/>
  <c r="G209" i="9"/>
  <c r="F209" i="9"/>
  <c r="E209" i="9"/>
  <c r="D209" i="9"/>
  <c r="C209" i="9"/>
  <c r="B209" i="9"/>
  <c r="A209" i="9"/>
  <c r="H208" i="9"/>
  <c r="G208" i="9"/>
  <c r="F208" i="9"/>
  <c r="E208" i="9"/>
  <c r="D208" i="9"/>
  <c r="C208" i="9"/>
  <c r="B208" i="9"/>
  <c r="A208" i="9"/>
  <c r="H207" i="9"/>
  <c r="G207" i="9"/>
  <c r="F207" i="9"/>
  <c r="E207" i="9"/>
  <c r="D207" i="9"/>
  <c r="C207" i="9"/>
  <c r="B207" i="9"/>
  <c r="A207" i="9"/>
  <c r="H206" i="9"/>
  <c r="G206" i="9"/>
  <c r="F206" i="9"/>
  <c r="E206" i="9"/>
  <c r="D206" i="9"/>
  <c r="C206" i="9"/>
  <c r="B206" i="9"/>
  <c r="A206" i="9"/>
  <c r="H205" i="9"/>
  <c r="G205" i="9"/>
  <c r="F205" i="9"/>
  <c r="E205" i="9"/>
  <c r="D205" i="9"/>
  <c r="C205" i="9"/>
  <c r="B205" i="9"/>
  <c r="A205" i="9"/>
  <c r="H204" i="9"/>
  <c r="G204" i="9"/>
  <c r="F204" i="9"/>
  <c r="E204" i="9"/>
  <c r="D204" i="9"/>
  <c r="C204" i="9"/>
  <c r="B204" i="9"/>
  <c r="A204" i="9"/>
  <c r="H203" i="9"/>
  <c r="G203" i="9"/>
  <c r="F203" i="9"/>
  <c r="E203" i="9"/>
  <c r="D203" i="9"/>
  <c r="C203" i="9"/>
  <c r="B203" i="9"/>
  <c r="A203" i="9"/>
  <c r="H202" i="9"/>
  <c r="G202" i="9"/>
  <c r="F202" i="9"/>
  <c r="E202" i="9"/>
  <c r="D202" i="9"/>
  <c r="C202" i="9"/>
  <c r="B202" i="9"/>
  <c r="A202" i="9"/>
  <c r="H201" i="9"/>
  <c r="G201" i="9"/>
  <c r="F201" i="9"/>
  <c r="E201" i="9"/>
  <c r="D201" i="9"/>
  <c r="C201" i="9"/>
  <c r="B201" i="9"/>
  <c r="A201" i="9"/>
  <c r="H200" i="9"/>
  <c r="G200" i="9"/>
  <c r="F200" i="9"/>
  <c r="E200" i="9"/>
  <c r="D200" i="9"/>
  <c r="C200" i="9"/>
  <c r="B200" i="9"/>
  <c r="A200" i="9"/>
  <c r="H199" i="9"/>
  <c r="G199" i="9"/>
  <c r="F199" i="9"/>
  <c r="E199" i="9"/>
  <c r="D199" i="9"/>
  <c r="C199" i="9"/>
  <c r="B199" i="9"/>
  <c r="A199" i="9"/>
  <c r="H198" i="9"/>
  <c r="G198" i="9"/>
  <c r="F198" i="9"/>
  <c r="E198" i="9"/>
  <c r="D198" i="9"/>
  <c r="C198" i="9"/>
  <c r="B198" i="9"/>
  <c r="A198" i="9"/>
  <c r="H197" i="9"/>
  <c r="G197" i="9"/>
  <c r="F197" i="9"/>
  <c r="E197" i="9"/>
  <c r="D197" i="9"/>
  <c r="C197" i="9"/>
  <c r="B197" i="9"/>
  <c r="A197" i="9"/>
  <c r="H196" i="9"/>
  <c r="G196" i="9"/>
  <c r="F196" i="9"/>
  <c r="E196" i="9"/>
  <c r="D196" i="9"/>
  <c r="C196" i="9"/>
  <c r="B196" i="9"/>
  <c r="A196" i="9"/>
  <c r="H195" i="9"/>
  <c r="G195" i="9"/>
  <c r="F195" i="9"/>
  <c r="E195" i="9"/>
  <c r="D195" i="9"/>
  <c r="C195" i="9"/>
  <c r="B195" i="9"/>
  <c r="A195" i="9"/>
  <c r="H194" i="9"/>
  <c r="G194" i="9"/>
  <c r="F194" i="9"/>
  <c r="E194" i="9"/>
  <c r="D194" i="9"/>
  <c r="C194" i="9"/>
  <c r="B194" i="9"/>
  <c r="A194" i="9"/>
  <c r="H193" i="9"/>
  <c r="G193" i="9"/>
  <c r="F193" i="9"/>
  <c r="E193" i="9"/>
  <c r="D193" i="9"/>
  <c r="C193" i="9"/>
  <c r="B193" i="9"/>
  <c r="A193" i="9"/>
  <c r="H192" i="9"/>
  <c r="G192" i="9"/>
  <c r="F192" i="9"/>
  <c r="E192" i="9"/>
  <c r="D192" i="9"/>
  <c r="C192" i="9"/>
  <c r="B192" i="9"/>
  <c r="A192" i="9"/>
  <c r="H191" i="9"/>
  <c r="G191" i="9"/>
  <c r="F191" i="9"/>
  <c r="E191" i="9"/>
  <c r="D191" i="9"/>
  <c r="C191" i="9"/>
  <c r="B191" i="9"/>
  <c r="A191" i="9"/>
  <c r="H190" i="9"/>
  <c r="G190" i="9"/>
  <c r="F190" i="9"/>
  <c r="E190" i="9"/>
  <c r="D190" i="9"/>
  <c r="C190" i="9"/>
  <c r="B190" i="9"/>
  <c r="A190" i="9"/>
  <c r="H189" i="9"/>
  <c r="G189" i="9"/>
  <c r="F189" i="9"/>
  <c r="E189" i="9"/>
  <c r="D189" i="9"/>
  <c r="C189" i="9"/>
  <c r="B189" i="9"/>
  <c r="A189" i="9"/>
  <c r="H188" i="9"/>
  <c r="G188" i="9"/>
  <c r="F188" i="9"/>
  <c r="E188" i="9"/>
  <c r="D188" i="9"/>
  <c r="C188" i="9"/>
  <c r="B188" i="9"/>
  <c r="A188" i="9"/>
  <c r="H187" i="9"/>
  <c r="G187" i="9"/>
  <c r="F187" i="9"/>
  <c r="E187" i="9"/>
  <c r="D187" i="9"/>
  <c r="C187" i="9"/>
  <c r="B187" i="9"/>
  <c r="A187" i="9"/>
  <c r="H186" i="9"/>
  <c r="G186" i="9"/>
  <c r="F186" i="9"/>
  <c r="E186" i="9"/>
  <c r="D186" i="9"/>
  <c r="C186" i="9"/>
  <c r="B186" i="9"/>
  <c r="A186" i="9"/>
  <c r="H185" i="9"/>
  <c r="G185" i="9"/>
  <c r="F185" i="9"/>
  <c r="E185" i="9"/>
  <c r="D185" i="9"/>
  <c r="C185" i="9"/>
  <c r="B185" i="9"/>
  <c r="A185" i="9"/>
  <c r="H184" i="9"/>
  <c r="G184" i="9"/>
  <c r="F184" i="9"/>
  <c r="E184" i="9"/>
  <c r="D184" i="9"/>
  <c r="C184" i="9"/>
  <c r="B184" i="9"/>
  <c r="A184" i="9"/>
  <c r="H183" i="9"/>
  <c r="G183" i="9"/>
  <c r="F183" i="9"/>
  <c r="E183" i="9"/>
  <c r="D183" i="9"/>
  <c r="C183" i="9"/>
  <c r="B183" i="9"/>
  <c r="A183" i="9"/>
  <c r="H182" i="9"/>
  <c r="G182" i="9"/>
  <c r="F182" i="9"/>
  <c r="E182" i="9"/>
  <c r="D182" i="9"/>
  <c r="C182" i="9"/>
  <c r="B182" i="9"/>
  <c r="A182" i="9"/>
  <c r="H181" i="9"/>
  <c r="G181" i="9"/>
  <c r="F181" i="9"/>
  <c r="E181" i="9"/>
  <c r="D181" i="9"/>
  <c r="C181" i="9"/>
  <c r="B181" i="9"/>
  <c r="A181" i="9"/>
  <c r="H180" i="9"/>
  <c r="G180" i="9"/>
  <c r="F180" i="9"/>
  <c r="E180" i="9"/>
  <c r="D180" i="9"/>
  <c r="C180" i="9"/>
  <c r="B180" i="9"/>
  <c r="A180" i="9"/>
  <c r="H179" i="9"/>
  <c r="G179" i="9"/>
  <c r="F179" i="9"/>
  <c r="E179" i="9"/>
  <c r="D179" i="9"/>
  <c r="C179" i="9"/>
  <c r="B179" i="9"/>
  <c r="A179" i="9"/>
  <c r="H178" i="9"/>
  <c r="G178" i="9"/>
  <c r="F178" i="9"/>
  <c r="E178" i="9"/>
  <c r="D178" i="9"/>
  <c r="C178" i="9"/>
  <c r="B178" i="9"/>
  <c r="A178" i="9"/>
  <c r="H177" i="9"/>
  <c r="G177" i="9"/>
  <c r="F177" i="9"/>
  <c r="E177" i="9"/>
  <c r="D177" i="9"/>
  <c r="C177" i="9"/>
  <c r="B177" i="9"/>
  <c r="A177" i="9"/>
  <c r="H176" i="9"/>
  <c r="G176" i="9"/>
  <c r="F176" i="9"/>
  <c r="E176" i="9"/>
  <c r="D176" i="9"/>
  <c r="C176" i="9"/>
  <c r="B176" i="9"/>
  <c r="A176" i="9"/>
  <c r="H175" i="9"/>
  <c r="G175" i="9"/>
  <c r="F175" i="9"/>
  <c r="E175" i="9"/>
  <c r="D175" i="9"/>
  <c r="C175" i="9"/>
  <c r="B175" i="9"/>
  <c r="A175" i="9"/>
  <c r="H174" i="9"/>
  <c r="G174" i="9"/>
  <c r="F174" i="9"/>
  <c r="E174" i="9"/>
  <c r="D174" i="9"/>
  <c r="C174" i="9"/>
  <c r="B174" i="9"/>
  <c r="A174" i="9"/>
  <c r="H173" i="9"/>
  <c r="G173" i="9"/>
  <c r="F173" i="9"/>
  <c r="E173" i="9"/>
  <c r="D173" i="9"/>
  <c r="C173" i="9"/>
  <c r="B173" i="9"/>
  <c r="A173" i="9"/>
  <c r="H172" i="9"/>
  <c r="G172" i="9"/>
  <c r="F172" i="9"/>
  <c r="E172" i="9"/>
  <c r="D172" i="9"/>
  <c r="C172" i="9"/>
  <c r="B172" i="9"/>
  <c r="A172" i="9"/>
  <c r="H171" i="9"/>
  <c r="G171" i="9"/>
  <c r="F171" i="9"/>
  <c r="E171" i="9"/>
  <c r="D171" i="9"/>
  <c r="C171" i="9"/>
  <c r="B171" i="9"/>
  <c r="A171" i="9"/>
  <c r="H170" i="9"/>
  <c r="G170" i="9"/>
  <c r="F170" i="9"/>
  <c r="E170" i="9"/>
  <c r="D170" i="9"/>
  <c r="C170" i="9"/>
  <c r="B170" i="9"/>
  <c r="A170" i="9"/>
  <c r="H169" i="9"/>
  <c r="G169" i="9"/>
  <c r="F169" i="9"/>
  <c r="E169" i="9"/>
  <c r="D169" i="9"/>
  <c r="C169" i="9"/>
  <c r="B169" i="9"/>
  <c r="A169" i="9"/>
  <c r="H168" i="9"/>
  <c r="G168" i="9"/>
  <c r="F168" i="9"/>
  <c r="E168" i="9"/>
  <c r="D168" i="9"/>
  <c r="C168" i="9"/>
  <c r="B168" i="9"/>
  <c r="A168" i="9"/>
  <c r="H167" i="9"/>
  <c r="G167" i="9"/>
  <c r="F167" i="9"/>
  <c r="E167" i="9"/>
  <c r="D167" i="9"/>
  <c r="C167" i="9"/>
  <c r="B167" i="9"/>
  <c r="A167" i="9"/>
  <c r="H166" i="9"/>
  <c r="G166" i="9"/>
  <c r="F166" i="9"/>
  <c r="E166" i="9"/>
  <c r="D166" i="9"/>
  <c r="C166" i="9"/>
  <c r="B166" i="9"/>
  <c r="A166" i="9"/>
  <c r="H165" i="9"/>
  <c r="G165" i="9"/>
  <c r="F165" i="9"/>
  <c r="E165" i="9"/>
  <c r="D165" i="9"/>
  <c r="C165" i="9"/>
  <c r="B165" i="9"/>
  <c r="A165" i="9"/>
  <c r="H164" i="9"/>
  <c r="G164" i="9"/>
  <c r="F164" i="9"/>
  <c r="E164" i="9"/>
  <c r="D164" i="9"/>
  <c r="C164" i="9"/>
  <c r="B164" i="9"/>
  <c r="A164" i="9"/>
  <c r="H163" i="9"/>
  <c r="G163" i="9"/>
  <c r="F163" i="9"/>
  <c r="E163" i="9"/>
  <c r="D163" i="9"/>
  <c r="C163" i="9"/>
  <c r="B163" i="9"/>
  <c r="A163" i="9"/>
  <c r="H162" i="9"/>
  <c r="G162" i="9"/>
  <c r="F162" i="9"/>
  <c r="E162" i="9"/>
  <c r="D162" i="9"/>
  <c r="C162" i="9"/>
  <c r="B162" i="9"/>
  <c r="A162" i="9"/>
  <c r="H161" i="9"/>
  <c r="G161" i="9"/>
  <c r="F161" i="9"/>
  <c r="E161" i="9"/>
  <c r="D161" i="9"/>
  <c r="C161" i="9"/>
  <c r="B161" i="9"/>
  <c r="A161" i="9"/>
  <c r="H160" i="9"/>
  <c r="G160" i="9"/>
  <c r="F160" i="9"/>
  <c r="E160" i="9"/>
  <c r="D160" i="9"/>
  <c r="C160" i="9"/>
  <c r="B160" i="9"/>
  <c r="A160" i="9"/>
  <c r="H159" i="9"/>
  <c r="G159" i="9"/>
  <c r="F159" i="9"/>
  <c r="E159" i="9"/>
  <c r="D159" i="9"/>
  <c r="C159" i="9"/>
  <c r="B159" i="9"/>
  <c r="A159" i="9"/>
  <c r="H158" i="9"/>
  <c r="G158" i="9"/>
  <c r="F158" i="9"/>
  <c r="E158" i="9"/>
  <c r="D158" i="9"/>
  <c r="C158" i="9"/>
  <c r="B158" i="9"/>
  <c r="A158" i="9"/>
  <c r="H157" i="9"/>
  <c r="G157" i="9"/>
  <c r="F157" i="9"/>
  <c r="E157" i="9"/>
  <c r="D157" i="9"/>
  <c r="C157" i="9"/>
  <c r="B157" i="9"/>
  <c r="A157" i="9"/>
  <c r="H156" i="9"/>
  <c r="G156" i="9"/>
  <c r="F156" i="9"/>
  <c r="E156" i="9"/>
  <c r="D156" i="9"/>
  <c r="C156" i="9"/>
  <c r="B156" i="9"/>
  <c r="A156" i="9"/>
  <c r="H155" i="9"/>
  <c r="G155" i="9"/>
  <c r="F155" i="9"/>
  <c r="E155" i="9"/>
  <c r="D155" i="9"/>
  <c r="C155" i="9"/>
  <c r="B155" i="9"/>
  <c r="A155" i="9"/>
  <c r="H154" i="9"/>
  <c r="G154" i="9"/>
  <c r="F154" i="9"/>
  <c r="E154" i="9"/>
  <c r="D154" i="9"/>
  <c r="C154" i="9"/>
  <c r="B154" i="9"/>
  <c r="A154" i="9"/>
  <c r="H153" i="9"/>
  <c r="G153" i="9"/>
  <c r="F153" i="9"/>
  <c r="E153" i="9"/>
  <c r="D153" i="9"/>
  <c r="C153" i="9"/>
  <c r="B153" i="9"/>
  <c r="A153" i="9"/>
  <c r="H152" i="9"/>
  <c r="G152" i="9"/>
  <c r="F152" i="9"/>
  <c r="E152" i="9"/>
  <c r="D152" i="9"/>
  <c r="C152" i="9"/>
  <c r="B152" i="9"/>
  <c r="A152" i="9"/>
  <c r="H151" i="9"/>
  <c r="G151" i="9"/>
  <c r="F151" i="9"/>
  <c r="E151" i="9"/>
  <c r="D151" i="9"/>
  <c r="C151" i="9"/>
  <c r="B151" i="9"/>
  <c r="A151" i="9"/>
  <c r="H150" i="9"/>
  <c r="G150" i="9"/>
  <c r="F150" i="9"/>
  <c r="E150" i="9"/>
  <c r="D150" i="9"/>
  <c r="C150" i="9"/>
  <c r="B150" i="9"/>
  <c r="A150" i="9"/>
  <c r="H149" i="9"/>
  <c r="G149" i="9"/>
  <c r="F149" i="9"/>
  <c r="E149" i="9"/>
  <c r="D149" i="9"/>
  <c r="C149" i="9"/>
  <c r="B149" i="9"/>
  <c r="A149" i="9"/>
  <c r="H148" i="9"/>
  <c r="G148" i="9"/>
  <c r="F148" i="9"/>
  <c r="E148" i="9"/>
  <c r="D148" i="9"/>
  <c r="C148" i="9"/>
  <c r="B148" i="9"/>
  <c r="A148" i="9"/>
  <c r="H147" i="9"/>
  <c r="G147" i="9"/>
  <c r="F147" i="9"/>
  <c r="E147" i="9"/>
  <c r="D147" i="9"/>
  <c r="C147" i="9"/>
  <c r="B147" i="9"/>
  <c r="A147" i="9"/>
  <c r="H146" i="9"/>
  <c r="G146" i="9"/>
  <c r="F146" i="9"/>
  <c r="E146" i="9"/>
  <c r="D146" i="9"/>
  <c r="C146" i="9"/>
  <c r="B146" i="9"/>
  <c r="A146" i="9"/>
  <c r="H145" i="9"/>
  <c r="G145" i="9"/>
  <c r="F145" i="9"/>
  <c r="E145" i="9"/>
  <c r="D145" i="9"/>
  <c r="C145" i="9"/>
  <c r="B145" i="9"/>
  <c r="A145" i="9"/>
  <c r="H144" i="9"/>
  <c r="G144" i="9"/>
  <c r="F144" i="9"/>
  <c r="E144" i="9"/>
  <c r="D144" i="9"/>
  <c r="C144" i="9"/>
  <c r="B144" i="9"/>
  <c r="A144" i="9"/>
  <c r="H143" i="9"/>
  <c r="G143" i="9"/>
  <c r="F143" i="9"/>
  <c r="E143" i="9"/>
  <c r="D143" i="9"/>
  <c r="C143" i="9"/>
  <c r="B143" i="9"/>
  <c r="A143" i="9"/>
  <c r="H142" i="9"/>
  <c r="G142" i="9"/>
  <c r="F142" i="9"/>
  <c r="E142" i="9"/>
  <c r="D142" i="9"/>
  <c r="C142" i="9"/>
  <c r="B142" i="9"/>
  <c r="A142" i="9"/>
  <c r="H141" i="9"/>
  <c r="G141" i="9"/>
  <c r="F141" i="9"/>
  <c r="E141" i="9"/>
  <c r="D141" i="9"/>
  <c r="C141" i="9"/>
  <c r="B141" i="9"/>
  <c r="A141" i="9"/>
  <c r="H140" i="9"/>
  <c r="G140" i="9"/>
  <c r="F140" i="9"/>
  <c r="E140" i="9"/>
  <c r="D140" i="9"/>
  <c r="C140" i="9"/>
  <c r="B140" i="9"/>
  <c r="A140" i="9"/>
  <c r="H139" i="9"/>
  <c r="G139" i="9"/>
  <c r="F139" i="9"/>
  <c r="E139" i="9"/>
  <c r="D139" i="9"/>
  <c r="C139" i="9"/>
  <c r="B139" i="9"/>
  <c r="A139" i="9"/>
  <c r="H138" i="9"/>
  <c r="G138" i="9"/>
  <c r="F138" i="9"/>
  <c r="E138" i="9"/>
  <c r="D138" i="9"/>
  <c r="C138" i="9"/>
  <c r="B138" i="9"/>
  <c r="A138" i="9"/>
  <c r="H137" i="9"/>
  <c r="G137" i="9"/>
  <c r="F137" i="9"/>
  <c r="E137" i="9"/>
  <c r="D137" i="9"/>
  <c r="C137" i="9"/>
  <c r="B137" i="9"/>
  <c r="A137" i="9"/>
  <c r="H136" i="9"/>
  <c r="G136" i="9"/>
  <c r="F136" i="9"/>
  <c r="E136" i="9"/>
  <c r="D136" i="9"/>
  <c r="C136" i="9"/>
  <c r="B136" i="9"/>
  <c r="A136" i="9"/>
  <c r="H135" i="9"/>
  <c r="G135" i="9"/>
  <c r="F135" i="9"/>
  <c r="E135" i="9"/>
  <c r="D135" i="9"/>
  <c r="C135" i="9"/>
  <c r="B135" i="9"/>
  <c r="A135" i="9"/>
  <c r="H134" i="9"/>
  <c r="G134" i="9"/>
  <c r="F134" i="9"/>
  <c r="E134" i="9"/>
  <c r="D134" i="9"/>
  <c r="C134" i="9"/>
  <c r="B134" i="9"/>
  <c r="A134" i="9"/>
  <c r="H133" i="9"/>
  <c r="G133" i="9"/>
  <c r="F133" i="9"/>
  <c r="E133" i="9"/>
  <c r="D133" i="9"/>
  <c r="C133" i="9"/>
  <c r="B133" i="9"/>
  <c r="A133" i="9"/>
  <c r="H132" i="9"/>
  <c r="G132" i="9"/>
  <c r="F132" i="9"/>
  <c r="E132" i="9"/>
  <c r="D132" i="9"/>
  <c r="C132" i="9"/>
  <c r="B132" i="9"/>
  <c r="A132" i="9"/>
  <c r="H131" i="9"/>
  <c r="G131" i="9"/>
  <c r="F131" i="9"/>
  <c r="E131" i="9"/>
  <c r="D131" i="9"/>
  <c r="C131" i="9"/>
  <c r="B131" i="9"/>
  <c r="A131" i="9"/>
  <c r="H130" i="9"/>
  <c r="G130" i="9"/>
  <c r="F130" i="9"/>
  <c r="E130" i="9"/>
  <c r="D130" i="9"/>
  <c r="C130" i="9"/>
  <c r="B130" i="9"/>
  <c r="A130" i="9"/>
  <c r="H129" i="9"/>
  <c r="G129" i="9"/>
  <c r="F129" i="9"/>
  <c r="E129" i="9"/>
  <c r="D129" i="9"/>
  <c r="C129" i="9"/>
  <c r="B129" i="9"/>
  <c r="A129" i="9"/>
  <c r="H128" i="9"/>
  <c r="G128" i="9"/>
  <c r="F128" i="9"/>
  <c r="E128" i="9"/>
  <c r="D128" i="9"/>
  <c r="C128" i="9"/>
  <c r="B128" i="9"/>
  <c r="A128" i="9"/>
  <c r="H127" i="9"/>
  <c r="G127" i="9"/>
  <c r="F127" i="9"/>
  <c r="E127" i="9"/>
  <c r="D127" i="9"/>
  <c r="C127" i="9"/>
  <c r="B127" i="9"/>
  <c r="A127" i="9"/>
  <c r="H126" i="9"/>
  <c r="G126" i="9"/>
  <c r="F126" i="9"/>
  <c r="E126" i="9"/>
  <c r="D126" i="9"/>
  <c r="C126" i="9"/>
  <c r="B126" i="9"/>
  <c r="A126" i="9"/>
  <c r="H125" i="9"/>
  <c r="G125" i="9"/>
  <c r="F125" i="9"/>
  <c r="E125" i="9"/>
  <c r="D125" i="9"/>
  <c r="C125" i="9"/>
  <c r="B125" i="9"/>
  <c r="A125" i="9"/>
  <c r="H124" i="9"/>
  <c r="G124" i="9"/>
  <c r="F124" i="9"/>
  <c r="E124" i="9"/>
  <c r="D124" i="9"/>
  <c r="C124" i="9"/>
  <c r="B124" i="9"/>
  <c r="A124" i="9"/>
  <c r="H123" i="9"/>
  <c r="G123" i="9"/>
  <c r="F123" i="9"/>
  <c r="E123" i="9"/>
  <c r="D123" i="9"/>
  <c r="C123" i="9"/>
  <c r="B123" i="9"/>
  <c r="A123" i="9"/>
  <c r="H122" i="9"/>
  <c r="G122" i="9"/>
  <c r="F122" i="9"/>
  <c r="E122" i="9"/>
  <c r="D122" i="9"/>
  <c r="C122" i="9"/>
  <c r="B122" i="9"/>
  <c r="A122" i="9"/>
  <c r="H121" i="9"/>
  <c r="G121" i="9"/>
  <c r="F121" i="9"/>
  <c r="E121" i="9"/>
  <c r="D121" i="9"/>
  <c r="C121" i="9"/>
  <c r="B121" i="9"/>
  <c r="A121" i="9"/>
  <c r="H120" i="9"/>
  <c r="G120" i="9"/>
  <c r="F120" i="9"/>
  <c r="E120" i="9"/>
  <c r="D120" i="9"/>
  <c r="C120" i="9"/>
  <c r="B120" i="9"/>
  <c r="A120" i="9"/>
  <c r="H119" i="9"/>
  <c r="G119" i="9"/>
  <c r="F119" i="9"/>
  <c r="E119" i="9"/>
  <c r="D119" i="9"/>
  <c r="C119" i="9"/>
  <c r="B119" i="9"/>
  <c r="A119" i="9"/>
  <c r="H118" i="9"/>
  <c r="G118" i="9"/>
  <c r="F118" i="9"/>
  <c r="E118" i="9"/>
  <c r="D118" i="9"/>
  <c r="C118" i="9"/>
  <c r="B118" i="9"/>
  <c r="A118" i="9"/>
  <c r="H117" i="9"/>
  <c r="G117" i="9"/>
  <c r="F117" i="9"/>
  <c r="E117" i="9"/>
  <c r="D117" i="9"/>
  <c r="C117" i="9"/>
  <c r="B117" i="9"/>
  <c r="A117" i="9"/>
  <c r="H116" i="9"/>
  <c r="G116" i="9"/>
  <c r="F116" i="9"/>
  <c r="E116" i="9"/>
  <c r="D116" i="9"/>
  <c r="C116" i="9"/>
  <c r="B116" i="9"/>
  <c r="A116" i="9"/>
  <c r="H115" i="9"/>
  <c r="G115" i="9"/>
  <c r="F115" i="9"/>
  <c r="E115" i="9"/>
  <c r="D115" i="9"/>
  <c r="C115" i="9"/>
  <c r="B115" i="9"/>
  <c r="A115" i="9"/>
  <c r="H114" i="9"/>
  <c r="G114" i="9"/>
  <c r="F114" i="9"/>
  <c r="E114" i="9"/>
  <c r="D114" i="9"/>
  <c r="C114" i="9"/>
  <c r="B114" i="9"/>
  <c r="A114" i="9"/>
  <c r="H113" i="9"/>
  <c r="G113" i="9"/>
  <c r="F113" i="9"/>
  <c r="E113" i="9"/>
  <c r="D113" i="9"/>
  <c r="C113" i="9"/>
  <c r="B113" i="9"/>
  <c r="A113" i="9"/>
  <c r="H112" i="9"/>
  <c r="G112" i="9"/>
  <c r="F112" i="9"/>
  <c r="E112" i="9"/>
  <c r="D112" i="9"/>
  <c r="C112" i="9"/>
  <c r="B112" i="9"/>
  <c r="A112" i="9"/>
  <c r="H111" i="9"/>
  <c r="G111" i="9"/>
  <c r="F111" i="9"/>
  <c r="E111" i="9"/>
  <c r="D111" i="9"/>
  <c r="C111" i="9"/>
  <c r="B111" i="9"/>
  <c r="A111" i="9"/>
  <c r="H110" i="9"/>
  <c r="G110" i="9"/>
  <c r="F110" i="9"/>
  <c r="E110" i="9"/>
  <c r="D110" i="9"/>
  <c r="C110" i="9"/>
  <c r="B110" i="9"/>
  <c r="A110" i="9"/>
  <c r="H109" i="9"/>
  <c r="G109" i="9"/>
  <c r="F109" i="9"/>
  <c r="E109" i="9"/>
  <c r="D109" i="9"/>
  <c r="C109" i="9"/>
  <c r="B109" i="9"/>
  <c r="A109" i="9"/>
  <c r="H108" i="9"/>
  <c r="G108" i="9"/>
  <c r="F108" i="9"/>
  <c r="E108" i="9"/>
  <c r="D108" i="9"/>
  <c r="C108" i="9"/>
  <c r="B108" i="9"/>
  <c r="A108" i="9"/>
  <c r="H107" i="9"/>
  <c r="G107" i="9"/>
  <c r="F107" i="9"/>
  <c r="E107" i="9"/>
  <c r="D107" i="9"/>
  <c r="C107" i="9"/>
  <c r="B107" i="9"/>
  <c r="A107" i="9"/>
  <c r="H106" i="9"/>
  <c r="G106" i="9"/>
  <c r="F106" i="9"/>
  <c r="E106" i="9"/>
  <c r="D106" i="9"/>
  <c r="C106" i="9"/>
  <c r="B106" i="9"/>
  <c r="A106" i="9"/>
  <c r="H105" i="9"/>
  <c r="G105" i="9"/>
  <c r="F105" i="9"/>
  <c r="E105" i="9"/>
  <c r="D105" i="9"/>
  <c r="C105" i="9"/>
  <c r="B105" i="9"/>
  <c r="A105" i="9"/>
  <c r="H104" i="9"/>
  <c r="G104" i="9"/>
  <c r="F104" i="9"/>
  <c r="E104" i="9"/>
  <c r="D104" i="9"/>
  <c r="C104" i="9"/>
  <c r="B104" i="9"/>
  <c r="A104" i="9"/>
  <c r="H103" i="9"/>
  <c r="G103" i="9"/>
  <c r="F103" i="9"/>
  <c r="E103" i="9"/>
  <c r="D103" i="9"/>
  <c r="C103" i="9"/>
  <c r="B103" i="9"/>
  <c r="A103" i="9"/>
  <c r="H102" i="9"/>
  <c r="G102" i="9"/>
  <c r="F102" i="9"/>
  <c r="E102" i="9"/>
  <c r="D102" i="9"/>
  <c r="C102" i="9"/>
  <c r="B102" i="9"/>
  <c r="A102" i="9"/>
  <c r="H101" i="9"/>
  <c r="G101" i="9"/>
  <c r="F101" i="9"/>
  <c r="E101" i="9"/>
  <c r="D101" i="9"/>
  <c r="C101" i="9"/>
  <c r="B101" i="9"/>
  <c r="A101" i="9"/>
  <c r="H100" i="9"/>
  <c r="G100" i="9"/>
  <c r="F100" i="9"/>
  <c r="E100" i="9"/>
  <c r="D100" i="9"/>
  <c r="C100" i="9"/>
  <c r="B100" i="9"/>
  <c r="A100" i="9"/>
  <c r="H99" i="9"/>
  <c r="G99" i="9"/>
  <c r="F99" i="9"/>
  <c r="E99" i="9"/>
  <c r="D99" i="9"/>
  <c r="C99" i="9"/>
  <c r="B99" i="9"/>
  <c r="A99" i="9"/>
  <c r="H98" i="9"/>
  <c r="G98" i="9"/>
  <c r="F98" i="9"/>
  <c r="E98" i="9"/>
  <c r="D98" i="9"/>
  <c r="C98" i="9"/>
  <c r="B98" i="9"/>
  <c r="A98" i="9"/>
  <c r="H97" i="9"/>
  <c r="G97" i="9"/>
  <c r="F97" i="9"/>
  <c r="E97" i="9"/>
  <c r="D97" i="9"/>
  <c r="C97" i="9"/>
  <c r="B97" i="9"/>
  <c r="A97" i="9"/>
  <c r="H96" i="9"/>
  <c r="G96" i="9"/>
  <c r="F96" i="9"/>
  <c r="E96" i="9"/>
  <c r="D96" i="9"/>
  <c r="C96" i="9"/>
  <c r="B96" i="9"/>
  <c r="A96" i="9"/>
  <c r="H95" i="9"/>
  <c r="G95" i="9"/>
  <c r="F95" i="9"/>
  <c r="E95" i="9"/>
  <c r="D95" i="9"/>
  <c r="C95" i="9"/>
  <c r="B95" i="9"/>
  <c r="A95" i="9"/>
  <c r="H94" i="9"/>
  <c r="G94" i="9"/>
  <c r="F94" i="9"/>
  <c r="E94" i="9"/>
  <c r="D94" i="9"/>
  <c r="C94" i="9"/>
  <c r="B94" i="9"/>
  <c r="A94" i="9"/>
  <c r="H93" i="9"/>
  <c r="G93" i="9"/>
  <c r="F93" i="9"/>
  <c r="E93" i="9"/>
  <c r="D93" i="9"/>
  <c r="C93" i="9"/>
  <c r="B93" i="9"/>
  <c r="A93" i="9"/>
  <c r="H92" i="9"/>
  <c r="G92" i="9"/>
  <c r="F92" i="9"/>
  <c r="E92" i="9"/>
  <c r="D92" i="9"/>
  <c r="C92" i="9"/>
  <c r="B92" i="9"/>
  <c r="A92" i="9"/>
  <c r="H91" i="9"/>
  <c r="G91" i="9"/>
  <c r="F91" i="9"/>
  <c r="E91" i="9"/>
  <c r="D91" i="9"/>
  <c r="C91" i="9"/>
  <c r="B91" i="9"/>
  <c r="A91" i="9"/>
  <c r="H90" i="9"/>
  <c r="G90" i="9"/>
  <c r="F90" i="9"/>
  <c r="E90" i="9"/>
  <c r="D90" i="9"/>
  <c r="C90" i="9"/>
  <c r="B90" i="9"/>
  <c r="A90" i="9"/>
  <c r="H89" i="9"/>
  <c r="G89" i="9"/>
  <c r="F89" i="9"/>
  <c r="E89" i="9"/>
  <c r="D89" i="9"/>
  <c r="C89" i="9"/>
  <c r="B89" i="9"/>
  <c r="A89" i="9"/>
  <c r="H88" i="9"/>
  <c r="G88" i="9"/>
  <c r="F88" i="9"/>
  <c r="E88" i="9"/>
  <c r="D88" i="9"/>
  <c r="C88" i="9"/>
  <c r="B88" i="9"/>
  <c r="A88" i="9"/>
  <c r="H87" i="9"/>
  <c r="G87" i="9"/>
  <c r="F87" i="9"/>
  <c r="E87" i="9"/>
  <c r="D87" i="9"/>
  <c r="C87" i="9"/>
  <c r="B87" i="9"/>
  <c r="A87" i="9"/>
  <c r="H86" i="9"/>
  <c r="G86" i="9"/>
  <c r="F86" i="9"/>
  <c r="E86" i="9"/>
  <c r="D86" i="9"/>
  <c r="C86" i="9"/>
  <c r="B86" i="9"/>
  <c r="A86" i="9"/>
  <c r="H85" i="9"/>
  <c r="G85" i="9"/>
  <c r="F85" i="9"/>
  <c r="E85" i="9"/>
  <c r="D85" i="9"/>
  <c r="C85" i="9"/>
  <c r="B85" i="9"/>
  <c r="A85" i="9"/>
  <c r="H84" i="9"/>
  <c r="G84" i="9"/>
  <c r="F84" i="9"/>
  <c r="E84" i="9"/>
  <c r="D84" i="9"/>
  <c r="C84" i="9"/>
  <c r="B84" i="9"/>
  <c r="A84" i="9"/>
  <c r="H83" i="9"/>
  <c r="G83" i="9"/>
  <c r="F83" i="9"/>
  <c r="E83" i="9"/>
  <c r="D83" i="9"/>
  <c r="C83" i="9"/>
  <c r="B83" i="9"/>
  <c r="A83" i="9"/>
  <c r="H82" i="9"/>
  <c r="G82" i="9"/>
  <c r="F82" i="9"/>
  <c r="E82" i="9"/>
  <c r="D82" i="9"/>
  <c r="C82" i="9"/>
  <c r="B82" i="9"/>
  <c r="A82" i="9"/>
  <c r="H81" i="9"/>
  <c r="G81" i="9"/>
  <c r="F81" i="9"/>
  <c r="E81" i="9"/>
  <c r="D81" i="9"/>
  <c r="C81" i="9"/>
  <c r="B81" i="9"/>
  <c r="A81" i="9"/>
  <c r="H80" i="9"/>
  <c r="G80" i="9"/>
  <c r="F80" i="9"/>
  <c r="E80" i="9"/>
  <c r="D80" i="9"/>
  <c r="C80" i="9"/>
  <c r="B80" i="9"/>
  <c r="A80" i="9"/>
  <c r="H79" i="9"/>
  <c r="G79" i="9"/>
  <c r="F79" i="9"/>
  <c r="E79" i="9"/>
  <c r="D79" i="9"/>
  <c r="C79" i="9"/>
  <c r="B79" i="9"/>
  <c r="A79" i="9"/>
  <c r="H78" i="9"/>
  <c r="G78" i="9"/>
  <c r="F78" i="9"/>
  <c r="E78" i="9"/>
  <c r="D78" i="9"/>
  <c r="C78" i="9"/>
  <c r="B78" i="9"/>
  <c r="A78" i="9"/>
  <c r="H77" i="9"/>
  <c r="G77" i="9"/>
  <c r="F77" i="9"/>
  <c r="E77" i="9"/>
  <c r="D77" i="9"/>
  <c r="C77" i="9"/>
  <c r="B77" i="9"/>
  <c r="A77" i="9"/>
  <c r="H76" i="9"/>
  <c r="G76" i="9"/>
  <c r="F76" i="9"/>
  <c r="E76" i="9"/>
  <c r="D76" i="9"/>
  <c r="C76" i="9"/>
  <c r="B76" i="9"/>
  <c r="A76" i="9"/>
  <c r="H75" i="9"/>
  <c r="G75" i="9"/>
  <c r="F75" i="9"/>
  <c r="E75" i="9"/>
  <c r="D75" i="9"/>
  <c r="C75" i="9"/>
  <c r="B75" i="9"/>
  <c r="A75" i="9"/>
  <c r="H74" i="9"/>
  <c r="G74" i="9"/>
  <c r="F74" i="9"/>
  <c r="E74" i="9"/>
  <c r="D74" i="9"/>
  <c r="C74" i="9"/>
  <c r="B74" i="9"/>
  <c r="A74" i="9"/>
  <c r="H73" i="9"/>
  <c r="G73" i="9"/>
  <c r="F73" i="9"/>
  <c r="E73" i="9"/>
  <c r="D73" i="9"/>
  <c r="C73" i="9"/>
  <c r="B73" i="9"/>
  <c r="A73" i="9"/>
  <c r="H72" i="9"/>
  <c r="G72" i="9"/>
  <c r="F72" i="9"/>
  <c r="E72" i="9"/>
  <c r="D72" i="9"/>
  <c r="C72" i="9"/>
  <c r="B72" i="9"/>
  <c r="A72" i="9"/>
  <c r="H71" i="9"/>
  <c r="G71" i="9"/>
  <c r="F71" i="9"/>
  <c r="E71" i="9"/>
  <c r="D71" i="9"/>
  <c r="C71" i="9"/>
  <c r="B71" i="9"/>
  <c r="A71" i="9"/>
  <c r="H70" i="9"/>
  <c r="G70" i="9"/>
  <c r="F70" i="9"/>
  <c r="E70" i="9"/>
  <c r="D70" i="9"/>
  <c r="C70" i="9"/>
  <c r="B70" i="9"/>
  <c r="A70" i="9"/>
  <c r="H69" i="9"/>
  <c r="G69" i="9"/>
  <c r="F69" i="9"/>
  <c r="E69" i="9"/>
  <c r="D69" i="9"/>
  <c r="C69" i="9"/>
  <c r="B69" i="9"/>
  <c r="A69" i="9"/>
  <c r="H68" i="9"/>
  <c r="G68" i="9"/>
  <c r="F68" i="9"/>
  <c r="E68" i="9"/>
  <c r="D68" i="9"/>
  <c r="C68" i="9"/>
  <c r="B68" i="9"/>
  <c r="A68" i="9"/>
  <c r="H67" i="9"/>
  <c r="G67" i="9"/>
  <c r="F67" i="9"/>
  <c r="E67" i="9"/>
  <c r="D67" i="9"/>
  <c r="C67" i="9"/>
  <c r="B67" i="9"/>
  <c r="A67" i="9"/>
  <c r="H66" i="9"/>
  <c r="G66" i="9"/>
  <c r="F66" i="9"/>
  <c r="E66" i="9"/>
  <c r="D66" i="9"/>
  <c r="C66" i="9"/>
  <c r="B66" i="9"/>
  <c r="A66" i="9"/>
  <c r="H65" i="9"/>
  <c r="G65" i="9"/>
  <c r="F65" i="9"/>
  <c r="E65" i="9"/>
  <c r="D65" i="9"/>
  <c r="C65" i="9"/>
  <c r="B65" i="9"/>
  <c r="A65" i="9"/>
  <c r="H64" i="9"/>
  <c r="G64" i="9"/>
  <c r="F64" i="9"/>
  <c r="E64" i="9"/>
  <c r="D64" i="9"/>
  <c r="C64" i="9"/>
  <c r="B64" i="9"/>
  <c r="A64" i="9"/>
  <c r="H63" i="9"/>
  <c r="G63" i="9"/>
  <c r="F63" i="9"/>
  <c r="E63" i="9"/>
  <c r="D63" i="9"/>
  <c r="C63" i="9"/>
  <c r="B63" i="9"/>
  <c r="A63" i="9"/>
  <c r="H62" i="9"/>
  <c r="G62" i="9"/>
  <c r="F62" i="9"/>
  <c r="E62" i="9"/>
  <c r="D62" i="9"/>
  <c r="C62" i="9"/>
  <c r="B62" i="9"/>
  <c r="A62" i="9"/>
  <c r="H61" i="9"/>
  <c r="G61" i="9"/>
  <c r="F61" i="9"/>
  <c r="E61" i="9"/>
  <c r="D61" i="9"/>
  <c r="C61" i="9"/>
  <c r="B61" i="9"/>
  <c r="A61" i="9"/>
  <c r="H60" i="9"/>
  <c r="G60" i="9"/>
  <c r="F60" i="9"/>
  <c r="E60" i="9"/>
  <c r="D60" i="9"/>
  <c r="C60" i="9"/>
  <c r="B60" i="9"/>
  <c r="A60" i="9"/>
  <c r="H59" i="9"/>
  <c r="G59" i="9"/>
  <c r="F59" i="9"/>
  <c r="E59" i="9"/>
  <c r="D59" i="9"/>
  <c r="C59" i="9"/>
  <c r="B59" i="9"/>
  <c r="A59" i="9"/>
  <c r="H58" i="9"/>
  <c r="G58" i="9"/>
  <c r="F58" i="9"/>
  <c r="E58" i="9"/>
  <c r="D58" i="9"/>
  <c r="C58" i="9"/>
  <c r="B58" i="9"/>
  <c r="A58" i="9"/>
  <c r="H57" i="9"/>
  <c r="G57" i="9"/>
  <c r="F57" i="9"/>
  <c r="E57" i="9"/>
  <c r="D57" i="9"/>
  <c r="C57" i="9"/>
  <c r="B57" i="9"/>
  <c r="A57" i="9"/>
  <c r="H56" i="9"/>
  <c r="G56" i="9"/>
  <c r="F56" i="9"/>
  <c r="E56" i="9"/>
  <c r="D56" i="9"/>
  <c r="C56" i="9"/>
  <c r="B56" i="9"/>
  <c r="A56" i="9"/>
  <c r="H55" i="9"/>
  <c r="G55" i="9"/>
  <c r="F55" i="9"/>
  <c r="E55" i="9"/>
  <c r="D55" i="9"/>
  <c r="C55" i="9"/>
  <c r="B55" i="9"/>
  <c r="A55" i="9"/>
  <c r="H54" i="9"/>
  <c r="G54" i="9"/>
  <c r="F54" i="9"/>
  <c r="E54" i="9"/>
  <c r="D54" i="9"/>
  <c r="C54" i="9"/>
  <c r="B54" i="9"/>
  <c r="A54" i="9"/>
  <c r="H53" i="9"/>
  <c r="G53" i="9"/>
  <c r="F53" i="9"/>
  <c r="E53" i="9"/>
  <c r="D53" i="9"/>
  <c r="C53" i="9"/>
  <c r="B53" i="9"/>
  <c r="A53" i="9"/>
  <c r="H52" i="9"/>
  <c r="G52" i="9"/>
  <c r="F52" i="9"/>
  <c r="E52" i="9"/>
  <c r="D52" i="9"/>
  <c r="C52" i="9"/>
  <c r="B52" i="9"/>
  <c r="A52" i="9"/>
  <c r="H51" i="9"/>
  <c r="G51" i="9"/>
  <c r="F51" i="9"/>
  <c r="E51" i="9"/>
  <c r="D51" i="9"/>
  <c r="C51" i="9"/>
  <c r="B51" i="9"/>
  <c r="A51" i="9"/>
  <c r="H50" i="9"/>
  <c r="G50" i="9"/>
  <c r="F50" i="9"/>
  <c r="E50" i="9"/>
  <c r="D50" i="9"/>
  <c r="C50" i="9"/>
  <c r="B50" i="9"/>
  <c r="A50" i="9"/>
  <c r="H49" i="9"/>
  <c r="G49" i="9"/>
  <c r="F49" i="9"/>
  <c r="E49" i="9"/>
  <c r="D49" i="9"/>
  <c r="C49" i="9"/>
  <c r="B49" i="9"/>
  <c r="A49" i="9"/>
  <c r="H48" i="9"/>
  <c r="G48" i="9"/>
  <c r="F48" i="9"/>
  <c r="E48" i="9"/>
  <c r="D48" i="9"/>
  <c r="C48" i="9"/>
  <c r="B48" i="9"/>
  <c r="A48" i="9"/>
  <c r="H47" i="9"/>
  <c r="G47" i="9"/>
  <c r="F47" i="9"/>
  <c r="E47" i="9"/>
  <c r="D47" i="9"/>
  <c r="C47" i="9"/>
  <c r="B47" i="9"/>
  <c r="A47" i="9"/>
  <c r="H46" i="9"/>
  <c r="G46" i="9"/>
  <c r="F46" i="9"/>
  <c r="E46" i="9"/>
  <c r="D46" i="9"/>
  <c r="C46" i="9"/>
  <c r="B46" i="9"/>
  <c r="A46" i="9"/>
  <c r="H45" i="9"/>
  <c r="G45" i="9"/>
  <c r="F45" i="9"/>
  <c r="E45" i="9"/>
  <c r="D45" i="9"/>
  <c r="C45" i="9"/>
  <c r="B45" i="9"/>
  <c r="A45" i="9"/>
  <c r="H44" i="9"/>
  <c r="G44" i="9"/>
  <c r="F44" i="9"/>
  <c r="E44" i="9"/>
  <c r="D44" i="9"/>
  <c r="C44" i="9"/>
  <c r="B44" i="9"/>
  <c r="A44" i="9"/>
  <c r="H43" i="9"/>
  <c r="G43" i="9"/>
  <c r="F43" i="9"/>
  <c r="E43" i="9"/>
  <c r="D43" i="9"/>
  <c r="C43" i="9"/>
  <c r="B43" i="9"/>
  <c r="A43" i="9"/>
  <c r="H42" i="9"/>
  <c r="G42" i="9"/>
  <c r="F42" i="9"/>
  <c r="E42" i="9"/>
  <c r="D42" i="9"/>
  <c r="C42" i="9"/>
  <c r="B42" i="9"/>
  <c r="A42" i="9"/>
  <c r="H41" i="9"/>
  <c r="G41" i="9"/>
  <c r="F41" i="9"/>
  <c r="E41" i="9"/>
  <c r="D41" i="9"/>
  <c r="C41" i="9"/>
  <c r="B41" i="9"/>
  <c r="A41" i="9"/>
  <c r="H40" i="9"/>
  <c r="G40" i="9"/>
  <c r="F40" i="9"/>
  <c r="E40" i="9"/>
  <c r="D40" i="9"/>
  <c r="C40" i="9"/>
  <c r="B40" i="9"/>
  <c r="A40" i="9"/>
  <c r="H39" i="9"/>
  <c r="G39" i="9"/>
  <c r="F39" i="9"/>
  <c r="E39" i="9"/>
  <c r="D39" i="9"/>
  <c r="C39" i="9"/>
  <c r="B39" i="9"/>
  <c r="A39" i="9"/>
  <c r="H38" i="9"/>
  <c r="G38" i="9"/>
  <c r="F38" i="9"/>
  <c r="E38" i="9"/>
  <c r="D38" i="9"/>
  <c r="C38" i="9"/>
  <c r="B38" i="9"/>
  <c r="A38" i="9"/>
  <c r="H37" i="9"/>
  <c r="G37" i="9"/>
  <c r="F37" i="9"/>
  <c r="E37" i="9"/>
  <c r="D37" i="9"/>
  <c r="C37" i="9"/>
  <c r="B37" i="9"/>
  <c r="A37" i="9"/>
  <c r="H36" i="9"/>
  <c r="G36" i="9"/>
  <c r="F36" i="9"/>
  <c r="E36" i="9"/>
  <c r="D36" i="9"/>
  <c r="C36" i="9"/>
  <c r="B36" i="9"/>
  <c r="A36" i="9"/>
  <c r="H35" i="9"/>
  <c r="G35" i="9"/>
  <c r="F35" i="9"/>
  <c r="E35" i="9"/>
  <c r="D35" i="9"/>
  <c r="C35" i="9"/>
  <c r="B35" i="9"/>
  <c r="A35" i="9"/>
  <c r="H34" i="9"/>
  <c r="G34" i="9"/>
  <c r="F34" i="9"/>
  <c r="E34" i="9"/>
  <c r="D34" i="9"/>
  <c r="C34" i="9"/>
  <c r="B34" i="9"/>
  <c r="A34" i="9"/>
  <c r="H33" i="9"/>
  <c r="G33" i="9"/>
  <c r="F33" i="9"/>
  <c r="E33" i="9"/>
  <c r="D33" i="9"/>
  <c r="C33" i="9"/>
  <c r="B33" i="9"/>
  <c r="A33" i="9"/>
  <c r="H32" i="9"/>
  <c r="G32" i="9"/>
  <c r="F32" i="9"/>
  <c r="E32" i="9"/>
  <c r="D32" i="9"/>
  <c r="C32" i="9"/>
  <c r="B32" i="9"/>
  <c r="A32" i="9"/>
  <c r="H31" i="9"/>
  <c r="G31" i="9"/>
  <c r="F31" i="9"/>
  <c r="E31" i="9"/>
  <c r="D31" i="9"/>
  <c r="C31" i="9"/>
  <c r="B31" i="9"/>
  <c r="A31" i="9"/>
  <c r="H30" i="9"/>
  <c r="G30" i="9"/>
  <c r="F30" i="9"/>
  <c r="E30" i="9"/>
  <c r="D30" i="9"/>
  <c r="C30" i="9"/>
  <c r="B30" i="9"/>
  <c r="A30" i="9"/>
  <c r="H29" i="9"/>
  <c r="G29" i="9"/>
  <c r="F29" i="9"/>
  <c r="E29" i="9"/>
  <c r="D29" i="9"/>
  <c r="C29" i="9"/>
  <c r="B29" i="9"/>
  <c r="A29" i="9"/>
  <c r="H28" i="9"/>
  <c r="G28" i="9"/>
  <c r="F28" i="9"/>
  <c r="E28" i="9"/>
  <c r="D28" i="9"/>
  <c r="C28" i="9"/>
  <c r="B28" i="9"/>
  <c r="A28" i="9"/>
  <c r="H27" i="9"/>
  <c r="G27" i="9"/>
  <c r="F27" i="9"/>
  <c r="E27" i="9"/>
  <c r="D27" i="9"/>
  <c r="C27" i="9"/>
  <c r="B27" i="9"/>
  <c r="A27" i="9"/>
  <c r="H26" i="9"/>
  <c r="G26" i="9"/>
  <c r="F26" i="9"/>
  <c r="E26" i="9"/>
  <c r="D26" i="9"/>
  <c r="C26" i="9"/>
  <c r="B26" i="9"/>
  <c r="A26" i="9"/>
  <c r="H25" i="9"/>
  <c r="G25" i="9"/>
  <c r="F25" i="9"/>
  <c r="E25" i="9"/>
  <c r="D25" i="9"/>
  <c r="C25" i="9"/>
  <c r="B25" i="9"/>
  <c r="A25" i="9"/>
  <c r="H24" i="9"/>
  <c r="G24" i="9"/>
  <c r="F24" i="9"/>
  <c r="E24" i="9"/>
  <c r="D24" i="9"/>
  <c r="C24" i="9"/>
  <c r="B24" i="9"/>
  <c r="A24" i="9"/>
  <c r="H23" i="9"/>
  <c r="G23" i="9"/>
  <c r="F23" i="9"/>
  <c r="E23" i="9"/>
  <c r="D23" i="9"/>
  <c r="C23" i="9"/>
  <c r="B23" i="9"/>
  <c r="A23" i="9"/>
  <c r="H22" i="9"/>
  <c r="G22" i="9"/>
  <c r="F22" i="9"/>
  <c r="E22" i="9"/>
  <c r="D22" i="9"/>
  <c r="C22" i="9"/>
  <c r="B22" i="9"/>
  <c r="A22" i="9"/>
  <c r="H21" i="9"/>
  <c r="G21" i="9"/>
  <c r="F21" i="9"/>
  <c r="E21" i="9"/>
  <c r="D21" i="9"/>
  <c r="C21" i="9"/>
  <c r="B21" i="9"/>
  <c r="A21" i="9"/>
  <c r="H20" i="9"/>
  <c r="G20" i="9"/>
  <c r="F20" i="9"/>
  <c r="E20" i="9"/>
  <c r="D20" i="9"/>
  <c r="C20" i="9"/>
  <c r="B20" i="9"/>
  <c r="A20" i="9"/>
  <c r="H19" i="9"/>
  <c r="G19" i="9"/>
  <c r="F19" i="9"/>
  <c r="E19" i="9"/>
  <c r="D19" i="9"/>
  <c r="C19" i="9"/>
  <c r="B19" i="9"/>
  <c r="A19" i="9"/>
  <c r="H18" i="9"/>
  <c r="G18" i="9"/>
  <c r="F18" i="9"/>
  <c r="E18" i="9"/>
  <c r="D18" i="9"/>
  <c r="C18" i="9"/>
  <c r="B18" i="9"/>
  <c r="A18" i="9"/>
  <c r="H17" i="9"/>
  <c r="G17" i="9"/>
  <c r="F17" i="9"/>
  <c r="E17" i="9"/>
  <c r="D17" i="9"/>
  <c r="C17" i="9"/>
  <c r="B17" i="9"/>
  <c r="A17" i="9"/>
  <c r="H16" i="9"/>
  <c r="G16" i="9"/>
  <c r="F16" i="9"/>
  <c r="E16" i="9"/>
  <c r="D16" i="9"/>
  <c r="C16" i="9"/>
  <c r="B16" i="9"/>
  <c r="A16" i="9"/>
  <c r="H15" i="9"/>
  <c r="G15" i="9"/>
  <c r="F15" i="9"/>
  <c r="E15" i="9"/>
  <c r="D15" i="9"/>
  <c r="C15" i="9"/>
  <c r="B15" i="9"/>
  <c r="A15" i="9"/>
  <c r="H14" i="9"/>
  <c r="G14" i="9"/>
  <c r="F14" i="9"/>
  <c r="E14" i="9"/>
  <c r="D14" i="9"/>
  <c r="C14" i="9"/>
  <c r="B14" i="9"/>
  <c r="A14" i="9"/>
  <c r="H13" i="9"/>
  <c r="G13" i="9"/>
  <c r="F13" i="9"/>
  <c r="E13" i="9"/>
  <c r="D13" i="9"/>
  <c r="C13" i="9"/>
  <c r="B13" i="9"/>
  <c r="A13" i="9"/>
  <c r="H12" i="9"/>
  <c r="G12" i="9"/>
  <c r="F12" i="9"/>
  <c r="E12" i="9"/>
  <c r="D12" i="9"/>
  <c r="C12" i="9"/>
  <c r="B12" i="9"/>
  <c r="A12" i="9"/>
  <c r="H11" i="9"/>
  <c r="G11" i="9"/>
  <c r="F11" i="9"/>
  <c r="E11" i="9"/>
  <c r="D11" i="9"/>
  <c r="C11" i="9"/>
  <c r="B11" i="9"/>
  <c r="A11" i="9"/>
  <c r="H10" i="9"/>
  <c r="G10" i="9"/>
  <c r="F10" i="9"/>
  <c r="E10" i="9"/>
  <c r="D10" i="9"/>
  <c r="C10" i="9"/>
  <c r="B10" i="9"/>
  <c r="A10" i="9"/>
  <c r="H9" i="9"/>
  <c r="G9" i="9"/>
  <c r="F9" i="9"/>
  <c r="E9" i="9"/>
  <c r="D9" i="9"/>
  <c r="C9" i="9"/>
  <c r="B9" i="9"/>
  <c r="A9" i="9"/>
  <c r="H8" i="9"/>
  <c r="G8" i="9"/>
  <c r="F8" i="9"/>
  <c r="E8" i="9"/>
  <c r="D8" i="9"/>
  <c r="C8" i="9"/>
  <c r="B8" i="9"/>
  <c r="A8" i="9"/>
  <c r="H7" i="9"/>
  <c r="G7" i="9"/>
  <c r="F7" i="9"/>
  <c r="E7" i="9"/>
  <c r="D7" i="9"/>
  <c r="C7" i="9"/>
  <c r="B7" i="9"/>
  <c r="A7" i="9"/>
  <c r="H6" i="9"/>
  <c r="G6" i="9"/>
  <c r="F6" i="9"/>
  <c r="E6" i="9"/>
  <c r="D6" i="9"/>
  <c r="C6" i="9"/>
  <c r="B6" i="9"/>
  <c r="A6" i="9"/>
  <c r="H5" i="9"/>
  <c r="G5" i="9"/>
  <c r="F5" i="9"/>
  <c r="E5" i="9"/>
  <c r="D5" i="9"/>
  <c r="C5" i="9"/>
  <c r="B5" i="9"/>
  <c r="A5" i="9"/>
  <c r="H4" i="9"/>
  <c r="G4" i="9"/>
  <c r="F4" i="9"/>
  <c r="E4" i="9"/>
  <c r="D4" i="9"/>
  <c r="C4" i="9"/>
  <c r="B4" i="9"/>
  <c r="A4" i="9"/>
  <c r="H3" i="9"/>
  <c r="G3" i="9"/>
  <c r="F3" i="9"/>
  <c r="E3" i="9"/>
  <c r="D3" i="9"/>
  <c r="C3" i="9"/>
  <c r="B3" i="9"/>
  <c r="H2" i="9"/>
  <c r="G2" i="9"/>
  <c r="F2" i="9"/>
  <c r="E2" i="9"/>
  <c r="C2" i="9"/>
  <c r="B2" i="9"/>
  <c r="A2" i="9"/>
  <c r="C242" i="11"/>
  <c r="B242" i="11"/>
  <c r="A242" i="11"/>
  <c r="C241" i="11"/>
  <c r="B241" i="11"/>
  <c r="A241" i="11"/>
  <c r="C240" i="11"/>
  <c r="B240" i="11"/>
  <c r="A240" i="11"/>
  <c r="C239" i="11"/>
  <c r="B239" i="11"/>
  <c r="A239" i="11"/>
  <c r="C238" i="11"/>
  <c r="B238" i="11"/>
  <c r="A238" i="11"/>
  <c r="C237" i="11"/>
  <c r="B237" i="11"/>
  <c r="A237" i="11"/>
  <c r="C236" i="11"/>
  <c r="B236" i="11"/>
  <c r="A236" i="11"/>
  <c r="C235" i="11"/>
  <c r="B235" i="11"/>
  <c r="A235" i="11"/>
  <c r="C234" i="11"/>
  <c r="B234" i="11"/>
  <c r="A234" i="11"/>
  <c r="C233" i="11"/>
  <c r="B233" i="11"/>
  <c r="A233" i="11"/>
  <c r="C232" i="11"/>
  <c r="B232" i="11"/>
  <c r="A232" i="11"/>
  <c r="C231" i="11"/>
  <c r="B231" i="11"/>
  <c r="A231" i="11"/>
  <c r="C230" i="11"/>
  <c r="B230" i="11"/>
  <c r="A230" i="11"/>
  <c r="C229" i="11"/>
  <c r="B229" i="11"/>
  <c r="A229" i="11"/>
  <c r="C228" i="11"/>
  <c r="B228" i="11"/>
  <c r="A228" i="11"/>
  <c r="C227" i="11"/>
  <c r="B227" i="11"/>
  <c r="A227" i="11"/>
  <c r="C226" i="11"/>
  <c r="B226" i="11"/>
  <c r="A226" i="11"/>
  <c r="C225" i="11"/>
  <c r="B225" i="11"/>
  <c r="A225" i="11"/>
  <c r="C224" i="11"/>
  <c r="B224" i="11"/>
  <c r="A224" i="11"/>
  <c r="C223" i="11"/>
  <c r="B223" i="11"/>
  <c r="A223" i="11"/>
  <c r="C222" i="11"/>
  <c r="B222" i="11"/>
  <c r="A222" i="11"/>
  <c r="C221" i="11"/>
  <c r="B221" i="11"/>
  <c r="A221" i="11"/>
  <c r="C220" i="11"/>
  <c r="B220" i="11"/>
  <c r="A220" i="11"/>
  <c r="C219" i="11"/>
  <c r="B219" i="11"/>
  <c r="A219" i="11"/>
  <c r="C218" i="11"/>
  <c r="B218" i="11"/>
  <c r="A218" i="11"/>
  <c r="C217" i="11"/>
  <c r="B217" i="11"/>
  <c r="A217" i="11"/>
  <c r="C216" i="11"/>
  <c r="B216" i="11"/>
  <c r="A216" i="11"/>
  <c r="C215" i="11"/>
  <c r="B215" i="11"/>
  <c r="A215" i="11"/>
  <c r="C214" i="11"/>
  <c r="B214" i="11"/>
  <c r="A214" i="11"/>
  <c r="C213" i="11"/>
  <c r="B213" i="11"/>
  <c r="A213" i="11"/>
  <c r="C212" i="11"/>
  <c r="B212" i="11"/>
  <c r="A212" i="11"/>
  <c r="C211" i="11"/>
  <c r="B211" i="11"/>
  <c r="A211" i="11"/>
  <c r="C210" i="11"/>
  <c r="B210" i="11"/>
  <c r="A210" i="11"/>
  <c r="C209" i="11"/>
  <c r="B209" i="11"/>
  <c r="A209" i="11"/>
  <c r="C208" i="11"/>
  <c r="B208" i="11"/>
  <c r="A208" i="11"/>
  <c r="C207" i="11"/>
  <c r="B207" i="11"/>
  <c r="A207" i="11"/>
  <c r="C206" i="11"/>
  <c r="B206" i="11"/>
  <c r="A206" i="11"/>
  <c r="C205" i="11"/>
  <c r="B205" i="11"/>
  <c r="A205" i="11"/>
  <c r="C204" i="11"/>
  <c r="B204" i="11"/>
  <c r="A204" i="11"/>
  <c r="C203" i="11"/>
  <c r="B203" i="11"/>
  <c r="A203" i="11"/>
  <c r="C202" i="11"/>
  <c r="B202" i="11"/>
  <c r="A202" i="11"/>
  <c r="C201" i="11"/>
  <c r="B201" i="11"/>
  <c r="A201" i="11"/>
  <c r="C200" i="11"/>
  <c r="B200" i="11"/>
  <c r="A200" i="11"/>
  <c r="C199" i="11"/>
  <c r="B199" i="11"/>
  <c r="A199" i="11"/>
  <c r="C198" i="11"/>
  <c r="B198" i="11"/>
  <c r="A198" i="11"/>
  <c r="C197" i="11"/>
  <c r="B197" i="11"/>
  <c r="A197" i="11"/>
  <c r="C196" i="11"/>
  <c r="B196" i="11"/>
  <c r="A196" i="11"/>
  <c r="C195" i="11"/>
  <c r="B195" i="11"/>
  <c r="A195" i="11"/>
  <c r="C194" i="11"/>
  <c r="B194" i="11"/>
  <c r="A194" i="11"/>
  <c r="C193" i="11"/>
  <c r="B193" i="11"/>
  <c r="A193" i="11"/>
  <c r="C192" i="11"/>
  <c r="B192" i="11"/>
  <c r="A192" i="11"/>
  <c r="C191" i="11"/>
  <c r="B191" i="11"/>
  <c r="A191" i="11"/>
  <c r="C190" i="11"/>
  <c r="B190" i="11"/>
  <c r="A190" i="11"/>
  <c r="C189" i="11"/>
  <c r="B189" i="11"/>
  <c r="A189" i="11"/>
  <c r="C188" i="11"/>
  <c r="B188" i="11"/>
  <c r="A188" i="11"/>
  <c r="C187" i="11"/>
  <c r="B187" i="11"/>
  <c r="A187" i="11"/>
  <c r="C186" i="11"/>
  <c r="B186" i="11"/>
  <c r="A186" i="11"/>
  <c r="C185" i="11"/>
  <c r="B185" i="11"/>
  <c r="A185" i="11"/>
  <c r="C184" i="11"/>
  <c r="B184" i="11"/>
  <c r="A184" i="11"/>
  <c r="C183" i="11"/>
  <c r="B183" i="11"/>
  <c r="A183" i="11"/>
  <c r="C182" i="11"/>
  <c r="B182" i="11"/>
  <c r="A182" i="11"/>
  <c r="C181" i="11"/>
  <c r="B181" i="11"/>
  <c r="A181" i="11"/>
  <c r="C180" i="11"/>
  <c r="B180" i="11"/>
  <c r="A180" i="11"/>
  <c r="C179" i="11"/>
  <c r="B179" i="11"/>
  <c r="A179" i="11"/>
  <c r="C178" i="11"/>
  <c r="B178" i="11"/>
  <c r="A178" i="11"/>
  <c r="C177" i="11"/>
  <c r="B177" i="11"/>
  <c r="A177" i="11"/>
  <c r="C176" i="11"/>
  <c r="B176" i="11"/>
  <c r="A176" i="11"/>
  <c r="C175" i="11"/>
  <c r="B175" i="11"/>
  <c r="A175" i="11"/>
  <c r="C174" i="11"/>
  <c r="B174" i="11"/>
  <c r="A174" i="11"/>
  <c r="C173" i="11"/>
  <c r="B173" i="11"/>
  <c r="A173" i="11"/>
  <c r="C172" i="11"/>
  <c r="B172" i="11"/>
  <c r="A172" i="11"/>
  <c r="C171" i="11"/>
  <c r="B171" i="11"/>
  <c r="A171" i="11"/>
  <c r="C170" i="11"/>
  <c r="B170" i="11"/>
  <c r="A170" i="11"/>
  <c r="C169" i="11"/>
  <c r="B169" i="11"/>
  <c r="A169" i="11"/>
  <c r="C168" i="11"/>
  <c r="B168" i="11"/>
  <c r="A168" i="11"/>
  <c r="C167" i="11"/>
  <c r="B167" i="11"/>
  <c r="A167" i="11"/>
  <c r="C166" i="11"/>
  <c r="B166" i="11"/>
  <c r="A166" i="11"/>
  <c r="C165" i="11"/>
  <c r="B165" i="11"/>
  <c r="A165" i="11"/>
  <c r="C164" i="11"/>
  <c r="B164" i="11"/>
  <c r="A164" i="11"/>
  <c r="C163" i="11"/>
  <c r="B163" i="11"/>
  <c r="A163" i="11"/>
  <c r="C162" i="11"/>
  <c r="B162" i="11"/>
  <c r="A162" i="11"/>
  <c r="C161" i="11"/>
  <c r="B161" i="11"/>
  <c r="A161" i="11"/>
  <c r="C160" i="11"/>
  <c r="B160" i="11"/>
  <c r="A160" i="11"/>
  <c r="C159" i="11"/>
  <c r="B159" i="11"/>
  <c r="A159" i="11"/>
  <c r="C158" i="11"/>
  <c r="B158" i="11"/>
  <c r="A158" i="11"/>
  <c r="C157" i="11"/>
  <c r="B157" i="11"/>
  <c r="A157" i="11"/>
  <c r="C156" i="11"/>
  <c r="B156" i="11"/>
  <c r="A156" i="11"/>
  <c r="C155" i="11"/>
  <c r="B155" i="11"/>
  <c r="A155" i="11"/>
  <c r="C154" i="11"/>
  <c r="B154" i="11"/>
  <c r="A154" i="11"/>
  <c r="C153" i="11"/>
  <c r="B153" i="11"/>
  <c r="A153" i="11"/>
  <c r="C152" i="11"/>
  <c r="B152" i="11"/>
  <c r="A152" i="11"/>
  <c r="C151" i="11"/>
  <c r="B151" i="11"/>
  <c r="A151" i="11"/>
  <c r="C150" i="11"/>
  <c r="B150" i="11"/>
  <c r="A150" i="11"/>
  <c r="C149" i="11"/>
  <c r="B149" i="11"/>
  <c r="A149" i="11"/>
  <c r="C148" i="11"/>
  <c r="B148" i="11"/>
  <c r="A148" i="11"/>
  <c r="C147" i="11"/>
  <c r="B147" i="11"/>
  <c r="A147" i="11"/>
  <c r="C146" i="11"/>
  <c r="B146" i="11"/>
  <c r="A146" i="11"/>
  <c r="C145" i="11"/>
  <c r="B145" i="11"/>
  <c r="A145" i="11"/>
  <c r="C144" i="11"/>
  <c r="B144" i="11"/>
  <c r="A144" i="11"/>
  <c r="C143" i="11"/>
  <c r="B143" i="11"/>
  <c r="A143" i="11"/>
  <c r="C142" i="11"/>
  <c r="B142" i="11"/>
  <c r="A142" i="11"/>
  <c r="C141" i="11"/>
  <c r="B141" i="11"/>
  <c r="A141" i="11"/>
  <c r="C140" i="11"/>
  <c r="B140" i="11"/>
  <c r="A140" i="11"/>
  <c r="C139" i="11"/>
  <c r="B139" i="11"/>
  <c r="A139" i="11"/>
  <c r="C138" i="11"/>
  <c r="B138" i="11"/>
  <c r="A138" i="11"/>
  <c r="C137" i="11"/>
  <c r="B137" i="11"/>
  <c r="A137" i="11"/>
  <c r="C136" i="11"/>
  <c r="B136" i="11"/>
  <c r="A136" i="11"/>
  <c r="C135" i="11"/>
  <c r="B135" i="11"/>
  <c r="A135" i="11"/>
  <c r="C134" i="11"/>
  <c r="B134" i="11"/>
  <c r="A134" i="11"/>
  <c r="C133" i="11"/>
  <c r="B133" i="11"/>
  <c r="A133" i="11"/>
  <c r="C132" i="11"/>
  <c r="B132" i="11"/>
  <c r="A132" i="11"/>
  <c r="C131" i="11"/>
  <c r="B131" i="11"/>
  <c r="A131" i="11"/>
  <c r="C130" i="11"/>
  <c r="B130" i="11"/>
  <c r="A130" i="11"/>
  <c r="C129" i="11"/>
  <c r="B129" i="11"/>
  <c r="A129" i="11"/>
  <c r="C128" i="11"/>
  <c r="B128" i="11"/>
  <c r="A128" i="11"/>
  <c r="C127" i="11"/>
  <c r="B127" i="11"/>
  <c r="A127" i="11"/>
  <c r="C126" i="11"/>
  <c r="B126" i="11"/>
  <c r="A126" i="11"/>
  <c r="C125" i="11"/>
  <c r="B125" i="11"/>
  <c r="A125" i="11"/>
  <c r="C124" i="11"/>
  <c r="B124" i="11"/>
  <c r="A124" i="11"/>
  <c r="C123" i="11"/>
  <c r="B123" i="11"/>
  <c r="A123" i="11"/>
  <c r="C122" i="11"/>
  <c r="B122" i="11"/>
  <c r="A122" i="11"/>
  <c r="C121" i="11"/>
  <c r="B121" i="11"/>
  <c r="A121" i="11"/>
  <c r="C120" i="11"/>
  <c r="B120" i="11"/>
  <c r="A120" i="11"/>
  <c r="C119" i="11"/>
  <c r="B119" i="11"/>
  <c r="A119" i="11"/>
  <c r="C118" i="11"/>
  <c r="B118" i="11"/>
  <c r="A118" i="11"/>
  <c r="C117" i="11"/>
  <c r="B117" i="11"/>
  <c r="A117" i="11"/>
  <c r="C116" i="11"/>
  <c r="B116" i="11"/>
  <c r="A116" i="11"/>
  <c r="C115" i="11"/>
  <c r="B115" i="11"/>
  <c r="A115" i="11"/>
  <c r="C114" i="11"/>
  <c r="B114" i="11"/>
  <c r="A114" i="11"/>
  <c r="C113" i="11"/>
  <c r="B113" i="11"/>
  <c r="A113" i="11"/>
  <c r="C112" i="11"/>
  <c r="B112" i="11"/>
  <c r="A112" i="11"/>
  <c r="C111" i="11"/>
  <c r="B111" i="11"/>
  <c r="A111" i="11"/>
  <c r="C110" i="11"/>
  <c r="B110" i="11"/>
  <c r="A110" i="11"/>
  <c r="C109" i="11"/>
  <c r="B109" i="11"/>
  <c r="A109" i="11"/>
  <c r="C108" i="11"/>
  <c r="B108" i="11"/>
  <c r="A108" i="11"/>
  <c r="C107" i="11"/>
  <c r="B107" i="11"/>
  <c r="A107" i="11"/>
  <c r="C106" i="11"/>
  <c r="B106" i="11"/>
  <c r="A106" i="11"/>
  <c r="C105" i="11"/>
  <c r="B105" i="11"/>
  <c r="A105" i="11"/>
  <c r="C104" i="11"/>
  <c r="B104" i="11"/>
  <c r="A104" i="11"/>
  <c r="C103" i="11"/>
  <c r="B103" i="11"/>
  <c r="A103" i="11"/>
  <c r="C102" i="11"/>
  <c r="B102" i="11"/>
  <c r="A102" i="11"/>
  <c r="C101" i="11"/>
  <c r="B101" i="11"/>
  <c r="A101" i="11"/>
  <c r="C100" i="11"/>
  <c r="B100" i="11"/>
  <c r="A100" i="11"/>
  <c r="C99" i="11"/>
  <c r="B99" i="11"/>
  <c r="A99" i="11"/>
  <c r="C98" i="11"/>
  <c r="B98" i="11"/>
  <c r="A98" i="11"/>
  <c r="C97" i="11"/>
  <c r="B97" i="11"/>
  <c r="A97" i="11"/>
  <c r="C96" i="11"/>
  <c r="B96" i="11"/>
  <c r="A96" i="11"/>
  <c r="C95" i="11"/>
  <c r="B95" i="11"/>
  <c r="A95" i="11"/>
  <c r="C94" i="11"/>
  <c r="B94" i="11"/>
  <c r="A94" i="11"/>
  <c r="C93" i="11"/>
  <c r="B93" i="11"/>
  <c r="A93" i="11"/>
  <c r="C92" i="11"/>
  <c r="B92" i="11"/>
  <c r="A92" i="11"/>
  <c r="C91" i="11"/>
  <c r="B91" i="11"/>
  <c r="A91" i="11"/>
  <c r="C90" i="11"/>
  <c r="B90" i="11"/>
  <c r="A90" i="11"/>
  <c r="C89" i="11"/>
  <c r="B89" i="11"/>
  <c r="A89" i="11"/>
  <c r="C88" i="11"/>
  <c r="B88" i="11"/>
  <c r="A88" i="11"/>
  <c r="C87" i="11"/>
  <c r="B87" i="11"/>
  <c r="A87" i="11"/>
  <c r="C86" i="11"/>
  <c r="B86" i="11"/>
  <c r="A86" i="11"/>
  <c r="C85" i="11"/>
  <c r="B85" i="11"/>
  <c r="A85" i="11"/>
  <c r="C84" i="11"/>
  <c r="B84" i="11"/>
  <c r="A84" i="11"/>
  <c r="C83" i="11"/>
  <c r="B83" i="11"/>
  <c r="A83" i="11"/>
  <c r="C82" i="11"/>
  <c r="B82" i="11"/>
  <c r="A82" i="11"/>
  <c r="C81" i="11"/>
  <c r="B81" i="11"/>
  <c r="A81" i="11"/>
  <c r="C80" i="11"/>
  <c r="B80" i="11"/>
  <c r="A80" i="11"/>
  <c r="C79" i="11"/>
  <c r="B79" i="11"/>
  <c r="A79" i="11"/>
  <c r="C78" i="11"/>
  <c r="B78" i="11"/>
  <c r="A78" i="11"/>
  <c r="C77" i="11"/>
  <c r="B77" i="11"/>
  <c r="A77" i="11"/>
  <c r="C76" i="11"/>
  <c r="B76" i="11"/>
  <c r="A76" i="11"/>
  <c r="C75" i="11"/>
  <c r="B75" i="11"/>
  <c r="A75" i="11"/>
  <c r="C74" i="11"/>
  <c r="B74" i="11"/>
  <c r="A74" i="11"/>
  <c r="C73" i="11"/>
  <c r="B73" i="11"/>
  <c r="A73" i="11"/>
  <c r="C72" i="11"/>
  <c r="B72" i="11"/>
  <c r="A72" i="11"/>
  <c r="C71" i="11"/>
  <c r="B71" i="11"/>
  <c r="A71" i="11"/>
  <c r="C70" i="11"/>
  <c r="B70" i="11"/>
  <c r="A70" i="11"/>
  <c r="C69" i="11"/>
  <c r="B69" i="11"/>
  <c r="A69" i="11"/>
  <c r="C68" i="11"/>
  <c r="B68" i="11"/>
  <c r="A68" i="11"/>
  <c r="C67" i="11"/>
  <c r="B67" i="11"/>
  <c r="A67" i="11"/>
  <c r="C66" i="11"/>
  <c r="B66" i="11"/>
  <c r="A66" i="11"/>
  <c r="C65" i="11"/>
  <c r="B65" i="11"/>
  <c r="A65" i="11"/>
  <c r="C64" i="11"/>
  <c r="B64" i="11"/>
  <c r="A64" i="11"/>
  <c r="C63" i="11"/>
  <c r="B63" i="11"/>
  <c r="A63" i="11"/>
  <c r="C62" i="11"/>
  <c r="B62" i="11"/>
  <c r="A62" i="11"/>
  <c r="C61" i="11"/>
  <c r="B61" i="11"/>
  <c r="A61" i="11"/>
  <c r="C60" i="11"/>
  <c r="B60" i="11"/>
  <c r="A60" i="11"/>
  <c r="C59" i="11"/>
  <c r="B59" i="11"/>
  <c r="A59" i="11"/>
  <c r="C58" i="11"/>
  <c r="B58" i="11"/>
  <c r="A58" i="11"/>
  <c r="C57" i="11"/>
  <c r="B57" i="11"/>
  <c r="A57" i="11"/>
  <c r="C56" i="11"/>
  <c r="B56" i="11"/>
  <c r="A56" i="11"/>
  <c r="C55" i="11"/>
  <c r="B55" i="11"/>
  <c r="A55" i="11"/>
  <c r="C54" i="11"/>
  <c r="B54" i="11"/>
  <c r="A54" i="11"/>
  <c r="C53" i="11"/>
  <c r="B53" i="11"/>
  <c r="A53" i="11"/>
  <c r="C52" i="11"/>
  <c r="B52" i="11"/>
  <c r="A52" i="11"/>
  <c r="C51" i="11"/>
  <c r="B51" i="11"/>
  <c r="A51" i="11"/>
  <c r="C50" i="11"/>
  <c r="B50" i="11"/>
  <c r="A50" i="11"/>
  <c r="C49" i="11"/>
  <c r="B49" i="11"/>
  <c r="A49" i="11"/>
  <c r="C48" i="11"/>
  <c r="B48" i="11"/>
  <c r="A48" i="11"/>
  <c r="C47" i="11"/>
  <c r="B47" i="11"/>
  <c r="A47" i="11"/>
  <c r="C46" i="11"/>
  <c r="B46" i="11"/>
  <c r="A46" i="11"/>
  <c r="C45" i="11"/>
  <c r="B45" i="11"/>
  <c r="A45" i="11"/>
  <c r="C44" i="11"/>
  <c r="B44" i="11"/>
  <c r="A44" i="11"/>
  <c r="C43" i="11"/>
  <c r="B43" i="11"/>
  <c r="A43" i="11"/>
  <c r="C42" i="11"/>
  <c r="B42" i="11"/>
  <c r="A42" i="11"/>
  <c r="C41" i="11"/>
  <c r="B41" i="11"/>
  <c r="A41" i="11"/>
  <c r="C40" i="11"/>
  <c r="B40" i="11"/>
  <c r="A40" i="11"/>
  <c r="C39" i="11"/>
  <c r="B39" i="11"/>
  <c r="A39" i="11"/>
  <c r="C38" i="11"/>
  <c r="B38" i="11"/>
  <c r="A38" i="11"/>
  <c r="C37" i="11"/>
  <c r="B37" i="11"/>
  <c r="A37" i="11"/>
  <c r="C36" i="11"/>
  <c r="B36" i="11"/>
  <c r="A36" i="11"/>
  <c r="C35" i="11"/>
  <c r="B35" i="11"/>
  <c r="A35" i="11"/>
  <c r="C34" i="11"/>
  <c r="B34" i="11"/>
  <c r="A34" i="11"/>
  <c r="C33" i="11"/>
  <c r="B33" i="11"/>
  <c r="A33" i="11"/>
  <c r="C32" i="11"/>
  <c r="B32" i="11"/>
  <c r="A32" i="11"/>
  <c r="C31" i="11"/>
  <c r="B31" i="11"/>
  <c r="A31" i="11"/>
  <c r="C30" i="11"/>
  <c r="B30" i="11"/>
  <c r="A30" i="11"/>
  <c r="C29" i="11"/>
  <c r="B29" i="11"/>
  <c r="A29" i="11"/>
  <c r="C28" i="11"/>
  <c r="B28" i="11"/>
  <c r="A28" i="11"/>
  <c r="C27" i="11"/>
  <c r="B27" i="11"/>
  <c r="A27" i="11"/>
  <c r="C26" i="11"/>
  <c r="B26" i="11"/>
  <c r="A26" i="11"/>
  <c r="C25" i="11"/>
  <c r="B25" i="11"/>
  <c r="A25" i="11"/>
  <c r="C24" i="11"/>
  <c r="B24" i="11"/>
  <c r="A24" i="11"/>
  <c r="C23" i="11"/>
  <c r="B23" i="11"/>
  <c r="A23" i="11"/>
  <c r="C22" i="11"/>
  <c r="B22" i="11"/>
  <c r="A22" i="11"/>
  <c r="C21" i="11"/>
  <c r="B21" i="11"/>
  <c r="A21" i="11"/>
  <c r="C20" i="11"/>
  <c r="B20" i="11"/>
  <c r="A20" i="11"/>
  <c r="C19" i="11"/>
  <c r="B19" i="11"/>
  <c r="A19" i="11"/>
  <c r="C18" i="11"/>
  <c r="B18" i="11"/>
  <c r="A18" i="11"/>
  <c r="C17" i="11"/>
  <c r="B17" i="11"/>
  <c r="A17" i="11"/>
  <c r="C16" i="11"/>
  <c r="B16" i="11"/>
  <c r="A16" i="11"/>
  <c r="C15" i="11"/>
  <c r="B15" i="11"/>
  <c r="A15" i="11"/>
  <c r="C14" i="11"/>
  <c r="B14" i="11"/>
  <c r="A14" i="11"/>
  <c r="C13" i="11"/>
  <c r="B13" i="11"/>
  <c r="A13" i="11"/>
  <c r="C12" i="11"/>
  <c r="B12" i="11"/>
  <c r="A12" i="11"/>
  <c r="C11" i="11"/>
  <c r="B11" i="11"/>
  <c r="A11" i="11"/>
  <c r="C10" i="11"/>
  <c r="B10" i="11"/>
  <c r="A10" i="11"/>
  <c r="C9" i="11"/>
  <c r="B9" i="11"/>
  <c r="A9" i="11"/>
  <c r="C8" i="11"/>
  <c r="B8" i="11"/>
  <c r="A8" i="11"/>
  <c r="C7" i="11"/>
  <c r="B7" i="11"/>
  <c r="A7" i="11"/>
  <c r="C6" i="11"/>
  <c r="B6" i="11"/>
  <c r="A6" i="11"/>
  <c r="C5" i="11"/>
  <c r="B5" i="11"/>
  <c r="A5" i="11"/>
  <c r="C4" i="11"/>
  <c r="B4" i="11"/>
  <c r="A4" i="11"/>
  <c r="C3" i="11"/>
  <c r="B3" i="11"/>
  <c r="A3" i="11"/>
  <c r="C2" i="11"/>
  <c r="B2" i="11"/>
  <c r="A2" i="11"/>
  <c r="C246" i="10"/>
  <c r="B246" i="10"/>
  <c r="A246" i="10"/>
  <c r="C245" i="10"/>
  <c r="B245" i="10"/>
  <c r="A245" i="10"/>
  <c r="C244" i="10"/>
  <c r="B244" i="10"/>
  <c r="A244" i="10"/>
  <c r="C243" i="10"/>
  <c r="B243" i="10"/>
  <c r="A243" i="10"/>
  <c r="C242" i="10"/>
  <c r="B242" i="10"/>
  <c r="A242" i="10"/>
  <c r="C241" i="10"/>
  <c r="B241" i="10"/>
  <c r="A241" i="10"/>
  <c r="C240" i="10"/>
  <c r="B240" i="10"/>
  <c r="A240" i="10"/>
  <c r="C239" i="10"/>
  <c r="B239" i="10"/>
  <c r="A239" i="10"/>
  <c r="C238" i="10"/>
  <c r="B238" i="10"/>
  <c r="A238" i="10"/>
  <c r="C237" i="10"/>
  <c r="B237" i="10"/>
  <c r="A237" i="10"/>
  <c r="C236" i="10"/>
  <c r="B236" i="10"/>
  <c r="A236" i="10"/>
  <c r="C235" i="10"/>
  <c r="B235" i="10"/>
  <c r="A235" i="10"/>
  <c r="C234" i="10"/>
  <c r="B234" i="10"/>
  <c r="A234" i="10"/>
  <c r="C233" i="10"/>
  <c r="B233" i="10"/>
  <c r="A233" i="10"/>
  <c r="C232" i="10"/>
  <c r="B232" i="10"/>
  <c r="A232" i="10"/>
  <c r="C231" i="10"/>
  <c r="B231" i="10"/>
  <c r="A231" i="10"/>
  <c r="C230" i="10"/>
  <c r="B230" i="10"/>
  <c r="A230" i="10"/>
  <c r="C229" i="10"/>
  <c r="B229" i="10"/>
  <c r="A229" i="10"/>
  <c r="C228" i="10"/>
  <c r="B228" i="10"/>
  <c r="A228" i="10"/>
  <c r="C227" i="10"/>
  <c r="B227" i="10"/>
  <c r="A227" i="10"/>
  <c r="C226" i="10"/>
  <c r="B226" i="10"/>
  <c r="A226" i="10"/>
  <c r="C225" i="10"/>
  <c r="B225" i="10"/>
  <c r="A225" i="10"/>
  <c r="C224" i="10"/>
  <c r="B224" i="10"/>
  <c r="A224" i="10"/>
  <c r="C223" i="10"/>
  <c r="B223" i="10"/>
  <c r="A223" i="10"/>
  <c r="C222" i="10"/>
  <c r="B222" i="10"/>
  <c r="A222" i="10"/>
  <c r="C221" i="10"/>
  <c r="B221" i="10"/>
  <c r="A221" i="10"/>
  <c r="C220" i="10"/>
  <c r="B220" i="10"/>
  <c r="A220" i="10"/>
  <c r="C219" i="10"/>
  <c r="B219" i="10"/>
  <c r="A219" i="10"/>
  <c r="C218" i="10"/>
  <c r="B218" i="10"/>
  <c r="A218" i="10"/>
  <c r="C217" i="10"/>
  <c r="B217" i="10"/>
  <c r="A217" i="10"/>
  <c r="C216" i="10"/>
  <c r="B216" i="10"/>
  <c r="A216" i="10"/>
  <c r="C215" i="10"/>
  <c r="B215" i="10"/>
  <c r="A215" i="10"/>
  <c r="C214" i="10"/>
  <c r="B214" i="10"/>
  <c r="A214" i="10"/>
  <c r="C213" i="10"/>
  <c r="B213" i="10"/>
  <c r="A213" i="10"/>
  <c r="C212" i="10"/>
  <c r="B212" i="10"/>
  <c r="A212" i="10"/>
  <c r="C211" i="10"/>
  <c r="B211" i="10"/>
  <c r="A211" i="10"/>
  <c r="C210" i="10"/>
  <c r="B210" i="10"/>
  <c r="A210" i="10"/>
  <c r="C209" i="10"/>
  <c r="B209" i="10"/>
  <c r="A209" i="10"/>
  <c r="C208" i="10"/>
  <c r="B208" i="10"/>
  <c r="A208" i="10"/>
  <c r="C207" i="10"/>
  <c r="B207" i="10"/>
  <c r="A207" i="10"/>
  <c r="C206" i="10"/>
  <c r="B206" i="10"/>
  <c r="A206" i="10"/>
  <c r="C205" i="10"/>
  <c r="B205" i="10"/>
  <c r="A205" i="10"/>
  <c r="C204" i="10"/>
  <c r="B204" i="10"/>
  <c r="A204" i="10"/>
  <c r="C203" i="10"/>
  <c r="B203" i="10"/>
  <c r="A203" i="10"/>
  <c r="C202" i="10"/>
  <c r="B202" i="10"/>
  <c r="A202" i="10"/>
  <c r="C201" i="10"/>
  <c r="B201" i="10"/>
  <c r="A201" i="10"/>
  <c r="C200" i="10"/>
  <c r="B200" i="10"/>
  <c r="A200" i="10"/>
  <c r="C199" i="10"/>
  <c r="B199" i="10"/>
  <c r="A199" i="10"/>
  <c r="C198" i="10"/>
  <c r="B198" i="10"/>
  <c r="A198" i="10"/>
  <c r="C197" i="10"/>
  <c r="B197" i="10"/>
  <c r="A197" i="10"/>
  <c r="C196" i="10"/>
  <c r="B196" i="10"/>
  <c r="A196" i="10"/>
  <c r="C195" i="10"/>
  <c r="B195" i="10"/>
  <c r="A195" i="10"/>
  <c r="C194" i="10"/>
  <c r="B194" i="10"/>
  <c r="A194" i="10"/>
  <c r="C193" i="10"/>
  <c r="B193" i="10"/>
  <c r="A193" i="10"/>
  <c r="C192" i="10"/>
  <c r="B192" i="10"/>
  <c r="A192" i="10"/>
  <c r="C191" i="10"/>
  <c r="B191" i="10"/>
  <c r="A191" i="10"/>
  <c r="C190" i="10"/>
  <c r="B190" i="10"/>
  <c r="A190" i="10"/>
  <c r="C189" i="10"/>
  <c r="B189" i="10"/>
  <c r="A189" i="10"/>
  <c r="C188" i="10"/>
  <c r="B188" i="10"/>
  <c r="A188" i="10"/>
  <c r="C187" i="10"/>
  <c r="B187" i="10"/>
  <c r="A187" i="10"/>
  <c r="C186" i="10"/>
  <c r="B186" i="10"/>
  <c r="A186" i="10"/>
  <c r="C185" i="10"/>
  <c r="B185" i="10"/>
  <c r="A185" i="10"/>
  <c r="C184" i="10"/>
  <c r="B184" i="10"/>
  <c r="A184" i="10"/>
  <c r="C183" i="10"/>
  <c r="B183" i="10"/>
  <c r="A183" i="10"/>
  <c r="C182" i="10"/>
  <c r="B182" i="10"/>
  <c r="A182" i="10"/>
  <c r="C181" i="10"/>
  <c r="B181" i="10"/>
  <c r="A181" i="10"/>
  <c r="C180" i="10"/>
  <c r="B180" i="10"/>
  <c r="A180" i="10"/>
  <c r="C179" i="10"/>
  <c r="B179" i="10"/>
  <c r="A179" i="10"/>
  <c r="C178" i="10"/>
  <c r="B178" i="10"/>
  <c r="A178" i="10"/>
  <c r="C177" i="10"/>
  <c r="B177" i="10"/>
  <c r="A177" i="10"/>
  <c r="C176" i="10"/>
  <c r="B176" i="10"/>
  <c r="A176" i="10"/>
  <c r="C175" i="10"/>
  <c r="B175" i="10"/>
  <c r="A175" i="10"/>
  <c r="C174" i="10"/>
  <c r="B174" i="10"/>
  <c r="A174" i="10"/>
  <c r="C173" i="10"/>
  <c r="B173" i="10"/>
  <c r="A173" i="10"/>
  <c r="C172" i="10"/>
  <c r="B172" i="10"/>
  <c r="A172" i="10"/>
  <c r="C171" i="10"/>
  <c r="B171" i="10"/>
  <c r="A171" i="10"/>
  <c r="C170" i="10"/>
  <c r="B170" i="10"/>
  <c r="A170" i="10"/>
  <c r="C169" i="10"/>
  <c r="B169" i="10"/>
  <c r="A169" i="10"/>
  <c r="C168" i="10"/>
  <c r="B168" i="10"/>
  <c r="A168" i="10"/>
  <c r="C167" i="10"/>
  <c r="B167" i="10"/>
  <c r="A167" i="10"/>
  <c r="C166" i="10"/>
  <c r="B166" i="10"/>
  <c r="A166" i="10"/>
  <c r="C165" i="10"/>
  <c r="B165" i="10"/>
  <c r="A165" i="10"/>
  <c r="C164" i="10"/>
  <c r="B164" i="10"/>
  <c r="A164" i="10"/>
  <c r="C163" i="10"/>
  <c r="B163" i="10"/>
  <c r="A163" i="10"/>
  <c r="C162" i="10"/>
  <c r="B162" i="10"/>
  <c r="A162" i="10"/>
  <c r="C161" i="10"/>
  <c r="B161" i="10"/>
  <c r="A161" i="10"/>
  <c r="C160" i="10"/>
  <c r="B160" i="10"/>
  <c r="A160" i="10"/>
  <c r="C159" i="10"/>
  <c r="B159" i="10"/>
  <c r="A159" i="10"/>
  <c r="C158" i="10"/>
  <c r="B158" i="10"/>
  <c r="A158" i="10"/>
  <c r="C157" i="10"/>
  <c r="B157" i="10"/>
  <c r="A157" i="10"/>
  <c r="C156" i="10"/>
  <c r="B156" i="10"/>
  <c r="A156" i="10"/>
  <c r="C155" i="10"/>
  <c r="B155" i="10"/>
  <c r="A155" i="10"/>
  <c r="C154" i="10"/>
  <c r="B154" i="10"/>
  <c r="A154" i="10"/>
  <c r="C153" i="10"/>
  <c r="B153" i="10"/>
  <c r="A153" i="10"/>
  <c r="C152" i="10"/>
  <c r="B152" i="10"/>
  <c r="A152" i="10"/>
  <c r="C151" i="10"/>
  <c r="B151" i="10"/>
  <c r="A151" i="10"/>
  <c r="C150" i="10"/>
  <c r="B150" i="10"/>
  <c r="A150" i="10"/>
  <c r="C149" i="10"/>
  <c r="B149" i="10"/>
  <c r="A149" i="10"/>
  <c r="C148" i="10"/>
  <c r="B148" i="10"/>
  <c r="A148" i="10"/>
  <c r="C147" i="10"/>
  <c r="B147" i="10"/>
  <c r="A147" i="10"/>
  <c r="C146" i="10"/>
  <c r="B146" i="10"/>
  <c r="A146" i="10"/>
  <c r="C145" i="10"/>
  <c r="B145" i="10"/>
  <c r="A145" i="10"/>
  <c r="C144" i="10"/>
  <c r="B144" i="10"/>
  <c r="A144" i="10"/>
  <c r="C143" i="10"/>
  <c r="B143" i="10"/>
  <c r="A143" i="10"/>
  <c r="C142" i="10"/>
  <c r="B142" i="10"/>
  <c r="A142" i="10"/>
  <c r="C141" i="10"/>
  <c r="B141" i="10"/>
  <c r="A141" i="10"/>
  <c r="C140" i="10"/>
  <c r="B140" i="10"/>
  <c r="A140" i="10"/>
  <c r="C139" i="10"/>
  <c r="B139" i="10"/>
  <c r="A139" i="10"/>
  <c r="C138" i="10"/>
  <c r="B138" i="10"/>
  <c r="A138" i="10"/>
  <c r="C137" i="10"/>
  <c r="B137" i="10"/>
  <c r="A137" i="10"/>
  <c r="C136" i="10"/>
  <c r="B136" i="10"/>
  <c r="A136" i="10"/>
  <c r="C135" i="10"/>
  <c r="B135" i="10"/>
  <c r="A135" i="10"/>
  <c r="C134" i="10"/>
  <c r="B134" i="10"/>
  <c r="A134" i="10"/>
  <c r="C133" i="10"/>
  <c r="B133" i="10"/>
  <c r="A133" i="10"/>
  <c r="C132" i="10"/>
  <c r="B132" i="10"/>
  <c r="A132" i="10"/>
  <c r="C131" i="10"/>
  <c r="B131" i="10"/>
  <c r="A131" i="10"/>
  <c r="C130" i="10"/>
  <c r="B130" i="10"/>
  <c r="A130" i="10"/>
  <c r="C129" i="10"/>
  <c r="B129" i="10"/>
  <c r="A129" i="10"/>
  <c r="C128" i="10"/>
  <c r="B128" i="10"/>
  <c r="A128" i="10"/>
  <c r="C127" i="10"/>
  <c r="B127" i="10"/>
  <c r="A127" i="10"/>
  <c r="C126" i="10"/>
  <c r="B126" i="10"/>
  <c r="A126" i="10"/>
  <c r="C125" i="10"/>
  <c r="B125" i="10"/>
  <c r="A125" i="10"/>
  <c r="C124" i="10"/>
  <c r="B124" i="10"/>
  <c r="A124" i="10"/>
  <c r="C123" i="10"/>
  <c r="B123" i="10"/>
  <c r="A123" i="10"/>
  <c r="C122" i="10"/>
  <c r="B122" i="10"/>
  <c r="A122" i="10"/>
  <c r="C121" i="10"/>
  <c r="B121" i="10"/>
  <c r="A121" i="10"/>
  <c r="C120" i="10"/>
  <c r="B120" i="10"/>
  <c r="A120" i="10"/>
  <c r="C119" i="10"/>
  <c r="B119" i="10"/>
  <c r="A119" i="10"/>
  <c r="C118" i="10"/>
  <c r="B118" i="10"/>
  <c r="A118" i="10"/>
  <c r="C117" i="10"/>
  <c r="B117" i="10"/>
  <c r="A117" i="10"/>
  <c r="C116" i="10"/>
  <c r="B116" i="10"/>
  <c r="A116" i="10"/>
  <c r="C115" i="10"/>
  <c r="B115" i="10"/>
  <c r="A115" i="10"/>
  <c r="C114" i="10"/>
  <c r="B114" i="10"/>
  <c r="A114" i="10"/>
  <c r="C113" i="10"/>
  <c r="B113" i="10"/>
  <c r="A113" i="10"/>
  <c r="C112" i="10"/>
  <c r="B112" i="10"/>
  <c r="A112" i="10"/>
  <c r="C111" i="10"/>
  <c r="B111" i="10"/>
  <c r="A111" i="10"/>
  <c r="C110" i="10"/>
  <c r="B110" i="10"/>
  <c r="A110" i="10"/>
  <c r="C109" i="10"/>
  <c r="B109" i="10"/>
  <c r="A109" i="10"/>
  <c r="C108" i="10"/>
  <c r="B108" i="10"/>
  <c r="A108" i="10"/>
  <c r="C107" i="10"/>
  <c r="B107" i="10"/>
  <c r="A107" i="10"/>
  <c r="C106" i="10"/>
  <c r="B106" i="10"/>
  <c r="A106" i="10"/>
  <c r="C105" i="10"/>
  <c r="B105" i="10"/>
  <c r="A105" i="10"/>
  <c r="C104" i="10"/>
  <c r="B104" i="10"/>
  <c r="A104" i="10"/>
  <c r="C103" i="10"/>
  <c r="B103" i="10"/>
  <c r="A103" i="10"/>
  <c r="C102" i="10"/>
  <c r="B102" i="10"/>
  <c r="A102" i="10"/>
  <c r="C101" i="10"/>
  <c r="B101" i="10"/>
  <c r="A101" i="10"/>
  <c r="C100" i="10"/>
  <c r="B100" i="10"/>
  <c r="A100" i="10"/>
  <c r="C99" i="10"/>
  <c r="B99" i="10"/>
  <c r="A99" i="10"/>
  <c r="C98" i="10"/>
  <c r="B98" i="10"/>
  <c r="A98" i="10"/>
  <c r="C97" i="10"/>
  <c r="B97" i="10"/>
  <c r="A97" i="10"/>
  <c r="C96" i="10"/>
  <c r="B96" i="10"/>
  <c r="A96" i="10"/>
  <c r="C95" i="10"/>
  <c r="B95" i="10"/>
  <c r="A95" i="10"/>
  <c r="C94" i="10"/>
  <c r="B94" i="10"/>
  <c r="A94" i="10"/>
  <c r="C93" i="10"/>
  <c r="B93" i="10"/>
  <c r="A93" i="10"/>
  <c r="C92" i="10"/>
  <c r="B92" i="10"/>
  <c r="A92" i="10"/>
  <c r="C91" i="10"/>
  <c r="B91" i="10"/>
  <c r="A91" i="10"/>
  <c r="C90" i="10"/>
  <c r="B90" i="10"/>
  <c r="A90" i="10"/>
  <c r="C89" i="10"/>
  <c r="B89" i="10"/>
  <c r="A89" i="10"/>
  <c r="C88" i="10"/>
  <c r="B88" i="10"/>
  <c r="A88" i="10"/>
  <c r="C87" i="10"/>
  <c r="B87" i="10"/>
  <c r="A87" i="10"/>
  <c r="C86" i="10"/>
  <c r="B86" i="10"/>
  <c r="A86" i="10"/>
  <c r="C85" i="10"/>
  <c r="B85" i="10"/>
  <c r="A85" i="10"/>
  <c r="C84" i="10"/>
  <c r="B84" i="10"/>
  <c r="A84" i="10"/>
  <c r="C83" i="10"/>
  <c r="B83" i="10"/>
  <c r="A83" i="10"/>
  <c r="C82" i="10"/>
  <c r="B82" i="10"/>
  <c r="A82" i="10"/>
  <c r="C81" i="10"/>
  <c r="B81" i="10"/>
  <c r="A81" i="10"/>
  <c r="C80" i="10"/>
  <c r="B80" i="10"/>
  <c r="A80" i="10"/>
  <c r="C79" i="10"/>
  <c r="B79" i="10"/>
  <c r="A79" i="10"/>
  <c r="C78" i="10"/>
  <c r="B78" i="10"/>
  <c r="A78" i="10"/>
  <c r="C77" i="10"/>
  <c r="B77" i="10"/>
  <c r="A77" i="10"/>
  <c r="C76" i="10"/>
  <c r="B76" i="10"/>
  <c r="A76" i="10"/>
  <c r="C75" i="10"/>
  <c r="B75" i="10"/>
  <c r="A75" i="10"/>
  <c r="C74" i="10"/>
  <c r="B74" i="10"/>
  <c r="A74" i="10"/>
  <c r="C73" i="10"/>
  <c r="B73" i="10"/>
  <c r="A73" i="10"/>
  <c r="C72" i="10"/>
  <c r="B72" i="10"/>
  <c r="A72" i="10"/>
  <c r="C71" i="10"/>
  <c r="B71" i="10"/>
  <c r="A71" i="10"/>
  <c r="C70" i="10"/>
  <c r="B70" i="10"/>
  <c r="A70" i="10"/>
  <c r="C69" i="10"/>
  <c r="B69" i="10"/>
  <c r="A69" i="10"/>
  <c r="C68" i="10"/>
  <c r="B68" i="10"/>
  <c r="A68" i="10"/>
  <c r="C67" i="10"/>
  <c r="B67" i="10"/>
  <c r="A67" i="10"/>
  <c r="C66" i="10"/>
  <c r="B66" i="10"/>
  <c r="A66" i="10"/>
  <c r="C65" i="10"/>
  <c r="B65" i="10"/>
  <c r="A65" i="10"/>
  <c r="C64" i="10"/>
  <c r="B64" i="10"/>
  <c r="A64" i="10"/>
  <c r="C63" i="10"/>
  <c r="B63" i="10"/>
  <c r="A63" i="10"/>
  <c r="C62" i="10"/>
  <c r="B62" i="10"/>
  <c r="A62" i="10"/>
  <c r="C61" i="10"/>
  <c r="B61" i="10"/>
  <c r="A61" i="10"/>
  <c r="C60" i="10"/>
  <c r="B60" i="10"/>
  <c r="A60" i="10"/>
  <c r="C59" i="10"/>
  <c r="B59" i="10"/>
  <c r="A59" i="10"/>
  <c r="C58" i="10"/>
  <c r="B58" i="10"/>
  <c r="A58" i="10"/>
  <c r="C57" i="10"/>
  <c r="B57" i="10"/>
  <c r="A57" i="10"/>
  <c r="C56" i="10"/>
  <c r="B56" i="10"/>
  <c r="A56" i="10"/>
  <c r="C55" i="10"/>
  <c r="B55" i="10"/>
  <c r="A55" i="10"/>
  <c r="C54" i="10"/>
  <c r="B54" i="10"/>
  <c r="A54" i="10"/>
  <c r="C53" i="10"/>
  <c r="B53" i="10"/>
  <c r="A53" i="10"/>
  <c r="C52" i="10"/>
  <c r="B52" i="10"/>
  <c r="A52" i="10"/>
  <c r="C51" i="10"/>
  <c r="B51" i="10"/>
  <c r="A51" i="10"/>
  <c r="C50" i="10"/>
  <c r="B50" i="10"/>
  <c r="A50" i="10"/>
  <c r="C49" i="10"/>
  <c r="B49" i="10"/>
  <c r="A49" i="10"/>
  <c r="C48" i="10"/>
  <c r="B48" i="10"/>
  <c r="A48" i="10"/>
  <c r="C47" i="10"/>
  <c r="B47" i="10"/>
  <c r="A47" i="10"/>
  <c r="C46" i="10"/>
  <c r="B46" i="10"/>
  <c r="A46" i="10"/>
  <c r="C45" i="10"/>
  <c r="B45" i="10"/>
  <c r="A45" i="10"/>
  <c r="C44" i="10"/>
  <c r="B44" i="10"/>
  <c r="A44" i="10"/>
  <c r="C43" i="10"/>
  <c r="B43" i="10"/>
  <c r="A43" i="10"/>
  <c r="C42" i="10"/>
  <c r="B42" i="10"/>
  <c r="A42" i="10"/>
  <c r="C41" i="10"/>
  <c r="B41" i="10"/>
  <c r="A41" i="10"/>
  <c r="C40" i="10"/>
  <c r="B40" i="10"/>
  <c r="A40" i="10"/>
  <c r="C39" i="10"/>
  <c r="B39" i="10"/>
  <c r="A39" i="10"/>
  <c r="C38" i="10"/>
  <c r="B38" i="10"/>
  <c r="A38" i="10"/>
  <c r="C37" i="10"/>
  <c r="B37" i="10"/>
  <c r="A37" i="10"/>
  <c r="C36" i="10"/>
  <c r="B36" i="10"/>
  <c r="A36" i="10"/>
  <c r="C35" i="10"/>
  <c r="B35" i="10"/>
  <c r="A35" i="10"/>
  <c r="C34" i="10"/>
  <c r="B34" i="10"/>
  <c r="A34" i="10"/>
  <c r="C33" i="10"/>
  <c r="B33" i="10"/>
  <c r="A33" i="10"/>
  <c r="C32" i="10"/>
  <c r="B32" i="10"/>
  <c r="A32" i="10"/>
  <c r="C31" i="10"/>
  <c r="B31" i="10"/>
  <c r="A31" i="10"/>
  <c r="C30" i="10"/>
  <c r="B30" i="10"/>
  <c r="A30" i="10"/>
  <c r="C29" i="10"/>
  <c r="B29" i="10"/>
  <c r="A29" i="10"/>
  <c r="C28" i="10"/>
  <c r="B28" i="10"/>
  <c r="A28" i="10"/>
  <c r="C27" i="10"/>
  <c r="B27" i="10"/>
  <c r="A27" i="10"/>
  <c r="C26" i="10"/>
  <c r="B26" i="10"/>
  <c r="A26" i="10"/>
  <c r="C25" i="10"/>
  <c r="B25" i="10"/>
  <c r="A25" i="10"/>
  <c r="C24" i="10"/>
  <c r="B24" i="10"/>
  <c r="A24" i="10"/>
  <c r="C23" i="10"/>
  <c r="B23" i="10"/>
  <c r="A23" i="10"/>
  <c r="C22" i="10"/>
  <c r="B22" i="10"/>
  <c r="A22" i="10"/>
  <c r="C21" i="10"/>
  <c r="B21" i="10"/>
  <c r="A21" i="10"/>
  <c r="C20" i="10"/>
  <c r="B20" i="10"/>
  <c r="A20" i="10"/>
  <c r="C19" i="10"/>
  <c r="B19" i="10"/>
  <c r="A19" i="10"/>
  <c r="C18" i="10"/>
  <c r="B18" i="10"/>
  <c r="A18" i="10"/>
  <c r="C17" i="10"/>
  <c r="B17" i="10"/>
  <c r="A17" i="10"/>
  <c r="C16" i="10"/>
  <c r="B16" i="10"/>
  <c r="A16" i="10"/>
  <c r="C15" i="10"/>
  <c r="B15" i="10"/>
  <c r="A15" i="10"/>
  <c r="C14" i="10"/>
  <c r="B14" i="10"/>
  <c r="A14" i="10"/>
  <c r="C13" i="10"/>
  <c r="B13" i="10"/>
  <c r="A13" i="10"/>
  <c r="C12" i="10"/>
  <c r="B12" i="10"/>
  <c r="A12" i="10"/>
  <c r="C11" i="10"/>
  <c r="B11" i="10"/>
  <c r="A11" i="10"/>
  <c r="C10" i="10"/>
  <c r="B10" i="10"/>
  <c r="A10" i="10"/>
  <c r="C9" i="10"/>
  <c r="B9" i="10"/>
  <c r="A9" i="10"/>
  <c r="C8" i="10"/>
  <c r="B8" i="10"/>
  <c r="A8" i="10"/>
  <c r="C7" i="10"/>
  <c r="B7" i="10"/>
  <c r="A7" i="10"/>
  <c r="C6" i="10"/>
  <c r="B6" i="10"/>
  <c r="A6" i="10"/>
  <c r="C5" i="10"/>
  <c r="B5" i="10"/>
  <c r="A5" i="10"/>
  <c r="C4" i="10"/>
  <c r="B4" i="10"/>
  <c r="A4" i="10"/>
  <c r="C3" i="10"/>
  <c r="B3" i="10"/>
  <c r="A3" i="10"/>
  <c r="C2" i="10"/>
  <c r="B2" i="10"/>
  <c r="A2" i="10"/>
  <c r="E258" i="12"/>
  <c r="D258" i="12"/>
  <c r="C258" i="12"/>
  <c r="B258" i="12"/>
  <c r="A258" i="12"/>
  <c r="E257" i="12"/>
  <c r="D257" i="12"/>
  <c r="C257" i="12"/>
  <c r="B257" i="12"/>
  <c r="A257" i="12"/>
  <c r="E256" i="12"/>
  <c r="D256" i="12"/>
  <c r="C256" i="12"/>
  <c r="B256" i="12"/>
  <c r="A256" i="12"/>
  <c r="E255" i="12"/>
  <c r="D255" i="12"/>
  <c r="C255" i="12"/>
  <c r="B255" i="12"/>
  <c r="A255" i="12"/>
  <c r="E254" i="12"/>
  <c r="D254" i="12"/>
  <c r="C254" i="12"/>
  <c r="B254" i="12"/>
  <c r="A254" i="12"/>
  <c r="E253" i="12"/>
  <c r="D253" i="12"/>
  <c r="C253" i="12"/>
  <c r="B253" i="12"/>
  <c r="A253" i="12"/>
  <c r="E252" i="12"/>
  <c r="D252" i="12"/>
  <c r="C252" i="12"/>
  <c r="B252" i="12"/>
  <c r="A252" i="12"/>
  <c r="E251" i="12"/>
  <c r="D251" i="12"/>
  <c r="C251" i="12"/>
  <c r="B251" i="12"/>
  <c r="A251" i="12"/>
  <c r="E250" i="12"/>
  <c r="D250" i="12"/>
  <c r="C250" i="12"/>
  <c r="B250" i="12"/>
  <c r="A250" i="12"/>
  <c r="E249" i="12"/>
  <c r="D249" i="12"/>
  <c r="C249" i="12"/>
  <c r="B249" i="12"/>
  <c r="A249" i="12"/>
  <c r="E248" i="12"/>
  <c r="D248" i="12"/>
  <c r="C248" i="12"/>
  <c r="B248" i="12"/>
  <c r="A248" i="12"/>
  <c r="E247" i="12"/>
  <c r="D247" i="12"/>
  <c r="C247" i="12"/>
  <c r="B247" i="12"/>
  <c r="A247" i="12"/>
  <c r="E246" i="12"/>
  <c r="D246" i="12"/>
  <c r="C246" i="12"/>
  <c r="B246" i="12"/>
  <c r="A246" i="12"/>
  <c r="E245" i="12"/>
  <c r="D245" i="12"/>
  <c r="C245" i="12"/>
  <c r="B245" i="12"/>
  <c r="A245" i="12"/>
  <c r="E244" i="12"/>
  <c r="D244" i="12"/>
  <c r="C244" i="12"/>
  <c r="B244" i="12"/>
  <c r="A244" i="12"/>
  <c r="E243" i="12"/>
  <c r="D243" i="12"/>
  <c r="C243" i="12"/>
  <c r="B243" i="12"/>
  <c r="A243" i="12"/>
  <c r="E242" i="12"/>
  <c r="D242" i="12"/>
  <c r="C242" i="12"/>
  <c r="B242" i="12"/>
  <c r="A242" i="12"/>
  <c r="E241" i="12"/>
  <c r="D241" i="12"/>
  <c r="C241" i="12"/>
  <c r="B241" i="12"/>
  <c r="A241" i="12"/>
  <c r="E240" i="12"/>
  <c r="D240" i="12"/>
  <c r="C240" i="12"/>
  <c r="B240" i="12"/>
  <c r="A240" i="12"/>
  <c r="E239" i="12"/>
  <c r="D239" i="12"/>
  <c r="C239" i="12"/>
  <c r="B239" i="12"/>
  <c r="A239" i="12"/>
  <c r="E238" i="12"/>
  <c r="D238" i="12"/>
  <c r="C238" i="12"/>
  <c r="B238" i="12"/>
  <c r="A238" i="12"/>
  <c r="E237" i="12"/>
  <c r="D237" i="12"/>
  <c r="C237" i="12"/>
  <c r="B237" i="12"/>
  <c r="A237" i="12"/>
  <c r="E236" i="12"/>
  <c r="D236" i="12"/>
  <c r="C236" i="12"/>
  <c r="B236" i="12"/>
  <c r="A236" i="12"/>
  <c r="E235" i="12"/>
  <c r="D235" i="12"/>
  <c r="C235" i="12"/>
  <c r="B235" i="12"/>
  <c r="A235" i="12"/>
  <c r="E234" i="12"/>
  <c r="D234" i="12"/>
  <c r="C234" i="12"/>
  <c r="B234" i="12"/>
  <c r="A234" i="12"/>
  <c r="E233" i="12"/>
  <c r="D233" i="12"/>
  <c r="C233" i="12"/>
  <c r="B233" i="12"/>
  <c r="A233" i="12"/>
  <c r="E232" i="12"/>
  <c r="D232" i="12"/>
  <c r="C232" i="12"/>
  <c r="B232" i="12"/>
  <c r="A232" i="12"/>
  <c r="E231" i="12"/>
  <c r="D231" i="12"/>
  <c r="C231" i="12"/>
  <c r="B231" i="12"/>
  <c r="A231" i="12"/>
  <c r="E230" i="12"/>
  <c r="D230" i="12"/>
  <c r="C230" i="12"/>
  <c r="B230" i="12"/>
  <c r="A230" i="12"/>
  <c r="E229" i="12"/>
  <c r="D229" i="12"/>
  <c r="C229" i="12"/>
  <c r="B229" i="12"/>
  <c r="A229" i="12"/>
  <c r="E228" i="12"/>
  <c r="D228" i="12"/>
  <c r="C228" i="12"/>
  <c r="B228" i="12"/>
  <c r="A228" i="12"/>
  <c r="E227" i="12"/>
  <c r="D227" i="12"/>
  <c r="C227" i="12"/>
  <c r="B227" i="12"/>
  <c r="A227" i="12"/>
  <c r="E226" i="12"/>
  <c r="D226" i="12"/>
  <c r="C226" i="12"/>
  <c r="B226" i="12"/>
  <c r="A226" i="12"/>
  <c r="E225" i="12"/>
  <c r="D225" i="12"/>
  <c r="C225" i="12"/>
  <c r="B225" i="12"/>
  <c r="A225" i="12"/>
  <c r="E224" i="12"/>
  <c r="D224" i="12"/>
  <c r="C224" i="12"/>
  <c r="B224" i="12"/>
  <c r="A224" i="12"/>
  <c r="E223" i="12"/>
  <c r="D223" i="12"/>
  <c r="C223" i="12"/>
  <c r="B223" i="12"/>
  <c r="A223" i="12"/>
  <c r="E222" i="12"/>
  <c r="D222" i="12"/>
  <c r="C222" i="12"/>
  <c r="B222" i="12"/>
  <c r="A222" i="12"/>
  <c r="E221" i="12"/>
  <c r="D221" i="12"/>
  <c r="C221" i="12"/>
  <c r="B221" i="12"/>
  <c r="A221" i="12"/>
  <c r="E220" i="12"/>
  <c r="D220" i="12"/>
  <c r="C220" i="12"/>
  <c r="B220" i="12"/>
  <c r="A220" i="12"/>
  <c r="E219" i="12"/>
  <c r="D219" i="12"/>
  <c r="C219" i="12"/>
  <c r="B219" i="12"/>
  <c r="A219" i="12"/>
  <c r="E218" i="12"/>
  <c r="D218" i="12"/>
  <c r="C218" i="12"/>
  <c r="B218" i="12"/>
  <c r="A218" i="12"/>
  <c r="E217" i="12"/>
  <c r="D217" i="12"/>
  <c r="C217" i="12"/>
  <c r="B217" i="12"/>
  <c r="A217" i="12"/>
  <c r="E216" i="12"/>
  <c r="D216" i="12"/>
  <c r="C216" i="12"/>
  <c r="B216" i="12"/>
  <c r="A216" i="12"/>
  <c r="E215" i="12"/>
  <c r="D215" i="12"/>
  <c r="C215" i="12"/>
  <c r="B215" i="12"/>
  <c r="A215" i="12"/>
  <c r="E214" i="12"/>
  <c r="D214" i="12"/>
  <c r="C214" i="12"/>
  <c r="B214" i="12"/>
  <c r="A214" i="12"/>
  <c r="E213" i="12"/>
  <c r="D213" i="12"/>
  <c r="C213" i="12"/>
  <c r="B213" i="12"/>
  <c r="A213" i="12"/>
  <c r="E212" i="12"/>
  <c r="D212" i="12"/>
  <c r="C212" i="12"/>
  <c r="B212" i="12"/>
  <c r="A212" i="12"/>
  <c r="E211" i="12"/>
  <c r="D211" i="12"/>
  <c r="C211" i="12"/>
  <c r="B211" i="12"/>
  <c r="A211" i="12"/>
  <c r="E210" i="12"/>
  <c r="D210" i="12"/>
  <c r="C210" i="12"/>
  <c r="B210" i="12"/>
  <c r="A210" i="12"/>
  <c r="E209" i="12"/>
  <c r="D209" i="12"/>
  <c r="C209" i="12"/>
  <c r="B209" i="12"/>
  <c r="A209" i="12"/>
  <c r="E208" i="12"/>
  <c r="D208" i="12"/>
  <c r="C208" i="12"/>
  <c r="B208" i="12"/>
  <c r="A208" i="12"/>
  <c r="E207" i="12"/>
  <c r="D207" i="12"/>
  <c r="C207" i="12"/>
  <c r="B207" i="12"/>
  <c r="A207" i="12"/>
  <c r="E206" i="12"/>
  <c r="D206" i="12"/>
  <c r="C206" i="12"/>
  <c r="B206" i="12"/>
  <c r="A206" i="12"/>
  <c r="E205" i="12"/>
  <c r="D205" i="12"/>
  <c r="C205" i="12"/>
  <c r="B205" i="12"/>
  <c r="A205" i="12"/>
  <c r="E204" i="12"/>
  <c r="D204" i="12"/>
  <c r="C204" i="12"/>
  <c r="B204" i="12"/>
  <c r="A204" i="12"/>
  <c r="E203" i="12"/>
  <c r="D203" i="12"/>
  <c r="C203" i="12"/>
  <c r="B203" i="12"/>
  <c r="A203" i="12"/>
  <c r="E202" i="12"/>
  <c r="D202" i="12"/>
  <c r="C202" i="12"/>
  <c r="B202" i="12"/>
  <c r="A202" i="12"/>
  <c r="E201" i="12"/>
  <c r="D201" i="12"/>
  <c r="C201" i="12"/>
  <c r="B201" i="12"/>
  <c r="A201" i="12"/>
  <c r="E200" i="12"/>
  <c r="D200" i="12"/>
  <c r="C200" i="12"/>
  <c r="B200" i="12"/>
  <c r="A200" i="12"/>
  <c r="E199" i="12"/>
  <c r="D199" i="12"/>
  <c r="C199" i="12"/>
  <c r="B199" i="12"/>
  <c r="A199" i="12"/>
  <c r="E198" i="12"/>
  <c r="D198" i="12"/>
  <c r="C198" i="12"/>
  <c r="B198" i="12"/>
  <c r="A198" i="12"/>
  <c r="E197" i="12"/>
  <c r="D197" i="12"/>
  <c r="C197" i="12"/>
  <c r="B197" i="12"/>
  <c r="A197" i="12"/>
  <c r="E196" i="12"/>
  <c r="D196" i="12"/>
  <c r="C196" i="12"/>
  <c r="B196" i="12"/>
  <c r="A196" i="12"/>
  <c r="E195" i="12"/>
  <c r="D195" i="12"/>
  <c r="C195" i="12"/>
  <c r="B195" i="12"/>
  <c r="A195" i="12"/>
  <c r="E194" i="12"/>
  <c r="D194" i="12"/>
  <c r="C194" i="12"/>
  <c r="B194" i="12"/>
  <c r="A194" i="12"/>
  <c r="E193" i="12"/>
  <c r="D193" i="12"/>
  <c r="C193" i="12"/>
  <c r="B193" i="12"/>
  <c r="A193" i="12"/>
  <c r="E192" i="12"/>
  <c r="D192" i="12"/>
  <c r="C192" i="12"/>
  <c r="B192" i="12"/>
  <c r="A192" i="12"/>
  <c r="E191" i="12"/>
  <c r="D191" i="12"/>
  <c r="C191" i="12"/>
  <c r="B191" i="12"/>
  <c r="A191" i="12"/>
  <c r="E190" i="12"/>
  <c r="D190" i="12"/>
  <c r="C190" i="12"/>
  <c r="B190" i="12"/>
  <c r="A190" i="12"/>
  <c r="E189" i="12"/>
  <c r="D189" i="12"/>
  <c r="C189" i="12"/>
  <c r="B189" i="12"/>
  <c r="A189" i="12"/>
  <c r="E188" i="12"/>
  <c r="D188" i="12"/>
  <c r="C188" i="12"/>
  <c r="B188" i="12"/>
  <c r="A188" i="12"/>
  <c r="E187" i="12"/>
  <c r="D187" i="12"/>
  <c r="C187" i="12"/>
  <c r="B187" i="12"/>
  <c r="A187" i="12"/>
  <c r="E186" i="12"/>
  <c r="D186" i="12"/>
  <c r="C186" i="12"/>
  <c r="B186" i="12"/>
  <c r="A186" i="12"/>
  <c r="E185" i="12"/>
  <c r="D185" i="12"/>
  <c r="C185" i="12"/>
  <c r="B185" i="12"/>
  <c r="A185" i="12"/>
  <c r="E184" i="12"/>
  <c r="D184" i="12"/>
  <c r="C184" i="12"/>
  <c r="B184" i="12"/>
  <c r="A184" i="12"/>
  <c r="E183" i="12"/>
  <c r="D183" i="12"/>
  <c r="C183" i="12"/>
  <c r="B183" i="12"/>
  <c r="A183" i="12"/>
  <c r="E182" i="12"/>
  <c r="D182" i="12"/>
  <c r="C182" i="12"/>
  <c r="B182" i="12"/>
  <c r="A182" i="12"/>
  <c r="E181" i="12"/>
  <c r="D181" i="12"/>
  <c r="C181" i="12"/>
  <c r="B181" i="12"/>
  <c r="A181" i="12"/>
  <c r="E180" i="12"/>
  <c r="D180" i="12"/>
  <c r="C180" i="12"/>
  <c r="B180" i="12"/>
  <c r="A180" i="12"/>
  <c r="E179" i="12"/>
  <c r="D179" i="12"/>
  <c r="C179" i="12"/>
  <c r="B179" i="12"/>
  <c r="A179" i="12"/>
  <c r="E178" i="12"/>
  <c r="D178" i="12"/>
  <c r="C178" i="12"/>
  <c r="B178" i="12"/>
  <c r="A178" i="12"/>
  <c r="E177" i="12"/>
  <c r="D177" i="12"/>
  <c r="C177" i="12"/>
  <c r="B177" i="12"/>
  <c r="A177" i="12"/>
  <c r="E176" i="12"/>
  <c r="D176" i="12"/>
  <c r="C176" i="12"/>
  <c r="B176" i="12"/>
  <c r="A176" i="12"/>
  <c r="E175" i="12"/>
  <c r="D175" i="12"/>
  <c r="C175" i="12"/>
  <c r="B175" i="12"/>
  <c r="A175" i="12"/>
  <c r="E174" i="12"/>
  <c r="D174" i="12"/>
  <c r="C174" i="12"/>
  <c r="B174" i="12"/>
  <c r="A174" i="12"/>
  <c r="E173" i="12"/>
  <c r="D173" i="12"/>
  <c r="C173" i="12"/>
  <c r="B173" i="12"/>
  <c r="A173" i="12"/>
  <c r="E172" i="12"/>
  <c r="D172" i="12"/>
  <c r="C172" i="12"/>
  <c r="B172" i="12"/>
  <c r="A172" i="12"/>
  <c r="E171" i="12"/>
  <c r="D171" i="12"/>
  <c r="C171" i="12"/>
  <c r="B171" i="12"/>
  <c r="A171" i="12"/>
  <c r="E170" i="12"/>
  <c r="D170" i="12"/>
  <c r="C170" i="12"/>
  <c r="B170" i="12"/>
  <c r="A170" i="12"/>
  <c r="E169" i="12"/>
  <c r="D169" i="12"/>
  <c r="C169" i="12"/>
  <c r="B169" i="12"/>
  <c r="A169" i="12"/>
  <c r="E168" i="12"/>
  <c r="D168" i="12"/>
  <c r="C168" i="12"/>
  <c r="B168" i="12"/>
  <c r="A168" i="12"/>
  <c r="E167" i="12"/>
  <c r="D167" i="12"/>
  <c r="C167" i="12"/>
  <c r="B167" i="12"/>
  <c r="A167" i="12"/>
  <c r="E166" i="12"/>
  <c r="D166" i="12"/>
  <c r="C166" i="12"/>
  <c r="B166" i="12"/>
  <c r="A166" i="12"/>
  <c r="E165" i="12"/>
  <c r="D165" i="12"/>
  <c r="C165" i="12"/>
  <c r="B165" i="12"/>
  <c r="A165" i="12"/>
  <c r="E164" i="12"/>
  <c r="D164" i="12"/>
  <c r="C164" i="12"/>
  <c r="B164" i="12"/>
  <c r="A164" i="12"/>
  <c r="E163" i="12"/>
  <c r="D163" i="12"/>
  <c r="C163" i="12"/>
  <c r="B163" i="12"/>
  <c r="A163" i="12"/>
  <c r="E162" i="12"/>
  <c r="D162" i="12"/>
  <c r="C162" i="12"/>
  <c r="B162" i="12"/>
  <c r="A162" i="12"/>
  <c r="E161" i="12"/>
  <c r="D161" i="12"/>
  <c r="C161" i="12"/>
  <c r="B161" i="12"/>
  <c r="A161" i="12"/>
  <c r="E160" i="12"/>
  <c r="D160" i="12"/>
  <c r="C160" i="12"/>
  <c r="B160" i="12"/>
  <c r="A160" i="12"/>
  <c r="E159" i="12"/>
  <c r="D159" i="12"/>
  <c r="C159" i="12"/>
  <c r="B159" i="12"/>
  <c r="A159" i="12"/>
  <c r="E158" i="12"/>
  <c r="D158" i="12"/>
  <c r="C158" i="12"/>
  <c r="B158" i="12"/>
  <c r="A158" i="12"/>
  <c r="E157" i="12"/>
  <c r="D157" i="12"/>
  <c r="C157" i="12"/>
  <c r="B157" i="12"/>
  <c r="A157" i="12"/>
  <c r="E156" i="12"/>
  <c r="D156" i="12"/>
  <c r="C156" i="12"/>
  <c r="B156" i="12"/>
  <c r="A156" i="12"/>
  <c r="E155" i="12"/>
  <c r="D155" i="12"/>
  <c r="C155" i="12"/>
  <c r="B155" i="12"/>
  <c r="A155" i="12"/>
  <c r="E154" i="12"/>
  <c r="D154" i="12"/>
  <c r="C154" i="12"/>
  <c r="B154" i="12"/>
  <c r="A154" i="12"/>
  <c r="E153" i="12"/>
  <c r="D153" i="12"/>
  <c r="C153" i="12"/>
  <c r="B153" i="12"/>
  <c r="A153" i="12"/>
  <c r="E152" i="12"/>
  <c r="D152" i="12"/>
  <c r="C152" i="12"/>
  <c r="B152" i="12"/>
  <c r="A152" i="12"/>
  <c r="E151" i="12"/>
  <c r="D151" i="12"/>
  <c r="C151" i="12"/>
  <c r="B151" i="12"/>
  <c r="A151" i="12"/>
  <c r="E150" i="12"/>
  <c r="D150" i="12"/>
  <c r="C150" i="12"/>
  <c r="B150" i="12"/>
  <c r="A150" i="12"/>
  <c r="E149" i="12"/>
  <c r="D149" i="12"/>
  <c r="C149" i="12"/>
  <c r="B149" i="12"/>
  <c r="A149" i="12"/>
  <c r="E148" i="12"/>
  <c r="D148" i="12"/>
  <c r="C148" i="12"/>
  <c r="B148" i="12"/>
  <c r="A148" i="12"/>
  <c r="E147" i="12"/>
  <c r="D147" i="12"/>
  <c r="C147" i="12"/>
  <c r="B147" i="12"/>
  <c r="A147" i="12"/>
  <c r="E146" i="12"/>
  <c r="D146" i="12"/>
  <c r="C146" i="12"/>
  <c r="B146" i="12"/>
  <c r="A146" i="12"/>
  <c r="E145" i="12"/>
  <c r="D145" i="12"/>
  <c r="C145" i="12"/>
  <c r="B145" i="12"/>
  <c r="A145" i="12"/>
  <c r="E144" i="12"/>
  <c r="D144" i="12"/>
  <c r="C144" i="12"/>
  <c r="B144" i="12"/>
  <c r="A144" i="12"/>
  <c r="E143" i="12"/>
  <c r="D143" i="12"/>
  <c r="C143" i="12"/>
  <c r="B143" i="12"/>
  <c r="A143" i="12"/>
  <c r="E142" i="12"/>
  <c r="D142" i="12"/>
  <c r="C142" i="12"/>
  <c r="B142" i="12"/>
  <c r="A142" i="12"/>
  <c r="E141" i="12"/>
  <c r="D141" i="12"/>
  <c r="C141" i="12"/>
  <c r="B141" i="12"/>
  <c r="A141" i="12"/>
  <c r="E140" i="12"/>
  <c r="D140" i="12"/>
  <c r="C140" i="12"/>
  <c r="B140" i="12"/>
  <c r="A140" i="12"/>
  <c r="E139" i="12"/>
  <c r="D139" i="12"/>
  <c r="C139" i="12"/>
  <c r="B139" i="12"/>
  <c r="A139" i="12"/>
  <c r="E138" i="12"/>
  <c r="D138" i="12"/>
  <c r="C138" i="12"/>
  <c r="B138" i="12"/>
  <c r="A138" i="12"/>
  <c r="E137" i="12"/>
  <c r="D137" i="12"/>
  <c r="C137" i="12"/>
  <c r="B137" i="12"/>
  <c r="A137" i="12"/>
  <c r="E136" i="12"/>
  <c r="D136" i="12"/>
  <c r="C136" i="12"/>
  <c r="B136" i="12"/>
  <c r="A136" i="12"/>
  <c r="E135" i="12"/>
  <c r="D135" i="12"/>
  <c r="C135" i="12"/>
  <c r="B135" i="12"/>
  <c r="A135" i="12"/>
  <c r="E134" i="12"/>
  <c r="D134" i="12"/>
  <c r="C134" i="12"/>
  <c r="B134" i="12"/>
  <c r="A134" i="12"/>
  <c r="E133" i="12"/>
  <c r="D133" i="12"/>
  <c r="C133" i="12"/>
  <c r="B133" i="12"/>
  <c r="A133" i="12"/>
  <c r="E132" i="12"/>
  <c r="D132" i="12"/>
  <c r="C132" i="12"/>
  <c r="B132" i="12"/>
  <c r="A132" i="12"/>
  <c r="E131" i="12"/>
  <c r="D131" i="12"/>
  <c r="C131" i="12"/>
  <c r="B131" i="12"/>
  <c r="A131" i="12"/>
  <c r="E130" i="12"/>
  <c r="D130" i="12"/>
  <c r="C130" i="12"/>
  <c r="B130" i="12"/>
  <c r="A130" i="12"/>
  <c r="E129" i="12"/>
  <c r="D129" i="12"/>
  <c r="C129" i="12"/>
  <c r="B129" i="12"/>
  <c r="A129" i="12"/>
  <c r="E128" i="12"/>
  <c r="D128" i="12"/>
  <c r="C128" i="12"/>
  <c r="B128" i="12"/>
  <c r="A128" i="12"/>
  <c r="E127" i="12"/>
  <c r="D127" i="12"/>
  <c r="C127" i="12"/>
  <c r="B127" i="12"/>
  <c r="A127" i="12"/>
  <c r="E126" i="12"/>
  <c r="D126" i="12"/>
  <c r="C126" i="12"/>
  <c r="B126" i="12"/>
  <c r="A126" i="12"/>
  <c r="E125" i="12"/>
  <c r="D125" i="12"/>
  <c r="C125" i="12"/>
  <c r="B125" i="12"/>
  <c r="A125" i="12"/>
  <c r="E124" i="12"/>
  <c r="D124" i="12"/>
  <c r="C124" i="12"/>
  <c r="B124" i="12"/>
  <c r="A124" i="12"/>
  <c r="E123" i="12"/>
  <c r="D123" i="12"/>
  <c r="C123" i="12"/>
  <c r="B123" i="12"/>
  <c r="A123" i="12"/>
  <c r="E122" i="12"/>
  <c r="D122" i="12"/>
  <c r="C122" i="12"/>
  <c r="B122" i="12"/>
  <c r="A122" i="12"/>
  <c r="E121" i="12"/>
  <c r="D121" i="12"/>
  <c r="C121" i="12"/>
  <c r="B121" i="12"/>
  <c r="A121" i="12"/>
  <c r="E120" i="12"/>
  <c r="D120" i="12"/>
  <c r="C120" i="12"/>
  <c r="B120" i="12"/>
  <c r="A120" i="12"/>
  <c r="E119" i="12"/>
  <c r="D119" i="12"/>
  <c r="C119" i="12"/>
  <c r="B119" i="12"/>
  <c r="A119" i="12"/>
  <c r="E118" i="12"/>
  <c r="D118" i="12"/>
  <c r="C118" i="12"/>
  <c r="B118" i="12"/>
  <c r="A118" i="12"/>
  <c r="E117" i="12"/>
  <c r="D117" i="12"/>
  <c r="C117" i="12"/>
  <c r="B117" i="12"/>
  <c r="A117" i="12"/>
  <c r="E116" i="12"/>
  <c r="D116" i="12"/>
  <c r="C116" i="12"/>
  <c r="B116" i="12"/>
  <c r="A116" i="12"/>
  <c r="E115" i="12"/>
  <c r="D115" i="12"/>
  <c r="C115" i="12"/>
  <c r="B115" i="12"/>
  <c r="A115" i="12"/>
  <c r="E114" i="12"/>
  <c r="D114" i="12"/>
  <c r="C114" i="12"/>
  <c r="B114" i="12"/>
  <c r="A114" i="12"/>
  <c r="E113" i="12"/>
  <c r="D113" i="12"/>
  <c r="C113" i="12"/>
  <c r="B113" i="12"/>
  <c r="A113" i="12"/>
  <c r="E112" i="12"/>
  <c r="D112" i="12"/>
  <c r="C112" i="12"/>
  <c r="B112" i="12"/>
  <c r="A112" i="12"/>
  <c r="E111" i="12"/>
  <c r="D111" i="12"/>
  <c r="C111" i="12"/>
  <c r="B111" i="12"/>
  <c r="A111" i="12"/>
  <c r="E110" i="12"/>
  <c r="D110" i="12"/>
  <c r="C110" i="12"/>
  <c r="B110" i="12"/>
  <c r="A110" i="12"/>
  <c r="E109" i="12"/>
  <c r="D109" i="12"/>
  <c r="C109" i="12"/>
  <c r="B109" i="12"/>
  <c r="A109" i="12"/>
  <c r="E108" i="12"/>
  <c r="D108" i="12"/>
  <c r="C108" i="12"/>
  <c r="B108" i="12"/>
  <c r="A108" i="12"/>
  <c r="E107" i="12"/>
  <c r="D107" i="12"/>
  <c r="C107" i="12"/>
  <c r="B107" i="12"/>
  <c r="A107" i="12"/>
  <c r="E106" i="12"/>
  <c r="D106" i="12"/>
  <c r="C106" i="12"/>
  <c r="B106" i="12"/>
  <c r="A106" i="12"/>
  <c r="E105" i="12"/>
  <c r="D105" i="12"/>
  <c r="C105" i="12"/>
  <c r="B105" i="12"/>
  <c r="A105" i="12"/>
  <c r="E104" i="12"/>
  <c r="D104" i="12"/>
  <c r="C104" i="12"/>
  <c r="B104" i="12"/>
  <c r="A104" i="12"/>
  <c r="E103" i="12"/>
  <c r="D103" i="12"/>
  <c r="C103" i="12"/>
  <c r="B103" i="12"/>
  <c r="A103" i="12"/>
  <c r="E102" i="12"/>
  <c r="D102" i="12"/>
  <c r="C102" i="12"/>
  <c r="B102" i="12"/>
  <c r="A102" i="12"/>
  <c r="E101" i="12"/>
  <c r="D101" i="12"/>
  <c r="C101" i="12"/>
  <c r="B101" i="12"/>
  <c r="A101" i="12"/>
  <c r="E100" i="12"/>
  <c r="D100" i="12"/>
  <c r="C100" i="12"/>
  <c r="B100" i="12"/>
  <c r="A100" i="12"/>
  <c r="E99" i="12"/>
  <c r="D99" i="12"/>
  <c r="C99" i="12"/>
  <c r="B99" i="12"/>
  <c r="A99" i="12"/>
  <c r="E98" i="12"/>
  <c r="D98" i="12"/>
  <c r="C98" i="12"/>
  <c r="B98" i="12"/>
  <c r="A98" i="12"/>
  <c r="E97" i="12"/>
  <c r="D97" i="12"/>
  <c r="C97" i="12"/>
  <c r="B97" i="12"/>
  <c r="A97" i="12"/>
  <c r="E96" i="12"/>
  <c r="D96" i="12"/>
  <c r="C96" i="12"/>
  <c r="B96" i="12"/>
  <c r="A96" i="12"/>
  <c r="E95" i="12"/>
  <c r="D95" i="12"/>
  <c r="C95" i="12"/>
  <c r="B95" i="12"/>
  <c r="A95" i="12"/>
  <c r="E94" i="12"/>
  <c r="D94" i="12"/>
  <c r="C94" i="12"/>
  <c r="B94" i="12"/>
  <c r="A94" i="12"/>
  <c r="E93" i="12"/>
  <c r="D93" i="12"/>
  <c r="C93" i="12"/>
  <c r="B93" i="12"/>
  <c r="A93" i="12"/>
  <c r="E92" i="12"/>
  <c r="D92" i="12"/>
  <c r="C92" i="12"/>
  <c r="B92" i="12"/>
  <c r="A92" i="12"/>
  <c r="E91" i="12"/>
  <c r="D91" i="12"/>
  <c r="C91" i="12"/>
  <c r="B91" i="12"/>
  <c r="A91" i="12"/>
  <c r="E90" i="12"/>
  <c r="D90" i="12"/>
  <c r="C90" i="12"/>
  <c r="B90" i="12"/>
  <c r="A90" i="12"/>
  <c r="E89" i="12"/>
  <c r="D89" i="12"/>
  <c r="C89" i="12"/>
  <c r="B89" i="12"/>
  <c r="A89" i="12"/>
  <c r="E88" i="12"/>
  <c r="D88" i="12"/>
  <c r="C88" i="12"/>
  <c r="B88" i="12"/>
  <c r="A88" i="12"/>
  <c r="E87" i="12"/>
  <c r="D87" i="12"/>
  <c r="C87" i="12"/>
  <c r="B87" i="12"/>
  <c r="A87" i="12"/>
  <c r="E86" i="12"/>
  <c r="D86" i="12"/>
  <c r="C86" i="12"/>
  <c r="B86" i="12"/>
  <c r="A86" i="12"/>
  <c r="E85" i="12"/>
  <c r="D85" i="12"/>
  <c r="C85" i="12"/>
  <c r="B85" i="12"/>
  <c r="A85" i="12"/>
  <c r="E84" i="12"/>
  <c r="D84" i="12"/>
  <c r="C84" i="12"/>
  <c r="B84" i="12"/>
  <c r="A84" i="12"/>
  <c r="E83" i="12"/>
  <c r="D83" i="12"/>
  <c r="C83" i="12"/>
  <c r="B83" i="12"/>
  <c r="A83" i="12"/>
  <c r="E82" i="12"/>
  <c r="D82" i="12"/>
  <c r="C82" i="12"/>
  <c r="B82" i="12"/>
  <c r="A82" i="12"/>
  <c r="E81" i="12"/>
  <c r="D81" i="12"/>
  <c r="C81" i="12"/>
  <c r="B81" i="12"/>
  <c r="A81" i="12"/>
  <c r="E80" i="12"/>
  <c r="D80" i="12"/>
  <c r="C80" i="12"/>
  <c r="B80" i="12"/>
  <c r="A80" i="12"/>
  <c r="E79" i="12"/>
  <c r="D79" i="12"/>
  <c r="C79" i="12"/>
  <c r="B79" i="12"/>
  <c r="A79" i="12"/>
  <c r="E78" i="12"/>
  <c r="D78" i="12"/>
  <c r="C78" i="12"/>
  <c r="B78" i="12"/>
  <c r="A78" i="12"/>
  <c r="E77" i="12"/>
  <c r="D77" i="12"/>
  <c r="C77" i="12"/>
  <c r="B77" i="12"/>
  <c r="A77" i="12"/>
  <c r="E76" i="12"/>
  <c r="D76" i="12"/>
  <c r="C76" i="12"/>
  <c r="B76" i="12"/>
  <c r="A76" i="12"/>
  <c r="E75" i="12"/>
  <c r="D75" i="12"/>
  <c r="C75" i="12"/>
  <c r="B75" i="12"/>
  <c r="A75" i="12"/>
  <c r="E74" i="12"/>
  <c r="D74" i="12"/>
  <c r="C74" i="12"/>
  <c r="B74" i="12"/>
  <c r="A74" i="12"/>
  <c r="E73" i="12"/>
  <c r="D73" i="12"/>
  <c r="C73" i="12"/>
  <c r="B73" i="12"/>
  <c r="A73" i="12"/>
  <c r="E72" i="12"/>
  <c r="D72" i="12"/>
  <c r="C72" i="12"/>
  <c r="B72" i="12"/>
  <c r="A72" i="12"/>
  <c r="E71" i="12"/>
  <c r="D71" i="12"/>
  <c r="C71" i="12"/>
  <c r="B71" i="12"/>
  <c r="A71" i="12"/>
  <c r="E70" i="12"/>
  <c r="D70" i="12"/>
  <c r="C70" i="12"/>
  <c r="B70" i="12"/>
  <c r="A70" i="12"/>
  <c r="E69" i="12"/>
  <c r="D69" i="12"/>
  <c r="C69" i="12"/>
  <c r="B69" i="12"/>
  <c r="A69" i="12"/>
  <c r="E68" i="12"/>
  <c r="D68" i="12"/>
  <c r="C68" i="12"/>
  <c r="B68" i="12"/>
  <c r="A68" i="12"/>
  <c r="E67" i="12"/>
  <c r="D67" i="12"/>
  <c r="C67" i="12"/>
  <c r="B67" i="12"/>
  <c r="A67" i="12"/>
  <c r="E66" i="12"/>
  <c r="D66" i="12"/>
  <c r="C66" i="12"/>
  <c r="B66" i="12"/>
  <c r="A66" i="12"/>
  <c r="E65" i="12"/>
  <c r="D65" i="12"/>
  <c r="C65" i="12"/>
  <c r="B65" i="12"/>
  <c r="A65" i="12"/>
  <c r="E64" i="12"/>
  <c r="D64" i="12"/>
  <c r="C64" i="12"/>
  <c r="B64" i="12"/>
  <c r="A64" i="12"/>
  <c r="E63" i="12"/>
  <c r="D63" i="12"/>
  <c r="C63" i="12"/>
  <c r="B63" i="12"/>
  <c r="A63" i="12"/>
  <c r="E62" i="12"/>
  <c r="D62" i="12"/>
  <c r="C62" i="12"/>
  <c r="B62" i="12"/>
  <c r="A62" i="12"/>
  <c r="E61" i="12"/>
  <c r="D61" i="12"/>
  <c r="C61" i="12"/>
  <c r="B61" i="12"/>
  <c r="A61" i="12"/>
  <c r="E60" i="12"/>
  <c r="D60" i="12"/>
  <c r="C60" i="12"/>
  <c r="B60" i="12"/>
  <c r="A60" i="12"/>
  <c r="E59" i="12"/>
  <c r="D59" i="12"/>
  <c r="C59" i="12"/>
  <c r="B59" i="12"/>
  <c r="A59" i="12"/>
  <c r="E58" i="12"/>
  <c r="D58" i="12"/>
  <c r="C58" i="12"/>
  <c r="B58" i="12"/>
  <c r="A58" i="12"/>
  <c r="E57" i="12"/>
  <c r="D57" i="12"/>
  <c r="C57" i="12"/>
  <c r="B57" i="12"/>
  <c r="A57" i="12"/>
  <c r="E56" i="12"/>
  <c r="D56" i="12"/>
  <c r="C56" i="12"/>
  <c r="B56" i="12"/>
  <c r="A56" i="12"/>
  <c r="E55" i="12"/>
  <c r="D55" i="12"/>
  <c r="C55" i="12"/>
  <c r="B55" i="12"/>
  <c r="A55" i="12"/>
  <c r="E54" i="12"/>
  <c r="D54" i="12"/>
  <c r="C54" i="12"/>
  <c r="B54" i="12"/>
  <c r="A54" i="12"/>
  <c r="E53" i="12"/>
  <c r="D53" i="12"/>
  <c r="C53" i="12"/>
  <c r="B53" i="12"/>
  <c r="A53" i="12"/>
  <c r="E52" i="12"/>
  <c r="D52" i="12"/>
  <c r="C52" i="12"/>
  <c r="B52" i="12"/>
  <c r="A52" i="12"/>
  <c r="E51" i="12"/>
  <c r="D51" i="12"/>
  <c r="C51" i="12"/>
  <c r="B51" i="12"/>
  <c r="A51" i="12"/>
  <c r="E50" i="12"/>
  <c r="D50" i="12"/>
  <c r="C50" i="12"/>
  <c r="B50" i="12"/>
  <c r="A50" i="12"/>
  <c r="E49" i="12"/>
  <c r="D49" i="12"/>
  <c r="C49" i="12"/>
  <c r="B49" i="12"/>
  <c r="A49" i="12"/>
  <c r="E48" i="12"/>
  <c r="D48" i="12"/>
  <c r="C48" i="12"/>
  <c r="B48" i="12"/>
  <c r="A48" i="12"/>
  <c r="E47" i="12"/>
  <c r="D47" i="12"/>
  <c r="C47" i="12"/>
  <c r="B47" i="12"/>
  <c r="A47" i="12"/>
  <c r="E46" i="12"/>
  <c r="D46" i="12"/>
  <c r="C46" i="12"/>
  <c r="B46" i="12"/>
  <c r="A46" i="12"/>
  <c r="E45" i="12"/>
  <c r="D45" i="12"/>
  <c r="C45" i="12"/>
  <c r="B45" i="12"/>
  <c r="A45" i="12"/>
  <c r="E44" i="12"/>
  <c r="D44" i="12"/>
  <c r="C44" i="12"/>
  <c r="B44" i="12"/>
  <c r="A44" i="12"/>
  <c r="E43" i="12"/>
  <c r="D43" i="12"/>
  <c r="C43" i="12"/>
  <c r="B43" i="12"/>
  <c r="A43" i="12"/>
  <c r="E42" i="12"/>
  <c r="D42" i="12"/>
  <c r="C42" i="12"/>
  <c r="B42" i="12"/>
  <c r="A42" i="12"/>
  <c r="E41" i="12"/>
  <c r="D41" i="12"/>
  <c r="C41" i="12"/>
  <c r="B41" i="12"/>
  <c r="A41" i="12"/>
  <c r="E40" i="12"/>
  <c r="D40" i="12"/>
  <c r="C40" i="12"/>
  <c r="B40" i="12"/>
  <c r="A40" i="12"/>
  <c r="E39" i="12"/>
  <c r="D39" i="12"/>
  <c r="C39" i="12"/>
  <c r="B39" i="12"/>
  <c r="A39" i="12"/>
  <c r="E38" i="12"/>
  <c r="D38" i="12"/>
  <c r="C38" i="12"/>
  <c r="B38" i="12"/>
  <c r="A38" i="12"/>
  <c r="E37" i="12"/>
  <c r="D37" i="12"/>
  <c r="C37" i="12"/>
  <c r="B37" i="12"/>
  <c r="A37" i="12"/>
  <c r="E36" i="12"/>
  <c r="D36" i="12"/>
  <c r="C36" i="12"/>
  <c r="B36" i="12"/>
  <c r="A36" i="12"/>
  <c r="E35" i="12"/>
  <c r="D35" i="12"/>
  <c r="C35" i="12"/>
  <c r="B35" i="12"/>
  <c r="A35" i="12"/>
  <c r="E34" i="12"/>
  <c r="D34" i="12"/>
  <c r="C34" i="12"/>
  <c r="B34" i="12"/>
  <c r="A34" i="12"/>
  <c r="E33" i="12"/>
  <c r="D33" i="12"/>
  <c r="C33" i="12"/>
  <c r="B33" i="12"/>
  <c r="A33" i="12"/>
  <c r="E32" i="12"/>
  <c r="D32" i="12"/>
  <c r="C32" i="12"/>
  <c r="B32" i="12"/>
  <c r="A32" i="12"/>
  <c r="E31" i="12"/>
  <c r="D31" i="12"/>
  <c r="C31" i="12"/>
  <c r="B31" i="12"/>
  <c r="A31" i="12"/>
  <c r="E30" i="12"/>
  <c r="D30" i="12"/>
  <c r="C30" i="12"/>
  <c r="B30" i="12"/>
  <c r="A30" i="12"/>
  <c r="E29" i="12"/>
  <c r="D29" i="12"/>
  <c r="C29" i="12"/>
  <c r="B29" i="12"/>
  <c r="A29" i="12"/>
  <c r="E28" i="12"/>
  <c r="D28" i="12"/>
  <c r="C28" i="12"/>
  <c r="B28" i="12"/>
  <c r="A28" i="12"/>
  <c r="E27" i="12"/>
  <c r="D27" i="12"/>
  <c r="C27" i="12"/>
  <c r="B27" i="12"/>
  <c r="A27" i="12"/>
  <c r="E26" i="12"/>
  <c r="D26" i="12"/>
  <c r="C26" i="12"/>
  <c r="B26" i="12"/>
  <c r="A26" i="12"/>
  <c r="E25" i="12"/>
  <c r="D25" i="12"/>
  <c r="C25" i="12"/>
  <c r="B25" i="12"/>
  <c r="A25" i="12"/>
  <c r="E24" i="12"/>
  <c r="D24" i="12"/>
  <c r="C24" i="12"/>
  <c r="B24" i="12"/>
  <c r="A24" i="12"/>
  <c r="E23" i="12"/>
  <c r="D23" i="12"/>
  <c r="C23" i="12"/>
  <c r="B23" i="12"/>
  <c r="A23" i="12"/>
  <c r="E22" i="12"/>
  <c r="D22" i="12"/>
  <c r="C22" i="12"/>
  <c r="B22" i="12"/>
  <c r="A22" i="12"/>
  <c r="E21" i="12"/>
  <c r="D21" i="12"/>
  <c r="C21" i="12"/>
  <c r="B21" i="12"/>
  <c r="A21" i="12"/>
  <c r="E20" i="12"/>
  <c r="D20" i="12"/>
  <c r="C20" i="12"/>
  <c r="B20" i="12"/>
  <c r="A20" i="12"/>
  <c r="E19" i="12"/>
  <c r="D19" i="12"/>
  <c r="C19" i="12"/>
  <c r="B19" i="12"/>
  <c r="A19" i="12"/>
  <c r="E18" i="12"/>
  <c r="D18" i="12"/>
  <c r="C18" i="12"/>
  <c r="B18" i="12"/>
  <c r="A18" i="12"/>
  <c r="E17" i="12"/>
  <c r="D17" i="12"/>
  <c r="C17" i="12"/>
  <c r="B17" i="12"/>
  <c r="A17" i="12"/>
  <c r="E16" i="12"/>
  <c r="D16" i="12"/>
  <c r="C16" i="12"/>
  <c r="B16" i="12"/>
  <c r="A16" i="12"/>
  <c r="E15" i="12"/>
  <c r="D15" i="12"/>
  <c r="C15" i="12"/>
  <c r="B15" i="12"/>
  <c r="A15" i="12"/>
  <c r="E14" i="12"/>
  <c r="D14" i="12"/>
  <c r="C14" i="12"/>
  <c r="B14" i="12"/>
  <c r="A14" i="12"/>
  <c r="E13" i="12"/>
  <c r="D13" i="12"/>
  <c r="C13" i="12"/>
  <c r="B13" i="12"/>
  <c r="A13" i="12"/>
  <c r="E12" i="12"/>
  <c r="D12" i="12"/>
  <c r="C12" i="12"/>
  <c r="B12" i="12"/>
  <c r="A12" i="12"/>
  <c r="E11" i="12"/>
  <c r="D11" i="12"/>
  <c r="C11" i="12"/>
  <c r="B11" i="12"/>
  <c r="A11" i="12"/>
  <c r="E10" i="12"/>
  <c r="D10" i="12"/>
  <c r="C10" i="12"/>
  <c r="B10" i="12"/>
  <c r="A10" i="12"/>
  <c r="E9" i="12"/>
  <c r="D9" i="12"/>
  <c r="C9" i="12"/>
  <c r="B9" i="12"/>
  <c r="A9" i="12"/>
  <c r="E8" i="12"/>
  <c r="D8" i="12"/>
  <c r="C8" i="12"/>
  <c r="B8" i="12"/>
  <c r="A8" i="12"/>
  <c r="E7" i="12"/>
  <c r="D7" i="12"/>
  <c r="C7" i="12"/>
  <c r="B7" i="12"/>
  <c r="A7" i="12"/>
  <c r="E6" i="12"/>
  <c r="D6" i="12"/>
  <c r="C6" i="12"/>
  <c r="B6" i="12"/>
  <c r="A6" i="12"/>
  <c r="E5" i="12"/>
  <c r="D5" i="12"/>
  <c r="C5" i="12"/>
  <c r="B5" i="12"/>
  <c r="A5" i="12"/>
  <c r="E4" i="12"/>
  <c r="D4" i="12"/>
  <c r="C4" i="12"/>
  <c r="B4" i="12"/>
  <c r="A4" i="12"/>
  <c r="E3" i="12"/>
  <c r="D3" i="12"/>
  <c r="C3" i="12"/>
  <c r="B3" i="12"/>
  <c r="A3" i="12"/>
  <c r="E2" i="12"/>
  <c r="D2" i="12"/>
  <c r="C2" i="12"/>
  <c r="B2" i="12"/>
  <c r="A2" i="12"/>
  <c r="E258" i="13"/>
  <c r="D258" i="13"/>
  <c r="C258" i="13"/>
  <c r="B258" i="13"/>
  <c r="A258" i="13"/>
  <c r="E257" i="13"/>
  <c r="D257" i="13"/>
  <c r="C257" i="13"/>
  <c r="B257" i="13"/>
  <c r="A257" i="13"/>
  <c r="E256" i="13"/>
  <c r="D256" i="13"/>
  <c r="C256" i="13"/>
  <c r="B256" i="13"/>
  <c r="A256" i="13"/>
  <c r="E255" i="13"/>
  <c r="D255" i="13"/>
  <c r="C255" i="13"/>
  <c r="B255" i="13"/>
  <c r="A255" i="13"/>
  <c r="E254" i="13"/>
  <c r="D254" i="13"/>
  <c r="C254" i="13"/>
  <c r="B254" i="13"/>
  <c r="A254" i="13"/>
  <c r="E253" i="13"/>
  <c r="D253" i="13"/>
  <c r="C253" i="13"/>
  <c r="B253" i="13"/>
  <c r="A253" i="13"/>
  <c r="E252" i="13"/>
  <c r="D252" i="13"/>
  <c r="C252" i="13"/>
  <c r="B252" i="13"/>
  <c r="A252" i="13"/>
  <c r="E251" i="13"/>
  <c r="D251" i="13"/>
  <c r="C251" i="13"/>
  <c r="B251" i="13"/>
  <c r="A251" i="13"/>
  <c r="E250" i="13"/>
  <c r="D250" i="13"/>
  <c r="C250" i="13"/>
  <c r="B250" i="13"/>
  <c r="A250" i="13"/>
  <c r="E249" i="13"/>
  <c r="D249" i="13"/>
  <c r="C249" i="13"/>
  <c r="B249" i="13"/>
  <c r="A249" i="13"/>
  <c r="E248" i="13"/>
  <c r="D248" i="13"/>
  <c r="C248" i="13"/>
  <c r="B248" i="13"/>
  <c r="A248" i="13"/>
  <c r="E247" i="13"/>
  <c r="D247" i="13"/>
  <c r="C247" i="13"/>
  <c r="B247" i="13"/>
  <c r="A247" i="13"/>
  <c r="E246" i="13"/>
  <c r="D246" i="13"/>
  <c r="C246" i="13"/>
  <c r="B246" i="13"/>
  <c r="A246" i="13"/>
  <c r="E245" i="13"/>
  <c r="D245" i="13"/>
  <c r="C245" i="13"/>
  <c r="B245" i="13"/>
  <c r="A245" i="13"/>
  <c r="E244" i="13"/>
  <c r="D244" i="13"/>
  <c r="C244" i="13"/>
  <c r="B244" i="13"/>
  <c r="A244" i="13"/>
  <c r="E243" i="13"/>
  <c r="D243" i="13"/>
  <c r="C243" i="13"/>
  <c r="B243" i="13"/>
  <c r="A243" i="13"/>
  <c r="E242" i="13"/>
  <c r="D242" i="13"/>
  <c r="C242" i="13"/>
  <c r="B242" i="13"/>
  <c r="A242" i="13"/>
  <c r="E241" i="13"/>
  <c r="D241" i="13"/>
  <c r="C241" i="13"/>
  <c r="B241" i="13"/>
  <c r="A241" i="13"/>
  <c r="E240" i="13"/>
  <c r="D240" i="13"/>
  <c r="C240" i="13"/>
  <c r="B240" i="13"/>
  <c r="A240" i="13"/>
  <c r="E239" i="13"/>
  <c r="D239" i="13"/>
  <c r="C239" i="13"/>
  <c r="B239" i="13"/>
  <c r="A239" i="13"/>
  <c r="E238" i="13"/>
  <c r="D238" i="13"/>
  <c r="C238" i="13"/>
  <c r="B238" i="13"/>
  <c r="A238" i="13"/>
  <c r="E237" i="13"/>
  <c r="D237" i="13"/>
  <c r="C237" i="13"/>
  <c r="B237" i="13"/>
  <c r="A237" i="13"/>
  <c r="E236" i="13"/>
  <c r="D236" i="13"/>
  <c r="C236" i="13"/>
  <c r="B236" i="13"/>
  <c r="A236" i="13"/>
  <c r="E235" i="13"/>
  <c r="D235" i="13"/>
  <c r="C235" i="13"/>
  <c r="B235" i="13"/>
  <c r="A235" i="13"/>
  <c r="E234" i="13"/>
  <c r="D234" i="13"/>
  <c r="C234" i="13"/>
  <c r="B234" i="13"/>
  <c r="A234" i="13"/>
  <c r="E233" i="13"/>
  <c r="D233" i="13"/>
  <c r="C233" i="13"/>
  <c r="B233" i="13"/>
  <c r="A233" i="13"/>
  <c r="E232" i="13"/>
  <c r="D232" i="13"/>
  <c r="C232" i="13"/>
  <c r="B232" i="13"/>
  <c r="A232" i="13"/>
  <c r="E231" i="13"/>
  <c r="D231" i="13"/>
  <c r="C231" i="13"/>
  <c r="B231" i="13"/>
  <c r="A231" i="13"/>
  <c r="E230" i="13"/>
  <c r="D230" i="13"/>
  <c r="C230" i="13"/>
  <c r="B230" i="13"/>
  <c r="A230" i="13"/>
  <c r="E229" i="13"/>
  <c r="D229" i="13"/>
  <c r="C229" i="13"/>
  <c r="B229" i="13"/>
  <c r="A229" i="13"/>
  <c r="E228" i="13"/>
  <c r="D228" i="13"/>
  <c r="C228" i="13"/>
  <c r="B228" i="13"/>
  <c r="A228" i="13"/>
  <c r="E227" i="13"/>
  <c r="D227" i="13"/>
  <c r="C227" i="13"/>
  <c r="B227" i="13"/>
  <c r="A227" i="13"/>
  <c r="E226" i="13"/>
  <c r="D226" i="13"/>
  <c r="C226" i="13"/>
  <c r="B226" i="13"/>
  <c r="A226" i="13"/>
  <c r="E225" i="13"/>
  <c r="D225" i="13"/>
  <c r="C225" i="13"/>
  <c r="B225" i="13"/>
  <c r="A225" i="13"/>
  <c r="E224" i="13"/>
  <c r="D224" i="13"/>
  <c r="C224" i="13"/>
  <c r="B224" i="13"/>
  <c r="A224" i="13"/>
  <c r="E223" i="13"/>
  <c r="D223" i="13"/>
  <c r="C223" i="13"/>
  <c r="B223" i="13"/>
  <c r="A223" i="13"/>
  <c r="E222" i="13"/>
  <c r="D222" i="13"/>
  <c r="C222" i="13"/>
  <c r="B222" i="13"/>
  <c r="A222" i="13"/>
  <c r="E221" i="13"/>
  <c r="D221" i="13"/>
  <c r="C221" i="13"/>
  <c r="B221" i="13"/>
  <c r="A221" i="13"/>
  <c r="E220" i="13"/>
  <c r="D220" i="13"/>
  <c r="C220" i="13"/>
  <c r="B220" i="13"/>
  <c r="A220" i="13"/>
  <c r="E219" i="13"/>
  <c r="D219" i="13"/>
  <c r="C219" i="13"/>
  <c r="B219" i="13"/>
  <c r="A219" i="13"/>
  <c r="E218" i="13"/>
  <c r="D218" i="13"/>
  <c r="C218" i="13"/>
  <c r="B218" i="13"/>
  <c r="A218" i="13"/>
  <c r="E217" i="13"/>
  <c r="D217" i="13"/>
  <c r="C217" i="13"/>
  <c r="B217" i="13"/>
  <c r="A217" i="13"/>
  <c r="E216" i="13"/>
  <c r="D216" i="13"/>
  <c r="C216" i="13"/>
  <c r="B216" i="13"/>
  <c r="A216" i="13"/>
  <c r="E215" i="13"/>
  <c r="D215" i="13"/>
  <c r="C215" i="13"/>
  <c r="B215" i="13"/>
  <c r="A215" i="13"/>
  <c r="E214" i="13"/>
  <c r="D214" i="13"/>
  <c r="C214" i="13"/>
  <c r="B214" i="13"/>
  <c r="A214" i="13"/>
  <c r="E213" i="13"/>
  <c r="D213" i="13"/>
  <c r="C213" i="13"/>
  <c r="B213" i="13"/>
  <c r="A213" i="13"/>
  <c r="E212" i="13"/>
  <c r="D212" i="13"/>
  <c r="C212" i="13"/>
  <c r="B212" i="13"/>
  <c r="A212" i="13"/>
  <c r="E211" i="13"/>
  <c r="D211" i="13"/>
  <c r="C211" i="13"/>
  <c r="B211" i="13"/>
  <c r="A211" i="13"/>
  <c r="E210" i="13"/>
  <c r="D210" i="13"/>
  <c r="C210" i="13"/>
  <c r="B210" i="13"/>
  <c r="A210" i="13"/>
  <c r="E209" i="13"/>
  <c r="D209" i="13"/>
  <c r="C209" i="13"/>
  <c r="B209" i="13"/>
  <c r="A209" i="13"/>
  <c r="E208" i="13"/>
  <c r="D208" i="13"/>
  <c r="C208" i="13"/>
  <c r="B208" i="13"/>
  <c r="A208" i="13"/>
  <c r="E207" i="13"/>
  <c r="D207" i="13"/>
  <c r="C207" i="13"/>
  <c r="B207" i="13"/>
  <c r="A207" i="13"/>
  <c r="E206" i="13"/>
  <c r="D206" i="13"/>
  <c r="C206" i="13"/>
  <c r="B206" i="13"/>
  <c r="A206" i="13"/>
  <c r="E205" i="13"/>
  <c r="D205" i="13"/>
  <c r="C205" i="13"/>
  <c r="B205" i="13"/>
  <c r="A205" i="13"/>
  <c r="E204" i="13"/>
  <c r="D204" i="13"/>
  <c r="C204" i="13"/>
  <c r="B204" i="13"/>
  <c r="A204" i="13"/>
  <c r="E203" i="13"/>
  <c r="D203" i="13"/>
  <c r="C203" i="13"/>
  <c r="B203" i="13"/>
  <c r="A203" i="13"/>
  <c r="E202" i="13"/>
  <c r="D202" i="13"/>
  <c r="C202" i="13"/>
  <c r="B202" i="13"/>
  <c r="A202" i="13"/>
  <c r="E201" i="13"/>
  <c r="D201" i="13"/>
  <c r="C201" i="13"/>
  <c r="B201" i="13"/>
  <c r="A201" i="13"/>
  <c r="E200" i="13"/>
  <c r="D200" i="13"/>
  <c r="C200" i="13"/>
  <c r="B200" i="13"/>
  <c r="A200" i="13"/>
  <c r="E199" i="13"/>
  <c r="D199" i="13"/>
  <c r="C199" i="13"/>
  <c r="B199" i="13"/>
  <c r="A199" i="13"/>
  <c r="E198" i="13"/>
  <c r="D198" i="13"/>
  <c r="C198" i="13"/>
  <c r="B198" i="13"/>
  <c r="A198" i="13"/>
  <c r="E197" i="13"/>
  <c r="D197" i="13"/>
  <c r="C197" i="13"/>
  <c r="B197" i="13"/>
  <c r="A197" i="13"/>
  <c r="E196" i="13"/>
  <c r="D196" i="13"/>
  <c r="C196" i="13"/>
  <c r="B196" i="13"/>
  <c r="A196" i="13"/>
  <c r="E195" i="13"/>
  <c r="D195" i="13"/>
  <c r="C195" i="13"/>
  <c r="B195" i="13"/>
  <c r="A195" i="13"/>
  <c r="E194" i="13"/>
  <c r="D194" i="13"/>
  <c r="C194" i="13"/>
  <c r="B194" i="13"/>
  <c r="A194" i="13"/>
  <c r="E193" i="13"/>
  <c r="D193" i="13"/>
  <c r="C193" i="13"/>
  <c r="B193" i="13"/>
  <c r="A193" i="13"/>
  <c r="E192" i="13"/>
  <c r="D192" i="13"/>
  <c r="C192" i="13"/>
  <c r="B192" i="13"/>
  <c r="A192" i="13"/>
  <c r="E191" i="13"/>
  <c r="D191" i="13"/>
  <c r="C191" i="13"/>
  <c r="B191" i="13"/>
  <c r="A191" i="13"/>
  <c r="E190" i="13"/>
  <c r="D190" i="13"/>
  <c r="C190" i="13"/>
  <c r="B190" i="13"/>
  <c r="A190" i="13"/>
  <c r="E189" i="13"/>
  <c r="D189" i="13"/>
  <c r="C189" i="13"/>
  <c r="B189" i="13"/>
  <c r="A189" i="13"/>
  <c r="E188" i="13"/>
  <c r="D188" i="13"/>
  <c r="C188" i="13"/>
  <c r="B188" i="13"/>
  <c r="A188" i="13"/>
  <c r="E187" i="13"/>
  <c r="D187" i="13"/>
  <c r="C187" i="13"/>
  <c r="B187" i="13"/>
  <c r="A187" i="13"/>
  <c r="E186" i="13"/>
  <c r="D186" i="13"/>
  <c r="C186" i="13"/>
  <c r="B186" i="13"/>
  <c r="A186" i="13"/>
  <c r="E185" i="13"/>
  <c r="D185" i="13"/>
  <c r="C185" i="13"/>
  <c r="B185" i="13"/>
  <c r="A185" i="13"/>
  <c r="E184" i="13"/>
  <c r="D184" i="13"/>
  <c r="C184" i="13"/>
  <c r="B184" i="13"/>
  <c r="A184" i="13"/>
  <c r="E183" i="13"/>
  <c r="D183" i="13"/>
  <c r="C183" i="13"/>
  <c r="B183" i="13"/>
  <c r="A183" i="13"/>
  <c r="E182" i="13"/>
  <c r="D182" i="13"/>
  <c r="C182" i="13"/>
  <c r="B182" i="13"/>
  <c r="A182" i="13"/>
  <c r="E181" i="13"/>
  <c r="D181" i="13"/>
  <c r="C181" i="13"/>
  <c r="B181" i="13"/>
  <c r="A181" i="13"/>
  <c r="E180" i="13"/>
  <c r="D180" i="13"/>
  <c r="C180" i="13"/>
  <c r="B180" i="13"/>
  <c r="A180" i="13"/>
  <c r="E179" i="13"/>
  <c r="D179" i="13"/>
  <c r="C179" i="13"/>
  <c r="B179" i="13"/>
  <c r="A179" i="13"/>
  <c r="E178" i="13"/>
  <c r="D178" i="13"/>
  <c r="C178" i="13"/>
  <c r="B178" i="13"/>
  <c r="A178" i="13"/>
  <c r="E177" i="13"/>
  <c r="D177" i="13"/>
  <c r="C177" i="13"/>
  <c r="B177" i="13"/>
  <c r="A177" i="13"/>
  <c r="E176" i="13"/>
  <c r="D176" i="13"/>
  <c r="C176" i="13"/>
  <c r="B176" i="13"/>
  <c r="A176" i="13"/>
  <c r="E175" i="13"/>
  <c r="D175" i="13"/>
  <c r="C175" i="13"/>
  <c r="B175" i="13"/>
  <c r="A175" i="13"/>
  <c r="E174" i="13"/>
  <c r="D174" i="13"/>
  <c r="C174" i="13"/>
  <c r="B174" i="13"/>
  <c r="A174" i="13"/>
  <c r="E173" i="13"/>
  <c r="D173" i="13"/>
  <c r="C173" i="13"/>
  <c r="B173" i="13"/>
  <c r="A173" i="13"/>
  <c r="E172" i="13"/>
  <c r="D172" i="13"/>
  <c r="C172" i="13"/>
  <c r="B172" i="13"/>
  <c r="A172" i="13"/>
  <c r="E171" i="13"/>
  <c r="D171" i="13"/>
  <c r="C171" i="13"/>
  <c r="B171" i="13"/>
  <c r="A171" i="13"/>
  <c r="E170" i="13"/>
  <c r="D170" i="13"/>
  <c r="C170" i="13"/>
  <c r="B170" i="13"/>
  <c r="A170" i="13"/>
  <c r="E169" i="13"/>
  <c r="D169" i="13"/>
  <c r="C169" i="13"/>
  <c r="B169" i="13"/>
  <c r="A169" i="13"/>
  <c r="E168" i="13"/>
  <c r="D168" i="13"/>
  <c r="C168" i="13"/>
  <c r="B168" i="13"/>
  <c r="A168" i="13"/>
  <c r="E167" i="13"/>
  <c r="D167" i="13"/>
  <c r="C167" i="13"/>
  <c r="B167" i="13"/>
  <c r="A167" i="13"/>
  <c r="E166" i="13"/>
  <c r="D166" i="13"/>
  <c r="C166" i="13"/>
  <c r="B166" i="13"/>
  <c r="A166" i="13"/>
  <c r="E165" i="13"/>
  <c r="D165" i="13"/>
  <c r="C165" i="13"/>
  <c r="B165" i="13"/>
  <c r="A165" i="13"/>
  <c r="E164" i="13"/>
  <c r="D164" i="13"/>
  <c r="C164" i="13"/>
  <c r="B164" i="13"/>
  <c r="A164" i="13"/>
  <c r="E163" i="13"/>
  <c r="D163" i="13"/>
  <c r="C163" i="13"/>
  <c r="B163" i="13"/>
  <c r="A163" i="13"/>
  <c r="E162" i="13"/>
  <c r="D162" i="13"/>
  <c r="C162" i="13"/>
  <c r="B162" i="13"/>
  <c r="A162" i="13"/>
  <c r="E161" i="13"/>
  <c r="D161" i="13"/>
  <c r="C161" i="13"/>
  <c r="B161" i="13"/>
  <c r="A161" i="13"/>
  <c r="E160" i="13"/>
  <c r="D160" i="13"/>
  <c r="C160" i="13"/>
  <c r="B160" i="13"/>
  <c r="A160" i="13"/>
  <c r="E159" i="13"/>
  <c r="D159" i="13"/>
  <c r="C159" i="13"/>
  <c r="B159" i="13"/>
  <c r="A159" i="13"/>
  <c r="E158" i="13"/>
  <c r="D158" i="13"/>
  <c r="C158" i="13"/>
  <c r="B158" i="13"/>
  <c r="A158" i="13"/>
  <c r="E157" i="13"/>
  <c r="D157" i="13"/>
  <c r="C157" i="13"/>
  <c r="B157" i="13"/>
  <c r="A157" i="13"/>
  <c r="E156" i="13"/>
  <c r="D156" i="13"/>
  <c r="C156" i="13"/>
  <c r="B156" i="13"/>
  <c r="A156" i="13"/>
  <c r="E155" i="13"/>
  <c r="D155" i="13"/>
  <c r="C155" i="13"/>
  <c r="B155" i="13"/>
  <c r="A155" i="13"/>
  <c r="E154" i="13"/>
  <c r="D154" i="13"/>
  <c r="C154" i="13"/>
  <c r="B154" i="13"/>
  <c r="A154" i="13"/>
  <c r="E153" i="13"/>
  <c r="D153" i="13"/>
  <c r="C153" i="13"/>
  <c r="B153" i="13"/>
  <c r="A153" i="13"/>
  <c r="E152" i="13"/>
  <c r="D152" i="13"/>
  <c r="C152" i="13"/>
  <c r="B152" i="13"/>
  <c r="A152" i="13"/>
  <c r="E151" i="13"/>
  <c r="D151" i="13"/>
  <c r="C151" i="13"/>
  <c r="B151" i="13"/>
  <c r="A151" i="13"/>
  <c r="E150" i="13"/>
  <c r="D150" i="13"/>
  <c r="C150" i="13"/>
  <c r="B150" i="13"/>
  <c r="A150" i="13"/>
  <c r="E149" i="13"/>
  <c r="D149" i="13"/>
  <c r="C149" i="13"/>
  <c r="B149" i="13"/>
  <c r="A149" i="13"/>
  <c r="E148" i="13"/>
  <c r="D148" i="13"/>
  <c r="C148" i="13"/>
  <c r="B148" i="13"/>
  <c r="A148" i="13"/>
  <c r="E147" i="13"/>
  <c r="D147" i="13"/>
  <c r="C147" i="13"/>
  <c r="B147" i="13"/>
  <c r="A147" i="13"/>
  <c r="E146" i="13"/>
  <c r="D146" i="13"/>
  <c r="C146" i="13"/>
  <c r="B146" i="13"/>
  <c r="A146" i="13"/>
  <c r="E145" i="13"/>
  <c r="D145" i="13"/>
  <c r="C145" i="13"/>
  <c r="B145" i="13"/>
  <c r="A145" i="13"/>
  <c r="E144" i="13"/>
  <c r="D144" i="13"/>
  <c r="C144" i="13"/>
  <c r="B144" i="13"/>
  <c r="A144" i="13"/>
  <c r="E143" i="13"/>
  <c r="D143" i="13"/>
  <c r="C143" i="13"/>
  <c r="B143" i="13"/>
  <c r="A143" i="13"/>
  <c r="E142" i="13"/>
  <c r="D142" i="13"/>
  <c r="C142" i="13"/>
  <c r="B142" i="13"/>
  <c r="A142" i="13"/>
  <c r="E141" i="13"/>
  <c r="D141" i="13"/>
  <c r="C141" i="13"/>
  <c r="B141" i="13"/>
  <c r="A141" i="13"/>
  <c r="E140" i="13"/>
  <c r="D140" i="13"/>
  <c r="C140" i="13"/>
  <c r="B140" i="13"/>
  <c r="A140" i="13"/>
  <c r="E139" i="13"/>
  <c r="D139" i="13"/>
  <c r="C139" i="13"/>
  <c r="B139" i="13"/>
  <c r="A139" i="13"/>
  <c r="E138" i="13"/>
  <c r="D138" i="13"/>
  <c r="C138" i="13"/>
  <c r="B138" i="13"/>
  <c r="A138" i="13"/>
  <c r="E137" i="13"/>
  <c r="D137" i="13"/>
  <c r="C137" i="13"/>
  <c r="B137" i="13"/>
  <c r="A137" i="13"/>
  <c r="E136" i="13"/>
  <c r="D136" i="13"/>
  <c r="C136" i="13"/>
  <c r="B136" i="13"/>
  <c r="A136" i="13"/>
  <c r="E135" i="13"/>
  <c r="D135" i="13"/>
  <c r="C135" i="13"/>
  <c r="B135" i="13"/>
  <c r="A135" i="13"/>
  <c r="E134" i="13"/>
  <c r="D134" i="13"/>
  <c r="C134" i="13"/>
  <c r="B134" i="13"/>
  <c r="A134" i="13"/>
  <c r="E133" i="13"/>
  <c r="D133" i="13"/>
  <c r="C133" i="13"/>
  <c r="B133" i="13"/>
  <c r="A133" i="13"/>
  <c r="E132" i="13"/>
  <c r="D132" i="13"/>
  <c r="C132" i="13"/>
  <c r="B132" i="13"/>
  <c r="A132" i="13"/>
  <c r="E131" i="13"/>
  <c r="D131" i="13"/>
  <c r="C131" i="13"/>
  <c r="B131" i="13"/>
  <c r="A131" i="13"/>
  <c r="E130" i="13"/>
  <c r="D130" i="13"/>
  <c r="C130" i="13"/>
  <c r="B130" i="13"/>
  <c r="A130" i="13"/>
  <c r="E129" i="13"/>
  <c r="D129" i="13"/>
  <c r="C129" i="13"/>
  <c r="B129" i="13"/>
  <c r="A129" i="13"/>
  <c r="E128" i="13"/>
  <c r="D128" i="13"/>
  <c r="C128" i="13"/>
  <c r="B128" i="13"/>
  <c r="A128" i="13"/>
  <c r="E127" i="13"/>
  <c r="D127" i="13"/>
  <c r="C127" i="13"/>
  <c r="B127" i="13"/>
  <c r="A127" i="13"/>
  <c r="E126" i="13"/>
  <c r="D126" i="13"/>
  <c r="C126" i="13"/>
  <c r="B126" i="13"/>
  <c r="A126" i="13"/>
  <c r="E125" i="13"/>
  <c r="D125" i="13"/>
  <c r="C125" i="13"/>
  <c r="B125" i="13"/>
  <c r="A125" i="13"/>
  <c r="E124" i="13"/>
  <c r="D124" i="13"/>
  <c r="C124" i="13"/>
  <c r="B124" i="13"/>
  <c r="A124" i="13"/>
  <c r="E123" i="13"/>
  <c r="D123" i="13"/>
  <c r="C123" i="13"/>
  <c r="B123" i="13"/>
  <c r="A123" i="13"/>
  <c r="E122" i="13"/>
  <c r="D122" i="13"/>
  <c r="C122" i="13"/>
  <c r="B122" i="13"/>
  <c r="A122" i="13"/>
  <c r="E121" i="13"/>
  <c r="D121" i="13"/>
  <c r="C121" i="13"/>
  <c r="B121" i="13"/>
  <c r="A121" i="13"/>
  <c r="E120" i="13"/>
  <c r="D120" i="13"/>
  <c r="C120" i="13"/>
  <c r="B120" i="13"/>
  <c r="A120" i="13"/>
  <c r="E119" i="13"/>
  <c r="D119" i="13"/>
  <c r="C119" i="13"/>
  <c r="B119" i="13"/>
  <c r="A119" i="13"/>
  <c r="E118" i="13"/>
  <c r="D118" i="13"/>
  <c r="C118" i="13"/>
  <c r="B118" i="13"/>
  <c r="A118" i="13"/>
  <c r="E117" i="13"/>
  <c r="D117" i="13"/>
  <c r="C117" i="13"/>
  <c r="B117" i="13"/>
  <c r="A117" i="13"/>
  <c r="E116" i="13"/>
  <c r="D116" i="13"/>
  <c r="C116" i="13"/>
  <c r="B116" i="13"/>
  <c r="A116" i="13"/>
  <c r="E115" i="13"/>
  <c r="D115" i="13"/>
  <c r="C115" i="13"/>
  <c r="B115" i="13"/>
  <c r="A115" i="13"/>
  <c r="E114" i="13"/>
  <c r="D114" i="13"/>
  <c r="C114" i="13"/>
  <c r="B114" i="13"/>
  <c r="A114" i="13"/>
  <c r="E113" i="13"/>
  <c r="D113" i="13"/>
  <c r="C113" i="13"/>
  <c r="B113" i="13"/>
  <c r="A113" i="13"/>
  <c r="E112" i="13"/>
  <c r="D112" i="13"/>
  <c r="C112" i="13"/>
  <c r="B112" i="13"/>
  <c r="A112" i="13"/>
  <c r="E111" i="13"/>
  <c r="D111" i="13"/>
  <c r="C111" i="13"/>
  <c r="B111" i="13"/>
  <c r="A111" i="13"/>
  <c r="E110" i="13"/>
  <c r="D110" i="13"/>
  <c r="C110" i="13"/>
  <c r="B110" i="13"/>
  <c r="A110" i="13"/>
  <c r="E109" i="13"/>
  <c r="D109" i="13"/>
  <c r="C109" i="13"/>
  <c r="B109" i="13"/>
  <c r="A109" i="13"/>
  <c r="E108" i="13"/>
  <c r="D108" i="13"/>
  <c r="C108" i="13"/>
  <c r="B108" i="13"/>
  <c r="A108" i="13"/>
  <c r="E107" i="13"/>
  <c r="D107" i="13"/>
  <c r="C107" i="13"/>
  <c r="B107" i="13"/>
  <c r="A107" i="13"/>
  <c r="E106" i="13"/>
  <c r="D106" i="13"/>
  <c r="C106" i="13"/>
  <c r="B106" i="13"/>
  <c r="A106" i="13"/>
  <c r="E105" i="13"/>
  <c r="D105" i="13"/>
  <c r="C105" i="13"/>
  <c r="B105" i="13"/>
  <c r="A105" i="13"/>
  <c r="E104" i="13"/>
  <c r="D104" i="13"/>
  <c r="C104" i="13"/>
  <c r="B104" i="13"/>
  <c r="A104" i="13"/>
  <c r="E103" i="13"/>
  <c r="D103" i="13"/>
  <c r="C103" i="13"/>
  <c r="B103" i="13"/>
  <c r="A103" i="13"/>
  <c r="E102" i="13"/>
  <c r="D102" i="13"/>
  <c r="C102" i="13"/>
  <c r="B102" i="13"/>
  <c r="A102" i="13"/>
  <c r="E101" i="13"/>
  <c r="D101" i="13"/>
  <c r="C101" i="13"/>
  <c r="B101" i="13"/>
  <c r="A101" i="13"/>
  <c r="E100" i="13"/>
  <c r="D100" i="13"/>
  <c r="C100" i="13"/>
  <c r="B100" i="13"/>
  <c r="A100" i="13"/>
  <c r="E99" i="13"/>
  <c r="D99" i="13"/>
  <c r="C99" i="13"/>
  <c r="B99" i="13"/>
  <c r="A99" i="13"/>
  <c r="E98" i="13"/>
  <c r="D98" i="13"/>
  <c r="C98" i="13"/>
  <c r="B98" i="13"/>
  <c r="A98" i="13"/>
  <c r="E97" i="13"/>
  <c r="D97" i="13"/>
  <c r="C97" i="13"/>
  <c r="B97" i="13"/>
  <c r="A97" i="13"/>
  <c r="E96" i="13"/>
  <c r="D96" i="13"/>
  <c r="C96" i="13"/>
  <c r="B96" i="13"/>
  <c r="A96" i="13"/>
  <c r="E95" i="13"/>
  <c r="D95" i="13"/>
  <c r="C95" i="13"/>
  <c r="B95" i="13"/>
  <c r="A95" i="13"/>
  <c r="E94" i="13"/>
  <c r="D94" i="13"/>
  <c r="C94" i="13"/>
  <c r="B94" i="13"/>
  <c r="A94" i="13"/>
  <c r="E93" i="13"/>
  <c r="D93" i="13"/>
  <c r="C93" i="13"/>
  <c r="B93" i="13"/>
  <c r="A93" i="13"/>
  <c r="E92" i="13"/>
  <c r="D92" i="13"/>
  <c r="C92" i="13"/>
  <c r="B92" i="13"/>
  <c r="A92" i="13"/>
  <c r="E91" i="13"/>
  <c r="D91" i="13"/>
  <c r="C91" i="13"/>
  <c r="B91" i="13"/>
  <c r="A91" i="13"/>
  <c r="E90" i="13"/>
  <c r="D90" i="13"/>
  <c r="C90" i="13"/>
  <c r="B90" i="13"/>
  <c r="A90" i="13"/>
  <c r="E89" i="13"/>
  <c r="D89" i="13"/>
  <c r="C89" i="13"/>
  <c r="B89" i="13"/>
  <c r="A89" i="13"/>
  <c r="E88" i="13"/>
  <c r="D88" i="13"/>
  <c r="C88" i="13"/>
  <c r="B88" i="13"/>
  <c r="A88" i="13"/>
  <c r="E87" i="13"/>
  <c r="D87" i="13"/>
  <c r="C87" i="13"/>
  <c r="B87" i="13"/>
  <c r="A87" i="13"/>
  <c r="E86" i="13"/>
  <c r="D86" i="13"/>
  <c r="C86" i="13"/>
  <c r="B86" i="13"/>
  <c r="A86" i="13"/>
  <c r="E85" i="13"/>
  <c r="D85" i="13"/>
  <c r="C85" i="13"/>
  <c r="B85" i="13"/>
  <c r="A85" i="13"/>
  <c r="E84" i="13"/>
  <c r="D84" i="13"/>
  <c r="C84" i="13"/>
  <c r="B84" i="13"/>
  <c r="A84" i="13"/>
  <c r="E83" i="13"/>
  <c r="D83" i="13"/>
  <c r="C83" i="13"/>
  <c r="B83" i="13"/>
  <c r="A83" i="13"/>
  <c r="E82" i="13"/>
  <c r="D82" i="13"/>
  <c r="C82" i="13"/>
  <c r="B82" i="13"/>
  <c r="A82" i="13"/>
  <c r="E81" i="13"/>
  <c r="D81" i="13"/>
  <c r="C81" i="13"/>
  <c r="B81" i="13"/>
  <c r="A81" i="13"/>
  <c r="E80" i="13"/>
  <c r="D80" i="13"/>
  <c r="C80" i="13"/>
  <c r="B80" i="13"/>
  <c r="A80" i="13"/>
  <c r="E79" i="13"/>
  <c r="D79" i="13"/>
  <c r="C79" i="13"/>
  <c r="B79" i="13"/>
  <c r="A79" i="13"/>
  <c r="E78" i="13"/>
  <c r="D78" i="13"/>
  <c r="C78" i="13"/>
  <c r="B78" i="13"/>
  <c r="A78" i="13"/>
  <c r="E77" i="13"/>
  <c r="D77" i="13"/>
  <c r="C77" i="13"/>
  <c r="B77" i="13"/>
  <c r="A77" i="13"/>
  <c r="E76" i="13"/>
  <c r="D76" i="13"/>
  <c r="C76" i="13"/>
  <c r="B76" i="13"/>
  <c r="A76" i="13"/>
  <c r="E75" i="13"/>
  <c r="D75" i="13"/>
  <c r="C75" i="13"/>
  <c r="B75" i="13"/>
  <c r="A75" i="13"/>
  <c r="E74" i="13"/>
  <c r="D74" i="13"/>
  <c r="C74" i="13"/>
  <c r="B74" i="13"/>
  <c r="A74" i="13"/>
  <c r="E73" i="13"/>
  <c r="D73" i="13"/>
  <c r="C73" i="13"/>
  <c r="B73" i="13"/>
  <c r="A73" i="13"/>
  <c r="E72" i="13"/>
  <c r="D72" i="13"/>
  <c r="C72" i="13"/>
  <c r="B72" i="13"/>
  <c r="A72" i="13"/>
  <c r="E71" i="13"/>
  <c r="D71" i="13"/>
  <c r="C71" i="13"/>
  <c r="B71" i="13"/>
  <c r="A71" i="13"/>
  <c r="E70" i="13"/>
  <c r="D70" i="13"/>
  <c r="C70" i="13"/>
  <c r="B70" i="13"/>
  <c r="A70" i="13"/>
  <c r="E69" i="13"/>
  <c r="D69" i="13"/>
  <c r="C69" i="13"/>
  <c r="B69" i="13"/>
  <c r="A69" i="13"/>
  <c r="E68" i="13"/>
  <c r="D68" i="13"/>
  <c r="C68" i="13"/>
  <c r="B68" i="13"/>
  <c r="A68" i="13"/>
  <c r="E67" i="13"/>
  <c r="D67" i="13"/>
  <c r="C67" i="13"/>
  <c r="B67" i="13"/>
  <c r="A67" i="13"/>
  <c r="E66" i="13"/>
  <c r="D66" i="13"/>
  <c r="C66" i="13"/>
  <c r="B66" i="13"/>
  <c r="A66" i="13"/>
  <c r="E65" i="13"/>
  <c r="D65" i="13"/>
  <c r="C65" i="13"/>
  <c r="B65" i="13"/>
  <c r="A65" i="13"/>
  <c r="E64" i="13"/>
  <c r="D64" i="13"/>
  <c r="C64" i="13"/>
  <c r="B64" i="13"/>
  <c r="A64" i="13"/>
  <c r="E63" i="13"/>
  <c r="D63" i="13"/>
  <c r="C63" i="13"/>
  <c r="B63" i="13"/>
  <c r="A63" i="13"/>
  <c r="E62" i="13"/>
  <c r="D62" i="13"/>
  <c r="C62" i="13"/>
  <c r="B62" i="13"/>
  <c r="A62" i="13"/>
  <c r="E61" i="13"/>
  <c r="D61" i="13"/>
  <c r="C61" i="13"/>
  <c r="B61" i="13"/>
  <c r="A61" i="13"/>
  <c r="E60" i="13"/>
  <c r="D60" i="13"/>
  <c r="C60" i="13"/>
  <c r="B60" i="13"/>
  <c r="A60" i="13"/>
  <c r="E59" i="13"/>
  <c r="D59" i="13"/>
  <c r="C59" i="13"/>
  <c r="B59" i="13"/>
  <c r="A59" i="13"/>
  <c r="E58" i="13"/>
  <c r="D58" i="13"/>
  <c r="C58" i="13"/>
  <c r="B58" i="13"/>
  <c r="A58" i="13"/>
  <c r="E57" i="13"/>
  <c r="D57" i="13"/>
  <c r="C57" i="13"/>
  <c r="B57" i="13"/>
  <c r="A57" i="13"/>
  <c r="E56" i="13"/>
  <c r="D56" i="13"/>
  <c r="C56" i="13"/>
  <c r="B56" i="13"/>
  <c r="A56" i="13"/>
  <c r="E55" i="13"/>
  <c r="D55" i="13"/>
  <c r="C55" i="13"/>
  <c r="B55" i="13"/>
  <c r="A55" i="13"/>
  <c r="E54" i="13"/>
  <c r="D54" i="13"/>
  <c r="C54" i="13"/>
  <c r="B54" i="13"/>
  <c r="A54" i="13"/>
  <c r="E53" i="13"/>
  <c r="D53" i="13"/>
  <c r="C53" i="13"/>
  <c r="B53" i="13"/>
  <c r="A53" i="13"/>
  <c r="E52" i="13"/>
  <c r="D52" i="13"/>
  <c r="C52" i="13"/>
  <c r="B52" i="13"/>
  <c r="A52" i="13"/>
  <c r="E51" i="13"/>
  <c r="D51" i="13"/>
  <c r="C51" i="13"/>
  <c r="B51" i="13"/>
  <c r="A51" i="13"/>
  <c r="E50" i="13"/>
  <c r="D50" i="13"/>
  <c r="C50" i="13"/>
  <c r="B50" i="13"/>
  <c r="A50" i="13"/>
  <c r="E49" i="13"/>
  <c r="D49" i="13"/>
  <c r="C49" i="13"/>
  <c r="B49" i="13"/>
  <c r="A49" i="13"/>
  <c r="E48" i="13"/>
  <c r="D48" i="13"/>
  <c r="C48" i="13"/>
  <c r="B48" i="13"/>
  <c r="A48" i="13"/>
  <c r="E47" i="13"/>
  <c r="D47" i="13"/>
  <c r="C47" i="13"/>
  <c r="B47" i="13"/>
  <c r="A47" i="13"/>
  <c r="E46" i="13"/>
  <c r="D46" i="13"/>
  <c r="C46" i="13"/>
  <c r="B46" i="13"/>
  <c r="A46" i="13"/>
  <c r="E45" i="13"/>
  <c r="D45" i="13"/>
  <c r="C45" i="13"/>
  <c r="B45" i="13"/>
  <c r="A45" i="13"/>
  <c r="E44" i="13"/>
  <c r="D44" i="13"/>
  <c r="C44" i="13"/>
  <c r="B44" i="13"/>
  <c r="A44" i="13"/>
  <c r="E43" i="13"/>
  <c r="D43" i="13"/>
  <c r="C43" i="13"/>
  <c r="B43" i="13"/>
  <c r="A43" i="13"/>
  <c r="E42" i="13"/>
  <c r="D42" i="13"/>
  <c r="C42" i="13"/>
  <c r="B42" i="13"/>
  <c r="A42" i="13"/>
  <c r="E41" i="13"/>
  <c r="D41" i="13"/>
  <c r="C41" i="13"/>
  <c r="B41" i="13"/>
  <c r="A41" i="13"/>
  <c r="E40" i="13"/>
  <c r="D40" i="13"/>
  <c r="C40" i="13"/>
  <c r="B40" i="13"/>
  <c r="A40" i="13"/>
  <c r="E39" i="13"/>
  <c r="D39" i="13"/>
  <c r="C39" i="13"/>
  <c r="B39" i="13"/>
  <c r="A39" i="13"/>
  <c r="E38" i="13"/>
  <c r="D38" i="13"/>
  <c r="C38" i="13"/>
  <c r="B38" i="13"/>
  <c r="A38" i="13"/>
  <c r="E37" i="13"/>
  <c r="D37" i="13"/>
  <c r="C37" i="13"/>
  <c r="B37" i="13"/>
  <c r="A37" i="13"/>
  <c r="E36" i="13"/>
  <c r="D36" i="13"/>
  <c r="C36" i="13"/>
  <c r="B36" i="13"/>
  <c r="A36" i="13"/>
  <c r="E35" i="13"/>
  <c r="D35" i="13"/>
  <c r="C35" i="13"/>
  <c r="B35" i="13"/>
  <c r="A35" i="13"/>
  <c r="E34" i="13"/>
  <c r="D34" i="13"/>
  <c r="C34" i="13"/>
  <c r="B34" i="13"/>
  <c r="A34" i="13"/>
  <c r="E33" i="13"/>
  <c r="D33" i="13"/>
  <c r="C33" i="13"/>
  <c r="B33" i="13"/>
  <c r="A33" i="13"/>
  <c r="E32" i="13"/>
  <c r="D32" i="13"/>
  <c r="C32" i="13"/>
  <c r="B32" i="13"/>
  <c r="A32" i="13"/>
  <c r="E31" i="13"/>
  <c r="D31" i="13"/>
  <c r="C31" i="13"/>
  <c r="B31" i="13"/>
  <c r="A31" i="13"/>
  <c r="E30" i="13"/>
  <c r="D30" i="13"/>
  <c r="C30" i="13"/>
  <c r="B30" i="13"/>
  <c r="A30" i="13"/>
  <c r="E29" i="13"/>
  <c r="D29" i="13"/>
  <c r="C29" i="13"/>
  <c r="B29" i="13"/>
  <c r="A29" i="13"/>
  <c r="E28" i="13"/>
  <c r="D28" i="13"/>
  <c r="C28" i="13"/>
  <c r="B28" i="13"/>
  <c r="A28" i="13"/>
  <c r="E27" i="13"/>
  <c r="D27" i="13"/>
  <c r="C27" i="13"/>
  <c r="B27" i="13"/>
  <c r="A27" i="13"/>
  <c r="E26" i="13"/>
  <c r="D26" i="13"/>
  <c r="C26" i="13"/>
  <c r="B26" i="13"/>
  <c r="A26" i="13"/>
  <c r="E25" i="13"/>
  <c r="D25" i="13"/>
  <c r="C25" i="13"/>
  <c r="B25" i="13"/>
  <c r="A25" i="13"/>
  <c r="E24" i="13"/>
  <c r="D24" i="13"/>
  <c r="C24" i="13"/>
  <c r="B24" i="13"/>
  <c r="A24" i="13"/>
  <c r="E23" i="13"/>
  <c r="D23" i="13"/>
  <c r="C23" i="13"/>
  <c r="B23" i="13"/>
  <c r="A23" i="13"/>
  <c r="E22" i="13"/>
  <c r="D22" i="13"/>
  <c r="C22" i="13"/>
  <c r="B22" i="13"/>
  <c r="A22" i="13"/>
  <c r="E21" i="13"/>
  <c r="D21" i="13"/>
  <c r="C21" i="13"/>
  <c r="B21" i="13"/>
  <c r="A21" i="13"/>
  <c r="E20" i="13"/>
  <c r="D20" i="13"/>
  <c r="C20" i="13"/>
  <c r="B20" i="13"/>
  <c r="A20" i="13"/>
  <c r="E19" i="13"/>
  <c r="D19" i="13"/>
  <c r="C19" i="13"/>
  <c r="B19" i="13"/>
  <c r="A19" i="13"/>
  <c r="E18" i="13"/>
  <c r="D18" i="13"/>
  <c r="C18" i="13"/>
  <c r="B18" i="13"/>
  <c r="A18" i="13"/>
  <c r="E17" i="13"/>
  <c r="D17" i="13"/>
  <c r="C17" i="13"/>
  <c r="B17" i="13"/>
  <c r="A17" i="13"/>
  <c r="E16" i="13"/>
  <c r="D16" i="13"/>
  <c r="C16" i="13"/>
  <c r="B16" i="13"/>
  <c r="A16" i="13"/>
  <c r="E15" i="13"/>
  <c r="D15" i="13"/>
  <c r="C15" i="13"/>
  <c r="B15" i="13"/>
  <c r="A15" i="13"/>
  <c r="E14" i="13"/>
  <c r="D14" i="13"/>
  <c r="C14" i="13"/>
  <c r="B14" i="13"/>
  <c r="A14" i="13"/>
  <c r="E13" i="13"/>
  <c r="D13" i="13"/>
  <c r="C13" i="13"/>
  <c r="B13" i="13"/>
  <c r="A13" i="13"/>
  <c r="E12" i="13"/>
  <c r="D12" i="13"/>
  <c r="C12" i="13"/>
  <c r="B12" i="13"/>
  <c r="A12" i="13"/>
  <c r="E11" i="13"/>
  <c r="D11" i="13"/>
  <c r="C11" i="13"/>
  <c r="B11" i="13"/>
  <c r="A11" i="13"/>
  <c r="E10" i="13"/>
  <c r="D10" i="13"/>
  <c r="C10" i="13"/>
  <c r="B10" i="13"/>
  <c r="A10" i="13"/>
  <c r="E9" i="13"/>
  <c r="D9" i="13"/>
  <c r="C9" i="13"/>
  <c r="B9" i="13"/>
  <c r="A9" i="13"/>
  <c r="E8" i="13"/>
  <c r="D8" i="13"/>
  <c r="C8" i="13"/>
  <c r="B8" i="13"/>
  <c r="A8" i="13"/>
  <c r="E7" i="13"/>
  <c r="D7" i="13"/>
  <c r="C7" i="13"/>
  <c r="B7" i="13"/>
  <c r="A7" i="13"/>
  <c r="E6" i="13"/>
  <c r="D6" i="13"/>
  <c r="C6" i="13"/>
  <c r="B6" i="13"/>
  <c r="A6" i="13"/>
  <c r="E5" i="13"/>
  <c r="D5" i="13"/>
  <c r="C5" i="13"/>
  <c r="B5" i="13"/>
  <c r="A5" i="13"/>
  <c r="E4" i="13"/>
  <c r="D4" i="13"/>
  <c r="C4" i="13"/>
  <c r="B4" i="13"/>
  <c r="A4" i="13"/>
  <c r="E3" i="13"/>
  <c r="D3" i="13"/>
  <c r="C3" i="13"/>
  <c r="B3" i="13"/>
  <c r="A3" i="13"/>
  <c r="E2" i="13"/>
  <c r="D2" i="13"/>
  <c r="C2" i="13"/>
  <c r="B2" i="13"/>
  <c r="A2" i="13"/>
  <c r="E258" i="14"/>
  <c r="D258" i="14"/>
  <c r="C258" i="14"/>
  <c r="B258" i="14"/>
  <c r="A258" i="14"/>
  <c r="E257" i="14"/>
  <c r="D257" i="14"/>
  <c r="C257" i="14"/>
  <c r="B257" i="14"/>
  <c r="A257" i="14"/>
  <c r="E256" i="14"/>
  <c r="D256" i="14"/>
  <c r="C256" i="14"/>
  <c r="B256" i="14"/>
  <c r="A256" i="14"/>
  <c r="E255" i="14"/>
  <c r="D255" i="14"/>
  <c r="C255" i="14"/>
  <c r="B255" i="14"/>
  <c r="A255" i="14"/>
  <c r="E254" i="14"/>
  <c r="D254" i="14"/>
  <c r="C254" i="14"/>
  <c r="B254" i="14"/>
  <c r="A254" i="14"/>
  <c r="E253" i="14"/>
  <c r="D253" i="14"/>
  <c r="C253" i="14"/>
  <c r="B253" i="14"/>
  <c r="A253" i="14"/>
  <c r="E252" i="14"/>
  <c r="D252" i="14"/>
  <c r="C252" i="14"/>
  <c r="B252" i="14"/>
  <c r="A252" i="14"/>
  <c r="E251" i="14"/>
  <c r="D251" i="14"/>
  <c r="C251" i="14"/>
  <c r="B251" i="14"/>
  <c r="A251" i="14"/>
  <c r="E250" i="14"/>
  <c r="D250" i="14"/>
  <c r="C250" i="14"/>
  <c r="B250" i="14"/>
  <c r="A250" i="14"/>
  <c r="E249" i="14"/>
  <c r="D249" i="14"/>
  <c r="C249" i="14"/>
  <c r="B249" i="14"/>
  <c r="A249" i="14"/>
  <c r="E248" i="14"/>
  <c r="D248" i="14"/>
  <c r="C248" i="14"/>
  <c r="B248" i="14"/>
  <c r="A248" i="14"/>
  <c r="E247" i="14"/>
  <c r="D247" i="14"/>
  <c r="C247" i="14"/>
  <c r="B247" i="14"/>
  <c r="A247" i="14"/>
  <c r="E246" i="14"/>
  <c r="D246" i="14"/>
  <c r="C246" i="14"/>
  <c r="B246" i="14"/>
  <c r="A246" i="14"/>
  <c r="E245" i="14"/>
  <c r="D245" i="14"/>
  <c r="C245" i="14"/>
  <c r="B245" i="14"/>
  <c r="A245" i="14"/>
  <c r="E244" i="14"/>
  <c r="D244" i="14"/>
  <c r="C244" i="14"/>
  <c r="B244" i="14"/>
  <c r="A244" i="14"/>
  <c r="E243" i="14"/>
  <c r="D243" i="14"/>
  <c r="C243" i="14"/>
  <c r="B243" i="14"/>
  <c r="A243" i="14"/>
  <c r="E242" i="14"/>
  <c r="D242" i="14"/>
  <c r="C242" i="14"/>
  <c r="B242" i="14"/>
  <c r="A242" i="14"/>
  <c r="E241" i="14"/>
  <c r="D241" i="14"/>
  <c r="C241" i="14"/>
  <c r="B241" i="14"/>
  <c r="A241" i="14"/>
  <c r="E240" i="14"/>
  <c r="D240" i="14"/>
  <c r="C240" i="14"/>
  <c r="B240" i="14"/>
  <c r="A240" i="14"/>
  <c r="E239" i="14"/>
  <c r="D239" i="14"/>
  <c r="C239" i="14"/>
  <c r="B239" i="14"/>
  <c r="A239" i="14"/>
  <c r="E238" i="14"/>
  <c r="D238" i="14"/>
  <c r="C238" i="14"/>
  <c r="B238" i="14"/>
  <c r="A238" i="14"/>
  <c r="E237" i="14"/>
  <c r="D237" i="14"/>
  <c r="C237" i="14"/>
  <c r="B237" i="14"/>
  <c r="A237" i="14"/>
  <c r="E236" i="14"/>
  <c r="D236" i="14"/>
  <c r="C236" i="14"/>
  <c r="B236" i="14"/>
  <c r="A236" i="14"/>
  <c r="E235" i="14"/>
  <c r="D235" i="14"/>
  <c r="C235" i="14"/>
  <c r="B235" i="14"/>
  <c r="A235" i="14"/>
  <c r="E234" i="14"/>
  <c r="D234" i="14"/>
  <c r="C234" i="14"/>
  <c r="B234" i="14"/>
  <c r="A234" i="14"/>
  <c r="E233" i="14"/>
  <c r="D233" i="14"/>
  <c r="C233" i="14"/>
  <c r="B233" i="14"/>
  <c r="A233" i="14"/>
  <c r="E232" i="14"/>
  <c r="D232" i="14"/>
  <c r="C232" i="14"/>
  <c r="B232" i="14"/>
  <c r="A232" i="14"/>
  <c r="E231" i="14"/>
  <c r="D231" i="14"/>
  <c r="C231" i="14"/>
  <c r="B231" i="14"/>
  <c r="A231" i="14"/>
  <c r="E230" i="14"/>
  <c r="D230" i="14"/>
  <c r="C230" i="14"/>
  <c r="B230" i="14"/>
  <c r="A230" i="14"/>
  <c r="E229" i="14"/>
  <c r="D229" i="14"/>
  <c r="C229" i="14"/>
  <c r="B229" i="14"/>
  <c r="A229" i="14"/>
  <c r="E228" i="14"/>
  <c r="D228" i="14"/>
  <c r="C228" i="14"/>
  <c r="B228" i="14"/>
  <c r="A228" i="14"/>
  <c r="E227" i="14"/>
  <c r="D227" i="14"/>
  <c r="C227" i="14"/>
  <c r="B227" i="14"/>
  <c r="A227" i="14"/>
  <c r="E226" i="14"/>
  <c r="D226" i="14"/>
  <c r="C226" i="14"/>
  <c r="B226" i="14"/>
  <c r="A226" i="14"/>
  <c r="E225" i="14"/>
  <c r="D225" i="14"/>
  <c r="C225" i="14"/>
  <c r="B225" i="14"/>
  <c r="A225" i="14"/>
  <c r="E224" i="14"/>
  <c r="D224" i="14"/>
  <c r="C224" i="14"/>
  <c r="B224" i="14"/>
  <c r="A224" i="14"/>
  <c r="E223" i="14"/>
  <c r="D223" i="14"/>
  <c r="C223" i="14"/>
  <c r="B223" i="14"/>
  <c r="A223" i="14"/>
  <c r="E222" i="14"/>
  <c r="D222" i="14"/>
  <c r="C222" i="14"/>
  <c r="B222" i="14"/>
  <c r="A222" i="14"/>
  <c r="E221" i="14"/>
  <c r="D221" i="14"/>
  <c r="C221" i="14"/>
  <c r="B221" i="14"/>
  <c r="A221" i="14"/>
  <c r="E220" i="14"/>
  <c r="D220" i="14"/>
  <c r="C220" i="14"/>
  <c r="B220" i="14"/>
  <c r="A220" i="14"/>
  <c r="E219" i="14"/>
  <c r="D219" i="14"/>
  <c r="C219" i="14"/>
  <c r="B219" i="14"/>
  <c r="A219" i="14"/>
  <c r="E218" i="14"/>
  <c r="D218" i="14"/>
  <c r="C218" i="14"/>
  <c r="B218" i="14"/>
  <c r="A218" i="14"/>
  <c r="E217" i="14"/>
  <c r="D217" i="14"/>
  <c r="C217" i="14"/>
  <c r="B217" i="14"/>
  <c r="A217" i="14"/>
  <c r="E216" i="14"/>
  <c r="D216" i="14"/>
  <c r="C216" i="14"/>
  <c r="B216" i="14"/>
  <c r="A216" i="14"/>
  <c r="E215" i="14"/>
  <c r="D215" i="14"/>
  <c r="C215" i="14"/>
  <c r="B215" i="14"/>
  <c r="A215" i="14"/>
  <c r="E214" i="14"/>
  <c r="D214" i="14"/>
  <c r="C214" i="14"/>
  <c r="B214" i="14"/>
  <c r="A214" i="14"/>
  <c r="E213" i="14"/>
  <c r="D213" i="14"/>
  <c r="C213" i="14"/>
  <c r="B213" i="14"/>
  <c r="A213" i="14"/>
  <c r="E212" i="14"/>
  <c r="D212" i="14"/>
  <c r="C212" i="14"/>
  <c r="B212" i="14"/>
  <c r="A212" i="14"/>
  <c r="E211" i="14"/>
  <c r="D211" i="14"/>
  <c r="C211" i="14"/>
  <c r="B211" i="14"/>
  <c r="A211" i="14"/>
  <c r="E210" i="14"/>
  <c r="D210" i="14"/>
  <c r="C210" i="14"/>
  <c r="B210" i="14"/>
  <c r="A210" i="14"/>
  <c r="E209" i="14"/>
  <c r="D209" i="14"/>
  <c r="C209" i="14"/>
  <c r="B209" i="14"/>
  <c r="A209" i="14"/>
  <c r="E208" i="14"/>
  <c r="D208" i="14"/>
  <c r="C208" i="14"/>
  <c r="B208" i="14"/>
  <c r="A208" i="14"/>
  <c r="E207" i="14"/>
  <c r="D207" i="14"/>
  <c r="C207" i="14"/>
  <c r="B207" i="14"/>
  <c r="A207" i="14"/>
  <c r="E206" i="14"/>
  <c r="D206" i="14"/>
  <c r="C206" i="14"/>
  <c r="B206" i="14"/>
  <c r="A206" i="14"/>
  <c r="E205" i="14"/>
  <c r="D205" i="14"/>
  <c r="C205" i="14"/>
  <c r="B205" i="14"/>
  <c r="A205" i="14"/>
  <c r="E204" i="14"/>
  <c r="D204" i="14"/>
  <c r="C204" i="14"/>
  <c r="B204" i="14"/>
  <c r="A204" i="14"/>
  <c r="E203" i="14"/>
  <c r="D203" i="14"/>
  <c r="C203" i="14"/>
  <c r="B203" i="14"/>
  <c r="A203" i="14"/>
  <c r="E202" i="14"/>
  <c r="D202" i="14"/>
  <c r="C202" i="14"/>
  <c r="B202" i="14"/>
  <c r="A202" i="14"/>
  <c r="E201" i="14"/>
  <c r="D201" i="14"/>
  <c r="C201" i="14"/>
  <c r="B201" i="14"/>
  <c r="A201" i="14"/>
  <c r="E200" i="14"/>
  <c r="D200" i="14"/>
  <c r="C200" i="14"/>
  <c r="B200" i="14"/>
  <c r="A200" i="14"/>
  <c r="E199" i="14"/>
  <c r="D199" i="14"/>
  <c r="C199" i="14"/>
  <c r="B199" i="14"/>
  <c r="A199" i="14"/>
  <c r="E198" i="14"/>
  <c r="D198" i="14"/>
  <c r="C198" i="14"/>
  <c r="B198" i="14"/>
  <c r="A198" i="14"/>
  <c r="E197" i="14"/>
  <c r="D197" i="14"/>
  <c r="C197" i="14"/>
  <c r="B197" i="14"/>
  <c r="A197" i="14"/>
  <c r="E196" i="14"/>
  <c r="D196" i="14"/>
  <c r="C196" i="14"/>
  <c r="B196" i="14"/>
  <c r="A196" i="14"/>
  <c r="E195" i="14"/>
  <c r="D195" i="14"/>
  <c r="C195" i="14"/>
  <c r="B195" i="14"/>
  <c r="A195" i="14"/>
  <c r="E194" i="14"/>
  <c r="D194" i="14"/>
  <c r="C194" i="14"/>
  <c r="B194" i="14"/>
  <c r="A194" i="14"/>
  <c r="E193" i="14"/>
  <c r="D193" i="14"/>
  <c r="C193" i="14"/>
  <c r="B193" i="14"/>
  <c r="A193" i="14"/>
  <c r="E192" i="14"/>
  <c r="D192" i="14"/>
  <c r="C192" i="14"/>
  <c r="B192" i="14"/>
  <c r="A192" i="14"/>
  <c r="E191" i="14"/>
  <c r="D191" i="14"/>
  <c r="C191" i="14"/>
  <c r="B191" i="14"/>
  <c r="A191" i="14"/>
  <c r="E190" i="14"/>
  <c r="D190" i="14"/>
  <c r="C190" i="14"/>
  <c r="B190" i="14"/>
  <c r="A190" i="14"/>
  <c r="E189" i="14"/>
  <c r="D189" i="14"/>
  <c r="C189" i="14"/>
  <c r="B189" i="14"/>
  <c r="A189" i="14"/>
  <c r="E188" i="14"/>
  <c r="D188" i="14"/>
  <c r="C188" i="14"/>
  <c r="B188" i="14"/>
  <c r="A188" i="14"/>
  <c r="E187" i="14"/>
  <c r="D187" i="14"/>
  <c r="C187" i="14"/>
  <c r="B187" i="14"/>
  <c r="A187" i="14"/>
  <c r="E186" i="14"/>
  <c r="D186" i="14"/>
  <c r="C186" i="14"/>
  <c r="B186" i="14"/>
  <c r="A186" i="14"/>
  <c r="E185" i="14"/>
  <c r="D185" i="14"/>
  <c r="C185" i="14"/>
  <c r="B185" i="14"/>
  <c r="A185" i="14"/>
  <c r="E184" i="14"/>
  <c r="D184" i="14"/>
  <c r="C184" i="14"/>
  <c r="B184" i="14"/>
  <c r="A184" i="14"/>
  <c r="E183" i="14"/>
  <c r="D183" i="14"/>
  <c r="C183" i="14"/>
  <c r="B183" i="14"/>
  <c r="A183" i="14"/>
  <c r="E182" i="14"/>
  <c r="D182" i="14"/>
  <c r="C182" i="14"/>
  <c r="B182" i="14"/>
  <c r="A182" i="14"/>
  <c r="E181" i="14"/>
  <c r="D181" i="14"/>
  <c r="C181" i="14"/>
  <c r="B181" i="14"/>
  <c r="A181" i="14"/>
  <c r="E180" i="14"/>
  <c r="D180" i="14"/>
  <c r="C180" i="14"/>
  <c r="B180" i="14"/>
  <c r="A180" i="14"/>
  <c r="E179" i="14"/>
  <c r="D179" i="14"/>
  <c r="C179" i="14"/>
  <c r="B179" i="14"/>
  <c r="A179" i="14"/>
  <c r="E178" i="14"/>
  <c r="D178" i="14"/>
  <c r="C178" i="14"/>
  <c r="B178" i="14"/>
  <c r="A178" i="14"/>
  <c r="E177" i="14"/>
  <c r="D177" i="14"/>
  <c r="C177" i="14"/>
  <c r="B177" i="14"/>
  <c r="A177" i="14"/>
  <c r="E176" i="14"/>
  <c r="D176" i="14"/>
  <c r="C176" i="14"/>
  <c r="B176" i="14"/>
  <c r="A176" i="14"/>
  <c r="E175" i="14"/>
  <c r="D175" i="14"/>
  <c r="C175" i="14"/>
  <c r="B175" i="14"/>
  <c r="A175" i="14"/>
  <c r="E174" i="14"/>
  <c r="D174" i="14"/>
  <c r="C174" i="14"/>
  <c r="B174" i="14"/>
  <c r="A174" i="14"/>
  <c r="E173" i="14"/>
  <c r="D173" i="14"/>
  <c r="C173" i="14"/>
  <c r="B173" i="14"/>
  <c r="A173" i="14"/>
  <c r="E172" i="14"/>
  <c r="D172" i="14"/>
  <c r="C172" i="14"/>
  <c r="B172" i="14"/>
  <c r="A172" i="14"/>
  <c r="E171" i="14"/>
  <c r="D171" i="14"/>
  <c r="C171" i="14"/>
  <c r="B171" i="14"/>
  <c r="A171" i="14"/>
  <c r="E170" i="14"/>
  <c r="D170" i="14"/>
  <c r="C170" i="14"/>
  <c r="B170" i="14"/>
  <c r="A170" i="14"/>
  <c r="E169" i="14"/>
  <c r="D169" i="14"/>
  <c r="C169" i="14"/>
  <c r="B169" i="14"/>
  <c r="A169" i="14"/>
  <c r="E168" i="14"/>
  <c r="D168" i="14"/>
  <c r="C168" i="14"/>
  <c r="B168" i="14"/>
  <c r="A168" i="14"/>
  <c r="E167" i="14"/>
  <c r="D167" i="14"/>
  <c r="C167" i="14"/>
  <c r="B167" i="14"/>
  <c r="A167" i="14"/>
  <c r="E166" i="14"/>
  <c r="D166" i="14"/>
  <c r="C166" i="14"/>
  <c r="B166" i="14"/>
  <c r="A166" i="14"/>
  <c r="E165" i="14"/>
  <c r="D165" i="14"/>
  <c r="C165" i="14"/>
  <c r="B165" i="14"/>
  <c r="A165" i="14"/>
  <c r="E164" i="14"/>
  <c r="D164" i="14"/>
  <c r="C164" i="14"/>
  <c r="B164" i="14"/>
  <c r="A164" i="14"/>
  <c r="E163" i="14"/>
  <c r="D163" i="14"/>
  <c r="C163" i="14"/>
  <c r="B163" i="14"/>
  <c r="A163" i="14"/>
  <c r="E162" i="14"/>
  <c r="D162" i="14"/>
  <c r="C162" i="14"/>
  <c r="B162" i="14"/>
  <c r="A162" i="14"/>
  <c r="E161" i="14"/>
  <c r="D161" i="14"/>
  <c r="C161" i="14"/>
  <c r="B161" i="14"/>
  <c r="A161" i="14"/>
  <c r="E160" i="14"/>
  <c r="D160" i="14"/>
  <c r="C160" i="14"/>
  <c r="B160" i="14"/>
  <c r="A160" i="14"/>
  <c r="E159" i="14"/>
  <c r="D159" i="14"/>
  <c r="C159" i="14"/>
  <c r="B159" i="14"/>
  <c r="A159" i="14"/>
  <c r="E158" i="14"/>
  <c r="D158" i="14"/>
  <c r="C158" i="14"/>
  <c r="B158" i="14"/>
  <c r="A158" i="14"/>
  <c r="E157" i="14"/>
  <c r="D157" i="14"/>
  <c r="C157" i="14"/>
  <c r="B157" i="14"/>
  <c r="A157" i="14"/>
  <c r="E156" i="14"/>
  <c r="D156" i="14"/>
  <c r="C156" i="14"/>
  <c r="B156" i="14"/>
  <c r="A156" i="14"/>
  <c r="E155" i="14"/>
  <c r="D155" i="14"/>
  <c r="C155" i="14"/>
  <c r="B155" i="14"/>
  <c r="A155" i="14"/>
  <c r="E154" i="14"/>
  <c r="D154" i="14"/>
  <c r="C154" i="14"/>
  <c r="B154" i="14"/>
  <c r="A154" i="14"/>
  <c r="E153" i="14"/>
  <c r="D153" i="14"/>
  <c r="C153" i="14"/>
  <c r="B153" i="14"/>
  <c r="A153" i="14"/>
  <c r="E152" i="14"/>
  <c r="D152" i="14"/>
  <c r="C152" i="14"/>
  <c r="B152" i="14"/>
  <c r="A152" i="14"/>
  <c r="E151" i="14"/>
  <c r="D151" i="14"/>
  <c r="C151" i="14"/>
  <c r="B151" i="14"/>
  <c r="A151" i="14"/>
  <c r="E150" i="14"/>
  <c r="D150" i="14"/>
  <c r="C150" i="14"/>
  <c r="B150" i="14"/>
  <c r="A150" i="14"/>
  <c r="E149" i="14"/>
  <c r="D149" i="14"/>
  <c r="C149" i="14"/>
  <c r="B149" i="14"/>
  <c r="A149" i="14"/>
  <c r="E148" i="14"/>
  <c r="D148" i="14"/>
  <c r="C148" i="14"/>
  <c r="B148" i="14"/>
  <c r="A148" i="14"/>
  <c r="E147" i="14"/>
  <c r="D147" i="14"/>
  <c r="C147" i="14"/>
  <c r="B147" i="14"/>
  <c r="A147" i="14"/>
  <c r="E146" i="14"/>
  <c r="D146" i="14"/>
  <c r="C146" i="14"/>
  <c r="B146" i="14"/>
  <c r="A146" i="14"/>
  <c r="E145" i="14"/>
  <c r="D145" i="14"/>
  <c r="C145" i="14"/>
  <c r="B145" i="14"/>
  <c r="A145" i="14"/>
  <c r="E144" i="14"/>
  <c r="D144" i="14"/>
  <c r="C144" i="14"/>
  <c r="B144" i="14"/>
  <c r="A144" i="14"/>
  <c r="E143" i="14"/>
  <c r="D143" i="14"/>
  <c r="C143" i="14"/>
  <c r="B143" i="14"/>
  <c r="A143" i="14"/>
  <c r="E142" i="14"/>
  <c r="D142" i="14"/>
  <c r="C142" i="14"/>
  <c r="B142" i="14"/>
  <c r="A142" i="14"/>
  <c r="E141" i="14"/>
  <c r="D141" i="14"/>
  <c r="C141" i="14"/>
  <c r="B141" i="14"/>
  <c r="A141" i="14"/>
  <c r="E140" i="14"/>
  <c r="D140" i="14"/>
  <c r="C140" i="14"/>
  <c r="B140" i="14"/>
  <c r="A140" i="14"/>
  <c r="E139" i="14"/>
  <c r="D139" i="14"/>
  <c r="C139" i="14"/>
  <c r="B139" i="14"/>
  <c r="A139" i="14"/>
  <c r="E138" i="14"/>
  <c r="D138" i="14"/>
  <c r="C138" i="14"/>
  <c r="B138" i="14"/>
  <c r="A138" i="14"/>
  <c r="E137" i="14"/>
  <c r="D137" i="14"/>
  <c r="C137" i="14"/>
  <c r="B137" i="14"/>
  <c r="A137" i="14"/>
  <c r="E136" i="14"/>
  <c r="D136" i="14"/>
  <c r="C136" i="14"/>
  <c r="B136" i="14"/>
  <c r="A136" i="14"/>
  <c r="E135" i="14"/>
  <c r="D135" i="14"/>
  <c r="C135" i="14"/>
  <c r="B135" i="14"/>
  <c r="A135" i="14"/>
  <c r="E134" i="14"/>
  <c r="D134" i="14"/>
  <c r="C134" i="14"/>
  <c r="B134" i="14"/>
  <c r="A134" i="14"/>
  <c r="E133" i="14"/>
  <c r="D133" i="14"/>
  <c r="C133" i="14"/>
  <c r="B133" i="14"/>
  <c r="A133" i="14"/>
  <c r="E132" i="14"/>
  <c r="D132" i="14"/>
  <c r="C132" i="14"/>
  <c r="B132" i="14"/>
  <c r="A132" i="14"/>
  <c r="E131" i="14"/>
  <c r="D131" i="14"/>
  <c r="C131" i="14"/>
  <c r="B131" i="14"/>
  <c r="A131" i="14"/>
  <c r="E130" i="14"/>
  <c r="D130" i="14"/>
  <c r="C130" i="14"/>
  <c r="B130" i="14"/>
  <c r="A130" i="14"/>
  <c r="E129" i="14"/>
  <c r="D129" i="14"/>
  <c r="C129" i="14"/>
  <c r="B129" i="14"/>
  <c r="A129" i="14"/>
  <c r="E128" i="14"/>
  <c r="D128" i="14"/>
  <c r="C128" i="14"/>
  <c r="B128" i="14"/>
  <c r="A128" i="14"/>
  <c r="E127" i="14"/>
  <c r="D127" i="14"/>
  <c r="C127" i="14"/>
  <c r="B127" i="14"/>
  <c r="A127" i="14"/>
  <c r="E126" i="14"/>
  <c r="D126" i="14"/>
  <c r="C126" i="14"/>
  <c r="B126" i="14"/>
  <c r="A126" i="14"/>
  <c r="E125" i="14"/>
  <c r="D125" i="14"/>
  <c r="C125" i="14"/>
  <c r="B125" i="14"/>
  <c r="A125" i="14"/>
  <c r="E124" i="14"/>
  <c r="D124" i="14"/>
  <c r="C124" i="14"/>
  <c r="B124" i="14"/>
  <c r="A124" i="14"/>
  <c r="E123" i="14"/>
  <c r="D123" i="14"/>
  <c r="C123" i="14"/>
  <c r="B123" i="14"/>
  <c r="A123" i="14"/>
  <c r="E122" i="14"/>
  <c r="D122" i="14"/>
  <c r="C122" i="14"/>
  <c r="B122" i="14"/>
  <c r="A122" i="14"/>
  <c r="E121" i="14"/>
  <c r="D121" i="14"/>
  <c r="C121" i="14"/>
  <c r="B121" i="14"/>
  <c r="A121" i="14"/>
  <c r="E120" i="14"/>
  <c r="D120" i="14"/>
  <c r="C120" i="14"/>
  <c r="B120" i="14"/>
  <c r="A120" i="14"/>
  <c r="E119" i="14"/>
  <c r="D119" i="14"/>
  <c r="C119" i="14"/>
  <c r="B119" i="14"/>
  <c r="A119" i="14"/>
  <c r="E118" i="14"/>
  <c r="D118" i="14"/>
  <c r="C118" i="14"/>
  <c r="B118" i="14"/>
  <c r="A118" i="14"/>
  <c r="E117" i="14"/>
  <c r="D117" i="14"/>
  <c r="C117" i="14"/>
  <c r="B117" i="14"/>
  <c r="A117" i="14"/>
  <c r="E116" i="14"/>
  <c r="D116" i="14"/>
  <c r="C116" i="14"/>
  <c r="B116" i="14"/>
  <c r="A116" i="14"/>
  <c r="E115" i="14"/>
  <c r="D115" i="14"/>
  <c r="C115" i="14"/>
  <c r="B115" i="14"/>
  <c r="A115" i="14"/>
  <c r="E114" i="14"/>
  <c r="D114" i="14"/>
  <c r="C114" i="14"/>
  <c r="B114" i="14"/>
  <c r="A114" i="14"/>
  <c r="E113" i="14"/>
  <c r="D113" i="14"/>
  <c r="C113" i="14"/>
  <c r="B113" i="14"/>
  <c r="A113" i="14"/>
  <c r="E112" i="14"/>
  <c r="D112" i="14"/>
  <c r="C112" i="14"/>
  <c r="B112" i="14"/>
  <c r="A112" i="14"/>
  <c r="E111" i="14"/>
  <c r="D111" i="14"/>
  <c r="C111" i="14"/>
  <c r="B111" i="14"/>
  <c r="A111" i="14"/>
  <c r="E110" i="14"/>
  <c r="D110" i="14"/>
  <c r="C110" i="14"/>
  <c r="B110" i="14"/>
  <c r="A110" i="14"/>
  <c r="E109" i="14"/>
  <c r="D109" i="14"/>
  <c r="C109" i="14"/>
  <c r="B109" i="14"/>
  <c r="A109" i="14"/>
  <c r="E108" i="14"/>
  <c r="D108" i="14"/>
  <c r="C108" i="14"/>
  <c r="B108" i="14"/>
  <c r="A108" i="14"/>
  <c r="E107" i="14"/>
  <c r="D107" i="14"/>
  <c r="C107" i="14"/>
  <c r="B107" i="14"/>
  <c r="A107" i="14"/>
  <c r="E106" i="14"/>
  <c r="D106" i="14"/>
  <c r="C106" i="14"/>
  <c r="B106" i="14"/>
  <c r="A106" i="14"/>
  <c r="E105" i="14"/>
  <c r="D105" i="14"/>
  <c r="C105" i="14"/>
  <c r="B105" i="14"/>
  <c r="A105" i="14"/>
  <c r="E104" i="14"/>
  <c r="D104" i="14"/>
  <c r="C104" i="14"/>
  <c r="B104" i="14"/>
  <c r="A104" i="14"/>
  <c r="E103" i="14"/>
  <c r="D103" i="14"/>
  <c r="C103" i="14"/>
  <c r="B103" i="14"/>
  <c r="A103" i="14"/>
  <c r="E102" i="14"/>
  <c r="D102" i="14"/>
  <c r="C102" i="14"/>
  <c r="B102" i="14"/>
  <c r="A102" i="14"/>
  <c r="E101" i="14"/>
  <c r="D101" i="14"/>
  <c r="C101" i="14"/>
  <c r="B101" i="14"/>
  <c r="A101" i="14"/>
  <c r="E100" i="14"/>
  <c r="D100" i="14"/>
  <c r="C100" i="14"/>
  <c r="B100" i="14"/>
  <c r="A100" i="14"/>
  <c r="E99" i="14"/>
  <c r="D99" i="14"/>
  <c r="C99" i="14"/>
  <c r="B99" i="14"/>
  <c r="A99" i="14"/>
  <c r="E98" i="14"/>
  <c r="D98" i="14"/>
  <c r="C98" i="14"/>
  <c r="B98" i="14"/>
  <c r="A98" i="14"/>
  <c r="E97" i="14"/>
  <c r="D97" i="14"/>
  <c r="C97" i="14"/>
  <c r="B97" i="14"/>
  <c r="A97" i="14"/>
  <c r="E96" i="14"/>
  <c r="D96" i="14"/>
  <c r="C96" i="14"/>
  <c r="B96" i="14"/>
  <c r="A96" i="14"/>
  <c r="E95" i="14"/>
  <c r="D95" i="14"/>
  <c r="C95" i="14"/>
  <c r="B95" i="14"/>
  <c r="A95" i="14"/>
  <c r="E94" i="14"/>
  <c r="D94" i="14"/>
  <c r="C94" i="14"/>
  <c r="B94" i="14"/>
  <c r="A94" i="14"/>
  <c r="E93" i="14"/>
  <c r="D93" i="14"/>
  <c r="C93" i="14"/>
  <c r="B93" i="14"/>
  <c r="A93" i="14"/>
  <c r="E92" i="14"/>
  <c r="D92" i="14"/>
  <c r="C92" i="14"/>
  <c r="B92" i="14"/>
  <c r="A92" i="14"/>
  <c r="E91" i="14"/>
  <c r="D91" i="14"/>
  <c r="C91" i="14"/>
  <c r="B91" i="14"/>
  <c r="A91" i="14"/>
  <c r="E90" i="14"/>
  <c r="D90" i="14"/>
  <c r="C90" i="14"/>
  <c r="B90" i="14"/>
  <c r="A90" i="14"/>
  <c r="E89" i="14"/>
  <c r="D89" i="14"/>
  <c r="C89" i="14"/>
  <c r="B89" i="14"/>
  <c r="A89" i="14"/>
  <c r="E88" i="14"/>
  <c r="D88" i="14"/>
  <c r="C88" i="14"/>
  <c r="B88" i="14"/>
  <c r="A88" i="14"/>
  <c r="E87" i="14"/>
  <c r="D87" i="14"/>
  <c r="C87" i="14"/>
  <c r="B87" i="14"/>
  <c r="A87" i="14"/>
  <c r="E86" i="14"/>
  <c r="D86" i="14"/>
  <c r="C86" i="14"/>
  <c r="B86" i="14"/>
  <c r="A86" i="14"/>
  <c r="E85" i="14"/>
  <c r="D85" i="14"/>
  <c r="C85" i="14"/>
  <c r="B85" i="14"/>
  <c r="A85" i="14"/>
  <c r="E84" i="14"/>
  <c r="D84" i="14"/>
  <c r="C84" i="14"/>
  <c r="B84" i="14"/>
  <c r="A84" i="14"/>
  <c r="E83" i="14"/>
  <c r="D83" i="14"/>
  <c r="C83" i="14"/>
  <c r="B83" i="14"/>
  <c r="A83" i="14"/>
  <c r="E82" i="14"/>
  <c r="D82" i="14"/>
  <c r="C82" i="14"/>
  <c r="B82" i="14"/>
  <c r="A82" i="14"/>
  <c r="E81" i="14"/>
  <c r="D81" i="14"/>
  <c r="C81" i="14"/>
  <c r="B81" i="14"/>
  <c r="A81" i="14"/>
  <c r="E80" i="14"/>
  <c r="D80" i="14"/>
  <c r="C80" i="14"/>
  <c r="B80" i="14"/>
  <c r="A80" i="14"/>
  <c r="E79" i="14"/>
  <c r="D79" i="14"/>
  <c r="C79" i="14"/>
  <c r="B79" i="14"/>
  <c r="A79" i="14"/>
  <c r="E78" i="14"/>
  <c r="D78" i="14"/>
  <c r="C78" i="14"/>
  <c r="B78" i="14"/>
  <c r="A78" i="14"/>
  <c r="E77" i="14"/>
  <c r="D77" i="14"/>
  <c r="C77" i="14"/>
  <c r="B77" i="14"/>
  <c r="A77" i="14"/>
  <c r="E76" i="14"/>
  <c r="D76" i="14"/>
  <c r="C76" i="14"/>
  <c r="B76" i="14"/>
  <c r="A76" i="14"/>
  <c r="E75" i="14"/>
  <c r="D75" i="14"/>
  <c r="C75" i="14"/>
  <c r="B75" i="14"/>
  <c r="A75" i="14"/>
  <c r="E74" i="14"/>
  <c r="D74" i="14"/>
  <c r="C74" i="14"/>
  <c r="B74" i="14"/>
  <c r="A74" i="14"/>
  <c r="E73" i="14"/>
  <c r="D73" i="14"/>
  <c r="C73" i="14"/>
  <c r="B73" i="14"/>
  <c r="A73" i="14"/>
  <c r="E72" i="14"/>
  <c r="D72" i="14"/>
  <c r="C72" i="14"/>
  <c r="B72" i="14"/>
  <c r="A72" i="14"/>
  <c r="E71" i="14"/>
  <c r="D71" i="14"/>
  <c r="C71" i="14"/>
  <c r="B71" i="14"/>
  <c r="A71" i="14"/>
  <c r="E70" i="14"/>
  <c r="D70" i="14"/>
  <c r="C70" i="14"/>
  <c r="B70" i="14"/>
  <c r="A70" i="14"/>
  <c r="E69" i="14"/>
  <c r="D69" i="14"/>
  <c r="C69" i="14"/>
  <c r="B69" i="14"/>
  <c r="A69" i="14"/>
  <c r="E68" i="14"/>
  <c r="D68" i="14"/>
  <c r="C68" i="14"/>
  <c r="B68" i="14"/>
  <c r="A68" i="14"/>
  <c r="E67" i="14"/>
  <c r="D67" i="14"/>
  <c r="C67" i="14"/>
  <c r="B67" i="14"/>
  <c r="A67" i="14"/>
  <c r="E66" i="14"/>
  <c r="D66" i="14"/>
  <c r="C66" i="14"/>
  <c r="B66" i="14"/>
  <c r="A66" i="14"/>
  <c r="E65" i="14"/>
  <c r="D65" i="14"/>
  <c r="C65" i="14"/>
  <c r="B65" i="14"/>
  <c r="A65" i="14"/>
  <c r="E64" i="14"/>
  <c r="D64" i="14"/>
  <c r="C64" i="14"/>
  <c r="B64" i="14"/>
  <c r="A64" i="14"/>
  <c r="E63" i="14"/>
  <c r="D63" i="14"/>
  <c r="C63" i="14"/>
  <c r="B63" i="14"/>
  <c r="A63" i="14"/>
  <c r="E62" i="14"/>
  <c r="D62" i="14"/>
  <c r="C62" i="14"/>
  <c r="B62" i="14"/>
  <c r="A62" i="14"/>
  <c r="E61" i="14"/>
  <c r="D61" i="14"/>
  <c r="C61" i="14"/>
  <c r="B61" i="14"/>
  <c r="A61" i="14"/>
  <c r="E60" i="14"/>
  <c r="D60" i="14"/>
  <c r="C60" i="14"/>
  <c r="B60" i="14"/>
  <c r="A60" i="14"/>
  <c r="E59" i="14"/>
  <c r="D59" i="14"/>
  <c r="C59" i="14"/>
  <c r="B59" i="14"/>
  <c r="A59" i="14"/>
  <c r="E58" i="14"/>
  <c r="D58" i="14"/>
  <c r="C58" i="14"/>
  <c r="B58" i="14"/>
  <c r="A58" i="14"/>
  <c r="E57" i="14"/>
  <c r="D57" i="14"/>
  <c r="C57" i="14"/>
  <c r="B57" i="14"/>
  <c r="A57" i="14"/>
  <c r="E56" i="14"/>
  <c r="D56" i="14"/>
  <c r="C56" i="14"/>
  <c r="B56" i="14"/>
  <c r="A56" i="14"/>
  <c r="E55" i="14"/>
  <c r="D55" i="14"/>
  <c r="C55" i="14"/>
  <c r="B55" i="14"/>
  <c r="A55" i="14"/>
  <c r="E54" i="14"/>
  <c r="D54" i="14"/>
  <c r="C54" i="14"/>
  <c r="B54" i="14"/>
  <c r="A54" i="14"/>
  <c r="E53" i="14"/>
  <c r="D53" i="14"/>
  <c r="C53" i="14"/>
  <c r="B53" i="14"/>
  <c r="A53" i="14"/>
  <c r="E52" i="14"/>
  <c r="D52" i="14"/>
  <c r="C52" i="14"/>
  <c r="B52" i="14"/>
  <c r="A52" i="14"/>
  <c r="E51" i="14"/>
  <c r="D51" i="14"/>
  <c r="C51" i="14"/>
  <c r="B51" i="14"/>
  <c r="A51" i="14"/>
  <c r="E50" i="14"/>
  <c r="D50" i="14"/>
  <c r="C50" i="14"/>
  <c r="B50" i="14"/>
  <c r="A50" i="14"/>
  <c r="E49" i="14"/>
  <c r="D49" i="14"/>
  <c r="C49" i="14"/>
  <c r="B49" i="14"/>
  <c r="A49" i="14"/>
  <c r="E48" i="14"/>
  <c r="D48" i="14"/>
  <c r="C48" i="14"/>
  <c r="B48" i="14"/>
  <c r="A48" i="14"/>
  <c r="E47" i="14"/>
  <c r="D47" i="14"/>
  <c r="C47" i="14"/>
  <c r="B47" i="14"/>
  <c r="A47" i="14"/>
  <c r="E46" i="14"/>
  <c r="D46" i="14"/>
  <c r="C46" i="14"/>
  <c r="B46" i="14"/>
  <c r="A46" i="14"/>
  <c r="E45" i="14"/>
  <c r="D45" i="14"/>
  <c r="C45" i="14"/>
  <c r="B45" i="14"/>
  <c r="A45" i="14"/>
  <c r="E44" i="14"/>
  <c r="D44" i="14"/>
  <c r="C44" i="14"/>
  <c r="B44" i="14"/>
  <c r="A44" i="14"/>
  <c r="E43" i="14"/>
  <c r="D43" i="14"/>
  <c r="C43" i="14"/>
  <c r="B43" i="14"/>
  <c r="A43" i="14"/>
  <c r="E42" i="14"/>
  <c r="D42" i="14"/>
  <c r="C42" i="14"/>
  <c r="B42" i="14"/>
  <c r="A42" i="14"/>
  <c r="E41" i="14"/>
  <c r="D41" i="14"/>
  <c r="C41" i="14"/>
  <c r="B41" i="14"/>
  <c r="A41" i="14"/>
  <c r="E40" i="14"/>
  <c r="D40" i="14"/>
  <c r="C40" i="14"/>
  <c r="B40" i="14"/>
  <c r="A40" i="14"/>
  <c r="E39" i="14"/>
  <c r="D39" i="14"/>
  <c r="C39" i="14"/>
  <c r="B39" i="14"/>
  <c r="A39" i="14"/>
  <c r="E38" i="14"/>
  <c r="D38" i="14"/>
  <c r="C38" i="14"/>
  <c r="B38" i="14"/>
  <c r="A38" i="14"/>
  <c r="E37" i="14"/>
  <c r="D37" i="14"/>
  <c r="C37" i="14"/>
  <c r="B37" i="14"/>
  <c r="A37" i="14"/>
  <c r="E36" i="14"/>
  <c r="D36" i="14"/>
  <c r="C36" i="14"/>
  <c r="B36" i="14"/>
  <c r="A36" i="14"/>
  <c r="E35" i="14"/>
  <c r="D35" i="14"/>
  <c r="C35" i="14"/>
  <c r="B35" i="14"/>
  <c r="A35" i="14"/>
  <c r="E34" i="14"/>
  <c r="D34" i="14"/>
  <c r="C34" i="14"/>
  <c r="B34" i="14"/>
  <c r="A34" i="14"/>
  <c r="E33" i="14"/>
  <c r="D33" i="14"/>
  <c r="C33" i="14"/>
  <c r="B33" i="14"/>
  <c r="A33" i="14"/>
  <c r="E32" i="14"/>
  <c r="D32" i="14"/>
  <c r="C32" i="14"/>
  <c r="B32" i="14"/>
  <c r="A32" i="14"/>
  <c r="E31" i="14"/>
  <c r="D31" i="14"/>
  <c r="C31" i="14"/>
  <c r="B31" i="14"/>
  <c r="A31" i="14"/>
  <c r="E30" i="14"/>
  <c r="D30" i="14"/>
  <c r="C30" i="14"/>
  <c r="B30" i="14"/>
  <c r="A30" i="14"/>
  <c r="E29" i="14"/>
  <c r="D29" i="14"/>
  <c r="C29" i="14"/>
  <c r="B29" i="14"/>
  <c r="A29" i="14"/>
  <c r="E28" i="14"/>
  <c r="D28" i="14"/>
  <c r="C28" i="14"/>
  <c r="B28" i="14"/>
  <c r="A28" i="14"/>
  <c r="E27" i="14"/>
  <c r="D27" i="14"/>
  <c r="C27" i="14"/>
  <c r="B27" i="14"/>
  <c r="A27" i="14"/>
  <c r="E26" i="14"/>
  <c r="D26" i="14"/>
  <c r="C26" i="14"/>
  <c r="B26" i="14"/>
  <c r="A26" i="14"/>
  <c r="E25" i="14"/>
  <c r="D25" i="14"/>
  <c r="C25" i="14"/>
  <c r="B25" i="14"/>
  <c r="A25" i="14"/>
  <c r="E24" i="14"/>
  <c r="D24" i="14"/>
  <c r="C24" i="14"/>
  <c r="B24" i="14"/>
  <c r="A24" i="14"/>
  <c r="E23" i="14"/>
  <c r="D23" i="14"/>
  <c r="C23" i="14"/>
  <c r="B23" i="14"/>
  <c r="A23" i="14"/>
  <c r="E22" i="14"/>
  <c r="D22" i="14"/>
  <c r="C22" i="14"/>
  <c r="B22" i="14"/>
  <c r="A22" i="14"/>
  <c r="E21" i="14"/>
  <c r="D21" i="14"/>
  <c r="C21" i="14"/>
  <c r="B21" i="14"/>
  <c r="A21" i="14"/>
  <c r="E20" i="14"/>
  <c r="D20" i="14"/>
  <c r="C20" i="14"/>
  <c r="B20" i="14"/>
  <c r="A20" i="14"/>
  <c r="E19" i="14"/>
  <c r="D19" i="14"/>
  <c r="C19" i="14"/>
  <c r="B19" i="14"/>
  <c r="A19" i="14"/>
  <c r="E18" i="14"/>
  <c r="D18" i="14"/>
  <c r="C18" i="14"/>
  <c r="B18" i="14"/>
  <c r="A18" i="14"/>
  <c r="E17" i="14"/>
  <c r="D17" i="14"/>
  <c r="C17" i="14"/>
  <c r="B17" i="14"/>
  <c r="A17" i="14"/>
  <c r="E16" i="14"/>
  <c r="D16" i="14"/>
  <c r="C16" i="14"/>
  <c r="B16" i="14"/>
  <c r="A16" i="14"/>
  <c r="E15" i="14"/>
  <c r="D15" i="14"/>
  <c r="C15" i="14"/>
  <c r="B15" i="14"/>
  <c r="A15" i="14"/>
  <c r="E14" i="14"/>
  <c r="D14" i="14"/>
  <c r="C14" i="14"/>
  <c r="B14" i="14"/>
  <c r="A14" i="14"/>
  <c r="E13" i="14"/>
  <c r="D13" i="14"/>
  <c r="C13" i="14"/>
  <c r="B13" i="14"/>
  <c r="A13" i="14"/>
  <c r="E12" i="14"/>
  <c r="D12" i="14"/>
  <c r="C12" i="14"/>
  <c r="B12" i="14"/>
  <c r="A12" i="14"/>
  <c r="E11" i="14"/>
  <c r="D11" i="14"/>
  <c r="C11" i="14"/>
  <c r="B11" i="14"/>
  <c r="A11" i="14"/>
  <c r="E10" i="14"/>
  <c r="D10" i="14"/>
  <c r="C10" i="14"/>
  <c r="B10" i="14"/>
  <c r="A10" i="14"/>
  <c r="E9" i="14"/>
  <c r="D9" i="14"/>
  <c r="C9" i="14"/>
  <c r="B9" i="14"/>
  <c r="A9" i="14"/>
  <c r="E8" i="14"/>
  <c r="D8" i="14"/>
  <c r="C8" i="14"/>
  <c r="B8" i="14"/>
  <c r="A8" i="14"/>
  <c r="E7" i="14"/>
  <c r="D7" i="14"/>
  <c r="C7" i="14"/>
  <c r="B7" i="14"/>
  <c r="A7" i="14"/>
  <c r="E6" i="14"/>
  <c r="D6" i="14"/>
  <c r="C6" i="14"/>
  <c r="B6" i="14"/>
  <c r="A6" i="14"/>
  <c r="E5" i="14"/>
  <c r="D5" i="14"/>
  <c r="C5" i="14"/>
  <c r="B5" i="14"/>
  <c r="A5" i="14"/>
  <c r="E4" i="14"/>
  <c r="D4" i="14"/>
  <c r="C4" i="14"/>
  <c r="B4" i="14"/>
  <c r="A4" i="14"/>
  <c r="E3" i="14"/>
  <c r="D3" i="14"/>
  <c r="C3" i="14"/>
  <c r="B3" i="14"/>
  <c r="A3" i="14"/>
  <c r="E2" i="14"/>
  <c r="D2" i="14"/>
  <c r="C2" i="14"/>
  <c r="B2" i="14"/>
  <c r="A2" i="14"/>
  <c r="E257" i="4"/>
  <c r="D257" i="4"/>
  <c r="C257" i="4"/>
  <c r="B257" i="4"/>
  <c r="A257" i="4"/>
  <c r="E256" i="4"/>
  <c r="D256" i="4"/>
  <c r="C256" i="4"/>
  <c r="B256" i="4"/>
  <c r="A256" i="4"/>
  <c r="E255" i="4"/>
  <c r="D255" i="4"/>
  <c r="C255" i="4"/>
  <c r="B255" i="4"/>
  <c r="A255" i="4"/>
  <c r="E254" i="4"/>
  <c r="D254" i="4"/>
  <c r="C254" i="4"/>
  <c r="B254" i="4"/>
  <c r="A254" i="4"/>
  <c r="E253" i="4"/>
  <c r="D253" i="4"/>
  <c r="C253" i="4"/>
  <c r="B253" i="4"/>
  <c r="A253" i="4"/>
  <c r="E252" i="4"/>
  <c r="D252" i="4"/>
  <c r="C252" i="4"/>
  <c r="B252" i="4"/>
  <c r="A252" i="4"/>
  <c r="E251" i="4"/>
  <c r="D251" i="4"/>
  <c r="C251" i="4"/>
  <c r="B251" i="4"/>
  <c r="A251" i="4"/>
  <c r="E250" i="4"/>
  <c r="D250" i="4"/>
  <c r="C250" i="4"/>
  <c r="B250" i="4"/>
  <c r="A250" i="4"/>
  <c r="E249" i="4"/>
  <c r="D249" i="4"/>
  <c r="C249" i="4"/>
  <c r="B249" i="4"/>
  <c r="A249" i="4"/>
  <c r="E248" i="4"/>
  <c r="D248" i="4"/>
  <c r="C248" i="4"/>
  <c r="B248" i="4"/>
  <c r="A248" i="4"/>
  <c r="E247" i="4"/>
  <c r="D247" i="4"/>
  <c r="C247" i="4"/>
  <c r="B247" i="4"/>
  <c r="A247" i="4"/>
  <c r="E246" i="4"/>
  <c r="D246" i="4"/>
  <c r="C246" i="4"/>
  <c r="B246" i="4"/>
  <c r="A246" i="4"/>
  <c r="E245" i="4"/>
  <c r="D245" i="4"/>
  <c r="C245" i="4"/>
  <c r="B245" i="4"/>
  <c r="A245" i="4"/>
  <c r="E244" i="4"/>
  <c r="D244" i="4"/>
  <c r="C244" i="4"/>
  <c r="B244" i="4"/>
  <c r="A244" i="4"/>
  <c r="E243" i="4"/>
  <c r="D243" i="4"/>
  <c r="C243" i="4"/>
  <c r="B243" i="4"/>
  <c r="A243" i="4"/>
  <c r="E242" i="4"/>
  <c r="D242" i="4"/>
  <c r="C242" i="4"/>
  <c r="B242" i="4"/>
  <c r="A242" i="4"/>
  <c r="E241" i="4"/>
  <c r="D241" i="4"/>
  <c r="C241" i="4"/>
  <c r="B241" i="4"/>
  <c r="A241" i="4"/>
  <c r="E240" i="4"/>
  <c r="D240" i="4"/>
  <c r="C240" i="4"/>
  <c r="B240" i="4"/>
  <c r="A240" i="4"/>
  <c r="E239" i="4"/>
  <c r="D239" i="4"/>
  <c r="C239" i="4"/>
  <c r="B239" i="4"/>
  <c r="A239" i="4"/>
  <c r="E238" i="4"/>
  <c r="D238" i="4"/>
  <c r="C238" i="4"/>
  <c r="B238" i="4"/>
  <c r="A238" i="4"/>
  <c r="E237" i="4"/>
  <c r="D237" i="4"/>
  <c r="C237" i="4"/>
  <c r="B237" i="4"/>
  <c r="A237" i="4"/>
  <c r="E236" i="4"/>
  <c r="D236" i="4"/>
  <c r="C236" i="4"/>
  <c r="B236" i="4"/>
  <c r="A236" i="4"/>
  <c r="E235" i="4"/>
  <c r="D235" i="4"/>
  <c r="C235" i="4"/>
  <c r="B235" i="4"/>
  <c r="A235" i="4"/>
  <c r="E234" i="4"/>
  <c r="D234" i="4"/>
  <c r="C234" i="4"/>
  <c r="B234" i="4"/>
  <c r="A234" i="4"/>
  <c r="E233" i="4"/>
  <c r="D233" i="4"/>
  <c r="C233" i="4"/>
  <c r="B233" i="4"/>
  <c r="A233" i="4"/>
  <c r="E232" i="4"/>
  <c r="D232" i="4"/>
  <c r="C232" i="4"/>
  <c r="B232" i="4"/>
  <c r="A232" i="4"/>
  <c r="E231" i="4"/>
  <c r="D231" i="4"/>
  <c r="C231" i="4"/>
  <c r="B231" i="4"/>
  <c r="A231" i="4"/>
  <c r="E230" i="4"/>
  <c r="D230" i="4"/>
  <c r="C230" i="4"/>
  <c r="B230" i="4"/>
  <c r="A230" i="4"/>
  <c r="E229" i="4"/>
  <c r="D229" i="4"/>
  <c r="C229" i="4"/>
  <c r="B229" i="4"/>
  <c r="A229" i="4"/>
  <c r="E228" i="4"/>
  <c r="D228" i="4"/>
  <c r="C228" i="4"/>
  <c r="B228" i="4"/>
  <c r="A228" i="4"/>
  <c r="E227" i="4"/>
  <c r="D227" i="4"/>
  <c r="C227" i="4"/>
  <c r="B227" i="4"/>
  <c r="A227" i="4"/>
  <c r="E226" i="4"/>
  <c r="D226" i="4"/>
  <c r="C226" i="4"/>
  <c r="B226" i="4"/>
  <c r="A226" i="4"/>
  <c r="E225" i="4"/>
  <c r="D225" i="4"/>
  <c r="C225" i="4"/>
  <c r="B225" i="4"/>
  <c r="A225" i="4"/>
  <c r="E224" i="4"/>
  <c r="D224" i="4"/>
  <c r="C224" i="4"/>
  <c r="B224" i="4"/>
  <c r="A224" i="4"/>
  <c r="E223" i="4"/>
  <c r="D223" i="4"/>
  <c r="C223" i="4"/>
  <c r="B223" i="4"/>
  <c r="A223" i="4"/>
  <c r="E222" i="4"/>
  <c r="D222" i="4"/>
  <c r="C222" i="4"/>
  <c r="B222" i="4"/>
  <c r="A222" i="4"/>
  <c r="E221" i="4"/>
  <c r="D221" i="4"/>
  <c r="C221" i="4"/>
  <c r="B221" i="4"/>
  <c r="A221" i="4"/>
  <c r="E220" i="4"/>
  <c r="D220" i="4"/>
  <c r="C220" i="4"/>
  <c r="B220" i="4"/>
  <c r="A220" i="4"/>
  <c r="E219" i="4"/>
  <c r="D219" i="4"/>
  <c r="C219" i="4"/>
  <c r="B219" i="4"/>
  <c r="A219" i="4"/>
  <c r="E218" i="4"/>
  <c r="D218" i="4"/>
  <c r="C218" i="4"/>
  <c r="B218" i="4"/>
  <c r="A218" i="4"/>
  <c r="E217" i="4"/>
  <c r="D217" i="4"/>
  <c r="C217" i="4"/>
  <c r="B217" i="4"/>
  <c r="A217" i="4"/>
  <c r="E216" i="4"/>
  <c r="D216" i="4"/>
  <c r="C216" i="4"/>
  <c r="B216" i="4"/>
  <c r="A216" i="4"/>
  <c r="E215" i="4"/>
  <c r="D215" i="4"/>
  <c r="C215" i="4"/>
  <c r="B215" i="4"/>
  <c r="A215" i="4"/>
  <c r="E214" i="4"/>
  <c r="D214" i="4"/>
  <c r="C214" i="4"/>
  <c r="B214" i="4"/>
  <c r="A214" i="4"/>
  <c r="E213" i="4"/>
  <c r="D213" i="4"/>
  <c r="C213" i="4"/>
  <c r="B213" i="4"/>
  <c r="A213" i="4"/>
  <c r="E212" i="4"/>
  <c r="D212" i="4"/>
  <c r="C212" i="4"/>
  <c r="B212" i="4"/>
  <c r="A212" i="4"/>
  <c r="E211" i="4"/>
  <c r="D211" i="4"/>
  <c r="C211" i="4"/>
  <c r="B211" i="4"/>
  <c r="A211" i="4"/>
  <c r="E210" i="4"/>
  <c r="D210" i="4"/>
  <c r="C210" i="4"/>
  <c r="B210" i="4"/>
  <c r="A210" i="4"/>
  <c r="E209" i="4"/>
  <c r="D209" i="4"/>
  <c r="C209" i="4"/>
  <c r="B209" i="4"/>
  <c r="A209" i="4"/>
  <c r="E208" i="4"/>
  <c r="D208" i="4"/>
  <c r="C208" i="4"/>
  <c r="B208" i="4"/>
  <c r="A208" i="4"/>
  <c r="E207" i="4"/>
  <c r="D207" i="4"/>
  <c r="C207" i="4"/>
  <c r="B207" i="4"/>
  <c r="A207" i="4"/>
  <c r="E206" i="4"/>
  <c r="D206" i="4"/>
  <c r="C206" i="4"/>
  <c r="B206" i="4"/>
  <c r="A206" i="4"/>
  <c r="E205" i="4"/>
  <c r="D205" i="4"/>
  <c r="C205" i="4"/>
  <c r="B205" i="4"/>
  <c r="A205" i="4"/>
  <c r="E204" i="4"/>
  <c r="D204" i="4"/>
  <c r="C204" i="4"/>
  <c r="B204" i="4"/>
  <c r="A204" i="4"/>
  <c r="E203" i="4"/>
  <c r="D203" i="4"/>
  <c r="C203" i="4"/>
  <c r="B203" i="4"/>
  <c r="A203" i="4"/>
  <c r="E202" i="4"/>
  <c r="D202" i="4"/>
  <c r="C202" i="4"/>
  <c r="B202" i="4"/>
  <c r="A202" i="4"/>
  <c r="E201" i="4"/>
  <c r="D201" i="4"/>
  <c r="C201" i="4"/>
  <c r="B201" i="4"/>
  <c r="A201" i="4"/>
  <c r="E200" i="4"/>
  <c r="D200" i="4"/>
  <c r="C200" i="4"/>
  <c r="B200" i="4"/>
  <c r="A200" i="4"/>
  <c r="E199" i="4"/>
  <c r="D199" i="4"/>
  <c r="C199" i="4"/>
  <c r="B199" i="4"/>
  <c r="A199" i="4"/>
  <c r="E198" i="4"/>
  <c r="D198" i="4"/>
  <c r="C198" i="4"/>
  <c r="B198" i="4"/>
  <c r="A198" i="4"/>
  <c r="E197" i="4"/>
  <c r="D197" i="4"/>
  <c r="C197" i="4"/>
  <c r="B197" i="4"/>
  <c r="A197" i="4"/>
  <c r="E196" i="4"/>
  <c r="D196" i="4"/>
  <c r="C196" i="4"/>
  <c r="B196" i="4"/>
  <c r="A196" i="4"/>
  <c r="E195" i="4"/>
  <c r="D195" i="4"/>
  <c r="C195" i="4"/>
  <c r="B195" i="4"/>
  <c r="A195" i="4"/>
  <c r="E194" i="4"/>
  <c r="D194" i="4"/>
  <c r="C194" i="4"/>
  <c r="B194" i="4"/>
  <c r="A194" i="4"/>
  <c r="E193" i="4"/>
  <c r="D193" i="4"/>
  <c r="C193" i="4"/>
  <c r="B193" i="4"/>
  <c r="A193" i="4"/>
  <c r="E192" i="4"/>
  <c r="D192" i="4"/>
  <c r="C192" i="4"/>
  <c r="B192" i="4"/>
  <c r="A192" i="4"/>
  <c r="E191" i="4"/>
  <c r="D191" i="4"/>
  <c r="C191" i="4"/>
  <c r="B191" i="4"/>
  <c r="A191" i="4"/>
  <c r="E190" i="4"/>
  <c r="D190" i="4"/>
  <c r="C190" i="4"/>
  <c r="B190" i="4"/>
  <c r="A190" i="4"/>
  <c r="E189" i="4"/>
  <c r="D189" i="4"/>
  <c r="C189" i="4"/>
  <c r="B189" i="4"/>
  <c r="A189" i="4"/>
  <c r="E188" i="4"/>
  <c r="D188" i="4"/>
  <c r="C188" i="4"/>
  <c r="B188" i="4"/>
  <c r="A188" i="4"/>
  <c r="E187" i="4"/>
  <c r="D187" i="4"/>
  <c r="C187" i="4"/>
  <c r="B187" i="4"/>
  <c r="A187" i="4"/>
  <c r="E186" i="4"/>
  <c r="D186" i="4"/>
  <c r="C186" i="4"/>
  <c r="B186" i="4"/>
  <c r="A186" i="4"/>
  <c r="E185" i="4"/>
  <c r="D185" i="4"/>
  <c r="C185" i="4"/>
  <c r="B185" i="4"/>
  <c r="A185" i="4"/>
  <c r="E184" i="4"/>
  <c r="D184" i="4"/>
  <c r="C184" i="4"/>
  <c r="B184" i="4"/>
  <c r="A184" i="4"/>
  <c r="E183" i="4"/>
  <c r="D183" i="4"/>
  <c r="C183" i="4"/>
  <c r="B183" i="4"/>
  <c r="A183" i="4"/>
  <c r="E182" i="4"/>
  <c r="D182" i="4"/>
  <c r="C182" i="4"/>
  <c r="B182" i="4"/>
  <c r="A182" i="4"/>
  <c r="E181" i="4"/>
  <c r="D181" i="4"/>
  <c r="C181" i="4"/>
  <c r="B181" i="4"/>
  <c r="A181" i="4"/>
  <c r="E180" i="4"/>
  <c r="D180" i="4"/>
  <c r="C180" i="4"/>
  <c r="B180" i="4"/>
  <c r="A180" i="4"/>
  <c r="E179" i="4"/>
  <c r="D179" i="4"/>
  <c r="C179" i="4"/>
  <c r="B179" i="4"/>
  <c r="A179" i="4"/>
  <c r="E178" i="4"/>
  <c r="D178" i="4"/>
  <c r="C178" i="4"/>
  <c r="B178" i="4"/>
  <c r="A178" i="4"/>
  <c r="E177" i="4"/>
  <c r="D177" i="4"/>
  <c r="C177" i="4"/>
  <c r="B177" i="4"/>
  <c r="A177" i="4"/>
  <c r="E176" i="4"/>
  <c r="D176" i="4"/>
  <c r="C176" i="4"/>
  <c r="B176" i="4"/>
  <c r="A176" i="4"/>
  <c r="E175" i="4"/>
  <c r="D175" i="4"/>
  <c r="C175" i="4"/>
  <c r="B175" i="4"/>
  <c r="A175" i="4"/>
  <c r="E174" i="4"/>
  <c r="D174" i="4"/>
  <c r="C174" i="4"/>
  <c r="B174" i="4"/>
  <c r="A174" i="4"/>
  <c r="E173" i="4"/>
  <c r="D173" i="4"/>
  <c r="C173" i="4"/>
  <c r="B173" i="4"/>
  <c r="A173" i="4"/>
  <c r="E172" i="4"/>
  <c r="D172" i="4"/>
  <c r="C172" i="4"/>
  <c r="B172" i="4"/>
  <c r="A172" i="4"/>
  <c r="E171" i="4"/>
  <c r="D171" i="4"/>
  <c r="C171" i="4"/>
  <c r="B171" i="4"/>
  <c r="A171" i="4"/>
  <c r="E170" i="4"/>
  <c r="D170" i="4"/>
  <c r="C170" i="4"/>
  <c r="B170" i="4"/>
  <c r="A170" i="4"/>
  <c r="E169" i="4"/>
  <c r="D169" i="4"/>
  <c r="C169" i="4"/>
  <c r="B169" i="4"/>
  <c r="A169" i="4"/>
  <c r="E168" i="4"/>
  <c r="D168" i="4"/>
  <c r="C168" i="4"/>
  <c r="B168" i="4"/>
  <c r="A168" i="4"/>
  <c r="E167" i="4"/>
  <c r="D167" i="4"/>
  <c r="C167" i="4"/>
  <c r="B167" i="4"/>
  <c r="A167" i="4"/>
  <c r="E166" i="4"/>
  <c r="D166" i="4"/>
  <c r="C166" i="4"/>
  <c r="B166" i="4"/>
  <c r="A166" i="4"/>
  <c r="E165" i="4"/>
  <c r="D165" i="4"/>
  <c r="C165" i="4"/>
  <c r="B165" i="4"/>
  <c r="A165" i="4"/>
  <c r="E164" i="4"/>
  <c r="D164" i="4"/>
  <c r="C164" i="4"/>
  <c r="B164" i="4"/>
  <c r="A164" i="4"/>
  <c r="E163" i="4"/>
  <c r="D163" i="4"/>
  <c r="C163" i="4"/>
  <c r="B163" i="4"/>
  <c r="A163" i="4"/>
  <c r="E162" i="4"/>
  <c r="D162" i="4"/>
  <c r="C162" i="4"/>
  <c r="B162" i="4"/>
  <c r="A162" i="4"/>
  <c r="E161" i="4"/>
  <c r="D161" i="4"/>
  <c r="C161" i="4"/>
  <c r="B161" i="4"/>
  <c r="A161" i="4"/>
  <c r="E160" i="4"/>
  <c r="D160" i="4"/>
  <c r="C160" i="4"/>
  <c r="B160" i="4"/>
  <c r="A160" i="4"/>
  <c r="E159" i="4"/>
  <c r="D159" i="4"/>
  <c r="C159" i="4"/>
  <c r="B159" i="4"/>
  <c r="A159" i="4"/>
  <c r="E158" i="4"/>
  <c r="D158" i="4"/>
  <c r="C158" i="4"/>
  <c r="B158" i="4"/>
  <c r="A158" i="4"/>
  <c r="E157" i="4"/>
  <c r="D157" i="4"/>
  <c r="C157" i="4"/>
  <c r="B157" i="4"/>
  <c r="A157" i="4"/>
  <c r="E156" i="4"/>
  <c r="D156" i="4"/>
  <c r="C156" i="4"/>
  <c r="B156" i="4"/>
  <c r="A156" i="4"/>
  <c r="E155" i="4"/>
  <c r="D155" i="4"/>
  <c r="C155" i="4"/>
  <c r="B155" i="4"/>
  <c r="A155" i="4"/>
  <c r="E154" i="4"/>
  <c r="D154" i="4"/>
  <c r="C154" i="4"/>
  <c r="B154" i="4"/>
  <c r="A154" i="4"/>
  <c r="E153" i="4"/>
  <c r="D153" i="4"/>
  <c r="C153" i="4"/>
  <c r="B153" i="4"/>
  <c r="A153" i="4"/>
  <c r="E152" i="4"/>
  <c r="D152" i="4"/>
  <c r="C152" i="4"/>
  <c r="B152" i="4"/>
  <c r="A152" i="4"/>
  <c r="E151" i="4"/>
  <c r="D151" i="4"/>
  <c r="C151" i="4"/>
  <c r="B151" i="4"/>
  <c r="A151" i="4"/>
  <c r="E150" i="4"/>
  <c r="D150" i="4"/>
  <c r="C150" i="4"/>
  <c r="B150" i="4"/>
  <c r="A150" i="4"/>
  <c r="E149" i="4"/>
  <c r="D149" i="4"/>
  <c r="C149" i="4"/>
  <c r="B149" i="4"/>
  <c r="A149" i="4"/>
  <c r="E148" i="4"/>
  <c r="D148" i="4"/>
  <c r="C148" i="4"/>
  <c r="B148" i="4"/>
  <c r="A148" i="4"/>
  <c r="E147" i="4"/>
  <c r="D147" i="4"/>
  <c r="C147" i="4"/>
  <c r="B147" i="4"/>
  <c r="A147" i="4"/>
  <c r="E146" i="4"/>
  <c r="D146" i="4"/>
  <c r="C146" i="4"/>
  <c r="B146" i="4"/>
  <c r="A146" i="4"/>
  <c r="E145" i="4"/>
  <c r="D145" i="4"/>
  <c r="C145" i="4"/>
  <c r="B145" i="4"/>
  <c r="A145" i="4"/>
  <c r="E144" i="4"/>
  <c r="D144" i="4"/>
  <c r="C144" i="4"/>
  <c r="B144" i="4"/>
  <c r="A144" i="4"/>
  <c r="E143" i="4"/>
  <c r="D143" i="4"/>
  <c r="C143" i="4"/>
  <c r="B143" i="4"/>
  <c r="A143" i="4"/>
  <c r="E142" i="4"/>
  <c r="D142" i="4"/>
  <c r="C142" i="4"/>
  <c r="B142" i="4"/>
  <c r="A142" i="4"/>
  <c r="E141" i="4"/>
  <c r="D141" i="4"/>
  <c r="C141" i="4"/>
  <c r="B141" i="4"/>
  <c r="A141" i="4"/>
  <c r="E140" i="4"/>
  <c r="D140" i="4"/>
  <c r="C140" i="4"/>
  <c r="B140" i="4"/>
  <c r="A140" i="4"/>
  <c r="E139" i="4"/>
  <c r="D139" i="4"/>
  <c r="C139" i="4"/>
  <c r="B139" i="4"/>
  <c r="A139" i="4"/>
  <c r="E138" i="4"/>
  <c r="D138" i="4"/>
  <c r="C138" i="4"/>
  <c r="B138" i="4"/>
  <c r="A138" i="4"/>
  <c r="E137" i="4"/>
  <c r="D137" i="4"/>
  <c r="C137" i="4"/>
  <c r="B137" i="4"/>
  <c r="A137" i="4"/>
  <c r="E136" i="4"/>
  <c r="D136" i="4"/>
  <c r="C136" i="4"/>
  <c r="B136" i="4"/>
  <c r="A136" i="4"/>
  <c r="E135" i="4"/>
  <c r="D135" i="4"/>
  <c r="C135" i="4"/>
  <c r="B135" i="4"/>
  <c r="A135" i="4"/>
  <c r="E134" i="4"/>
  <c r="D134" i="4"/>
  <c r="C134" i="4"/>
  <c r="B134" i="4"/>
  <c r="A134" i="4"/>
  <c r="E133" i="4"/>
  <c r="D133" i="4"/>
  <c r="C133" i="4"/>
  <c r="B133" i="4"/>
  <c r="A133" i="4"/>
  <c r="E132" i="4"/>
  <c r="D132" i="4"/>
  <c r="C132" i="4"/>
  <c r="B132" i="4"/>
  <c r="A132" i="4"/>
  <c r="E131" i="4"/>
  <c r="D131" i="4"/>
  <c r="C131" i="4"/>
  <c r="B131" i="4"/>
  <c r="A131" i="4"/>
  <c r="E130" i="4"/>
  <c r="D130" i="4"/>
  <c r="C130" i="4"/>
  <c r="B130" i="4"/>
  <c r="A130" i="4"/>
  <c r="E129" i="4"/>
  <c r="D129" i="4"/>
  <c r="C129" i="4"/>
  <c r="B129" i="4"/>
  <c r="A129" i="4"/>
  <c r="E128" i="4"/>
  <c r="D128" i="4"/>
  <c r="C128" i="4"/>
  <c r="B128" i="4"/>
  <c r="A128" i="4"/>
  <c r="E127" i="4"/>
  <c r="D127" i="4"/>
  <c r="C127" i="4"/>
  <c r="B127" i="4"/>
  <c r="A127" i="4"/>
  <c r="E126" i="4"/>
  <c r="D126" i="4"/>
  <c r="C126" i="4"/>
  <c r="B126" i="4"/>
  <c r="A126" i="4"/>
  <c r="E125" i="4"/>
  <c r="D125" i="4"/>
  <c r="C125" i="4"/>
  <c r="B125" i="4"/>
  <c r="A125" i="4"/>
  <c r="E124" i="4"/>
  <c r="D124" i="4"/>
  <c r="C124" i="4"/>
  <c r="B124" i="4"/>
  <c r="A124" i="4"/>
  <c r="E123" i="4"/>
  <c r="D123" i="4"/>
  <c r="C123" i="4"/>
  <c r="B123" i="4"/>
  <c r="A123" i="4"/>
  <c r="E122" i="4"/>
  <c r="D122" i="4"/>
  <c r="C122" i="4"/>
  <c r="B122" i="4"/>
  <c r="A122" i="4"/>
  <c r="E121" i="4"/>
  <c r="D121" i="4"/>
  <c r="C121" i="4"/>
  <c r="B121" i="4"/>
  <c r="A121" i="4"/>
  <c r="E120" i="4"/>
  <c r="D120" i="4"/>
  <c r="C120" i="4"/>
  <c r="B120" i="4"/>
  <c r="A120" i="4"/>
  <c r="E119" i="4"/>
  <c r="D119" i="4"/>
  <c r="C119" i="4"/>
  <c r="B119" i="4"/>
  <c r="A119" i="4"/>
  <c r="E118" i="4"/>
  <c r="D118" i="4"/>
  <c r="C118" i="4"/>
  <c r="B118" i="4"/>
  <c r="A118" i="4"/>
  <c r="E117" i="4"/>
  <c r="D117" i="4"/>
  <c r="C117" i="4"/>
  <c r="B117" i="4"/>
  <c r="A117" i="4"/>
  <c r="E116" i="4"/>
  <c r="D116" i="4"/>
  <c r="C116" i="4"/>
  <c r="B116" i="4"/>
  <c r="A116" i="4"/>
  <c r="E115" i="4"/>
  <c r="D115" i="4"/>
  <c r="C115" i="4"/>
  <c r="B115" i="4"/>
  <c r="A115" i="4"/>
  <c r="E114" i="4"/>
  <c r="D114" i="4"/>
  <c r="C114" i="4"/>
  <c r="B114" i="4"/>
  <c r="A114" i="4"/>
  <c r="E113" i="4"/>
  <c r="D113" i="4"/>
  <c r="C113" i="4"/>
  <c r="B113" i="4"/>
  <c r="A113" i="4"/>
  <c r="E112" i="4"/>
  <c r="D112" i="4"/>
  <c r="C112" i="4"/>
  <c r="B112" i="4"/>
  <c r="A112" i="4"/>
  <c r="E111" i="4"/>
  <c r="D111" i="4"/>
  <c r="C111" i="4"/>
  <c r="B111" i="4"/>
  <c r="A111" i="4"/>
  <c r="E110" i="4"/>
  <c r="D110" i="4"/>
  <c r="C110" i="4"/>
  <c r="B110" i="4"/>
  <c r="A110" i="4"/>
  <c r="E109" i="4"/>
  <c r="D109" i="4"/>
  <c r="C109" i="4"/>
  <c r="B109" i="4"/>
  <c r="A109" i="4"/>
  <c r="E108" i="4"/>
  <c r="D108" i="4"/>
  <c r="C108" i="4"/>
  <c r="B108" i="4"/>
  <c r="A108" i="4"/>
  <c r="E107" i="4"/>
  <c r="D107" i="4"/>
  <c r="C107" i="4"/>
  <c r="B107" i="4"/>
  <c r="A107" i="4"/>
  <c r="E106" i="4"/>
  <c r="D106" i="4"/>
  <c r="C106" i="4"/>
  <c r="B106" i="4"/>
  <c r="A106" i="4"/>
  <c r="E105" i="4"/>
  <c r="D105" i="4"/>
  <c r="C105" i="4"/>
  <c r="B105" i="4"/>
  <c r="A105" i="4"/>
  <c r="E104" i="4"/>
  <c r="D104" i="4"/>
  <c r="C104" i="4"/>
  <c r="B104" i="4"/>
  <c r="A104" i="4"/>
  <c r="E103" i="4"/>
  <c r="D103" i="4"/>
  <c r="C103" i="4"/>
  <c r="B103" i="4"/>
  <c r="A103" i="4"/>
  <c r="E102" i="4"/>
  <c r="D102" i="4"/>
  <c r="C102" i="4"/>
  <c r="B102" i="4"/>
  <c r="A102" i="4"/>
  <c r="E101" i="4"/>
  <c r="D101" i="4"/>
  <c r="C101" i="4"/>
  <c r="B101" i="4"/>
  <c r="A101" i="4"/>
  <c r="E100" i="4"/>
  <c r="D100" i="4"/>
  <c r="C100" i="4"/>
  <c r="B100" i="4"/>
  <c r="A100" i="4"/>
  <c r="E99" i="4"/>
  <c r="D99" i="4"/>
  <c r="C99" i="4"/>
  <c r="B99" i="4"/>
  <c r="A99" i="4"/>
  <c r="E98" i="4"/>
  <c r="D98" i="4"/>
  <c r="C98" i="4"/>
  <c r="B98" i="4"/>
  <c r="A98" i="4"/>
  <c r="E97" i="4"/>
  <c r="D97" i="4"/>
  <c r="C97" i="4"/>
  <c r="B97" i="4"/>
  <c r="A97" i="4"/>
  <c r="E96" i="4"/>
  <c r="D96" i="4"/>
  <c r="C96" i="4"/>
  <c r="B96" i="4"/>
  <c r="A96" i="4"/>
  <c r="E95" i="4"/>
  <c r="D95" i="4"/>
  <c r="C95" i="4"/>
  <c r="B95" i="4"/>
  <c r="A95" i="4"/>
  <c r="E94" i="4"/>
  <c r="D94" i="4"/>
  <c r="C94" i="4"/>
  <c r="B94" i="4"/>
  <c r="A94" i="4"/>
  <c r="E93" i="4"/>
  <c r="D93" i="4"/>
  <c r="C93" i="4"/>
  <c r="B93" i="4"/>
  <c r="A93" i="4"/>
  <c r="E92" i="4"/>
  <c r="D92" i="4"/>
  <c r="C92" i="4"/>
  <c r="B92" i="4"/>
  <c r="A92" i="4"/>
  <c r="E91" i="4"/>
  <c r="D91" i="4"/>
  <c r="C91" i="4"/>
  <c r="B91" i="4"/>
  <c r="A91" i="4"/>
  <c r="E90" i="4"/>
  <c r="D90" i="4"/>
  <c r="C90" i="4"/>
  <c r="B90" i="4"/>
  <c r="A90" i="4"/>
  <c r="E89" i="4"/>
  <c r="D89" i="4"/>
  <c r="C89" i="4"/>
  <c r="B89" i="4"/>
  <c r="A89" i="4"/>
  <c r="E88" i="4"/>
  <c r="D88" i="4"/>
  <c r="C88" i="4"/>
  <c r="B88" i="4"/>
  <c r="A88" i="4"/>
  <c r="E87" i="4"/>
  <c r="D87" i="4"/>
  <c r="C87" i="4"/>
  <c r="B87" i="4"/>
  <c r="A87" i="4"/>
  <c r="E86" i="4"/>
  <c r="D86" i="4"/>
  <c r="C86" i="4"/>
  <c r="B86" i="4"/>
  <c r="A86" i="4"/>
  <c r="E85" i="4"/>
  <c r="D85" i="4"/>
  <c r="C85" i="4"/>
  <c r="B85" i="4"/>
  <c r="A85" i="4"/>
  <c r="E84" i="4"/>
  <c r="D84" i="4"/>
  <c r="C84" i="4"/>
  <c r="B84" i="4"/>
  <c r="A84" i="4"/>
  <c r="E83" i="4"/>
  <c r="D83" i="4"/>
  <c r="C83" i="4"/>
  <c r="B83" i="4"/>
  <c r="A83" i="4"/>
  <c r="E82" i="4"/>
  <c r="D82" i="4"/>
  <c r="C82" i="4"/>
  <c r="B82" i="4"/>
  <c r="A82" i="4"/>
  <c r="E81" i="4"/>
  <c r="D81" i="4"/>
  <c r="C81" i="4"/>
  <c r="B81" i="4"/>
  <c r="A81" i="4"/>
  <c r="E80" i="4"/>
  <c r="D80" i="4"/>
  <c r="C80" i="4"/>
  <c r="B80" i="4"/>
  <c r="A80" i="4"/>
  <c r="E79" i="4"/>
  <c r="D79" i="4"/>
  <c r="C79" i="4"/>
  <c r="B79" i="4"/>
  <c r="A79" i="4"/>
  <c r="E78" i="4"/>
  <c r="D78" i="4"/>
  <c r="C78" i="4"/>
  <c r="B78" i="4"/>
  <c r="A78" i="4"/>
  <c r="E77" i="4"/>
  <c r="D77" i="4"/>
  <c r="C77" i="4"/>
  <c r="B77" i="4"/>
  <c r="A77" i="4"/>
  <c r="E76" i="4"/>
  <c r="D76" i="4"/>
  <c r="C76" i="4"/>
  <c r="B76" i="4"/>
  <c r="A76" i="4"/>
  <c r="E75" i="4"/>
  <c r="D75" i="4"/>
  <c r="C75" i="4"/>
  <c r="B75" i="4"/>
  <c r="A75" i="4"/>
  <c r="E74" i="4"/>
  <c r="D74" i="4"/>
  <c r="C74" i="4"/>
  <c r="B74" i="4"/>
  <c r="A74" i="4"/>
  <c r="E73" i="4"/>
  <c r="D73" i="4"/>
  <c r="C73" i="4"/>
  <c r="B73" i="4"/>
  <c r="A73" i="4"/>
  <c r="E72" i="4"/>
  <c r="D72" i="4"/>
  <c r="C72" i="4"/>
  <c r="B72" i="4"/>
  <c r="A72" i="4"/>
  <c r="E71" i="4"/>
  <c r="D71" i="4"/>
  <c r="C71" i="4"/>
  <c r="B71" i="4"/>
  <c r="A71" i="4"/>
  <c r="E70" i="4"/>
  <c r="D70" i="4"/>
  <c r="C70" i="4"/>
  <c r="B70" i="4"/>
  <c r="A70" i="4"/>
  <c r="E69" i="4"/>
  <c r="D69" i="4"/>
  <c r="C69" i="4"/>
  <c r="B69" i="4"/>
  <c r="A69" i="4"/>
  <c r="E68" i="4"/>
  <c r="D68" i="4"/>
  <c r="C68" i="4"/>
  <c r="B68" i="4"/>
  <c r="A68" i="4"/>
  <c r="E67" i="4"/>
  <c r="D67" i="4"/>
  <c r="C67" i="4"/>
  <c r="B67" i="4"/>
  <c r="A67" i="4"/>
  <c r="E66" i="4"/>
  <c r="D66" i="4"/>
  <c r="C66" i="4"/>
  <c r="B66" i="4"/>
  <c r="A66" i="4"/>
  <c r="E65" i="4"/>
  <c r="D65" i="4"/>
  <c r="C65" i="4"/>
  <c r="B65" i="4"/>
  <c r="A65" i="4"/>
  <c r="E64" i="4"/>
  <c r="D64" i="4"/>
  <c r="C64" i="4"/>
  <c r="B64" i="4"/>
  <c r="A64" i="4"/>
  <c r="E63" i="4"/>
  <c r="D63" i="4"/>
  <c r="C63" i="4"/>
  <c r="B63" i="4"/>
  <c r="A63" i="4"/>
  <c r="E62" i="4"/>
  <c r="D62" i="4"/>
  <c r="C62" i="4"/>
  <c r="B62" i="4"/>
  <c r="A62" i="4"/>
  <c r="E61" i="4"/>
  <c r="D61" i="4"/>
  <c r="C61" i="4"/>
  <c r="B61" i="4"/>
  <c r="A61" i="4"/>
  <c r="E60" i="4"/>
  <c r="D60" i="4"/>
  <c r="C60" i="4"/>
  <c r="B60" i="4"/>
  <c r="A60" i="4"/>
  <c r="E59" i="4"/>
  <c r="D59" i="4"/>
  <c r="C59" i="4"/>
  <c r="B59" i="4"/>
  <c r="A59" i="4"/>
  <c r="E58" i="4"/>
  <c r="D58" i="4"/>
  <c r="C58" i="4"/>
  <c r="B58" i="4"/>
  <c r="A58" i="4"/>
  <c r="E57" i="4"/>
  <c r="D57" i="4"/>
  <c r="C57" i="4"/>
  <c r="B57" i="4"/>
  <c r="A57" i="4"/>
  <c r="E56" i="4"/>
  <c r="D56" i="4"/>
  <c r="C56" i="4"/>
  <c r="B56" i="4"/>
  <c r="A56" i="4"/>
  <c r="E55" i="4"/>
  <c r="D55" i="4"/>
  <c r="C55" i="4"/>
  <c r="B55" i="4"/>
  <c r="A55" i="4"/>
  <c r="E54" i="4"/>
  <c r="D54" i="4"/>
  <c r="C54" i="4"/>
  <c r="B54" i="4"/>
  <c r="A54" i="4"/>
  <c r="E53" i="4"/>
  <c r="D53" i="4"/>
  <c r="C53" i="4"/>
  <c r="B53" i="4"/>
  <c r="A53" i="4"/>
  <c r="E52" i="4"/>
  <c r="D52" i="4"/>
  <c r="C52" i="4"/>
  <c r="B52" i="4"/>
  <c r="A52" i="4"/>
  <c r="E51" i="4"/>
  <c r="D51" i="4"/>
  <c r="C51" i="4"/>
  <c r="B51" i="4"/>
  <c r="A51" i="4"/>
  <c r="E50" i="4"/>
  <c r="D50" i="4"/>
  <c r="C50" i="4"/>
  <c r="B50" i="4"/>
  <c r="A50" i="4"/>
  <c r="E49" i="4"/>
  <c r="D49" i="4"/>
  <c r="C49" i="4"/>
  <c r="B49" i="4"/>
  <c r="A49" i="4"/>
  <c r="E48" i="4"/>
  <c r="D48" i="4"/>
  <c r="C48" i="4"/>
  <c r="B48" i="4"/>
  <c r="A48" i="4"/>
  <c r="E47" i="4"/>
  <c r="D47" i="4"/>
  <c r="C47" i="4"/>
  <c r="B47" i="4"/>
  <c r="A47" i="4"/>
  <c r="E46" i="4"/>
  <c r="D46" i="4"/>
  <c r="C46" i="4"/>
  <c r="B46" i="4"/>
  <c r="A46" i="4"/>
  <c r="E45" i="4"/>
  <c r="D45" i="4"/>
  <c r="C45" i="4"/>
  <c r="B45" i="4"/>
  <c r="A45" i="4"/>
  <c r="E44" i="4"/>
  <c r="D44" i="4"/>
  <c r="C44" i="4"/>
  <c r="B44" i="4"/>
  <c r="A44" i="4"/>
  <c r="E43" i="4"/>
  <c r="D43" i="4"/>
  <c r="C43" i="4"/>
  <c r="B43" i="4"/>
  <c r="A43" i="4"/>
  <c r="E42" i="4"/>
  <c r="D42" i="4"/>
  <c r="C42" i="4"/>
  <c r="B42" i="4"/>
  <c r="A42" i="4"/>
  <c r="E41" i="4"/>
  <c r="D41" i="4"/>
  <c r="C41" i="4"/>
  <c r="B41" i="4"/>
  <c r="A41" i="4"/>
  <c r="E40" i="4"/>
  <c r="D40" i="4"/>
  <c r="C40" i="4"/>
  <c r="B40" i="4"/>
  <c r="A40" i="4"/>
  <c r="E39" i="4"/>
  <c r="D39" i="4"/>
  <c r="C39" i="4"/>
  <c r="B39" i="4"/>
  <c r="A39" i="4"/>
  <c r="E38" i="4"/>
  <c r="D38" i="4"/>
  <c r="C38" i="4"/>
  <c r="B38" i="4"/>
  <c r="A38" i="4"/>
  <c r="E37" i="4"/>
  <c r="D37" i="4"/>
  <c r="C37" i="4"/>
  <c r="B37" i="4"/>
  <c r="A37" i="4"/>
  <c r="E36" i="4"/>
  <c r="D36" i="4"/>
  <c r="C36" i="4"/>
  <c r="B36" i="4"/>
  <c r="A36" i="4"/>
  <c r="E35" i="4"/>
  <c r="D35" i="4"/>
  <c r="C35" i="4"/>
  <c r="B35" i="4"/>
  <c r="A35" i="4"/>
  <c r="E34" i="4"/>
  <c r="D34" i="4"/>
  <c r="C34" i="4"/>
  <c r="B34" i="4"/>
  <c r="A34" i="4"/>
  <c r="E33" i="4"/>
  <c r="D33" i="4"/>
  <c r="C33" i="4"/>
  <c r="B33" i="4"/>
  <c r="A33" i="4"/>
  <c r="E32" i="4"/>
  <c r="D32" i="4"/>
  <c r="C32" i="4"/>
  <c r="B32" i="4"/>
  <c r="A32" i="4"/>
  <c r="E31" i="4"/>
  <c r="D31" i="4"/>
  <c r="C31" i="4"/>
  <c r="B31" i="4"/>
  <c r="A31" i="4"/>
  <c r="E30" i="4"/>
  <c r="D30" i="4"/>
  <c r="C30" i="4"/>
  <c r="B30" i="4"/>
  <c r="A30" i="4"/>
  <c r="E29" i="4"/>
  <c r="D29" i="4"/>
  <c r="C29" i="4"/>
  <c r="B29" i="4"/>
  <c r="A29" i="4"/>
  <c r="E28" i="4"/>
  <c r="D28" i="4"/>
  <c r="C28" i="4"/>
  <c r="B28" i="4"/>
  <c r="A28" i="4"/>
  <c r="E27" i="4"/>
  <c r="D27" i="4"/>
  <c r="C27" i="4"/>
  <c r="B27" i="4"/>
  <c r="A27" i="4"/>
  <c r="E26" i="4"/>
  <c r="D26" i="4"/>
  <c r="C26" i="4"/>
  <c r="B26" i="4"/>
  <c r="A26" i="4"/>
  <c r="E25" i="4"/>
  <c r="D25" i="4"/>
  <c r="C25" i="4"/>
  <c r="B25" i="4"/>
  <c r="A25" i="4"/>
  <c r="E24" i="4"/>
  <c r="D24" i="4"/>
  <c r="C24" i="4"/>
  <c r="B24" i="4"/>
  <c r="A24" i="4"/>
  <c r="E23" i="4"/>
  <c r="D23" i="4"/>
  <c r="C23" i="4"/>
  <c r="B23" i="4"/>
  <c r="A23" i="4"/>
  <c r="E22" i="4"/>
  <c r="D22" i="4"/>
  <c r="C22" i="4"/>
  <c r="B22" i="4"/>
  <c r="A22" i="4"/>
  <c r="E21" i="4"/>
  <c r="D21" i="4"/>
  <c r="C21" i="4"/>
  <c r="B21" i="4"/>
  <c r="A21" i="4"/>
  <c r="E20" i="4"/>
  <c r="D20" i="4"/>
  <c r="C20" i="4"/>
  <c r="B20" i="4"/>
  <c r="A20" i="4"/>
  <c r="E19" i="4"/>
  <c r="D19" i="4"/>
  <c r="C19" i="4"/>
  <c r="B19" i="4"/>
  <c r="A19" i="4"/>
  <c r="E18" i="4"/>
  <c r="D18" i="4"/>
  <c r="C18" i="4"/>
  <c r="B18" i="4"/>
  <c r="A18" i="4"/>
  <c r="E17" i="4"/>
  <c r="D17" i="4"/>
  <c r="C17" i="4"/>
  <c r="B17" i="4"/>
  <c r="A17" i="4"/>
  <c r="E16" i="4"/>
  <c r="D16" i="4"/>
  <c r="C16" i="4"/>
  <c r="B16" i="4"/>
  <c r="A16" i="4"/>
  <c r="E15" i="4"/>
  <c r="D15" i="4"/>
  <c r="C15" i="4"/>
  <c r="B15" i="4"/>
  <c r="A15" i="4"/>
  <c r="E14" i="4"/>
  <c r="D14" i="4"/>
  <c r="C14" i="4"/>
  <c r="B14" i="4"/>
  <c r="A14" i="4"/>
  <c r="E13" i="4"/>
  <c r="D13" i="4"/>
  <c r="C13" i="4"/>
  <c r="B13" i="4"/>
  <c r="A13" i="4"/>
  <c r="E12" i="4"/>
  <c r="D12" i="4"/>
  <c r="C12" i="4"/>
  <c r="B12" i="4"/>
  <c r="A12" i="4"/>
  <c r="E11" i="4"/>
  <c r="D11" i="4"/>
  <c r="C11" i="4"/>
  <c r="B11" i="4"/>
  <c r="A11" i="4"/>
  <c r="E10" i="4"/>
  <c r="D10" i="4"/>
  <c r="C10" i="4"/>
  <c r="B10" i="4"/>
  <c r="A10" i="4"/>
  <c r="E9" i="4"/>
  <c r="D9" i="4"/>
  <c r="C9" i="4"/>
  <c r="B9" i="4"/>
  <c r="A9" i="4"/>
  <c r="E8" i="4"/>
  <c r="D8" i="4"/>
  <c r="C8" i="4"/>
  <c r="B8" i="4"/>
  <c r="A8" i="4"/>
  <c r="E7" i="4"/>
  <c r="D7" i="4"/>
  <c r="C7" i="4"/>
  <c r="B7" i="4"/>
  <c r="A7" i="4"/>
  <c r="E6" i="4"/>
  <c r="D6" i="4"/>
  <c r="C6" i="4"/>
  <c r="B6" i="4"/>
  <c r="A6" i="4"/>
  <c r="E5" i="4"/>
  <c r="D5" i="4"/>
  <c r="C5" i="4"/>
  <c r="B5" i="4"/>
  <c r="A5" i="4"/>
  <c r="E4" i="4"/>
  <c r="D4" i="4"/>
  <c r="C4" i="4"/>
  <c r="B4" i="4"/>
  <c r="A4" i="4"/>
  <c r="E3" i="4"/>
  <c r="D3" i="4"/>
  <c r="C3" i="4"/>
  <c r="B3" i="4"/>
  <c r="A3" i="4"/>
  <c r="E2" i="4"/>
  <c r="D2" i="4"/>
  <c r="C2" i="4"/>
  <c r="B2" i="4"/>
  <c r="A2" i="4"/>
  <c r="E205" i="3"/>
  <c r="D205" i="3"/>
  <c r="C205" i="3"/>
  <c r="B205" i="3"/>
  <c r="A205" i="3"/>
  <c r="E204" i="3"/>
  <c r="D204" i="3"/>
  <c r="C204" i="3"/>
  <c r="B204" i="3"/>
  <c r="A204" i="3"/>
  <c r="E203" i="3"/>
  <c r="D203" i="3"/>
  <c r="C203" i="3"/>
  <c r="B203" i="3"/>
  <c r="A203" i="3"/>
  <c r="E202" i="3"/>
  <c r="D202" i="3"/>
  <c r="C202" i="3"/>
  <c r="B202" i="3"/>
  <c r="A202" i="3"/>
  <c r="E201" i="3"/>
  <c r="D201" i="3"/>
  <c r="C201" i="3"/>
  <c r="B201" i="3"/>
  <c r="A201" i="3"/>
  <c r="E200" i="3"/>
  <c r="D200" i="3"/>
  <c r="C200" i="3"/>
  <c r="B200" i="3"/>
  <c r="A200" i="3"/>
  <c r="E199" i="3"/>
  <c r="D199" i="3"/>
  <c r="C199" i="3"/>
  <c r="B199" i="3"/>
  <c r="A199" i="3"/>
  <c r="E198" i="3"/>
  <c r="D198" i="3"/>
  <c r="C198" i="3"/>
  <c r="B198" i="3"/>
  <c r="A198" i="3"/>
  <c r="E197" i="3"/>
  <c r="D197" i="3"/>
  <c r="C197" i="3"/>
  <c r="B197" i="3"/>
  <c r="A197" i="3"/>
  <c r="E196" i="3"/>
  <c r="D196" i="3"/>
  <c r="C196" i="3"/>
  <c r="B196" i="3"/>
  <c r="A196" i="3"/>
  <c r="E195" i="3"/>
  <c r="D195" i="3"/>
  <c r="C195" i="3"/>
  <c r="B195" i="3"/>
  <c r="A195" i="3"/>
  <c r="E194" i="3"/>
  <c r="D194" i="3"/>
  <c r="C194" i="3"/>
  <c r="B194" i="3"/>
  <c r="A194" i="3"/>
  <c r="E193" i="3"/>
  <c r="D193" i="3"/>
  <c r="C193" i="3"/>
  <c r="B193" i="3"/>
  <c r="A193" i="3"/>
  <c r="E192" i="3"/>
  <c r="D192" i="3"/>
  <c r="C192" i="3"/>
  <c r="B192" i="3"/>
  <c r="A192" i="3"/>
  <c r="E191" i="3"/>
  <c r="D191" i="3"/>
  <c r="C191" i="3"/>
  <c r="B191" i="3"/>
  <c r="A191" i="3"/>
  <c r="E190" i="3"/>
  <c r="D190" i="3"/>
  <c r="C190" i="3"/>
  <c r="B190" i="3"/>
  <c r="A190" i="3"/>
  <c r="E189" i="3"/>
  <c r="D189" i="3"/>
  <c r="C189" i="3"/>
  <c r="B189" i="3"/>
  <c r="A189" i="3"/>
  <c r="E188" i="3"/>
  <c r="D188" i="3"/>
  <c r="C188" i="3"/>
  <c r="B188" i="3"/>
  <c r="A188" i="3"/>
  <c r="E187" i="3"/>
  <c r="D187" i="3"/>
  <c r="C187" i="3"/>
  <c r="B187" i="3"/>
  <c r="A187" i="3"/>
  <c r="E186" i="3"/>
  <c r="D186" i="3"/>
  <c r="C186" i="3"/>
  <c r="B186" i="3"/>
  <c r="A186" i="3"/>
  <c r="E185" i="3"/>
  <c r="D185" i="3"/>
  <c r="C185" i="3"/>
  <c r="B185" i="3"/>
  <c r="A185" i="3"/>
  <c r="E184" i="3"/>
  <c r="D184" i="3"/>
  <c r="C184" i="3"/>
  <c r="B184" i="3"/>
  <c r="A184" i="3"/>
  <c r="E183" i="3"/>
  <c r="D183" i="3"/>
  <c r="C183" i="3"/>
  <c r="B183" i="3"/>
  <c r="A183" i="3"/>
  <c r="E182" i="3"/>
  <c r="D182" i="3"/>
  <c r="C182" i="3"/>
  <c r="B182" i="3"/>
  <c r="A182" i="3"/>
  <c r="E181" i="3"/>
  <c r="D181" i="3"/>
  <c r="C181" i="3"/>
  <c r="B181" i="3"/>
  <c r="A181" i="3"/>
  <c r="E180" i="3"/>
  <c r="D180" i="3"/>
  <c r="C180" i="3"/>
  <c r="B180" i="3"/>
  <c r="A180" i="3"/>
  <c r="E179" i="3"/>
  <c r="D179" i="3"/>
  <c r="C179" i="3"/>
  <c r="B179" i="3"/>
  <c r="A179" i="3"/>
  <c r="E178" i="3"/>
  <c r="D178" i="3"/>
  <c r="C178" i="3"/>
  <c r="B178" i="3"/>
  <c r="A178" i="3"/>
  <c r="E177" i="3"/>
  <c r="D177" i="3"/>
  <c r="C177" i="3"/>
  <c r="B177" i="3"/>
  <c r="A177" i="3"/>
  <c r="E176" i="3"/>
  <c r="D176" i="3"/>
  <c r="C176" i="3"/>
  <c r="B176" i="3"/>
  <c r="A176" i="3"/>
  <c r="E175" i="3"/>
  <c r="D175" i="3"/>
  <c r="C175" i="3"/>
  <c r="B175" i="3"/>
  <c r="A175" i="3"/>
  <c r="E174" i="3"/>
  <c r="D174" i="3"/>
  <c r="C174" i="3"/>
  <c r="B174" i="3"/>
  <c r="A174" i="3"/>
  <c r="E173" i="3"/>
  <c r="D173" i="3"/>
  <c r="C173" i="3"/>
  <c r="B173" i="3"/>
  <c r="A173" i="3"/>
  <c r="E172" i="3"/>
  <c r="D172" i="3"/>
  <c r="C172" i="3"/>
  <c r="B172" i="3"/>
  <c r="A172" i="3"/>
  <c r="E171" i="3"/>
  <c r="D171" i="3"/>
  <c r="C171" i="3"/>
  <c r="B171" i="3"/>
  <c r="A171" i="3"/>
  <c r="E170" i="3"/>
  <c r="D170" i="3"/>
  <c r="C170" i="3"/>
  <c r="B170" i="3"/>
  <c r="A170" i="3"/>
  <c r="E169" i="3"/>
  <c r="D169" i="3"/>
  <c r="C169" i="3"/>
  <c r="B169" i="3"/>
  <c r="A169" i="3"/>
  <c r="E168" i="3"/>
  <c r="D168" i="3"/>
  <c r="C168" i="3"/>
  <c r="B168" i="3"/>
  <c r="A168" i="3"/>
  <c r="E167" i="3"/>
  <c r="D167" i="3"/>
  <c r="C167" i="3"/>
  <c r="B167" i="3"/>
  <c r="A167" i="3"/>
  <c r="E166" i="3"/>
  <c r="D166" i="3"/>
  <c r="C166" i="3"/>
  <c r="B166" i="3"/>
  <c r="A166" i="3"/>
  <c r="E165" i="3"/>
  <c r="D165" i="3"/>
  <c r="C165" i="3"/>
  <c r="B165" i="3"/>
  <c r="A165" i="3"/>
  <c r="E164" i="3"/>
  <c r="D164" i="3"/>
  <c r="C164" i="3"/>
  <c r="B164" i="3"/>
  <c r="A164" i="3"/>
  <c r="E163" i="3"/>
  <c r="D163" i="3"/>
  <c r="C163" i="3"/>
  <c r="B163" i="3"/>
  <c r="A163" i="3"/>
  <c r="E162" i="3"/>
  <c r="D162" i="3"/>
  <c r="C162" i="3"/>
  <c r="B162" i="3"/>
  <c r="A162" i="3"/>
  <c r="E161" i="3"/>
  <c r="D161" i="3"/>
  <c r="C161" i="3"/>
  <c r="B161" i="3"/>
  <c r="A161" i="3"/>
  <c r="E160" i="3"/>
  <c r="D160" i="3"/>
  <c r="C160" i="3"/>
  <c r="B160" i="3"/>
  <c r="A160" i="3"/>
  <c r="E159" i="3"/>
  <c r="D159" i="3"/>
  <c r="C159" i="3"/>
  <c r="B159" i="3"/>
  <c r="A159" i="3"/>
  <c r="E158" i="3"/>
  <c r="D158" i="3"/>
  <c r="C158" i="3"/>
  <c r="B158" i="3"/>
  <c r="A158" i="3"/>
  <c r="E157" i="3"/>
  <c r="D157" i="3"/>
  <c r="C157" i="3"/>
  <c r="B157" i="3"/>
  <c r="A157" i="3"/>
  <c r="E156" i="3"/>
  <c r="D156" i="3"/>
  <c r="C156" i="3"/>
  <c r="B156" i="3"/>
  <c r="A156" i="3"/>
  <c r="E155" i="3"/>
  <c r="D155" i="3"/>
  <c r="C155" i="3"/>
  <c r="B155" i="3"/>
  <c r="A155" i="3"/>
  <c r="E154" i="3"/>
  <c r="D154" i="3"/>
  <c r="C154" i="3"/>
  <c r="B154" i="3"/>
  <c r="A154" i="3"/>
  <c r="E153" i="3"/>
  <c r="D153" i="3"/>
  <c r="C153" i="3"/>
  <c r="B153" i="3"/>
  <c r="A153" i="3"/>
  <c r="E152" i="3"/>
  <c r="D152" i="3"/>
  <c r="C152" i="3"/>
  <c r="B152" i="3"/>
  <c r="A152" i="3"/>
  <c r="E151" i="3"/>
  <c r="D151" i="3"/>
  <c r="C151" i="3"/>
  <c r="B151" i="3"/>
  <c r="A151" i="3"/>
  <c r="E150" i="3"/>
  <c r="D150" i="3"/>
  <c r="C150" i="3"/>
  <c r="B150" i="3"/>
  <c r="A150" i="3"/>
  <c r="E149" i="3"/>
  <c r="D149" i="3"/>
  <c r="C149" i="3"/>
  <c r="B149" i="3"/>
  <c r="A149" i="3"/>
  <c r="E148" i="3"/>
  <c r="D148" i="3"/>
  <c r="C148" i="3"/>
  <c r="B148" i="3"/>
  <c r="A148" i="3"/>
  <c r="E147" i="3"/>
  <c r="D147" i="3"/>
  <c r="C147" i="3"/>
  <c r="B147" i="3"/>
  <c r="A147" i="3"/>
  <c r="E146" i="3"/>
  <c r="D146" i="3"/>
  <c r="C146" i="3"/>
  <c r="B146" i="3"/>
  <c r="A146" i="3"/>
  <c r="E145" i="3"/>
  <c r="D145" i="3"/>
  <c r="C145" i="3"/>
  <c r="B145" i="3"/>
  <c r="A145" i="3"/>
  <c r="E144" i="3"/>
  <c r="D144" i="3"/>
  <c r="C144" i="3"/>
  <c r="B144" i="3"/>
  <c r="A144" i="3"/>
  <c r="E143" i="3"/>
  <c r="D143" i="3"/>
  <c r="C143" i="3"/>
  <c r="B143" i="3"/>
  <c r="A143" i="3"/>
  <c r="E142" i="3"/>
  <c r="D142" i="3"/>
  <c r="C142" i="3"/>
  <c r="B142" i="3"/>
  <c r="A142" i="3"/>
  <c r="E141" i="3"/>
  <c r="D141" i="3"/>
  <c r="C141" i="3"/>
  <c r="B141" i="3"/>
  <c r="A141" i="3"/>
  <c r="E140" i="3"/>
  <c r="D140" i="3"/>
  <c r="C140" i="3"/>
  <c r="B140" i="3"/>
  <c r="A140" i="3"/>
  <c r="E139" i="3"/>
  <c r="D139" i="3"/>
  <c r="C139" i="3"/>
  <c r="B139" i="3"/>
  <c r="A139" i="3"/>
  <c r="E138" i="3"/>
  <c r="D138" i="3"/>
  <c r="C138" i="3"/>
  <c r="B138" i="3"/>
  <c r="A138" i="3"/>
  <c r="E137" i="3"/>
  <c r="D137" i="3"/>
  <c r="C137" i="3"/>
  <c r="B137" i="3"/>
  <c r="A137" i="3"/>
  <c r="E136" i="3"/>
  <c r="D136" i="3"/>
  <c r="C136" i="3"/>
  <c r="B136" i="3"/>
  <c r="A136" i="3"/>
  <c r="E135" i="3"/>
  <c r="D135" i="3"/>
  <c r="C135" i="3"/>
  <c r="B135" i="3"/>
  <c r="A135" i="3"/>
  <c r="E134" i="3"/>
  <c r="D134" i="3"/>
  <c r="C134" i="3"/>
  <c r="B134" i="3"/>
  <c r="A134" i="3"/>
  <c r="E133" i="3"/>
  <c r="D133" i="3"/>
  <c r="C133" i="3"/>
  <c r="B133" i="3"/>
  <c r="A133" i="3"/>
  <c r="E132" i="3"/>
  <c r="D132" i="3"/>
  <c r="C132" i="3"/>
  <c r="B132" i="3"/>
  <c r="A132" i="3"/>
  <c r="E131" i="3"/>
  <c r="D131" i="3"/>
  <c r="C131" i="3"/>
  <c r="B131" i="3"/>
  <c r="A131" i="3"/>
  <c r="E130" i="3"/>
  <c r="D130" i="3"/>
  <c r="C130" i="3"/>
  <c r="B130" i="3"/>
  <c r="A130" i="3"/>
  <c r="E129" i="3"/>
  <c r="D129" i="3"/>
  <c r="C129" i="3"/>
  <c r="B129" i="3"/>
  <c r="A129" i="3"/>
  <c r="E128" i="3"/>
  <c r="D128" i="3"/>
  <c r="C128" i="3"/>
  <c r="B128" i="3"/>
  <c r="A128" i="3"/>
  <c r="E127" i="3"/>
  <c r="D127" i="3"/>
  <c r="C127" i="3"/>
  <c r="B127" i="3"/>
  <c r="A127" i="3"/>
  <c r="E126" i="3"/>
  <c r="D126" i="3"/>
  <c r="C126" i="3"/>
  <c r="B126" i="3"/>
  <c r="A126" i="3"/>
  <c r="E125" i="3"/>
  <c r="D125" i="3"/>
  <c r="C125" i="3"/>
  <c r="B125" i="3"/>
  <c r="A125" i="3"/>
  <c r="E124" i="3"/>
  <c r="D124" i="3"/>
  <c r="C124" i="3"/>
  <c r="B124" i="3"/>
  <c r="A124" i="3"/>
  <c r="E123" i="3"/>
  <c r="D123" i="3"/>
  <c r="C123" i="3"/>
  <c r="B123" i="3"/>
  <c r="A123" i="3"/>
  <c r="E122" i="3"/>
  <c r="D122" i="3"/>
  <c r="C122" i="3"/>
  <c r="B122" i="3"/>
  <c r="A122" i="3"/>
  <c r="E121" i="3"/>
  <c r="D121" i="3"/>
  <c r="C121" i="3"/>
  <c r="B121" i="3"/>
  <c r="A121" i="3"/>
  <c r="E120" i="3"/>
  <c r="D120" i="3"/>
  <c r="C120" i="3"/>
  <c r="B120" i="3"/>
  <c r="A120" i="3"/>
  <c r="E119" i="3"/>
  <c r="D119" i="3"/>
  <c r="C119" i="3"/>
  <c r="B119" i="3"/>
  <c r="A119" i="3"/>
  <c r="E118" i="3"/>
  <c r="D118" i="3"/>
  <c r="C118" i="3"/>
  <c r="B118" i="3"/>
  <c r="A118" i="3"/>
  <c r="E117" i="3"/>
  <c r="D117" i="3"/>
  <c r="C117" i="3"/>
  <c r="B117" i="3"/>
  <c r="A117" i="3"/>
  <c r="E116" i="3"/>
  <c r="D116" i="3"/>
  <c r="C116" i="3"/>
  <c r="B116" i="3"/>
  <c r="A116" i="3"/>
  <c r="E115" i="3"/>
  <c r="D115" i="3"/>
  <c r="C115" i="3"/>
  <c r="B115" i="3"/>
  <c r="A115" i="3"/>
  <c r="E114" i="3"/>
  <c r="D114" i="3"/>
  <c r="C114" i="3"/>
  <c r="B114" i="3"/>
  <c r="A114" i="3"/>
  <c r="E113" i="3"/>
  <c r="D113" i="3"/>
  <c r="C113" i="3"/>
  <c r="B113" i="3"/>
  <c r="A113" i="3"/>
  <c r="E112" i="3"/>
  <c r="D112" i="3"/>
  <c r="C112" i="3"/>
  <c r="B112" i="3"/>
  <c r="A112" i="3"/>
  <c r="E111" i="3"/>
  <c r="D111" i="3"/>
  <c r="C111" i="3"/>
  <c r="B111" i="3"/>
  <c r="A111" i="3"/>
  <c r="E110" i="3"/>
  <c r="D110" i="3"/>
  <c r="C110" i="3"/>
  <c r="B110" i="3"/>
  <c r="A110" i="3"/>
  <c r="E109" i="3"/>
  <c r="D109" i="3"/>
  <c r="C109" i="3"/>
  <c r="B109" i="3"/>
  <c r="A109" i="3"/>
  <c r="E108" i="3"/>
  <c r="D108" i="3"/>
  <c r="C108" i="3"/>
  <c r="B108" i="3"/>
  <c r="A108" i="3"/>
  <c r="E107" i="3"/>
  <c r="D107" i="3"/>
  <c r="C107" i="3"/>
  <c r="B107" i="3"/>
  <c r="A107" i="3"/>
  <c r="E106" i="3"/>
  <c r="D106" i="3"/>
  <c r="C106" i="3"/>
  <c r="B106" i="3"/>
  <c r="A106" i="3"/>
  <c r="E105" i="3"/>
  <c r="D105" i="3"/>
  <c r="C105" i="3"/>
  <c r="B105" i="3"/>
  <c r="A105" i="3"/>
  <c r="E104" i="3"/>
  <c r="D104" i="3"/>
  <c r="C104" i="3"/>
  <c r="B104" i="3"/>
  <c r="A104" i="3"/>
  <c r="E103" i="3"/>
  <c r="D103" i="3"/>
  <c r="C103" i="3"/>
  <c r="B103" i="3"/>
  <c r="A103" i="3"/>
  <c r="E102" i="3"/>
  <c r="D102" i="3"/>
  <c r="C102" i="3"/>
  <c r="B102" i="3"/>
  <c r="A102" i="3"/>
  <c r="E101" i="3"/>
  <c r="D101" i="3"/>
  <c r="C101" i="3"/>
  <c r="B101" i="3"/>
  <c r="A101" i="3"/>
  <c r="E100" i="3"/>
  <c r="D100" i="3"/>
  <c r="C100" i="3"/>
  <c r="B100" i="3"/>
  <c r="A100" i="3"/>
  <c r="E99" i="3"/>
  <c r="D99" i="3"/>
  <c r="C99" i="3"/>
  <c r="B99" i="3"/>
  <c r="A99" i="3"/>
  <c r="E98" i="3"/>
  <c r="D98" i="3"/>
  <c r="C98" i="3"/>
  <c r="B98" i="3"/>
  <c r="A98" i="3"/>
  <c r="E97" i="3"/>
  <c r="D97" i="3"/>
  <c r="C97" i="3"/>
  <c r="B97" i="3"/>
  <c r="A97" i="3"/>
  <c r="E96" i="3"/>
  <c r="D96" i="3"/>
  <c r="C96" i="3"/>
  <c r="B96" i="3"/>
  <c r="A96" i="3"/>
  <c r="E95" i="3"/>
  <c r="D95" i="3"/>
  <c r="C95" i="3"/>
  <c r="B95" i="3"/>
  <c r="A95" i="3"/>
  <c r="E94" i="3"/>
  <c r="D94" i="3"/>
  <c r="C94" i="3"/>
  <c r="B94" i="3"/>
  <c r="A94" i="3"/>
  <c r="E93" i="3"/>
  <c r="D93" i="3"/>
  <c r="C93" i="3"/>
  <c r="B93" i="3"/>
  <c r="A93" i="3"/>
  <c r="E92" i="3"/>
  <c r="D92" i="3"/>
  <c r="C92" i="3"/>
  <c r="B92" i="3"/>
  <c r="A92" i="3"/>
  <c r="E91" i="3"/>
  <c r="D91" i="3"/>
  <c r="C91" i="3"/>
  <c r="B91" i="3"/>
  <c r="A91" i="3"/>
  <c r="E90" i="3"/>
  <c r="D90" i="3"/>
  <c r="C90" i="3"/>
  <c r="B90" i="3"/>
  <c r="A90" i="3"/>
  <c r="E89" i="3"/>
  <c r="D89" i="3"/>
  <c r="C89" i="3"/>
  <c r="B89" i="3"/>
  <c r="A89" i="3"/>
  <c r="E88" i="3"/>
  <c r="D88" i="3"/>
  <c r="C88" i="3"/>
  <c r="B88" i="3"/>
  <c r="A88" i="3"/>
  <c r="E87" i="3"/>
  <c r="D87" i="3"/>
  <c r="C87" i="3"/>
  <c r="B87" i="3"/>
  <c r="A87" i="3"/>
  <c r="E86" i="3"/>
  <c r="D86" i="3"/>
  <c r="C86" i="3"/>
  <c r="B86" i="3"/>
  <c r="A86" i="3"/>
  <c r="E85" i="3"/>
  <c r="D85" i="3"/>
  <c r="C85" i="3"/>
  <c r="B85" i="3"/>
  <c r="A85" i="3"/>
  <c r="E84" i="3"/>
  <c r="D84" i="3"/>
  <c r="C84" i="3"/>
  <c r="B84" i="3"/>
  <c r="A84" i="3"/>
  <c r="E83" i="3"/>
  <c r="D83" i="3"/>
  <c r="C83" i="3"/>
  <c r="B83" i="3"/>
  <c r="A83" i="3"/>
  <c r="E82" i="3"/>
  <c r="D82" i="3"/>
  <c r="C82" i="3"/>
  <c r="B82" i="3"/>
  <c r="A82" i="3"/>
  <c r="E81" i="3"/>
  <c r="D81" i="3"/>
  <c r="C81" i="3"/>
  <c r="B81" i="3"/>
  <c r="A81" i="3"/>
  <c r="E80" i="3"/>
  <c r="D80" i="3"/>
  <c r="C80" i="3"/>
  <c r="B80" i="3"/>
  <c r="A80" i="3"/>
  <c r="E79" i="3"/>
  <c r="D79" i="3"/>
  <c r="C79" i="3"/>
  <c r="B79" i="3"/>
  <c r="A79" i="3"/>
  <c r="E78" i="3"/>
  <c r="D78" i="3"/>
  <c r="C78" i="3"/>
  <c r="B78" i="3"/>
  <c r="A78" i="3"/>
  <c r="E77" i="3"/>
  <c r="D77" i="3"/>
  <c r="C77" i="3"/>
  <c r="B77" i="3"/>
  <c r="A77" i="3"/>
  <c r="E76" i="3"/>
  <c r="D76" i="3"/>
  <c r="C76" i="3"/>
  <c r="B76" i="3"/>
  <c r="A76" i="3"/>
  <c r="E75" i="3"/>
  <c r="D75" i="3"/>
  <c r="C75" i="3"/>
  <c r="B75" i="3"/>
  <c r="A75" i="3"/>
  <c r="E74" i="3"/>
  <c r="D74" i="3"/>
  <c r="C74" i="3"/>
  <c r="B74" i="3"/>
  <c r="A74" i="3"/>
  <c r="E73" i="3"/>
  <c r="D73" i="3"/>
  <c r="C73" i="3"/>
  <c r="B73" i="3"/>
  <c r="A73" i="3"/>
  <c r="E72" i="3"/>
  <c r="D72" i="3"/>
  <c r="C72" i="3"/>
  <c r="B72" i="3"/>
  <c r="A72" i="3"/>
  <c r="E71" i="3"/>
  <c r="D71" i="3"/>
  <c r="C71" i="3"/>
  <c r="B71" i="3"/>
  <c r="A71" i="3"/>
  <c r="E70" i="3"/>
  <c r="D70" i="3"/>
  <c r="C70" i="3"/>
  <c r="B70" i="3"/>
  <c r="A70" i="3"/>
  <c r="E69" i="3"/>
  <c r="D69" i="3"/>
  <c r="C69" i="3"/>
  <c r="B69" i="3"/>
  <c r="A69" i="3"/>
  <c r="E68" i="3"/>
  <c r="D68" i="3"/>
  <c r="C68" i="3"/>
  <c r="B68" i="3"/>
  <c r="A68" i="3"/>
  <c r="E67" i="3"/>
  <c r="D67" i="3"/>
  <c r="C67" i="3"/>
  <c r="B67" i="3"/>
  <c r="A67" i="3"/>
  <c r="E66" i="3"/>
  <c r="D66" i="3"/>
  <c r="C66" i="3"/>
  <c r="B66" i="3"/>
  <c r="A66" i="3"/>
  <c r="E65" i="3"/>
  <c r="D65" i="3"/>
  <c r="C65" i="3"/>
  <c r="B65" i="3"/>
  <c r="A65" i="3"/>
  <c r="E64" i="3"/>
  <c r="D64" i="3"/>
  <c r="C64" i="3"/>
  <c r="B64" i="3"/>
  <c r="A64" i="3"/>
  <c r="E63" i="3"/>
  <c r="D63" i="3"/>
  <c r="C63" i="3"/>
  <c r="B63" i="3"/>
  <c r="A63" i="3"/>
  <c r="E62" i="3"/>
  <c r="D62" i="3"/>
  <c r="C62" i="3"/>
  <c r="B62" i="3"/>
  <c r="A62" i="3"/>
  <c r="E61" i="3"/>
  <c r="D61" i="3"/>
  <c r="C61" i="3"/>
  <c r="B61" i="3"/>
  <c r="A61" i="3"/>
  <c r="E60" i="3"/>
  <c r="D60" i="3"/>
  <c r="C60" i="3"/>
  <c r="B60" i="3"/>
  <c r="A60" i="3"/>
  <c r="E59" i="3"/>
  <c r="D59" i="3"/>
  <c r="C59" i="3"/>
  <c r="B59" i="3"/>
  <c r="A59" i="3"/>
  <c r="E58" i="3"/>
  <c r="D58" i="3"/>
  <c r="C58" i="3"/>
  <c r="B58" i="3"/>
  <c r="A58" i="3"/>
  <c r="E57" i="3"/>
  <c r="D57" i="3"/>
  <c r="C57" i="3"/>
  <c r="B57" i="3"/>
  <c r="A57" i="3"/>
  <c r="E56" i="3"/>
  <c r="D56" i="3"/>
  <c r="C56" i="3"/>
  <c r="B56" i="3"/>
  <c r="A56" i="3"/>
  <c r="E55" i="3"/>
  <c r="D55" i="3"/>
  <c r="C55" i="3"/>
  <c r="B55" i="3"/>
  <c r="A55" i="3"/>
  <c r="E54" i="3"/>
  <c r="D54" i="3"/>
  <c r="C54" i="3"/>
  <c r="B54" i="3"/>
  <c r="A54" i="3"/>
  <c r="E53" i="3"/>
  <c r="D53" i="3"/>
  <c r="C53" i="3"/>
  <c r="B53" i="3"/>
  <c r="A53" i="3"/>
  <c r="E52" i="3"/>
  <c r="D52" i="3"/>
  <c r="C52" i="3"/>
  <c r="B52" i="3"/>
  <c r="A52" i="3"/>
  <c r="E51" i="3"/>
  <c r="D51" i="3"/>
  <c r="C51" i="3"/>
  <c r="B51" i="3"/>
  <c r="A51" i="3"/>
  <c r="E50" i="3"/>
  <c r="D50" i="3"/>
  <c r="C50" i="3"/>
  <c r="B50" i="3"/>
  <c r="A50" i="3"/>
  <c r="E49" i="3"/>
  <c r="D49" i="3"/>
  <c r="C49" i="3"/>
  <c r="B49" i="3"/>
  <c r="A49" i="3"/>
  <c r="E48" i="3"/>
  <c r="D48" i="3"/>
  <c r="C48" i="3"/>
  <c r="B48" i="3"/>
  <c r="A48" i="3"/>
  <c r="E47" i="3"/>
  <c r="D47" i="3"/>
  <c r="C47" i="3"/>
  <c r="B47" i="3"/>
  <c r="A47" i="3"/>
  <c r="E46" i="3"/>
  <c r="D46" i="3"/>
  <c r="C46" i="3"/>
  <c r="B46" i="3"/>
  <c r="A46" i="3"/>
  <c r="E45" i="3"/>
  <c r="D45" i="3"/>
  <c r="C45" i="3"/>
  <c r="B45" i="3"/>
  <c r="A45" i="3"/>
  <c r="E44" i="3"/>
  <c r="D44" i="3"/>
  <c r="C44" i="3"/>
  <c r="B44" i="3"/>
  <c r="A44" i="3"/>
  <c r="E43" i="3"/>
  <c r="D43" i="3"/>
  <c r="C43" i="3"/>
  <c r="B43" i="3"/>
  <c r="A43" i="3"/>
  <c r="E42" i="3"/>
  <c r="D42" i="3"/>
  <c r="C42" i="3"/>
  <c r="B42" i="3"/>
  <c r="A42" i="3"/>
  <c r="E41" i="3"/>
  <c r="D41" i="3"/>
  <c r="C41" i="3"/>
  <c r="B41" i="3"/>
  <c r="A41" i="3"/>
  <c r="E40" i="3"/>
  <c r="D40" i="3"/>
  <c r="C40" i="3"/>
  <c r="B40" i="3"/>
  <c r="A40" i="3"/>
  <c r="E39" i="3"/>
  <c r="D39" i="3"/>
  <c r="C39" i="3"/>
  <c r="B39" i="3"/>
  <c r="A39" i="3"/>
  <c r="E38" i="3"/>
  <c r="D38" i="3"/>
  <c r="C38" i="3"/>
  <c r="B38" i="3"/>
  <c r="A38" i="3"/>
  <c r="E37" i="3"/>
  <c r="D37" i="3"/>
  <c r="C37" i="3"/>
  <c r="B37" i="3"/>
  <c r="A37" i="3"/>
  <c r="E36" i="3"/>
  <c r="D36" i="3"/>
  <c r="C36" i="3"/>
  <c r="B36" i="3"/>
  <c r="A36" i="3"/>
  <c r="E35" i="3"/>
  <c r="D35" i="3"/>
  <c r="C35" i="3"/>
  <c r="B35" i="3"/>
  <c r="A35" i="3"/>
  <c r="E34" i="3"/>
  <c r="D34" i="3"/>
  <c r="C34" i="3"/>
  <c r="B34" i="3"/>
  <c r="A34" i="3"/>
  <c r="E33" i="3"/>
  <c r="D33" i="3"/>
  <c r="C33" i="3"/>
  <c r="B33" i="3"/>
  <c r="A33" i="3"/>
  <c r="E32" i="3"/>
  <c r="D32" i="3"/>
  <c r="C32" i="3"/>
  <c r="B32" i="3"/>
  <c r="A32" i="3"/>
  <c r="E31" i="3"/>
  <c r="D31" i="3"/>
  <c r="C31" i="3"/>
  <c r="B31" i="3"/>
  <c r="A31" i="3"/>
  <c r="E30" i="3"/>
  <c r="D30" i="3"/>
  <c r="C30" i="3"/>
  <c r="B30" i="3"/>
  <c r="A30" i="3"/>
  <c r="E29" i="3"/>
  <c r="D29" i="3"/>
  <c r="C29" i="3"/>
  <c r="B29" i="3"/>
  <c r="A29" i="3"/>
  <c r="E28" i="3"/>
  <c r="D28" i="3"/>
  <c r="C28" i="3"/>
  <c r="B28" i="3"/>
  <c r="A28" i="3"/>
  <c r="E27" i="3"/>
  <c r="D27" i="3"/>
  <c r="C27" i="3"/>
  <c r="B27" i="3"/>
  <c r="A27" i="3"/>
  <c r="E26" i="3"/>
  <c r="D26" i="3"/>
  <c r="C26" i="3"/>
  <c r="B26" i="3"/>
  <c r="A26" i="3"/>
  <c r="E25" i="3"/>
  <c r="D25" i="3"/>
  <c r="C25" i="3"/>
  <c r="B25" i="3"/>
  <c r="A25" i="3"/>
  <c r="E24" i="3"/>
  <c r="D24" i="3"/>
  <c r="C24" i="3"/>
  <c r="B24" i="3"/>
  <c r="A24" i="3"/>
  <c r="E23" i="3"/>
  <c r="D23" i="3"/>
  <c r="C23" i="3"/>
  <c r="B23" i="3"/>
  <c r="A23" i="3"/>
  <c r="E22" i="3"/>
  <c r="D22" i="3"/>
  <c r="C22" i="3"/>
  <c r="B22" i="3"/>
  <c r="A22" i="3"/>
  <c r="E21" i="3"/>
  <c r="D21" i="3"/>
  <c r="C21" i="3"/>
  <c r="B21" i="3"/>
  <c r="A21" i="3"/>
  <c r="E20" i="3"/>
  <c r="D20" i="3"/>
  <c r="C20" i="3"/>
  <c r="B20" i="3"/>
  <c r="A20" i="3"/>
  <c r="E19" i="3"/>
  <c r="D19" i="3"/>
  <c r="C19" i="3"/>
  <c r="B19" i="3"/>
  <c r="A19" i="3"/>
  <c r="E18" i="3"/>
  <c r="D18" i="3"/>
  <c r="C18" i="3"/>
  <c r="B18" i="3"/>
  <c r="A18" i="3"/>
  <c r="E17" i="3"/>
  <c r="D17" i="3"/>
  <c r="C17" i="3"/>
  <c r="B17" i="3"/>
  <c r="A17" i="3"/>
  <c r="E16" i="3"/>
  <c r="D16" i="3"/>
  <c r="C16" i="3"/>
  <c r="B16" i="3"/>
  <c r="A16" i="3"/>
  <c r="E15" i="3"/>
  <c r="D15" i="3"/>
  <c r="C15" i="3"/>
  <c r="B15" i="3"/>
  <c r="A15" i="3"/>
  <c r="E14" i="3"/>
  <c r="D14" i="3"/>
  <c r="C14" i="3"/>
  <c r="B14" i="3"/>
  <c r="A14" i="3"/>
  <c r="E13" i="3"/>
  <c r="D13" i="3"/>
  <c r="C13" i="3"/>
  <c r="B13" i="3"/>
  <c r="A13" i="3"/>
  <c r="E12" i="3"/>
  <c r="D12" i="3"/>
  <c r="C12" i="3"/>
  <c r="B12" i="3"/>
  <c r="A12" i="3"/>
  <c r="E11" i="3"/>
  <c r="D11" i="3"/>
  <c r="C11" i="3"/>
  <c r="B11" i="3"/>
  <c r="A11" i="3"/>
  <c r="E10" i="3"/>
  <c r="D10" i="3"/>
  <c r="C10" i="3"/>
  <c r="B10" i="3"/>
  <c r="A10" i="3"/>
  <c r="E9" i="3"/>
  <c r="D9" i="3"/>
  <c r="C9" i="3"/>
  <c r="B9" i="3"/>
  <c r="A9" i="3"/>
  <c r="E8" i="3"/>
  <c r="D8" i="3"/>
  <c r="C8" i="3"/>
  <c r="B8" i="3"/>
  <c r="A8" i="3"/>
  <c r="E7" i="3"/>
  <c r="D7" i="3"/>
  <c r="C7" i="3"/>
  <c r="B7" i="3"/>
  <c r="A7" i="3"/>
  <c r="E6" i="3"/>
  <c r="D6" i="3"/>
  <c r="C6" i="3"/>
  <c r="B6" i="3"/>
  <c r="A6" i="3"/>
  <c r="E5" i="3"/>
  <c r="D5" i="3"/>
  <c r="C5" i="3"/>
  <c r="B5" i="3"/>
  <c r="A5" i="3"/>
  <c r="E4" i="3"/>
  <c r="D4" i="3"/>
  <c r="C4" i="3"/>
  <c r="B4" i="3"/>
  <c r="A4" i="3"/>
  <c r="E3" i="3"/>
  <c r="D3" i="3"/>
  <c r="C3" i="3"/>
  <c r="B3" i="3"/>
  <c r="A3" i="3"/>
  <c r="E2" i="3"/>
  <c r="D2" i="3"/>
  <c r="C2" i="3"/>
  <c r="B2" i="3"/>
  <c r="A2" i="3"/>
  <c r="E49" i="53"/>
  <c r="F49" i="53"/>
  <c r="H49" i="53"/>
  <c r="E45" i="53"/>
  <c r="F45" i="53"/>
  <c r="E46" i="53"/>
  <c r="F46" i="53"/>
  <c r="H46" i="53" s="1"/>
  <c r="E47" i="53"/>
  <c r="F47" i="53"/>
  <c r="H47" i="53" s="1"/>
  <c r="E48" i="53"/>
  <c r="F48" i="53"/>
  <c r="Z8" i="61" l="1"/>
  <c r="Q47" i="61"/>
  <c r="V8" i="61" s="1"/>
  <c r="V14" i="61" s="1"/>
  <c r="R17" i="18"/>
  <c r="P17" i="18" s="1"/>
  <c r="AC15" i="18"/>
  <c r="AA15" i="18" s="1"/>
  <c r="AA45" i="18"/>
  <c r="AB45" i="18" s="1"/>
  <c r="R220" i="7"/>
  <c r="R196" i="7"/>
  <c r="I225" i="6"/>
  <c r="R213" i="7"/>
  <c r="R189" i="7"/>
  <c r="I214" i="6"/>
  <c r="R209" i="7"/>
  <c r="K209" i="6" s="1"/>
  <c r="R208" i="7"/>
  <c r="K208" i="6" s="1"/>
  <c r="I201" i="6"/>
  <c r="R218" i="7"/>
  <c r="K218" i="6" s="1"/>
  <c r="R206" i="7"/>
  <c r="K206" i="6" s="1"/>
  <c r="I223" i="6"/>
  <c r="I205" i="6"/>
  <c r="I200" i="6"/>
  <c r="I212" i="6"/>
  <c r="R231" i="7"/>
  <c r="K231" i="6" s="1"/>
  <c r="R215" i="7"/>
  <c r="K215" i="6" s="1"/>
  <c r="R203" i="7"/>
  <c r="R191" i="7"/>
  <c r="R226" i="7"/>
  <c r="K226" i="6" s="1"/>
  <c r="R202" i="7"/>
  <c r="K202" i="6" s="1"/>
  <c r="R190" i="7"/>
  <c r="K190" i="6" s="1"/>
  <c r="I188" i="6"/>
  <c r="R224" i="7"/>
  <c r="AA3" i="89"/>
  <c r="AA9" i="89"/>
  <c r="AA15" i="89"/>
  <c r="AA18" i="89"/>
  <c r="AA21" i="89"/>
  <c r="AA30" i="89"/>
  <c r="AA42" i="89"/>
  <c r="AA54" i="89"/>
  <c r="AA102" i="89"/>
  <c r="AA104" i="89"/>
  <c r="AA6" i="89"/>
  <c r="AA12" i="89"/>
  <c r="AA27" i="89"/>
  <c r="AA33" i="89"/>
  <c r="AA36" i="89"/>
  <c r="AA39" i="89"/>
  <c r="AA53" i="89"/>
  <c r="AA65" i="89"/>
  <c r="AA68" i="89"/>
  <c r="AA71" i="89"/>
  <c r="AA77" i="89"/>
  <c r="AA80" i="89"/>
  <c r="AA89" i="89"/>
  <c r="AA95" i="89"/>
  <c r="AA101" i="89"/>
  <c r="AA4" i="89"/>
  <c r="AA10" i="89"/>
  <c r="AA19" i="89"/>
  <c r="AA45" i="89"/>
  <c r="AA48" i="89"/>
  <c r="AA51" i="89"/>
  <c r="AA57" i="89"/>
  <c r="AA60" i="89"/>
  <c r="AA63" i="89"/>
  <c r="AA66" i="89"/>
  <c r="AA75" i="89"/>
  <c r="AA84" i="89"/>
  <c r="AA87" i="89"/>
  <c r="AA90" i="89"/>
  <c r="AA96" i="89"/>
  <c r="AA99" i="89"/>
  <c r="AA2" i="89"/>
  <c r="AA14" i="89"/>
  <c r="AA23" i="89"/>
  <c r="AA26" i="89"/>
  <c r="AA29" i="89"/>
  <c r="AA105" i="89"/>
  <c r="AA7" i="89"/>
  <c r="AA73" i="89"/>
  <c r="AA92" i="89"/>
  <c r="AA16" i="89"/>
  <c r="AA44" i="89"/>
  <c r="AA47" i="89"/>
  <c r="AA50" i="89"/>
  <c r="AA69" i="89"/>
  <c r="AA88" i="89"/>
  <c r="AA85" i="89"/>
  <c r="AA98" i="89"/>
  <c r="AA22" i="89"/>
  <c r="AA25" i="89"/>
  <c r="AA28" i="89"/>
  <c r="AA56" i="89"/>
  <c r="AA59" i="89"/>
  <c r="AA62" i="89"/>
  <c r="AA78" i="89"/>
  <c r="AA94" i="89"/>
  <c r="AA5" i="89"/>
  <c r="AA43" i="89"/>
  <c r="AA46" i="89"/>
  <c r="AA49" i="89"/>
  <c r="AA82" i="89"/>
  <c r="AA8" i="89"/>
  <c r="AA52" i="89"/>
  <c r="AA74" i="89"/>
  <c r="AA11" i="89"/>
  <c r="AA24" i="89"/>
  <c r="AA103" i="89"/>
  <c r="AA13" i="89"/>
  <c r="AA38" i="89"/>
  <c r="AA41" i="89"/>
  <c r="AA17" i="89"/>
  <c r="AA64" i="89"/>
  <c r="AA83" i="89"/>
  <c r="AA86" i="89"/>
  <c r="AA95" i="5"/>
  <c r="S34" i="89"/>
  <c r="T34" i="89"/>
  <c r="T77" i="89"/>
  <c r="S77" i="89"/>
  <c r="T18" i="89"/>
  <c r="S18" i="89"/>
  <c r="S24" i="89"/>
  <c r="T24" i="89"/>
  <c r="T4" i="89"/>
  <c r="S4" i="89"/>
  <c r="S17" i="89"/>
  <c r="T17" i="89"/>
  <c r="T68" i="89"/>
  <c r="S68" i="89"/>
  <c r="T2" i="89"/>
  <c r="S2" i="89"/>
  <c r="T31" i="89"/>
  <c r="S31" i="89"/>
  <c r="T37" i="89"/>
  <c r="S37" i="89"/>
  <c r="T74" i="89"/>
  <c r="S74" i="89"/>
  <c r="T15" i="89"/>
  <c r="S15" i="89"/>
  <c r="T9" i="89"/>
  <c r="S9" i="89"/>
  <c r="T80" i="89"/>
  <c r="S80" i="89"/>
  <c r="T7" i="89"/>
  <c r="S7" i="89"/>
  <c r="S41" i="89"/>
  <c r="S14" i="89"/>
  <c r="T14" i="89"/>
  <c r="T60" i="89"/>
  <c r="S60" i="89"/>
  <c r="S105" i="89"/>
  <c r="S93" i="89"/>
  <c r="S58" i="89"/>
  <c r="S96" i="89"/>
  <c r="S61" i="89"/>
  <c r="S5" i="89"/>
  <c r="S33" i="89"/>
  <c r="S35" i="89"/>
  <c r="S27" i="89"/>
  <c r="S101" i="89"/>
  <c r="S98" i="89"/>
  <c r="S63" i="89"/>
  <c r="S87" i="89"/>
  <c r="S8" i="89"/>
  <c r="S66" i="89"/>
  <c r="S10" i="89"/>
  <c r="S69" i="89"/>
  <c r="S46" i="89"/>
  <c r="S38" i="89"/>
  <c r="S72" i="89"/>
  <c r="S25" i="89"/>
  <c r="S75" i="89"/>
  <c r="S42" i="89"/>
  <c r="S78" i="89"/>
  <c r="S11" i="89"/>
  <c r="S36" i="89"/>
  <c r="S28" i="89"/>
  <c r="S84" i="89"/>
  <c r="T10" i="89"/>
  <c r="S20" i="89"/>
  <c r="T20" i="89"/>
  <c r="T65" i="89"/>
  <c r="S65" i="89"/>
  <c r="T12" i="89"/>
  <c r="S12" i="89"/>
  <c r="T21" i="89"/>
  <c r="S21" i="89"/>
  <c r="T71" i="89"/>
  <c r="S71" i="89"/>
  <c r="AA35" i="89"/>
  <c r="S43" i="89"/>
  <c r="S81" i="89"/>
  <c r="T82" i="89"/>
  <c r="S82" i="89"/>
  <c r="T86" i="89"/>
  <c r="S86" i="89"/>
  <c r="T89" i="89"/>
  <c r="S89" i="89"/>
  <c r="T79" i="89"/>
  <c r="S79" i="89"/>
  <c r="T83" i="89"/>
  <c r="S83" i="89"/>
  <c r="T103" i="89"/>
  <c r="S103" i="89"/>
  <c r="T108" i="89"/>
  <c r="S108" i="89"/>
  <c r="T85" i="89"/>
  <c r="S85" i="89"/>
  <c r="S104" i="89"/>
  <c r="S44" i="89"/>
  <c r="T76" i="89"/>
  <c r="S76" i="89"/>
  <c r="S45" i="89"/>
  <c r="T73" i="89"/>
  <c r="S73" i="89"/>
  <c r="T57" i="89"/>
  <c r="S57" i="89"/>
  <c r="T88" i="89"/>
  <c r="S88" i="89"/>
  <c r="AA20" i="89"/>
  <c r="S29" i="89"/>
  <c r="S32" i="89"/>
  <c r="T70" i="89"/>
  <c r="S70" i="89"/>
  <c r="S109" i="89"/>
  <c r="S39" i="89"/>
  <c r="S47" i="89"/>
  <c r="T67" i="89"/>
  <c r="S67" i="89"/>
  <c r="T107" i="89"/>
  <c r="S107" i="89"/>
  <c r="T92" i="89"/>
  <c r="S92" i="89"/>
  <c r="S48" i="89"/>
  <c r="T64" i="89"/>
  <c r="S64" i="89"/>
  <c r="T99" i="89"/>
  <c r="S99" i="89"/>
  <c r="S13" i="89"/>
  <c r="S16" i="89"/>
  <c r="S19" i="89"/>
  <c r="S22" i="89"/>
  <c r="S23" i="89"/>
  <c r="S26" i="89"/>
  <c r="S30" i="89"/>
  <c r="T49" i="89"/>
  <c r="S49" i="89"/>
  <c r="S6" i="89"/>
  <c r="S50" i="89"/>
  <c r="T62" i="89"/>
  <c r="S62" i="89"/>
  <c r="T97" i="89"/>
  <c r="S97" i="89"/>
  <c r="T100" i="89"/>
  <c r="S100" i="89"/>
  <c r="AA31" i="89"/>
  <c r="AA32" i="89"/>
  <c r="S40" i="89"/>
  <c r="T51" i="89"/>
  <c r="S51" i="89"/>
  <c r="S52" i="89"/>
  <c r="S53" i="89"/>
  <c r="T59" i="89"/>
  <c r="S59" i="89"/>
  <c r="T94" i="89"/>
  <c r="S94" i="89"/>
  <c r="T3" i="89"/>
  <c r="S3" i="89"/>
  <c r="T54" i="89"/>
  <c r="S54" i="89"/>
  <c r="S55" i="89"/>
  <c r="T56" i="89"/>
  <c r="S56" i="89"/>
  <c r="S90" i="89"/>
  <c r="T91" i="89"/>
  <c r="S91" i="89"/>
  <c r="T95" i="89"/>
  <c r="S95" i="89"/>
  <c r="T110" i="89"/>
  <c r="S110" i="89"/>
  <c r="S102" i="89"/>
  <c r="S106" i="89"/>
  <c r="S57" i="5"/>
  <c r="S83" i="5"/>
  <c r="S25" i="5"/>
  <c r="S62" i="5"/>
  <c r="S52" i="5"/>
  <c r="S31" i="5"/>
  <c r="S97" i="5"/>
  <c r="S109" i="5"/>
  <c r="S79" i="5"/>
  <c r="S75" i="5"/>
  <c r="S12" i="5"/>
  <c r="S47" i="5"/>
  <c r="S26" i="5"/>
  <c r="S63" i="5"/>
  <c r="S33" i="5"/>
  <c r="S42" i="5"/>
  <c r="S54" i="5"/>
  <c r="S100" i="5"/>
  <c r="S69" i="5"/>
  <c r="S38" i="5"/>
  <c r="S21" i="5"/>
  <c r="S70" i="5"/>
  <c r="S23" i="5"/>
  <c r="S55" i="5"/>
  <c r="S84" i="5"/>
  <c r="S16" i="5"/>
  <c r="S74" i="5"/>
  <c r="S71" i="5"/>
  <c r="S6" i="5"/>
  <c r="S91" i="5"/>
  <c r="S94" i="5"/>
  <c r="S45" i="5"/>
  <c r="S90" i="5"/>
  <c r="S86" i="5"/>
  <c r="S2" i="5"/>
  <c r="S66" i="5"/>
  <c r="S87" i="5"/>
  <c r="S95" i="5"/>
  <c r="S17" i="5"/>
  <c r="S80" i="5"/>
  <c r="S73" i="5"/>
  <c r="S51" i="5"/>
  <c r="S32" i="5"/>
  <c r="S37" i="5"/>
  <c r="S107" i="5"/>
  <c r="S85" i="5"/>
  <c r="S110" i="5"/>
  <c r="S76" i="5"/>
  <c r="S24" i="5"/>
  <c r="S41" i="5"/>
  <c r="S4" i="5"/>
  <c r="S40" i="5"/>
  <c r="S82" i="5"/>
  <c r="S99" i="5"/>
  <c r="S101" i="5"/>
  <c r="S43" i="5"/>
  <c r="S10" i="5"/>
  <c r="S35" i="5"/>
  <c r="S22" i="5"/>
  <c r="S8" i="5"/>
  <c r="S98" i="5"/>
  <c r="S13" i="5"/>
  <c r="S106" i="5"/>
  <c r="S89" i="5"/>
  <c r="S108" i="5"/>
  <c r="S5" i="5"/>
  <c r="S11" i="5"/>
  <c r="S61" i="5"/>
  <c r="S29" i="5"/>
  <c r="S34" i="5"/>
  <c r="S48" i="5"/>
  <c r="S102" i="5"/>
  <c r="S92" i="5"/>
  <c r="S103" i="5"/>
  <c r="S60" i="5"/>
  <c r="S49" i="5"/>
  <c r="S7" i="5"/>
  <c r="S9" i="5"/>
  <c r="S58" i="5"/>
  <c r="S18" i="5"/>
  <c r="S105" i="5"/>
  <c r="S96" i="5"/>
  <c r="S44" i="5"/>
  <c r="S15" i="5"/>
  <c r="S67" i="5"/>
  <c r="S56" i="5"/>
  <c r="S14" i="5"/>
  <c r="S28" i="5"/>
  <c r="S72" i="5"/>
  <c r="B230" i="6"/>
  <c r="B198" i="6"/>
  <c r="B229" i="6"/>
  <c r="R229" i="6" s="1"/>
  <c r="B228" i="6"/>
  <c r="S228" i="6" s="1"/>
  <c r="B227" i="6"/>
  <c r="R227" i="6" s="1"/>
  <c r="B205" i="6"/>
  <c r="B194" i="6"/>
  <c r="B232" i="6"/>
  <c r="R232" i="6" s="1"/>
  <c r="B231" i="6"/>
  <c r="R231" i="6" s="1"/>
  <c r="S39" i="5"/>
  <c r="S30" i="5"/>
  <c r="S104" i="5"/>
  <c r="S36" i="5"/>
  <c r="S65" i="5"/>
  <c r="S88" i="5"/>
  <c r="S46" i="5"/>
  <c r="S50" i="5"/>
  <c r="S68" i="5"/>
  <c r="S78" i="5"/>
  <c r="S27" i="5"/>
  <c r="S77" i="5"/>
  <c r="S93" i="5"/>
  <c r="S20" i="5"/>
  <c r="S59" i="5"/>
  <c r="S81" i="5"/>
  <c r="S53" i="5"/>
  <c r="S64" i="5"/>
  <c r="S3" i="5"/>
  <c r="S19" i="5"/>
  <c r="AA82" i="5"/>
  <c r="AA97" i="5"/>
  <c r="AA31" i="5"/>
  <c r="AA36" i="5"/>
  <c r="AA25" i="5"/>
  <c r="AA79" i="5"/>
  <c r="AA69" i="5"/>
  <c r="AA14" i="5"/>
  <c r="AA53" i="5"/>
  <c r="AA47" i="5"/>
  <c r="T72" i="5"/>
  <c r="T103" i="5"/>
  <c r="T99" i="5"/>
  <c r="T53" i="5"/>
  <c r="T16" i="5"/>
  <c r="T5" i="5"/>
  <c r="T91" i="5"/>
  <c r="T89" i="5"/>
  <c r="T84" i="5"/>
  <c r="T49" i="5"/>
  <c r="T92" i="5"/>
  <c r="T93" i="5"/>
  <c r="T87" i="5"/>
  <c r="T60" i="5"/>
  <c r="T71" i="5"/>
  <c r="T110" i="5"/>
  <c r="T17" i="5"/>
  <c r="T2" i="5"/>
  <c r="T51" i="5"/>
  <c r="T107" i="5"/>
  <c r="T100" i="5"/>
  <c r="T78" i="5"/>
  <c r="T57" i="5"/>
  <c r="T30" i="5"/>
  <c r="T55" i="5"/>
  <c r="T97" i="5"/>
  <c r="T77" i="5"/>
  <c r="T24" i="5"/>
  <c r="T83" i="5"/>
  <c r="T61" i="5"/>
  <c r="T101" i="5"/>
  <c r="T36" i="5"/>
  <c r="T65" i="5"/>
  <c r="T94" i="5"/>
  <c r="T44" i="5"/>
  <c r="T106" i="5"/>
  <c r="T108" i="5"/>
  <c r="T38" i="5"/>
  <c r="T95" i="5"/>
  <c r="T79" i="5"/>
  <c r="T59" i="5"/>
  <c r="T54" i="5"/>
  <c r="T102" i="5"/>
  <c r="T69" i="5"/>
  <c r="T104" i="5"/>
  <c r="T76" i="5"/>
  <c r="T47" i="5"/>
  <c r="T75" i="5"/>
  <c r="T80" i="5"/>
  <c r="T105" i="5"/>
  <c r="T85" i="5"/>
  <c r="T109" i="5"/>
  <c r="T43" i="5"/>
  <c r="T67" i="5"/>
  <c r="T46" i="5"/>
  <c r="T82" i="5"/>
  <c r="T66" i="5"/>
  <c r="T96" i="5"/>
  <c r="T39" i="5"/>
  <c r="T10" i="5"/>
  <c r="T35" i="5"/>
  <c r="S232" i="6"/>
  <c r="S229" i="6"/>
  <c r="R228" i="6"/>
  <c r="B12" i="7"/>
  <c r="C148" i="7"/>
  <c r="D37" i="7"/>
  <c r="F71" i="7"/>
  <c r="F63" i="7"/>
  <c r="B24" i="7"/>
  <c r="B33" i="7"/>
  <c r="B16" i="7"/>
  <c r="C157" i="7"/>
  <c r="E24" i="7"/>
  <c r="B93" i="7"/>
  <c r="J93" i="7" s="1"/>
  <c r="C93" i="6" s="1"/>
  <c r="G84" i="7"/>
  <c r="F116" i="7"/>
  <c r="F196" i="7"/>
  <c r="F31" i="7"/>
  <c r="D85" i="7"/>
  <c r="D117" i="7"/>
  <c r="C205" i="7"/>
  <c r="E119" i="7"/>
  <c r="C164" i="7"/>
  <c r="F164" i="7"/>
  <c r="G37" i="7"/>
  <c r="B7" i="7"/>
  <c r="C26" i="7"/>
  <c r="G61" i="7"/>
  <c r="B81" i="7"/>
  <c r="D195" i="7"/>
  <c r="F167" i="7"/>
  <c r="Q205" i="6"/>
  <c r="G33" i="7"/>
  <c r="B64" i="7"/>
  <c r="E203" i="7"/>
  <c r="R228" i="7"/>
  <c r="K228" i="6" s="1"/>
  <c r="D185" i="6"/>
  <c r="E185" i="6"/>
  <c r="B83" i="7"/>
  <c r="E83" i="7"/>
  <c r="C169" i="7"/>
  <c r="F210" i="7"/>
  <c r="C219" i="7"/>
  <c r="G74" i="7"/>
  <c r="O74" i="7" s="1"/>
  <c r="H74" i="6" s="1"/>
  <c r="G10" i="7"/>
  <c r="C145" i="7"/>
  <c r="D154" i="7"/>
  <c r="F163" i="7"/>
  <c r="D145" i="7"/>
  <c r="G154" i="7"/>
  <c r="E91" i="7"/>
  <c r="F179" i="7"/>
  <c r="B71" i="7"/>
  <c r="G164" i="7"/>
  <c r="G195" i="7"/>
  <c r="D71" i="7"/>
  <c r="F33" i="7"/>
  <c r="G81" i="7"/>
  <c r="C217" i="7"/>
  <c r="E217" i="7"/>
  <c r="E85" i="7"/>
  <c r="G116" i="7"/>
  <c r="D133" i="7"/>
  <c r="F148" i="7"/>
  <c r="D156" i="7"/>
  <c r="D169" i="7"/>
  <c r="G196" i="7"/>
  <c r="D205" i="7"/>
  <c r="B9" i="7"/>
  <c r="D43" i="7"/>
  <c r="D60" i="7"/>
  <c r="D72" i="7"/>
  <c r="C75" i="7"/>
  <c r="F85" i="7"/>
  <c r="E133" i="7"/>
  <c r="M133" i="7" s="1"/>
  <c r="F133" i="6" s="1"/>
  <c r="F205" i="7"/>
  <c r="F215" i="7"/>
  <c r="G215" i="7"/>
  <c r="B72" i="7"/>
  <c r="R232" i="7"/>
  <c r="K232" i="6" s="1"/>
  <c r="K189" i="6"/>
  <c r="K195" i="6"/>
  <c r="K201" i="6"/>
  <c r="K207" i="6"/>
  <c r="K213" i="6"/>
  <c r="K219" i="6"/>
  <c r="K225" i="6"/>
  <c r="K196" i="6"/>
  <c r="K214" i="6"/>
  <c r="K220" i="6"/>
  <c r="R229" i="7"/>
  <c r="K229" i="6" s="1"/>
  <c r="K185" i="6"/>
  <c r="K191" i="6"/>
  <c r="K197" i="6"/>
  <c r="K203" i="6"/>
  <c r="K221" i="6"/>
  <c r="R230" i="7"/>
  <c r="K230" i="6" s="1"/>
  <c r="K186" i="6"/>
  <c r="K192" i="6"/>
  <c r="K198" i="6"/>
  <c r="K204" i="6"/>
  <c r="K210" i="6"/>
  <c r="K216" i="6"/>
  <c r="K222" i="6"/>
  <c r="K187" i="6"/>
  <c r="K193" i="6"/>
  <c r="K199" i="6"/>
  <c r="K205" i="6"/>
  <c r="K211" i="6"/>
  <c r="K217" i="6"/>
  <c r="K223" i="6"/>
  <c r="K212" i="6"/>
  <c r="K188" i="6"/>
  <c r="K224" i="6"/>
  <c r="K194" i="6"/>
  <c r="K200" i="6"/>
  <c r="C9" i="7"/>
  <c r="E43" i="7"/>
  <c r="F72" i="7"/>
  <c r="N72" i="7" s="1"/>
  <c r="G72" i="6" s="1"/>
  <c r="G85" i="7"/>
  <c r="B193" i="7"/>
  <c r="F193" i="7"/>
  <c r="C198" i="7"/>
  <c r="F198" i="7"/>
  <c r="F9" i="7"/>
  <c r="D157" i="7"/>
  <c r="E193" i="7"/>
  <c r="C16" i="7"/>
  <c r="F24" i="7"/>
  <c r="B53" i="7"/>
  <c r="C73" i="7"/>
  <c r="F83" i="7"/>
  <c r="B86" i="7"/>
  <c r="C104" i="7"/>
  <c r="K104" i="7" s="1"/>
  <c r="D104" i="6" s="1"/>
  <c r="G112" i="7"/>
  <c r="E173" i="7"/>
  <c r="D173" i="7"/>
  <c r="G193" i="7"/>
  <c r="D73" i="7"/>
  <c r="G83" i="7"/>
  <c r="E104" i="7"/>
  <c r="B25" i="7"/>
  <c r="B46" i="7"/>
  <c r="B63" i="7"/>
  <c r="F73" i="7"/>
  <c r="N73" i="7" s="1"/>
  <c r="G73" i="6" s="1"/>
  <c r="D87" i="7"/>
  <c r="F104" i="7"/>
  <c r="B137" i="7"/>
  <c r="C27" i="7"/>
  <c r="C63" i="7"/>
  <c r="G73" i="7"/>
  <c r="G145" i="7"/>
  <c r="C160" i="7"/>
  <c r="B167" i="7"/>
  <c r="F186" i="7"/>
  <c r="C195" i="7"/>
  <c r="E210" i="7"/>
  <c r="B219" i="7"/>
  <c r="E219" i="7"/>
  <c r="B60" i="7"/>
  <c r="B187" i="6"/>
  <c r="Q187" i="6"/>
  <c r="D7" i="7"/>
  <c r="L7" i="7" s="1"/>
  <c r="E7" i="6" s="1"/>
  <c r="F12" i="7"/>
  <c r="E26" i="7"/>
  <c r="C33" i="7"/>
  <c r="C48" i="7"/>
  <c r="K48" i="7" s="1"/>
  <c r="D48" i="6" s="1"/>
  <c r="G63" i="7"/>
  <c r="O63" i="7" s="1"/>
  <c r="H63" i="6" s="1"/>
  <c r="B74" i="7"/>
  <c r="C81" i="7"/>
  <c r="B85" i="7"/>
  <c r="B116" i="7"/>
  <c r="D132" i="7"/>
  <c r="B139" i="7"/>
  <c r="F7" i="7"/>
  <c r="G12" i="7"/>
  <c r="D21" i="7"/>
  <c r="G26" i="7"/>
  <c r="D33" i="7"/>
  <c r="L33" i="7" s="1"/>
  <c r="E33" i="6" s="1"/>
  <c r="G48" i="7"/>
  <c r="G71" i="7"/>
  <c r="C74" i="7"/>
  <c r="F81" i="7"/>
  <c r="G100" i="7"/>
  <c r="E116" i="7"/>
  <c r="C123" i="7"/>
  <c r="E132" i="7"/>
  <c r="C139" i="7"/>
  <c r="Q194" i="6"/>
  <c r="Q198" i="6"/>
  <c r="AA19" i="5"/>
  <c r="AA90" i="5"/>
  <c r="AA84" i="5"/>
  <c r="AA103" i="5"/>
  <c r="AA8" i="5"/>
  <c r="AA17" i="5"/>
  <c r="AA101" i="5"/>
  <c r="AA24" i="5"/>
  <c r="AA15" i="5"/>
  <c r="AA83" i="5"/>
  <c r="AA34" i="5"/>
  <c r="AA88" i="5"/>
  <c r="AA37" i="5"/>
  <c r="AA32" i="5"/>
  <c r="AA16" i="5"/>
  <c r="AA78" i="5"/>
  <c r="AA68" i="5"/>
  <c r="AA94" i="5"/>
  <c r="AA3" i="5"/>
  <c r="AA4" i="5"/>
  <c r="AA10" i="5"/>
  <c r="AA18" i="5"/>
  <c r="AA7" i="5"/>
  <c r="AA28" i="5"/>
  <c r="AA105" i="5"/>
  <c r="AA96" i="5"/>
  <c r="AA20" i="5"/>
  <c r="AA27" i="5"/>
  <c r="AA102" i="5"/>
  <c r="AA41" i="5"/>
  <c r="AA9" i="5"/>
  <c r="AA100" i="5"/>
  <c r="AA23" i="5"/>
  <c r="AA92" i="5"/>
  <c r="AA80" i="5"/>
  <c r="AA70" i="5"/>
  <c r="AA77" i="5"/>
  <c r="AA67" i="5"/>
  <c r="AA62" i="5"/>
  <c r="AA52" i="5"/>
  <c r="AA46" i="5"/>
  <c r="AA76" i="5"/>
  <c r="AA66" i="5"/>
  <c r="AA61" i="5"/>
  <c r="AA51" i="5"/>
  <c r="AA86" i="5"/>
  <c r="AA75" i="5"/>
  <c r="AA21" i="5"/>
  <c r="AA60" i="5"/>
  <c r="AA50" i="5"/>
  <c r="AA45" i="5"/>
  <c r="AA98" i="5"/>
  <c r="AA26" i="5"/>
  <c r="AA74" i="5"/>
  <c r="AA5" i="5"/>
  <c r="AA59" i="5"/>
  <c r="AA22" i="5"/>
  <c r="AA12" i="5"/>
  <c r="AA6" i="5"/>
  <c r="AA65" i="5"/>
  <c r="AA85" i="5"/>
  <c r="AA87" i="5"/>
  <c r="AA89" i="5"/>
  <c r="AA104" i="5"/>
  <c r="AA58" i="5"/>
  <c r="AA49" i="5"/>
  <c r="AA44" i="5"/>
  <c r="AA40" i="5"/>
  <c r="AA35" i="5"/>
  <c r="AA93" i="5"/>
  <c r="AA73" i="5"/>
  <c r="AA64" i="5"/>
  <c r="AA57" i="5"/>
  <c r="AA106" i="5"/>
  <c r="AA99" i="5"/>
  <c r="AA72" i="5"/>
  <c r="AA63" i="5"/>
  <c r="AA56" i="5"/>
  <c r="AA81" i="5"/>
  <c r="AA43" i="5"/>
  <c r="AA71" i="5"/>
  <c r="AA2" i="5"/>
  <c r="AA55" i="5"/>
  <c r="AA48" i="5"/>
  <c r="AA42" i="5"/>
  <c r="AA91" i="5"/>
  <c r="AA54" i="5"/>
  <c r="AA11" i="5"/>
  <c r="AA39" i="5"/>
  <c r="AA33" i="5"/>
  <c r="AA30" i="5"/>
  <c r="AA38" i="5"/>
  <c r="AA13" i="5"/>
  <c r="AA29" i="5"/>
  <c r="T70" i="5"/>
  <c r="T73" i="5"/>
  <c r="T40" i="5"/>
  <c r="T58" i="5"/>
  <c r="T13" i="5"/>
  <c r="T31" i="5"/>
  <c r="T28" i="5"/>
  <c r="T15" i="5"/>
  <c r="T14" i="5"/>
  <c r="T6" i="5"/>
  <c r="T74" i="5"/>
  <c r="T42" i="5"/>
  <c r="T22" i="5"/>
  <c r="T33" i="5"/>
  <c r="T86" i="5"/>
  <c r="T98" i="5"/>
  <c r="T18" i="5"/>
  <c r="T23" i="5"/>
  <c r="T90" i="5"/>
  <c r="T34" i="5"/>
  <c r="T52" i="5"/>
  <c r="T37" i="5"/>
  <c r="T4" i="5"/>
  <c r="T48" i="5"/>
  <c r="T32" i="5"/>
  <c r="T62" i="5"/>
  <c r="T41" i="5"/>
  <c r="T29" i="5"/>
  <c r="T63" i="5"/>
  <c r="T21" i="5"/>
  <c r="T56" i="5"/>
  <c r="T12" i="5"/>
  <c r="T7" i="5"/>
  <c r="T45" i="5"/>
  <c r="T8" i="5"/>
  <c r="T9" i="5"/>
  <c r="B226" i="6"/>
  <c r="R226" i="6" s="1"/>
  <c r="B223" i="6"/>
  <c r="R223" i="6" s="1"/>
  <c r="B222" i="6"/>
  <c r="S222" i="6" s="1"/>
  <c r="B221" i="6"/>
  <c r="R221" i="6" s="1"/>
  <c r="B220" i="6"/>
  <c r="S220" i="6" s="1"/>
  <c r="B219" i="6"/>
  <c r="R219" i="6" s="1"/>
  <c r="B218" i="6"/>
  <c r="R218" i="6" s="1"/>
  <c r="B217" i="6"/>
  <c r="R217" i="6" s="1"/>
  <c r="B216" i="6"/>
  <c r="R216" i="6" s="1"/>
  <c r="B215" i="6"/>
  <c r="R215" i="6" s="1"/>
  <c r="B214" i="6"/>
  <c r="S214" i="6" s="1"/>
  <c r="B213" i="6"/>
  <c r="R213" i="6" s="1"/>
  <c r="B212" i="6"/>
  <c r="R212" i="6" s="1"/>
  <c r="B211" i="6"/>
  <c r="R211" i="6" s="1"/>
  <c r="B210" i="6"/>
  <c r="S210" i="6" s="1"/>
  <c r="B209" i="6"/>
  <c r="R209" i="6" s="1"/>
  <c r="B208" i="6"/>
  <c r="R208" i="6" s="1"/>
  <c r="B207" i="6"/>
  <c r="R207" i="6" s="1"/>
  <c r="B206" i="6"/>
  <c r="R206" i="6" s="1"/>
  <c r="B204" i="6"/>
  <c r="R204" i="6" s="1"/>
  <c r="B203" i="6"/>
  <c r="R203" i="6" s="1"/>
  <c r="B202" i="6"/>
  <c r="R202" i="6" s="1"/>
  <c r="B201" i="6"/>
  <c r="R201" i="6" s="1"/>
  <c r="B200" i="6"/>
  <c r="R200" i="6" s="1"/>
  <c r="B199" i="6"/>
  <c r="R199" i="6" s="1"/>
  <c r="B197" i="6"/>
  <c r="B196" i="6"/>
  <c r="B195" i="6"/>
  <c r="R195" i="6" s="1"/>
  <c r="B193" i="6"/>
  <c r="R193" i="6" s="1"/>
  <c r="B192" i="6"/>
  <c r="R192" i="6" s="1"/>
  <c r="B191" i="6"/>
  <c r="R191" i="6" s="1"/>
  <c r="B190" i="6"/>
  <c r="R190" i="6" s="1"/>
  <c r="B189" i="6"/>
  <c r="R189" i="6" s="1"/>
  <c r="B188" i="6"/>
  <c r="S188" i="6" s="1"/>
  <c r="B186" i="6"/>
  <c r="S186" i="6" s="1"/>
  <c r="B185" i="6"/>
  <c r="R185" i="6" s="1"/>
  <c r="B224" i="6"/>
  <c r="R224" i="6" s="1"/>
  <c r="B225" i="6"/>
  <c r="R225" i="6" s="1"/>
  <c r="S11" i="86"/>
  <c r="S26" i="86"/>
  <c r="S10" i="86"/>
  <c r="S47" i="86"/>
  <c r="S5" i="86"/>
  <c r="S2" i="86"/>
  <c r="S30" i="86"/>
  <c r="S22" i="86"/>
  <c r="S28" i="86"/>
  <c r="S42" i="86"/>
  <c r="S49" i="86"/>
  <c r="S51" i="86"/>
  <c r="S53" i="86"/>
  <c r="S54" i="86"/>
  <c r="S56" i="86"/>
  <c r="S58" i="86"/>
  <c r="S60" i="86"/>
  <c r="S9" i="86"/>
  <c r="S63" i="86"/>
  <c r="S65" i="86"/>
  <c r="S67" i="86"/>
  <c r="S69" i="86"/>
  <c r="S34" i="86"/>
  <c r="S25" i="86"/>
  <c r="S46" i="86"/>
  <c r="S17" i="86"/>
  <c r="S23" i="86"/>
  <c r="S36" i="86"/>
  <c r="S7" i="86"/>
  <c r="S4" i="86"/>
  <c r="S16" i="86"/>
  <c r="S21" i="86"/>
  <c r="S41" i="86"/>
  <c r="S13" i="86"/>
  <c r="S19" i="86"/>
  <c r="S31" i="86"/>
  <c r="S38" i="86"/>
  <c r="S50" i="86"/>
  <c r="S52" i="86"/>
  <c r="S8" i="86"/>
  <c r="S55" i="86"/>
  <c r="S57" i="86"/>
  <c r="S59" i="86"/>
  <c r="S61" i="86"/>
  <c r="S62" i="86"/>
  <c r="S64" i="86"/>
  <c r="S66" i="86"/>
  <c r="S68" i="86"/>
  <c r="S12" i="86"/>
  <c r="S35" i="86"/>
  <c r="S24" i="86"/>
  <c r="S40" i="86"/>
  <c r="S45" i="86"/>
  <c r="S29" i="86"/>
  <c r="S15" i="86"/>
  <c r="S20" i="86"/>
  <c r="S3" i="86"/>
  <c r="S6" i="86"/>
  <c r="S33" i="86"/>
  <c r="S39" i="86"/>
  <c r="S44" i="86"/>
  <c r="S14" i="86"/>
  <c r="S18" i="86"/>
  <c r="S27" i="86"/>
  <c r="S43" i="86"/>
  <c r="S48" i="86"/>
  <c r="S32" i="86"/>
  <c r="S37" i="86"/>
  <c r="T27" i="5"/>
  <c r="T25" i="5"/>
  <c r="T11" i="5"/>
  <c r="T26" i="5"/>
  <c r="R205" i="6"/>
  <c r="S205" i="6"/>
  <c r="S203" i="6"/>
  <c r="R198" i="6"/>
  <c r="S198" i="6"/>
  <c r="R194" i="6"/>
  <c r="S194" i="6"/>
  <c r="R187" i="6"/>
  <c r="S187" i="6"/>
  <c r="C50" i="7"/>
  <c r="B131" i="7"/>
  <c r="G184" i="7"/>
  <c r="G24" i="7"/>
  <c r="B40" i="7"/>
  <c r="B45" i="7"/>
  <c r="G50" i="7"/>
  <c r="G68" i="7"/>
  <c r="O68" i="7" s="1"/>
  <c r="H68" i="6" s="1"/>
  <c r="E89" i="7"/>
  <c r="E107" i="7"/>
  <c r="B115" i="7"/>
  <c r="J115" i="7" s="1"/>
  <c r="C115" i="6" s="1"/>
  <c r="E131" i="7"/>
  <c r="M131" i="7" s="1"/>
  <c r="F131" i="6" s="1"/>
  <c r="C136" i="7"/>
  <c r="B155" i="7"/>
  <c r="B192" i="7"/>
  <c r="E195" i="7"/>
  <c r="B212" i="7"/>
  <c r="F17" i="7"/>
  <c r="D89" i="7"/>
  <c r="F40" i="7"/>
  <c r="C45" i="7"/>
  <c r="K45" i="7" s="1"/>
  <c r="D45" i="6" s="1"/>
  <c r="G89" i="7"/>
  <c r="B104" i="7"/>
  <c r="F107" i="7"/>
  <c r="N107" i="7" s="1"/>
  <c r="G107" i="6" s="1"/>
  <c r="C115" i="7"/>
  <c r="B119" i="7"/>
  <c r="F131" i="7"/>
  <c r="F136" i="7"/>
  <c r="E155" i="7"/>
  <c r="C192" i="7"/>
  <c r="F195" i="7"/>
  <c r="C212" i="7"/>
  <c r="G40" i="7"/>
  <c r="D45" i="7"/>
  <c r="G107" i="7"/>
  <c r="F115" i="7"/>
  <c r="G131" i="7"/>
  <c r="F155" i="7"/>
  <c r="D212" i="7"/>
  <c r="B4" i="7"/>
  <c r="D9" i="7"/>
  <c r="E14" i="7"/>
  <c r="C25" i="7"/>
  <c r="B52" i="7"/>
  <c r="F59" i="7"/>
  <c r="N59" i="7" s="1"/>
  <c r="G59" i="6" s="1"/>
  <c r="D63" i="7"/>
  <c r="C70" i="7"/>
  <c r="E72" i="7"/>
  <c r="D74" i="7"/>
  <c r="B84" i="7"/>
  <c r="D90" i="7"/>
  <c r="E97" i="7"/>
  <c r="D104" i="7"/>
  <c r="D128" i="7"/>
  <c r="G155" i="7"/>
  <c r="O155" i="7" s="1"/>
  <c r="H155" i="6" s="1"/>
  <c r="B166" i="7"/>
  <c r="E169" i="7"/>
  <c r="F203" i="7"/>
  <c r="B209" i="7"/>
  <c r="E212" i="7"/>
  <c r="F217" i="7"/>
  <c r="B107" i="7"/>
  <c r="G14" i="7"/>
  <c r="D25" i="7"/>
  <c r="C52" i="7"/>
  <c r="E70" i="7"/>
  <c r="C84" i="7"/>
  <c r="E128" i="7"/>
  <c r="C166" i="7"/>
  <c r="F169" i="7"/>
  <c r="G203" i="7"/>
  <c r="D209" i="7"/>
  <c r="F212" i="7"/>
  <c r="E25" i="7"/>
  <c r="F52" i="7"/>
  <c r="F70" i="7"/>
  <c r="D84" i="7"/>
  <c r="F128" i="7"/>
  <c r="D166" i="7"/>
  <c r="L166" i="7" s="1"/>
  <c r="E166" i="6" s="1"/>
  <c r="B10" i="7"/>
  <c r="G25" i="7"/>
  <c r="E31" i="7"/>
  <c r="B43" i="7"/>
  <c r="G52" i="7"/>
  <c r="C60" i="7"/>
  <c r="B73" i="7"/>
  <c r="B75" i="7"/>
  <c r="E84" i="7"/>
  <c r="D91" i="7"/>
  <c r="B163" i="7"/>
  <c r="E166" i="7"/>
  <c r="C163" i="7"/>
  <c r="B77" i="7"/>
  <c r="E7" i="7"/>
  <c r="E16" i="7"/>
  <c r="C24" i="7"/>
  <c r="D26" i="7"/>
  <c r="L26" i="7" s="1"/>
  <c r="E26" i="6" s="1"/>
  <c r="F43" i="7"/>
  <c r="D61" i="7"/>
  <c r="E71" i="7"/>
  <c r="F76" i="7"/>
  <c r="B117" i="7"/>
  <c r="G130" i="7"/>
  <c r="F139" i="7"/>
  <c r="E154" i="7"/>
  <c r="M154" i="7" s="1"/>
  <c r="F154" i="6" s="1"/>
  <c r="E157" i="7"/>
  <c r="E167" i="7"/>
  <c r="B190" i="7"/>
  <c r="E205" i="7"/>
  <c r="G210" i="7"/>
  <c r="E215" i="7"/>
  <c r="G219" i="7"/>
  <c r="D19" i="7"/>
  <c r="L19" i="7" s="1"/>
  <c r="E19" i="6" s="1"/>
  <c r="G22" i="7"/>
  <c r="O22" i="7" s="1"/>
  <c r="H22" i="6" s="1"/>
  <c r="C28" i="7"/>
  <c r="C36" i="7"/>
  <c r="C38" i="7"/>
  <c r="B49" i="7"/>
  <c r="C51" i="7"/>
  <c r="K51" i="7" s="1"/>
  <c r="D51" i="6" s="1"/>
  <c r="C57" i="7"/>
  <c r="K57" i="7" s="1"/>
  <c r="D57" i="6" s="1"/>
  <c r="B62" i="7"/>
  <c r="C65" i="7"/>
  <c r="K65" i="7" s="1"/>
  <c r="D65" i="6" s="1"/>
  <c r="C88" i="7"/>
  <c r="B92" i="7"/>
  <c r="J92" i="7" s="1"/>
  <c r="C92" i="6" s="1"/>
  <c r="B95" i="7"/>
  <c r="C99" i="7"/>
  <c r="E106" i="7"/>
  <c r="D109" i="7"/>
  <c r="B113" i="7"/>
  <c r="C121" i="7"/>
  <c r="F124" i="7"/>
  <c r="B143" i="7"/>
  <c r="C178" i="7"/>
  <c r="D181" i="7"/>
  <c r="B185" i="7"/>
  <c r="B188" i="7"/>
  <c r="E191" i="7"/>
  <c r="C200" i="7"/>
  <c r="C214" i="7"/>
  <c r="F5" i="7"/>
  <c r="N5" i="7" s="1"/>
  <c r="G5" i="6" s="1"/>
  <c r="C109" i="7"/>
  <c r="K109" i="7" s="1"/>
  <c r="D109" i="6" s="1"/>
  <c r="B200" i="7"/>
  <c r="G9" i="7"/>
  <c r="B13" i="7"/>
  <c r="C15" i="7"/>
  <c r="E19" i="7"/>
  <c r="E28" i="7"/>
  <c r="E36" i="7"/>
  <c r="D38" i="7"/>
  <c r="L38" i="7" s="1"/>
  <c r="E38" i="6" s="1"/>
  <c r="G41" i="7"/>
  <c r="O41" i="7" s="1"/>
  <c r="H41" i="6" s="1"/>
  <c r="F45" i="7"/>
  <c r="C49" i="7"/>
  <c r="K49" i="7" s="1"/>
  <c r="D49" i="6" s="1"/>
  <c r="F57" i="7"/>
  <c r="N57" i="7" s="1"/>
  <c r="G57" i="6" s="1"/>
  <c r="E60" i="7"/>
  <c r="C62" i="7"/>
  <c r="E65" i="7"/>
  <c r="M65" i="7" s="1"/>
  <c r="F65" i="6" s="1"/>
  <c r="G70" i="7"/>
  <c r="C92" i="7"/>
  <c r="K92" i="7" s="1"/>
  <c r="D92" i="6" s="1"/>
  <c r="E95" i="7"/>
  <c r="E99" i="7"/>
  <c r="G106" i="7"/>
  <c r="E109" i="7"/>
  <c r="D121" i="7"/>
  <c r="G124" i="7"/>
  <c r="G128" i="7"/>
  <c r="B140" i="7"/>
  <c r="E143" i="7"/>
  <c r="F147" i="7"/>
  <c r="B152" i="7"/>
  <c r="F157" i="7"/>
  <c r="D165" i="7"/>
  <c r="G167" i="7"/>
  <c r="C172" i="7"/>
  <c r="B176" i="7"/>
  <c r="D178" i="7"/>
  <c r="E181" i="7"/>
  <c r="M181" i="7" s="1"/>
  <c r="F181" i="6" s="1"/>
  <c r="C185" i="7"/>
  <c r="C188" i="7"/>
  <c r="F191" i="7"/>
  <c r="C197" i="7"/>
  <c r="D200" i="7"/>
  <c r="F208" i="7"/>
  <c r="D214" i="7"/>
  <c r="G217" i="7"/>
  <c r="C13" i="7"/>
  <c r="F19" i="7"/>
  <c r="F28" i="7"/>
  <c r="F36" i="7"/>
  <c r="N36" i="7" s="1"/>
  <c r="G36" i="6" s="1"/>
  <c r="E38" i="7"/>
  <c r="G45" i="7"/>
  <c r="O45" i="7" s="1"/>
  <c r="H45" i="6" s="1"/>
  <c r="D49" i="7"/>
  <c r="L49" i="7" s="1"/>
  <c r="E49" i="6" s="1"/>
  <c r="G57" i="7"/>
  <c r="F60" i="7"/>
  <c r="F65" i="7"/>
  <c r="D92" i="7"/>
  <c r="F95" i="7"/>
  <c r="N95" i="7" s="1"/>
  <c r="G95" i="6" s="1"/>
  <c r="F99" i="7"/>
  <c r="F109" i="7"/>
  <c r="E121" i="7"/>
  <c r="M121" i="7" s="1"/>
  <c r="F121" i="6" s="1"/>
  <c r="C140" i="7"/>
  <c r="F143" i="7"/>
  <c r="G147" i="7"/>
  <c r="C152" i="7"/>
  <c r="K152" i="7" s="1"/>
  <c r="D152" i="6" s="1"/>
  <c r="G157" i="7"/>
  <c r="F172" i="7"/>
  <c r="C176" i="7"/>
  <c r="E178" i="7"/>
  <c r="F181" i="7"/>
  <c r="N181" i="7" s="1"/>
  <c r="G181" i="6" s="1"/>
  <c r="D185" i="7"/>
  <c r="D188" i="7"/>
  <c r="G191" i="7"/>
  <c r="D197" i="7"/>
  <c r="E200" i="7"/>
  <c r="G208" i="7"/>
  <c r="E214" i="7"/>
  <c r="B65" i="7"/>
  <c r="B161" i="7"/>
  <c r="J161" i="7" s="1"/>
  <c r="C161" i="6" s="1"/>
  <c r="G5" i="7"/>
  <c r="O5" i="7" s="1"/>
  <c r="H5" i="6" s="1"/>
  <c r="D13" i="7"/>
  <c r="G28" i="7"/>
  <c r="G36" i="7"/>
  <c r="G38" i="7"/>
  <c r="E49" i="7"/>
  <c r="G65" i="7"/>
  <c r="E92" i="7"/>
  <c r="G99" i="7"/>
  <c r="G109" i="7"/>
  <c r="F121" i="7"/>
  <c r="D140" i="7"/>
  <c r="L140" i="7" s="1"/>
  <c r="E140" i="6" s="1"/>
  <c r="G143" i="7"/>
  <c r="D152" i="7"/>
  <c r="G172" i="7"/>
  <c r="D176" i="7"/>
  <c r="F178" i="7"/>
  <c r="N178" i="7" s="1"/>
  <c r="G178" i="6" s="1"/>
  <c r="G181" i="7"/>
  <c r="O181" i="7" s="1"/>
  <c r="H181" i="6" s="1"/>
  <c r="E188" i="7"/>
  <c r="F200" i="7"/>
  <c r="F214" i="7"/>
  <c r="E13" i="7"/>
  <c r="M13" i="7" s="1"/>
  <c r="F13" i="6" s="1"/>
  <c r="F49" i="7"/>
  <c r="F92" i="7"/>
  <c r="N92" i="7" s="1"/>
  <c r="G92" i="6" s="1"/>
  <c r="G121" i="7"/>
  <c r="O121" i="7" s="1"/>
  <c r="H121" i="6" s="1"/>
  <c r="E140" i="7"/>
  <c r="E152" i="7"/>
  <c r="E176" i="7"/>
  <c r="F188" i="7"/>
  <c r="G214" i="7"/>
  <c r="C3" i="7"/>
  <c r="F13" i="7"/>
  <c r="N13" i="7" s="1"/>
  <c r="G13" i="6" s="1"/>
  <c r="B21" i="7"/>
  <c r="J21" i="7" s="1"/>
  <c r="C21" i="6" s="1"/>
  <c r="G29" i="7"/>
  <c r="B37" i="7"/>
  <c r="C39" i="7"/>
  <c r="K39" i="7" s="1"/>
  <c r="D39" i="6" s="1"/>
  <c r="B59" i="7"/>
  <c r="B61" i="7"/>
  <c r="B76" i="7"/>
  <c r="C97" i="7"/>
  <c r="C100" i="7"/>
  <c r="D130" i="7"/>
  <c r="C133" i="7"/>
  <c r="F140" i="7"/>
  <c r="N140" i="7" s="1"/>
  <c r="G140" i="6" s="1"/>
  <c r="F152" i="7"/>
  <c r="B173" i="7"/>
  <c r="F176" i="7"/>
  <c r="B179" i="7"/>
  <c r="D186" i="7"/>
  <c r="D198" i="7"/>
  <c r="D219" i="7"/>
  <c r="C181" i="7"/>
  <c r="C21" i="7"/>
  <c r="C37" i="7"/>
  <c r="K37" i="7" s="1"/>
  <c r="D37" i="6" s="1"/>
  <c r="E59" i="7"/>
  <c r="C61" i="7"/>
  <c r="C76" i="7"/>
  <c r="K76" i="7" s="1"/>
  <c r="D76" i="6" s="1"/>
  <c r="D97" i="7"/>
  <c r="E130" i="7"/>
  <c r="M130" i="7" s="1"/>
  <c r="F130" i="6" s="1"/>
  <c r="B164" i="7"/>
  <c r="C173" i="7"/>
  <c r="K173" i="7" s="1"/>
  <c r="D173" i="6" s="1"/>
  <c r="E179" i="7"/>
  <c r="E186" i="7"/>
  <c r="E198" i="7"/>
  <c r="B19" i="7"/>
  <c r="J19" i="7" s="1"/>
  <c r="C19" i="6" s="1"/>
  <c r="B22" i="7"/>
  <c r="B28" i="7"/>
  <c r="C4" i="7"/>
  <c r="C12" i="7"/>
  <c r="C14" i="7"/>
  <c r="G17" i="7"/>
  <c r="F21" i="7"/>
  <c r="B31" i="7"/>
  <c r="B34" i="7"/>
  <c r="E37" i="7"/>
  <c r="M37" i="7" s="1"/>
  <c r="F37" i="6" s="1"/>
  <c r="C40" i="7"/>
  <c r="E48" i="7"/>
  <c r="D50" i="7"/>
  <c r="L50" i="7" s="1"/>
  <c r="E50" i="6" s="1"/>
  <c r="G59" i="7"/>
  <c r="E61" i="7"/>
  <c r="G76" i="7"/>
  <c r="E87" i="7"/>
  <c r="C93" i="7"/>
  <c r="F97" i="7"/>
  <c r="D108" i="7"/>
  <c r="C112" i="7"/>
  <c r="C116" i="7"/>
  <c r="F119" i="7"/>
  <c r="N119" i="7" s="1"/>
  <c r="G119" i="6" s="1"/>
  <c r="F123" i="7"/>
  <c r="B128" i="7"/>
  <c r="J128" i="7" s="1"/>
  <c r="C128" i="6" s="1"/>
  <c r="F133" i="7"/>
  <c r="B141" i="7"/>
  <c r="E145" i="7"/>
  <c r="E156" i="7"/>
  <c r="F160" i="7"/>
  <c r="D164" i="7"/>
  <c r="L164" i="7" s="1"/>
  <c r="E164" i="6" s="1"/>
  <c r="F166" i="7"/>
  <c r="G169" i="7"/>
  <c r="D177" i="7"/>
  <c r="G179" i="7"/>
  <c r="C184" i="7"/>
  <c r="K184" i="7" s="1"/>
  <c r="D184" i="6" s="1"/>
  <c r="G186" i="7"/>
  <c r="C193" i="7"/>
  <c r="G198" i="7"/>
  <c r="F202" i="7"/>
  <c r="G205" i="7"/>
  <c r="D210" i="7"/>
  <c r="B36" i="7"/>
  <c r="D106" i="7"/>
  <c r="B178" i="7"/>
  <c r="B191" i="7"/>
  <c r="C207" i="7"/>
  <c r="E4" i="7"/>
  <c r="E12" i="7"/>
  <c r="D14" i="7"/>
  <c r="G21" i="7"/>
  <c r="D31" i="7"/>
  <c r="E40" i="7"/>
  <c r="F48" i="7"/>
  <c r="E50" i="7"/>
  <c r="M50" i="7" s="1"/>
  <c r="F50" i="6" s="1"/>
  <c r="G87" i="7"/>
  <c r="D93" i="7"/>
  <c r="G97" i="7"/>
  <c r="E108" i="7"/>
  <c r="G119" i="7"/>
  <c r="G123" i="7"/>
  <c r="G133" i="7"/>
  <c r="D141" i="7"/>
  <c r="L141" i="7" s="1"/>
  <c r="E141" i="6" s="1"/>
  <c r="F145" i="7"/>
  <c r="F184" i="7"/>
  <c r="N184" i="7" s="1"/>
  <c r="G184" i="6" s="1"/>
  <c r="D193" i="7"/>
  <c r="C102" i="7"/>
  <c r="B102" i="7"/>
  <c r="J102" i="7" s="1"/>
  <c r="C102" i="6" s="1"/>
  <c r="C126" i="7"/>
  <c r="B126" i="7"/>
  <c r="J126" i="7" s="1"/>
  <c r="C126" i="6" s="1"/>
  <c r="C150" i="7"/>
  <c r="B150" i="7"/>
  <c r="G170" i="7"/>
  <c r="F170" i="7"/>
  <c r="D170" i="7"/>
  <c r="C170" i="7"/>
  <c r="G175" i="7"/>
  <c r="O175" i="7" s="1"/>
  <c r="H175" i="6" s="1"/>
  <c r="E175" i="7"/>
  <c r="M175" i="7" s="1"/>
  <c r="F175" i="6" s="1"/>
  <c r="D175" i="7"/>
  <c r="G182" i="7"/>
  <c r="O182" i="7" s="1"/>
  <c r="H182" i="6" s="1"/>
  <c r="F182" i="7"/>
  <c r="D182" i="7"/>
  <c r="L182" i="7" s="1"/>
  <c r="E182" i="6" s="1"/>
  <c r="C182" i="7"/>
  <c r="G187" i="7"/>
  <c r="F187" i="7"/>
  <c r="E187" i="7"/>
  <c r="D187" i="7"/>
  <c r="G211" i="7"/>
  <c r="F211" i="7"/>
  <c r="E211" i="7"/>
  <c r="D211" i="7"/>
  <c r="B23" i="7"/>
  <c r="J23" i="7" s="1"/>
  <c r="C23" i="6" s="1"/>
  <c r="C54" i="7"/>
  <c r="B56" i="7"/>
  <c r="B67" i="7"/>
  <c r="C78" i="7"/>
  <c r="B80" i="7"/>
  <c r="F168" i="7"/>
  <c r="N168" i="7" s="1"/>
  <c r="G168" i="6" s="1"/>
  <c r="E168" i="7"/>
  <c r="F180" i="7"/>
  <c r="N180" i="7" s="1"/>
  <c r="G180" i="6" s="1"/>
  <c r="E180" i="7"/>
  <c r="M180" i="7" s="1"/>
  <c r="F180" i="6" s="1"/>
  <c r="D4" i="7"/>
  <c r="B6" i="7"/>
  <c r="J6" i="7" s="1"/>
  <c r="C6" i="6" s="1"/>
  <c r="G7" i="7"/>
  <c r="C11" i="7"/>
  <c r="F14" i="7"/>
  <c r="D16" i="7"/>
  <c r="L16" i="7" s="1"/>
  <c r="E16" i="6" s="1"/>
  <c r="B18" i="7"/>
  <c r="G19" i="7"/>
  <c r="C23" i="7"/>
  <c r="F26" i="7"/>
  <c r="N26" i="7" s="1"/>
  <c r="G26" i="6" s="1"/>
  <c r="B30" i="7"/>
  <c r="G31" i="7"/>
  <c r="C35" i="7"/>
  <c r="F38" i="7"/>
  <c r="B42" i="7"/>
  <c r="G43" i="7"/>
  <c r="C47" i="7"/>
  <c r="F50" i="7"/>
  <c r="E52" i="7"/>
  <c r="D54" i="7"/>
  <c r="C56" i="7"/>
  <c r="B58" i="7"/>
  <c r="C67" i="7"/>
  <c r="K67" i="7" s="1"/>
  <c r="D67" i="6" s="1"/>
  <c r="B69" i="7"/>
  <c r="G72" i="7"/>
  <c r="E74" i="7"/>
  <c r="M74" i="7" s="1"/>
  <c r="F74" i="6" s="1"/>
  <c r="E76" i="7"/>
  <c r="D78" i="7"/>
  <c r="C80" i="7"/>
  <c r="B82" i="7"/>
  <c r="F87" i="7"/>
  <c r="F89" i="7"/>
  <c r="F91" i="7"/>
  <c r="E100" i="7"/>
  <c r="M100" i="7" s="1"/>
  <c r="F100" i="6" s="1"/>
  <c r="D100" i="7"/>
  <c r="B100" i="7"/>
  <c r="E102" i="7"/>
  <c r="F106" i="7"/>
  <c r="G108" i="7"/>
  <c r="B111" i="7"/>
  <c r="C113" i="7"/>
  <c r="E124" i="7"/>
  <c r="D124" i="7"/>
  <c r="B124" i="7"/>
  <c r="E126" i="7"/>
  <c r="F130" i="7"/>
  <c r="G132" i="7"/>
  <c r="O132" i="7" s="1"/>
  <c r="H132" i="6" s="1"/>
  <c r="B135" i="7"/>
  <c r="C137" i="7"/>
  <c r="E148" i="7"/>
  <c r="M148" i="7" s="1"/>
  <c r="F148" i="6" s="1"/>
  <c r="D148" i="7"/>
  <c r="B148" i="7"/>
  <c r="E150" i="7"/>
  <c r="F154" i="7"/>
  <c r="G156" i="7"/>
  <c r="B159" i="7"/>
  <c r="J159" i="7" s="1"/>
  <c r="C159" i="6" s="1"/>
  <c r="C161" i="7"/>
  <c r="B168" i="7"/>
  <c r="E170" i="7"/>
  <c r="G173" i="7"/>
  <c r="F173" i="7"/>
  <c r="C175" i="7"/>
  <c r="B180" i="7"/>
  <c r="J180" i="7" s="1"/>
  <c r="C180" i="6" s="1"/>
  <c r="E182" i="7"/>
  <c r="G185" i="7"/>
  <c r="F185" i="7"/>
  <c r="C187" i="7"/>
  <c r="C190" i="7"/>
  <c r="G209" i="7"/>
  <c r="F209" i="7"/>
  <c r="C211" i="7"/>
  <c r="D23" i="7"/>
  <c r="D35" i="7"/>
  <c r="C42" i="7"/>
  <c r="D47" i="7"/>
  <c r="E54" i="7"/>
  <c r="D56" i="7"/>
  <c r="C58" i="7"/>
  <c r="E78" i="7"/>
  <c r="M78" i="7" s="1"/>
  <c r="F78" i="6" s="1"/>
  <c r="D80" i="7"/>
  <c r="C82" i="7"/>
  <c r="G98" i="7"/>
  <c r="F98" i="7"/>
  <c r="N98" i="7" s="1"/>
  <c r="G98" i="6" s="1"/>
  <c r="D98" i="7"/>
  <c r="F102" i="7"/>
  <c r="C111" i="7"/>
  <c r="D113" i="7"/>
  <c r="L113" i="7" s="1"/>
  <c r="E113" i="6" s="1"/>
  <c r="G122" i="7"/>
  <c r="O122" i="7" s="1"/>
  <c r="H122" i="6" s="1"/>
  <c r="F122" i="7"/>
  <c r="D122" i="7"/>
  <c r="F126" i="7"/>
  <c r="C135" i="7"/>
  <c r="K135" i="7" s="1"/>
  <c r="D135" i="6" s="1"/>
  <c r="D137" i="7"/>
  <c r="G146" i="7"/>
  <c r="F146" i="7"/>
  <c r="D146" i="7"/>
  <c r="L146" i="7" s="1"/>
  <c r="E146" i="6" s="1"/>
  <c r="F150" i="7"/>
  <c r="C159" i="7"/>
  <c r="D161" i="7"/>
  <c r="C168" i="7"/>
  <c r="F175" i="7"/>
  <c r="C180" i="7"/>
  <c r="K180" i="7" s="1"/>
  <c r="D180" i="6" s="1"/>
  <c r="D190" i="7"/>
  <c r="G206" i="7"/>
  <c r="F206" i="7"/>
  <c r="E206" i="7"/>
  <c r="D206" i="7"/>
  <c r="C206" i="7"/>
  <c r="B47" i="7"/>
  <c r="F4" i="7"/>
  <c r="D6" i="7"/>
  <c r="B8" i="7"/>
  <c r="E11" i="7"/>
  <c r="F16" i="7"/>
  <c r="N16" i="7" s="1"/>
  <c r="G16" i="6" s="1"/>
  <c r="D18" i="7"/>
  <c r="B20" i="7"/>
  <c r="J20" i="7" s="1"/>
  <c r="C20" i="6" s="1"/>
  <c r="E23" i="7"/>
  <c r="D30" i="7"/>
  <c r="L30" i="7" s="1"/>
  <c r="E30" i="6" s="1"/>
  <c r="B32" i="7"/>
  <c r="E35" i="7"/>
  <c r="D42" i="7"/>
  <c r="B44" i="7"/>
  <c r="E47" i="7"/>
  <c r="F54" i="7"/>
  <c r="E56" i="7"/>
  <c r="D58" i="7"/>
  <c r="E67" i="7"/>
  <c r="D69" i="7"/>
  <c r="L69" i="7" s="1"/>
  <c r="E69" i="6" s="1"/>
  <c r="F78" i="7"/>
  <c r="N78" i="7" s="1"/>
  <c r="G78" i="6" s="1"/>
  <c r="E80" i="7"/>
  <c r="D82" i="7"/>
  <c r="L82" i="7" s="1"/>
  <c r="E82" i="6" s="1"/>
  <c r="G86" i="7"/>
  <c r="F86" i="7"/>
  <c r="E88" i="7"/>
  <c r="D88" i="7"/>
  <c r="L88" i="7" s="1"/>
  <c r="E88" i="6" s="1"/>
  <c r="C90" i="7"/>
  <c r="B90" i="7"/>
  <c r="J90" i="7" s="1"/>
  <c r="C90" i="6" s="1"/>
  <c r="B94" i="7"/>
  <c r="B96" i="7"/>
  <c r="B98" i="7"/>
  <c r="G102" i="7"/>
  <c r="D111" i="7"/>
  <c r="E113" i="7"/>
  <c r="B118" i="7"/>
  <c r="B120" i="7"/>
  <c r="B122" i="7"/>
  <c r="G126" i="7"/>
  <c r="D135" i="7"/>
  <c r="E137" i="7"/>
  <c r="B142" i="7"/>
  <c r="B144" i="7"/>
  <c r="B146" i="7"/>
  <c r="J146" i="7" s="1"/>
  <c r="C146" i="6" s="1"/>
  <c r="G150" i="7"/>
  <c r="D159" i="7"/>
  <c r="E161" i="7"/>
  <c r="D168" i="7"/>
  <c r="B171" i="7"/>
  <c r="D180" i="7"/>
  <c r="B183" i="7"/>
  <c r="J183" i="7" s="1"/>
  <c r="C183" i="6" s="1"/>
  <c r="E190" i="7"/>
  <c r="B206" i="7"/>
  <c r="C209" i="7"/>
  <c r="G218" i="7"/>
  <c r="F218" i="7"/>
  <c r="E218" i="7"/>
  <c r="D218" i="7"/>
  <c r="C218" i="7"/>
  <c r="B218" i="7"/>
  <c r="B3" i="7"/>
  <c r="E6" i="7"/>
  <c r="C8" i="7"/>
  <c r="K8" i="7" s="1"/>
  <c r="D8" i="6" s="1"/>
  <c r="F11" i="7"/>
  <c r="N11" i="7" s="1"/>
  <c r="G11" i="6" s="1"/>
  <c r="B15" i="7"/>
  <c r="E18" i="7"/>
  <c r="C20" i="7"/>
  <c r="F23" i="7"/>
  <c r="B27" i="7"/>
  <c r="E30" i="7"/>
  <c r="C32" i="7"/>
  <c r="K32" i="7" s="1"/>
  <c r="D32" i="6" s="1"/>
  <c r="F35" i="7"/>
  <c r="B39" i="7"/>
  <c r="E42" i="7"/>
  <c r="C44" i="7"/>
  <c r="F47" i="7"/>
  <c r="B51" i="7"/>
  <c r="G54" i="7"/>
  <c r="F56" i="7"/>
  <c r="E58" i="7"/>
  <c r="F67" i="7"/>
  <c r="F69" i="7"/>
  <c r="N69" i="7" s="1"/>
  <c r="G69" i="6" s="1"/>
  <c r="G78" i="7"/>
  <c r="F80" i="7"/>
  <c r="N80" i="7" s="1"/>
  <c r="G80" i="6" s="1"/>
  <c r="E82" i="7"/>
  <c r="C94" i="7"/>
  <c r="C96" i="7"/>
  <c r="K96" i="7" s="1"/>
  <c r="D96" i="6" s="1"/>
  <c r="C98" i="7"/>
  <c r="G103" i="7"/>
  <c r="O103" i="7" s="1"/>
  <c r="H103" i="6" s="1"/>
  <c r="E103" i="7"/>
  <c r="F105" i="7"/>
  <c r="E105" i="7"/>
  <c r="M105" i="7" s="1"/>
  <c r="F105" i="6" s="1"/>
  <c r="C105" i="7"/>
  <c r="E111" i="7"/>
  <c r="F113" i="7"/>
  <c r="C118" i="7"/>
  <c r="C120" i="7"/>
  <c r="K120" i="7" s="1"/>
  <c r="D120" i="6" s="1"/>
  <c r="C122" i="7"/>
  <c r="G127" i="7"/>
  <c r="E127" i="7"/>
  <c r="F129" i="7"/>
  <c r="E129" i="7"/>
  <c r="M129" i="7" s="1"/>
  <c r="F129" i="6" s="1"/>
  <c r="C129" i="7"/>
  <c r="E135" i="7"/>
  <c r="F137" i="7"/>
  <c r="C142" i="7"/>
  <c r="C144" i="7"/>
  <c r="C146" i="7"/>
  <c r="G151" i="7"/>
  <c r="E151" i="7"/>
  <c r="M151" i="7" s="1"/>
  <c r="F151" i="6" s="1"/>
  <c r="F153" i="7"/>
  <c r="N153" i="7" s="1"/>
  <c r="G153" i="6" s="1"/>
  <c r="E153" i="7"/>
  <c r="M153" i="7" s="1"/>
  <c r="F153" i="6" s="1"/>
  <c r="C153" i="7"/>
  <c r="E159" i="7"/>
  <c r="F161" i="7"/>
  <c r="G168" i="7"/>
  <c r="C171" i="7"/>
  <c r="G180" i="7"/>
  <c r="O180" i="7" s="1"/>
  <c r="H180" i="6" s="1"/>
  <c r="C183" i="7"/>
  <c r="K183" i="7" s="1"/>
  <c r="D183" i="6" s="1"/>
  <c r="F190" i="7"/>
  <c r="F201" i="7"/>
  <c r="E201" i="7"/>
  <c r="D201" i="7"/>
  <c r="C201" i="7"/>
  <c r="B201" i="7"/>
  <c r="G204" i="7"/>
  <c r="F204" i="7"/>
  <c r="E204" i="7"/>
  <c r="B11" i="7"/>
  <c r="F6" i="7"/>
  <c r="N6" i="7" s="1"/>
  <c r="G6" i="6" s="1"/>
  <c r="D8" i="7"/>
  <c r="G11" i="7"/>
  <c r="F30" i="7"/>
  <c r="D32" i="7"/>
  <c r="G35" i="7"/>
  <c r="F42" i="7"/>
  <c r="N42" i="7" s="1"/>
  <c r="G42" i="6" s="1"/>
  <c r="D44" i="7"/>
  <c r="L44" i="7" s="1"/>
  <c r="E44" i="6" s="1"/>
  <c r="F58" i="7"/>
  <c r="G69" i="7"/>
  <c r="F82" i="7"/>
  <c r="D94" i="7"/>
  <c r="D96" i="7"/>
  <c r="E98" i="7"/>
  <c r="F111" i="7"/>
  <c r="N111" i="7" s="1"/>
  <c r="G111" i="6" s="1"/>
  <c r="C114" i="7"/>
  <c r="B114" i="7"/>
  <c r="D118" i="7"/>
  <c r="L118" i="7" s="1"/>
  <c r="E118" i="6" s="1"/>
  <c r="D120" i="7"/>
  <c r="E122" i="7"/>
  <c r="F135" i="7"/>
  <c r="N135" i="7" s="1"/>
  <c r="G135" i="6" s="1"/>
  <c r="C138" i="7"/>
  <c r="B138" i="7"/>
  <c r="J138" i="7" s="1"/>
  <c r="C138" i="6" s="1"/>
  <c r="D142" i="7"/>
  <c r="D144" i="7"/>
  <c r="E146" i="7"/>
  <c r="F159" i="7"/>
  <c r="C162" i="7"/>
  <c r="K162" i="7" s="1"/>
  <c r="D162" i="6" s="1"/>
  <c r="B162" i="7"/>
  <c r="J162" i="7" s="1"/>
  <c r="C162" i="6" s="1"/>
  <c r="D171" i="7"/>
  <c r="D183" i="7"/>
  <c r="L183" i="7" s="1"/>
  <c r="E183" i="6" s="1"/>
  <c r="C30" i="7"/>
  <c r="D67" i="7"/>
  <c r="D3" i="7"/>
  <c r="B5" i="7"/>
  <c r="G6" i="7"/>
  <c r="E8" i="7"/>
  <c r="M8" i="7" s="1"/>
  <c r="F8" i="6" s="1"/>
  <c r="C10" i="7"/>
  <c r="D15" i="7"/>
  <c r="L15" i="7" s="1"/>
  <c r="E15" i="6" s="1"/>
  <c r="B17" i="7"/>
  <c r="J17" i="7" s="1"/>
  <c r="C17" i="6" s="1"/>
  <c r="G18" i="7"/>
  <c r="E20" i="7"/>
  <c r="M20" i="7" s="1"/>
  <c r="F20" i="6" s="1"/>
  <c r="C22" i="7"/>
  <c r="D27" i="7"/>
  <c r="B29" i="7"/>
  <c r="E32" i="7"/>
  <c r="M32" i="7" s="1"/>
  <c r="F32" i="6" s="1"/>
  <c r="C34" i="7"/>
  <c r="K34" i="7" s="1"/>
  <c r="D34" i="6" s="1"/>
  <c r="D39" i="7"/>
  <c r="B41" i="7"/>
  <c r="E44" i="7"/>
  <c r="M44" i="7" s="1"/>
  <c r="F44" i="6" s="1"/>
  <c r="C46" i="7"/>
  <c r="K46" i="7" s="1"/>
  <c r="D46" i="6" s="1"/>
  <c r="D51" i="7"/>
  <c r="L51" i="7" s="1"/>
  <c r="E51" i="6" s="1"/>
  <c r="C53" i="7"/>
  <c r="B55" i="7"/>
  <c r="J55" i="7" s="1"/>
  <c r="C55" i="6" s="1"/>
  <c r="D62" i="7"/>
  <c r="C64" i="7"/>
  <c r="K64" i="7" s="1"/>
  <c r="D64" i="6" s="1"/>
  <c r="C66" i="7"/>
  <c r="B68" i="7"/>
  <c r="J68" i="7" s="1"/>
  <c r="C68" i="6" s="1"/>
  <c r="D75" i="7"/>
  <c r="C77" i="7"/>
  <c r="B79" i="7"/>
  <c r="D86" i="7"/>
  <c r="L86" i="7" s="1"/>
  <c r="E86" i="6" s="1"/>
  <c r="F88" i="7"/>
  <c r="N88" i="7" s="1"/>
  <c r="G88" i="6" s="1"/>
  <c r="F90" i="7"/>
  <c r="E94" i="7"/>
  <c r="E96" i="7"/>
  <c r="B101" i="7"/>
  <c r="C103" i="7"/>
  <c r="K103" i="7" s="1"/>
  <c r="D103" i="6" s="1"/>
  <c r="D105" i="7"/>
  <c r="L105" i="7" s="1"/>
  <c r="E105" i="6" s="1"/>
  <c r="D114" i="7"/>
  <c r="E118" i="7"/>
  <c r="M118" i="7" s="1"/>
  <c r="F118" i="6" s="1"/>
  <c r="E120" i="7"/>
  <c r="B125" i="7"/>
  <c r="C127" i="7"/>
  <c r="K127" i="7" s="1"/>
  <c r="D127" i="6" s="1"/>
  <c r="D129" i="7"/>
  <c r="D138" i="7"/>
  <c r="E142" i="7"/>
  <c r="M142" i="7" s="1"/>
  <c r="F142" i="6" s="1"/>
  <c r="E144" i="7"/>
  <c r="B149" i="7"/>
  <c r="J149" i="7" s="1"/>
  <c r="C149" i="6" s="1"/>
  <c r="C151" i="7"/>
  <c r="D153" i="7"/>
  <c r="L153" i="7" s="1"/>
  <c r="E153" i="6" s="1"/>
  <c r="D162" i="7"/>
  <c r="L162" i="7" s="1"/>
  <c r="E162" i="6" s="1"/>
  <c r="E171" i="7"/>
  <c r="C174" i="7"/>
  <c r="B174" i="7"/>
  <c r="E183" i="7"/>
  <c r="M183" i="7" s="1"/>
  <c r="F183" i="6" s="1"/>
  <c r="G199" i="7"/>
  <c r="F199" i="7"/>
  <c r="E199" i="7"/>
  <c r="D199" i="7"/>
  <c r="C204" i="7"/>
  <c r="D207" i="7"/>
  <c r="C18" i="7"/>
  <c r="D20" i="7"/>
  <c r="E3" i="7"/>
  <c r="M3" i="7" s="1"/>
  <c r="F3" i="6" s="1"/>
  <c r="C5" i="7"/>
  <c r="K5" i="7" s="1"/>
  <c r="D5" i="6" s="1"/>
  <c r="F8" i="7"/>
  <c r="N8" i="7" s="1"/>
  <c r="G8" i="6" s="1"/>
  <c r="D10" i="7"/>
  <c r="L10" i="7" s="1"/>
  <c r="E10" i="6" s="1"/>
  <c r="E15" i="7"/>
  <c r="C17" i="7"/>
  <c r="F20" i="7"/>
  <c r="N20" i="7" s="1"/>
  <c r="G20" i="6" s="1"/>
  <c r="D22" i="7"/>
  <c r="E27" i="7"/>
  <c r="C29" i="7"/>
  <c r="F32" i="7"/>
  <c r="D34" i="7"/>
  <c r="E39" i="7"/>
  <c r="C41" i="7"/>
  <c r="K41" i="7" s="1"/>
  <c r="D41" i="6" s="1"/>
  <c r="F44" i="7"/>
  <c r="N44" i="7" s="1"/>
  <c r="G44" i="6" s="1"/>
  <c r="D46" i="7"/>
  <c r="L46" i="7" s="1"/>
  <c r="E46" i="6" s="1"/>
  <c r="B48" i="7"/>
  <c r="E51" i="7"/>
  <c r="D53" i="7"/>
  <c r="C55" i="7"/>
  <c r="B57" i="7"/>
  <c r="J57" i="7" s="1"/>
  <c r="C57" i="6" s="1"/>
  <c r="E62" i="7"/>
  <c r="M62" i="7" s="1"/>
  <c r="F62" i="6" s="1"/>
  <c r="E64" i="7"/>
  <c r="D66" i="7"/>
  <c r="C68" i="7"/>
  <c r="B70" i="7"/>
  <c r="E75" i="7"/>
  <c r="M75" i="7" s="1"/>
  <c r="F75" i="6" s="1"/>
  <c r="D77" i="7"/>
  <c r="L77" i="7" s="1"/>
  <c r="E77" i="6" s="1"/>
  <c r="C79" i="7"/>
  <c r="K79" i="7" s="1"/>
  <c r="D79" i="6" s="1"/>
  <c r="E86" i="7"/>
  <c r="G88" i="7"/>
  <c r="G90" i="7"/>
  <c r="F94" i="7"/>
  <c r="N94" i="7" s="1"/>
  <c r="G94" i="6" s="1"/>
  <c r="G96" i="7"/>
  <c r="B99" i="7"/>
  <c r="C101" i="7"/>
  <c r="D103" i="7"/>
  <c r="L103" i="7" s="1"/>
  <c r="E103" i="6" s="1"/>
  <c r="G105" i="7"/>
  <c r="O105" i="7" s="1"/>
  <c r="H105" i="6" s="1"/>
  <c r="E112" i="7"/>
  <c r="D112" i="7"/>
  <c r="L112" i="7" s="1"/>
  <c r="E112" i="6" s="1"/>
  <c r="B112" i="7"/>
  <c r="E114" i="7"/>
  <c r="F118" i="7"/>
  <c r="N118" i="7" s="1"/>
  <c r="G118" i="6" s="1"/>
  <c r="G120" i="7"/>
  <c r="B123" i="7"/>
  <c r="C125" i="7"/>
  <c r="D127" i="7"/>
  <c r="G129" i="7"/>
  <c r="E136" i="7"/>
  <c r="M136" i="7" s="1"/>
  <c r="F136" i="6" s="1"/>
  <c r="D136" i="7"/>
  <c r="B136" i="7"/>
  <c r="J136" i="7" s="1"/>
  <c r="C136" i="6" s="1"/>
  <c r="E138" i="7"/>
  <c r="M138" i="7" s="1"/>
  <c r="F138" i="6" s="1"/>
  <c r="F142" i="7"/>
  <c r="N142" i="7" s="1"/>
  <c r="G142" i="6" s="1"/>
  <c r="G144" i="7"/>
  <c r="B147" i="7"/>
  <c r="C149" i="7"/>
  <c r="K149" i="7" s="1"/>
  <c r="D149" i="6" s="1"/>
  <c r="D151" i="7"/>
  <c r="G153" i="7"/>
  <c r="O153" i="7" s="1"/>
  <c r="H153" i="6" s="1"/>
  <c r="E160" i="7"/>
  <c r="D160" i="7"/>
  <c r="B160" i="7"/>
  <c r="E162" i="7"/>
  <c r="F171" i="7"/>
  <c r="D174" i="7"/>
  <c r="F183" i="7"/>
  <c r="N183" i="7" s="1"/>
  <c r="G183" i="6" s="1"/>
  <c r="B199" i="7"/>
  <c r="B202" i="7"/>
  <c r="D204" i="7"/>
  <c r="E207" i="7"/>
  <c r="F3" i="7"/>
  <c r="N3" i="7" s="1"/>
  <c r="G3" i="6" s="1"/>
  <c r="D5" i="7"/>
  <c r="E10" i="7"/>
  <c r="F15" i="7"/>
  <c r="D17" i="7"/>
  <c r="L17" i="7" s="1"/>
  <c r="E17" i="6" s="1"/>
  <c r="E22" i="7"/>
  <c r="M22" i="7" s="1"/>
  <c r="F22" i="6" s="1"/>
  <c r="F27" i="7"/>
  <c r="D29" i="7"/>
  <c r="E34" i="7"/>
  <c r="F39" i="7"/>
  <c r="D41" i="7"/>
  <c r="L41" i="7" s="1"/>
  <c r="E41" i="6" s="1"/>
  <c r="E46" i="7"/>
  <c r="M46" i="7" s="1"/>
  <c r="F46" i="6" s="1"/>
  <c r="F51" i="7"/>
  <c r="N51" i="7" s="1"/>
  <c r="G51" i="6" s="1"/>
  <c r="E53" i="7"/>
  <c r="D55" i="7"/>
  <c r="L55" i="7" s="1"/>
  <c r="E55" i="6" s="1"/>
  <c r="G62" i="7"/>
  <c r="F64" i="7"/>
  <c r="E66" i="7"/>
  <c r="D68" i="7"/>
  <c r="F75" i="7"/>
  <c r="E77" i="7"/>
  <c r="D79" i="7"/>
  <c r="L79" i="7" s="1"/>
  <c r="E79" i="6" s="1"/>
  <c r="D101" i="7"/>
  <c r="F103" i="7"/>
  <c r="G110" i="7"/>
  <c r="F110" i="7"/>
  <c r="D110" i="7"/>
  <c r="F114" i="7"/>
  <c r="N114" i="7" s="1"/>
  <c r="G114" i="6" s="1"/>
  <c r="D125" i="7"/>
  <c r="F127" i="7"/>
  <c r="G134" i="7"/>
  <c r="F134" i="7"/>
  <c r="D134" i="7"/>
  <c r="F138" i="7"/>
  <c r="N138" i="7" s="1"/>
  <c r="G138" i="6" s="1"/>
  <c r="C147" i="7"/>
  <c r="D149" i="7"/>
  <c r="F151" i="7"/>
  <c r="G158" i="7"/>
  <c r="F158" i="7"/>
  <c r="N158" i="7" s="1"/>
  <c r="G158" i="6" s="1"/>
  <c r="D158" i="7"/>
  <c r="L158" i="7" s="1"/>
  <c r="E158" i="6" s="1"/>
  <c r="F162" i="7"/>
  <c r="N162" i="7" s="1"/>
  <c r="G162" i="6" s="1"/>
  <c r="E174" i="7"/>
  <c r="G194" i="7"/>
  <c r="F194" i="7"/>
  <c r="E194" i="7"/>
  <c r="D194" i="7"/>
  <c r="C194" i="7"/>
  <c r="G197" i="7"/>
  <c r="F197" i="7"/>
  <c r="C199" i="7"/>
  <c r="C202" i="7"/>
  <c r="F207" i="7"/>
  <c r="G216" i="7"/>
  <c r="F216" i="7"/>
  <c r="E216" i="7"/>
  <c r="D216" i="7"/>
  <c r="B216" i="7"/>
  <c r="E29" i="7"/>
  <c r="F34" i="7"/>
  <c r="E41" i="7"/>
  <c r="F46" i="7"/>
  <c r="F53" i="7"/>
  <c r="E55" i="7"/>
  <c r="D57" i="7"/>
  <c r="D59" i="7"/>
  <c r="G64" i="7"/>
  <c r="F66" i="7"/>
  <c r="E68" i="7"/>
  <c r="F77" i="7"/>
  <c r="E79" i="7"/>
  <c r="D81" i="7"/>
  <c r="D83" i="7"/>
  <c r="B87" i="7"/>
  <c r="B89" i="7"/>
  <c r="B91" i="7"/>
  <c r="J91" i="7" s="1"/>
  <c r="C91" i="6" s="1"/>
  <c r="F93" i="7"/>
  <c r="E93" i="7"/>
  <c r="D95" i="7"/>
  <c r="L95" i="7" s="1"/>
  <c r="E95" i="6" s="1"/>
  <c r="C95" i="7"/>
  <c r="K95" i="7" s="1"/>
  <c r="D95" i="6" s="1"/>
  <c r="E101" i="7"/>
  <c r="B106" i="7"/>
  <c r="J106" i="7" s="1"/>
  <c r="C106" i="6" s="1"/>
  <c r="B108" i="7"/>
  <c r="B110" i="7"/>
  <c r="J110" i="7" s="1"/>
  <c r="C110" i="6" s="1"/>
  <c r="G114" i="7"/>
  <c r="D123" i="7"/>
  <c r="E125" i="7"/>
  <c r="B130" i="7"/>
  <c r="J130" i="7" s="1"/>
  <c r="C130" i="6" s="1"/>
  <c r="B132" i="7"/>
  <c r="B134" i="7"/>
  <c r="J134" i="7" s="1"/>
  <c r="C134" i="6" s="1"/>
  <c r="G138" i="7"/>
  <c r="D147" i="7"/>
  <c r="E149" i="7"/>
  <c r="B154" i="7"/>
  <c r="B156" i="7"/>
  <c r="B158" i="7"/>
  <c r="G162" i="7"/>
  <c r="F174" i="7"/>
  <c r="F189" i="7"/>
  <c r="E189" i="7"/>
  <c r="D189" i="7"/>
  <c r="C189" i="7"/>
  <c r="B189" i="7"/>
  <c r="B194" i="7"/>
  <c r="B197" i="7"/>
  <c r="D202" i="7"/>
  <c r="G207" i="7"/>
  <c r="G213" i="7"/>
  <c r="F213" i="7"/>
  <c r="E213" i="7"/>
  <c r="D213" i="7"/>
  <c r="C213" i="7"/>
  <c r="B213" i="7"/>
  <c r="C216" i="7"/>
  <c r="C69" i="7"/>
  <c r="F55" i="7"/>
  <c r="N55" i="7" s="1"/>
  <c r="G55" i="6" s="1"/>
  <c r="G66" i="7"/>
  <c r="F79" i="7"/>
  <c r="N79" i="7" s="1"/>
  <c r="G79" i="6" s="1"/>
  <c r="C91" i="7"/>
  <c r="K91" i="7" s="1"/>
  <c r="D91" i="6" s="1"/>
  <c r="F101" i="7"/>
  <c r="N101" i="7" s="1"/>
  <c r="G101" i="6" s="1"/>
  <c r="C108" i="7"/>
  <c r="C110" i="7"/>
  <c r="G115" i="7"/>
  <c r="E115" i="7"/>
  <c r="F117" i="7"/>
  <c r="E117" i="7"/>
  <c r="C117" i="7"/>
  <c r="F125" i="7"/>
  <c r="C132" i="7"/>
  <c r="K132" i="7" s="1"/>
  <c r="D132" i="6" s="1"/>
  <c r="C134" i="7"/>
  <c r="K134" i="7" s="1"/>
  <c r="D134" i="6" s="1"/>
  <c r="G139" i="7"/>
  <c r="E139" i="7"/>
  <c r="F141" i="7"/>
  <c r="E141" i="7"/>
  <c r="M141" i="7" s="1"/>
  <c r="F141" i="6" s="1"/>
  <c r="C141" i="7"/>
  <c r="K141" i="7" s="1"/>
  <c r="D141" i="6" s="1"/>
  <c r="F149" i="7"/>
  <c r="N149" i="7" s="1"/>
  <c r="G149" i="6" s="1"/>
  <c r="C156" i="7"/>
  <c r="K156" i="7" s="1"/>
  <c r="D156" i="6" s="1"/>
  <c r="C158" i="7"/>
  <c r="G163" i="7"/>
  <c r="E163" i="7"/>
  <c r="M163" i="7" s="1"/>
  <c r="F163" i="6" s="1"/>
  <c r="F165" i="7"/>
  <c r="E165" i="7"/>
  <c r="C165" i="7"/>
  <c r="B165" i="7"/>
  <c r="G174" i="7"/>
  <c r="F177" i="7"/>
  <c r="E177" i="7"/>
  <c r="M177" i="7" s="1"/>
  <c r="F177" i="6" s="1"/>
  <c r="C177" i="7"/>
  <c r="B177" i="7"/>
  <c r="J177" i="7" s="1"/>
  <c r="C177" i="6" s="1"/>
  <c r="G192" i="7"/>
  <c r="F192" i="7"/>
  <c r="E192" i="7"/>
  <c r="E202" i="7"/>
  <c r="B172" i="7"/>
  <c r="B184" i="7"/>
  <c r="J184" i="7" s="1"/>
  <c r="C184" i="6" s="1"/>
  <c r="B196" i="7"/>
  <c r="B208" i="7"/>
  <c r="B220" i="7"/>
  <c r="C196" i="7"/>
  <c r="B203" i="7"/>
  <c r="C208" i="7"/>
  <c r="B215" i="7"/>
  <c r="C220" i="7"/>
  <c r="C107" i="7"/>
  <c r="K107" i="7" s="1"/>
  <c r="D107" i="6" s="1"/>
  <c r="C119" i="7"/>
  <c r="C131" i="7"/>
  <c r="K131" i="7" s="1"/>
  <c r="D131" i="6" s="1"/>
  <c r="C143" i="7"/>
  <c r="C155" i="7"/>
  <c r="C167" i="7"/>
  <c r="D172" i="7"/>
  <c r="C179" i="7"/>
  <c r="D184" i="7"/>
  <c r="L184" i="7" s="1"/>
  <c r="E184" i="6" s="1"/>
  <c r="B186" i="7"/>
  <c r="C191" i="7"/>
  <c r="D196" i="7"/>
  <c r="B198" i="7"/>
  <c r="C203" i="7"/>
  <c r="D208" i="7"/>
  <c r="B210" i="7"/>
  <c r="C215" i="7"/>
  <c r="D220" i="7"/>
  <c r="D215" i="7"/>
  <c r="B217" i="7"/>
  <c r="E220" i="7"/>
  <c r="F220" i="7"/>
  <c r="J182" i="7"/>
  <c r="C182" i="6" s="1"/>
  <c r="O140" i="7"/>
  <c r="H140" i="6" s="1"/>
  <c r="M184" i="7"/>
  <c r="F184" i="6" s="1"/>
  <c r="N52" i="7"/>
  <c r="G52" i="6" s="1"/>
  <c r="O61" i="7"/>
  <c r="H61" i="6" s="1"/>
  <c r="K85" i="7"/>
  <c r="D85" i="6" s="1"/>
  <c r="O49" i="7"/>
  <c r="H49" i="6" s="1"/>
  <c r="N116" i="7"/>
  <c r="G116" i="6" s="1"/>
  <c r="J95" i="7"/>
  <c r="C95" i="6" s="1"/>
  <c r="L131" i="7"/>
  <c r="E131" i="6" s="1"/>
  <c r="J105" i="7"/>
  <c r="C105" i="6" s="1"/>
  <c r="O183" i="7"/>
  <c r="H183" i="6" s="1"/>
  <c r="J86" i="7"/>
  <c r="C86" i="6" s="1"/>
  <c r="K86" i="7"/>
  <c r="D86" i="6" s="1"/>
  <c r="K182" i="7"/>
  <c r="D182" i="6" s="1"/>
  <c r="N104" i="7"/>
  <c r="G104" i="6" s="1"/>
  <c r="M43" i="7"/>
  <c r="F43" i="6" s="1"/>
  <c r="J24" i="7"/>
  <c r="C24" i="6" s="1"/>
  <c r="L156" i="7"/>
  <c r="E156" i="6" s="1"/>
  <c r="J81" i="7"/>
  <c r="C81" i="6" s="1"/>
  <c r="O125" i="7"/>
  <c r="H125" i="6" s="1"/>
  <c r="L24" i="7"/>
  <c r="E24" i="6" s="1"/>
  <c r="K6" i="7"/>
  <c r="D6" i="6" s="1"/>
  <c r="O46" i="7"/>
  <c r="H46" i="6" s="1"/>
  <c r="K77" i="7"/>
  <c r="D77" i="6" s="1"/>
  <c r="M124" i="7"/>
  <c r="F124" i="6" s="1"/>
  <c r="O60" i="7"/>
  <c r="H60" i="6" s="1"/>
  <c r="K26" i="7"/>
  <c r="D26" i="6" s="1"/>
  <c r="N37" i="7"/>
  <c r="G37" i="6" s="1"/>
  <c r="O37" i="7"/>
  <c r="H37" i="6" s="1"/>
  <c r="K181" i="7"/>
  <c r="D181" i="6" s="1"/>
  <c r="J181" i="7"/>
  <c r="C181" i="6" s="1"/>
  <c r="N164" i="7"/>
  <c r="G164" i="6" s="1"/>
  <c r="M83" i="7"/>
  <c r="F83" i="6" s="1"/>
  <c r="N54" i="7"/>
  <c r="G54" i="6" s="1"/>
  <c r="O54" i="7"/>
  <c r="H54" i="6" s="1"/>
  <c r="O13" i="7"/>
  <c r="H13" i="6" s="1"/>
  <c r="L92" i="7"/>
  <c r="E92" i="6" s="1"/>
  <c r="N63" i="7"/>
  <c r="G63" i="6" s="1"/>
  <c r="O141" i="7"/>
  <c r="H141" i="6" s="1"/>
  <c r="O117" i="7"/>
  <c r="H117" i="6" s="1"/>
  <c r="O178" i="7"/>
  <c r="H178" i="6" s="1"/>
  <c r="K33" i="7"/>
  <c r="D33" i="6" s="1"/>
  <c r="L25" i="7"/>
  <c r="E25" i="6" s="1"/>
  <c r="M25" i="7"/>
  <c r="F25" i="6" s="1"/>
  <c r="N25" i="7"/>
  <c r="G25" i="6" s="1"/>
  <c r="K20" i="7"/>
  <c r="D20" i="6" s="1"/>
  <c r="O20" i="7"/>
  <c r="H20" i="6" s="1"/>
  <c r="O169" i="7"/>
  <c r="H169" i="6" s="1"/>
  <c r="M69" i="7"/>
  <c r="F69" i="6" s="1"/>
  <c r="M95" i="7"/>
  <c r="F95" i="6" s="1"/>
  <c r="L93" i="7"/>
  <c r="E93" i="6" s="1"/>
  <c r="M21" i="7"/>
  <c r="F21" i="6" s="1"/>
  <c r="L104" i="7"/>
  <c r="E104" i="6" s="1"/>
  <c r="M104" i="7"/>
  <c r="F104" i="6" s="1"/>
  <c r="O104" i="7"/>
  <c r="H104" i="6" s="1"/>
  <c r="N32" i="7"/>
  <c r="G32" i="6" s="1"/>
  <c r="O32" i="7"/>
  <c r="H32" i="6" s="1"/>
  <c r="J8" i="7"/>
  <c r="C8" i="6" s="1"/>
  <c r="O8" i="7"/>
  <c r="H8" i="6" s="1"/>
  <c r="K169" i="7"/>
  <c r="D169" i="6" s="1"/>
  <c r="O79" i="7"/>
  <c r="H79" i="6" s="1"/>
  <c r="N17" i="7"/>
  <c r="G17" i="6" s="1"/>
  <c r="O10" i="7"/>
  <c r="H10" i="6" s="1"/>
  <c r="O15" i="7"/>
  <c r="H15" i="6" s="1"/>
  <c r="M5" i="7"/>
  <c r="F5" i="6" s="1"/>
  <c r="O3" i="7"/>
  <c r="H3" i="6" s="1"/>
  <c r="L5" i="7"/>
  <c r="E5" i="6" s="1"/>
  <c r="I183" i="7"/>
  <c r="N53" i="7"/>
  <c r="G53" i="6" s="1"/>
  <c r="S4" i="85"/>
  <c r="T4" i="85"/>
  <c r="T10" i="85"/>
  <c r="S10" i="85"/>
  <c r="T81" i="85"/>
  <c r="S81" i="85"/>
  <c r="T83" i="85"/>
  <c r="S83" i="85"/>
  <c r="T40" i="85"/>
  <c r="S40" i="85"/>
  <c r="S43" i="85"/>
  <c r="T43" i="85"/>
  <c r="T77" i="85"/>
  <c r="S77" i="85"/>
  <c r="T34" i="85"/>
  <c r="S34" i="85"/>
  <c r="S37" i="85"/>
  <c r="T37" i="85"/>
  <c r="T85" i="85"/>
  <c r="S85" i="85"/>
  <c r="T87" i="85"/>
  <c r="S87" i="85"/>
  <c r="T107" i="85"/>
  <c r="S107" i="85"/>
  <c r="T116" i="85"/>
  <c r="S116" i="85"/>
  <c r="T125" i="85"/>
  <c r="S125" i="85"/>
  <c r="T134" i="85"/>
  <c r="S134" i="85"/>
  <c r="T143" i="85"/>
  <c r="S143" i="85"/>
  <c r="T8" i="85"/>
  <c r="S8" i="85"/>
  <c r="T44" i="85"/>
  <c r="S44" i="85"/>
  <c r="T89" i="85"/>
  <c r="S89" i="85"/>
  <c r="T91" i="85"/>
  <c r="S91" i="85"/>
  <c r="T105" i="85"/>
  <c r="S105" i="85"/>
  <c r="T114" i="85"/>
  <c r="S114" i="85"/>
  <c r="T123" i="85"/>
  <c r="S123" i="85"/>
  <c r="T132" i="85"/>
  <c r="S132" i="85"/>
  <c r="T141" i="85"/>
  <c r="S141" i="85"/>
  <c r="T29" i="85"/>
  <c r="S29" i="85"/>
  <c r="S2" i="85"/>
  <c r="T2" i="85"/>
  <c r="T49" i="85"/>
  <c r="S49" i="85"/>
  <c r="T51" i="85"/>
  <c r="S51" i="85"/>
  <c r="T52" i="85"/>
  <c r="S52" i="85"/>
  <c r="T54" i="85"/>
  <c r="S54" i="85"/>
  <c r="T56" i="85"/>
  <c r="S56" i="85"/>
  <c r="T58" i="85"/>
  <c r="S58" i="85"/>
  <c r="T60" i="85"/>
  <c r="S60" i="85"/>
  <c r="T62" i="85"/>
  <c r="S62" i="85"/>
  <c r="T64" i="85"/>
  <c r="S64" i="85"/>
  <c r="T66" i="85"/>
  <c r="S66" i="85"/>
  <c r="T68" i="85"/>
  <c r="S68" i="85"/>
  <c r="T93" i="85"/>
  <c r="S93" i="85"/>
  <c r="T95" i="85"/>
  <c r="S95" i="85"/>
  <c r="S47" i="85"/>
  <c r="S42" i="85"/>
  <c r="S36" i="85"/>
  <c r="S31" i="85"/>
  <c r="S27" i="85"/>
  <c r="S22" i="85"/>
  <c r="S19" i="85"/>
  <c r="S15" i="85"/>
  <c r="S71" i="85"/>
  <c r="S38" i="85"/>
  <c r="S5" i="85"/>
  <c r="S20" i="85"/>
  <c r="S3" i="85"/>
  <c r="S32" i="85"/>
  <c r="S6" i="85"/>
  <c r="S16" i="85"/>
  <c r="T13" i="85"/>
  <c r="S13" i="85"/>
  <c r="S46" i="85"/>
  <c r="S41" i="85"/>
  <c r="S35" i="85"/>
  <c r="S30" i="85"/>
  <c r="S26" i="85"/>
  <c r="S21" i="85"/>
  <c r="S18" i="85"/>
  <c r="S14" i="85"/>
  <c r="T79" i="85"/>
  <c r="S79" i="85"/>
  <c r="T39" i="85"/>
  <c r="S39" i="85"/>
  <c r="T70" i="85"/>
  <c r="S70" i="85"/>
  <c r="S74" i="85"/>
  <c r="T74" i="85"/>
  <c r="T97" i="85"/>
  <c r="S97" i="85"/>
  <c r="T99" i="85"/>
  <c r="S99" i="85"/>
  <c r="T25" i="85"/>
  <c r="S25" i="85"/>
  <c r="S7" i="85"/>
  <c r="T7" i="85"/>
  <c r="S78" i="85"/>
  <c r="T78" i="85"/>
  <c r="T101" i="85"/>
  <c r="S101" i="85"/>
  <c r="T110" i="85"/>
  <c r="S110" i="85"/>
  <c r="T119" i="85"/>
  <c r="S119" i="85"/>
  <c r="T128" i="85"/>
  <c r="S128" i="85"/>
  <c r="T137" i="85"/>
  <c r="S137" i="85"/>
  <c r="T146" i="85"/>
  <c r="S146" i="85"/>
  <c r="T33" i="85"/>
  <c r="S33" i="85"/>
  <c r="S82" i="85"/>
  <c r="T82" i="85"/>
  <c r="T108" i="85"/>
  <c r="S108" i="85"/>
  <c r="T117" i="85"/>
  <c r="S117" i="85"/>
  <c r="T126" i="85"/>
  <c r="S126" i="85"/>
  <c r="T135" i="85"/>
  <c r="S135" i="85"/>
  <c r="T144" i="85"/>
  <c r="S144" i="85"/>
  <c r="T11" i="85"/>
  <c r="S11" i="85"/>
  <c r="S23" i="85"/>
  <c r="T23" i="85"/>
  <c r="S86" i="85"/>
  <c r="T86" i="85"/>
  <c r="T28" i="85"/>
  <c r="S28" i="85"/>
  <c r="S90" i="85"/>
  <c r="T90" i="85"/>
  <c r="T17" i="85"/>
  <c r="S17" i="85"/>
  <c r="S9" i="85"/>
  <c r="T9" i="85"/>
  <c r="T45" i="85"/>
  <c r="S45" i="85"/>
  <c r="S48" i="85"/>
  <c r="T48" i="85"/>
  <c r="T50" i="85"/>
  <c r="S50" i="85"/>
  <c r="S12" i="85"/>
  <c r="T12" i="85"/>
  <c r="T53" i="85"/>
  <c r="S53" i="85"/>
  <c r="S55" i="85"/>
  <c r="T55" i="85"/>
  <c r="T57" i="85"/>
  <c r="S57" i="85"/>
  <c r="S59" i="85"/>
  <c r="T59" i="85"/>
  <c r="T61" i="85"/>
  <c r="S61" i="85"/>
  <c r="S63" i="85"/>
  <c r="T63" i="85"/>
  <c r="T65" i="85"/>
  <c r="S65" i="85"/>
  <c r="S67" i="85"/>
  <c r="T67" i="85"/>
  <c r="S94" i="85"/>
  <c r="T94" i="85"/>
  <c r="T104" i="85"/>
  <c r="S104" i="85"/>
  <c r="T113" i="85"/>
  <c r="S113" i="85"/>
  <c r="T122" i="85"/>
  <c r="S122" i="85"/>
  <c r="T131" i="85"/>
  <c r="S131" i="85"/>
  <c r="T140" i="85"/>
  <c r="S140" i="85"/>
  <c r="T24" i="85"/>
  <c r="S24" i="85"/>
  <c r="T73" i="85"/>
  <c r="S73" i="85"/>
  <c r="T75" i="85"/>
  <c r="S75" i="85"/>
  <c r="S98" i="85"/>
  <c r="T98" i="85"/>
  <c r="T102" i="85"/>
  <c r="S102" i="85"/>
  <c r="T111" i="85"/>
  <c r="S111" i="85"/>
  <c r="T120" i="85"/>
  <c r="S120" i="85"/>
  <c r="T129" i="85"/>
  <c r="S129" i="85"/>
  <c r="T138" i="85"/>
  <c r="S138" i="85"/>
  <c r="T147" i="85"/>
  <c r="S147" i="85"/>
  <c r="S69" i="85"/>
  <c r="S72" i="85"/>
  <c r="S76" i="85"/>
  <c r="S80" i="85"/>
  <c r="S84" i="85"/>
  <c r="S88" i="85"/>
  <c r="S92" i="85"/>
  <c r="S96" i="85"/>
  <c r="S100" i="85"/>
  <c r="S103" i="85"/>
  <c r="S106" i="85"/>
  <c r="S109" i="85"/>
  <c r="S112" i="85"/>
  <c r="S115" i="85"/>
  <c r="S118" i="85"/>
  <c r="S121" i="85"/>
  <c r="S124" i="85"/>
  <c r="S127" i="85"/>
  <c r="S130" i="85"/>
  <c r="S133" i="85"/>
  <c r="S136" i="85"/>
  <c r="S139" i="85"/>
  <c r="S142" i="85"/>
  <c r="S145" i="85"/>
  <c r="L181" i="7"/>
  <c r="E181" i="6" s="1"/>
  <c r="L155" i="7"/>
  <c r="E155" i="6" s="1"/>
  <c r="J137" i="7"/>
  <c r="C137" i="6" s="1"/>
  <c r="J127" i="7"/>
  <c r="C127" i="6" s="1"/>
  <c r="I184" i="7"/>
  <c r="O184" i="7"/>
  <c r="H184" i="6" s="1"/>
  <c r="O55" i="7"/>
  <c r="H55" i="6" s="1"/>
  <c r="J82" i="7"/>
  <c r="C82" i="6" s="1"/>
  <c r="M80" i="7"/>
  <c r="F80" i="6" s="1"/>
  <c r="O40" i="7"/>
  <c r="H40" i="6" s="1"/>
  <c r="L180" i="7"/>
  <c r="E180" i="6" s="1"/>
  <c r="O106" i="7"/>
  <c r="H106" i="6" s="1"/>
  <c r="L150" i="7"/>
  <c r="E150" i="6" s="1"/>
  <c r="I155" i="7"/>
  <c r="I98" i="7"/>
  <c r="I101" i="7"/>
  <c r="I181" i="7"/>
  <c r="I135" i="7"/>
  <c r="I182" i="7"/>
  <c r="I180" i="7"/>
  <c r="I128" i="7"/>
  <c r="I5" i="7"/>
  <c r="I161" i="7"/>
  <c r="I166" i="7"/>
  <c r="I178" i="7"/>
  <c r="I171" i="7"/>
  <c r="R5" i="18"/>
  <c r="P5" i="18" s="1"/>
  <c r="Q5" i="18" s="1"/>
  <c r="T76" i="18"/>
  <c r="R6" i="18"/>
  <c r="P6" i="18" s="1"/>
  <c r="R37" i="18"/>
  <c r="P37" i="18" s="1"/>
  <c r="Q37" i="18" s="1"/>
  <c r="T15" i="84"/>
  <c r="S15" i="84"/>
  <c r="S64" i="84"/>
  <c r="T81" i="84"/>
  <c r="S81" i="84"/>
  <c r="T20" i="84"/>
  <c r="S20" i="84"/>
  <c r="T67" i="84"/>
  <c r="S67" i="84"/>
  <c r="S70" i="84"/>
  <c r="T87" i="84"/>
  <c r="S87" i="84"/>
  <c r="T57" i="84"/>
  <c r="S57" i="84"/>
  <c r="S59" i="84"/>
  <c r="T75" i="84"/>
  <c r="S75" i="84"/>
  <c r="T122" i="84"/>
  <c r="S122" i="84"/>
  <c r="T128" i="84"/>
  <c r="S128" i="84"/>
  <c r="T51" i="84"/>
  <c r="S51" i="84"/>
  <c r="S54" i="84"/>
  <c r="T69" i="84"/>
  <c r="S69" i="84"/>
  <c r="S114" i="84"/>
  <c r="T45" i="84"/>
  <c r="S45" i="84"/>
  <c r="S48" i="84"/>
  <c r="T63" i="84"/>
  <c r="S63" i="84"/>
  <c r="T120" i="84"/>
  <c r="S120" i="84"/>
  <c r="T40" i="84"/>
  <c r="S40" i="84"/>
  <c r="S42" i="84"/>
  <c r="T11" i="84"/>
  <c r="S11" i="84"/>
  <c r="T109" i="84"/>
  <c r="S109" i="84"/>
  <c r="S112" i="84"/>
  <c r="T124" i="84"/>
  <c r="S124" i="84"/>
  <c r="T34" i="84"/>
  <c r="S34" i="84"/>
  <c r="S37" i="84"/>
  <c r="T53" i="84"/>
  <c r="S53" i="84"/>
  <c r="T103" i="84"/>
  <c r="S103" i="84"/>
  <c r="S106" i="84"/>
  <c r="T117" i="84"/>
  <c r="S117" i="84"/>
  <c r="T61" i="84"/>
  <c r="S61" i="84"/>
  <c r="T30" i="84"/>
  <c r="S30" i="84"/>
  <c r="S32" i="84"/>
  <c r="T47" i="84"/>
  <c r="S47" i="84"/>
  <c r="T97" i="84"/>
  <c r="S97" i="84"/>
  <c r="S100" i="84"/>
  <c r="T24" i="84"/>
  <c r="S24" i="84"/>
  <c r="S27" i="84"/>
  <c r="T4" i="84"/>
  <c r="S4" i="84"/>
  <c r="T91" i="84"/>
  <c r="S91" i="84"/>
  <c r="S94" i="84"/>
  <c r="T111" i="84"/>
  <c r="S111" i="84"/>
  <c r="T18" i="84"/>
  <c r="S18" i="84"/>
  <c r="S21" i="84"/>
  <c r="T36" i="84"/>
  <c r="S36" i="84"/>
  <c r="T85" i="84"/>
  <c r="S85" i="84"/>
  <c r="S88" i="84"/>
  <c r="T105" i="84"/>
  <c r="S105" i="84"/>
  <c r="T119" i="84"/>
  <c r="S119" i="84"/>
  <c r="T2" i="84"/>
  <c r="S2" i="84"/>
  <c r="S16" i="84"/>
  <c r="T31" i="84"/>
  <c r="S31" i="84"/>
  <c r="T79" i="84"/>
  <c r="S79" i="84"/>
  <c r="S82" i="84"/>
  <c r="T99" i="84"/>
  <c r="S99" i="84"/>
  <c r="S13" i="84"/>
  <c r="T26" i="84"/>
  <c r="S26" i="84"/>
  <c r="T73" i="84"/>
  <c r="S73" i="84"/>
  <c r="S76" i="84"/>
  <c r="T93" i="84"/>
  <c r="S93" i="84"/>
  <c r="T6" i="84"/>
  <c r="S6" i="84"/>
  <c r="S116" i="84"/>
  <c r="S121" i="84"/>
  <c r="S127" i="84"/>
  <c r="S126" i="84"/>
  <c r="S12" i="84"/>
  <c r="S7" i="84"/>
  <c r="S19" i="84"/>
  <c r="S25" i="84"/>
  <c r="S9" i="84"/>
  <c r="S35" i="84"/>
  <c r="S41" i="84"/>
  <c r="S46" i="84"/>
  <c r="S52" i="84"/>
  <c r="S58" i="84"/>
  <c r="S62" i="84"/>
  <c r="S68" i="84"/>
  <c r="S74" i="84"/>
  <c r="S80" i="84"/>
  <c r="S86" i="84"/>
  <c r="S92" i="84"/>
  <c r="S98" i="84"/>
  <c r="S104" i="84"/>
  <c r="S110" i="84"/>
  <c r="T12" i="84"/>
  <c r="S125" i="84"/>
  <c r="S115" i="84"/>
  <c r="S14" i="84"/>
  <c r="S17" i="84"/>
  <c r="S23" i="84"/>
  <c r="S29" i="84"/>
  <c r="S10" i="84"/>
  <c r="S39" i="84"/>
  <c r="S44" i="84"/>
  <c r="S50" i="84"/>
  <c r="S56" i="84"/>
  <c r="S60" i="84"/>
  <c r="S66" i="84"/>
  <c r="S72" i="84"/>
  <c r="S78" i="84"/>
  <c r="S84" i="84"/>
  <c r="S90" i="84"/>
  <c r="S96" i="84"/>
  <c r="S102" i="84"/>
  <c r="S108" i="84"/>
  <c r="S118" i="84"/>
  <c r="S123" i="84"/>
  <c r="S3" i="84"/>
  <c r="S8" i="84"/>
  <c r="S22" i="84"/>
  <c r="S28" i="84"/>
  <c r="S33" i="84"/>
  <c r="S38" i="84"/>
  <c r="S43" i="84"/>
  <c r="S49" i="84"/>
  <c r="S55" i="84"/>
  <c r="S5" i="84"/>
  <c r="S65" i="84"/>
  <c r="S71" i="84"/>
  <c r="S77" i="84"/>
  <c r="S83" i="84"/>
  <c r="S89" i="84"/>
  <c r="S95" i="84"/>
  <c r="S101" i="84"/>
  <c r="S107" i="84"/>
  <c r="S113" i="84"/>
  <c r="U37" i="83" a="1"/>
  <c r="U37" i="83" s="1"/>
  <c r="T37" i="83" s="1"/>
  <c r="U18" i="83" a="1"/>
  <c r="U18" i="83" s="1"/>
  <c r="U30" i="83" a="1"/>
  <c r="U30" i="83" s="1"/>
  <c r="T30" i="83" s="1"/>
  <c r="U41" i="83" a="1"/>
  <c r="U41" i="83" s="1"/>
  <c r="T41" i="83" s="1"/>
  <c r="U3" i="83" a="1"/>
  <c r="U3" i="83" s="1"/>
  <c r="T3" i="83" s="1"/>
  <c r="U60" i="83" a="1"/>
  <c r="U60" i="83" s="1"/>
  <c r="T60" i="83" s="1"/>
  <c r="U72" i="83" a="1"/>
  <c r="U72" i="83" s="1"/>
  <c r="T72" i="83" s="1"/>
  <c r="U84" i="83" a="1"/>
  <c r="U84" i="83" s="1"/>
  <c r="T84" i="83" s="1"/>
  <c r="U96" i="83" a="1"/>
  <c r="U96" i="83" s="1"/>
  <c r="T96" i="83" s="1"/>
  <c r="U108" i="83" a="1"/>
  <c r="U108" i="83" s="1"/>
  <c r="T108" i="83" s="1"/>
  <c r="U119" i="83" a="1"/>
  <c r="U119" i="83" s="1"/>
  <c r="T119" i="83" s="1"/>
  <c r="U129" i="83" a="1"/>
  <c r="U129" i="83" s="1"/>
  <c r="T129" i="83" s="1"/>
  <c r="U141" i="83" a="1"/>
  <c r="U141" i="83" s="1"/>
  <c r="T141" i="83" s="1"/>
  <c r="U56" i="83" a="1"/>
  <c r="U56" i="83" s="1"/>
  <c r="T56" i="83" s="1"/>
  <c r="U124" i="83" a="1"/>
  <c r="U124" i="83" s="1"/>
  <c r="T124" i="83" s="1"/>
  <c r="U6" i="83" a="1"/>
  <c r="U6" i="83" s="1"/>
  <c r="U23" i="83" a="1"/>
  <c r="U23" i="83" s="1"/>
  <c r="T23" i="83" s="1"/>
  <c r="U35" i="83" a="1"/>
  <c r="U35" i="83" s="1"/>
  <c r="T35" i="83" s="1"/>
  <c r="U46" i="83" a="1"/>
  <c r="U46" i="83" s="1"/>
  <c r="T46" i="83" s="1"/>
  <c r="U54" i="83" a="1"/>
  <c r="U54" i="83" s="1"/>
  <c r="T54" i="83" s="1"/>
  <c r="U65" i="83" a="1"/>
  <c r="U65" i="83" s="1"/>
  <c r="T65" i="83" s="1"/>
  <c r="U77" i="83" a="1"/>
  <c r="U77" i="83" s="1"/>
  <c r="T77" i="83" s="1"/>
  <c r="U89" i="83" a="1"/>
  <c r="U89" i="83" s="1"/>
  <c r="T89" i="83" s="1"/>
  <c r="U101" i="83" a="1"/>
  <c r="U101" i="83" s="1"/>
  <c r="T101" i="83" s="1"/>
  <c r="U113" i="83" a="1"/>
  <c r="U113" i="83" s="1"/>
  <c r="T113" i="83" s="1"/>
  <c r="U122" i="83" a="1"/>
  <c r="U122" i="83" s="1"/>
  <c r="T122" i="83" s="1"/>
  <c r="U134" i="83" a="1"/>
  <c r="U134" i="83" s="1"/>
  <c r="T134" i="83" s="1"/>
  <c r="U67" i="83" a="1"/>
  <c r="U67" i="83" s="1"/>
  <c r="T67" i="83" s="1"/>
  <c r="U16" i="83" a="1"/>
  <c r="U16" i="83" s="1"/>
  <c r="T16" i="83" s="1"/>
  <c r="U28" i="83" a="1"/>
  <c r="U28" i="83" s="1"/>
  <c r="T28" i="83" s="1"/>
  <c r="U39" i="83" a="1"/>
  <c r="U39" i="83" s="1"/>
  <c r="T39" i="83" s="1"/>
  <c r="U7" i="83" a="1"/>
  <c r="U7" i="83" s="1"/>
  <c r="T7" i="83" s="1"/>
  <c r="U59" i="83" a="1"/>
  <c r="U59" i="83" s="1"/>
  <c r="T59" i="83" s="1"/>
  <c r="U70" i="83" a="1"/>
  <c r="U70" i="83" s="1"/>
  <c r="T70" i="83" s="1"/>
  <c r="U82" i="83" a="1"/>
  <c r="U82" i="83" s="1"/>
  <c r="T82" i="83" s="1"/>
  <c r="U94" i="83" a="1"/>
  <c r="U94" i="83" s="1"/>
  <c r="T94" i="83" s="1"/>
  <c r="U106" i="83" a="1"/>
  <c r="U106" i="83" s="1"/>
  <c r="T106" i="83" s="1"/>
  <c r="U118" i="83" a="1"/>
  <c r="U118" i="83" s="1"/>
  <c r="T118" i="83" s="1"/>
  <c r="U127" i="83" a="1"/>
  <c r="U127" i="83" s="1"/>
  <c r="T127" i="83" s="1"/>
  <c r="U139" i="83" a="1"/>
  <c r="U139" i="83" s="1"/>
  <c r="T139" i="83" s="1"/>
  <c r="U79" i="83" a="1"/>
  <c r="U79" i="83" s="1"/>
  <c r="T79" i="83" s="1"/>
  <c r="U21" i="83" a="1"/>
  <c r="U21" i="83" s="1"/>
  <c r="T21" i="83" s="1"/>
  <c r="U33" i="83" a="1"/>
  <c r="U33" i="83" s="1"/>
  <c r="T33" i="83" s="1"/>
  <c r="U44" i="83" a="1"/>
  <c r="U44" i="83" s="1"/>
  <c r="T44" i="83" s="1"/>
  <c r="U52" i="83" a="1"/>
  <c r="U52" i="83" s="1"/>
  <c r="T52" i="83" s="1"/>
  <c r="U63" i="83" a="1"/>
  <c r="U63" i="83" s="1"/>
  <c r="T63" i="83" s="1"/>
  <c r="U75" i="83" a="1"/>
  <c r="U75" i="83" s="1"/>
  <c r="T75" i="83" s="1"/>
  <c r="U87" i="83" a="1"/>
  <c r="U87" i="83" s="1"/>
  <c r="T87" i="83" s="1"/>
  <c r="U99" i="83" a="1"/>
  <c r="U99" i="83" s="1"/>
  <c r="T99" i="83" s="1"/>
  <c r="U111" i="83" a="1"/>
  <c r="U111" i="83" s="1"/>
  <c r="T111" i="83" s="1"/>
  <c r="U2" i="83" a="1"/>
  <c r="U2" i="83" s="1"/>
  <c r="T2" i="83" s="1"/>
  <c r="U132" i="83" a="1"/>
  <c r="U132" i="83" s="1"/>
  <c r="T132" i="83" s="1"/>
  <c r="U103" i="83" a="1"/>
  <c r="U103" i="83" s="1"/>
  <c r="T103" i="83" s="1"/>
  <c r="U14" i="83" a="1"/>
  <c r="U14" i="83" s="1"/>
  <c r="T14" i="83" s="1"/>
  <c r="U26" i="83" a="1"/>
  <c r="U26" i="83" s="1"/>
  <c r="T26" i="83" s="1"/>
  <c r="U4" i="83" a="1"/>
  <c r="U4" i="83" s="1"/>
  <c r="T4" i="83" s="1"/>
  <c r="U49" i="83" a="1"/>
  <c r="U49" i="83" s="1"/>
  <c r="T49" i="83" s="1"/>
  <c r="U57" i="83" a="1"/>
  <c r="U57" i="83" s="1"/>
  <c r="T57" i="83" s="1"/>
  <c r="U68" i="83" a="1"/>
  <c r="U68" i="83" s="1"/>
  <c r="T68" i="83" s="1"/>
  <c r="U80" i="83" a="1"/>
  <c r="U80" i="83" s="1"/>
  <c r="T80" i="83" s="1"/>
  <c r="U92" i="83" a="1"/>
  <c r="U92" i="83" s="1"/>
  <c r="T92" i="83" s="1"/>
  <c r="U104" i="83" a="1"/>
  <c r="U104" i="83" s="1"/>
  <c r="T104" i="83" s="1"/>
  <c r="U116" i="83" a="1"/>
  <c r="U116" i="83" s="1"/>
  <c r="T116" i="83" s="1"/>
  <c r="U125" i="83" a="1"/>
  <c r="U125" i="83" s="1"/>
  <c r="T125" i="83" s="1"/>
  <c r="U137" i="83" a="1"/>
  <c r="U137" i="83" s="1"/>
  <c r="T137" i="83" s="1"/>
  <c r="U91" i="83" a="1"/>
  <c r="U91" i="83" s="1"/>
  <c r="T91" i="83" s="1"/>
  <c r="U19" i="83" a="1"/>
  <c r="U19" i="83" s="1"/>
  <c r="T19" i="83" s="1"/>
  <c r="U31" i="83" a="1"/>
  <c r="U31" i="83" s="1"/>
  <c r="T31" i="83" s="1"/>
  <c r="U42" i="83" a="1"/>
  <c r="U42" i="83" s="1"/>
  <c r="T42" i="83" s="1"/>
  <c r="U10" i="83" a="1"/>
  <c r="U10" i="83" s="1"/>
  <c r="T10" i="83" s="1"/>
  <c r="U61" i="83" a="1"/>
  <c r="U61" i="83" s="1"/>
  <c r="T61" i="83" s="1"/>
  <c r="U73" i="83" a="1"/>
  <c r="U73" i="83" s="1"/>
  <c r="T73" i="83" s="1"/>
  <c r="U85" i="83" a="1"/>
  <c r="U85" i="83" s="1"/>
  <c r="T85" i="83" s="1"/>
  <c r="U97" i="83" a="1"/>
  <c r="U97" i="83" s="1"/>
  <c r="T97" i="83" s="1"/>
  <c r="U109" i="83" a="1"/>
  <c r="U109" i="83" s="1"/>
  <c r="T109" i="83" s="1"/>
  <c r="U9" i="83" a="1"/>
  <c r="U9" i="83" s="1"/>
  <c r="T9" i="83" s="1"/>
  <c r="U130" i="83" a="1"/>
  <c r="U130" i="83" s="1"/>
  <c r="T130" i="83" s="1"/>
  <c r="U142" i="83" a="1"/>
  <c r="U142" i="83" s="1"/>
  <c r="T142" i="83" s="1"/>
  <c r="U115" i="83" a="1"/>
  <c r="U115" i="83" s="1"/>
  <c r="T115" i="83" s="1"/>
  <c r="U12" i="83" a="1"/>
  <c r="U12" i="83" s="1"/>
  <c r="T12" i="83" s="1"/>
  <c r="U24" i="83" a="1"/>
  <c r="U24" i="83" s="1"/>
  <c r="T24" i="83" s="1"/>
  <c r="U36" i="83" a="1"/>
  <c r="U36" i="83" s="1"/>
  <c r="T36" i="83" s="1"/>
  <c r="U47" i="83" a="1"/>
  <c r="U47" i="83" s="1"/>
  <c r="T47" i="83" s="1"/>
  <c r="U55" i="83" a="1"/>
  <c r="U55" i="83" s="1"/>
  <c r="T55" i="83" s="1"/>
  <c r="U66" i="83" a="1"/>
  <c r="U66" i="83" s="1"/>
  <c r="T66" i="83" s="1"/>
  <c r="U78" i="83" a="1"/>
  <c r="U78" i="83" s="1"/>
  <c r="T78" i="83" s="1"/>
  <c r="U90" i="83" a="1"/>
  <c r="U90" i="83" s="1"/>
  <c r="T90" i="83" s="1"/>
  <c r="U102" i="83" a="1"/>
  <c r="U102" i="83" s="1"/>
  <c r="T102" i="83" s="1"/>
  <c r="U114" i="83" a="1"/>
  <c r="U114" i="83" s="1"/>
  <c r="T114" i="83" s="1"/>
  <c r="U123" i="83" a="1"/>
  <c r="U123" i="83" s="1"/>
  <c r="T123" i="83" s="1"/>
  <c r="U135" i="83" a="1"/>
  <c r="U135" i="83" s="1"/>
  <c r="T135" i="83" s="1"/>
  <c r="U13" i="83" a="1"/>
  <c r="U13" i="83" s="1"/>
  <c r="T13" i="83" s="1"/>
  <c r="U17" i="83" a="1"/>
  <c r="U17" i="83" s="1"/>
  <c r="T17" i="83" s="1"/>
  <c r="U29" i="83" a="1"/>
  <c r="U29" i="83" s="1"/>
  <c r="T29" i="83" s="1"/>
  <c r="U40" i="83" a="1"/>
  <c r="U40" i="83" s="1"/>
  <c r="U8" i="83" a="1"/>
  <c r="U8" i="83" s="1"/>
  <c r="T8" i="83" s="1"/>
  <c r="U11" i="83" a="1"/>
  <c r="U11" i="83" s="1"/>
  <c r="T11" i="83" s="1"/>
  <c r="U71" i="83" a="1"/>
  <c r="U71" i="83" s="1"/>
  <c r="T71" i="83" s="1"/>
  <c r="U83" i="83" a="1"/>
  <c r="U83" i="83" s="1"/>
  <c r="T83" i="83" s="1"/>
  <c r="U95" i="83" a="1"/>
  <c r="U95" i="83" s="1"/>
  <c r="T95" i="83" s="1"/>
  <c r="U107" i="83" a="1"/>
  <c r="U107" i="83" s="1"/>
  <c r="T107" i="83" s="1"/>
  <c r="U5" i="83" a="1"/>
  <c r="U5" i="83" s="1"/>
  <c r="T5" i="83" s="1"/>
  <c r="U128" i="83" a="1"/>
  <c r="U128" i="83" s="1"/>
  <c r="T128" i="83" s="1"/>
  <c r="U140" i="83" a="1"/>
  <c r="U140" i="83" s="1"/>
  <c r="U48" i="83" a="1"/>
  <c r="U48" i="83" s="1"/>
  <c r="T48" i="83" s="1"/>
  <c r="U136" i="83" a="1"/>
  <c r="U136" i="83" s="1"/>
  <c r="T136" i="83" s="1"/>
  <c r="U22" i="83" a="1"/>
  <c r="U22" i="83" s="1"/>
  <c r="T22" i="83" s="1"/>
  <c r="U34" i="83" a="1"/>
  <c r="U34" i="83" s="1"/>
  <c r="T34" i="83" s="1"/>
  <c r="U45" i="83" a="1"/>
  <c r="U45" i="83" s="1"/>
  <c r="T45" i="83" s="1"/>
  <c r="U53" i="83" a="1"/>
  <c r="U53" i="83" s="1"/>
  <c r="T53" i="83" s="1"/>
  <c r="U64" i="83" a="1"/>
  <c r="U64" i="83" s="1"/>
  <c r="T64" i="83" s="1"/>
  <c r="U76" i="83" a="1"/>
  <c r="U76" i="83" s="1"/>
  <c r="T76" i="83" s="1"/>
  <c r="U88" i="83" a="1"/>
  <c r="U88" i="83" s="1"/>
  <c r="T88" i="83" s="1"/>
  <c r="U100" i="83" a="1"/>
  <c r="U100" i="83" s="1"/>
  <c r="T100" i="83" s="1"/>
  <c r="U112" i="83" a="1"/>
  <c r="U112" i="83" s="1"/>
  <c r="T112" i="83" s="1"/>
  <c r="U121" i="83" a="1"/>
  <c r="U121" i="83" s="1"/>
  <c r="T121" i="83" s="1"/>
  <c r="U133" i="83" a="1"/>
  <c r="U133" i="83" s="1"/>
  <c r="T133" i="83" s="1"/>
  <c r="U25" i="83" a="1"/>
  <c r="U25" i="83" s="1"/>
  <c r="T25" i="83" s="1"/>
  <c r="U15" i="83" a="1"/>
  <c r="U15" i="83" s="1"/>
  <c r="T15" i="83" s="1"/>
  <c r="U27" i="83" a="1"/>
  <c r="U27" i="83" s="1"/>
  <c r="T27" i="83" s="1"/>
  <c r="U38" i="83" a="1"/>
  <c r="U38" i="83" s="1"/>
  <c r="T38" i="83" s="1"/>
  <c r="U50" i="83" a="1"/>
  <c r="U50" i="83" s="1"/>
  <c r="T50" i="83" s="1"/>
  <c r="U58" i="83" a="1"/>
  <c r="U58" i="83" s="1"/>
  <c r="T58" i="83" s="1"/>
  <c r="U69" i="83" a="1"/>
  <c r="U69" i="83" s="1"/>
  <c r="T69" i="83" s="1"/>
  <c r="U81" i="83" a="1"/>
  <c r="U81" i="83" s="1"/>
  <c r="T81" i="83" s="1"/>
  <c r="U93" i="83" a="1"/>
  <c r="U93" i="83" s="1"/>
  <c r="T93" i="83" s="1"/>
  <c r="U105" i="83" a="1"/>
  <c r="U105" i="83" s="1"/>
  <c r="T105" i="83" s="1"/>
  <c r="U117" i="83" a="1"/>
  <c r="U117" i="83" s="1"/>
  <c r="T117" i="83" s="1"/>
  <c r="U126" i="83" a="1"/>
  <c r="U126" i="83" s="1"/>
  <c r="T126" i="83" s="1"/>
  <c r="U138" i="83" a="1"/>
  <c r="U138" i="83" s="1"/>
  <c r="T138" i="83" s="1"/>
  <c r="U20" i="83" a="1"/>
  <c r="U20" i="83" s="1"/>
  <c r="T20" i="83" s="1"/>
  <c r="U32" i="83" a="1"/>
  <c r="U32" i="83" s="1"/>
  <c r="T32" i="83" s="1"/>
  <c r="U43" i="83" a="1"/>
  <c r="U43" i="83" s="1"/>
  <c r="T43" i="83" s="1"/>
  <c r="U51" i="83" a="1"/>
  <c r="U51" i="83" s="1"/>
  <c r="T51" i="83" s="1"/>
  <c r="U62" i="83" a="1"/>
  <c r="U62" i="83" s="1"/>
  <c r="T62" i="83" s="1"/>
  <c r="U74" i="83" a="1"/>
  <c r="U74" i="83" s="1"/>
  <c r="T74" i="83" s="1"/>
  <c r="U86" i="83" a="1"/>
  <c r="U86" i="83" s="1"/>
  <c r="T86" i="83" s="1"/>
  <c r="U98" i="83" a="1"/>
  <c r="U98" i="83" s="1"/>
  <c r="T98" i="83" s="1"/>
  <c r="U110" i="83" a="1"/>
  <c r="U110" i="83" s="1"/>
  <c r="T110" i="83" s="1"/>
  <c r="U120" i="83" a="1"/>
  <c r="U120" i="83" s="1"/>
  <c r="T120" i="83" s="1"/>
  <c r="U131" i="83" a="1"/>
  <c r="U131" i="83" s="1"/>
  <c r="T131" i="83" s="1"/>
  <c r="U143" i="83" a="1"/>
  <c r="U143" i="83" s="1"/>
  <c r="T143" i="83" s="1"/>
  <c r="I41" i="7"/>
  <c r="I65" i="7"/>
  <c r="I77" i="7"/>
  <c r="I122" i="7"/>
  <c r="I133" i="7"/>
  <c r="I89" i="7"/>
  <c r="I109" i="7"/>
  <c r="I27" i="7"/>
  <c r="I124" i="7"/>
  <c r="O98" i="7"/>
  <c r="H98" i="6" s="1"/>
  <c r="K52" i="7"/>
  <c r="D52" i="6" s="1"/>
  <c r="I115" i="7"/>
  <c r="I123" i="7"/>
  <c r="I158" i="7"/>
  <c r="I113" i="7"/>
  <c r="I147" i="7"/>
  <c r="N182" i="7"/>
  <c r="G182" i="6" s="1"/>
  <c r="J129" i="7"/>
  <c r="C129" i="6" s="1"/>
  <c r="O159" i="7"/>
  <c r="H159" i="6" s="1"/>
  <c r="I159" i="7"/>
  <c r="I17" i="7"/>
  <c r="K128" i="7"/>
  <c r="D128" i="6" s="1"/>
  <c r="L58" i="7"/>
  <c r="E58" i="6" s="1"/>
  <c r="I125" i="7"/>
  <c r="I149" i="7"/>
  <c r="M182" i="7"/>
  <c r="F182" i="6" s="1"/>
  <c r="J148" i="7"/>
  <c r="C148" i="6" s="1"/>
  <c r="I88" i="7"/>
  <c r="O149" i="7"/>
  <c r="H149" i="6" s="1"/>
  <c r="O93" i="7"/>
  <c r="H93" i="6" s="1"/>
  <c r="O100" i="7"/>
  <c r="H100" i="6" s="1"/>
  <c r="J66" i="7"/>
  <c r="C66" i="6" s="1"/>
  <c r="M17" i="7"/>
  <c r="F17" i="6" s="1"/>
  <c r="N24" i="7"/>
  <c r="G24" i="6" s="1"/>
  <c r="V28" i="61"/>
  <c r="V30" i="61"/>
  <c r="V29" i="61"/>
  <c r="I111" i="7"/>
  <c r="I99" i="7"/>
  <c r="I75" i="7"/>
  <c r="I63" i="7"/>
  <c r="I51" i="7"/>
  <c r="I39" i="7"/>
  <c r="I3" i="7"/>
  <c r="I146" i="7"/>
  <c r="I86" i="7"/>
  <c r="I50" i="7"/>
  <c r="I38" i="7"/>
  <c r="I26" i="7"/>
  <c r="I14" i="7"/>
  <c r="I61" i="7"/>
  <c r="I120" i="7"/>
  <c r="I131" i="7"/>
  <c r="I107" i="7"/>
  <c r="I154" i="7"/>
  <c r="I142" i="7"/>
  <c r="I130" i="7"/>
  <c r="I118" i="7"/>
  <c r="I106" i="7"/>
  <c r="I94" i="7"/>
  <c r="I82" i="7"/>
  <c r="I177" i="7"/>
  <c r="I137" i="7"/>
  <c r="I152" i="7"/>
  <c r="I80" i="7"/>
  <c r="I56" i="7"/>
  <c r="I44" i="7"/>
  <c r="I20" i="7"/>
  <c r="I91" i="7"/>
  <c r="I67" i="7"/>
  <c r="I55" i="7"/>
  <c r="I43" i="7"/>
  <c r="I78" i="7"/>
  <c r="I173" i="7"/>
  <c r="I53" i="7"/>
  <c r="I172" i="7"/>
  <c r="I148" i="7"/>
  <c r="I136" i="7"/>
  <c r="I112" i="7"/>
  <c r="I100" i="7"/>
  <c r="I76" i="7"/>
  <c r="I64" i="7"/>
  <c r="I52" i="7"/>
  <c r="I40" i="7"/>
  <c r="I28" i="7"/>
  <c r="I16" i="7"/>
  <c r="I4" i="7"/>
  <c r="I169" i="7"/>
  <c r="I157" i="7"/>
  <c r="I145" i="7"/>
  <c r="I121" i="7"/>
  <c r="I85" i="7"/>
  <c r="I73" i="7"/>
  <c r="I49" i="7"/>
  <c r="I37" i="7"/>
  <c r="I25" i="7"/>
  <c r="I13" i="7"/>
  <c r="I168" i="7"/>
  <c r="I156" i="7"/>
  <c r="I144" i="7"/>
  <c r="I132" i="7"/>
  <c r="I108" i="7"/>
  <c r="I96" i="7"/>
  <c r="I84" i="7"/>
  <c r="I72" i="7"/>
  <c r="I60" i="7"/>
  <c r="I48" i="7"/>
  <c r="I36" i="7"/>
  <c r="I24" i="7"/>
  <c r="I12" i="7"/>
  <c r="I167" i="7"/>
  <c r="I143" i="7"/>
  <c r="I119" i="7"/>
  <c r="I95" i="7"/>
  <c r="I83" i="7"/>
  <c r="I71" i="7"/>
  <c r="I59" i="7"/>
  <c r="I47" i="7"/>
  <c r="I35" i="7"/>
  <c r="I23" i="7"/>
  <c r="I11" i="7"/>
  <c r="I170" i="7"/>
  <c r="I110" i="7"/>
  <c r="I62" i="7"/>
  <c r="I70" i="7"/>
  <c r="I58" i="7"/>
  <c r="I46" i="7"/>
  <c r="I34" i="7"/>
  <c r="I22" i="7"/>
  <c r="I10" i="7"/>
  <c r="I165" i="7"/>
  <c r="I153" i="7"/>
  <c r="I141" i="7"/>
  <c r="I129" i="7"/>
  <c r="I117" i="7"/>
  <c r="I105" i="7"/>
  <c r="I93" i="7"/>
  <c r="I81" i="7"/>
  <c r="I69" i="7"/>
  <c r="I57" i="7"/>
  <c r="I45" i="7"/>
  <c r="I33" i="7"/>
  <c r="I21" i="7"/>
  <c r="I9" i="7"/>
  <c r="I176" i="7"/>
  <c r="I164" i="7"/>
  <c r="I140" i="7"/>
  <c r="I116" i="7"/>
  <c r="I104" i="7"/>
  <c r="I92" i="7"/>
  <c r="I68" i="7"/>
  <c r="I32" i="7"/>
  <c r="I8" i="7"/>
  <c r="I134" i="7"/>
  <c r="I74" i="7"/>
  <c r="I175" i="7"/>
  <c r="I163" i="7"/>
  <c r="I151" i="7"/>
  <c r="I139" i="7"/>
  <c r="I127" i="7"/>
  <c r="I103" i="7"/>
  <c r="I79" i="7"/>
  <c r="I31" i="7"/>
  <c r="I19" i="7"/>
  <c r="I7" i="7"/>
  <c r="I174" i="7"/>
  <c r="I162" i="7"/>
  <c r="I150" i="7"/>
  <c r="I138" i="7"/>
  <c r="I126" i="7"/>
  <c r="I114" i="7"/>
  <c r="I102" i="7"/>
  <c r="I90" i="7"/>
  <c r="I66" i="7"/>
  <c r="I54" i="7"/>
  <c r="I42" i="7"/>
  <c r="I30" i="7"/>
  <c r="I18" i="7"/>
  <c r="I6" i="7"/>
  <c r="X39" i="65"/>
  <c r="Y39" i="65" s="1"/>
  <c r="X11" i="65"/>
  <c r="Y11" i="65" s="1"/>
  <c r="X33" i="65"/>
  <c r="Y33" i="65" s="1"/>
  <c r="X67" i="71" a="1"/>
  <c r="X67" i="71" s="1"/>
  <c r="Y67" i="71" s="1"/>
  <c r="X57" i="68" a="1"/>
  <c r="X57" i="68" s="1"/>
  <c r="Y57" i="68" s="1"/>
  <c r="U112" i="74" a="1"/>
  <c r="U112" i="74" s="1"/>
  <c r="T112" i="74" s="1"/>
  <c r="U76" i="81" a="1"/>
  <c r="U76" i="81" s="1"/>
  <c r="T76" i="81" s="1"/>
  <c r="X80" i="71" a="1"/>
  <c r="X80" i="71" s="1"/>
  <c r="Y80" i="71" s="1"/>
  <c r="X71" i="68" a="1"/>
  <c r="X71" i="68" s="1"/>
  <c r="Y71" i="68" s="1"/>
  <c r="X34" i="65"/>
  <c r="Y34" i="65" s="1"/>
  <c r="U31" i="74" a="1"/>
  <c r="U31" i="74" s="1"/>
  <c r="T31" i="74" s="1"/>
  <c r="X93" i="71" a="1"/>
  <c r="X93" i="71" s="1"/>
  <c r="Y93" i="71" s="1"/>
  <c r="X84" i="68" a="1"/>
  <c r="X84" i="68" s="1"/>
  <c r="Y84" i="68" s="1"/>
  <c r="X8" i="70" a="1"/>
  <c r="X8" i="70" s="1"/>
  <c r="Y8" i="70" s="1"/>
  <c r="X97" i="68" a="1"/>
  <c r="X97" i="68" s="1"/>
  <c r="Y97" i="68" s="1"/>
  <c r="X50" i="65"/>
  <c r="Y50" i="65" s="1"/>
  <c r="X21" i="70" a="1"/>
  <c r="X21" i="70" s="1"/>
  <c r="Y21" i="70" s="1"/>
  <c r="X110" i="68" a="1"/>
  <c r="X110" i="68" s="1"/>
  <c r="Y110" i="68" s="1"/>
  <c r="X64" i="65"/>
  <c r="Y64" i="65" s="1"/>
  <c r="U27" i="74" a="1"/>
  <c r="U27" i="74" s="1"/>
  <c r="T27" i="74" s="1"/>
  <c r="U124" i="74" a="1"/>
  <c r="U124" i="74" s="1"/>
  <c r="T124" i="74" s="1"/>
  <c r="X34" i="70" a="1"/>
  <c r="X34" i="70" s="1"/>
  <c r="Y34" i="70" s="1"/>
  <c r="X123" i="68" a="1"/>
  <c r="X123" i="68" s="1"/>
  <c r="Y123" i="68" s="1"/>
  <c r="X78" i="65"/>
  <c r="Y78" i="65" s="1"/>
  <c r="X47" i="70" a="1"/>
  <c r="X47" i="70" s="1"/>
  <c r="Y47" i="70" s="1"/>
  <c r="X92" i="65"/>
  <c r="Y92" i="65" s="1"/>
  <c r="U79" i="74" a="1"/>
  <c r="U79" i="74" s="1"/>
  <c r="T79" i="74" s="1"/>
  <c r="X2" i="71" a="1"/>
  <c r="X2" i="71" s="1"/>
  <c r="Y2" i="71" s="1"/>
  <c r="X60" i="70" a="1"/>
  <c r="X60" i="70" s="1"/>
  <c r="Y60" i="70" s="1"/>
  <c r="X106" i="65"/>
  <c r="Y106" i="65" s="1"/>
  <c r="U22" i="74" a="1"/>
  <c r="U22" i="74" s="1"/>
  <c r="T22" i="74" s="1"/>
  <c r="X122" i="65"/>
  <c r="Y122" i="65" s="1"/>
  <c r="X15" i="71" a="1"/>
  <c r="X15" i="71" s="1"/>
  <c r="Y15" i="71" s="1"/>
  <c r="X6" i="65"/>
  <c r="Y6" i="65" s="1"/>
  <c r="X28" i="71" a="1"/>
  <c r="X28" i="71" s="1"/>
  <c r="Y28" i="71" s="1"/>
  <c r="X18" i="68" a="1"/>
  <c r="X18" i="68" s="1"/>
  <c r="Y18" i="68" s="1"/>
  <c r="X7" i="65"/>
  <c r="Y7" i="65" s="1"/>
  <c r="X5" i="68" a="1"/>
  <c r="X5" i="68" s="1"/>
  <c r="Y5" i="68" s="1"/>
  <c r="X41" i="71" a="1"/>
  <c r="X41" i="71" s="1"/>
  <c r="Y41" i="71" s="1"/>
  <c r="X31" i="68" a="1"/>
  <c r="X31" i="68" s="1"/>
  <c r="Y31" i="68" s="1"/>
  <c r="X54" i="71" a="1"/>
  <c r="X54" i="71" s="1"/>
  <c r="Y54" i="71" s="1"/>
  <c r="X44" i="68" a="1"/>
  <c r="X44" i="68" s="1"/>
  <c r="Y44" i="68" s="1"/>
  <c r="X20" i="65"/>
  <c r="Y20" i="65" s="1"/>
  <c r="X9" i="70" a="1"/>
  <c r="X9" i="70" s="1"/>
  <c r="Y9" i="70" s="1"/>
  <c r="X6" i="68" a="1"/>
  <c r="X6" i="68" s="1"/>
  <c r="Y6" i="68" s="1"/>
  <c r="X72" i="68" a="1"/>
  <c r="X72" i="68" s="1"/>
  <c r="Y72" i="68" s="1"/>
  <c r="U36" i="74" a="1"/>
  <c r="U36" i="74" s="1"/>
  <c r="T36" i="74" s="1"/>
  <c r="P36" i="74" s="1"/>
  <c r="U39" i="74" a="1"/>
  <c r="U39" i="74" s="1"/>
  <c r="T39" i="74" s="1"/>
  <c r="U44" i="74" a="1"/>
  <c r="U44" i="74" s="1"/>
  <c r="T44" i="74" s="1"/>
  <c r="U49" i="74" a="1"/>
  <c r="U49" i="74" s="1"/>
  <c r="T49" i="74" s="1"/>
  <c r="U52" i="74" a="1"/>
  <c r="U52" i="74" s="1"/>
  <c r="T52" i="74" s="1"/>
  <c r="U69" i="74" a="1"/>
  <c r="U69" i="74" s="1"/>
  <c r="T69" i="74" s="1"/>
  <c r="U74" i="74" a="1"/>
  <c r="U74" i="74" s="1"/>
  <c r="T74" i="74" s="1"/>
  <c r="U108" i="74" a="1"/>
  <c r="U108" i="74" s="1"/>
  <c r="T108" i="74" s="1"/>
  <c r="U119" i="74" a="1"/>
  <c r="U119" i="74" s="1"/>
  <c r="T119" i="74" s="1"/>
  <c r="U66" i="81" a="1"/>
  <c r="U66" i="81" s="1"/>
  <c r="T66" i="81" s="1"/>
  <c r="X3" i="71" a="1"/>
  <c r="X3" i="71" s="1"/>
  <c r="Y3" i="71" s="1"/>
  <c r="X68" i="71" a="1"/>
  <c r="X68" i="71" s="1"/>
  <c r="Y68" i="71" s="1"/>
  <c r="X22" i="70" a="1"/>
  <c r="X22" i="70" s="1"/>
  <c r="Y22" i="70" s="1"/>
  <c r="X32" i="68" a="1"/>
  <c r="X32" i="68" s="1"/>
  <c r="Y32" i="68" s="1"/>
  <c r="X59" i="68" a="1"/>
  <c r="X59" i="68" s="1"/>
  <c r="Y59" i="68" s="1"/>
  <c r="X124" i="68" a="1"/>
  <c r="X124" i="68" s="1"/>
  <c r="Y124" i="68" s="1"/>
  <c r="X21" i="65"/>
  <c r="Y21" i="65" s="1"/>
  <c r="X35" i="65"/>
  <c r="Y35" i="65" s="1"/>
  <c r="X51" i="65"/>
  <c r="Y51" i="65" s="1"/>
  <c r="X65" i="65"/>
  <c r="Y65" i="65" s="1"/>
  <c r="X79" i="65"/>
  <c r="Y79" i="65" s="1"/>
  <c r="X93" i="65"/>
  <c r="Y93" i="65" s="1"/>
  <c r="X107" i="65"/>
  <c r="Y107" i="65" s="1"/>
  <c r="X123" i="65"/>
  <c r="Y123" i="65" s="1"/>
  <c r="U18" i="74" a="1"/>
  <c r="U18" i="74" s="1"/>
  <c r="T18" i="74" s="1"/>
  <c r="X4" i="71" a="1"/>
  <c r="X4" i="71" s="1"/>
  <c r="Y4" i="71" s="1"/>
  <c r="X17" i="71" a="1"/>
  <c r="X17" i="71" s="1"/>
  <c r="Y17" i="71" s="1"/>
  <c r="X30" i="71" a="1"/>
  <c r="X30" i="71" s="1"/>
  <c r="Y30" i="71" s="1"/>
  <c r="X43" i="71" a="1"/>
  <c r="X43" i="71" s="1"/>
  <c r="Y43" i="71" s="1"/>
  <c r="X56" i="71" a="1"/>
  <c r="X56" i="71" s="1"/>
  <c r="Y56" i="71" s="1"/>
  <c r="X69" i="71" a="1"/>
  <c r="X69" i="71" s="1"/>
  <c r="Y69" i="71" s="1"/>
  <c r="X83" i="71" a="1"/>
  <c r="X83" i="71" s="1"/>
  <c r="Y83" i="71" s="1"/>
  <c r="X96" i="71" a="1"/>
  <c r="X96" i="71" s="1"/>
  <c r="Y96" i="71" s="1"/>
  <c r="X10" i="70" a="1"/>
  <c r="X10" i="70" s="1"/>
  <c r="Y10" i="70" s="1"/>
  <c r="X23" i="70" a="1"/>
  <c r="X23" i="70" s="1"/>
  <c r="Y23" i="70" s="1"/>
  <c r="X36" i="70" a="1"/>
  <c r="X36" i="70" s="1"/>
  <c r="Y36" i="70" s="1"/>
  <c r="X49" i="70" a="1"/>
  <c r="X49" i="70" s="1"/>
  <c r="Y49" i="70" s="1"/>
  <c r="X62" i="70" a="1"/>
  <c r="X62" i="70" s="1"/>
  <c r="Y62" i="70" s="1"/>
  <c r="X7" i="68" a="1"/>
  <c r="X7" i="68" s="1"/>
  <c r="Y7" i="68" s="1"/>
  <c r="X20" i="68" a="1"/>
  <c r="X20" i="68" s="1"/>
  <c r="Y20" i="68" s="1"/>
  <c r="X33" i="68" a="1"/>
  <c r="X33" i="68" s="1"/>
  <c r="Y33" i="68" s="1"/>
  <c r="X47" i="68" a="1"/>
  <c r="X47" i="68" s="1"/>
  <c r="Y47" i="68" s="1"/>
  <c r="X60" i="68" a="1"/>
  <c r="X60" i="68" s="1"/>
  <c r="Y60" i="68" s="1"/>
  <c r="X73" i="68" a="1"/>
  <c r="X73" i="68" s="1"/>
  <c r="Y73" i="68" s="1"/>
  <c r="X86" i="68" a="1"/>
  <c r="X86" i="68" s="1"/>
  <c r="Y86" i="68" s="1"/>
  <c r="X99" i="68" a="1"/>
  <c r="X99" i="68" s="1"/>
  <c r="Y99" i="68" s="1"/>
  <c r="X112" i="68" a="1"/>
  <c r="X112" i="68" s="1"/>
  <c r="Y112" i="68" s="1"/>
  <c r="X125" i="68" a="1"/>
  <c r="X125" i="68" s="1"/>
  <c r="Y125" i="68" s="1"/>
  <c r="X8" i="65"/>
  <c r="Y8" i="65" s="1"/>
  <c r="X22" i="65"/>
  <c r="Y22" i="65" s="1"/>
  <c r="X38" i="65"/>
  <c r="Y38" i="65" s="1"/>
  <c r="X52" i="65"/>
  <c r="Y52" i="65" s="1"/>
  <c r="X66" i="65"/>
  <c r="Y66" i="65" s="1"/>
  <c r="X80" i="65"/>
  <c r="Y80" i="65" s="1"/>
  <c r="X94" i="65"/>
  <c r="Y94" i="65" s="1"/>
  <c r="X110" i="65"/>
  <c r="Y110" i="65" s="1"/>
  <c r="X124" i="65"/>
  <c r="Y124" i="65" s="1"/>
  <c r="U66" i="74" a="1"/>
  <c r="U66" i="74" s="1"/>
  <c r="T66" i="74" s="1"/>
  <c r="U77" i="74" a="1"/>
  <c r="U77" i="74" s="1"/>
  <c r="T77" i="74" s="1"/>
  <c r="U103" i="74" a="1"/>
  <c r="U103" i="74" s="1"/>
  <c r="T103" i="74" s="1"/>
  <c r="X55" i="71" a="1"/>
  <c r="X55" i="71" s="1"/>
  <c r="Y55" i="71" s="1"/>
  <c r="X98" i="68" a="1"/>
  <c r="X98" i="68" s="1"/>
  <c r="Y98" i="68" s="1"/>
  <c r="X5" i="71" a="1"/>
  <c r="X5" i="71" s="1"/>
  <c r="Y5" i="71" s="1"/>
  <c r="X31" i="71" a="1"/>
  <c r="X31" i="71" s="1"/>
  <c r="Y31" i="71" s="1"/>
  <c r="X57" i="71" a="1"/>
  <c r="X57" i="71" s="1"/>
  <c r="Y57" i="71" s="1"/>
  <c r="X71" i="71" a="1"/>
  <c r="X71" i="71" s="1"/>
  <c r="Y71" i="71" s="1"/>
  <c r="X84" i="71" a="1"/>
  <c r="X84" i="71" s="1"/>
  <c r="Y84" i="71" s="1"/>
  <c r="X97" i="71" a="1"/>
  <c r="X97" i="71" s="1"/>
  <c r="Y97" i="71" s="1"/>
  <c r="X11" i="70" a="1"/>
  <c r="X11" i="70" s="1"/>
  <c r="Y11" i="70" s="1"/>
  <c r="X24" i="70" a="1"/>
  <c r="X24" i="70" s="1"/>
  <c r="Y24" i="70" s="1"/>
  <c r="X37" i="70" a="1"/>
  <c r="X37" i="70" s="1"/>
  <c r="Y37" i="70" s="1"/>
  <c r="X50" i="70" a="1"/>
  <c r="X50" i="70" s="1"/>
  <c r="Y50" i="70" s="1"/>
  <c r="X63" i="70" a="1"/>
  <c r="X63" i="70" s="1"/>
  <c r="Y63" i="70" s="1"/>
  <c r="X8" i="68" a="1"/>
  <c r="X8" i="68" s="1"/>
  <c r="Y8" i="68" s="1"/>
  <c r="X21" i="68" a="1"/>
  <c r="X21" i="68" s="1"/>
  <c r="Y21" i="68" s="1"/>
  <c r="X35" i="68" a="1"/>
  <c r="X35" i="68" s="1"/>
  <c r="Y35" i="68" s="1"/>
  <c r="X48" i="68" a="1"/>
  <c r="X48" i="68" s="1"/>
  <c r="Y48" i="68" s="1"/>
  <c r="X61" i="68" a="1"/>
  <c r="X61" i="68" s="1"/>
  <c r="Y61" i="68" s="1"/>
  <c r="X74" i="68" a="1"/>
  <c r="X74" i="68" s="1"/>
  <c r="Y74" i="68" s="1"/>
  <c r="X87" i="68" a="1"/>
  <c r="X87" i="68" s="1"/>
  <c r="Y87" i="68" s="1"/>
  <c r="X100" i="68" a="1"/>
  <c r="X100" i="68" s="1"/>
  <c r="Y100" i="68" s="1"/>
  <c r="X113" i="68" a="1"/>
  <c r="X113" i="68" s="1"/>
  <c r="Y113" i="68" s="1"/>
  <c r="X126" i="68" a="1"/>
  <c r="X126" i="68" s="1"/>
  <c r="Y126" i="68" s="1"/>
  <c r="X9" i="65"/>
  <c r="Y9" i="65" s="1"/>
  <c r="X23" i="65"/>
  <c r="Y23" i="65" s="1"/>
  <c r="X53" i="65"/>
  <c r="Y53" i="65" s="1"/>
  <c r="X67" i="65"/>
  <c r="Y67" i="65" s="1"/>
  <c r="X81" i="65"/>
  <c r="Y81" i="65" s="1"/>
  <c r="X95" i="65"/>
  <c r="Y95" i="65" s="1"/>
  <c r="X111" i="65"/>
  <c r="Y111" i="65" s="1"/>
  <c r="X125" i="65"/>
  <c r="Y125" i="65" s="1"/>
  <c r="U5" i="74" a="1"/>
  <c r="U5" i="74" s="1"/>
  <c r="T5" i="74" s="1"/>
  <c r="U25" i="74" a="1"/>
  <c r="U25" i="74" s="1"/>
  <c r="T25" i="74" s="1"/>
  <c r="U29" i="74" a="1"/>
  <c r="U29" i="74" s="1"/>
  <c r="T29" i="74" s="1"/>
  <c r="U34" i="74" a="1"/>
  <c r="U34" i="74" s="1"/>
  <c r="T34" i="74" s="1"/>
  <c r="U11" i="74" a="1"/>
  <c r="U11" i="74" s="1"/>
  <c r="T11" i="74" s="1"/>
  <c r="U42" i="74" a="1"/>
  <c r="U42" i="74" s="1"/>
  <c r="T42" i="74" s="1"/>
  <c r="U63" i="74" a="1"/>
  <c r="U63" i="74" s="1"/>
  <c r="T63" i="74" s="1"/>
  <c r="U72" i="74" a="1"/>
  <c r="U72" i="74" s="1"/>
  <c r="T72" i="74" s="1"/>
  <c r="U93" i="74" a="1"/>
  <c r="U93" i="74" s="1"/>
  <c r="T93" i="74" s="1"/>
  <c r="U98" i="74" a="1"/>
  <c r="U98" i="74" s="1"/>
  <c r="T98" i="74" s="1"/>
  <c r="U106" i="74" a="1"/>
  <c r="U106" i="74" s="1"/>
  <c r="T106" i="74" s="1"/>
  <c r="U61" i="81" a="1"/>
  <c r="U61" i="81" s="1"/>
  <c r="T61" i="81" s="1"/>
  <c r="U72" i="81" a="1"/>
  <c r="U72" i="81" s="1"/>
  <c r="U128" i="82" a="1"/>
  <c r="U128" i="82" s="1"/>
  <c r="T128" i="82" s="1"/>
  <c r="X16" i="71" a="1"/>
  <c r="X16" i="71" s="1"/>
  <c r="Y16" i="71" s="1"/>
  <c r="X81" i="71" a="1"/>
  <c r="X81" i="71" s="1"/>
  <c r="Y81" i="71" s="1"/>
  <c r="X111" i="68" a="1"/>
  <c r="X111" i="68" s="1"/>
  <c r="Y111" i="68" s="1"/>
  <c r="X44" i="71" a="1"/>
  <c r="X44" i="71" s="1"/>
  <c r="Y44" i="71" s="1"/>
  <c r="X6" i="71" a="1"/>
  <c r="X6" i="71" s="1"/>
  <c r="Y6" i="71" s="1"/>
  <c r="X19" i="71" a="1"/>
  <c r="X19" i="71" s="1"/>
  <c r="Y19" i="71" s="1"/>
  <c r="X32" i="71" a="1"/>
  <c r="X32" i="71" s="1"/>
  <c r="Y32" i="71" s="1"/>
  <c r="X45" i="71" a="1"/>
  <c r="X45" i="71" s="1"/>
  <c r="Y45" i="71" s="1"/>
  <c r="X59" i="71" a="1"/>
  <c r="X59" i="71" s="1"/>
  <c r="Y59" i="71" s="1"/>
  <c r="X72" i="71" a="1"/>
  <c r="X72" i="71" s="1"/>
  <c r="Y72" i="71" s="1"/>
  <c r="X85" i="71" a="1"/>
  <c r="X85" i="71" s="1"/>
  <c r="Y85" i="71" s="1"/>
  <c r="X98" i="71" a="1"/>
  <c r="X98" i="71" s="1"/>
  <c r="Y98" i="71" s="1"/>
  <c r="X12" i="70" a="1"/>
  <c r="X12" i="70" s="1"/>
  <c r="Y12" i="70" s="1"/>
  <c r="X25" i="70" a="1"/>
  <c r="X25" i="70" s="1"/>
  <c r="Y25" i="70" s="1"/>
  <c r="X38" i="70" a="1"/>
  <c r="X38" i="70" s="1"/>
  <c r="Y38" i="70" s="1"/>
  <c r="X51" i="70" a="1"/>
  <c r="X51" i="70" s="1"/>
  <c r="Y51" i="70" s="1"/>
  <c r="X64" i="70" a="1"/>
  <c r="X64" i="70" s="1"/>
  <c r="Y64" i="70" s="1"/>
  <c r="X9" i="68" a="1"/>
  <c r="X9" i="68" s="1"/>
  <c r="Y9" i="68" s="1"/>
  <c r="X23" i="68" a="1"/>
  <c r="X23" i="68" s="1"/>
  <c r="Y23" i="68" s="1"/>
  <c r="X36" i="68" a="1"/>
  <c r="X36" i="68" s="1"/>
  <c r="Y36" i="68" s="1"/>
  <c r="X49" i="68" a="1"/>
  <c r="X49" i="68" s="1"/>
  <c r="Y49" i="68" s="1"/>
  <c r="X62" i="68" a="1"/>
  <c r="X62" i="68" s="1"/>
  <c r="Y62" i="68" s="1"/>
  <c r="X75" i="68" a="1"/>
  <c r="X75" i="68" s="1"/>
  <c r="Y75" i="68" s="1"/>
  <c r="X88" i="68" a="1"/>
  <c r="X88" i="68" s="1"/>
  <c r="Y88" i="68" s="1"/>
  <c r="X101" i="68" a="1"/>
  <c r="X101" i="68" s="1"/>
  <c r="Y101" i="68" s="1"/>
  <c r="X114" i="68" a="1"/>
  <c r="X114" i="68" s="1"/>
  <c r="Y114" i="68" s="1"/>
  <c r="X127" i="68" a="1"/>
  <c r="X127" i="68" s="1"/>
  <c r="Y127" i="68" s="1"/>
  <c r="X10" i="65"/>
  <c r="Y10" i="65" s="1"/>
  <c r="X26" i="65"/>
  <c r="Y26" i="65" s="1"/>
  <c r="X40" i="65"/>
  <c r="Y40" i="65" s="1"/>
  <c r="X54" i="65"/>
  <c r="Y54" i="65" s="1"/>
  <c r="X68" i="65"/>
  <c r="Y68" i="65" s="1"/>
  <c r="X82" i="65"/>
  <c r="Y82" i="65" s="1"/>
  <c r="X98" i="65"/>
  <c r="Y98" i="65" s="1"/>
  <c r="X112" i="65"/>
  <c r="Y112" i="65" s="1"/>
  <c r="X126" i="65"/>
  <c r="Y126" i="65" s="1"/>
  <c r="U54" i="74" a="1"/>
  <c r="U54" i="74" s="1"/>
  <c r="T54" i="74" s="1"/>
  <c r="U59" i="74" a="1"/>
  <c r="U59" i="74" s="1"/>
  <c r="T59" i="74" s="1"/>
  <c r="U67" i="74" a="1"/>
  <c r="U67" i="74" s="1"/>
  <c r="T67" i="74" s="1"/>
  <c r="U88" i="74" a="1"/>
  <c r="U88" i="74" s="1"/>
  <c r="T88" i="74" s="1"/>
  <c r="U101" i="74" a="1"/>
  <c r="U101" i="74" s="1"/>
  <c r="T101" i="74" s="1"/>
  <c r="X42" i="71" a="1"/>
  <c r="X42" i="71" s="1"/>
  <c r="Y42" i="71" s="1"/>
  <c r="X85" i="68" a="1"/>
  <c r="X85" i="68" s="1"/>
  <c r="Y85" i="68" s="1"/>
  <c r="X18" i="71" a="1"/>
  <c r="X18" i="71" s="1"/>
  <c r="Y18" i="71" s="1"/>
  <c r="X7" i="71" a="1"/>
  <c r="X7" i="71" s="1"/>
  <c r="Y7" i="71" s="1"/>
  <c r="X20" i="71" a="1"/>
  <c r="X20" i="71" s="1"/>
  <c r="Y20" i="71" s="1"/>
  <c r="X33" i="71" a="1"/>
  <c r="X33" i="71" s="1"/>
  <c r="Y33" i="71" s="1"/>
  <c r="X47" i="71" a="1"/>
  <c r="X47" i="71" s="1"/>
  <c r="Y47" i="71" s="1"/>
  <c r="X60" i="71" a="1"/>
  <c r="X60" i="71" s="1"/>
  <c r="Y60" i="71" s="1"/>
  <c r="X73" i="71" a="1"/>
  <c r="X73" i="71" s="1"/>
  <c r="Y73" i="71" s="1"/>
  <c r="X86" i="71" a="1"/>
  <c r="X86" i="71" s="1"/>
  <c r="Y86" i="71" s="1"/>
  <c r="X99" i="71" a="1"/>
  <c r="X99" i="71" s="1"/>
  <c r="Y99" i="71" s="1"/>
  <c r="X13" i="70" a="1"/>
  <c r="X13" i="70" s="1"/>
  <c r="Y13" i="70" s="1"/>
  <c r="X26" i="70" a="1"/>
  <c r="X26" i="70" s="1"/>
  <c r="Y26" i="70" s="1"/>
  <c r="X39" i="70" a="1"/>
  <c r="X39" i="70" s="1"/>
  <c r="Y39" i="70" s="1"/>
  <c r="X52" i="70" a="1"/>
  <c r="X52" i="70" s="1"/>
  <c r="Y52" i="70" s="1"/>
  <c r="X65" i="70" a="1"/>
  <c r="X65" i="70" s="1"/>
  <c r="Y65" i="70" s="1"/>
  <c r="X11" i="68" a="1"/>
  <c r="X11" i="68" s="1"/>
  <c r="Y11" i="68" s="1"/>
  <c r="X24" i="68" a="1"/>
  <c r="X24" i="68" s="1"/>
  <c r="Y24" i="68" s="1"/>
  <c r="X37" i="68" a="1"/>
  <c r="X37" i="68" s="1"/>
  <c r="Y37" i="68" s="1"/>
  <c r="X50" i="68" a="1"/>
  <c r="X50" i="68" s="1"/>
  <c r="Y50" i="68" s="1"/>
  <c r="X63" i="68" a="1"/>
  <c r="X63" i="68" s="1"/>
  <c r="Y63" i="68" s="1"/>
  <c r="X76" i="68" a="1"/>
  <c r="X76" i="68" s="1"/>
  <c r="Y76" i="68" s="1"/>
  <c r="X89" i="68" a="1"/>
  <c r="X89" i="68" s="1"/>
  <c r="Y89" i="68" s="1"/>
  <c r="X102" i="68" a="1"/>
  <c r="X102" i="68" s="1"/>
  <c r="Y102" i="68" s="1"/>
  <c r="X115" i="68" a="1"/>
  <c r="X115" i="68" s="1"/>
  <c r="Y115" i="68" s="1"/>
  <c r="X128" i="68" a="1"/>
  <c r="X128" i="68" s="1"/>
  <c r="Y128" i="68" s="1"/>
  <c r="X27" i="65"/>
  <c r="Y27" i="65" s="1"/>
  <c r="X41" i="65"/>
  <c r="Y41" i="65" s="1"/>
  <c r="X55" i="65"/>
  <c r="Y55" i="65" s="1"/>
  <c r="X69" i="65"/>
  <c r="Y69" i="65" s="1"/>
  <c r="X83" i="65"/>
  <c r="Y83" i="65" s="1"/>
  <c r="X99" i="65"/>
  <c r="Y99" i="65" s="1"/>
  <c r="X113" i="65"/>
  <c r="Y113" i="65" s="1"/>
  <c r="X127" i="65"/>
  <c r="Y127" i="65" s="1"/>
  <c r="U23" i="74" a="1"/>
  <c r="U23" i="74" s="1"/>
  <c r="T23" i="74" s="1"/>
  <c r="U10" i="74" a="1"/>
  <c r="U10" i="74" s="1"/>
  <c r="T10" i="74" s="1"/>
  <c r="U32" i="74" a="1"/>
  <c r="U32" i="74" s="1"/>
  <c r="T32" i="74" s="1"/>
  <c r="U3" i="74" a="1"/>
  <c r="U3" i="74" s="1"/>
  <c r="T3" i="74" s="1"/>
  <c r="U83" i="74" a="1"/>
  <c r="U83" i="74" s="1"/>
  <c r="T83" i="74" s="1"/>
  <c r="U96" i="74" a="1"/>
  <c r="U96" i="74" s="1"/>
  <c r="T96" i="74" s="1"/>
  <c r="U125" i="74" a="1"/>
  <c r="U125" i="74" s="1"/>
  <c r="T125" i="74" s="1"/>
  <c r="U57" i="81" a="1"/>
  <c r="U57" i="81" s="1"/>
  <c r="T57" i="81" s="1"/>
  <c r="U59" i="82" a="1"/>
  <c r="U59" i="82" s="1"/>
  <c r="T59" i="82" s="1"/>
  <c r="X35" i="70" a="1"/>
  <c r="X35" i="70" s="1"/>
  <c r="Y35" i="70" s="1"/>
  <c r="X35" i="71" a="1"/>
  <c r="X35" i="71" s="1"/>
  <c r="Y35" i="71" s="1"/>
  <c r="X48" i="71" a="1"/>
  <c r="X48" i="71" s="1"/>
  <c r="Y48" i="71" s="1"/>
  <c r="X74" i="71" a="1"/>
  <c r="X74" i="71" s="1"/>
  <c r="Y74" i="71" s="1"/>
  <c r="X87" i="71" a="1"/>
  <c r="X87" i="71" s="1"/>
  <c r="Y87" i="71" s="1"/>
  <c r="X100" i="71" a="1"/>
  <c r="X100" i="71" s="1"/>
  <c r="Y100" i="71" s="1"/>
  <c r="X14" i="70" a="1"/>
  <c r="X14" i="70" s="1"/>
  <c r="Y14" i="70" s="1"/>
  <c r="X27" i="70" a="1"/>
  <c r="X27" i="70" s="1"/>
  <c r="Y27" i="70" s="1"/>
  <c r="X40" i="70" a="1"/>
  <c r="X40" i="70" s="1"/>
  <c r="Y40" i="70" s="1"/>
  <c r="X53" i="70" a="1"/>
  <c r="X53" i="70" s="1"/>
  <c r="Y53" i="70" s="1"/>
  <c r="X67" i="70" a="1"/>
  <c r="X67" i="70" s="1"/>
  <c r="Y67" i="70" s="1"/>
  <c r="X12" i="68" a="1"/>
  <c r="X12" i="68" s="1"/>
  <c r="Y12" i="68" s="1"/>
  <c r="X25" i="68" a="1"/>
  <c r="X25" i="68" s="1"/>
  <c r="Y25" i="68" s="1"/>
  <c r="X38" i="68" a="1"/>
  <c r="X38" i="68" s="1"/>
  <c r="Y38" i="68" s="1"/>
  <c r="X51" i="68" a="1"/>
  <c r="X51" i="68" s="1"/>
  <c r="Y51" i="68" s="1"/>
  <c r="X64" i="68" a="1"/>
  <c r="X64" i="68" s="1"/>
  <c r="Y64" i="68" s="1"/>
  <c r="X77" i="68" a="1"/>
  <c r="X77" i="68" s="1"/>
  <c r="Y77" i="68" s="1"/>
  <c r="X90" i="68" a="1"/>
  <c r="X90" i="68" s="1"/>
  <c r="Y90" i="68" s="1"/>
  <c r="X103" i="68" a="1"/>
  <c r="X103" i="68" s="1"/>
  <c r="Y103" i="68" s="1"/>
  <c r="X116" i="68" a="1"/>
  <c r="X116" i="68" s="1"/>
  <c r="Y116" i="68" s="1"/>
  <c r="X14" i="65"/>
  <c r="Y14" i="65" s="1"/>
  <c r="X28" i="65"/>
  <c r="Y28" i="65" s="1"/>
  <c r="X42" i="65"/>
  <c r="Y42" i="65" s="1"/>
  <c r="X56" i="65"/>
  <c r="Y56" i="65" s="1"/>
  <c r="X70" i="65"/>
  <c r="Y70" i="65" s="1"/>
  <c r="X86" i="65"/>
  <c r="Y86" i="65" s="1"/>
  <c r="X100" i="65"/>
  <c r="Y100" i="65" s="1"/>
  <c r="X114" i="65"/>
  <c r="Y114" i="65" s="1"/>
  <c r="X128" i="65"/>
  <c r="Y128" i="65" s="1"/>
  <c r="U19" i="74" a="1"/>
  <c r="U19" i="74" s="1"/>
  <c r="T19" i="74" s="1"/>
  <c r="U45" i="74" a="1"/>
  <c r="U45" i="74" s="1"/>
  <c r="T45" i="74" s="1"/>
  <c r="U7" i="74" a="1"/>
  <c r="U7" i="74" s="1"/>
  <c r="T7" i="74" s="1"/>
  <c r="U8" i="74" a="1"/>
  <c r="U8" i="74" s="1"/>
  <c r="T8" i="74" s="1"/>
  <c r="U57" i="74" a="1"/>
  <c r="U57" i="74" s="1"/>
  <c r="T57" i="74" s="1"/>
  <c r="U70" i="74" a="1"/>
  <c r="U70" i="74" s="1"/>
  <c r="T70" i="74" s="1"/>
  <c r="U91" i="74" a="1"/>
  <c r="U91" i="74" s="1"/>
  <c r="T91" i="74" s="1"/>
  <c r="U115" i="74" a="1"/>
  <c r="U115" i="74" s="1"/>
  <c r="T115" i="74" s="1"/>
  <c r="U120" i="74" a="1"/>
  <c r="U120" i="74" s="1"/>
  <c r="T120" i="74" s="1"/>
  <c r="U128" i="74" a="1"/>
  <c r="U128" i="74" s="1"/>
  <c r="T128" i="74" s="1"/>
  <c r="U67" i="81" a="1"/>
  <c r="U67" i="81" s="1"/>
  <c r="T67" i="81" s="1"/>
  <c r="X29" i="71" a="1"/>
  <c r="X29" i="71" s="1"/>
  <c r="Y29" i="71" s="1"/>
  <c r="X45" i="68" a="1"/>
  <c r="X45" i="68" s="1"/>
  <c r="Y45" i="68" s="1"/>
  <c r="X61" i="71" a="1"/>
  <c r="X61" i="71" s="1"/>
  <c r="Y61" i="71" s="1"/>
  <c r="X9" i="71" a="1"/>
  <c r="X9" i="71" s="1"/>
  <c r="Y9" i="71" s="1"/>
  <c r="X23" i="71" a="1"/>
  <c r="X23" i="71" s="1"/>
  <c r="Y23" i="71" s="1"/>
  <c r="X36" i="71" a="1"/>
  <c r="X36" i="71" s="1"/>
  <c r="Y36" i="71" s="1"/>
  <c r="X49" i="71" a="1"/>
  <c r="X49" i="71" s="1"/>
  <c r="Y49" i="71" s="1"/>
  <c r="X62" i="71" a="1"/>
  <c r="X62" i="71" s="1"/>
  <c r="Y62" i="71" s="1"/>
  <c r="X75" i="71" a="1"/>
  <c r="X75" i="71" s="1"/>
  <c r="Y75" i="71" s="1"/>
  <c r="X88" i="71" a="1"/>
  <c r="X88" i="71" s="1"/>
  <c r="Y88" i="71" s="1"/>
  <c r="X101" i="71" a="1"/>
  <c r="X101" i="71" s="1"/>
  <c r="Y101" i="71" s="1"/>
  <c r="X15" i="70" a="1"/>
  <c r="X15" i="70" s="1"/>
  <c r="Y15" i="70" s="1"/>
  <c r="X28" i="70" a="1"/>
  <c r="X28" i="70" s="1"/>
  <c r="Y28" i="70" s="1"/>
  <c r="X41" i="70" a="1"/>
  <c r="X41" i="70" s="1"/>
  <c r="Y41" i="70" s="1"/>
  <c r="X55" i="70" a="1"/>
  <c r="X55" i="70" s="1"/>
  <c r="Y55" i="70" s="1"/>
  <c r="X68" i="70" a="1"/>
  <c r="X68" i="70" s="1"/>
  <c r="Y68" i="70" s="1"/>
  <c r="X13" i="68" a="1"/>
  <c r="X13" i="68" s="1"/>
  <c r="Y13" i="68" s="1"/>
  <c r="X26" i="68" a="1"/>
  <c r="X26" i="68" s="1"/>
  <c r="Y26" i="68" s="1"/>
  <c r="X39" i="68" a="1"/>
  <c r="X39" i="68" s="1"/>
  <c r="Y39" i="68" s="1"/>
  <c r="X52" i="68" a="1"/>
  <c r="X52" i="68" s="1"/>
  <c r="Y52" i="68" s="1"/>
  <c r="X65" i="68" a="1"/>
  <c r="X65" i="68" s="1"/>
  <c r="Y65" i="68" s="1"/>
  <c r="X78" i="68" a="1"/>
  <c r="X78" i="68" s="1"/>
  <c r="Y78" i="68" s="1"/>
  <c r="X91" i="68" a="1"/>
  <c r="X91" i="68" s="1"/>
  <c r="Y91" i="68" s="1"/>
  <c r="X104" i="68" a="1"/>
  <c r="X104" i="68" s="1"/>
  <c r="Y104" i="68" s="1"/>
  <c r="X117" i="68" a="1"/>
  <c r="X117" i="68" s="1"/>
  <c r="Y117" i="68" s="1"/>
  <c r="X15" i="65"/>
  <c r="Y15" i="65" s="1"/>
  <c r="X29" i="65"/>
  <c r="Y29" i="65" s="1"/>
  <c r="X43" i="65"/>
  <c r="Y43" i="65" s="1"/>
  <c r="X57" i="65"/>
  <c r="Y57" i="65" s="1"/>
  <c r="X71" i="65"/>
  <c r="Y71" i="65" s="1"/>
  <c r="X87" i="65"/>
  <c r="Y87" i="65" s="1"/>
  <c r="X101" i="65"/>
  <c r="Y101" i="65" s="1"/>
  <c r="X115" i="65"/>
  <c r="Y115" i="65" s="1"/>
  <c r="X129" i="65"/>
  <c r="Y129" i="65" s="1"/>
  <c r="U21" i="74" a="1"/>
  <c r="U21" i="74" s="1"/>
  <c r="T21" i="74" s="1"/>
  <c r="U14" i="74" a="1"/>
  <c r="U14" i="74" s="1"/>
  <c r="T14" i="74" s="1"/>
  <c r="U78" i="74" a="1"/>
  <c r="U78" i="74" s="1"/>
  <c r="T78" i="74" s="1"/>
  <c r="U86" i="74" a="1"/>
  <c r="U86" i="74" s="1"/>
  <c r="T86" i="74" s="1"/>
  <c r="U15" i="74" a="1"/>
  <c r="U15" i="74" s="1"/>
  <c r="T15" i="74" s="1"/>
  <c r="U123" i="74" a="1"/>
  <c r="U123" i="74" s="1"/>
  <c r="T123" i="74" s="1"/>
  <c r="U50" i="82" a="1"/>
  <c r="U50" i="82" s="1"/>
  <c r="T50" i="82" s="1"/>
  <c r="X61" i="70" a="1"/>
  <c r="X61" i="70" s="1"/>
  <c r="Y61" i="70" s="1"/>
  <c r="X21" i="71" a="1"/>
  <c r="X21" i="71" s="1"/>
  <c r="Y21" i="71" s="1"/>
  <c r="X11" i="71" a="1"/>
  <c r="X11" i="71" s="1"/>
  <c r="Y11" i="71" s="1"/>
  <c r="X24" i="71" a="1"/>
  <c r="X24" i="71" s="1"/>
  <c r="Y24" i="71" s="1"/>
  <c r="X37" i="71" a="1"/>
  <c r="X37" i="71" s="1"/>
  <c r="Y37" i="71" s="1"/>
  <c r="X50" i="71" a="1"/>
  <c r="X50" i="71" s="1"/>
  <c r="Y50" i="71" s="1"/>
  <c r="X63" i="71" a="1"/>
  <c r="X63" i="71" s="1"/>
  <c r="Y63" i="71" s="1"/>
  <c r="X76" i="71" a="1"/>
  <c r="X76" i="71" s="1"/>
  <c r="Y76" i="71" s="1"/>
  <c r="X89" i="71" a="1"/>
  <c r="X89" i="71" s="1"/>
  <c r="Y89" i="71" s="1"/>
  <c r="X2" i="70" a="1"/>
  <c r="X2" i="70" s="1"/>
  <c r="Y2" i="70" s="1"/>
  <c r="X16" i="70" a="1"/>
  <c r="X16" i="70" s="1"/>
  <c r="Y16" i="70" s="1"/>
  <c r="X29" i="70" a="1"/>
  <c r="X29" i="70" s="1"/>
  <c r="Y29" i="70" s="1"/>
  <c r="X43" i="70" a="1"/>
  <c r="X43" i="70" s="1"/>
  <c r="Y43" i="70" s="1"/>
  <c r="X56" i="70" a="1"/>
  <c r="X56" i="70" s="1"/>
  <c r="Y56" i="70" s="1"/>
  <c r="X69" i="70" a="1"/>
  <c r="X69" i="70" s="1"/>
  <c r="Y69" i="70" s="1"/>
  <c r="X14" i="68" a="1"/>
  <c r="X14" i="68" s="1"/>
  <c r="Y14" i="68" s="1"/>
  <c r="X27" i="68" a="1"/>
  <c r="X27" i="68" s="1"/>
  <c r="Y27" i="68" s="1"/>
  <c r="X40" i="68" a="1"/>
  <c r="X40" i="68" s="1"/>
  <c r="Y40" i="68" s="1"/>
  <c r="X53" i="68" a="1"/>
  <c r="X53" i="68" s="1"/>
  <c r="Y53" i="68" s="1"/>
  <c r="X66" i="68" a="1"/>
  <c r="X66" i="68" s="1"/>
  <c r="Y66" i="68" s="1"/>
  <c r="X79" i="68" a="1"/>
  <c r="X79" i="68" s="1"/>
  <c r="Y79" i="68" s="1"/>
  <c r="X92" i="68" a="1"/>
  <c r="X92" i="68" s="1"/>
  <c r="Y92" i="68" s="1"/>
  <c r="X105" i="68" a="1"/>
  <c r="X105" i="68" s="1"/>
  <c r="Y105" i="68" s="1"/>
  <c r="X119" i="68" a="1"/>
  <c r="X119" i="68" s="1"/>
  <c r="Y119" i="68" s="1"/>
  <c r="X2" i="65"/>
  <c r="Y2" i="65" s="1"/>
  <c r="X16" i="65"/>
  <c r="Y16" i="65" s="1"/>
  <c r="X30" i="65"/>
  <c r="Y30" i="65" s="1"/>
  <c r="X44" i="65"/>
  <c r="Y44" i="65" s="1"/>
  <c r="X58" i="65"/>
  <c r="Y58" i="65" s="1"/>
  <c r="X74" i="65"/>
  <c r="Y74" i="65" s="1"/>
  <c r="X88" i="65"/>
  <c r="Y88" i="65" s="1"/>
  <c r="X102" i="65"/>
  <c r="Y102" i="65" s="1"/>
  <c r="X116" i="65"/>
  <c r="Y116" i="65" s="1"/>
  <c r="X130" i="65"/>
  <c r="Y130" i="65" s="1"/>
  <c r="U17" i="74" a="1"/>
  <c r="U17" i="74" s="1"/>
  <c r="T17" i="74" s="1"/>
  <c r="U35" i="74" a="1"/>
  <c r="U35" i="74" s="1"/>
  <c r="T35" i="74" s="1"/>
  <c r="U38" i="74" a="1"/>
  <c r="U38" i="74" s="1"/>
  <c r="T38" i="74" s="1"/>
  <c r="U43" i="74" a="1"/>
  <c r="U43" i="74" s="1"/>
  <c r="T43" i="74" s="1"/>
  <c r="U48" i="74" a="1"/>
  <c r="U48" i="74" s="1"/>
  <c r="T48" i="74" s="1"/>
  <c r="U51" i="74" a="1"/>
  <c r="U51" i="74" s="1"/>
  <c r="T51" i="74" s="1"/>
  <c r="U64" i="74" a="1"/>
  <c r="U64" i="74" s="1"/>
  <c r="T64" i="74" s="1"/>
  <c r="U73" i="74" a="1"/>
  <c r="U73" i="74" s="1"/>
  <c r="T73" i="74" s="1"/>
  <c r="U94" i="74" a="1"/>
  <c r="U94" i="74" s="1"/>
  <c r="T94" i="74" s="1"/>
  <c r="U107" i="74" a="1"/>
  <c r="U107" i="74" s="1"/>
  <c r="T107" i="74" s="1"/>
  <c r="U118" i="74" a="1"/>
  <c r="U118" i="74" s="1"/>
  <c r="T118" i="74" s="1"/>
  <c r="U53" i="81" a="1"/>
  <c r="U53" i="81" s="1"/>
  <c r="T53" i="81" s="1"/>
  <c r="U62" i="81" a="1"/>
  <c r="U62" i="81" s="1"/>
  <c r="T62" i="81" s="1"/>
  <c r="U55" i="82" a="1"/>
  <c r="U55" i="82" s="1"/>
  <c r="X48" i="70" a="1"/>
  <c r="X48" i="70" s="1"/>
  <c r="Y48" i="70" s="1"/>
  <c r="X12" i="71" a="1"/>
  <c r="X12" i="71" s="1"/>
  <c r="Y12" i="71" s="1"/>
  <c r="X25" i="71" a="1"/>
  <c r="X25" i="71" s="1"/>
  <c r="Y25" i="71" s="1"/>
  <c r="X38" i="71" a="1"/>
  <c r="X38" i="71" s="1"/>
  <c r="Y38" i="71" s="1"/>
  <c r="X51" i="71" a="1"/>
  <c r="X51" i="71" s="1"/>
  <c r="Y51" i="71" s="1"/>
  <c r="X64" i="71" a="1"/>
  <c r="X64" i="71" s="1"/>
  <c r="Y64" i="71" s="1"/>
  <c r="X77" i="71" a="1"/>
  <c r="X77" i="71" s="1"/>
  <c r="Y77" i="71" s="1"/>
  <c r="X90" i="71" a="1"/>
  <c r="X90" i="71" s="1"/>
  <c r="Y90" i="71" s="1"/>
  <c r="X3" i="70" a="1"/>
  <c r="X3" i="70" s="1"/>
  <c r="Y3" i="70" s="1"/>
  <c r="X17" i="70" a="1"/>
  <c r="X17" i="70" s="1"/>
  <c r="Y17" i="70" s="1"/>
  <c r="X31" i="70" a="1"/>
  <c r="X31" i="70" s="1"/>
  <c r="Y31" i="70" s="1"/>
  <c r="X44" i="70" a="1"/>
  <c r="X44" i="70" s="1"/>
  <c r="Y44" i="70" s="1"/>
  <c r="X57" i="70" a="1"/>
  <c r="X57" i="70" s="1"/>
  <c r="Y57" i="70" s="1"/>
  <c r="X2" i="68" a="1"/>
  <c r="X2" i="68" s="1"/>
  <c r="Y2" i="68" s="1"/>
  <c r="X15" i="68" a="1"/>
  <c r="X15" i="68" s="1"/>
  <c r="Y15" i="68" s="1"/>
  <c r="X28" i="68" a="1"/>
  <c r="X28" i="68" s="1"/>
  <c r="Y28" i="68" s="1"/>
  <c r="X41" i="68" a="1"/>
  <c r="X41" i="68" s="1"/>
  <c r="Y41" i="68" s="1"/>
  <c r="X54" i="68" a="1"/>
  <c r="X54" i="68" s="1"/>
  <c r="Y54" i="68" s="1"/>
  <c r="X67" i="68" a="1"/>
  <c r="X67" i="68" s="1"/>
  <c r="Y67" i="68" s="1"/>
  <c r="X80" i="68" a="1"/>
  <c r="X80" i="68" s="1"/>
  <c r="Y80" i="68" s="1"/>
  <c r="X93" i="68" a="1"/>
  <c r="X93" i="68" s="1"/>
  <c r="Y93" i="68" s="1"/>
  <c r="X107" i="68" a="1"/>
  <c r="X107" i="68" s="1"/>
  <c r="Y107" i="68" s="1"/>
  <c r="X120" i="68" a="1"/>
  <c r="X120" i="68" s="1"/>
  <c r="Y120" i="68" s="1"/>
  <c r="X3" i="65"/>
  <c r="Y3" i="65" s="1"/>
  <c r="X17" i="65"/>
  <c r="Y17" i="65" s="1"/>
  <c r="X31" i="65"/>
  <c r="Y31" i="65" s="1"/>
  <c r="X45" i="65"/>
  <c r="Y45" i="65" s="1"/>
  <c r="X59" i="65"/>
  <c r="Y59" i="65" s="1"/>
  <c r="X75" i="65"/>
  <c r="Y75" i="65" s="1"/>
  <c r="X89" i="65"/>
  <c r="Y89" i="65" s="1"/>
  <c r="X103" i="65"/>
  <c r="Y103" i="65" s="1"/>
  <c r="X117" i="65"/>
  <c r="Y117" i="65" s="1"/>
  <c r="U55" i="74" a="1"/>
  <c r="U55" i="74" s="1"/>
  <c r="T55" i="74" s="1"/>
  <c r="U60" i="74" a="1"/>
  <c r="U60" i="74" s="1"/>
  <c r="T60" i="74" s="1"/>
  <c r="U89" i="74" a="1"/>
  <c r="U89" i="74" s="1"/>
  <c r="T89" i="74" s="1"/>
  <c r="U102" i="74" a="1"/>
  <c r="U102" i="74" s="1"/>
  <c r="T102" i="74" s="1"/>
  <c r="U113" i="74" a="1"/>
  <c r="U113" i="74" s="1"/>
  <c r="T113" i="74" s="1"/>
  <c r="X19" i="68" a="1"/>
  <c r="X19" i="68" s="1"/>
  <c r="Y19" i="68" s="1"/>
  <c r="X13" i="71" a="1"/>
  <c r="X13" i="71" s="1"/>
  <c r="Y13" i="71" s="1"/>
  <c r="X26" i="71" a="1"/>
  <c r="X26" i="71" s="1"/>
  <c r="Y26" i="71" s="1"/>
  <c r="X39" i="71" a="1"/>
  <c r="X39" i="71" s="1"/>
  <c r="Y39" i="71" s="1"/>
  <c r="X52" i="71" a="1"/>
  <c r="X52" i="71" s="1"/>
  <c r="Y52" i="71" s="1"/>
  <c r="X65" i="71" a="1"/>
  <c r="X65" i="71" s="1"/>
  <c r="Y65" i="71" s="1"/>
  <c r="X78" i="71" a="1"/>
  <c r="X78" i="71" s="1"/>
  <c r="Y78" i="71" s="1"/>
  <c r="X91" i="71" a="1"/>
  <c r="X91" i="71" s="1"/>
  <c r="Y91" i="71" s="1"/>
  <c r="X4" i="70" a="1"/>
  <c r="X4" i="70" s="1"/>
  <c r="Y4" i="70" s="1"/>
  <c r="X19" i="70" a="1"/>
  <c r="X19" i="70" s="1"/>
  <c r="Y19" i="70" s="1"/>
  <c r="X32" i="70" a="1"/>
  <c r="X32" i="70" s="1"/>
  <c r="Y32" i="70" s="1"/>
  <c r="X45" i="70" a="1"/>
  <c r="X45" i="70" s="1"/>
  <c r="Y45" i="70" s="1"/>
  <c r="X58" i="70" a="1"/>
  <c r="X58" i="70" s="1"/>
  <c r="Y58" i="70" s="1"/>
  <c r="X3" i="68" a="1"/>
  <c r="X3" i="68" s="1"/>
  <c r="Y3" i="68" s="1"/>
  <c r="X16" i="68" a="1"/>
  <c r="X16" i="68" s="1"/>
  <c r="Y16" i="68" s="1"/>
  <c r="X29" i="68" a="1"/>
  <c r="X29" i="68" s="1"/>
  <c r="Y29" i="68" s="1"/>
  <c r="X42" i="68" a="1"/>
  <c r="X42" i="68" s="1"/>
  <c r="Y42" i="68" s="1"/>
  <c r="X55" i="68" a="1"/>
  <c r="X55" i="68" s="1"/>
  <c r="Y55" i="68" s="1"/>
  <c r="X68" i="68" a="1"/>
  <c r="X68" i="68" s="1"/>
  <c r="Y68" i="68" s="1"/>
  <c r="X81" i="68" a="1"/>
  <c r="X81" i="68" s="1"/>
  <c r="Y81" i="68" s="1"/>
  <c r="X95" i="68" a="1"/>
  <c r="X95" i="68" s="1"/>
  <c r="Y95" i="68" s="1"/>
  <c r="X108" i="68" a="1"/>
  <c r="X108" i="68" s="1"/>
  <c r="Y108" i="68" s="1"/>
  <c r="X121" i="68" a="1"/>
  <c r="X121" i="68" s="1"/>
  <c r="Y121" i="68" s="1"/>
  <c r="X4" i="65"/>
  <c r="Y4" i="65" s="1"/>
  <c r="X18" i="65"/>
  <c r="Y18" i="65" s="1"/>
  <c r="X32" i="65"/>
  <c r="Y32" i="65" s="1"/>
  <c r="X46" i="65"/>
  <c r="Y46" i="65" s="1"/>
  <c r="X62" i="65"/>
  <c r="Y62" i="65" s="1"/>
  <c r="X76" i="65"/>
  <c r="Y76" i="65" s="1"/>
  <c r="X90" i="65"/>
  <c r="Y90" i="65" s="1"/>
  <c r="X104" i="65"/>
  <c r="Y104" i="65" s="1"/>
  <c r="X118" i="65"/>
  <c r="Y118" i="65" s="1"/>
  <c r="U24" i="74" a="1"/>
  <c r="U24" i="74" s="1"/>
  <c r="T24" i="74" s="1"/>
  <c r="U28" i="74" a="1"/>
  <c r="U28" i="74" s="1"/>
  <c r="T28" i="74" s="1"/>
  <c r="U33" i="74" a="1"/>
  <c r="U33" i="74" s="1"/>
  <c r="T33" i="74" s="1"/>
  <c r="U2" i="74" a="1"/>
  <c r="U2" i="74" s="1"/>
  <c r="T2" i="74" s="1"/>
  <c r="U41" i="74" a="1"/>
  <c r="U41" i="74" s="1"/>
  <c r="T41" i="74" s="1"/>
  <c r="U13" i="74" a="1"/>
  <c r="U13" i="74" s="1"/>
  <c r="T13" i="74" s="1"/>
  <c r="U84" i="74" a="1"/>
  <c r="U84" i="74" s="1"/>
  <c r="T84" i="74" s="1"/>
  <c r="U97" i="74" a="1"/>
  <c r="U97" i="74" s="1"/>
  <c r="T97" i="74" s="1"/>
  <c r="U110" i="74" a="1"/>
  <c r="U110" i="74" s="1"/>
  <c r="T110" i="74" s="1"/>
  <c r="U58" i="81" a="1"/>
  <c r="U58" i="81" s="1"/>
  <c r="T58" i="81" s="1"/>
  <c r="U124" i="82" a="1"/>
  <c r="U124" i="82" s="1"/>
  <c r="T124" i="82" s="1"/>
  <c r="U54" i="82" a="1"/>
  <c r="U54" i="82" s="1"/>
  <c r="T54" i="82" s="1"/>
  <c r="U119" i="82" a="1"/>
  <c r="U119" i="82" s="1"/>
  <c r="T119" i="82" s="1"/>
  <c r="U41" i="82" a="1"/>
  <c r="U41" i="82" s="1"/>
  <c r="T41" i="82" s="1"/>
  <c r="X95" i="71" a="1"/>
  <c r="X95" i="71" s="1"/>
  <c r="Y95" i="71" s="1"/>
  <c r="X8" i="71" a="1"/>
  <c r="X8" i="71" s="1"/>
  <c r="Y8" i="71" s="1"/>
  <c r="X14" i="71" a="1"/>
  <c r="X14" i="71" s="1"/>
  <c r="Y14" i="71" s="1"/>
  <c r="X27" i="71" a="1"/>
  <c r="X27" i="71" s="1"/>
  <c r="Y27" i="71" s="1"/>
  <c r="X40" i="71" a="1"/>
  <c r="X40" i="71" s="1"/>
  <c r="Y40" i="71" s="1"/>
  <c r="X53" i="71" a="1"/>
  <c r="X53" i="71" s="1"/>
  <c r="Y53" i="71" s="1"/>
  <c r="X66" i="71" a="1"/>
  <c r="X66" i="71" s="1"/>
  <c r="Y66" i="71" s="1"/>
  <c r="X79" i="71" a="1"/>
  <c r="X79" i="71" s="1"/>
  <c r="Y79" i="71" s="1"/>
  <c r="X92" i="71" a="1"/>
  <c r="X92" i="71" s="1"/>
  <c r="Y92" i="71" s="1"/>
  <c r="X7" i="70" a="1"/>
  <c r="X7" i="70" s="1"/>
  <c r="Y7" i="70" s="1"/>
  <c r="X20" i="70" a="1"/>
  <c r="X20" i="70" s="1"/>
  <c r="Y20" i="70" s="1"/>
  <c r="X33" i="70" a="1"/>
  <c r="X33" i="70" s="1"/>
  <c r="Y33" i="70" s="1"/>
  <c r="X46" i="70" a="1"/>
  <c r="X46" i="70" s="1"/>
  <c r="Y46" i="70" s="1"/>
  <c r="X59" i="70" a="1"/>
  <c r="X59" i="70" s="1"/>
  <c r="Y59" i="70" s="1"/>
  <c r="X4" i="68" a="1"/>
  <c r="X4" i="68" s="1"/>
  <c r="Y4" i="68" s="1"/>
  <c r="X17" i="68" a="1"/>
  <c r="X17" i="68" s="1"/>
  <c r="Y17" i="68" s="1"/>
  <c r="X30" i="68" a="1"/>
  <c r="X30" i="68" s="1"/>
  <c r="Y30" i="68" s="1"/>
  <c r="X43" i="68" a="1"/>
  <c r="X43" i="68" s="1"/>
  <c r="Y43" i="68" s="1"/>
  <c r="X56" i="68" a="1"/>
  <c r="X56" i="68" s="1"/>
  <c r="Y56" i="68" s="1"/>
  <c r="X69" i="68" a="1"/>
  <c r="X69" i="68" s="1"/>
  <c r="Y69" i="68" s="1"/>
  <c r="X83" i="68" a="1"/>
  <c r="X83" i="68" s="1"/>
  <c r="Y83" i="68" s="1"/>
  <c r="X96" i="68" a="1"/>
  <c r="X96" i="68" s="1"/>
  <c r="Y96" i="68" s="1"/>
  <c r="X109" i="68" a="1"/>
  <c r="X109" i="68" s="1"/>
  <c r="Y109" i="68" s="1"/>
  <c r="X122" i="68" a="1"/>
  <c r="X122" i="68" s="1"/>
  <c r="Y122" i="68" s="1"/>
  <c r="X5" i="65"/>
  <c r="Y5" i="65" s="1"/>
  <c r="X19" i="65"/>
  <c r="Y19" i="65" s="1"/>
  <c r="X47" i="65"/>
  <c r="Y47" i="65" s="1"/>
  <c r="X63" i="65"/>
  <c r="Y63" i="65" s="1"/>
  <c r="X77" i="65"/>
  <c r="Y77" i="65" s="1"/>
  <c r="X91" i="65"/>
  <c r="Y91" i="65" s="1"/>
  <c r="X105" i="65"/>
  <c r="Y105" i="65" s="1"/>
  <c r="X119" i="65"/>
  <c r="Y119" i="65" s="1"/>
  <c r="U46" i="74" a="1"/>
  <c r="U46" i="74" s="1"/>
  <c r="T46" i="74" s="1"/>
  <c r="U12" i="74" a="1"/>
  <c r="U12" i="74" s="1"/>
  <c r="T12" i="74" s="1"/>
  <c r="U53" i="74" a="1"/>
  <c r="U53" i="74" s="1"/>
  <c r="T53" i="74" s="1"/>
  <c r="U58" i="74" a="1"/>
  <c r="U58" i="74" s="1"/>
  <c r="T58" i="74" s="1"/>
  <c r="U116" i="74" a="1"/>
  <c r="U116" i="74" s="1"/>
  <c r="T116" i="74" s="1"/>
  <c r="U129" i="74" a="1"/>
  <c r="U129" i="74" s="1"/>
  <c r="T129" i="74" s="1"/>
  <c r="U48" i="81" a="1"/>
  <c r="U48" i="81" s="1"/>
  <c r="T48" i="81" s="1"/>
  <c r="U51" i="82" a="1"/>
  <c r="U51" i="82" s="1"/>
  <c r="T51" i="82" s="1"/>
  <c r="U114" i="82" a="1"/>
  <c r="U114" i="82" s="1"/>
  <c r="T114" i="82" s="1"/>
  <c r="U47" i="82" a="1"/>
  <c r="U47" i="82" s="1"/>
  <c r="T47" i="82" s="1"/>
  <c r="U109" i="82" a="1"/>
  <c r="U109" i="82" s="1"/>
  <c r="T109" i="82" s="1"/>
  <c r="U58" i="82" a="1"/>
  <c r="U58" i="82" s="1"/>
  <c r="T58" i="82" s="1"/>
  <c r="U123" i="82" a="1"/>
  <c r="U123" i="82" s="1"/>
  <c r="T123" i="82" s="1"/>
  <c r="U42" i="82" a="1"/>
  <c r="U42" i="82" s="1"/>
  <c r="U118" i="82" a="1"/>
  <c r="U118" i="82" s="1"/>
  <c r="T118" i="82" s="1"/>
  <c r="U129" i="82" a="1"/>
  <c r="U129" i="82" s="1"/>
  <c r="T129" i="82" s="1"/>
  <c r="U113" i="82" a="1"/>
  <c r="U113" i="82" s="1"/>
  <c r="T113" i="82" s="1"/>
  <c r="U46" i="82" a="1"/>
  <c r="U46" i="82" s="1"/>
  <c r="T46" i="82" s="1"/>
  <c r="U108" i="82" a="1"/>
  <c r="U108" i="82" s="1"/>
  <c r="T108" i="82" s="1"/>
  <c r="X5" i="70" a="1"/>
  <c r="X5" i="70" s="1"/>
  <c r="Y5" i="70" s="1"/>
  <c r="U15" i="81" a="1"/>
  <c r="U15" i="81" s="1"/>
  <c r="T15" i="81" s="1"/>
  <c r="U20" i="81" a="1"/>
  <c r="U20" i="81" s="1"/>
  <c r="U24" i="81" a="1"/>
  <c r="U24" i="81" s="1"/>
  <c r="T24" i="81" s="1"/>
  <c r="U29" i="81" a="1"/>
  <c r="U29" i="81" s="1"/>
  <c r="T29" i="81" s="1"/>
  <c r="U32" i="81" a="1"/>
  <c r="U32" i="81" s="1"/>
  <c r="T32" i="81" s="1"/>
  <c r="U13" i="81" a="1"/>
  <c r="U13" i="81" s="1"/>
  <c r="T13" i="81" s="1"/>
  <c r="U84" i="81" a="1"/>
  <c r="U84" i="81" s="1"/>
  <c r="T84" i="81" s="1"/>
  <c r="U88" i="81" a="1"/>
  <c r="U88" i="81" s="1"/>
  <c r="T88" i="81" s="1"/>
  <c r="U92" i="81" a="1"/>
  <c r="U92" i="81" s="1"/>
  <c r="U96" i="81" a="1"/>
  <c r="U96" i="81" s="1"/>
  <c r="P96" i="81" s="1"/>
  <c r="U13" i="82" a="1"/>
  <c r="U13" i="82" s="1"/>
  <c r="T13" i="82" s="1"/>
  <c r="U16" i="82" a="1"/>
  <c r="U16" i="82" s="1"/>
  <c r="T16" i="82" s="1"/>
  <c r="U63" i="82" a="1"/>
  <c r="U63" i="82" s="1"/>
  <c r="T63" i="82" s="1"/>
  <c r="U68" i="82" a="1"/>
  <c r="U68" i="82" s="1"/>
  <c r="T68" i="82" s="1"/>
  <c r="U73" i="82" a="1"/>
  <c r="U73" i="82" s="1"/>
  <c r="T73" i="82" s="1"/>
  <c r="U77" i="82" a="1"/>
  <c r="U77" i="82" s="1"/>
  <c r="T77" i="82" s="1"/>
  <c r="U82" i="82" a="1"/>
  <c r="U82" i="82" s="1"/>
  <c r="T82" i="82" s="1"/>
  <c r="U133" i="82" a="1"/>
  <c r="U133" i="82" s="1"/>
  <c r="T133" i="82" s="1"/>
  <c r="U138" i="82" a="1"/>
  <c r="U138" i="82" s="1"/>
  <c r="T138" i="82" s="1"/>
  <c r="U143" i="82" a="1"/>
  <c r="U143" i="82" s="1"/>
  <c r="T143" i="82" s="1"/>
  <c r="U37" i="81" a="1"/>
  <c r="U37" i="81" s="1"/>
  <c r="T37" i="81" s="1"/>
  <c r="U11" i="81" a="1"/>
  <c r="U11" i="81" s="1"/>
  <c r="T11" i="81" s="1"/>
  <c r="U46" i="81" a="1"/>
  <c r="U46" i="81" s="1"/>
  <c r="T46" i="81" s="1"/>
  <c r="U51" i="81" a="1"/>
  <c r="U51" i="81" s="1"/>
  <c r="U55" i="81" a="1"/>
  <c r="U55" i="81" s="1"/>
  <c r="T55" i="81" s="1"/>
  <c r="U101" i="81" a="1"/>
  <c r="U101" i="81" s="1"/>
  <c r="T101" i="81" s="1"/>
  <c r="U7" i="82" a="1"/>
  <c r="U7" i="82" s="1"/>
  <c r="T7" i="82" s="1"/>
  <c r="U34" i="82" a="1"/>
  <c r="U34" i="82" s="1"/>
  <c r="T34" i="82" s="1"/>
  <c r="U39" i="82" a="1"/>
  <c r="U39" i="82" s="1"/>
  <c r="T39" i="82" s="1"/>
  <c r="U44" i="82" a="1"/>
  <c r="U44" i="82" s="1"/>
  <c r="T44" i="82" s="1"/>
  <c r="U49" i="82" a="1"/>
  <c r="U49" i="82" s="1"/>
  <c r="T49" i="82" s="1"/>
  <c r="U96" i="82" a="1"/>
  <c r="U96" i="82" s="1"/>
  <c r="T96" i="82" s="1"/>
  <c r="U101" i="82" a="1"/>
  <c r="U101" i="82" s="1"/>
  <c r="U106" i="82" a="1"/>
  <c r="U106" i="82" s="1"/>
  <c r="T106" i="82" s="1"/>
  <c r="U111" i="82" a="1"/>
  <c r="U111" i="82" s="1"/>
  <c r="T111" i="82" s="1"/>
  <c r="U116" i="82" a="1"/>
  <c r="U116" i="82" s="1"/>
  <c r="U6" i="74" a="1"/>
  <c r="U6" i="74" s="1"/>
  <c r="T6" i="74" s="1"/>
  <c r="U65" i="74" a="1"/>
  <c r="U65" i="74" s="1"/>
  <c r="T65" i="74" s="1"/>
  <c r="U9" i="74" a="1"/>
  <c r="U9" i="74" s="1"/>
  <c r="T9" i="74" s="1"/>
  <c r="U71" i="74" a="1"/>
  <c r="U71" i="74" s="1"/>
  <c r="T71" i="74" s="1"/>
  <c r="U76" i="74" a="1"/>
  <c r="U76" i="74" s="1"/>
  <c r="T76" i="74" s="1"/>
  <c r="U81" i="74" a="1"/>
  <c r="U81" i="74" s="1"/>
  <c r="T81" i="74" s="1"/>
  <c r="U14" i="81" a="1"/>
  <c r="U14" i="81" s="1"/>
  <c r="T14" i="81" s="1"/>
  <c r="U18" i="81" a="1"/>
  <c r="U18" i="81" s="1"/>
  <c r="T18" i="81" s="1"/>
  <c r="U5" i="81" a="1"/>
  <c r="U5" i="81" s="1"/>
  <c r="U69" i="81" a="1"/>
  <c r="U69" i="81" s="1"/>
  <c r="T69" i="81" s="1"/>
  <c r="U73" i="81" a="1"/>
  <c r="U73" i="81" s="1"/>
  <c r="T73" i="81" s="1"/>
  <c r="U78" i="81" a="1"/>
  <c r="U78" i="81" s="1"/>
  <c r="T78" i="81" s="1"/>
  <c r="U82" i="81" a="1"/>
  <c r="U82" i="81" s="1"/>
  <c r="T82" i="81" s="1"/>
  <c r="U86" i="81" a="1"/>
  <c r="U86" i="81" s="1"/>
  <c r="T86" i="81" s="1"/>
  <c r="U52" i="82" a="1"/>
  <c r="U52" i="82" s="1"/>
  <c r="T52" i="82" s="1"/>
  <c r="U5" i="82" a="1"/>
  <c r="U5" i="82" s="1"/>
  <c r="T5" i="82" s="1"/>
  <c r="U61" i="82" a="1"/>
  <c r="U61" i="82" s="1"/>
  <c r="T61" i="82" s="1"/>
  <c r="U66" i="82" a="1"/>
  <c r="U66" i="82" s="1"/>
  <c r="U71" i="82" a="1"/>
  <c r="U71" i="82" s="1"/>
  <c r="U121" i="82" a="1"/>
  <c r="U121" i="82" s="1"/>
  <c r="T121" i="82" s="1"/>
  <c r="U126" i="82" a="1"/>
  <c r="U126" i="82" s="1"/>
  <c r="T126" i="82" s="1"/>
  <c r="U131" i="82" a="1"/>
  <c r="U131" i="82" s="1"/>
  <c r="T131" i="82" s="1"/>
  <c r="U136" i="82" a="1"/>
  <c r="U136" i="82" s="1"/>
  <c r="T136" i="82" s="1"/>
  <c r="U141" i="82" a="1"/>
  <c r="U141" i="82" s="1"/>
  <c r="U27" i="81" a="1"/>
  <c r="U27" i="81" s="1"/>
  <c r="T27" i="81" s="1"/>
  <c r="U31" i="81" a="1"/>
  <c r="U31" i="81" s="1"/>
  <c r="T31" i="81" s="1"/>
  <c r="U35" i="81" a="1"/>
  <c r="U35" i="81" s="1"/>
  <c r="T35" i="81" s="1"/>
  <c r="U40" i="81" a="1"/>
  <c r="U40" i="81" s="1"/>
  <c r="T40" i="81" s="1"/>
  <c r="U44" i="81" a="1"/>
  <c r="U44" i="81" s="1"/>
  <c r="T44" i="81" s="1"/>
  <c r="U90" i="81" a="1"/>
  <c r="U90" i="81" s="1"/>
  <c r="T90" i="81" s="1"/>
  <c r="U95" i="81" a="1"/>
  <c r="U95" i="81" s="1"/>
  <c r="U99" i="81" a="1"/>
  <c r="U99" i="81" s="1"/>
  <c r="T99" i="81" s="1"/>
  <c r="U104" i="81" a="1"/>
  <c r="U104" i="81" s="1"/>
  <c r="T104" i="81" s="1"/>
  <c r="U19" i="82" a="1"/>
  <c r="U19" i="82" s="1"/>
  <c r="T19" i="82" s="1"/>
  <c r="U23" i="82" a="1"/>
  <c r="U23" i="82" s="1"/>
  <c r="U28" i="82" a="1"/>
  <c r="U28" i="82" s="1"/>
  <c r="T28" i="82" s="1"/>
  <c r="U32" i="82" a="1"/>
  <c r="U32" i="82" s="1"/>
  <c r="U37" i="82" a="1"/>
  <c r="U37" i="82" s="1"/>
  <c r="T37" i="82" s="1"/>
  <c r="U85" i="82" a="1"/>
  <c r="U85" i="82" s="1"/>
  <c r="T85" i="82" s="1"/>
  <c r="U90" i="82" a="1"/>
  <c r="U90" i="82" s="1"/>
  <c r="U11" i="82" a="1"/>
  <c r="U11" i="82" s="1"/>
  <c r="T11" i="82" s="1"/>
  <c r="U99" i="82" a="1"/>
  <c r="U99" i="82" s="1"/>
  <c r="T99" i="82" s="1"/>
  <c r="U104" i="82" a="1"/>
  <c r="U104" i="82" s="1"/>
  <c r="T104" i="82" s="1"/>
  <c r="U16" i="81" a="1"/>
  <c r="U16" i="81" s="1"/>
  <c r="T16" i="81" s="1"/>
  <c r="U21" i="81" a="1"/>
  <c r="U21" i="81" s="1"/>
  <c r="T21" i="81" s="1"/>
  <c r="U25" i="81" a="1"/>
  <c r="U25" i="81" s="1"/>
  <c r="T25" i="81" s="1"/>
  <c r="U30" i="81" a="1"/>
  <c r="U30" i="81" s="1"/>
  <c r="T30" i="81" s="1"/>
  <c r="U33" i="81" a="1"/>
  <c r="U33" i="81" s="1"/>
  <c r="T33" i="81" s="1"/>
  <c r="U80" i="81" a="1"/>
  <c r="U80" i="81" s="1"/>
  <c r="P80" i="81" s="1"/>
  <c r="U85" i="81" a="1"/>
  <c r="U85" i="81" s="1"/>
  <c r="T85" i="81" s="1"/>
  <c r="U8" i="81" a="1"/>
  <c r="U8" i="81" s="1"/>
  <c r="T8" i="81" s="1"/>
  <c r="U93" i="81" a="1"/>
  <c r="U93" i="81" s="1"/>
  <c r="U97" i="81" a="1"/>
  <c r="U97" i="81" s="1"/>
  <c r="T97" i="81" s="1"/>
  <c r="U9" i="82" a="1"/>
  <c r="U9" i="82" s="1"/>
  <c r="U17" i="82" a="1"/>
  <c r="U17" i="82" s="1"/>
  <c r="U22" i="82" a="1"/>
  <c r="U22" i="82" s="1"/>
  <c r="T22" i="82" s="1"/>
  <c r="U26" i="82" a="1"/>
  <c r="U26" i="82" s="1"/>
  <c r="U6" i="82" a="1"/>
  <c r="U6" i="82" s="1"/>
  <c r="T6" i="82" s="1"/>
  <c r="U78" i="82" a="1"/>
  <c r="U78" i="82" s="1"/>
  <c r="T78" i="82" s="1"/>
  <c r="U83" i="82" a="1"/>
  <c r="U83" i="82" s="1"/>
  <c r="T83" i="82" s="1"/>
  <c r="U88" i="82" a="1"/>
  <c r="U88" i="82" s="1"/>
  <c r="U93" i="82" a="1"/>
  <c r="U93" i="82" s="1"/>
  <c r="T93" i="82" s="1"/>
  <c r="U62" i="74" a="1"/>
  <c r="U62" i="74" s="1"/>
  <c r="T62" i="74" s="1"/>
  <c r="U109" i="74" a="1"/>
  <c r="U109" i="74" s="1"/>
  <c r="T109" i="74" s="1"/>
  <c r="U16" i="74" a="1"/>
  <c r="U16" i="74" s="1"/>
  <c r="T16" i="74" s="1"/>
  <c r="U117" i="74" a="1"/>
  <c r="U117" i="74" s="1"/>
  <c r="T117" i="74" s="1"/>
  <c r="U122" i="74" a="1"/>
  <c r="U122" i="74" s="1"/>
  <c r="T122" i="74" s="1"/>
  <c r="U127" i="74" a="1"/>
  <c r="U127" i="74" s="1"/>
  <c r="T127" i="74" s="1"/>
  <c r="U47" i="81" a="1"/>
  <c r="U47" i="81" s="1"/>
  <c r="U52" i="81" a="1"/>
  <c r="U52" i="81" s="1"/>
  <c r="T52" i="81" s="1"/>
  <c r="U56" i="81" a="1"/>
  <c r="U56" i="81" s="1"/>
  <c r="T56" i="81" s="1"/>
  <c r="U2" i="81" a="1"/>
  <c r="U2" i="81" s="1"/>
  <c r="U65" i="81" a="1"/>
  <c r="U65" i="81" s="1"/>
  <c r="U30" i="82" a="1"/>
  <c r="U30" i="82" s="1"/>
  <c r="U35" i="82" a="1"/>
  <c r="U35" i="82" s="1"/>
  <c r="T35" i="82" s="1"/>
  <c r="U40" i="82" a="1"/>
  <c r="U40" i="82" s="1"/>
  <c r="U45" i="82" a="1"/>
  <c r="U45" i="82" s="1"/>
  <c r="T45" i="82" s="1"/>
  <c r="U8" i="82" a="1"/>
  <c r="U8" i="82" s="1"/>
  <c r="U97" i="82" a="1"/>
  <c r="U97" i="82" s="1"/>
  <c r="U102" i="82" a="1"/>
  <c r="U102" i="82" s="1"/>
  <c r="T102" i="82" s="1"/>
  <c r="U107" i="82" a="1"/>
  <c r="U107" i="82" s="1"/>
  <c r="U112" i="82" a="1"/>
  <c r="U112" i="82" s="1"/>
  <c r="T112" i="82" s="1"/>
  <c r="U117" i="82" a="1"/>
  <c r="U117" i="82" s="1"/>
  <c r="T117" i="82" s="1"/>
  <c r="U82" i="74" a="1"/>
  <c r="U82" i="74" s="1"/>
  <c r="T82" i="74" s="1"/>
  <c r="U4" i="81" a="1"/>
  <c r="U4" i="81" s="1"/>
  <c r="T4" i="81" s="1"/>
  <c r="U19" i="81" a="1"/>
  <c r="U19" i="81" s="1"/>
  <c r="T19" i="81" s="1"/>
  <c r="U23" i="81" a="1"/>
  <c r="U23" i="81" s="1"/>
  <c r="T23" i="81" s="1"/>
  <c r="U70" i="81" a="1"/>
  <c r="U70" i="81" s="1"/>
  <c r="T70" i="81" s="1"/>
  <c r="U74" i="81" a="1"/>
  <c r="U74" i="81" s="1"/>
  <c r="T74" i="81" s="1"/>
  <c r="U79" i="81" a="1"/>
  <c r="U79" i="81" s="1"/>
  <c r="T79" i="81" s="1"/>
  <c r="U83" i="81" a="1"/>
  <c r="U83" i="81" s="1"/>
  <c r="T83" i="81" s="1"/>
  <c r="U87" i="81" a="1"/>
  <c r="U87" i="81" s="1"/>
  <c r="T87" i="81" s="1"/>
  <c r="U2" i="82" a="1"/>
  <c r="U2" i="82" s="1"/>
  <c r="T2" i="82" s="1"/>
  <c r="U3" i="82" a="1"/>
  <c r="U3" i="82" s="1"/>
  <c r="T3" i="82" s="1"/>
  <c r="U62" i="82" a="1"/>
  <c r="U62" i="82" s="1"/>
  <c r="T62" i="82" s="1"/>
  <c r="U67" i="82" a="1"/>
  <c r="U67" i="82" s="1"/>
  <c r="T67" i="82" s="1"/>
  <c r="U72" i="82" a="1"/>
  <c r="U72" i="82" s="1"/>
  <c r="T72" i="82" s="1"/>
  <c r="U76" i="82" a="1"/>
  <c r="U76" i="82" s="1"/>
  <c r="T76" i="82" s="1"/>
  <c r="U81" i="82" a="1"/>
  <c r="U81" i="82" s="1"/>
  <c r="T81" i="82" s="1"/>
  <c r="U132" i="82" a="1"/>
  <c r="U132" i="82" s="1"/>
  <c r="T132" i="82" s="1"/>
  <c r="U137" i="82" a="1"/>
  <c r="U137" i="82" s="1"/>
  <c r="U142" i="82" a="1"/>
  <c r="U142" i="82" s="1"/>
  <c r="T142" i="82" s="1"/>
  <c r="U36" i="81" a="1"/>
  <c r="U36" i="81" s="1"/>
  <c r="T36" i="81" s="1"/>
  <c r="U41" i="81" a="1"/>
  <c r="U41" i="81" s="1"/>
  <c r="T41" i="81" s="1"/>
  <c r="U45" i="81" a="1"/>
  <c r="U45" i="81" s="1"/>
  <c r="T45" i="81" s="1"/>
  <c r="U50" i="81" a="1"/>
  <c r="U50" i="81" s="1"/>
  <c r="T50" i="81" s="1"/>
  <c r="U54" i="81" a="1"/>
  <c r="U54" i="81" s="1"/>
  <c r="T54" i="81" s="1"/>
  <c r="U100" i="81" a="1"/>
  <c r="U100" i="81" s="1"/>
  <c r="U20" i="82" a="1"/>
  <c r="U20" i="82" s="1"/>
  <c r="U24" i="82" a="1"/>
  <c r="U24" i="82" s="1"/>
  <c r="T24" i="82" s="1"/>
  <c r="U29" i="82" a="1"/>
  <c r="U29" i="82" s="1"/>
  <c r="T29" i="82" s="1"/>
  <c r="U33" i="82" a="1"/>
  <c r="U33" i="82" s="1"/>
  <c r="U38" i="82" a="1"/>
  <c r="U38" i="82" s="1"/>
  <c r="T38" i="82" s="1"/>
  <c r="U86" i="82" a="1"/>
  <c r="U86" i="82" s="1"/>
  <c r="T86" i="82" s="1"/>
  <c r="U91" i="82" a="1"/>
  <c r="U91" i="82" s="1"/>
  <c r="U95" i="82" a="1"/>
  <c r="U95" i="82" s="1"/>
  <c r="T95" i="82" s="1"/>
  <c r="U100" i="82" a="1"/>
  <c r="U100" i="82" s="1"/>
  <c r="U105" i="82" a="1"/>
  <c r="U105" i="82" s="1"/>
  <c r="U59" i="81" a="1"/>
  <c r="U59" i="81" s="1"/>
  <c r="T59" i="81" s="1"/>
  <c r="U63" i="81" a="1"/>
  <c r="U63" i="81" s="1"/>
  <c r="T63" i="81" s="1"/>
  <c r="U68" i="81" a="1"/>
  <c r="U68" i="81" s="1"/>
  <c r="T68" i="81" s="1"/>
  <c r="U10" i="81" a="1"/>
  <c r="U10" i="81" s="1"/>
  <c r="T10" i="81" s="1"/>
  <c r="U77" i="81" a="1"/>
  <c r="U77" i="81" s="1"/>
  <c r="U10" i="82" a="1"/>
  <c r="U10" i="82" s="1"/>
  <c r="T10" i="82" s="1"/>
  <c r="U56" i="82" a="1"/>
  <c r="U56" i="82" s="1"/>
  <c r="T56" i="82" s="1"/>
  <c r="U60" i="82" a="1"/>
  <c r="U60" i="82" s="1"/>
  <c r="T60" i="82" s="1"/>
  <c r="U65" i="82" a="1"/>
  <c r="U65" i="82" s="1"/>
  <c r="T65" i="82" s="1"/>
  <c r="U70" i="82" a="1"/>
  <c r="U70" i="82" s="1"/>
  <c r="T70" i="82" s="1"/>
  <c r="U120" i="82" a="1"/>
  <c r="U120" i="82" s="1"/>
  <c r="U125" i="82" a="1"/>
  <c r="U125" i="82" s="1"/>
  <c r="U130" i="82" a="1"/>
  <c r="U130" i="82" s="1"/>
  <c r="T130" i="82" s="1"/>
  <c r="U135" i="82" a="1"/>
  <c r="U135" i="82" s="1"/>
  <c r="T135" i="82" s="1"/>
  <c r="U140" i="82" a="1"/>
  <c r="U140" i="82" s="1"/>
  <c r="U85" i="74" a="1"/>
  <c r="U85" i="74" s="1"/>
  <c r="T85" i="74" s="1"/>
  <c r="U90" i="74" a="1"/>
  <c r="U90" i="74" s="1"/>
  <c r="T90" i="74" s="1"/>
  <c r="U95" i="74" a="1"/>
  <c r="U95" i="74" s="1"/>
  <c r="T95" i="74" s="1"/>
  <c r="U100" i="74" a="1"/>
  <c r="U100" i="74" s="1"/>
  <c r="T100" i="74" s="1"/>
  <c r="U105" i="74" a="1"/>
  <c r="U105" i="74" s="1"/>
  <c r="T105" i="74" s="1"/>
  <c r="U26" i="81" a="1"/>
  <c r="U26" i="81" s="1"/>
  <c r="T26" i="81" s="1"/>
  <c r="U6" i="81" a="1"/>
  <c r="U6" i="81" s="1"/>
  <c r="T6" i="81" s="1"/>
  <c r="U34" i="81" a="1"/>
  <c r="U34" i="81" s="1"/>
  <c r="T34" i="81" s="1"/>
  <c r="U39" i="81" a="1"/>
  <c r="U39" i="81" s="1"/>
  <c r="U43" i="81" a="1"/>
  <c r="U43" i="81" s="1"/>
  <c r="T43" i="81" s="1"/>
  <c r="U89" i="81" a="1"/>
  <c r="U89" i="81" s="1"/>
  <c r="T89" i="81" s="1"/>
  <c r="U94" i="81" a="1"/>
  <c r="U94" i="81" s="1"/>
  <c r="T94" i="81" s="1"/>
  <c r="U98" i="81" a="1"/>
  <c r="U98" i="81" s="1"/>
  <c r="T98" i="81" s="1"/>
  <c r="U103" i="81" a="1"/>
  <c r="U103" i="81" s="1"/>
  <c r="P103" i="81" s="1"/>
  <c r="U14" i="82" a="1"/>
  <c r="U14" i="82" s="1"/>
  <c r="T14" i="82" s="1"/>
  <c r="U18" i="82" a="1"/>
  <c r="U18" i="82" s="1"/>
  <c r="T18" i="82" s="1"/>
  <c r="U4" i="82" a="1"/>
  <c r="U4" i="82" s="1"/>
  <c r="T4" i="82" s="1"/>
  <c r="U27" i="82" a="1"/>
  <c r="U27" i="82" s="1"/>
  <c r="T27" i="82" s="1"/>
  <c r="U74" i="82" a="1"/>
  <c r="U74" i="82" s="1"/>
  <c r="T74" i="82" s="1"/>
  <c r="U79" i="82" a="1"/>
  <c r="U79" i="82" s="1"/>
  <c r="T79" i="82" s="1"/>
  <c r="U84" i="82" a="1"/>
  <c r="U84" i="82" s="1"/>
  <c r="T84" i="82" s="1"/>
  <c r="U89" i="82" a="1"/>
  <c r="U89" i="82" s="1"/>
  <c r="T89" i="82" s="1"/>
  <c r="U94" i="82" a="1"/>
  <c r="U94" i="82" s="1"/>
  <c r="U139" i="82" a="1"/>
  <c r="U139" i="82" s="1"/>
  <c r="T139" i="82" s="1"/>
  <c r="U127" i="82" a="1"/>
  <c r="U127" i="82" s="1"/>
  <c r="T127" i="82" s="1"/>
  <c r="U115" i="82" a="1"/>
  <c r="U115" i="82" s="1"/>
  <c r="T115" i="82" s="1"/>
  <c r="U103" i="82" a="1"/>
  <c r="U103" i="82" s="1"/>
  <c r="T103" i="82" s="1"/>
  <c r="U92" i="82" a="1"/>
  <c r="U92" i="82" s="1"/>
  <c r="T92" i="82" s="1"/>
  <c r="U80" i="82" a="1"/>
  <c r="U80" i="82" s="1"/>
  <c r="T80" i="82" s="1"/>
  <c r="U69" i="82" a="1"/>
  <c r="U69" i="82" s="1"/>
  <c r="T69" i="82" s="1"/>
  <c r="U57" i="82" a="1"/>
  <c r="U57" i="82" s="1"/>
  <c r="T57" i="82" s="1"/>
  <c r="U48" i="82" a="1"/>
  <c r="U48" i="82" s="1"/>
  <c r="T48" i="82" s="1"/>
  <c r="U36" i="82" a="1"/>
  <c r="U36" i="82" s="1"/>
  <c r="T36" i="82" s="1"/>
  <c r="U25" i="82" a="1"/>
  <c r="U25" i="82" s="1"/>
  <c r="T25" i="82" s="1"/>
  <c r="U15" i="82" a="1"/>
  <c r="U15" i="82" s="1"/>
  <c r="T15" i="82" s="1"/>
  <c r="U9" i="81" a="1"/>
  <c r="U9" i="81" s="1"/>
  <c r="T9" i="81" s="1"/>
  <c r="U7" i="81" a="1"/>
  <c r="U7" i="81" s="1"/>
  <c r="T7" i="81" s="1"/>
  <c r="U75" i="81" a="1"/>
  <c r="U75" i="81" s="1"/>
  <c r="T75" i="81" s="1"/>
  <c r="U64" i="81" a="1"/>
  <c r="U64" i="81" s="1"/>
  <c r="T64" i="81" s="1"/>
  <c r="U12" i="81" a="1"/>
  <c r="U12" i="81" s="1"/>
  <c r="T12" i="81" s="1"/>
  <c r="U42" i="81" a="1"/>
  <c r="U42" i="81" s="1"/>
  <c r="T42" i="81" s="1"/>
  <c r="U3" i="81" a="1"/>
  <c r="U3" i="81" s="1"/>
  <c r="T3" i="81" s="1"/>
  <c r="U22" i="81" a="1"/>
  <c r="U22" i="81" s="1"/>
  <c r="T22" i="81" s="1"/>
  <c r="U126" i="74" a="1"/>
  <c r="U126" i="74" s="1"/>
  <c r="T126" i="74" s="1"/>
  <c r="U114" i="74" a="1"/>
  <c r="U114" i="74" s="1"/>
  <c r="T114" i="74" s="1"/>
  <c r="U104" i="74" a="1"/>
  <c r="U104" i="74" s="1"/>
  <c r="T104" i="74" s="1"/>
  <c r="U92" i="74" a="1"/>
  <c r="U92" i="74" s="1"/>
  <c r="T92" i="74" s="1"/>
  <c r="U80" i="74" a="1"/>
  <c r="U80" i="74" s="1"/>
  <c r="T80" i="74" s="1"/>
  <c r="U68" i="74" a="1"/>
  <c r="U68" i="74" s="1"/>
  <c r="T68" i="74" s="1"/>
  <c r="U61" i="74" a="1"/>
  <c r="U61" i="74" s="1"/>
  <c r="T61" i="74" s="1"/>
  <c r="U50" i="74" a="1"/>
  <c r="U50" i="74" s="1"/>
  <c r="T50" i="74" s="1"/>
  <c r="U40" i="74" a="1"/>
  <c r="U40" i="74" s="1"/>
  <c r="T40" i="74" s="1"/>
  <c r="U30" i="74" a="1"/>
  <c r="U30" i="74" s="1"/>
  <c r="T30" i="74" s="1"/>
  <c r="U20" i="74" a="1"/>
  <c r="U20" i="74" s="1"/>
  <c r="T20" i="74" s="1"/>
  <c r="X121" i="65"/>
  <c r="Y121" i="65" s="1"/>
  <c r="X109" i="65"/>
  <c r="Y109" i="65" s="1"/>
  <c r="X97" i="65"/>
  <c r="Y97" i="65" s="1"/>
  <c r="X85" i="65"/>
  <c r="Y85" i="65" s="1"/>
  <c r="X73" i="65"/>
  <c r="Y73" i="65" s="1"/>
  <c r="X61" i="65"/>
  <c r="Y61" i="65" s="1"/>
  <c r="X49" i="65"/>
  <c r="Y49" i="65" s="1"/>
  <c r="X37" i="65"/>
  <c r="Y37" i="65" s="1"/>
  <c r="X25" i="65"/>
  <c r="Y25" i="65" s="1"/>
  <c r="X13" i="65"/>
  <c r="Y13" i="65" s="1"/>
  <c r="X118" i="68" a="1"/>
  <c r="X118" i="68" s="1"/>
  <c r="Y118" i="68" s="1"/>
  <c r="X106" i="68" a="1"/>
  <c r="X106" i="68" s="1"/>
  <c r="Y106" i="68" s="1"/>
  <c r="X94" i="68" a="1"/>
  <c r="X94" i="68" s="1"/>
  <c r="Y94" i="68" s="1"/>
  <c r="X82" i="68" a="1"/>
  <c r="X82" i="68" s="1"/>
  <c r="Y82" i="68" s="1"/>
  <c r="X70" i="68" a="1"/>
  <c r="X70" i="68" s="1"/>
  <c r="Y70" i="68" s="1"/>
  <c r="X58" i="68" a="1"/>
  <c r="X58" i="68" s="1"/>
  <c r="Y58" i="68" s="1"/>
  <c r="X46" i="68" a="1"/>
  <c r="X46" i="68" s="1"/>
  <c r="Y46" i="68" s="1"/>
  <c r="X34" i="68" a="1"/>
  <c r="X34" i="68" s="1"/>
  <c r="Y34" i="68" s="1"/>
  <c r="X22" i="68" a="1"/>
  <c r="X22" i="68" s="1"/>
  <c r="Y22" i="68" s="1"/>
  <c r="X10" i="68" a="1"/>
  <c r="X10" i="68" s="1"/>
  <c r="Y10" i="68" s="1"/>
  <c r="X66" i="70" a="1"/>
  <c r="X66" i="70" s="1"/>
  <c r="Y66" i="70" s="1"/>
  <c r="X54" i="70" a="1"/>
  <c r="X54" i="70" s="1"/>
  <c r="Y54" i="70" s="1"/>
  <c r="X42" i="70" a="1"/>
  <c r="X42" i="70" s="1"/>
  <c r="Y42" i="70" s="1"/>
  <c r="X30" i="70" a="1"/>
  <c r="X30" i="70" s="1"/>
  <c r="Y30" i="70" s="1"/>
  <c r="X18" i="70" a="1"/>
  <c r="X18" i="70" s="1"/>
  <c r="Y18" i="70" s="1"/>
  <c r="X6" i="70" a="1"/>
  <c r="X6" i="70" s="1"/>
  <c r="Y6" i="70" s="1"/>
  <c r="X94" i="71" a="1"/>
  <c r="X94" i="71" s="1"/>
  <c r="Y94" i="71" s="1"/>
  <c r="X82" i="71" a="1"/>
  <c r="X82" i="71" s="1"/>
  <c r="Y82" i="71" s="1"/>
  <c r="X70" i="71" a="1"/>
  <c r="X70" i="71" s="1"/>
  <c r="Y70" i="71" s="1"/>
  <c r="X58" i="71" a="1"/>
  <c r="X58" i="71" s="1"/>
  <c r="Y58" i="71" s="1"/>
  <c r="X46" i="71" a="1"/>
  <c r="X46" i="71" s="1"/>
  <c r="Y46" i="71" s="1"/>
  <c r="X34" i="71" a="1"/>
  <c r="X34" i="71" s="1"/>
  <c r="Y34" i="71" s="1"/>
  <c r="X22" i="71" a="1"/>
  <c r="X22" i="71" s="1"/>
  <c r="Y22" i="71" s="1"/>
  <c r="X10" i="71" a="1"/>
  <c r="X10" i="71" s="1"/>
  <c r="Y10" i="71" s="1"/>
  <c r="X108" i="65"/>
  <c r="Y108" i="65" s="1"/>
  <c r="X96" i="65"/>
  <c r="Y96" i="65" s="1"/>
  <c r="X84" i="65"/>
  <c r="Y84" i="65" s="1"/>
  <c r="X72" i="65"/>
  <c r="Y72" i="65" s="1"/>
  <c r="X60" i="65"/>
  <c r="Y60" i="65" s="1"/>
  <c r="X48" i="65"/>
  <c r="Y48" i="65" s="1"/>
  <c r="X36" i="65"/>
  <c r="Y36" i="65" s="1"/>
  <c r="X24" i="65"/>
  <c r="Y24" i="65" s="1"/>
  <c r="X12" i="65"/>
  <c r="Y12" i="65" s="1"/>
  <c r="U134" i="82" a="1"/>
  <c r="U134" i="82" s="1"/>
  <c r="T134" i="82" s="1"/>
  <c r="U122" i="82" a="1"/>
  <c r="U122" i="82" s="1"/>
  <c r="T122" i="82" s="1"/>
  <c r="U110" i="82" a="1"/>
  <c r="U110" i="82" s="1"/>
  <c r="U98" i="82" a="1"/>
  <c r="U98" i="82" s="1"/>
  <c r="T98" i="82" s="1"/>
  <c r="U87" i="82" a="1"/>
  <c r="U87" i="82" s="1"/>
  <c r="U75" i="82" a="1"/>
  <c r="U75" i="82" s="1"/>
  <c r="U64" i="82" a="1"/>
  <c r="U64" i="82" s="1"/>
  <c r="T64" i="82" s="1"/>
  <c r="U53" i="82" a="1"/>
  <c r="U53" i="82" s="1"/>
  <c r="T53" i="82" s="1"/>
  <c r="U43" i="82" a="1"/>
  <c r="U43" i="82" s="1"/>
  <c r="T43" i="82" s="1"/>
  <c r="U31" i="82" a="1"/>
  <c r="U31" i="82" s="1"/>
  <c r="T31" i="82" s="1"/>
  <c r="U21" i="82" a="1"/>
  <c r="U21" i="82" s="1"/>
  <c r="T21" i="82" s="1"/>
  <c r="U12" i="82" a="1"/>
  <c r="U12" i="82" s="1"/>
  <c r="U102" i="81" a="1"/>
  <c r="U102" i="81" s="1"/>
  <c r="T102" i="81" s="1"/>
  <c r="U91" i="81" a="1"/>
  <c r="U91" i="81" s="1"/>
  <c r="U81" i="81" a="1"/>
  <c r="U81" i="81" s="1"/>
  <c r="U71" i="81" a="1"/>
  <c r="U71" i="81" s="1"/>
  <c r="T71" i="81" s="1"/>
  <c r="U60" i="81" a="1"/>
  <c r="U60" i="81" s="1"/>
  <c r="T60" i="81" s="1"/>
  <c r="U49" i="81" a="1"/>
  <c r="U49" i="81" s="1"/>
  <c r="U38" i="81" a="1"/>
  <c r="U38" i="81" s="1"/>
  <c r="T38" i="81" s="1"/>
  <c r="U28" i="81" a="1"/>
  <c r="U28" i="81" s="1"/>
  <c r="U17" i="81" a="1"/>
  <c r="U17" i="81" s="1"/>
  <c r="T17" i="81" s="1"/>
  <c r="U121" i="74" a="1"/>
  <c r="U121" i="74" s="1"/>
  <c r="T121" i="74" s="1"/>
  <c r="U111" i="74" a="1"/>
  <c r="U111" i="74" s="1"/>
  <c r="T111" i="74" s="1"/>
  <c r="U99" i="74" a="1"/>
  <c r="U99" i="74" s="1"/>
  <c r="T99" i="74" s="1"/>
  <c r="U87" i="74" a="1"/>
  <c r="U87" i="74" s="1"/>
  <c r="T87" i="74" s="1"/>
  <c r="U75" i="74" a="1"/>
  <c r="U75" i="74" s="1"/>
  <c r="T75" i="74" s="1"/>
  <c r="U4" i="74" a="1"/>
  <c r="U4" i="74" s="1"/>
  <c r="T4" i="74" s="1"/>
  <c r="U56" i="74" a="1"/>
  <c r="U56" i="74" s="1"/>
  <c r="T56" i="74" s="1"/>
  <c r="U47" i="74" a="1"/>
  <c r="U47" i="74" s="1"/>
  <c r="T47" i="74" s="1"/>
  <c r="U37" i="74" a="1"/>
  <c r="U37" i="74" s="1"/>
  <c r="T37" i="74" s="1"/>
  <c r="U26" i="74" a="1"/>
  <c r="U26" i="74" s="1"/>
  <c r="T26" i="74" s="1"/>
  <c r="X120" i="65"/>
  <c r="Y120" i="65" s="1"/>
  <c r="E4" i="53"/>
  <c r="F4" i="53" s="1"/>
  <c r="H4" i="53" s="1"/>
  <c r="E200" i="10"/>
  <c r="F200" i="10" s="1"/>
  <c r="E42" i="10"/>
  <c r="F42" i="10" s="1"/>
  <c r="D222" i="10"/>
  <c r="D211" i="10"/>
  <c r="E227" i="10"/>
  <c r="F227" i="10" s="1"/>
  <c r="E189" i="10"/>
  <c r="F189" i="10" s="1"/>
  <c r="E211" i="10"/>
  <c r="F211" i="10" s="1"/>
  <c r="E245" i="10"/>
  <c r="F245" i="10" s="1"/>
  <c r="D202" i="10"/>
  <c r="E10" i="10"/>
  <c r="F10" i="10" s="1"/>
  <c r="E230" i="10"/>
  <c r="F230" i="10" s="1"/>
  <c r="J71" i="7"/>
  <c r="C71" i="6" s="1"/>
  <c r="O95" i="7"/>
  <c r="H95" i="6" s="1"/>
  <c r="M88" i="7"/>
  <c r="F88" i="6" s="1"/>
  <c r="N74" i="7"/>
  <c r="G74" i="6" s="1"/>
  <c r="J139" i="7"/>
  <c r="C139" i="6" s="1"/>
  <c r="V50" i="61"/>
  <c r="V49" i="61"/>
  <c r="V53" i="61"/>
  <c r="H47" i="61"/>
  <c r="V52" i="61"/>
  <c r="V51" i="61"/>
  <c r="I47" i="61"/>
  <c r="U76" i="18"/>
  <c r="R7" i="18"/>
  <c r="P7" i="18" s="1"/>
  <c r="X9" i="18"/>
  <c r="P11" i="18"/>
  <c r="Q17" i="18" s="1"/>
  <c r="R50" i="18"/>
  <c r="R47" i="18"/>
  <c r="R39" i="18"/>
  <c r="P39" i="18" s="1"/>
  <c r="AC16" i="18"/>
  <c r="AA16" i="18" s="1"/>
  <c r="AC46" i="18"/>
  <c r="AA46" i="18" s="1"/>
  <c r="AB46" i="18" s="1"/>
  <c r="R48" i="18"/>
  <c r="P85" i="18"/>
  <c r="R40" i="18"/>
  <c r="P40" i="18" s="1"/>
  <c r="AC17" i="18"/>
  <c r="AA17" i="18" s="1"/>
  <c r="AC48" i="18"/>
  <c r="AA48" i="18" s="1"/>
  <c r="R49" i="18"/>
  <c r="R41" i="18"/>
  <c r="P41" i="18" s="1"/>
  <c r="AC47" i="18"/>
  <c r="AA47" i="18" s="1"/>
  <c r="AC49" i="18"/>
  <c r="AA49" i="18" s="1"/>
  <c r="AC50" i="18"/>
  <c r="AA50" i="18" s="1"/>
  <c r="X7" i="18"/>
  <c r="U20" i="18" s="1"/>
  <c r="AC51" i="18"/>
  <c r="AA51" i="18" s="1"/>
  <c r="X8" i="18"/>
  <c r="U8" i="18" s="1"/>
  <c r="P91" i="18"/>
  <c r="AC11" i="18"/>
  <c r="AA11" i="18" s="1"/>
  <c r="AB11" i="18" s="1"/>
  <c r="AC12" i="18"/>
  <c r="AA12" i="18" s="1"/>
  <c r="R46" i="18"/>
  <c r="AC13" i="18"/>
  <c r="AA13" i="18" s="1"/>
  <c r="AC14" i="18"/>
  <c r="AA14" i="18" s="1"/>
  <c r="I48" i="53"/>
  <c r="V23" i="61"/>
  <c r="V27" i="61"/>
  <c r="V26" i="61"/>
  <c r="V25" i="61"/>
  <c r="V24" i="61"/>
  <c r="J47" i="61"/>
  <c r="G47" i="61"/>
  <c r="O47" i="61"/>
  <c r="T8" i="61" s="1"/>
  <c r="D47" i="61"/>
  <c r="P47" i="61"/>
  <c r="U8" i="61" s="1"/>
  <c r="E47" i="61"/>
  <c r="C47" i="61"/>
  <c r="F47" i="61"/>
  <c r="AA14" i="61"/>
  <c r="I47" i="53"/>
  <c r="H48" i="53"/>
  <c r="I49" i="53"/>
  <c r="I46" i="53"/>
  <c r="H45" i="53"/>
  <c r="L45" i="53" s="1"/>
  <c r="E2" i="53"/>
  <c r="F2" i="53" s="1"/>
  <c r="H2" i="53" s="1"/>
  <c r="E3" i="53"/>
  <c r="F3" i="53" s="1"/>
  <c r="E7" i="53"/>
  <c r="F7" i="53" s="1"/>
  <c r="J45" i="7"/>
  <c r="C45" i="6" s="1"/>
  <c r="O166" i="7"/>
  <c r="H166" i="6" s="1"/>
  <c r="M73" i="7"/>
  <c r="F73" i="6" s="1"/>
  <c r="J111" i="7"/>
  <c r="C111" i="6" s="1"/>
  <c r="E34" i="10"/>
  <c r="F34" i="10" s="1"/>
  <c r="D4" i="10"/>
  <c r="D35" i="10"/>
  <c r="D234" i="10"/>
  <c r="E242" i="10"/>
  <c r="F242" i="10" s="1"/>
  <c r="D198" i="10"/>
  <c r="D227" i="10"/>
  <c r="E28" i="10"/>
  <c r="F28" i="10" s="1"/>
  <c r="D209" i="10"/>
  <c r="D64" i="10"/>
  <c r="E80" i="10"/>
  <c r="F80" i="10" s="1"/>
  <c r="E88" i="10"/>
  <c r="F88" i="10" s="1"/>
  <c r="E156" i="10"/>
  <c r="F156" i="10" s="1"/>
  <c r="E160" i="10"/>
  <c r="E164" i="10"/>
  <c r="F164" i="10" s="1"/>
  <c r="E168" i="10"/>
  <c r="F168" i="10" s="1"/>
  <c r="D244" i="10"/>
  <c r="E13" i="10"/>
  <c r="F13" i="10" s="1"/>
  <c r="D17" i="10"/>
  <c r="D21" i="10"/>
  <c r="D24" i="10"/>
  <c r="E202" i="10"/>
  <c r="F202" i="10" s="1"/>
  <c r="D239" i="10"/>
  <c r="E213" i="10"/>
  <c r="F213" i="10" s="1"/>
  <c r="E239" i="10"/>
  <c r="F239" i="10" s="1"/>
  <c r="D2" i="10"/>
  <c r="E215" i="10"/>
  <c r="F215" i="10" s="1"/>
  <c r="D14" i="10"/>
  <c r="D200" i="10"/>
  <c r="H103" i="17"/>
  <c r="D102" i="17"/>
  <c r="G102" i="17"/>
  <c r="E102" i="17"/>
  <c r="F102" i="17"/>
  <c r="H102" i="17"/>
  <c r="E103" i="17"/>
  <c r="AA5" i="7" s="1"/>
  <c r="D103" i="17"/>
  <c r="M5" i="55" s="1"/>
  <c r="Z11" i="7"/>
  <c r="R87" i="54"/>
  <c r="K11" i="53"/>
  <c r="P10" i="76"/>
  <c r="P29" i="76"/>
  <c r="P57" i="76"/>
  <c r="P27" i="76"/>
  <c r="P17" i="76"/>
  <c r="P23" i="76"/>
  <c r="P37" i="76"/>
  <c r="P3" i="76"/>
  <c r="P39" i="76"/>
  <c r="P48" i="76"/>
  <c r="P59" i="76"/>
  <c r="P6" i="76"/>
  <c r="P68" i="76"/>
  <c r="P30" i="76"/>
  <c r="P43" i="76"/>
  <c r="P53" i="76"/>
  <c r="P64" i="76"/>
  <c r="P47" i="76"/>
  <c r="P9" i="76"/>
  <c r="P18" i="76"/>
  <c r="P8" i="76"/>
  <c r="P24" i="76"/>
  <c r="P13" i="76"/>
  <c r="P16" i="76"/>
  <c r="P11" i="76"/>
  <c r="P51" i="76"/>
  <c r="P7" i="76"/>
  <c r="P36" i="76"/>
  <c r="P46" i="76"/>
  <c r="P56" i="76"/>
  <c r="P67" i="76"/>
  <c r="P34" i="76"/>
  <c r="P26" i="76"/>
  <c r="P44" i="76"/>
  <c r="P54" i="76"/>
  <c r="P65" i="76"/>
  <c r="P62" i="76"/>
  <c r="P61" i="76"/>
  <c r="P60" i="76"/>
  <c r="P49" i="76"/>
  <c r="P40" i="76"/>
  <c r="P31" i="76"/>
  <c r="P19" i="76"/>
  <c r="P50" i="76"/>
  <c r="P20" i="76"/>
  <c r="P41" i="76"/>
  <c r="P69" i="76"/>
  <c r="P58" i="76"/>
  <c r="P12" i="76"/>
  <c r="P38" i="76"/>
  <c r="P28" i="76"/>
  <c r="P4" i="76"/>
  <c r="P5" i="76"/>
  <c r="P32" i="76"/>
  <c r="P21" i="76"/>
  <c r="P66" i="76"/>
  <c r="P55" i="76"/>
  <c r="P45" i="76"/>
  <c r="P35" i="76"/>
  <c r="P25" i="76"/>
  <c r="P2" i="76"/>
  <c r="P15" i="76"/>
  <c r="P63" i="76"/>
  <c r="P52" i="76"/>
  <c r="P42" i="76"/>
  <c r="P33" i="76"/>
  <c r="P22" i="76"/>
  <c r="P14" i="76"/>
  <c r="E15" i="53"/>
  <c r="F15" i="53" s="1"/>
  <c r="H15" i="53" s="1"/>
  <c r="K17" i="53"/>
  <c r="K52" i="53" s="1"/>
  <c r="E16" i="53"/>
  <c r="F16" i="53" s="1"/>
  <c r="H16" i="53" s="1"/>
  <c r="E13" i="53"/>
  <c r="F13" i="53" s="1"/>
  <c r="H13" i="53" s="1"/>
  <c r="B30" i="53" s="1"/>
  <c r="E14" i="53"/>
  <c r="F14" i="53" s="1"/>
  <c r="H14" i="53" s="1"/>
  <c r="T48" i="76"/>
  <c r="T57" i="76"/>
  <c r="T65" i="76"/>
  <c r="T43" i="76"/>
  <c r="T15" i="76"/>
  <c r="T20" i="76"/>
  <c r="T36" i="76"/>
  <c r="T50" i="76"/>
  <c r="T67" i="76"/>
  <c r="T17" i="76"/>
  <c r="T23" i="76"/>
  <c r="T32" i="76"/>
  <c r="T10" i="76"/>
  <c r="T46" i="76"/>
  <c r="T53" i="76"/>
  <c r="T61" i="76"/>
  <c r="T6" i="76"/>
  <c r="T18" i="76"/>
  <c r="T27" i="76"/>
  <c r="T16" i="76"/>
  <c r="T21" i="76"/>
  <c r="T30" i="76"/>
  <c r="T37" i="76"/>
  <c r="T44" i="76"/>
  <c r="T51" i="76"/>
  <c r="T59" i="76"/>
  <c r="T68" i="76"/>
  <c r="T29" i="76"/>
  <c r="T5" i="76"/>
  <c r="T9" i="76"/>
  <c r="T26" i="76"/>
  <c r="T8" i="76"/>
  <c r="T41" i="76"/>
  <c r="T47" i="76"/>
  <c r="T56" i="76"/>
  <c r="T64" i="76"/>
  <c r="T13" i="76"/>
  <c r="T34" i="76"/>
  <c r="T3" i="76"/>
  <c r="T24" i="76"/>
  <c r="T7" i="76"/>
  <c r="T39" i="76"/>
  <c r="T11" i="76"/>
  <c r="T54" i="76"/>
  <c r="T62" i="76"/>
  <c r="E8" i="53"/>
  <c r="F8" i="53" s="1"/>
  <c r="E9" i="53"/>
  <c r="F9" i="53" s="1"/>
  <c r="E10" i="53"/>
  <c r="F10" i="53" s="1"/>
  <c r="R47" i="61"/>
  <c r="W8" i="61" s="1"/>
  <c r="W14" i="61" s="1"/>
  <c r="R45" i="18"/>
  <c r="P45" i="18" s="1"/>
  <c r="R51" i="18"/>
  <c r="Q4" i="18"/>
  <c r="Q3" i="18"/>
  <c r="T104" i="54"/>
  <c r="T102" i="54"/>
  <c r="R102" i="54"/>
  <c r="S102" i="54" s="1"/>
  <c r="T87" i="54"/>
  <c r="T53" i="54"/>
  <c r="T45" i="54"/>
  <c r="T2" i="54"/>
  <c r="T6" i="54"/>
  <c r="R53" i="54"/>
  <c r="R54" i="54"/>
  <c r="T103" i="54"/>
  <c r="T105" i="54"/>
  <c r="R16" i="54"/>
  <c r="R19" i="54"/>
  <c r="T29" i="54"/>
  <c r="R69" i="54"/>
  <c r="R92" i="54"/>
  <c r="R14" i="54"/>
  <c r="T12" i="54"/>
  <c r="R17" i="54"/>
  <c r="T35" i="54"/>
  <c r="R61" i="54"/>
  <c r="T50" i="54"/>
  <c r="R105" i="54"/>
  <c r="S105" i="54" s="1"/>
  <c r="T92" i="54"/>
  <c r="T9" i="54"/>
  <c r="R28" i="54"/>
  <c r="T22" i="54"/>
  <c r="T52" i="54"/>
  <c r="T55" i="54"/>
  <c r="R31" i="54"/>
  <c r="R58" i="54"/>
  <c r="T63" i="54"/>
  <c r="R45" i="54"/>
  <c r="T5" i="54"/>
  <c r="R66" i="54"/>
  <c r="R101" i="54"/>
  <c r="R86" i="54"/>
  <c r="T98" i="54"/>
  <c r="I102" i="17"/>
  <c r="G103" i="17"/>
  <c r="F103" i="17"/>
  <c r="R55" i="54"/>
  <c r="R5" i="54"/>
  <c r="T66" i="54"/>
  <c r="T58" i="54"/>
  <c r="R52" i="54"/>
  <c r="R9" i="54"/>
  <c r="T86" i="54"/>
  <c r="R63" i="54"/>
  <c r="R22" i="54"/>
  <c r="E32" i="10"/>
  <c r="F32" i="10" s="1"/>
  <c r="D196" i="10"/>
  <c r="D207" i="10"/>
  <c r="D237" i="10"/>
  <c r="D28" i="10"/>
  <c r="E196" i="10"/>
  <c r="F196" i="10" s="1"/>
  <c r="E237" i="10"/>
  <c r="F237" i="10" s="1"/>
  <c r="E22" i="10"/>
  <c r="F22" i="10" s="1"/>
  <c r="E54" i="10"/>
  <c r="F54" i="10" s="1"/>
  <c r="E153" i="10"/>
  <c r="F153" i="10" s="1"/>
  <c r="D192" i="10"/>
  <c r="E205" i="10"/>
  <c r="F205" i="10" s="1"/>
  <c r="E218" i="10"/>
  <c r="F218" i="10" s="1"/>
  <c r="D242" i="10"/>
  <c r="D12" i="10"/>
  <c r="D33" i="10"/>
  <c r="E40" i="10"/>
  <c r="F40" i="10" s="1"/>
  <c r="D50" i="10"/>
  <c r="E66" i="10"/>
  <c r="F66" i="10" s="1"/>
  <c r="E70" i="10"/>
  <c r="F70" i="10" s="1"/>
  <c r="E74" i="10"/>
  <c r="F74" i="10" s="1"/>
  <c r="E78" i="10"/>
  <c r="F78" i="10" s="1"/>
  <c r="E173" i="10"/>
  <c r="F173" i="10" s="1"/>
  <c r="E177" i="10"/>
  <c r="F177" i="10" s="1"/>
  <c r="E181" i="10"/>
  <c r="F181" i="10" s="1"/>
  <c r="E185" i="10"/>
  <c r="F185" i="10" s="1"/>
  <c r="D190" i="10"/>
  <c r="E192" i="10"/>
  <c r="F192" i="10" s="1"/>
  <c r="D201" i="10"/>
  <c r="E203" i="10"/>
  <c r="F203" i="10" s="1"/>
  <c r="D214" i="10"/>
  <c r="E216" i="10"/>
  <c r="F216" i="10" s="1"/>
  <c r="E223" i="10"/>
  <c r="F223" i="10" s="1"/>
  <c r="E226" i="10"/>
  <c r="F226" i="10" s="1"/>
  <c r="E235" i="10"/>
  <c r="F235" i="10" s="1"/>
  <c r="E238" i="10"/>
  <c r="F238" i="10" s="1"/>
  <c r="E243" i="10"/>
  <c r="F243" i="10" s="1"/>
  <c r="D11" i="10"/>
  <c r="E184" i="10"/>
  <c r="F184" i="10" s="1"/>
  <c r="D225" i="10"/>
  <c r="D18" i="10"/>
  <c r="E225" i="10"/>
  <c r="F225" i="10" s="1"/>
  <c r="E58" i="10"/>
  <c r="F58" i="10" s="1"/>
  <c r="E165" i="10"/>
  <c r="F165" i="10" s="1"/>
  <c r="D9" i="10"/>
  <c r="E18" i="10"/>
  <c r="F18" i="10" s="1"/>
  <c r="E26" i="10"/>
  <c r="F26" i="10" s="1"/>
  <c r="E44" i="10"/>
  <c r="F44" i="10" s="1"/>
  <c r="E50" i="10"/>
  <c r="F50" i="10" s="1"/>
  <c r="E82" i="10"/>
  <c r="F82" i="10" s="1"/>
  <c r="D188" i="10"/>
  <c r="E190" i="10"/>
  <c r="F190" i="10" s="1"/>
  <c r="D199" i="10"/>
  <c r="E201" i="10"/>
  <c r="F201" i="10" s="1"/>
  <c r="D212" i="10"/>
  <c r="E214" i="10"/>
  <c r="F214" i="10" s="1"/>
  <c r="D221" i="10"/>
  <c r="D228" i="10"/>
  <c r="D233" i="10"/>
  <c r="D240" i="10"/>
  <c r="D246" i="10"/>
  <c r="D6" i="10"/>
  <c r="E15" i="10"/>
  <c r="F15" i="10" s="1"/>
  <c r="E19" i="10"/>
  <c r="F19" i="10" s="1"/>
  <c r="D23" i="10"/>
  <c r="E29" i="10"/>
  <c r="F29" i="10" s="1"/>
  <c r="D37" i="10"/>
  <c r="E86" i="10"/>
  <c r="F86" i="10" s="1"/>
  <c r="E154" i="10"/>
  <c r="F154" i="10" s="1"/>
  <c r="E158" i="10"/>
  <c r="F158" i="10" s="1"/>
  <c r="E162" i="10"/>
  <c r="F162" i="10" s="1"/>
  <c r="E166" i="10"/>
  <c r="F166" i="10" s="1"/>
  <c r="E188" i="10"/>
  <c r="F188" i="10" s="1"/>
  <c r="D197" i="10"/>
  <c r="E199" i="10"/>
  <c r="F199" i="10" s="1"/>
  <c r="D210" i="10"/>
  <c r="E212" i="10"/>
  <c r="F212" i="10" s="1"/>
  <c r="E221" i="10"/>
  <c r="F221" i="10" s="1"/>
  <c r="E224" i="10"/>
  <c r="F224" i="10" s="1"/>
  <c r="E233" i="10"/>
  <c r="F233" i="10" s="1"/>
  <c r="E236" i="10"/>
  <c r="F236" i="10" s="1"/>
  <c r="E176" i="10"/>
  <c r="F176" i="10" s="1"/>
  <c r="E209" i="10"/>
  <c r="F209" i="10" s="1"/>
  <c r="E36" i="10"/>
  <c r="F36" i="10" s="1"/>
  <c r="E141" i="10"/>
  <c r="F141" i="10" s="1"/>
  <c r="E161" i="10"/>
  <c r="F161" i="10" s="1"/>
  <c r="D230" i="10"/>
  <c r="D3" i="10"/>
  <c r="E12" i="10"/>
  <c r="F12" i="10" s="1"/>
  <c r="D16" i="10"/>
  <c r="E30" i="10"/>
  <c r="F30" i="10" s="1"/>
  <c r="D40" i="10"/>
  <c r="E48" i="10"/>
  <c r="F48" i="10" s="1"/>
  <c r="D78" i="10"/>
  <c r="E170" i="10"/>
  <c r="F170" i="10" s="1"/>
  <c r="E174" i="10"/>
  <c r="F174" i="10" s="1"/>
  <c r="E178" i="10"/>
  <c r="F178" i="10" s="1"/>
  <c r="E182" i="10"/>
  <c r="F182" i="10" s="1"/>
  <c r="E186" i="10"/>
  <c r="F186" i="10" s="1"/>
  <c r="D195" i="10"/>
  <c r="E197" i="10"/>
  <c r="F197" i="10" s="1"/>
  <c r="D208" i="10"/>
  <c r="E210" i="10"/>
  <c r="F210" i="10" s="1"/>
  <c r="D219" i="10"/>
  <c r="D226" i="10"/>
  <c r="D231" i="10"/>
  <c r="D238" i="10"/>
  <c r="E244" i="10"/>
  <c r="F244" i="10" s="1"/>
  <c r="E84" i="10"/>
  <c r="F84" i="10" s="1"/>
  <c r="E24" i="10"/>
  <c r="F24" i="10" s="1"/>
  <c r="E180" i="10"/>
  <c r="F180" i="10" s="1"/>
  <c r="D8" i="10"/>
  <c r="D194" i="10"/>
  <c r="E207" i="10"/>
  <c r="F207" i="10" s="1"/>
  <c r="E240" i="10"/>
  <c r="F240" i="10" s="1"/>
  <c r="D15" i="10"/>
  <c r="E62" i="10"/>
  <c r="F62" i="10" s="1"/>
  <c r="E157" i="10"/>
  <c r="F157" i="10" s="1"/>
  <c r="E194" i="10"/>
  <c r="F194" i="10" s="1"/>
  <c r="D203" i="10"/>
  <c r="D235" i="10"/>
  <c r="E9" i="10"/>
  <c r="F9" i="10" s="1"/>
  <c r="D13" i="10"/>
  <c r="D27" i="10"/>
  <c r="D41" i="10"/>
  <c r="D82" i="10"/>
  <c r="D193" i="10"/>
  <c r="E195" i="10"/>
  <c r="F195" i="10" s="1"/>
  <c r="D206" i="10"/>
  <c r="E208" i="10"/>
  <c r="F208" i="10" s="1"/>
  <c r="D217" i="10"/>
  <c r="E219" i="10"/>
  <c r="F219" i="10" s="1"/>
  <c r="E222" i="10"/>
  <c r="F222" i="10" s="1"/>
  <c r="E231" i="10"/>
  <c r="F231" i="10" s="1"/>
  <c r="E234" i="10"/>
  <c r="F234" i="10" s="1"/>
  <c r="E172" i="10"/>
  <c r="F172" i="10" s="1"/>
  <c r="D232" i="10"/>
  <c r="E4" i="10"/>
  <c r="F4" i="10" s="1"/>
  <c r="D46" i="10"/>
  <c r="D205" i="10"/>
  <c r="E228" i="10"/>
  <c r="F228" i="10" s="1"/>
  <c r="D5" i="10"/>
  <c r="E46" i="10"/>
  <c r="F46" i="10" s="1"/>
  <c r="E149" i="10"/>
  <c r="F149" i="10" s="1"/>
  <c r="D223" i="10"/>
  <c r="E6" i="10"/>
  <c r="F6" i="10" s="1"/>
  <c r="D10" i="10"/>
  <c r="E20" i="10"/>
  <c r="F20" i="10" s="1"/>
  <c r="E37" i="10"/>
  <c r="F37" i="10" s="1"/>
  <c r="E52" i="10"/>
  <c r="F52" i="10" s="1"/>
  <c r="E56" i="10"/>
  <c r="F56" i="10" s="1"/>
  <c r="E60" i="10"/>
  <c r="F60" i="10" s="1"/>
  <c r="E64" i="10"/>
  <c r="F64" i="10" s="1"/>
  <c r="E139" i="10"/>
  <c r="F139" i="10" s="1"/>
  <c r="E143" i="10"/>
  <c r="F143" i="10" s="1"/>
  <c r="E147" i="10"/>
  <c r="F147" i="10" s="1"/>
  <c r="E151" i="10"/>
  <c r="F151" i="10" s="1"/>
  <c r="E155" i="10"/>
  <c r="F155" i="10" s="1"/>
  <c r="E159" i="10"/>
  <c r="F159" i="10" s="1"/>
  <c r="E163" i="10"/>
  <c r="F163" i="10" s="1"/>
  <c r="E167" i="10"/>
  <c r="F167" i="10" s="1"/>
  <c r="D191" i="10"/>
  <c r="E193" i="10"/>
  <c r="F193" i="10" s="1"/>
  <c r="D204" i="10"/>
  <c r="E206" i="10"/>
  <c r="F206" i="10" s="1"/>
  <c r="D215" i="10"/>
  <c r="E217" i="10"/>
  <c r="F217" i="10" s="1"/>
  <c r="D224" i="10"/>
  <c r="D229" i="10"/>
  <c r="D236" i="10"/>
  <c r="D241" i="10"/>
  <c r="E7" i="10"/>
  <c r="F7" i="10" s="1"/>
  <c r="D39" i="10"/>
  <c r="E198" i="10"/>
  <c r="F198" i="10" s="1"/>
  <c r="D220" i="10"/>
  <c r="D25" i="10"/>
  <c r="D218" i="10"/>
  <c r="E246" i="10"/>
  <c r="F246" i="10" s="1"/>
  <c r="D29" i="10"/>
  <c r="E145" i="10"/>
  <c r="F145" i="10" s="1"/>
  <c r="E169" i="10"/>
  <c r="F169" i="10" s="1"/>
  <c r="D216" i="10"/>
  <c r="E3" i="10"/>
  <c r="F3" i="10" s="1"/>
  <c r="D7" i="10"/>
  <c r="E16" i="10"/>
  <c r="F16" i="10" s="1"/>
  <c r="D31" i="10"/>
  <c r="D34" i="10"/>
  <c r="E38" i="10"/>
  <c r="F38" i="10" s="1"/>
  <c r="E68" i="10"/>
  <c r="F68" i="10" s="1"/>
  <c r="E72" i="10"/>
  <c r="F72" i="10" s="1"/>
  <c r="E76" i="10"/>
  <c r="F76" i="10" s="1"/>
  <c r="E171" i="10"/>
  <c r="F171" i="10" s="1"/>
  <c r="E175" i="10"/>
  <c r="F175" i="10" s="1"/>
  <c r="E179" i="10"/>
  <c r="F179" i="10" s="1"/>
  <c r="E183" i="10"/>
  <c r="F183" i="10" s="1"/>
  <c r="E187" i="10"/>
  <c r="F187" i="10" s="1"/>
  <c r="D189" i="10"/>
  <c r="E191" i="10"/>
  <c r="F191" i="10" s="1"/>
  <c r="E204" i="10"/>
  <c r="F204" i="10" s="1"/>
  <c r="D213" i="10"/>
  <c r="E220" i="10"/>
  <c r="F220" i="10" s="1"/>
  <c r="E229" i="10"/>
  <c r="F229" i="10" s="1"/>
  <c r="E232" i="10"/>
  <c r="F232" i="10" s="1"/>
  <c r="E241" i="10"/>
  <c r="F241" i="10" s="1"/>
  <c r="D22" i="10"/>
  <c r="D54" i="10"/>
  <c r="D72" i="10"/>
  <c r="E35" i="10"/>
  <c r="F35" i="10" s="1"/>
  <c r="E41" i="10"/>
  <c r="F41" i="10" s="1"/>
  <c r="D58" i="10"/>
  <c r="D76" i="10"/>
  <c r="E23" i="10"/>
  <c r="F23" i="10" s="1"/>
  <c r="D66" i="10"/>
  <c r="D84" i="10"/>
  <c r="D36" i="10"/>
  <c r="D42" i="10"/>
  <c r="D70" i="10"/>
  <c r="D88" i="10"/>
  <c r="E2" i="10"/>
  <c r="F2" i="10" s="1"/>
  <c r="E5" i="10"/>
  <c r="F5" i="10" s="1"/>
  <c r="E8" i="10"/>
  <c r="F8" i="10" s="1"/>
  <c r="E11" i="10"/>
  <c r="F11" i="10" s="1"/>
  <c r="E14" i="10"/>
  <c r="F14" i="10" s="1"/>
  <c r="E17" i="10"/>
  <c r="F17" i="10" s="1"/>
  <c r="D30" i="10"/>
  <c r="F160" i="10"/>
  <c r="D243" i="10"/>
  <c r="D245" i="10"/>
  <c r="E102" i="10"/>
  <c r="F102" i="10" s="1"/>
  <c r="D102" i="10"/>
  <c r="E150" i="10"/>
  <c r="F150" i="10" s="1"/>
  <c r="D150" i="10"/>
  <c r="E43" i="10"/>
  <c r="F43" i="10" s="1"/>
  <c r="D43" i="10"/>
  <c r="E51" i="10"/>
  <c r="F51" i="10" s="1"/>
  <c r="D51" i="10"/>
  <c r="E59" i="10"/>
  <c r="F59" i="10" s="1"/>
  <c r="D59" i="10"/>
  <c r="E65" i="10"/>
  <c r="F65" i="10" s="1"/>
  <c r="D65" i="10"/>
  <c r="E71" i="10"/>
  <c r="F71" i="10" s="1"/>
  <c r="D71" i="10"/>
  <c r="E77" i="10"/>
  <c r="F77" i="10" s="1"/>
  <c r="D77" i="10"/>
  <c r="E83" i="10"/>
  <c r="F83" i="10" s="1"/>
  <c r="D83" i="10"/>
  <c r="E89" i="10"/>
  <c r="F89" i="10" s="1"/>
  <c r="D89" i="10"/>
  <c r="E106" i="10"/>
  <c r="F106" i="10" s="1"/>
  <c r="D106" i="10"/>
  <c r="E113" i="10"/>
  <c r="F113" i="10" s="1"/>
  <c r="D113" i="10"/>
  <c r="E130" i="10"/>
  <c r="F130" i="10" s="1"/>
  <c r="D130" i="10"/>
  <c r="E137" i="10"/>
  <c r="F137" i="10" s="1"/>
  <c r="D137" i="10"/>
  <c r="E21" i="10"/>
  <c r="F21" i="10" s="1"/>
  <c r="E33" i="10"/>
  <c r="F33" i="10" s="1"/>
  <c r="D48" i="10"/>
  <c r="D56" i="10"/>
  <c r="E96" i="10"/>
  <c r="F96" i="10" s="1"/>
  <c r="D96" i="10"/>
  <c r="E103" i="10"/>
  <c r="F103" i="10" s="1"/>
  <c r="D103" i="10"/>
  <c r="E120" i="10"/>
  <c r="F120" i="10" s="1"/>
  <c r="D120" i="10"/>
  <c r="E127" i="10"/>
  <c r="F127" i="10" s="1"/>
  <c r="D127" i="10"/>
  <c r="E144" i="10"/>
  <c r="F144" i="10" s="1"/>
  <c r="D144" i="10"/>
  <c r="D19" i="10"/>
  <c r="D26" i="10"/>
  <c r="D38" i="10"/>
  <c r="E93" i="10"/>
  <c r="F93" i="10" s="1"/>
  <c r="D93" i="10"/>
  <c r="E110" i="10"/>
  <c r="F110" i="10" s="1"/>
  <c r="D110" i="10"/>
  <c r="E117" i="10"/>
  <c r="F117" i="10" s="1"/>
  <c r="D117" i="10"/>
  <c r="E134" i="10"/>
  <c r="F134" i="10" s="1"/>
  <c r="D134" i="10"/>
  <c r="E92" i="10"/>
  <c r="F92" i="10" s="1"/>
  <c r="D92" i="10"/>
  <c r="E99" i="10"/>
  <c r="F99" i="10" s="1"/>
  <c r="D99" i="10"/>
  <c r="E116" i="10"/>
  <c r="F116" i="10" s="1"/>
  <c r="D116" i="10"/>
  <c r="E123" i="10"/>
  <c r="F123" i="10" s="1"/>
  <c r="D123" i="10"/>
  <c r="E140" i="10"/>
  <c r="F140" i="10" s="1"/>
  <c r="D140" i="10"/>
  <c r="E31" i="10"/>
  <c r="F31" i="10" s="1"/>
  <c r="E49" i="10"/>
  <c r="F49" i="10" s="1"/>
  <c r="D49" i="10"/>
  <c r="E57" i="10"/>
  <c r="F57" i="10" s="1"/>
  <c r="D57" i="10"/>
  <c r="D62" i="10"/>
  <c r="D68" i="10"/>
  <c r="D74" i="10"/>
  <c r="D80" i="10"/>
  <c r="D86" i="10"/>
  <c r="E100" i="10"/>
  <c r="F100" i="10" s="1"/>
  <c r="D100" i="10"/>
  <c r="E107" i="10"/>
  <c r="F107" i="10" s="1"/>
  <c r="D107" i="10"/>
  <c r="E124" i="10"/>
  <c r="F124" i="10" s="1"/>
  <c r="D124" i="10"/>
  <c r="E131" i="10"/>
  <c r="F131" i="10" s="1"/>
  <c r="D131" i="10"/>
  <c r="E148" i="10"/>
  <c r="F148" i="10" s="1"/>
  <c r="D148" i="10"/>
  <c r="E63" i="10"/>
  <c r="F63" i="10" s="1"/>
  <c r="D63" i="10"/>
  <c r="E69" i="10"/>
  <c r="F69" i="10" s="1"/>
  <c r="D69" i="10"/>
  <c r="E75" i="10"/>
  <c r="F75" i="10" s="1"/>
  <c r="D75" i="10"/>
  <c r="E81" i="10"/>
  <c r="F81" i="10" s="1"/>
  <c r="D81" i="10"/>
  <c r="E87" i="10"/>
  <c r="F87" i="10" s="1"/>
  <c r="D87" i="10"/>
  <c r="E90" i="10"/>
  <c r="F90" i="10" s="1"/>
  <c r="D90" i="10"/>
  <c r="E97" i="10"/>
  <c r="F97" i="10" s="1"/>
  <c r="D97" i="10"/>
  <c r="E114" i="10"/>
  <c r="F114" i="10" s="1"/>
  <c r="D114" i="10"/>
  <c r="E121" i="10"/>
  <c r="F121" i="10" s="1"/>
  <c r="D121" i="10"/>
  <c r="E138" i="10"/>
  <c r="F138" i="10" s="1"/>
  <c r="D138" i="10"/>
  <c r="E104" i="10"/>
  <c r="F104" i="10" s="1"/>
  <c r="D104" i="10"/>
  <c r="E111" i="10"/>
  <c r="F111" i="10" s="1"/>
  <c r="D111" i="10"/>
  <c r="E128" i="10"/>
  <c r="F128" i="10" s="1"/>
  <c r="D128" i="10"/>
  <c r="E135" i="10"/>
  <c r="F135" i="10" s="1"/>
  <c r="D135" i="10"/>
  <c r="E152" i="10"/>
  <c r="F152" i="10" s="1"/>
  <c r="D152" i="10"/>
  <c r="E133" i="10"/>
  <c r="F133" i="10" s="1"/>
  <c r="D133" i="10"/>
  <c r="E47" i="10"/>
  <c r="F47" i="10" s="1"/>
  <c r="D47" i="10"/>
  <c r="E55" i="10"/>
  <c r="F55" i="10" s="1"/>
  <c r="D55" i="10"/>
  <c r="E94" i="10"/>
  <c r="F94" i="10" s="1"/>
  <c r="D94" i="10"/>
  <c r="E101" i="10"/>
  <c r="F101" i="10" s="1"/>
  <c r="D101" i="10"/>
  <c r="E118" i="10"/>
  <c r="F118" i="10" s="1"/>
  <c r="D118" i="10"/>
  <c r="E125" i="10"/>
  <c r="F125" i="10" s="1"/>
  <c r="D125" i="10"/>
  <c r="E142" i="10"/>
  <c r="F142" i="10" s="1"/>
  <c r="D142" i="10"/>
  <c r="E126" i="10"/>
  <c r="F126" i="10" s="1"/>
  <c r="D126" i="10"/>
  <c r="E27" i="10"/>
  <c r="F27" i="10" s="1"/>
  <c r="E39" i="10"/>
  <c r="F39" i="10" s="1"/>
  <c r="D44" i="10"/>
  <c r="D52" i="10"/>
  <c r="D60" i="10"/>
  <c r="E91" i="10"/>
  <c r="F91" i="10" s="1"/>
  <c r="D91" i="10"/>
  <c r="E108" i="10"/>
  <c r="F108" i="10" s="1"/>
  <c r="D108" i="10"/>
  <c r="E115" i="10"/>
  <c r="F115" i="10" s="1"/>
  <c r="D115" i="10"/>
  <c r="E132" i="10"/>
  <c r="F132" i="10" s="1"/>
  <c r="D132" i="10"/>
  <c r="E109" i="10"/>
  <c r="F109" i="10" s="1"/>
  <c r="D109" i="10"/>
  <c r="D20" i="10"/>
  <c r="D32" i="10"/>
  <c r="E61" i="10"/>
  <c r="F61" i="10" s="1"/>
  <c r="D61" i="10"/>
  <c r="E67" i="10"/>
  <c r="F67" i="10" s="1"/>
  <c r="D67" i="10"/>
  <c r="E73" i="10"/>
  <c r="F73" i="10" s="1"/>
  <c r="D73" i="10"/>
  <c r="E79" i="10"/>
  <c r="F79" i="10" s="1"/>
  <c r="D79" i="10"/>
  <c r="E85" i="10"/>
  <c r="F85" i="10" s="1"/>
  <c r="D85" i="10"/>
  <c r="E98" i="10"/>
  <c r="F98" i="10" s="1"/>
  <c r="D98" i="10"/>
  <c r="E105" i="10"/>
  <c r="F105" i="10" s="1"/>
  <c r="D105" i="10"/>
  <c r="E122" i="10"/>
  <c r="F122" i="10" s="1"/>
  <c r="D122" i="10"/>
  <c r="E129" i="10"/>
  <c r="F129" i="10" s="1"/>
  <c r="D129" i="10"/>
  <c r="E146" i="10"/>
  <c r="F146" i="10" s="1"/>
  <c r="D146" i="10"/>
  <c r="E25" i="10"/>
  <c r="F25" i="10" s="1"/>
  <c r="E45" i="10"/>
  <c r="F45" i="10" s="1"/>
  <c r="D45" i="10"/>
  <c r="E53" i="10"/>
  <c r="F53" i="10" s="1"/>
  <c r="D53" i="10"/>
  <c r="E95" i="10"/>
  <c r="F95" i="10" s="1"/>
  <c r="D95" i="10"/>
  <c r="E112" i="10"/>
  <c r="F112" i="10" s="1"/>
  <c r="D112" i="10"/>
  <c r="E119" i="10"/>
  <c r="F119" i="10" s="1"/>
  <c r="D119" i="10"/>
  <c r="E136" i="10"/>
  <c r="F136" i="10" s="1"/>
  <c r="D136" i="10"/>
  <c r="D154" i="10"/>
  <c r="D156" i="10"/>
  <c r="D158" i="10"/>
  <c r="D160" i="10"/>
  <c r="D162" i="10"/>
  <c r="D164" i="10"/>
  <c r="D166" i="10"/>
  <c r="D168" i="10"/>
  <c r="D170" i="10"/>
  <c r="D172" i="10"/>
  <c r="D174" i="10"/>
  <c r="D176" i="10"/>
  <c r="D178" i="10"/>
  <c r="D180" i="10"/>
  <c r="D182" i="10"/>
  <c r="D184" i="10"/>
  <c r="D186" i="10"/>
  <c r="D139" i="10"/>
  <c r="D141" i="10"/>
  <c r="D143" i="10"/>
  <c r="D145" i="10"/>
  <c r="D147" i="10"/>
  <c r="D149" i="10"/>
  <c r="D151" i="10"/>
  <c r="D153" i="10"/>
  <c r="D155" i="10"/>
  <c r="D157" i="10"/>
  <c r="D159" i="10"/>
  <c r="D161" i="10"/>
  <c r="D163" i="10"/>
  <c r="D165" i="10"/>
  <c r="D167" i="10"/>
  <c r="D169" i="10"/>
  <c r="D171" i="10"/>
  <c r="D173" i="10"/>
  <c r="D175" i="10"/>
  <c r="D177" i="10"/>
  <c r="D179" i="10"/>
  <c r="D181" i="10"/>
  <c r="D183" i="10"/>
  <c r="D185" i="10"/>
  <c r="D187" i="10"/>
  <c r="T95" i="54"/>
  <c r="T28" i="54"/>
  <c r="R98" i="54"/>
  <c r="R32" i="54"/>
  <c r="R25" i="54"/>
  <c r="R8" i="54"/>
  <c r="R68" i="54"/>
  <c r="T83" i="54"/>
  <c r="R90" i="54"/>
  <c r="R76" i="54"/>
  <c r="R4" i="54"/>
  <c r="T15" i="54"/>
  <c r="T24" i="54"/>
  <c r="R51" i="54"/>
  <c r="T49" i="54"/>
  <c r="R78" i="54"/>
  <c r="R94" i="54"/>
  <c r="T11" i="54"/>
  <c r="R21" i="54"/>
  <c r="T20" i="54"/>
  <c r="T40" i="54"/>
  <c r="T67" i="54"/>
  <c r="R10" i="54"/>
  <c r="T75" i="54"/>
  <c r="R82" i="54"/>
  <c r="T97" i="54"/>
  <c r="R99" i="54"/>
  <c r="R23" i="54"/>
  <c r="T33" i="54"/>
  <c r="R57" i="54"/>
  <c r="T37" i="54"/>
  <c r="R100" i="54"/>
  <c r="T30" i="54"/>
  <c r="R44" i="54"/>
  <c r="R72" i="54"/>
  <c r="R96" i="54"/>
  <c r="A2" i="7"/>
  <c r="I2" i="7" s="1"/>
  <c r="I179" i="7"/>
  <c r="R97" i="54"/>
  <c r="T99" i="54"/>
  <c r="T10" i="54"/>
  <c r="R67" i="54"/>
  <c r="R11" i="54"/>
  <c r="R2" i="54"/>
  <c r="T54" i="54"/>
  <c r="R15" i="54"/>
  <c r="R6" i="54"/>
  <c r="T101" i="54"/>
  <c r="T94" i="54"/>
  <c r="T78" i="54"/>
  <c r="R85" i="54"/>
  <c r="T85" i="54"/>
  <c r="R24" i="54"/>
  <c r="R49" i="54"/>
  <c r="R46" i="54"/>
  <c r="T46" i="54"/>
  <c r="T51" i="54"/>
  <c r="T90" i="54"/>
  <c r="T76" i="54"/>
  <c r="T77" i="54"/>
  <c r="T68" i="54"/>
  <c r="R83" i="54"/>
  <c r="T25" i="54"/>
  <c r="R77" i="54"/>
  <c r="T8" i="54"/>
  <c r="R13" i="54"/>
  <c r="T13" i="54"/>
  <c r="T71" i="54"/>
  <c r="R3" i="54"/>
  <c r="R42" i="54"/>
  <c r="R56" i="54"/>
  <c r="R59" i="54"/>
  <c r="T4" i="54"/>
  <c r="T39" i="54"/>
  <c r="R41" i="54"/>
  <c r="R62" i="54"/>
  <c r="R80" i="54"/>
  <c r="R93" i="54"/>
  <c r="R84" i="54"/>
  <c r="T91" i="54"/>
  <c r="T59" i="54"/>
  <c r="T43" i="54"/>
  <c r="R34" i="54"/>
  <c r="R47" i="54"/>
  <c r="R43" i="54"/>
  <c r="T47" i="54"/>
  <c r="T34" i="54"/>
  <c r="T42" i="54"/>
  <c r="T31" i="54"/>
  <c r="T18" i="54"/>
  <c r="T56" i="54"/>
  <c r="R79" i="54"/>
  <c r="T65" i="54"/>
  <c r="T3" i="54"/>
  <c r="T32" i="54"/>
  <c r="T79" i="54"/>
  <c r="R65" i="54"/>
  <c r="R71" i="54"/>
  <c r="R18" i="54"/>
  <c r="T89" i="54"/>
  <c r="T41" i="54"/>
  <c r="T48" i="54"/>
  <c r="T36" i="54"/>
  <c r="T72" i="54"/>
  <c r="R33" i="54"/>
  <c r="T23" i="54"/>
  <c r="T38" i="54"/>
  <c r="R26" i="54"/>
  <c r="R36" i="54"/>
  <c r="T26" i="54"/>
  <c r="R38" i="54"/>
  <c r="R30" i="54"/>
  <c r="T44" i="54"/>
  <c r="R89" i="54"/>
  <c r="T100" i="54"/>
  <c r="R37" i="54"/>
  <c r="T60" i="54"/>
  <c r="R60" i="54"/>
  <c r="T57" i="54"/>
  <c r="T61" i="54"/>
  <c r="T14" i="54"/>
  <c r="T19" i="54"/>
  <c r="R88" i="54"/>
  <c r="T64" i="54"/>
  <c r="R70" i="54"/>
  <c r="T88" i="54"/>
  <c r="T70" i="54"/>
  <c r="R12" i="54"/>
  <c r="T16" i="54"/>
  <c r="R7" i="54"/>
  <c r="R64" i="54"/>
  <c r="R81" i="54"/>
  <c r="T7" i="54"/>
  <c r="T96" i="54"/>
  <c r="R35" i="54"/>
  <c r="T69" i="54"/>
  <c r="T17" i="54"/>
  <c r="R29" i="54"/>
  <c r="R73" i="54"/>
  <c r="T73" i="54"/>
  <c r="R95" i="54"/>
  <c r="R50" i="54"/>
  <c r="T81" i="54"/>
  <c r="T62" i="54"/>
  <c r="R39" i="54"/>
  <c r="R75" i="54"/>
  <c r="R20" i="54"/>
  <c r="T21" i="54"/>
  <c r="T82" i="54"/>
  <c r="R48" i="54"/>
  <c r="R27" i="54"/>
  <c r="T80" i="54"/>
  <c r="R74" i="54"/>
  <c r="T93" i="54"/>
  <c r="R91" i="54"/>
  <c r="T74" i="54"/>
  <c r="T27" i="54"/>
  <c r="R40" i="54"/>
  <c r="T84" i="54"/>
  <c r="U14" i="61" l="1"/>
  <c r="Z14" i="61" s="1"/>
  <c r="AB47" i="18"/>
  <c r="P48" i="18"/>
  <c r="P49" i="18"/>
  <c r="P46" i="18"/>
  <c r="Q46" i="18" s="1"/>
  <c r="AB81" i="89"/>
  <c r="AB71" i="89"/>
  <c r="AB84" i="89"/>
  <c r="AB31" i="89"/>
  <c r="AB35" i="89"/>
  <c r="AB68" i="89"/>
  <c r="AB98" i="89"/>
  <c r="AB62" i="89"/>
  <c r="AB95" i="89"/>
  <c r="AB52" i="89"/>
  <c r="AB72" i="89"/>
  <c r="AB15" i="89"/>
  <c r="AB38" i="89"/>
  <c r="AB54" i="89"/>
  <c r="AB90" i="89"/>
  <c r="AB78" i="89"/>
  <c r="AB92" i="89"/>
  <c r="AB64" i="89"/>
  <c r="AB103" i="89"/>
  <c r="AB101" i="89"/>
  <c r="AB43" i="89"/>
  <c r="AB7" i="89"/>
  <c r="AB45" i="89"/>
  <c r="AB19" i="89"/>
  <c r="AB34" i="89"/>
  <c r="AB41" i="89"/>
  <c r="AB12" i="89"/>
  <c r="AB105" i="89"/>
  <c r="AB11" i="89"/>
  <c r="AB55" i="89"/>
  <c r="AB96" i="89"/>
  <c r="AB23" i="89"/>
  <c r="AB75" i="89"/>
  <c r="AB50" i="89"/>
  <c r="AB22" i="89"/>
  <c r="AB51" i="89"/>
  <c r="AB4" i="89"/>
  <c r="AB21" i="89"/>
  <c r="AB61" i="89"/>
  <c r="AB85" i="89"/>
  <c r="AB53" i="89"/>
  <c r="AB44" i="89"/>
  <c r="AB87" i="89"/>
  <c r="AB25" i="89"/>
  <c r="AB26" i="89"/>
  <c r="AB93" i="89"/>
  <c r="AB29" i="89"/>
  <c r="AB106" i="89"/>
  <c r="AB17" i="89"/>
  <c r="AB70" i="89"/>
  <c r="AB102" i="89"/>
  <c r="AB83" i="89"/>
  <c r="AB49" i="89"/>
  <c r="AB36" i="89"/>
  <c r="AB10" i="89"/>
  <c r="AB69" i="89"/>
  <c r="AB42" i="89"/>
  <c r="AB3" i="89"/>
  <c r="AB76" i="89"/>
  <c r="AB82" i="89"/>
  <c r="AB91" i="89"/>
  <c r="AB58" i="89"/>
  <c r="AB30" i="89"/>
  <c r="AB16" i="89"/>
  <c r="AB48" i="89"/>
  <c r="AB28" i="89"/>
  <c r="AB60" i="89"/>
  <c r="AB67" i="89"/>
  <c r="AB74" i="89"/>
  <c r="AB79" i="89"/>
  <c r="AB80" i="89"/>
  <c r="AB20" i="89"/>
  <c r="AB88" i="89"/>
  <c r="AB89" i="89"/>
  <c r="AB56" i="89"/>
  <c r="AB24" i="89"/>
  <c r="AB8" i="89"/>
  <c r="AB18" i="89"/>
  <c r="AB47" i="89"/>
  <c r="AB66" i="89"/>
  <c r="AB57" i="89"/>
  <c r="AB40" i="89"/>
  <c r="AB6" i="89"/>
  <c r="AB99" i="89"/>
  <c r="AB65" i="89"/>
  <c r="AB77" i="89"/>
  <c r="AB86" i="89"/>
  <c r="AB46" i="89"/>
  <c r="AB14" i="89"/>
  <c r="AB33" i="89"/>
  <c r="AB9" i="89"/>
  <c r="AB39" i="89"/>
  <c r="AB2" i="89"/>
  <c r="AB97" i="89"/>
  <c r="AB63" i="89"/>
  <c r="AB59" i="89"/>
  <c r="AB32" i="89"/>
  <c r="AB73" i="89"/>
  <c r="AB94" i="89"/>
  <c r="AB37" i="89"/>
  <c r="AB104" i="89"/>
  <c r="AB27" i="89"/>
  <c r="AB100" i="89"/>
  <c r="AB13" i="89"/>
  <c r="AB5" i="89"/>
  <c r="R214" i="6"/>
  <c r="S215" i="6"/>
  <c r="S231" i="6"/>
  <c r="R186" i="6"/>
  <c r="S201" i="6"/>
  <c r="S207" i="6"/>
  <c r="S192" i="6"/>
  <c r="S219" i="6"/>
  <c r="R220" i="6"/>
  <c r="S227" i="6"/>
  <c r="R230" i="6"/>
  <c r="S230" i="6"/>
  <c r="S212" i="6"/>
  <c r="R222" i="6"/>
  <c r="R210" i="6"/>
  <c r="S195" i="6"/>
  <c r="S224" i="6"/>
  <c r="P184" i="7"/>
  <c r="S223" i="6"/>
  <c r="S200" i="6"/>
  <c r="S193" i="6"/>
  <c r="S204" i="6"/>
  <c r="R188" i="6"/>
  <c r="S216" i="6"/>
  <c r="S189" i="6"/>
  <c r="S206" i="6"/>
  <c r="S217" i="6"/>
  <c r="S190" i="6"/>
  <c r="S199" i="6"/>
  <c r="S218" i="6"/>
  <c r="S191" i="6"/>
  <c r="F185" i="6"/>
  <c r="S221" i="6"/>
  <c r="S202" i="6"/>
  <c r="S208" i="6"/>
  <c r="S226" i="6"/>
  <c r="S209" i="6"/>
  <c r="A11" i="6"/>
  <c r="X11" i="7"/>
  <c r="A153" i="6"/>
  <c r="X153" i="7"/>
  <c r="A38" i="6"/>
  <c r="X38" i="7"/>
  <c r="A18" i="6"/>
  <c r="X18" i="7"/>
  <c r="A174" i="6"/>
  <c r="X174" i="7"/>
  <c r="A134" i="6"/>
  <c r="X134" i="7"/>
  <c r="A33" i="6"/>
  <c r="X33" i="7"/>
  <c r="A10" i="6"/>
  <c r="X10" i="7"/>
  <c r="A47" i="6"/>
  <c r="X47" i="7"/>
  <c r="A60" i="6"/>
  <c r="X60" i="7"/>
  <c r="A49" i="6"/>
  <c r="X49" i="7"/>
  <c r="A64" i="6"/>
  <c r="X64" i="7"/>
  <c r="A67" i="6"/>
  <c r="X67" i="7"/>
  <c r="A118" i="6"/>
  <c r="X118" i="7"/>
  <c r="A86" i="6"/>
  <c r="X86" i="7"/>
  <c r="A27" i="6"/>
  <c r="X27" i="7"/>
  <c r="X181" i="7"/>
  <c r="A181" i="6"/>
  <c r="A28" i="6"/>
  <c r="X28" i="7"/>
  <c r="A25" i="6"/>
  <c r="X25" i="7"/>
  <c r="A6" i="6"/>
  <c r="X6" i="7"/>
  <c r="A162" i="6"/>
  <c r="X162" i="7"/>
  <c r="X74" i="7"/>
  <c r="A74" i="6"/>
  <c r="A21" i="6"/>
  <c r="X21" i="7"/>
  <c r="A165" i="6"/>
  <c r="X165" i="7"/>
  <c r="A35" i="6"/>
  <c r="X35" i="7"/>
  <c r="A48" i="6"/>
  <c r="X48" i="7"/>
  <c r="A37" i="6"/>
  <c r="X37" i="7"/>
  <c r="A52" i="6"/>
  <c r="X52" i="7"/>
  <c r="A55" i="6"/>
  <c r="X55" i="7"/>
  <c r="A106" i="6"/>
  <c r="X106" i="7"/>
  <c r="A50" i="6"/>
  <c r="X50" i="7"/>
  <c r="A88" i="6"/>
  <c r="X88" i="7"/>
  <c r="A124" i="6"/>
  <c r="X124" i="7"/>
  <c r="A135" i="6"/>
  <c r="X135" i="7"/>
  <c r="A30" i="6"/>
  <c r="X30" i="7"/>
  <c r="A7" i="6"/>
  <c r="X7" i="7"/>
  <c r="A8" i="6"/>
  <c r="X8" i="7"/>
  <c r="A45" i="6"/>
  <c r="X45" i="7"/>
  <c r="A22" i="6"/>
  <c r="X22" i="7"/>
  <c r="A59" i="6"/>
  <c r="X59" i="7"/>
  <c r="A72" i="6"/>
  <c r="X72" i="7"/>
  <c r="A73" i="6"/>
  <c r="X73" i="7"/>
  <c r="A76" i="6"/>
  <c r="X76" i="7"/>
  <c r="A91" i="6"/>
  <c r="X91" i="7"/>
  <c r="A130" i="6"/>
  <c r="X130" i="7"/>
  <c r="X146" i="7"/>
  <c r="A146" i="6"/>
  <c r="X138" i="7"/>
  <c r="A138" i="6"/>
  <c r="A24" i="6"/>
  <c r="X24" i="7"/>
  <c r="A82" i="6"/>
  <c r="X82" i="7"/>
  <c r="A17" i="6"/>
  <c r="X17" i="7"/>
  <c r="R197" i="6"/>
  <c r="S197" i="6"/>
  <c r="A179" i="6"/>
  <c r="X179" i="7"/>
  <c r="A150" i="6"/>
  <c r="X150" i="7"/>
  <c r="A40" i="6"/>
  <c r="X40" i="7"/>
  <c r="A159" i="6"/>
  <c r="X159" i="7"/>
  <c r="A42" i="6"/>
  <c r="X42" i="7"/>
  <c r="A19" i="6"/>
  <c r="X19" i="7"/>
  <c r="A32" i="6"/>
  <c r="X32" i="7"/>
  <c r="A57" i="6"/>
  <c r="X57" i="7"/>
  <c r="A34" i="6"/>
  <c r="X34" i="7"/>
  <c r="A71" i="6"/>
  <c r="X71" i="7"/>
  <c r="A84" i="6"/>
  <c r="X84" i="7"/>
  <c r="A85" i="6"/>
  <c r="X85" i="7"/>
  <c r="A100" i="6"/>
  <c r="X100" i="7"/>
  <c r="A20" i="6"/>
  <c r="X20" i="7"/>
  <c r="A142" i="6"/>
  <c r="X142" i="7"/>
  <c r="A3" i="6"/>
  <c r="X3" i="7"/>
  <c r="A89" i="6"/>
  <c r="X89" i="7"/>
  <c r="A171" i="6"/>
  <c r="X171" i="7"/>
  <c r="A98" i="6"/>
  <c r="X98" i="7"/>
  <c r="A163" i="6"/>
  <c r="X163" i="7"/>
  <c r="A9" i="6"/>
  <c r="X9" i="7"/>
  <c r="A36" i="6"/>
  <c r="X36" i="7"/>
  <c r="X94" i="7"/>
  <c r="A94" i="6"/>
  <c r="A182" i="6"/>
  <c r="X182" i="7"/>
  <c r="A149" i="6"/>
  <c r="X149" i="7"/>
  <c r="A178" i="6"/>
  <c r="X178" i="7"/>
  <c r="X155" i="7"/>
  <c r="A155" i="6"/>
  <c r="A66" i="6"/>
  <c r="X66" i="7"/>
  <c r="A79" i="6"/>
  <c r="X79" i="7"/>
  <c r="A92" i="6"/>
  <c r="X92" i="7"/>
  <c r="A81" i="6"/>
  <c r="X81" i="7"/>
  <c r="A58" i="6"/>
  <c r="X58" i="7"/>
  <c r="A95" i="6"/>
  <c r="X95" i="7"/>
  <c r="A108" i="6"/>
  <c r="X108" i="7"/>
  <c r="X145" i="7"/>
  <c r="A145" i="6"/>
  <c r="A136" i="6"/>
  <c r="X136" i="7"/>
  <c r="A56" i="6"/>
  <c r="X56" i="7"/>
  <c r="A107" i="6"/>
  <c r="X107" i="7"/>
  <c r="A51" i="6"/>
  <c r="X51" i="7"/>
  <c r="A125" i="6"/>
  <c r="X125" i="7"/>
  <c r="A147" i="6"/>
  <c r="X147" i="7"/>
  <c r="A133" i="6"/>
  <c r="X133" i="7"/>
  <c r="A166" i="6"/>
  <c r="X166" i="7"/>
  <c r="S211" i="6"/>
  <c r="A176" i="6"/>
  <c r="X176" i="7"/>
  <c r="A13" i="6"/>
  <c r="X13" i="7"/>
  <c r="A78" i="6"/>
  <c r="X78" i="7"/>
  <c r="A26" i="6"/>
  <c r="X26" i="7"/>
  <c r="A23" i="6"/>
  <c r="X23" i="7"/>
  <c r="A90" i="6"/>
  <c r="X90" i="7"/>
  <c r="A103" i="6"/>
  <c r="X103" i="7"/>
  <c r="A104" i="6"/>
  <c r="X104" i="7"/>
  <c r="A93" i="6"/>
  <c r="X93" i="7"/>
  <c r="A70" i="6"/>
  <c r="X70" i="7"/>
  <c r="X119" i="7"/>
  <c r="A119" i="6"/>
  <c r="X132" i="7"/>
  <c r="A132" i="6"/>
  <c r="X157" i="7"/>
  <c r="A157" i="6"/>
  <c r="A148" i="6"/>
  <c r="X148" i="7"/>
  <c r="A80" i="6"/>
  <c r="X80" i="7"/>
  <c r="A131" i="6"/>
  <c r="X131" i="7"/>
  <c r="A63" i="6"/>
  <c r="X63" i="7"/>
  <c r="A102" i="6"/>
  <c r="X102" i="7"/>
  <c r="A127" i="6"/>
  <c r="X127" i="7"/>
  <c r="A116" i="6"/>
  <c r="X116" i="7"/>
  <c r="A105" i="6"/>
  <c r="X105" i="7"/>
  <c r="A62" i="6"/>
  <c r="X62" i="7"/>
  <c r="X143" i="7"/>
  <c r="A143" i="6"/>
  <c r="A144" i="6"/>
  <c r="X144" i="7"/>
  <c r="X169" i="7"/>
  <c r="A169" i="6"/>
  <c r="A172" i="6"/>
  <c r="X172" i="7"/>
  <c r="A152" i="6"/>
  <c r="X152" i="7"/>
  <c r="X120" i="7"/>
  <c r="A120" i="6"/>
  <c r="A75" i="6"/>
  <c r="X75" i="7"/>
  <c r="X158" i="7"/>
  <c r="A158" i="6"/>
  <c r="A77" i="6"/>
  <c r="X77" i="7"/>
  <c r="A5" i="6"/>
  <c r="X5" i="7"/>
  <c r="A175" i="6"/>
  <c r="X175" i="7"/>
  <c r="A43" i="6"/>
  <c r="X43" i="7"/>
  <c r="A114" i="6"/>
  <c r="X114" i="7"/>
  <c r="A139" i="6"/>
  <c r="X139" i="7"/>
  <c r="A140" i="6"/>
  <c r="X140" i="7"/>
  <c r="A117" i="6"/>
  <c r="X117" i="7"/>
  <c r="A110" i="6"/>
  <c r="X110" i="7"/>
  <c r="X167" i="7"/>
  <c r="A167" i="6"/>
  <c r="A156" i="6"/>
  <c r="X156" i="7"/>
  <c r="A4" i="6"/>
  <c r="X4" i="7"/>
  <c r="A123" i="6"/>
  <c r="X123" i="7"/>
  <c r="A65" i="6"/>
  <c r="X65" i="7"/>
  <c r="A128" i="6"/>
  <c r="X128" i="7"/>
  <c r="A141" i="6"/>
  <c r="X141" i="7"/>
  <c r="X126" i="7"/>
  <c r="A126" i="6"/>
  <c r="A151" i="6"/>
  <c r="X151" i="7"/>
  <c r="A164" i="6"/>
  <c r="X164" i="7"/>
  <c r="A129" i="6"/>
  <c r="X129" i="7"/>
  <c r="X170" i="7"/>
  <c r="A170" i="6"/>
  <c r="A12" i="6"/>
  <c r="X12" i="7"/>
  <c r="A168" i="6"/>
  <c r="X168" i="7"/>
  <c r="A16" i="6"/>
  <c r="X16" i="7"/>
  <c r="A173" i="6"/>
  <c r="X173" i="7"/>
  <c r="A177" i="6"/>
  <c r="X177" i="7"/>
  <c r="A14" i="6"/>
  <c r="X14" i="7"/>
  <c r="A111" i="6"/>
  <c r="X111" i="7"/>
  <c r="A115" i="6"/>
  <c r="X115" i="7"/>
  <c r="A41" i="6"/>
  <c r="X41" i="7"/>
  <c r="X180" i="7"/>
  <c r="A180" i="6"/>
  <c r="X184" i="7"/>
  <c r="A184" i="6"/>
  <c r="R196" i="6"/>
  <c r="S196" i="6"/>
  <c r="A54" i="6"/>
  <c r="X54" i="7"/>
  <c r="A31" i="6"/>
  <c r="X31" i="7"/>
  <c r="A68" i="6"/>
  <c r="X68" i="7"/>
  <c r="A69" i="6"/>
  <c r="X69" i="7"/>
  <c r="A46" i="6"/>
  <c r="X46" i="7"/>
  <c r="A83" i="6"/>
  <c r="X83" i="7"/>
  <c r="A96" i="6"/>
  <c r="X96" i="7"/>
  <c r="A121" i="6"/>
  <c r="X121" i="7"/>
  <c r="A112" i="6"/>
  <c r="X112" i="7"/>
  <c r="A44" i="6"/>
  <c r="X44" i="7"/>
  <c r="A154" i="6"/>
  <c r="X154" i="7"/>
  <c r="A39" i="6"/>
  <c r="X39" i="7"/>
  <c r="A109" i="6"/>
  <c r="X109" i="7"/>
  <c r="A101" i="6"/>
  <c r="X101" i="7"/>
  <c r="S213" i="6"/>
  <c r="A53" i="6"/>
  <c r="X53" i="7"/>
  <c r="A137" i="6"/>
  <c r="X137" i="7"/>
  <c r="A61" i="6"/>
  <c r="X61" i="7"/>
  <c r="A99" i="6"/>
  <c r="X99" i="7"/>
  <c r="A113" i="6"/>
  <c r="X113" i="7"/>
  <c r="A122" i="6"/>
  <c r="X122" i="7"/>
  <c r="A161" i="6"/>
  <c r="X161" i="7"/>
  <c r="A183" i="6"/>
  <c r="X183" i="7"/>
  <c r="S185" i="6"/>
  <c r="AB2" i="5"/>
  <c r="P100" i="81"/>
  <c r="AB54" i="5"/>
  <c r="AB103" i="5"/>
  <c r="AB19" i="5"/>
  <c r="AB84" i="5"/>
  <c r="AB99" i="5"/>
  <c r="AB91" i="5"/>
  <c r="AB106" i="5"/>
  <c r="AB87" i="5"/>
  <c r="AB50" i="5"/>
  <c r="AB67" i="5"/>
  <c r="AB96" i="5"/>
  <c r="AB32" i="5"/>
  <c r="AB42" i="5"/>
  <c r="AB57" i="5"/>
  <c r="AB85" i="5"/>
  <c r="AB60" i="5"/>
  <c r="AB77" i="5"/>
  <c r="AB105" i="5"/>
  <c r="AB37" i="5"/>
  <c r="AB16" i="5"/>
  <c r="AB65" i="5"/>
  <c r="AB55" i="5"/>
  <c r="AB73" i="5"/>
  <c r="AB6" i="5"/>
  <c r="AB75" i="5"/>
  <c r="AB80" i="5"/>
  <c r="AB7" i="5"/>
  <c r="AB34" i="5"/>
  <c r="AB89" i="5"/>
  <c r="AB21" i="5"/>
  <c r="AB29" i="5"/>
  <c r="AB93" i="5"/>
  <c r="AB12" i="5"/>
  <c r="AB86" i="5"/>
  <c r="AB92" i="5"/>
  <c r="AB18" i="5"/>
  <c r="AB83" i="5"/>
  <c r="AB97" i="5"/>
  <c r="AB14" i="5"/>
  <c r="AB25" i="5"/>
  <c r="AB31" i="5"/>
  <c r="AB28" i="5"/>
  <c r="AB13" i="5"/>
  <c r="AB71" i="5"/>
  <c r="AB35" i="5"/>
  <c r="AB22" i="5"/>
  <c r="AB51" i="5"/>
  <c r="AB23" i="5"/>
  <c r="AB10" i="5"/>
  <c r="AB15" i="5"/>
  <c r="AB47" i="5"/>
  <c r="AB90" i="5"/>
  <c r="AB38" i="5"/>
  <c r="AB43" i="5"/>
  <c r="AB40" i="5"/>
  <c r="AB59" i="5"/>
  <c r="AB61" i="5"/>
  <c r="AB100" i="5"/>
  <c r="AB4" i="5"/>
  <c r="AB24" i="5"/>
  <c r="AB36" i="5"/>
  <c r="AB70" i="5"/>
  <c r="AB30" i="5"/>
  <c r="AB81" i="5"/>
  <c r="AB44" i="5"/>
  <c r="AB5" i="5"/>
  <c r="AB66" i="5"/>
  <c r="AB9" i="5"/>
  <c r="AB3" i="5"/>
  <c r="AB101" i="5"/>
  <c r="AB95" i="5"/>
  <c r="AB45" i="5"/>
  <c r="AB48" i="5"/>
  <c r="AB33" i="5"/>
  <c r="AB56" i="5"/>
  <c r="AB49" i="5"/>
  <c r="AB74" i="5"/>
  <c r="AB76" i="5"/>
  <c r="AB41" i="5"/>
  <c r="AB94" i="5"/>
  <c r="AB17" i="5"/>
  <c r="AB53" i="5"/>
  <c r="AB62" i="5"/>
  <c r="AB88" i="5"/>
  <c r="AB39" i="5"/>
  <c r="AB63" i="5"/>
  <c r="AB58" i="5"/>
  <c r="AB26" i="5"/>
  <c r="AB46" i="5"/>
  <c r="AB102" i="5"/>
  <c r="AB68" i="5"/>
  <c r="AB8" i="5"/>
  <c r="AB69" i="5"/>
  <c r="AB20" i="5"/>
  <c r="AB64" i="5"/>
  <c r="AB11" i="5"/>
  <c r="AB72" i="5"/>
  <c r="AB104" i="5"/>
  <c r="AB98" i="5"/>
  <c r="AB52" i="5"/>
  <c r="AB27" i="5"/>
  <c r="AB78" i="5"/>
  <c r="AB82" i="5"/>
  <c r="AB79" i="5"/>
  <c r="P95" i="81"/>
  <c r="P93" i="81"/>
  <c r="P77" i="81"/>
  <c r="P72" i="81"/>
  <c r="S225" i="6"/>
  <c r="P29" i="74"/>
  <c r="S55" i="82"/>
  <c r="S30" i="82"/>
  <c r="P21" i="74"/>
  <c r="P6" i="74"/>
  <c r="P22" i="74"/>
  <c r="S6" i="83"/>
  <c r="S26" i="82"/>
  <c r="P19" i="74"/>
  <c r="S12" i="82"/>
  <c r="I13" i="53"/>
  <c r="I14" i="53" s="1"/>
  <c r="H7" i="53"/>
  <c r="S140" i="83"/>
  <c r="S21" i="83"/>
  <c r="P37" i="74"/>
  <c r="P4" i="74"/>
  <c r="P33" i="74"/>
  <c r="P24" i="74"/>
  <c r="P56" i="74"/>
  <c r="S20" i="82"/>
  <c r="S40" i="83"/>
  <c r="S26" i="83"/>
  <c r="S9" i="82"/>
  <c r="P127" i="74"/>
  <c r="S49" i="83"/>
  <c r="S127" i="83"/>
  <c r="P46" i="74"/>
  <c r="T40" i="83"/>
  <c r="P48" i="74"/>
  <c r="P18" i="74"/>
  <c r="S141" i="82"/>
  <c r="S23" i="82"/>
  <c r="S8" i="82"/>
  <c r="P92" i="81"/>
  <c r="S18" i="83"/>
  <c r="S66" i="82"/>
  <c r="P49" i="74"/>
  <c r="P183" i="7"/>
  <c r="I183" i="6" s="1"/>
  <c r="I184" i="6"/>
  <c r="I97" i="7"/>
  <c r="I160" i="7"/>
  <c r="P180" i="7"/>
  <c r="I180" i="6" s="1"/>
  <c r="P181" i="7"/>
  <c r="I181" i="6" s="1"/>
  <c r="I87" i="7"/>
  <c r="P182" i="7"/>
  <c r="I182" i="6" s="1"/>
  <c r="I15" i="7"/>
  <c r="AB12" i="18"/>
  <c r="Q6" i="18"/>
  <c r="Q7" i="18"/>
  <c r="T55" i="82"/>
  <c r="P114" i="74"/>
  <c r="S17" i="83"/>
  <c r="S37" i="83"/>
  <c r="T140" i="83"/>
  <c r="S111" i="83"/>
  <c r="S8" i="83"/>
  <c r="S29" i="83"/>
  <c r="S31" i="83"/>
  <c r="S30" i="83"/>
  <c r="S53" i="83"/>
  <c r="S141" i="83"/>
  <c r="S25" i="83"/>
  <c r="S117" i="83"/>
  <c r="S11" i="83"/>
  <c r="T18" i="83"/>
  <c r="P52" i="74"/>
  <c r="P15" i="74"/>
  <c r="S95" i="83"/>
  <c r="S45" i="83"/>
  <c r="S104" i="83"/>
  <c r="P47" i="81"/>
  <c r="P27" i="74"/>
  <c r="S133" i="83"/>
  <c r="S74" i="83"/>
  <c r="S106" i="83"/>
  <c r="P115" i="74"/>
  <c r="S54" i="83"/>
  <c r="P5" i="74"/>
  <c r="S56" i="83"/>
  <c r="S82" i="83"/>
  <c r="P17" i="74"/>
  <c r="S27" i="83"/>
  <c r="S67" i="83"/>
  <c r="S108" i="83"/>
  <c r="S96" i="83"/>
  <c r="S38" i="83"/>
  <c r="S5" i="83"/>
  <c r="S73" i="83"/>
  <c r="P126" i="74"/>
  <c r="S61" i="83"/>
  <c r="S136" i="83"/>
  <c r="S135" i="83"/>
  <c r="S62" i="83"/>
  <c r="S105" i="83"/>
  <c r="S80" i="83"/>
  <c r="S28" i="83"/>
  <c r="S93" i="83"/>
  <c r="S123" i="83"/>
  <c r="S142" i="83"/>
  <c r="S16" i="83"/>
  <c r="S35" i="83"/>
  <c r="S72" i="83"/>
  <c r="S51" i="83"/>
  <c r="S68" i="83"/>
  <c r="P12" i="74"/>
  <c r="S143" i="83"/>
  <c r="S130" i="83"/>
  <c r="S87" i="83"/>
  <c r="S23" i="83"/>
  <c r="S47" i="83"/>
  <c r="S10" i="83"/>
  <c r="S139" i="83"/>
  <c r="P100" i="74"/>
  <c r="S91" i="82"/>
  <c r="P65" i="74"/>
  <c r="P101" i="74"/>
  <c r="S131" i="83"/>
  <c r="S121" i="83"/>
  <c r="S90" i="83"/>
  <c r="T6" i="83"/>
  <c r="S41" i="83"/>
  <c r="P80" i="74"/>
  <c r="S103" i="83"/>
  <c r="S112" i="83"/>
  <c r="S75" i="83"/>
  <c r="S101" i="83"/>
  <c r="P92" i="74"/>
  <c r="P67" i="74"/>
  <c r="S91" i="83"/>
  <c r="S50" i="83"/>
  <c r="S128" i="83"/>
  <c r="S66" i="83"/>
  <c r="S97" i="83"/>
  <c r="S137" i="83"/>
  <c r="S94" i="83"/>
  <c r="S55" i="83"/>
  <c r="S14" i="83"/>
  <c r="S89" i="83"/>
  <c r="S120" i="83"/>
  <c r="S81" i="83"/>
  <c r="S15" i="83"/>
  <c r="S100" i="83"/>
  <c r="S34" i="83"/>
  <c r="S107" i="83"/>
  <c r="S114" i="83"/>
  <c r="S9" i="83"/>
  <c r="S125" i="83"/>
  <c r="S57" i="83"/>
  <c r="S132" i="83"/>
  <c r="S63" i="83"/>
  <c r="S70" i="83"/>
  <c r="S13" i="83"/>
  <c r="S77" i="83"/>
  <c r="S84" i="83"/>
  <c r="S32" i="82"/>
  <c r="S71" i="82"/>
  <c r="S110" i="83"/>
  <c r="S43" i="83"/>
  <c r="S138" i="83"/>
  <c r="S69" i="83"/>
  <c r="S115" i="83"/>
  <c r="S88" i="83"/>
  <c r="S22" i="83"/>
  <c r="S102" i="83"/>
  <c r="S36" i="83"/>
  <c r="S109" i="83"/>
  <c r="S42" i="83"/>
  <c r="S116" i="83"/>
  <c r="S2" i="83"/>
  <c r="S52" i="83"/>
  <c r="S59" i="83"/>
  <c r="S134" i="83"/>
  <c r="S65" i="83"/>
  <c r="S79" i="83"/>
  <c r="S94" i="82"/>
  <c r="P57" i="74"/>
  <c r="S87" i="82"/>
  <c r="S40" i="82"/>
  <c r="S98" i="83"/>
  <c r="S32" i="83"/>
  <c r="S126" i="83"/>
  <c r="S58" i="83"/>
  <c r="S48" i="83"/>
  <c r="S76" i="83"/>
  <c r="S83" i="83"/>
  <c r="S24" i="83"/>
  <c r="S4" i="83"/>
  <c r="S44" i="83"/>
  <c r="S118" i="83"/>
  <c r="S7" i="83"/>
  <c r="S122" i="83"/>
  <c r="S129" i="83"/>
  <c r="S60" i="83"/>
  <c r="S100" i="82"/>
  <c r="P45" i="74"/>
  <c r="S86" i="83"/>
  <c r="S20" i="83"/>
  <c r="S64" i="83"/>
  <c r="S71" i="83"/>
  <c r="S124" i="83"/>
  <c r="S78" i="83"/>
  <c r="S12" i="83"/>
  <c r="S85" i="83"/>
  <c r="S19" i="83"/>
  <c r="S92" i="83"/>
  <c r="S99" i="83"/>
  <c r="S33" i="83"/>
  <c r="S39" i="83"/>
  <c r="S113" i="83"/>
  <c r="S46" i="83"/>
  <c r="S119" i="83"/>
  <c r="S3" i="83"/>
  <c r="S119" i="82"/>
  <c r="S7" i="82"/>
  <c r="O118" i="7"/>
  <c r="H118" i="6" s="1"/>
  <c r="K31" i="7"/>
  <c r="D31" i="6" s="1"/>
  <c r="N89" i="7"/>
  <c r="G89" i="6" s="1"/>
  <c r="M113" i="7"/>
  <c r="F113" i="6" s="1"/>
  <c r="M176" i="7"/>
  <c r="F176" i="6" s="1"/>
  <c r="O143" i="7"/>
  <c r="H143" i="6" s="1"/>
  <c r="K47" i="7"/>
  <c r="D47" i="6" s="1"/>
  <c r="K66" i="7"/>
  <c r="D66" i="6" s="1"/>
  <c r="K18" i="7"/>
  <c r="D18" i="6" s="1"/>
  <c r="M169" i="7"/>
  <c r="F169" i="6" s="1"/>
  <c r="K13" i="7"/>
  <c r="D13" i="6" s="1"/>
  <c r="M84" i="7"/>
  <c r="F84" i="6" s="1"/>
  <c r="J152" i="7"/>
  <c r="C152" i="6" s="1"/>
  <c r="K171" i="7"/>
  <c r="D171" i="6" s="1"/>
  <c r="J51" i="7"/>
  <c r="C51" i="6" s="1"/>
  <c r="L12" i="7"/>
  <c r="E12" i="6" s="1"/>
  <c r="L108" i="7"/>
  <c r="E108" i="6" s="1"/>
  <c r="L178" i="7"/>
  <c r="E178" i="6" s="1"/>
  <c r="N93" i="7"/>
  <c r="G93" i="6" s="1"/>
  <c r="K3" i="7"/>
  <c r="D3" i="6" s="1"/>
  <c r="K21" i="7"/>
  <c r="D21" i="6" s="1"/>
  <c r="N127" i="7"/>
  <c r="G127" i="6" s="1"/>
  <c r="O127" i="7"/>
  <c r="H127" i="6" s="1"/>
  <c r="N131" i="7"/>
  <c r="G131" i="6" s="1"/>
  <c r="O25" i="7"/>
  <c r="H25" i="6" s="1"/>
  <c r="L119" i="7"/>
  <c r="E119" i="6" s="1"/>
  <c r="K101" i="7"/>
  <c r="D101" i="6" s="1"/>
  <c r="N143" i="7"/>
  <c r="G143" i="6" s="1"/>
  <c r="K72" i="7"/>
  <c r="D72" i="6" s="1"/>
  <c r="M85" i="7"/>
  <c r="F85" i="6" s="1"/>
  <c r="J131" i="7"/>
  <c r="C131" i="6" s="1"/>
  <c r="L67" i="7"/>
  <c r="E67" i="6" s="1"/>
  <c r="L64" i="7"/>
  <c r="E64" i="6" s="1"/>
  <c r="M168" i="7"/>
  <c r="F168" i="6" s="1"/>
  <c r="N9" i="7"/>
  <c r="G9" i="6" s="1"/>
  <c r="O65" i="7"/>
  <c r="H65" i="6" s="1"/>
  <c r="K27" i="7"/>
  <c r="D27" i="6" s="1"/>
  <c r="K17" i="7"/>
  <c r="D17" i="6" s="1"/>
  <c r="K90" i="7"/>
  <c r="D90" i="6" s="1"/>
  <c r="N173" i="7"/>
  <c r="G173" i="6" s="1"/>
  <c r="L90" i="7"/>
  <c r="E90" i="6" s="1"/>
  <c r="L117" i="7"/>
  <c r="E117" i="6" s="1"/>
  <c r="L85" i="7"/>
  <c r="E85" i="6" s="1"/>
  <c r="J141" i="7"/>
  <c r="C141" i="6" s="1"/>
  <c r="N163" i="7"/>
  <c r="G163" i="6" s="1"/>
  <c r="N139" i="7"/>
  <c r="G139" i="6" s="1"/>
  <c r="L91" i="7"/>
  <c r="E91" i="6" s="1"/>
  <c r="L31" i="7"/>
  <c r="E31" i="6" s="1"/>
  <c r="K158" i="7"/>
  <c r="D158" i="6" s="1"/>
  <c r="K98" i="7"/>
  <c r="D98" i="6" s="1"/>
  <c r="L74" i="7"/>
  <c r="E74" i="6" s="1"/>
  <c r="O26" i="7"/>
  <c r="H26" i="6" s="1"/>
  <c r="L168" i="7"/>
  <c r="E168" i="6" s="1"/>
  <c r="N165" i="7"/>
  <c r="G165" i="6" s="1"/>
  <c r="M9" i="7"/>
  <c r="F9" i="6" s="1"/>
  <c r="L89" i="7"/>
  <c r="E89" i="6" s="1"/>
  <c r="M60" i="7"/>
  <c r="F60" i="6" s="1"/>
  <c r="N136" i="7"/>
  <c r="G136" i="6" s="1"/>
  <c r="K112" i="7"/>
  <c r="D112" i="6" s="1"/>
  <c r="K140" i="7"/>
  <c r="D140" i="6" s="1"/>
  <c r="O119" i="7"/>
  <c r="H119" i="6" s="1"/>
  <c r="K83" i="7"/>
  <c r="D83" i="6" s="1"/>
  <c r="N35" i="7"/>
  <c r="G35" i="6" s="1"/>
  <c r="J11" i="7"/>
  <c r="C11" i="6" s="1"/>
  <c r="L102" i="7"/>
  <c r="E102" i="6" s="1"/>
  <c r="K54" i="7"/>
  <c r="D54" i="6" s="1"/>
  <c r="M6" i="7"/>
  <c r="F6" i="6" s="1"/>
  <c r="N169" i="7"/>
  <c r="G169" i="6" s="1"/>
  <c r="N133" i="7"/>
  <c r="G133" i="6" s="1"/>
  <c r="J73" i="7"/>
  <c r="C73" i="6" s="1"/>
  <c r="K130" i="7"/>
  <c r="D130" i="6" s="1"/>
  <c r="M41" i="7"/>
  <c r="F41" i="6" s="1"/>
  <c r="K84" i="7"/>
  <c r="D84" i="6" s="1"/>
  <c r="J166" i="7"/>
  <c r="C166" i="6" s="1"/>
  <c r="L171" i="7"/>
  <c r="E171" i="6" s="1"/>
  <c r="N123" i="7"/>
  <c r="G123" i="6" s="1"/>
  <c r="J99" i="7"/>
  <c r="C99" i="6" s="1"/>
  <c r="J39" i="7"/>
  <c r="C39" i="6" s="1"/>
  <c r="J65" i="7"/>
  <c r="C65" i="6" s="1"/>
  <c r="K12" i="7"/>
  <c r="D12" i="6" s="1"/>
  <c r="O48" i="7"/>
  <c r="H48" i="6" s="1"/>
  <c r="J5" i="7"/>
  <c r="C5" i="6" s="1"/>
  <c r="J32" i="7"/>
  <c r="C32" i="6" s="1"/>
  <c r="L175" i="7"/>
  <c r="E175" i="6" s="1"/>
  <c r="O173" i="7"/>
  <c r="H173" i="6" s="1"/>
  <c r="O73" i="7"/>
  <c r="H73" i="6" s="1"/>
  <c r="K119" i="7"/>
  <c r="D119" i="6" s="1"/>
  <c r="J34" i="7"/>
  <c r="C34" i="6" s="1"/>
  <c r="O124" i="7"/>
  <c r="H124" i="6" s="1"/>
  <c r="M63" i="7"/>
  <c r="F63" i="6" s="1"/>
  <c r="L121" i="7"/>
  <c r="E121" i="6" s="1"/>
  <c r="N126" i="7"/>
  <c r="G126" i="6" s="1"/>
  <c r="J67" i="7"/>
  <c r="C67" i="6" s="1"/>
  <c r="J64" i="7"/>
  <c r="C64" i="6" s="1"/>
  <c r="J120" i="7"/>
  <c r="C120" i="6" s="1"/>
  <c r="O158" i="7"/>
  <c r="H158" i="6" s="1"/>
  <c r="N122" i="7"/>
  <c r="G122" i="6" s="1"/>
  <c r="O62" i="7"/>
  <c r="H62" i="6" s="1"/>
  <c r="J88" i="7"/>
  <c r="C88" i="6" s="1"/>
  <c r="O24" i="7"/>
  <c r="H24" i="6" s="1"/>
  <c r="J69" i="7"/>
  <c r="C69" i="6" s="1"/>
  <c r="L9" i="7"/>
  <c r="E9" i="6" s="1"/>
  <c r="K16" i="7"/>
  <c r="D16" i="6" s="1"/>
  <c r="L60" i="7"/>
  <c r="E60" i="6" s="1"/>
  <c r="J112" i="7"/>
  <c r="C112" i="6" s="1"/>
  <c r="M52" i="7"/>
  <c r="F52" i="6" s="1"/>
  <c r="M119" i="7"/>
  <c r="F119" i="6" s="1"/>
  <c r="O83" i="7"/>
  <c r="H83" i="6" s="1"/>
  <c r="M35" i="7"/>
  <c r="F35" i="6" s="1"/>
  <c r="L11" i="7"/>
  <c r="E11" i="6" s="1"/>
  <c r="K150" i="7"/>
  <c r="D150" i="6" s="1"/>
  <c r="K102" i="7"/>
  <c r="D102" i="6" s="1"/>
  <c r="M54" i="7"/>
  <c r="F54" i="6" s="1"/>
  <c r="K166" i="7"/>
  <c r="D166" i="6" s="1"/>
  <c r="M123" i="7"/>
  <c r="F123" i="6" s="1"/>
  <c r="J27" i="7"/>
  <c r="C27" i="6" s="1"/>
  <c r="N48" i="7"/>
  <c r="G48" i="6" s="1"/>
  <c r="J25" i="7"/>
  <c r="C25" i="6" s="1"/>
  <c r="M162" i="7"/>
  <c r="F162" i="6" s="1"/>
  <c r="M51" i="7"/>
  <c r="F51" i="6" s="1"/>
  <c r="M61" i="7"/>
  <c r="F61" i="6" s="1"/>
  <c r="M174" i="7"/>
  <c r="F174" i="6" s="1"/>
  <c r="N50" i="7"/>
  <c r="G50" i="6" s="1"/>
  <c r="M115" i="7"/>
  <c r="F115" i="6" s="1"/>
  <c r="J104" i="7"/>
  <c r="C104" i="6" s="1"/>
  <c r="M93" i="7"/>
  <c r="F93" i="6" s="1"/>
  <c r="L172" i="7"/>
  <c r="E172" i="6" s="1"/>
  <c r="L100" i="7"/>
  <c r="E100" i="6" s="1"/>
  <c r="K44" i="7"/>
  <c r="D44" i="6" s="1"/>
  <c r="M11" i="7"/>
  <c r="F11" i="6" s="1"/>
  <c r="O150" i="7"/>
  <c r="H150" i="6" s="1"/>
  <c r="L42" i="7"/>
  <c r="E42" i="6" s="1"/>
  <c r="J109" i="7"/>
  <c r="C109" i="6" s="1"/>
  <c r="J61" i="7"/>
  <c r="C61" i="6" s="1"/>
  <c r="M111" i="7"/>
  <c r="F111" i="6" s="1"/>
  <c r="M127" i="7"/>
  <c r="F127" i="6" s="1"/>
  <c r="K10" i="7"/>
  <c r="D10" i="6" s="1"/>
  <c r="M7" i="7"/>
  <c r="F7" i="6" s="1"/>
  <c r="O94" i="7"/>
  <c r="H94" i="6" s="1"/>
  <c r="N159" i="7"/>
  <c r="G159" i="6" s="1"/>
  <c r="K62" i="7"/>
  <c r="D62" i="6" s="1"/>
  <c r="K143" i="7"/>
  <c r="D143" i="6" s="1"/>
  <c r="K125" i="7"/>
  <c r="D125" i="6" s="1"/>
  <c r="L115" i="7"/>
  <c r="E115" i="6" s="1"/>
  <c r="M149" i="7"/>
  <c r="F149" i="6" s="1"/>
  <c r="N14" i="7"/>
  <c r="G14" i="6" s="1"/>
  <c r="M53" i="7"/>
  <c r="F53" i="6" s="1"/>
  <c r="J153" i="7"/>
  <c r="C153" i="6" s="1"/>
  <c r="M40" i="7"/>
  <c r="F40" i="6" s="1"/>
  <c r="O71" i="7"/>
  <c r="H71" i="6" s="1"/>
  <c r="L138" i="7"/>
  <c r="E138" i="6" s="1"/>
  <c r="J78" i="7"/>
  <c r="C78" i="6" s="1"/>
  <c r="O111" i="7"/>
  <c r="H111" i="6" s="1"/>
  <c r="I29" i="7"/>
  <c r="K9" i="7"/>
  <c r="D9" i="6" s="1"/>
  <c r="M107" i="7"/>
  <c r="F107" i="6" s="1"/>
  <c r="O107" i="7"/>
  <c r="H107" i="6" s="1"/>
  <c r="M172" i="7"/>
  <c r="F172" i="6" s="1"/>
  <c r="N68" i="7"/>
  <c r="G68" i="6" s="1"/>
  <c r="O42" i="7"/>
  <c r="H42" i="6" s="1"/>
  <c r="M72" i="7"/>
  <c r="F72" i="6" s="1"/>
  <c r="J79" i="7"/>
  <c r="C79" i="6" s="1"/>
  <c r="L149" i="7"/>
  <c r="E149" i="6" s="1"/>
  <c r="O177" i="7"/>
  <c r="H177" i="6" s="1"/>
  <c r="M167" i="7"/>
  <c r="F167" i="6" s="1"/>
  <c r="K78" i="7"/>
  <c r="D78" i="6" s="1"/>
  <c r="K145" i="7"/>
  <c r="D145" i="6" s="1"/>
  <c r="K176" i="7"/>
  <c r="D176" i="6" s="1"/>
  <c r="M150" i="7"/>
  <c r="F150" i="6" s="1"/>
  <c r="J63" i="7"/>
  <c r="C63" i="6" s="1"/>
  <c r="O30" i="7"/>
  <c r="H30" i="6" s="1"/>
  <c r="O18" i="7"/>
  <c r="H18" i="6" s="1"/>
  <c r="N27" i="7"/>
  <c r="G27" i="6" s="1"/>
  <c r="O131" i="7"/>
  <c r="H131" i="6" s="1"/>
  <c r="L78" i="7"/>
  <c r="E78" i="6" s="1"/>
  <c r="M68" i="7"/>
  <c r="F68" i="6" s="1"/>
  <c r="L20" i="7"/>
  <c r="E20" i="6" s="1"/>
  <c r="O85" i="7"/>
  <c r="H85" i="6" s="1"/>
  <c r="J43" i="7"/>
  <c r="C43" i="6" s="1"/>
  <c r="O170" i="7"/>
  <c r="H170" i="6" s="1"/>
  <c r="K146" i="7"/>
  <c r="D146" i="6" s="1"/>
  <c r="L110" i="7"/>
  <c r="E110" i="6" s="1"/>
  <c r="K14" i="7"/>
  <c r="D14" i="6" s="1"/>
  <c r="K178" i="7"/>
  <c r="D178" i="6" s="1"/>
  <c r="J53" i="7"/>
  <c r="C53" i="6" s="1"/>
  <c r="O81" i="7"/>
  <c r="H81" i="6" s="1"/>
  <c r="K40" i="7"/>
  <c r="D40" i="6" s="1"/>
  <c r="J56" i="7"/>
  <c r="C56" i="6" s="1"/>
  <c r="N148" i="7"/>
  <c r="G148" i="6" s="1"/>
  <c r="O76" i="7"/>
  <c r="H76" i="6" s="1"/>
  <c r="N28" i="7"/>
  <c r="G28" i="6" s="1"/>
  <c r="J167" i="7"/>
  <c r="C167" i="6" s="1"/>
  <c r="M71" i="7"/>
  <c r="F71" i="6" s="1"/>
  <c r="M47" i="7"/>
  <c r="F47" i="6" s="1"/>
  <c r="O23" i="7"/>
  <c r="H23" i="6" s="1"/>
  <c r="N174" i="7"/>
  <c r="G174" i="6" s="1"/>
  <c r="O138" i="7"/>
  <c r="H138" i="6" s="1"/>
  <c r="N137" i="7"/>
  <c r="G137" i="6" s="1"/>
  <c r="M36" i="7"/>
  <c r="F36" i="6" s="1"/>
  <c r="N145" i="7"/>
  <c r="G145" i="6" s="1"/>
  <c r="M97" i="7"/>
  <c r="F97" i="6" s="1"/>
  <c r="J37" i="7"/>
  <c r="C37" i="6" s="1"/>
  <c r="K160" i="7"/>
  <c r="D160" i="6" s="1"/>
  <c r="K164" i="7"/>
  <c r="D164" i="6" s="1"/>
  <c r="O171" i="7"/>
  <c r="H171" i="6" s="1"/>
  <c r="K147" i="7"/>
  <c r="D147" i="6" s="1"/>
  <c r="L111" i="7"/>
  <c r="E111" i="6" s="1"/>
  <c r="O75" i="7"/>
  <c r="H75" i="6" s="1"/>
  <c r="L173" i="7"/>
  <c r="E173" i="6" s="1"/>
  <c r="K144" i="7"/>
  <c r="D144" i="6" s="1"/>
  <c r="L57" i="7"/>
  <c r="E57" i="6" s="1"/>
  <c r="O66" i="7"/>
  <c r="H66" i="6" s="1"/>
  <c r="M114" i="7"/>
  <c r="F114" i="6" s="1"/>
  <c r="O89" i="7"/>
  <c r="H89" i="6" s="1"/>
  <c r="L165" i="7"/>
  <c r="E165" i="6" s="1"/>
  <c r="O148" i="7"/>
  <c r="H148" i="6" s="1"/>
  <c r="K116" i="7"/>
  <c r="D116" i="6" s="1"/>
  <c r="L139" i="7"/>
  <c r="E139" i="6" s="1"/>
  <c r="M79" i="7"/>
  <c r="F79" i="6" s="1"/>
  <c r="O31" i="7"/>
  <c r="H31" i="6" s="1"/>
  <c r="N134" i="7"/>
  <c r="G134" i="6" s="1"/>
  <c r="J168" i="7"/>
  <c r="C168" i="6" s="1"/>
  <c r="J117" i="7"/>
  <c r="C117" i="6" s="1"/>
  <c r="M28" i="7"/>
  <c r="F28" i="6" s="1"/>
  <c r="L71" i="7"/>
  <c r="E71" i="6" s="1"/>
  <c r="K174" i="7"/>
  <c r="D174" i="6" s="1"/>
  <c r="M66" i="7"/>
  <c r="F66" i="6" s="1"/>
  <c r="O147" i="7"/>
  <c r="H147" i="6" s="1"/>
  <c r="M164" i="7"/>
  <c r="F164" i="6" s="1"/>
  <c r="N171" i="7"/>
  <c r="G171" i="6" s="1"/>
  <c r="M10" i="7"/>
  <c r="F10" i="6" s="1"/>
  <c r="N66" i="7"/>
  <c r="G66" i="6" s="1"/>
  <c r="K157" i="7"/>
  <c r="D157" i="6" s="1"/>
  <c r="J89" i="7"/>
  <c r="C89" i="6" s="1"/>
  <c r="K167" i="7"/>
  <c r="D167" i="6" s="1"/>
  <c r="K70" i="7"/>
  <c r="D70" i="6" s="1"/>
  <c r="O50" i="7"/>
  <c r="H50" i="6" s="1"/>
  <c r="K139" i="7"/>
  <c r="D139" i="6" s="1"/>
  <c r="N31" i="7"/>
  <c r="G31" i="6" s="1"/>
  <c r="N64" i="7"/>
  <c r="G64" i="6" s="1"/>
  <c r="M110" i="7"/>
  <c r="F110" i="6" s="1"/>
  <c r="J74" i="7"/>
  <c r="C74" i="6" s="1"/>
  <c r="O33" i="7"/>
  <c r="H33" i="6" s="1"/>
  <c r="M76" i="7"/>
  <c r="F76" i="6" s="1"/>
  <c r="M143" i="7"/>
  <c r="F143" i="6" s="1"/>
  <c r="K71" i="7"/>
  <c r="D71" i="6" s="1"/>
  <c r="L97" i="7"/>
  <c r="E97" i="6" s="1"/>
  <c r="J13" i="7"/>
  <c r="C13" i="6" s="1"/>
  <c r="N84" i="7"/>
  <c r="G84" i="6" s="1"/>
  <c r="M171" i="7"/>
  <c r="F171" i="6" s="1"/>
  <c r="M173" i="7"/>
  <c r="F173" i="6" s="1"/>
  <c r="N46" i="7"/>
  <c r="G46" i="6" s="1"/>
  <c r="L56" i="7"/>
  <c r="E56" i="6" s="1"/>
  <c r="J94" i="7"/>
  <c r="C94" i="6" s="1"/>
  <c r="L107" i="7"/>
  <c r="E107" i="6" s="1"/>
  <c r="N151" i="7"/>
  <c r="G151" i="6" s="1"/>
  <c r="O151" i="7"/>
  <c r="H151" i="6" s="1"/>
  <c r="O27" i="7"/>
  <c r="H27" i="6" s="1"/>
  <c r="M90" i="7"/>
  <c r="F90" i="6" s="1"/>
  <c r="N22" i="7"/>
  <c r="G22" i="6" s="1"/>
  <c r="L73" i="7"/>
  <c r="E73" i="6" s="1"/>
  <c r="L152" i="7"/>
  <c r="E152" i="6" s="1"/>
  <c r="L143" i="7"/>
  <c r="E143" i="6" s="1"/>
  <c r="K58" i="7"/>
  <c r="D58" i="6" s="1"/>
  <c r="O165" i="7"/>
  <c r="H165" i="6" s="1"/>
  <c r="N12" i="7"/>
  <c r="G12" i="6" s="1"/>
  <c r="J7" i="7"/>
  <c r="C7" i="6" s="1"/>
  <c r="K124" i="7"/>
  <c r="D124" i="6" s="1"/>
  <c r="O108" i="7"/>
  <c r="H108" i="6" s="1"/>
  <c r="M116" i="7"/>
  <c r="F116" i="6" s="1"/>
  <c r="O90" i="7"/>
  <c r="H90" i="6" s="1"/>
  <c r="L14" i="7"/>
  <c r="E14" i="6" s="1"/>
  <c r="O53" i="7"/>
  <c r="H53" i="6" s="1"/>
  <c r="N30" i="7"/>
  <c r="G30" i="6" s="1"/>
  <c r="K68" i="7"/>
  <c r="D68" i="6" s="1"/>
  <c r="N18" i="7"/>
  <c r="G18" i="6" s="1"/>
  <c r="M155" i="7"/>
  <c r="F155" i="6" s="1"/>
  <c r="M27" i="7"/>
  <c r="F27" i="6" s="1"/>
  <c r="L22" i="7"/>
  <c r="E22" i="6" s="1"/>
  <c r="L68" i="7"/>
  <c r="E68" i="6" s="1"/>
  <c r="L70" i="7"/>
  <c r="E70" i="6" s="1"/>
  <c r="L134" i="7"/>
  <c r="E134" i="6" s="1"/>
  <c r="L169" i="7"/>
  <c r="E169" i="6" s="1"/>
  <c r="J50" i="7"/>
  <c r="C50" i="6" s="1"/>
  <c r="N105" i="7"/>
  <c r="G105" i="6" s="1"/>
  <c r="J38" i="7"/>
  <c r="C38" i="6" s="1"/>
  <c r="N117" i="7"/>
  <c r="G117" i="6" s="1"/>
  <c r="N96" i="7"/>
  <c r="G96" i="6" s="1"/>
  <c r="N15" i="7"/>
  <c r="G15" i="6" s="1"/>
  <c r="M12" i="7"/>
  <c r="F12" i="6" s="1"/>
  <c r="O17" i="7"/>
  <c r="H17" i="6" s="1"/>
  <c r="M55" i="7"/>
  <c r="F55" i="6" s="1"/>
  <c r="L116" i="7"/>
  <c r="E116" i="6" s="1"/>
  <c r="L18" i="7"/>
  <c r="E18" i="6" s="1"/>
  <c r="L80" i="7"/>
  <c r="E80" i="6" s="1"/>
  <c r="O116" i="7"/>
  <c r="H116" i="6" s="1"/>
  <c r="L27" i="7"/>
  <c r="E27" i="6" s="1"/>
  <c r="K22" i="7"/>
  <c r="D22" i="6" s="1"/>
  <c r="O34" i="7"/>
  <c r="H34" i="6" s="1"/>
  <c r="N152" i="7"/>
  <c r="G152" i="6" s="1"/>
  <c r="J173" i="7"/>
  <c r="C173" i="6" s="1"/>
  <c r="L75" i="7"/>
  <c r="E75" i="6" s="1"/>
  <c r="L174" i="7"/>
  <c r="E174" i="6" s="1"/>
  <c r="J70" i="7"/>
  <c r="C70" i="6" s="1"/>
  <c r="O174" i="7"/>
  <c r="H174" i="6" s="1"/>
  <c r="L72" i="7"/>
  <c r="E72" i="6" s="1"/>
  <c r="K175" i="7"/>
  <c r="D175" i="6" s="1"/>
  <c r="O91" i="7"/>
  <c r="H91" i="6" s="1"/>
  <c r="N67" i="7"/>
  <c r="G67" i="6" s="1"/>
  <c r="M64" i="7"/>
  <c r="F64" i="6" s="1"/>
  <c r="M120" i="7"/>
  <c r="F120" i="6" s="1"/>
  <c r="O110" i="7"/>
  <c r="H110" i="6" s="1"/>
  <c r="M26" i="7"/>
  <c r="F26" i="6" s="1"/>
  <c r="O9" i="7"/>
  <c r="H9" i="6" s="1"/>
  <c r="K28" i="7"/>
  <c r="D28" i="6" s="1"/>
  <c r="O114" i="7"/>
  <c r="H114" i="6" s="1"/>
  <c r="J97" i="7"/>
  <c r="C97" i="6" s="1"/>
  <c r="M101" i="7"/>
  <c r="F101" i="6" s="1"/>
  <c r="J123" i="7"/>
  <c r="C123" i="6" s="1"/>
  <c r="O99" i="7"/>
  <c r="H99" i="6" s="1"/>
  <c r="J10" i="7"/>
  <c r="C10" i="6" s="1"/>
  <c r="N177" i="7"/>
  <c r="G177" i="6" s="1"/>
  <c r="M19" i="7"/>
  <c r="F19" i="6" s="1"/>
  <c r="J22" i="7"/>
  <c r="C22" i="6" s="1"/>
  <c r="M34" i="7"/>
  <c r="F34" i="6" s="1"/>
  <c r="M117" i="7"/>
  <c r="F117" i="6" s="1"/>
  <c r="N141" i="7"/>
  <c r="G141" i="6" s="1"/>
  <c r="L81" i="7"/>
  <c r="E81" i="6" s="1"/>
  <c r="M15" i="7"/>
  <c r="F15" i="6" s="1"/>
  <c r="O77" i="7"/>
  <c r="H77" i="6" s="1"/>
  <c r="O70" i="7"/>
  <c r="H70" i="6" s="1"/>
  <c r="N125" i="7"/>
  <c r="G125" i="6" s="1"/>
  <c r="K75" i="7"/>
  <c r="D75" i="6" s="1"/>
  <c r="M166" i="7"/>
  <c r="F166" i="6" s="1"/>
  <c r="J33" i="7"/>
  <c r="C33" i="6" s="1"/>
  <c r="O164" i="7"/>
  <c r="H164" i="6" s="1"/>
  <c r="K30" i="7"/>
  <c r="D30" i="6" s="1"/>
  <c r="N49" i="7"/>
  <c r="G49" i="6" s="1"/>
  <c r="M30" i="7"/>
  <c r="F30" i="6" s="1"/>
  <c r="L34" i="7"/>
  <c r="E34" i="6" s="1"/>
  <c r="L76" i="7"/>
  <c r="E76" i="6" s="1"/>
  <c r="J158" i="7"/>
  <c r="C158" i="6" s="1"/>
  <c r="N41" i="7"/>
  <c r="G41" i="6" s="1"/>
  <c r="L167" i="7"/>
  <c r="E167" i="6" s="1"/>
  <c r="O19" i="7"/>
  <c r="H19" i="6" s="1"/>
  <c r="J165" i="7"/>
  <c r="C165" i="6" s="1"/>
  <c r="J140" i="7"/>
  <c r="C140" i="6" s="1"/>
  <c r="K73" i="7"/>
  <c r="D73" i="6" s="1"/>
  <c r="J41" i="7"/>
  <c r="C41" i="6" s="1"/>
  <c r="M92" i="7"/>
  <c r="F92" i="6" s="1"/>
  <c r="N155" i="7"/>
  <c r="G155" i="6" s="1"/>
  <c r="L126" i="7"/>
  <c r="E126" i="6" s="1"/>
  <c r="M70" i="7"/>
  <c r="F70" i="6" s="1"/>
  <c r="K89" i="7"/>
  <c r="D89" i="6" s="1"/>
  <c r="O109" i="7"/>
  <c r="H109" i="6" s="1"/>
  <c r="J84" i="7"/>
  <c r="C84" i="6" s="1"/>
  <c r="L99" i="7"/>
  <c r="E99" i="6" s="1"/>
  <c r="L3" i="7"/>
  <c r="E3" i="6" s="1"/>
  <c r="L142" i="7"/>
  <c r="E142" i="6" s="1"/>
  <c r="J46" i="7"/>
  <c r="C46" i="6" s="1"/>
  <c r="L94" i="7"/>
  <c r="E94" i="6" s="1"/>
  <c r="M94" i="7"/>
  <c r="F94" i="6" s="1"/>
  <c r="K133" i="7"/>
  <c r="D133" i="6" s="1"/>
  <c r="L128" i="7"/>
  <c r="E128" i="6" s="1"/>
  <c r="N39" i="7"/>
  <c r="G39" i="6" s="1"/>
  <c r="J85" i="7"/>
  <c r="C85" i="6" s="1"/>
  <c r="N128" i="7"/>
  <c r="G128" i="6" s="1"/>
  <c r="J169" i="7"/>
  <c r="C169" i="6" s="1"/>
  <c r="J114" i="7"/>
  <c r="C114" i="6" s="1"/>
  <c r="J151" i="7"/>
  <c r="C151" i="6" s="1"/>
  <c r="L63" i="7"/>
  <c r="E63" i="6" s="1"/>
  <c r="N70" i="7"/>
  <c r="G70" i="6" s="1"/>
  <c r="N85" i="7"/>
  <c r="G85" i="6" s="1"/>
  <c r="K113" i="7"/>
  <c r="D113" i="6" s="1"/>
  <c r="M59" i="7"/>
  <c r="F59" i="6" s="1"/>
  <c r="O157" i="7"/>
  <c r="H157" i="6" s="1"/>
  <c r="N58" i="7"/>
  <c r="G58" i="6" s="1"/>
  <c r="K82" i="7"/>
  <c r="D82" i="6" s="1"/>
  <c r="O6" i="7"/>
  <c r="H6" i="6" s="1"/>
  <c r="K53" i="7"/>
  <c r="D53" i="6" s="1"/>
  <c r="K7" i="7"/>
  <c r="D7" i="6" s="1"/>
  <c r="N65" i="7"/>
  <c r="G65" i="6" s="1"/>
  <c r="M31" i="7"/>
  <c r="F31" i="6" s="1"/>
  <c r="O101" i="7"/>
  <c r="H101" i="6" s="1"/>
  <c r="N61" i="7"/>
  <c r="G61" i="6" s="1"/>
  <c r="N10" i="7"/>
  <c r="G10" i="6" s="1"/>
  <c r="N103" i="7"/>
  <c r="G103" i="6" s="1"/>
  <c r="L8" i="7"/>
  <c r="E8" i="6" s="1"/>
  <c r="O78" i="7"/>
  <c r="H78" i="6" s="1"/>
  <c r="O92" i="7"/>
  <c r="H92" i="6" s="1"/>
  <c r="J154" i="7"/>
  <c r="C154" i="6" s="1"/>
  <c r="L62" i="7"/>
  <c r="E62" i="6" s="1"/>
  <c r="L21" i="7"/>
  <c r="E21" i="6" s="1"/>
  <c r="J163" i="7"/>
  <c r="C163" i="6" s="1"/>
  <c r="N129" i="7"/>
  <c r="G129" i="6" s="1"/>
  <c r="N166" i="7"/>
  <c r="G166" i="6" s="1"/>
  <c r="O51" i="7"/>
  <c r="H51" i="6" s="1"/>
  <c r="O142" i="7"/>
  <c r="H142" i="6" s="1"/>
  <c r="M49" i="7"/>
  <c r="F49" i="6" s="1"/>
  <c r="O44" i="7"/>
  <c r="H44" i="6" s="1"/>
  <c r="J121" i="7"/>
  <c r="C121" i="6" s="1"/>
  <c r="M165" i="7"/>
  <c r="F165" i="6" s="1"/>
  <c r="L32" i="7"/>
  <c r="E32" i="6" s="1"/>
  <c r="J103" i="7"/>
  <c r="C103" i="6" s="1"/>
  <c r="L145" i="7"/>
  <c r="E145" i="6" s="1"/>
  <c r="M45" i="7"/>
  <c r="F45" i="6" s="1"/>
  <c r="O163" i="7"/>
  <c r="H163" i="6" s="1"/>
  <c r="O139" i="7"/>
  <c r="H139" i="6" s="1"/>
  <c r="N91" i="7"/>
  <c r="G91" i="6" s="1"/>
  <c r="J31" i="7"/>
  <c r="C31" i="6" s="1"/>
  <c r="L120" i="7"/>
  <c r="E120" i="6" s="1"/>
  <c r="M158" i="7"/>
  <c r="F158" i="6" s="1"/>
  <c r="O134" i="7"/>
  <c r="H134" i="6" s="1"/>
  <c r="M98" i="7"/>
  <c r="F98" i="6" s="1"/>
  <c r="J26" i="7"/>
  <c r="C26" i="6" s="1"/>
  <c r="K88" i="7"/>
  <c r="D88" i="6" s="1"/>
  <c r="M178" i="7"/>
  <c r="F178" i="6" s="1"/>
  <c r="K177" i="7"/>
  <c r="D177" i="6" s="1"/>
  <c r="K105" i="7"/>
  <c r="D105" i="6" s="1"/>
  <c r="K81" i="7"/>
  <c r="D81" i="6" s="1"/>
  <c r="M16" i="7"/>
  <c r="F16" i="6" s="1"/>
  <c r="M89" i="7"/>
  <c r="F89" i="6" s="1"/>
  <c r="N60" i="7"/>
  <c r="G60" i="6" s="1"/>
  <c r="O136" i="7"/>
  <c r="H136" i="6" s="1"/>
  <c r="N112" i="7"/>
  <c r="G112" i="6" s="1"/>
  <c r="J76" i="7"/>
  <c r="C76" i="6" s="1"/>
  <c r="J28" i="7"/>
  <c r="C28" i="6" s="1"/>
  <c r="N113" i="7"/>
  <c r="G113" i="6" s="1"/>
  <c r="J143" i="7"/>
  <c r="C143" i="6" s="1"/>
  <c r="J83" i="7"/>
  <c r="C83" i="6" s="1"/>
  <c r="O59" i="7"/>
  <c r="H59" i="6" s="1"/>
  <c r="O35" i="7"/>
  <c r="H35" i="6" s="1"/>
  <c r="K11" i="7"/>
  <c r="D11" i="6" s="1"/>
  <c r="O162" i="7"/>
  <c r="H162" i="6" s="1"/>
  <c r="N102" i="7"/>
  <c r="G102" i="6" s="1"/>
  <c r="J54" i="7"/>
  <c r="C54" i="6" s="1"/>
  <c r="J18" i="7"/>
  <c r="C18" i="6" s="1"/>
  <c r="J133" i="7"/>
  <c r="C133" i="6" s="1"/>
  <c r="N97" i="7"/>
  <c r="G97" i="6" s="1"/>
  <c r="N130" i="7"/>
  <c r="G130" i="6" s="1"/>
  <c r="J101" i="7"/>
  <c r="C101" i="6" s="1"/>
  <c r="L84" i="7"/>
  <c r="E84" i="6" s="1"/>
  <c r="M152" i="7"/>
  <c r="F152" i="6" s="1"/>
  <c r="J171" i="7"/>
  <c r="C171" i="6" s="1"/>
  <c r="O123" i="7"/>
  <c r="H123" i="6" s="1"/>
  <c r="K99" i="7"/>
  <c r="D99" i="6" s="1"/>
  <c r="O39" i="7"/>
  <c r="H39" i="6" s="1"/>
  <c r="L65" i="7"/>
  <c r="E65" i="6" s="1"/>
  <c r="J12" i="7"/>
  <c r="C12" i="6" s="1"/>
  <c r="J48" i="7"/>
  <c r="C48" i="6" s="1"/>
  <c r="N121" i="7"/>
  <c r="G121" i="6" s="1"/>
  <c r="J98" i="7"/>
  <c r="C98" i="6" s="1"/>
  <c r="J135" i="7"/>
  <c r="C135" i="6" s="1"/>
  <c r="N175" i="7"/>
  <c r="G175" i="6" s="1"/>
  <c r="N90" i="7"/>
  <c r="G90" i="6" s="1"/>
  <c r="M57" i="7"/>
  <c r="F57" i="6" s="1"/>
  <c r="L130" i="7"/>
  <c r="E130" i="6" s="1"/>
  <c r="M39" i="7"/>
  <c r="F39" i="6" s="1"/>
  <c r="J87" i="7"/>
  <c r="C87" i="6" s="1"/>
  <c r="O172" i="7"/>
  <c r="H172" i="6" s="1"/>
  <c r="O57" i="7"/>
  <c r="H57" i="6" s="1"/>
  <c r="O154" i="7"/>
  <c r="H154" i="6" s="1"/>
  <c r="K63" i="7"/>
  <c r="D63" i="6" s="1"/>
  <c r="K126" i="7"/>
  <c r="D126" i="6" s="1"/>
  <c r="O129" i="7"/>
  <c r="H129" i="6" s="1"/>
  <c r="O135" i="7"/>
  <c r="H135" i="6" s="1"/>
  <c r="L163" i="7"/>
  <c r="E163" i="6" s="1"/>
  <c r="O115" i="7"/>
  <c r="H115" i="6" s="1"/>
  <c r="M91" i="7"/>
  <c r="F91" i="6" s="1"/>
  <c r="M67" i="7"/>
  <c r="F67" i="6" s="1"/>
  <c r="N19" i="7"/>
  <c r="G19" i="6" s="1"/>
  <c r="O128" i="7"/>
  <c r="H128" i="6" s="1"/>
  <c r="J72" i="7"/>
  <c r="C72" i="6" s="1"/>
  <c r="O146" i="7"/>
  <c r="H146" i="6" s="1"/>
  <c r="M122" i="7"/>
  <c r="F122" i="6" s="1"/>
  <c r="L98" i="7"/>
  <c r="E98" i="6" s="1"/>
  <c r="N62" i="7"/>
  <c r="G62" i="6" s="1"/>
  <c r="M125" i="7"/>
  <c r="F125" i="6" s="1"/>
  <c r="K165" i="7"/>
  <c r="D165" i="6" s="1"/>
  <c r="O69" i="7"/>
  <c r="H69" i="6" s="1"/>
  <c r="J9" i="7"/>
  <c r="C9" i="6" s="1"/>
  <c r="J16" i="7"/>
  <c r="C16" i="6" s="1"/>
  <c r="L96" i="7"/>
  <c r="E96" i="6" s="1"/>
  <c r="N172" i="7"/>
  <c r="G172" i="6" s="1"/>
  <c r="L136" i="7"/>
  <c r="E136" i="6" s="1"/>
  <c r="O112" i="7"/>
  <c r="H112" i="6" s="1"/>
  <c r="L52" i="7"/>
  <c r="E52" i="6" s="1"/>
  <c r="M140" i="7"/>
  <c r="F140" i="6" s="1"/>
  <c r="J113" i="7"/>
  <c r="C113" i="6" s="1"/>
  <c r="J119" i="7"/>
  <c r="C119" i="6" s="1"/>
  <c r="N83" i="7"/>
  <c r="G83" i="6" s="1"/>
  <c r="L59" i="7"/>
  <c r="E59" i="6" s="1"/>
  <c r="L35" i="7"/>
  <c r="E35" i="6" s="1"/>
  <c r="O11" i="7"/>
  <c r="H11" i="6" s="1"/>
  <c r="J150" i="7"/>
  <c r="C150" i="6" s="1"/>
  <c r="M102" i="7"/>
  <c r="F102" i="6" s="1"/>
  <c r="L54" i="7"/>
  <c r="E54" i="6" s="1"/>
  <c r="L6" i="7"/>
  <c r="E6" i="6" s="1"/>
  <c r="J36" i="7"/>
  <c r="C36" i="6" s="1"/>
  <c r="M157" i="7"/>
  <c r="F157" i="6" s="1"/>
  <c r="M109" i="7"/>
  <c r="F109" i="6" s="1"/>
  <c r="L61" i="7"/>
  <c r="E61" i="6" s="1"/>
  <c r="M58" i="7"/>
  <c r="F58" i="6" s="1"/>
  <c r="O156" i="7"/>
  <c r="H156" i="6" s="1"/>
  <c r="L176" i="7"/>
  <c r="E176" i="6" s="1"/>
  <c r="N161" i="7"/>
  <c r="G161" i="6" s="1"/>
  <c r="M159" i="7"/>
  <c r="F159" i="6" s="1"/>
  <c r="K123" i="7"/>
  <c r="D123" i="6" s="1"/>
  <c r="K87" i="7"/>
  <c r="D87" i="6" s="1"/>
  <c r="J15" i="7"/>
  <c r="C15" i="6" s="1"/>
  <c r="M77" i="7"/>
  <c r="F77" i="6" s="1"/>
  <c r="L48" i="7"/>
  <c r="E48" i="6" s="1"/>
  <c r="J3" i="7"/>
  <c r="C3" i="6" s="1"/>
  <c r="L39" i="7"/>
  <c r="E39" i="6" s="1"/>
  <c r="O58" i="7"/>
  <c r="H58" i="6" s="1"/>
  <c r="K129" i="7"/>
  <c r="D129" i="6" s="1"/>
  <c r="N43" i="7"/>
  <c r="G43" i="6" s="1"/>
  <c r="M135" i="7"/>
  <c r="F135" i="6" s="1"/>
  <c r="K163" i="7"/>
  <c r="D163" i="6" s="1"/>
  <c r="N115" i="7"/>
  <c r="G115" i="6" s="1"/>
  <c r="K19" i="7"/>
  <c r="D19" i="6" s="1"/>
  <c r="K137" i="7"/>
  <c r="D137" i="6" s="1"/>
  <c r="N146" i="7"/>
  <c r="G146" i="6" s="1"/>
  <c r="L122" i="7"/>
  <c r="E122" i="6" s="1"/>
  <c r="O86" i="7"/>
  <c r="H86" i="6" s="1"/>
  <c r="J14" i="7"/>
  <c r="C14" i="6" s="1"/>
  <c r="L125" i="7"/>
  <c r="E125" i="6" s="1"/>
  <c r="K24" i="7"/>
  <c r="D24" i="6" s="1"/>
  <c r="K69" i="7"/>
  <c r="D69" i="6" s="1"/>
  <c r="K80" i="7"/>
  <c r="D80" i="6" s="1"/>
  <c r="N100" i="7"/>
  <c r="G100" i="6" s="1"/>
  <c r="J44" i="7"/>
  <c r="C44" i="6" s="1"/>
  <c r="M132" i="7"/>
  <c r="F132" i="6" s="1"/>
  <c r="J107" i="7"/>
  <c r="C107" i="6" s="1"/>
  <c r="K59" i="7"/>
  <c r="D59" i="6" s="1"/>
  <c r="K35" i="7"/>
  <c r="D35" i="6" s="1"/>
  <c r="N150" i="7"/>
  <c r="G150" i="6" s="1"/>
  <c r="M42" i="7"/>
  <c r="F42" i="6" s="1"/>
  <c r="O82" i="7"/>
  <c r="H82" i="6" s="1"/>
  <c r="O36" i="7"/>
  <c r="H36" i="6" s="1"/>
  <c r="L157" i="7"/>
  <c r="E157" i="6" s="1"/>
  <c r="L109" i="7"/>
  <c r="E109" i="6" s="1"/>
  <c r="K61" i="7"/>
  <c r="D61" i="6" s="1"/>
  <c r="N160" i="7"/>
  <c r="G160" i="6" s="1"/>
  <c r="N156" i="7"/>
  <c r="G156" i="6" s="1"/>
  <c r="J176" i="7"/>
  <c r="C176" i="6" s="1"/>
  <c r="M161" i="7"/>
  <c r="F161" i="6" s="1"/>
  <c r="K159" i="7"/>
  <c r="D159" i="6" s="1"/>
  <c r="L123" i="7"/>
  <c r="E123" i="6" s="1"/>
  <c r="M87" i="7"/>
  <c r="F87" i="6" s="1"/>
  <c r="K15" i="7"/>
  <c r="D15" i="6" s="1"/>
  <c r="O144" i="7"/>
  <c r="H144" i="6" s="1"/>
  <c r="N77" i="7"/>
  <c r="G77" i="6" s="1"/>
  <c r="L43" i="7"/>
  <c r="E43" i="6" s="1"/>
  <c r="M170" i="7"/>
  <c r="F170" i="6" s="1"/>
  <c r="M139" i="7"/>
  <c r="F139" i="6" s="1"/>
  <c r="M128" i="7"/>
  <c r="F128" i="6" s="1"/>
  <c r="K168" i="7"/>
  <c r="D168" i="6" s="1"/>
  <c r="M146" i="7"/>
  <c r="F146" i="6" s="1"/>
  <c r="J122" i="7"/>
  <c r="C122" i="6" s="1"/>
  <c r="N86" i="7"/>
  <c r="G86" i="6" s="1"/>
  <c r="J62" i="7"/>
  <c r="C62" i="6" s="1"/>
  <c r="O14" i="7"/>
  <c r="H14" i="6" s="1"/>
  <c r="J125" i="7"/>
  <c r="C125" i="6" s="1"/>
  <c r="K153" i="7"/>
  <c r="D153" i="6" s="1"/>
  <c r="N45" i="7"/>
  <c r="G45" i="6" s="1"/>
  <c r="N40" i="7"/>
  <c r="G40" i="6" s="1"/>
  <c r="J80" i="7"/>
  <c r="C80" i="6" s="1"/>
  <c r="J96" i="7"/>
  <c r="C96" i="6" s="1"/>
  <c r="K136" i="7"/>
  <c r="D136" i="6" s="1"/>
  <c r="O52" i="7"/>
  <c r="H52" i="6" s="1"/>
  <c r="L132" i="7"/>
  <c r="E132" i="6" s="1"/>
  <c r="L83" i="7"/>
  <c r="E83" i="6" s="1"/>
  <c r="J59" i="7"/>
  <c r="C59" i="6" s="1"/>
  <c r="J35" i="7"/>
  <c r="C35" i="6" s="1"/>
  <c r="O102" i="7"/>
  <c r="H102" i="6" s="1"/>
  <c r="M82" i="7"/>
  <c r="F82" i="6" s="1"/>
  <c r="N157" i="7"/>
  <c r="G157" i="6" s="1"/>
  <c r="M160" i="7"/>
  <c r="F160" i="6" s="1"/>
  <c r="M156" i="7"/>
  <c r="F156" i="6" s="1"/>
  <c r="O176" i="7"/>
  <c r="H176" i="6" s="1"/>
  <c r="L161" i="7"/>
  <c r="E161" i="6" s="1"/>
  <c r="L159" i="7"/>
  <c r="E159" i="6" s="1"/>
  <c r="O87" i="7"/>
  <c r="H87" i="6" s="1"/>
  <c r="N144" i="7"/>
  <c r="G144" i="6" s="1"/>
  <c r="J77" i="7"/>
  <c r="C77" i="6" s="1"/>
  <c r="M48" i="7"/>
  <c r="F48" i="6" s="1"/>
  <c r="O21" i="7"/>
  <c r="H21" i="6" s="1"/>
  <c r="O72" i="7"/>
  <c r="H72" i="6" s="1"/>
  <c r="K25" i="7"/>
  <c r="D25" i="6" s="1"/>
  <c r="L135" i="7"/>
  <c r="E135" i="6" s="1"/>
  <c r="L151" i="7"/>
  <c r="E151" i="6" s="1"/>
  <c r="K55" i="7"/>
  <c r="D55" i="6" s="1"/>
  <c r="N7" i="7"/>
  <c r="G7" i="6" s="1"/>
  <c r="L170" i="7"/>
  <c r="E170" i="6" s="1"/>
  <c r="K122" i="7"/>
  <c r="D122" i="6" s="1"/>
  <c r="M86" i="7"/>
  <c r="F86" i="6" s="1"/>
  <c r="N38" i="7"/>
  <c r="G38" i="6" s="1"/>
  <c r="M24" i="7"/>
  <c r="F24" i="6" s="1"/>
  <c r="L45" i="7"/>
  <c r="E45" i="6" s="1"/>
  <c r="O80" i="7"/>
  <c r="H80" i="6" s="1"/>
  <c r="M96" i="7"/>
  <c r="F96" i="6" s="1"/>
  <c r="K172" i="7"/>
  <c r="D172" i="6" s="1"/>
  <c r="N124" i="7"/>
  <c r="G124" i="6" s="1"/>
  <c r="K100" i="7"/>
  <c r="D100" i="6" s="1"/>
  <c r="J52" i="7"/>
  <c r="C52" i="6" s="1"/>
  <c r="J142" i="7"/>
  <c r="C142" i="6" s="1"/>
  <c r="O167" i="7"/>
  <c r="H167" i="6" s="1"/>
  <c r="O47" i="7"/>
  <c r="H47" i="6" s="1"/>
  <c r="N23" i="7"/>
  <c r="G23" i="6" s="1"/>
  <c r="O145" i="7"/>
  <c r="H145" i="6" s="1"/>
  <c r="K42" i="7"/>
  <c r="D42" i="6" s="1"/>
  <c r="N82" i="7"/>
  <c r="G82" i="6" s="1"/>
  <c r="L36" i="7"/>
  <c r="E36" i="6" s="1"/>
  <c r="M145" i="7"/>
  <c r="F145" i="6" s="1"/>
  <c r="N109" i="7"/>
  <c r="G109" i="6" s="1"/>
  <c r="J49" i="7"/>
  <c r="C49" i="6" s="1"/>
  <c r="O160" i="7"/>
  <c r="H160" i="6" s="1"/>
  <c r="N176" i="7"/>
  <c r="G176" i="6" s="1"/>
  <c r="K161" i="7"/>
  <c r="D161" i="6" s="1"/>
  <c r="N147" i="7"/>
  <c r="G147" i="6" s="1"/>
  <c r="N87" i="7"/>
  <c r="G87" i="6" s="1"/>
  <c r="J118" i="7"/>
  <c r="C118" i="6" s="1"/>
  <c r="M144" i="7"/>
  <c r="F144" i="6" s="1"/>
  <c r="J108" i="7"/>
  <c r="C108" i="6" s="1"/>
  <c r="N154" i="7"/>
  <c r="G154" i="6" s="1"/>
  <c r="O126" i="7"/>
  <c r="H126" i="6" s="1"/>
  <c r="O161" i="7"/>
  <c r="H161" i="6" s="1"/>
  <c r="L154" i="7"/>
  <c r="E154" i="6" s="1"/>
  <c r="J145" i="7"/>
  <c r="C145" i="6" s="1"/>
  <c r="J58" i="7"/>
  <c r="C58" i="6" s="1"/>
  <c r="O130" i="7"/>
  <c r="H130" i="6" s="1"/>
  <c r="N167" i="7"/>
  <c r="G167" i="6" s="1"/>
  <c r="K121" i="7"/>
  <c r="D121" i="6" s="1"/>
  <c r="K43" i="7"/>
  <c r="D43" i="6" s="1"/>
  <c r="J164" i="7"/>
  <c r="C164" i="6" s="1"/>
  <c r="K151" i="7"/>
  <c r="D151" i="6" s="1"/>
  <c r="K115" i="7"/>
  <c r="D115" i="6" s="1"/>
  <c r="O7" i="7"/>
  <c r="H7" i="6" s="1"/>
  <c r="J170" i="7"/>
  <c r="C170" i="6" s="1"/>
  <c r="K110" i="7"/>
  <c r="D110" i="6" s="1"/>
  <c r="M38" i="7"/>
  <c r="F38" i="6" s="1"/>
  <c r="M14" i="7"/>
  <c r="F14" i="6" s="1"/>
  <c r="L53" i="7"/>
  <c r="E53" i="6" s="1"/>
  <c r="K93" i="7"/>
  <c r="D93" i="6" s="1"/>
  <c r="M33" i="7"/>
  <c r="F33" i="6" s="1"/>
  <c r="L40" i="7"/>
  <c r="E40" i="6" s="1"/>
  <c r="O56" i="7"/>
  <c r="H56" i="6" s="1"/>
  <c r="O96" i="7"/>
  <c r="H96" i="6" s="1"/>
  <c r="J172" i="7"/>
  <c r="C172" i="6" s="1"/>
  <c r="L124" i="7"/>
  <c r="E124" i="6" s="1"/>
  <c r="J100" i="7"/>
  <c r="C100" i="6" s="1"/>
  <c r="O28" i="7"/>
  <c r="H28" i="6" s="1"/>
  <c r="K142" i="7"/>
  <c r="D142" i="6" s="1"/>
  <c r="J132" i="7"/>
  <c r="C132" i="6" s="1"/>
  <c r="N71" i="7"/>
  <c r="G71" i="6" s="1"/>
  <c r="N47" i="7"/>
  <c r="G47" i="6" s="1"/>
  <c r="M23" i="7"/>
  <c r="F23" i="6" s="1"/>
  <c r="J174" i="7"/>
  <c r="C174" i="6" s="1"/>
  <c r="K138" i="7"/>
  <c r="D138" i="6" s="1"/>
  <c r="J42" i="7"/>
  <c r="C42" i="6" s="1"/>
  <c r="O137" i="7"/>
  <c r="H137" i="6" s="1"/>
  <c r="K36" i="7"/>
  <c r="D36" i="6" s="1"/>
  <c r="O97" i="7"/>
  <c r="H97" i="6" s="1"/>
  <c r="L37" i="7"/>
  <c r="E37" i="6" s="1"/>
  <c r="L160" i="7"/>
  <c r="E160" i="6" s="1"/>
  <c r="J156" i="7"/>
  <c r="C156" i="6" s="1"/>
  <c r="M147" i="7"/>
  <c r="F147" i="6" s="1"/>
  <c r="K111" i="7"/>
  <c r="D111" i="6" s="1"/>
  <c r="L87" i="7"/>
  <c r="E87" i="6" s="1"/>
  <c r="K118" i="7"/>
  <c r="D118" i="6" s="1"/>
  <c r="L144" i="7"/>
  <c r="E144" i="6" s="1"/>
  <c r="K108" i="7"/>
  <c r="D108" i="6" s="1"/>
  <c r="K154" i="7"/>
  <c r="D154" i="6" s="1"/>
  <c r="L129" i="7"/>
  <c r="E129" i="6" s="1"/>
  <c r="N34" i="7"/>
  <c r="G34" i="6" s="1"/>
  <c r="O43" i="7"/>
  <c r="H43" i="6" s="1"/>
  <c r="O64" i="7"/>
  <c r="H64" i="6" s="1"/>
  <c r="O120" i="7"/>
  <c r="H120" i="6" s="1"/>
  <c r="N170" i="7"/>
  <c r="G170" i="6" s="1"/>
  <c r="N110" i="7"/>
  <c r="G110" i="6" s="1"/>
  <c r="K74" i="7"/>
  <c r="D74" i="6" s="1"/>
  <c r="O38" i="7"/>
  <c r="H38" i="6" s="1"/>
  <c r="J178" i="7"/>
  <c r="C178" i="6" s="1"/>
  <c r="L177" i="7"/>
  <c r="E177" i="6" s="1"/>
  <c r="N81" i="7"/>
  <c r="G81" i="6" s="1"/>
  <c r="N33" i="7"/>
  <c r="G33" i="6" s="1"/>
  <c r="J40" i="7"/>
  <c r="C40" i="6" s="1"/>
  <c r="K56" i="7"/>
  <c r="D56" i="6" s="1"/>
  <c r="J60" i="7"/>
  <c r="C60" i="6" s="1"/>
  <c r="L148" i="7"/>
  <c r="E148" i="6" s="1"/>
  <c r="J124" i="7"/>
  <c r="C124" i="6" s="1"/>
  <c r="N76" i="7"/>
  <c r="G76" i="6" s="1"/>
  <c r="N132" i="7"/>
  <c r="G132" i="6" s="1"/>
  <c r="J155" i="7"/>
  <c r="C155" i="6" s="1"/>
  <c r="L47" i="7"/>
  <c r="E47" i="6" s="1"/>
  <c r="L23" i="7"/>
  <c r="E23" i="6" s="1"/>
  <c r="L114" i="7"/>
  <c r="E114" i="6" s="1"/>
  <c r="J30" i="7"/>
  <c r="C30" i="6" s="1"/>
  <c r="M137" i="7"/>
  <c r="F137" i="6" s="1"/>
  <c r="O133" i="7"/>
  <c r="H133" i="6" s="1"/>
  <c r="K97" i="7"/>
  <c r="D97" i="6" s="1"/>
  <c r="L13" i="7"/>
  <c r="E13" i="6" s="1"/>
  <c r="J160" i="7"/>
  <c r="C160" i="6" s="1"/>
  <c r="O84" i="7"/>
  <c r="H84" i="6" s="1"/>
  <c r="J147" i="7"/>
  <c r="C147" i="6" s="1"/>
  <c r="N99" i="7"/>
  <c r="G99" i="6" s="1"/>
  <c r="N75" i="7"/>
  <c r="G75" i="6" s="1"/>
  <c r="J144" i="7"/>
  <c r="C144" i="6" s="1"/>
  <c r="N108" i="7"/>
  <c r="G108" i="6" s="1"/>
  <c r="K94" i="7"/>
  <c r="D94" i="6" s="1"/>
  <c r="N21" i="7"/>
  <c r="G21" i="6" s="1"/>
  <c r="M126" i="7"/>
  <c r="F126" i="6" s="1"/>
  <c r="J116" i="7"/>
  <c r="C116" i="6" s="1"/>
  <c r="L127" i="7"/>
  <c r="E127" i="6" s="1"/>
  <c r="J175" i="7"/>
  <c r="C175" i="6" s="1"/>
  <c r="M103" i="7"/>
  <c r="F103" i="6" s="1"/>
  <c r="O67" i="7"/>
  <c r="H67" i="6" s="1"/>
  <c r="N120" i="7"/>
  <c r="G120" i="6" s="1"/>
  <c r="K170" i="7"/>
  <c r="D170" i="6" s="1"/>
  <c r="M134" i="7"/>
  <c r="F134" i="6" s="1"/>
  <c r="K38" i="7"/>
  <c r="D38" i="6" s="1"/>
  <c r="O88" i="7"/>
  <c r="H88" i="6" s="1"/>
  <c r="O168" i="7"/>
  <c r="H168" i="6" s="1"/>
  <c r="K117" i="7"/>
  <c r="D117" i="6" s="1"/>
  <c r="M81" i="7"/>
  <c r="F81" i="6" s="1"/>
  <c r="O16" i="7"/>
  <c r="H16" i="6" s="1"/>
  <c r="J157" i="7"/>
  <c r="C157" i="6" s="1"/>
  <c r="K60" i="7"/>
  <c r="D60" i="6" s="1"/>
  <c r="K148" i="7"/>
  <c r="D148" i="6" s="1"/>
  <c r="M112" i="7"/>
  <c r="F112" i="6" s="1"/>
  <c r="L28" i="7"/>
  <c r="E28" i="6" s="1"/>
  <c r="O113" i="7"/>
  <c r="H113" i="6" s="1"/>
  <c r="K155" i="7"/>
  <c r="D155" i="6" s="1"/>
  <c r="J47" i="7"/>
  <c r="C47" i="6" s="1"/>
  <c r="K23" i="7"/>
  <c r="D23" i="6" s="1"/>
  <c r="K114" i="7"/>
  <c r="D114" i="6" s="1"/>
  <c r="L66" i="7"/>
  <c r="E66" i="6" s="1"/>
  <c r="M18" i="7"/>
  <c r="F18" i="6" s="1"/>
  <c r="L137" i="7"/>
  <c r="E137" i="6" s="1"/>
  <c r="L133" i="7"/>
  <c r="E133" i="6" s="1"/>
  <c r="L101" i="7"/>
  <c r="E101" i="6" s="1"/>
  <c r="O152" i="7"/>
  <c r="H152" i="6" s="1"/>
  <c r="L147" i="7"/>
  <c r="E147" i="6" s="1"/>
  <c r="M99" i="7"/>
  <c r="F99" i="6" s="1"/>
  <c r="J75" i="7"/>
  <c r="C75" i="6" s="1"/>
  <c r="O12" i="7"/>
  <c r="H12" i="6" s="1"/>
  <c r="M108" i="7"/>
  <c r="F108" i="6" s="1"/>
  <c r="K50" i="7"/>
  <c r="D50" i="6" s="1"/>
  <c r="S125" i="82"/>
  <c r="S120" i="82"/>
  <c r="S107" i="82"/>
  <c r="S108" i="82"/>
  <c r="S41" i="82"/>
  <c r="S75" i="82"/>
  <c r="T93" i="81"/>
  <c r="T71" i="82"/>
  <c r="S112" i="82"/>
  <c r="S110" i="82"/>
  <c r="S140" i="82"/>
  <c r="S33" i="82"/>
  <c r="S109" i="82"/>
  <c r="S13" i="82"/>
  <c r="S79" i="82"/>
  <c r="P91" i="74"/>
  <c r="P74" i="74"/>
  <c r="S42" i="82"/>
  <c r="P7" i="74"/>
  <c r="T23" i="82"/>
  <c r="P43" i="74"/>
  <c r="S137" i="82"/>
  <c r="P113" i="74"/>
  <c r="P23" i="74"/>
  <c r="S69" i="82"/>
  <c r="T100" i="81"/>
  <c r="S131" i="82"/>
  <c r="S36" i="82"/>
  <c r="T72" i="81"/>
  <c r="P89" i="74"/>
  <c r="S113" i="82"/>
  <c r="P53" i="74"/>
  <c r="P82" i="81"/>
  <c r="T103" i="81"/>
  <c r="P24" i="81"/>
  <c r="S72" i="82"/>
  <c r="P50" i="81"/>
  <c r="S61" i="82"/>
  <c r="S92" i="82"/>
  <c r="T33" i="82"/>
  <c r="S60" i="82"/>
  <c r="P88" i="81"/>
  <c r="T40" i="82"/>
  <c r="P83" i="81"/>
  <c r="S117" i="82"/>
  <c r="S123" i="82"/>
  <c r="S54" i="82"/>
  <c r="P31" i="81"/>
  <c r="S68" i="82"/>
  <c r="P69" i="81"/>
  <c r="P21" i="81"/>
  <c r="S6" i="82"/>
  <c r="S37" i="82"/>
  <c r="T100" i="82"/>
  <c r="S105" i="82"/>
  <c r="S44" i="82"/>
  <c r="T95" i="81"/>
  <c r="S24" i="82"/>
  <c r="T107" i="82"/>
  <c r="S142" i="82"/>
  <c r="S130" i="82"/>
  <c r="S114" i="82"/>
  <c r="S77" i="82"/>
  <c r="S46" i="82"/>
  <c r="S47" i="82"/>
  <c r="S58" i="82"/>
  <c r="P53" i="81"/>
  <c r="S124" i="82"/>
  <c r="P58" i="81"/>
  <c r="S99" i="82"/>
  <c r="P90" i="81"/>
  <c r="P41" i="74"/>
  <c r="P98" i="74"/>
  <c r="T47" i="81"/>
  <c r="S63" i="82"/>
  <c r="T137" i="82"/>
  <c r="T141" i="82"/>
  <c r="S128" i="82"/>
  <c r="S129" i="82"/>
  <c r="P58" i="74"/>
  <c r="P116" i="74"/>
  <c r="P120" i="74"/>
  <c r="P68" i="74"/>
  <c r="P59" i="81"/>
  <c r="P78" i="74"/>
  <c r="T66" i="82"/>
  <c r="P84" i="74"/>
  <c r="P38" i="74"/>
  <c r="P31" i="74"/>
  <c r="P125" i="74"/>
  <c r="P106" i="74"/>
  <c r="P118" i="74"/>
  <c r="P97" i="74"/>
  <c r="S50" i="82"/>
  <c r="P99" i="74"/>
  <c r="P82" i="74"/>
  <c r="P73" i="81"/>
  <c r="P95" i="74"/>
  <c r="P123" i="74"/>
  <c r="S59" i="82"/>
  <c r="P69" i="74"/>
  <c r="P3" i="74"/>
  <c r="P63" i="74"/>
  <c r="P79" i="74"/>
  <c r="P8" i="74"/>
  <c r="P28" i="74"/>
  <c r="P94" i="74"/>
  <c r="P44" i="74"/>
  <c r="P55" i="74"/>
  <c r="S78" i="82"/>
  <c r="P70" i="74"/>
  <c r="P11" i="74"/>
  <c r="P34" i="74"/>
  <c r="P88" i="74"/>
  <c r="P26" i="74"/>
  <c r="P90" i="74"/>
  <c r="P117" i="74"/>
  <c r="S19" i="82"/>
  <c r="P20" i="74"/>
  <c r="P85" i="74"/>
  <c r="P16" i="74"/>
  <c r="P66" i="74"/>
  <c r="S95" i="82"/>
  <c r="T32" i="82"/>
  <c r="P47" i="74"/>
  <c r="P30" i="74"/>
  <c r="P109" i="74"/>
  <c r="P103" i="74"/>
  <c r="P2" i="74"/>
  <c r="P10" i="74"/>
  <c r="P39" i="74"/>
  <c r="P42" i="74"/>
  <c r="P25" i="74"/>
  <c r="P122" i="74"/>
  <c r="P60" i="74"/>
  <c r="T8" i="82"/>
  <c r="P40" i="74"/>
  <c r="P62" i="74"/>
  <c r="P97" i="81"/>
  <c r="P81" i="74"/>
  <c r="P50" i="74"/>
  <c r="P129" i="74"/>
  <c r="P124" i="74"/>
  <c r="P73" i="74"/>
  <c r="P105" i="74"/>
  <c r="S51" i="82"/>
  <c r="S39" i="82"/>
  <c r="P75" i="74"/>
  <c r="P81" i="81"/>
  <c r="P61" i="74"/>
  <c r="P76" i="74"/>
  <c r="P112" i="74"/>
  <c r="P108" i="74"/>
  <c r="P107" i="74"/>
  <c r="P102" i="74"/>
  <c r="P54" i="74"/>
  <c r="P96" i="74"/>
  <c r="P110" i="74"/>
  <c r="P93" i="74"/>
  <c r="P87" i="74"/>
  <c r="P9" i="74"/>
  <c r="P83" i="74"/>
  <c r="P59" i="74"/>
  <c r="P35" i="74"/>
  <c r="P128" i="74"/>
  <c r="P77" i="74"/>
  <c r="P72" i="74"/>
  <c r="P86" i="74"/>
  <c r="P51" i="74"/>
  <c r="S118" i="82"/>
  <c r="T125" i="82"/>
  <c r="T87" i="82"/>
  <c r="P111" i="74"/>
  <c r="P71" i="74"/>
  <c r="P14" i="74"/>
  <c r="P64" i="74"/>
  <c r="P84" i="81"/>
  <c r="P121" i="74"/>
  <c r="P104" i="74"/>
  <c r="S88" i="82"/>
  <c r="P13" i="74"/>
  <c r="P32" i="74"/>
  <c r="P119" i="74"/>
  <c r="S65" i="82"/>
  <c r="S38" i="82"/>
  <c r="S52" i="82"/>
  <c r="T77" i="81"/>
  <c r="S81" i="82"/>
  <c r="T88" i="82"/>
  <c r="S34" i="82"/>
  <c r="S16" i="82"/>
  <c r="P66" i="81"/>
  <c r="P63" i="81"/>
  <c r="S121" i="82"/>
  <c r="S28" i="82"/>
  <c r="T75" i="82"/>
  <c r="P15" i="81"/>
  <c r="S70" i="82"/>
  <c r="P28" i="81"/>
  <c r="P8" i="81"/>
  <c r="P35" i="81"/>
  <c r="S116" i="82"/>
  <c r="P20" i="81"/>
  <c r="T91" i="82"/>
  <c r="P54" i="81"/>
  <c r="S83" i="82"/>
  <c r="S86" i="82"/>
  <c r="T94" i="82"/>
  <c r="S89" i="82"/>
  <c r="T120" i="82"/>
  <c r="P38" i="81"/>
  <c r="T30" i="82"/>
  <c r="S57" i="82"/>
  <c r="T28" i="81"/>
  <c r="P44" i="81"/>
  <c r="P10" i="81"/>
  <c r="P79" i="81"/>
  <c r="P48" i="81"/>
  <c r="T42" i="82"/>
  <c r="S67" i="82"/>
  <c r="P49" i="81"/>
  <c r="S17" i="82"/>
  <c r="S106" i="82"/>
  <c r="P13" i="81"/>
  <c r="P75" i="81"/>
  <c r="P52" i="81"/>
  <c r="T5" i="81"/>
  <c r="S97" i="82"/>
  <c r="P65" i="81"/>
  <c r="S101" i="82"/>
  <c r="P17" i="81"/>
  <c r="P61" i="81"/>
  <c r="P41" i="81"/>
  <c r="P11" i="81"/>
  <c r="P37" i="81"/>
  <c r="P5" i="81"/>
  <c r="S56" i="82"/>
  <c r="S122" i="82"/>
  <c r="P39" i="81"/>
  <c r="P2" i="81"/>
  <c r="S90" i="82"/>
  <c r="P32" i="81"/>
  <c r="P22" i="81"/>
  <c r="P98" i="81"/>
  <c r="P57" i="81"/>
  <c r="P29" i="81"/>
  <c r="S143" i="82"/>
  <c r="S115" i="82"/>
  <c r="P51" i="81"/>
  <c r="P62" i="81"/>
  <c r="P27" i="81"/>
  <c r="P78" i="81"/>
  <c r="P46" i="81"/>
  <c r="P18" i="81"/>
  <c r="P94" i="81"/>
  <c r="S5" i="82"/>
  <c r="T116" i="82"/>
  <c r="T26" i="82"/>
  <c r="S62" i="82"/>
  <c r="S103" i="82"/>
  <c r="P7" i="81"/>
  <c r="S35" i="82"/>
  <c r="P45" i="81"/>
  <c r="P85" i="81"/>
  <c r="P16" i="81"/>
  <c r="S29" i="82"/>
  <c r="S74" i="82"/>
  <c r="S104" i="82"/>
  <c r="S27" i="82"/>
  <c r="P9" i="81"/>
  <c r="T110" i="82"/>
  <c r="P91" i="81"/>
  <c r="P67" i="81"/>
  <c r="P87" i="81"/>
  <c r="P6" i="81"/>
  <c r="P14" i="81"/>
  <c r="T20" i="81"/>
  <c r="S22" i="82"/>
  <c r="S10" i="82"/>
  <c r="S43" i="82"/>
  <c r="P40" i="81"/>
  <c r="P76" i="81"/>
  <c r="S138" i="82"/>
  <c r="S111" i="82"/>
  <c r="P68" i="81"/>
  <c r="P74" i="81"/>
  <c r="T91" i="81"/>
  <c r="T51" i="81"/>
  <c r="T39" i="81"/>
  <c r="S14" i="82"/>
  <c r="S136" i="82"/>
  <c r="T92" i="81"/>
  <c r="P25" i="81"/>
  <c r="T140" i="82"/>
  <c r="P99" i="81"/>
  <c r="S49" i="82"/>
  <c r="T12" i="82"/>
  <c r="T97" i="82"/>
  <c r="P33" i="81"/>
  <c r="S139" i="82"/>
  <c r="T101" i="82"/>
  <c r="T17" i="82"/>
  <c r="P36" i="81"/>
  <c r="T80" i="81"/>
  <c r="T96" i="81"/>
  <c r="S133" i="82"/>
  <c r="S96" i="82"/>
  <c r="P104" i="81"/>
  <c r="P64" i="81"/>
  <c r="P70" i="81"/>
  <c r="P26" i="81"/>
  <c r="P12" i="81"/>
  <c r="P71" i="81"/>
  <c r="P86" i="81"/>
  <c r="S85" i="82"/>
  <c r="S48" i="82"/>
  <c r="S53" i="82"/>
  <c r="T105" i="82"/>
  <c r="P89" i="81"/>
  <c r="S73" i="82"/>
  <c r="S126" i="82"/>
  <c r="S93" i="82"/>
  <c r="P3" i="81"/>
  <c r="P30" i="81"/>
  <c r="P55" i="81"/>
  <c r="P19" i="81"/>
  <c r="T2" i="81"/>
  <c r="P102" i="81"/>
  <c r="T20" i="82"/>
  <c r="T90" i="82"/>
  <c r="S15" i="82"/>
  <c r="S21" i="82"/>
  <c r="P60" i="81"/>
  <c r="T65" i="81"/>
  <c r="T9" i="82"/>
  <c r="S3" i="82"/>
  <c r="P101" i="81"/>
  <c r="P43" i="81"/>
  <c r="S132" i="82"/>
  <c r="S84" i="82"/>
  <c r="S18" i="82"/>
  <c r="S64" i="82"/>
  <c r="S80" i="82"/>
  <c r="S82" i="82"/>
  <c r="P42" i="81"/>
  <c r="P23" i="81"/>
  <c r="S76" i="82"/>
  <c r="S2" i="82"/>
  <c r="S11" i="82"/>
  <c r="T49" i="81"/>
  <c r="S127" i="82"/>
  <c r="S98" i="82"/>
  <c r="S4" i="82"/>
  <c r="S102" i="82"/>
  <c r="S134" i="82"/>
  <c r="P4" i="81"/>
  <c r="S31" i="82"/>
  <c r="P34" i="81"/>
  <c r="S25" i="82"/>
  <c r="P56" i="81"/>
  <c r="S135" i="82"/>
  <c r="S45" i="82"/>
  <c r="T81" i="81"/>
  <c r="J4" i="7"/>
  <c r="C4" i="6" s="1"/>
  <c r="K4" i="7"/>
  <c r="D4" i="6" s="1"/>
  <c r="L4" i="7"/>
  <c r="E4" i="6" s="1"/>
  <c r="M4" i="7"/>
  <c r="F4" i="6" s="1"/>
  <c r="N4" i="7"/>
  <c r="G4" i="6" s="1"/>
  <c r="O4" i="7"/>
  <c r="H4" i="6" s="1"/>
  <c r="U9" i="61"/>
  <c r="T14" i="61"/>
  <c r="Y14" i="61" s="1"/>
  <c r="T9" i="61"/>
  <c r="V9" i="61"/>
  <c r="P50" i="18"/>
  <c r="AB14" i="18"/>
  <c r="Q41" i="18"/>
  <c r="AB15" i="18"/>
  <c r="Q38" i="18"/>
  <c r="AB49" i="18"/>
  <c r="AB13" i="18"/>
  <c r="Q39" i="18"/>
  <c r="U28" i="18"/>
  <c r="AB16" i="18"/>
  <c r="Q40" i="18"/>
  <c r="U29" i="18"/>
  <c r="AB50" i="18"/>
  <c r="U27" i="18"/>
  <c r="AB17" i="18"/>
  <c r="AB48" i="18"/>
  <c r="AB51" i="18"/>
  <c r="U26" i="18"/>
  <c r="P47" i="18"/>
  <c r="U25" i="18"/>
  <c r="U23" i="18"/>
  <c r="U24" i="18"/>
  <c r="U21" i="18"/>
  <c r="U7" i="18"/>
  <c r="K19" i="53"/>
  <c r="AB14" i="61"/>
  <c r="X14" i="61"/>
  <c r="W9" i="61"/>
  <c r="H3" i="53"/>
  <c r="I3" i="53"/>
  <c r="I4" i="53" s="1"/>
  <c r="N106" i="7"/>
  <c r="G106" i="6" s="1"/>
  <c r="M106" i="7"/>
  <c r="F106" i="6" s="1"/>
  <c r="K106" i="7"/>
  <c r="D106" i="6" s="1"/>
  <c r="L106" i="7"/>
  <c r="E106" i="6" s="1"/>
  <c r="M56" i="7"/>
  <c r="F56" i="6" s="1"/>
  <c r="N56" i="7"/>
  <c r="G56" i="6" s="1"/>
  <c r="N5" i="55"/>
  <c r="Z5" i="7"/>
  <c r="V8" i="18"/>
  <c r="P51" i="18"/>
  <c r="D29" i="53"/>
  <c r="I10" i="53"/>
  <c r="H10" i="53"/>
  <c r="H9" i="53"/>
  <c r="I9" i="53"/>
  <c r="I8" i="53"/>
  <c r="H8" i="53"/>
  <c r="D25" i="53"/>
  <c r="X10" i="18"/>
  <c r="Q45" i="18"/>
  <c r="M45" i="53" s="1"/>
  <c r="U9" i="18"/>
  <c r="V9" i="18"/>
  <c r="U22" i="18"/>
  <c r="V7" i="18"/>
  <c r="Q15" i="18"/>
  <c r="Q13" i="18"/>
  <c r="Q11" i="18"/>
  <c r="Q16" i="18"/>
  <c r="Q12" i="18"/>
  <c r="Q14" i="18"/>
  <c r="AB5" i="7"/>
  <c r="O5" i="55"/>
  <c r="P5" i="55"/>
  <c r="AC5" i="7"/>
  <c r="AD5" i="7"/>
  <c r="Q5" i="55"/>
  <c r="R5" i="55"/>
  <c r="AE5" i="7"/>
  <c r="P95" i="7"/>
  <c r="I95" i="6" s="1"/>
  <c r="F2" i="7"/>
  <c r="N2" i="7" s="1"/>
  <c r="E2" i="7"/>
  <c r="M2" i="7" s="1"/>
  <c r="D2" i="7"/>
  <c r="L2" i="7" s="1"/>
  <c r="G2" i="7"/>
  <c r="O2" i="7" s="1"/>
  <c r="C2" i="7"/>
  <c r="K2" i="7" s="1"/>
  <c r="B2" i="7"/>
  <c r="J2" i="7" s="1"/>
  <c r="S27" i="54"/>
  <c r="S21" i="54"/>
  <c r="S19" i="54"/>
  <c r="S26" i="54"/>
  <c r="S37" i="54"/>
  <c r="S31" i="54"/>
  <c r="S61" i="54"/>
  <c r="S47" i="54"/>
  <c r="S48" i="54"/>
  <c r="S103" i="54"/>
  <c r="S82" i="54"/>
  <c r="S64" i="54"/>
  <c r="S38" i="54"/>
  <c r="S51" i="54"/>
  <c r="S9" i="54"/>
  <c r="S100" i="54"/>
  <c r="S20" i="54"/>
  <c r="S45" i="54"/>
  <c r="S101" i="54"/>
  <c r="S67" i="54"/>
  <c r="S15" i="54"/>
  <c r="S6" i="54"/>
  <c r="S89" i="54"/>
  <c r="S73" i="54"/>
  <c r="S18" i="54"/>
  <c r="S63" i="54"/>
  <c r="S75" i="54"/>
  <c r="S49" i="54"/>
  <c r="S97" i="54"/>
  <c r="S4" i="54"/>
  <c r="S42" i="54"/>
  <c r="S91" i="54"/>
  <c r="S85" i="54"/>
  <c r="S13" i="54"/>
  <c r="S11" i="54"/>
  <c r="S2" i="54"/>
  <c r="S43" i="54"/>
  <c r="S72" i="54"/>
  <c r="S95" i="54"/>
  <c r="S99" i="54"/>
  <c r="S33" i="54"/>
  <c r="S83" i="54"/>
  <c r="S52" i="54"/>
  <c r="S69" i="54"/>
  <c r="S3" i="54"/>
  <c r="S7" i="54"/>
  <c r="S60" i="54"/>
  <c r="S84" i="54"/>
  <c r="S90" i="54"/>
  <c r="S53" i="54"/>
  <c r="S79" i="54"/>
  <c r="S29" i="54"/>
  <c r="S74" i="54"/>
  <c r="S86" i="54"/>
  <c r="S77" i="54"/>
  <c r="S55" i="54"/>
  <c r="S92" i="54"/>
  <c r="S12" i="54"/>
  <c r="S81" i="54"/>
  <c r="S80" i="54"/>
  <c r="S98" i="54"/>
  <c r="S30" i="54"/>
  <c r="S88" i="54"/>
  <c r="S87" i="54"/>
  <c r="S16" i="54"/>
  <c r="S24" i="54"/>
  <c r="S94" i="54"/>
  <c r="S65" i="54"/>
  <c r="S28" i="54"/>
  <c r="S46" i="54"/>
  <c r="S10" i="54"/>
  <c r="S32" i="54"/>
  <c r="S35" i="54"/>
  <c r="S68" i="54"/>
  <c r="S58" i="54"/>
  <c r="S8" i="54"/>
  <c r="S5" i="54"/>
  <c r="S54" i="54"/>
  <c r="S78" i="54"/>
  <c r="S25" i="54"/>
  <c r="S93" i="54"/>
  <c r="S44" i="54"/>
  <c r="S23" i="54"/>
  <c r="S34" i="54"/>
  <c r="S96" i="54"/>
  <c r="S66" i="54"/>
  <c r="S14" i="54"/>
  <c r="S70" i="54"/>
  <c r="S17" i="54"/>
  <c r="S104" i="54"/>
  <c r="S39" i="54"/>
  <c r="S56" i="54"/>
  <c r="S22" i="54"/>
  <c r="S62" i="54"/>
  <c r="S40" i="54"/>
  <c r="S59" i="54"/>
  <c r="S36" i="54"/>
  <c r="S57" i="54"/>
  <c r="S71" i="54"/>
  <c r="S76" i="54"/>
  <c r="S50" i="54"/>
  <c r="S41" i="54"/>
  <c r="Q47" i="18" l="1"/>
  <c r="W76" i="18"/>
  <c r="I256" i="55"/>
  <c r="I278" i="55"/>
  <c r="I274" i="55"/>
  <c r="I269" i="55"/>
  <c r="I260" i="55"/>
  <c r="I254" i="55"/>
  <c r="I266" i="55"/>
  <c r="I272" i="55"/>
  <c r="I275" i="55"/>
  <c r="I262" i="55"/>
  <c r="I270" i="55"/>
  <c r="I264" i="55"/>
  <c r="I271" i="55"/>
  <c r="I268" i="55"/>
  <c r="I257" i="55"/>
  <c r="I273" i="55"/>
  <c r="I263" i="55"/>
  <c r="I277" i="55"/>
  <c r="I267" i="55"/>
  <c r="I255" i="55"/>
  <c r="I258" i="55"/>
  <c r="I261" i="55"/>
  <c r="I265" i="55"/>
  <c r="I276" i="55"/>
  <c r="I259" i="55"/>
  <c r="G185" i="6"/>
  <c r="H185" i="6"/>
  <c r="A15" i="6"/>
  <c r="X15" i="7"/>
  <c r="R183" i="7"/>
  <c r="K183" i="6" s="1"/>
  <c r="Q154" i="6"/>
  <c r="B154" i="6"/>
  <c r="Q46" i="6"/>
  <c r="B46" i="6"/>
  <c r="R184" i="7"/>
  <c r="K184" i="6" s="1"/>
  <c r="Q177" i="6"/>
  <c r="B177" i="6"/>
  <c r="Q129" i="6"/>
  <c r="B129" i="6"/>
  <c r="Q65" i="6"/>
  <c r="B65" i="6"/>
  <c r="B117" i="6"/>
  <c r="Q117" i="6"/>
  <c r="Q5" i="6"/>
  <c r="B5" i="6"/>
  <c r="Q172" i="6"/>
  <c r="B172" i="6"/>
  <c r="Q116" i="6"/>
  <c r="B116" i="6"/>
  <c r="Q148" i="6"/>
  <c r="B148" i="6"/>
  <c r="Q104" i="6"/>
  <c r="B104" i="6"/>
  <c r="Q13" i="6"/>
  <c r="B13" i="6"/>
  <c r="R95" i="7"/>
  <c r="K95" i="6" s="1"/>
  <c r="Q155" i="6"/>
  <c r="B155" i="6"/>
  <c r="Q183" i="6"/>
  <c r="B183" i="6"/>
  <c r="Q137" i="6"/>
  <c r="B137" i="6"/>
  <c r="Q180" i="6"/>
  <c r="B180" i="6"/>
  <c r="Q169" i="6"/>
  <c r="B169" i="6"/>
  <c r="Q157" i="6"/>
  <c r="B157" i="6"/>
  <c r="Q51" i="6"/>
  <c r="B51" i="6"/>
  <c r="Q95" i="6"/>
  <c r="B95" i="6"/>
  <c r="Q9" i="6"/>
  <c r="B9" i="6"/>
  <c r="Q142" i="6"/>
  <c r="B142" i="6"/>
  <c r="Q34" i="6"/>
  <c r="B34" i="6"/>
  <c r="Q40" i="6"/>
  <c r="B40" i="6"/>
  <c r="Q24" i="6"/>
  <c r="B24" i="6"/>
  <c r="B73" i="6"/>
  <c r="Q73" i="6"/>
  <c r="Q7" i="6"/>
  <c r="B7" i="6"/>
  <c r="Q106" i="6"/>
  <c r="B106" i="6"/>
  <c r="Q165" i="6"/>
  <c r="B165" i="6"/>
  <c r="Q28" i="6"/>
  <c r="B28" i="6"/>
  <c r="Q64" i="6"/>
  <c r="B64" i="6"/>
  <c r="Q134" i="6"/>
  <c r="B134" i="6"/>
  <c r="A29" i="6"/>
  <c r="X29" i="7"/>
  <c r="A87" i="6"/>
  <c r="X87" i="7"/>
  <c r="Q44" i="6"/>
  <c r="B44" i="6"/>
  <c r="Q69" i="6"/>
  <c r="B69" i="6"/>
  <c r="R180" i="7"/>
  <c r="K180" i="6" s="1"/>
  <c r="Q173" i="6"/>
  <c r="B173" i="6"/>
  <c r="Q164" i="6"/>
  <c r="B164" i="6"/>
  <c r="Q123" i="6"/>
  <c r="B123" i="6"/>
  <c r="Q140" i="6"/>
  <c r="B140" i="6"/>
  <c r="Q77" i="6"/>
  <c r="B77" i="6"/>
  <c r="B127" i="6"/>
  <c r="Q127" i="6"/>
  <c r="B103" i="6"/>
  <c r="Q103" i="6"/>
  <c r="Q176" i="6"/>
  <c r="B176" i="6"/>
  <c r="Q138" i="6"/>
  <c r="B138" i="6"/>
  <c r="Q181" i="6"/>
  <c r="B181" i="6"/>
  <c r="Q161" i="6"/>
  <c r="B161" i="6"/>
  <c r="Q53" i="6"/>
  <c r="B53" i="6"/>
  <c r="Q158" i="6"/>
  <c r="B158" i="6"/>
  <c r="Q132" i="6"/>
  <c r="B132" i="6"/>
  <c r="Q107" i="6"/>
  <c r="B107" i="6"/>
  <c r="Q58" i="6"/>
  <c r="B58" i="6"/>
  <c r="Q178" i="6"/>
  <c r="B178" i="6"/>
  <c r="Q163" i="6"/>
  <c r="B163" i="6"/>
  <c r="Q20" i="6"/>
  <c r="B20" i="6"/>
  <c r="Q57" i="6"/>
  <c r="B57" i="6"/>
  <c r="Q150" i="6"/>
  <c r="B150" i="6"/>
  <c r="B72" i="6"/>
  <c r="Q72" i="6"/>
  <c r="Q30" i="6"/>
  <c r="B30" i="6"/>
  <c r="Q55" i="6"/>
  <c r="B55" i="6"/>
  <c r="Q21" i="6"/>
  <c r="B21" i="6"/>
  <c r="R181" i="7"/>
  <c r="K181" i="6" s="1"/>
  <c r="B49" i="6"/>
  <c r="Q49" i="6"/>
  <c r="Q174" i="6"/>
  <c r="B174" i="6"/>
  <c r="B112" i="6"/>
  <c r="Q112" i="6"/>
  <c r="Q68" i="6"/>
  <c r="B68" i="6"/>
  <c r="Q41" i="6"/>
  <c r="B41" i="6"/>
  <c r="Q16" i="6"/>
  <c r="B16" i="6"/>
  <c r="Q151" i="6"/>
  <c r="B151" i="6"/>
  <c r="Q4" i="6"/>
  <c r="B4" i="6"/>
  <c r="Q139" i="6"/>
  <c r="B139" i="6"/>
  <c r="Q144" i="6"/>
  <c r="B144" i="6"/>
  <c r="Q102" i="6"/>
  <c r="B102" i="6"/>
  <c r="Q90" i="6"/>
  <c r="B90" i="6"/>
  <c r="Q146" i="6"/>
  <c r="B146" i="6"/>
  <c r="Q74" i="6"/>
  <c r="B74" i="6"/>
  <c r="A160" i="6"/>
  <c r="X160" i="7"/>
  <c r="Q122" i="6"/>
  <c r="B122" i="6"/>
  <c r="Q126" i="6"/>
  <c r="B126" i="6"/>
  <c r="Q143" i="6"/>
  <c r="B143" i="6"/>
  <c r="Q119" i="6"/>
  <c r="B119" i="6"/>
  <c r="Q166" i="6"/>
  <c r="B166" i="6"/>
  <c r="Q56" i="6"/>
  <c r="B56" i="6"/>
  <c r="B81" i="6"/>
  <c r="Q81" i="6"/>
  <c r="Q149" i="6"/>
  <c r="B149" i="6"/>
  <c r="Q98" i="6"/>
  <c r="B98" i="6"/>
  <c r="Q100" i="6"/>
  <c r="B100" i="6"/>
  <c r="B32" i="6"/>
  <c r="Q32" i="6"/>
  <c r="Q179" i="6"/>
  <c r="B179" i="6"/>
  <c r="B59" i="6"/>
  <c r="Q59" i="6"/>
  <c r="B135" i="6"/>
  <c r="Q135" i="6"/>
  <c r="Q52" i="6"/>
  <c r="B52" i="6"/>
  <c r="Q27" i="6"/>
  <c r="B27" i="6"/>
  <c r="B60" i="6"/>
  <c r="Q60" i="6"/>
  <c r="Q18" i="6"/>
  <c r="B18" i="6"/>
  <c r="X97" i="7"/>
  <c r="A97" i="6"/>
  <c r="B101" i="6"/>
  <c r="Q101" i="6"/>
  <c r="B121" i="6"/>
  <c r="Q121" i="6"/>
  <c r="B31" i="6"/>
  <c r="Q31" i="6"/>
  <c r="Q115" i="6"/>
  <c r="B115" i="6"/>
  <c r="Q168" i="6"/>
  <c r="B168" i="6"/>
  <c r="Q156" i="6"/>
  <c r="B156" i="6"/>
  <c r="Q114" i="6"/>
  <c r="B114" i="6"/>
  <c r="B75" i="6"/>
  <c r="Q75" i="6"/>
  <c r="Q63" i="6"/>
  <c r="B63" i="6"/>
  <c r="B23" i="6"/>
  <c r="Q23" i="6"/>
  <c r="R182" i="7"/>
  <c r="K182" i="6" s="1"/>
  <c r="Q113" i="6"/>
  <c r="B113" i="6"/>
  <c r="Q167" i="6"/>
  <c r="B167" i="6"/>
  <c r="Q120" i="6"/>
  <c r="B120" i="6"/>
  <c r="B133" i="6"/>
  <c r="Q133" i="6"/>
  <c r="Q136" i="6"/>
  <c r="B136" i="6"/>
  <c r="B92" i="6"/>
  <c r="Q92" i="6"/>
  <c r="Q182" i="6"/>
  <c r="B182" i="6"/>
  <c r="Q171" i="6"/>
  <c r="B171" i="6"/>
  <c r="B85" i="6"/>
  <c r="Q85" i="6"/>
  <c r="Q19" i="6"/>
  <c r="B19" i="6"/>
  <c r="Q130" i="6"/>
  <c r="B130" i="6"/>
  <c r="Q22" i="6"/>
  <c r="B22" i="6"/>
  <c r="B124" i="6"/>
  <c r="Q124" i="6"/>
  <c r="Q37" i="6"/>
  <c r="B37" i="6"/>
  <c r="Q162" i="6"/>
  <c r="B162" i="6"/>
  <c r="Q86" i="6"/>
  <c r="B86" i="6"/>
  <c r="B47" i="6"/>
  <c r="Q47" i="6"/>
  <c r="Q38" i="6"/>
  <c r="B38" i="6"/>
  <c r="Q109" i="6"/>
  <c r="B109" i="6"/>
  <c r="B96" i="6"/>
  <c r="Q96" i="6"/>
  <c r="Q54" i="6"/>
  <c r="B54" i="6"/>
  <c r="Q111" i="6"/>
  <c r="B111" i="6"/>
  <c r="Q12" i="6"/>
  <c r="B12" i="6"/>
  <c r="Q141" i="6"/>
  <c r="B141" i="6"/>
  <c r="Q43" i="6"/>
  <c r="B43" i="6"/>
  <c r="Q62" i="6"/>
  <c r="B62" i="6"/>
  <c r="Q131" i="6"/>
  <c r="B131" i="6"/>
  <c r="Q70" i="6"/>
  <c r="B70" i="6"/>
  <c r="Q26" i="6"/>
  <c r="B26" i="6"/>
  <c r="Q145" i="6"/>
  <c r="B145" i="6"/>
  <c r="Q94" i="6"/>
  <c r="B94" i="6"/>
  <c r="B99" i="6"/>
  <c r="Q99" i="6"/>
  <c r="Q170" i="6"/>
  <c r="B170" i="6"/>
  <c r="Q147" i="6"/>
  <c r="B147" i="6"/>
  <c r="B79" i="6"/>
  <c r="Q79" i="6"/>
  <c r="Q89" i="6"/>
  <c r="B89" i="6"/>
  <c r="B84" i="6"/>
  <c r="Q84" i="6"/>
  <c r="Q42" i="6"/>
  <c r="B42" i="6"/>
  <c r="Q17" i="6"/>
  <c r="B17" i="6"/>
  <c r="Q91" i="6"/>
  <c r="B91" i="6"/>
  <c r="Q45" i="6"/>
  <c r="B45" i="6"/>
  <c r="B88" i="6"/>
  <c r="Q88" i="6"/>
  <c r="B48" i="6"/>
  <c r="Q48" i="6"/>
  <c r="Q6" i="6"/>
  <c r="B6" i="6"/>
  <c r="Q118" i="6"/>
  <c r="B118" i="6"/>
  <c r="Q10" i="6"/>
  <c r="B10" i="6"/>
  <c r="Q153" i="6"/>
  <c r="B153" i="6"/>
  <c r="Q39" i="6"/>
  <c r="B39" i="6"/>
  <c r="Q83" i="6"/>
  <c r="B83" i="6"/>
  <c r="Q14" i="6"/>
  <c r="B14" i="6"/>
  <c r="Q128" i="6"/>
  <c r="B128" i="6"/>
  <c r="Q110" i="6"/>
  <c r="B110" i="6"/>
  <c r="Q175" i="6"/>
  <c r="B175" i="6"/>
  <c r="Q152" i="6"/>
  <c r="B152" i="6"/>
  <c r="Q105" i="6"/>
  <c r="B105" i="6"/>
  <c r="B80" i="6"/>
  <c r="Q80" i="6"/>
  <c r="B93" i="6"/>
  <c r="Q93" i="6"/>
  <c r="Q78" i="6"/>
  <c r="B78" i="6"/>
  <c r="Q61" i="6"/>
  <c r="B61" i="6"/>
  <c r="Q184" i="6"/>
  <c r="B184" i="6"/>
  <c r="B125" i="6"/>
  <c r="Q125" i="6"/>
  <c r="B108" i="6"/>
  <c r="Q108" i="6"/>
  <c r="Q66" i="6"/>
  <c r="B66" i="6"/>
  <c r="Q36" i="6"/>
  <c r="B36" i="6"/>
  <c r="Q3" i="6"/>
  <c r="B3" i="6"/>
  <c r="B71" i="6"/>
  <c r="Q71" i="6"/>
  <c r="Q159" i="6"/>
  <c r="B159" i="6"/>
  <c r="Q82" i="6"/>
  <c r="B82" i="6"/>
  <c r="B76" i="6"/>
  <c r="Q76" i="6"/>
  <c r="Q8" i="6"/>
  <c r="B8" i="6"/>
  <c r="Q50" i="6"/>
  <c r="B50" i="6"/>
  <c r="Q35" i="6"/>
  <c r="B35" i="6"/>
  <c r="Q25" i="6"/>
  <c r="B25" i="6"/>
  <c r="Q67" i="6"/>
  <c r="B67" i="6"/>
  <c r="B33" i="6"/>
  <c r="Q33" i="6"/>
  <c r="Q11" i="6"/>
  <c r="B11" i="6"/>
  <c r="I217" i="55"/>
  <c r="Q184" i="7"/>
  <c r="J184" i="6" s="1"/>
  <c r="Q183" i="7"/>
  <c r="J183" i="6" s="1"/>
  <c r="P104" i="7"/>
  <c r="I104" i="6" s="1"/>
  <c r="P162" i="7"/>
  <c r="I162" i="6" s="1"/>
  <c r="P5" i="7"/>
  <c r="I5" i="6" s="1"/>
  <c r="P20" i="7"/>
  <c r="I20" i="6" s="1"/>
  <c r="Q180" i="7"/>
  <c r="J180" i="6" s="1"/>
  <c r="Q181" i="7"/>
  <c r="J181" i="6" s="1"/>
  <c r="Q182" i="7"/>
  <c r="J182" i="6" s="1"/>
  <c r="P79" i="7"/>
  <c r="I79" i="6" s="1"/>
  <c r="P93" i="7"/>
  <c r="I93" i="6" s="1"/>
  <c r="P138" i="7"/>
  <c r="I138" i="6" s="1"/>
  <c r="P46" i="7"/>
  <c r="I46" i="6" s="1"/>
  <c r="P69" i="7"/>
  <c r="I69" i="6" s="1"/>
  <c r="P37" i="7"/>
  <c r="I37" i="6" s="1"/>
  <c r="P68" i="7"/>
  <c r="I68" i="6" s="1"/>
  <c r="V22" i="18"/>
  <c r="V30" i="18" s="1"/>
  <c r="P141" i="7"/>
  <c r="I141" i="6" s="1"/>
  <c r="P41" i="7"/>
  <c r="I41" i="6" s="1"/>
  <c r="P101" i="7"/>
  <c r="I101" i="6" s="1"/>
  <c r="P25" i="7"/>
  <c r="I25" i="6" s="1"/>
  <c r="P51" i="7"/>
  <c r="I51" i="6" s="1"/>
  <c r="P11" i="7"/>
  <c r="I11" i="6" s="1"/>
  <c r="P110" i="7"/>
  <c r="I110" i="6" s="1"/>
  <c r="P109" i="7"/>
  <c r="I109" i="6" s="1"/>
  <c r="P80" i="7"/>
  <c r="I80" i="6" s="1"/>
  <c r="P149" i="7"/>
  <c r="I149" i="6" s="1"/>
  <c r="P88" i="7"/>
  <c r="I88" i="6" s="1"/>
  <c r="P33" i="7"/>
  <c r="I33" i="6" s="1"/>
  <c r="P173" i="7"/>
  <c r="I173" i="6" s="1"/>
  <c r="P139" i="7"/>
  <c r="I139" i="6" s="1"/>
  <c r="P119" i="7"/>
  <c r="I119" i="6" s="1"/>
  <c r="P3" i="7"/>
  <c r="I3" i="6" s="1"/>
  <c r="P13" i="7"/>
  <c r="I13" i="6" s="1"/>
  <c r="P153" i="7"/>
  <c r="I153" i="6" s="1"/>
  <c r="P31" i="7"/>
  <c r="I31" i="6" s="1"/>
  <c r="P86" i="7"/>
  <c r="I86" i="6" s="1"/>
  <c r="P142" i="7"/>
  <c r="I142" i="6" s="1"/>
  <c r="P9" i="7"/>
  <c r="I9" i="6" s="1"/>
  <c r="P161" i="7"/>
  <c r="I161" i="6" s="1"/>
  <c r="P152" i="7"/>
  <c r="I152" i="6" s="1"/>
  <c r="P105" i="7"/>
  <c r="I105" i="6" s="1"/>
  <c r="P127" i="7"/>
  <c r="I127" i="6" s="1"/>
  <c r="P92" i="7"/>
  <c r="I92" i="6" s="1"/>
  <c r="P17" i="7"/>
  <c r="I17" i="6" s="1"/>
  <c r="P171" i="7"/>
  <c r="I171" i="6" s="1"/>
  <c r="P134" i="7"/>
  <c r="I134" i="6" s="1"/>
  <c r="P135" i="7"/>
  <c r="I135" i="6" s="1"/>
  <c r="P143" i="7"/>
  <c r="I143" i="6" s="1"/>
  <c r="P64" i="7"/>
  <c r="I64" i="6" s="1"/>
  <c r="P74" i="7"/>
  <c r="I74" i="6" s="1"/>
  <c r="P148" i="7"/>
  <c r="I148" i="6" s="1"/>
  <c r="P72" i="7"/>
  <c r="I72" i="6" s="1"/>
  <c r="P128" i="7"/>
  <c r="I128" i="6" s="1"/>
  <c r="P15" i="7"/>
  <c r="I15" i="6" s="1"/>
  <c r="P169" i="7"/>
  <c r="I169" i="6" s="1"/>
  <c r="P76" i="7"/>
  <c r="I76" i="6" s="1"/>
  <c r="P32" i="7"/>
  <c r="I32" i="6" s="1"/>
  <c r="P126" i="7"/>
  <c r="I126" i="6" s="1"/>
  <c r="P131" i="7"/>
  <c r="I131" i="6" s="1"/>
  <c r="P27" i="7"/>
  <c r="I27" i="6" s="1"/>
  <c r="P50" i="7"/>
  <c r="I50" i="6" s="1"/>
  <c r="P59" i="7"/>
  <c r="I59" i="6" s="1"/>
  <c r="P14" i="7"/>
  <c r="I14" i="6" s="1"/>
  <c r="P34" i="7"/>
  <c r="I34" i="6" s="1"/>
  <c r="P49" i="7"/>
  <c r="I49" i="6" s="1"/>
  <c r="P83" i="7"/>
  <c r="I83" i="6" s="1"/>
  <c r="P140" i="7"/>
  <c r="I140" i="6" s="1"/>
  <c r="P90" i="7"/>
  <c r="I90" i="6" s="1"/>
  <c r="P21" i="7"/>
  <c r="I21" i="6" s="1"/>
  <c r="P147" i="7"/>
  <c r="I147" i="6" s="1"/>
  <c r="P66" i="7"/>
  <c r="I66" i="6" s="1"/>
  <c r="P165" i="7"/>
  <c r="I165" i="6" s="1"/>
  <c r="P45" i="7"/>
  <c r="I45" i="6" s="1"/>
  <c r="P157" i="7"/>
  <c r="I157" i="6" s="1"/>
  <c r="P36" i="7"/>
  <c r="I36" i="6" s="1"/>
  <c r="P6" i="7"/>
  <c r="I6" i="6" s="1"/>
  <c r="P120" i="7"/>
  <c r="I120" i="6" s="1"/>
  <c r="P144" i="7"/>
  <c r="I144" i="6" s="1"/>
  <c r="P111" i="7"/>
  <c r="I111" i="6" s="1"/>
  <c r="P44" i="7"/>
  <c r="I44" i="6" s="1"/>
  <c r="P40" i="7"/>
  <c r="I40" i="6" s="1"/>
  <c r="P117" i="7"/>
  <c r="I117" i="6" s="1"/>
  <c r="P177" i="7"/>
  <c r="I177" i="6" s="1"/>
  <c r="P57" i="7"/>
  <c r="I57" i="6" s="1"/>
  <c r="P84" i="7"/>
  <c r="I84" i="6" s="1"/>
  <c r="P58" i="7"/>
  <c r="I58" i="6" s="1"/>
  <c r="P175" i="7"/>
  <c r="I175" i="6" s="1"/>
  <c r="P155" i="7"/>
  <c r="I155" i="6" s="1"/>
  <c r="P67" i="7"/>
  <c r="I67" i="6" s="1"/>
  <c r="P30" i="7"/>
  <c r="I30" i="6" s="1"/>
  <c r="P54" i="7"/>
  <c r="I54" i="6" s="1"/>
  <c r="P163" i="7"/>
  <c r="I163" i="6" s="1"/>
  <c r="P145" i="7"/>
  <c r="I145" i="6" s="1"/>
  <c r="P102" i="7"/>
  <c r="I102" i="6" s="1"/>
  <c r="P38" i="7"/>
  <c r="I38" i="6" s="1"/>
  <c r="P77" i="7"/>
  <c r="I77" i="6" s="1"/>
  <c r="P137" i="7"/>
  <c r="I137" i="6" s="1"/>
  <c r="P174" i="7"/>
  <c r="I174" i="6" s="1"/>
  <c r="P146" i="7"/>
  <c r="I146" i="6" s="1"/>
  <c r="P78" i="7"/>
  <c r="I78" i="6" s="1"/>
  <c r="P22" i="7"/>
  <c r="I22" i="6" s="1"/>
  <c r="P71" i="7"/>
  <c r="I71" i="6" s="1"/>
  <c r="P53" i="7"/>
  <c r="I53" i="6" s="1"/>
  <c r="P167" i="7"/>
  <c r="I167" i="6" s="1"/>
  <c r="P133" i="7"/>
  <c r="I133" i="6" s="1"/>
  <c r="P132" i="7"/>
  <c r="I132" i="6" s="1"/>
  <c r="P168" i="7"/>
  <c r="I168" i="6" s="1"/>
  <c r="P10" i="7"/>
  <c r="I10" i="6" s="1"/>
  <c r="P158" i="7"/>
  <c r="I158" i="6" s="1"/>
  <c r="P114" i="7"/>
  <c r="I114" i="6" s="1"/>
  <c r="P154" i="7"/>
  <c r="I154" i="6" s="1"/>
  <c r="P166" i="7"/>
  <c r="I166" i="6" s="1"/>
  <c r="P130" i="7"/>
  <c r="I130" i="6" s="1"/>
  <c r="P7" i="7"/>
  <c r="I7" i="6" s="1"/>
  <c r="P70" i="7"/>
  <c r="I70" i="6" s="1"/>
  <c r="P123" i="7"/>
  <c r="I123" i="6" s="1"/>
  <c r="P82" i="7"/>
  <c r="I82" i="6" s="1"/>
  <c r="P52" i="7"/>
  <c r="I52" i="6" s="1"/>
  <c r="P91" i="7"/>
  <c r="I91" i="6" s="1"/>
  <c r="P23" i="7"/>
  <c r="I23" i="6" s="1"/>
  <c r="P63" i="7"/>
  <c r="I63" i="6" s="1"/>
  <c r="P61" i="7"/>
  <c r="I61" i="6" s="1"/>
  <c r="P73" i="7"/>
  <c r="I73" i="6" s="1"/>
  <c r="P100" i="7"/>
  <c r="I100" i="6" s="1"/>
  <c r="P176" i="7"/>
  <c r="I176" i="6" s="1"/>
  <c r="P116" i="7"/>
  <c r="I116" i="6" s="1"/>
  <c r="P178" i="7"/>
  <c r="I178" i="6" s="1"/>
  <c r="P164" i="7"/>
  <c r="I164" i="6" s="1"/>
  <c r="P16" i="7"/>
  <c r="I16" i="6" s="1"/>
  <c r="P98" i="7"/>
  <c r="I98" i="6" s="1"/>
  <c r="P81" i="7"/>
  <c r="I81" i="6" s="1"/>
  <c r="P55" i="7"/>
  <c r="I55" i="6" s="1"/>
  <c r="P48" i="7"/>
  <c r="I48" i="6" s="1"/>
  <c r="P18" i="7"/>
  <c r="I18" i="6" s="1"/>
  <c r="P107" i="7"/>
  <c r="I107" i="6" s="1"/>
  <c r="P85" i="7"/>
  <c r="I85" i="6" s="1"/>
  <c r="P124" i="7"/>
  <c r="I124" i="6" s="1"/>
  <c r="P121" i="7"/>
  <c r="I121" i="6" s="1"/>
  <c r="P112" i="7"/>
  <c r="I112" i="6" s="1"/>
  <c r="P89" i="7"/>
  <c r="I89" i="6" s="1"/>
  <c r="P62" i="7"/>
  <c r="I62" i="6" s="1"/>
  <c r="P12" i="7"/>
  <c r="I12" i="6" s="1"/>
  <c r="P65" i="7"/>
  <c r="I65" i="6" s="1"/>
  <c r="P26" i="7"/>
  <c r="I26" i="6" s="1"/>
  <c r="P39" i="7"/>
  <c r="I39" i="6" s="1"/>
  <c r="P60" i="7"/>
  <c r="I60" i="6" s="1"/>
  <c r="P115" i="7"/>
  <c r="I115" i="6" s="1"/>
  <c r="M179" i="7"/>
  <c r="F179" i="6" s="1"/>
  <c r="N29" i="7"/>
  <c r="G29" i="6" s="1"/>
  <c r="N179" i="7"/>
  <c r="G179" i="6" s="1"/>
  <c r="J179" i="7"/>
  <c r="C179" i="6" s="1"/>
  <c r="P28" i="7"/>
  <c r="I28" i="6" s="1"/>
  <c r="O179" i="7"/>
  <c r="H179" i="6" s="1"/>
  <c r="K29" i="7"/>
  <c r="D29" i="6" s="1"/>
  <c r="L29" i="7"/>
  <c r="E29" i="6" s="1"/>
  <c r="P42" i="7"/>
  <c r="I42" i="6" s="1"/>
  <c r="P170" i="7"/>
  <c r="I170" i="6" s="1"/>
  <c r="P159" i="7"/>
  <c r="I159" i="6" s="1"/>
  <c r="P125" i="7"/>
  <c r="I125" i="6" s="1"/>
  <c r="P129" i="7"/>
  <c r="I129" i="6" s="1"/>
  <c r="P19" i="7"/>
  <c r="I19" i="6" s="1"/>
  <c r="P87" i="7"/>
  <c r="I87" i="6" s="1"/>
  <c r="P97" i="7"/>
  <c r="I97" i="6" s="1"/>
  <c r="P103" i="7"/>
  <c r="I103" i="6" s="1"/>
  <c r="P108" i="7"/>
  <c r="I108" i="6" s="1"/>
  <c r="P156" i="7"/>
  <c r="I156" i="6" s="1"/>
  <c r="P118" i="7"/>
  <c r="I118" i="6" s="1"/>
  <c r="M29" i="7"/>
  <c r="F29" i="6" s="1"/>
  <c r="J29" i="7"/>
  <c r="C29" i="6" s="1"/>
  <c r="K179" i="7"/>
  <c r="D179" i="6" s="1"/>
  <c r="O29" i="7"/>
  <c r="H29" i="6" s="1"/>
  <c r="P94" i="7"/>
  <c r="I94" i="6" s="1"/>
  <c r="P47" i="7"/>
  <c r="I47" i="6" s="1"/>
  <c r="L179" i="7"/>
  <c r="E179" i="6" s="1"/>
  <c r="P35" i="7"/>
  <c r="I35" i="6" s="1"/>
  <c r="P150" i="7"/>
  <c r="I150" i="6" s="1"/>
  <c r="P122" i="7"/>
  <c r="I122" i="6" s="1"/>
  <c r="P172" i="7"/>
  <c r="I172" i="6" s="1"/>
  <c r="P160" i="7"/>
  <c r="I160" i="6" s="1"/>
  <c r="P113" i="7"/>
  <c r="I113" i="6" s="1"/>
  <c r="P96" i="7"/>
  <c r="I96" i="6" s="1"/>
  <c r="P75" i="7"/>
  <c r="I75" i="6" s="1"/>
  <c r="P151" i="7"/>
  <c r="I151" i="6" s="1"/>
  <c r="P8" i="7"/>
  <c r="I8" i="6" s="1"/>
  <c r="P43" i="7"/>
  <c r="I43" i="6" s="1"/>
  <c r="P136" i="7"/>
  <c r="I136" i="6" s="1"/>
  <c r="P99" i="7"/>
  <c r="I99" i="6" s="1"/>
  <c r="P24" i="7"/>
  <c r="I24" i="6" s="1"/>
  <c r="E2" i="6"/>
  <c r="F2" i="6"/>
  <c r="G2" i="6"/>
  <c r="H2" i="6"/>
  <c r="D2" i="6"/>
  <c r="Q178" i="7"/>
  <c r="J178" i="6" s="1"/>
  <c r="P4" i="7"/>
  <c r="I4" i="6" s="1"/>
  <c r="AA58" i="7"/>
  <c r="Z58" i="7"/>
  <c r="Q51" i="18"/>
  <c r="Q50" i="18"/>
  <c r="Q48" i="18"/>
  <c r="Q49" i="18"/>
  <c r="Q103" i="7"/>
  <c r="J103" i="6" s="1"/>
  <c r="I15" i="53"/>
  <c r="I16" i="53"/>
  <c r="P56" i="7"/>
  <c r="I56" i="6" s="1"/>
  <c r="P106" i="7"/>
  <c r="I106" i="6" s="1"/>
  <c r="V29" i="18"/>
  <c r="Q164" i="7"/>
  <c r="J164" i="6" s="1"/>
  <c r="Q22" i="7"/>
  <c r="J22" i="6" s="1"/>
  <c r="Q125" i="7"/>
  <c r="J125" i="6" s="1"/>
  <c r="Q21" i="7"/>
  <c r="J21" i="6" s="1"/>
  <c r="Q30" i="7"/>
  <c r="J30" i="6" s="1"/>
  <c r="Q177" i="7"/>
  <c r="J177" i="6" s="1"/>
  <c r="Q129" i="7"/>
  <c r="J129" i="6" s="1"/>
  <c r="Q146" i="7"/>
  <c r="J146" i="6" s="1"/>
  <c r="Q74" i="7"/>
  <c r="J74" i="6" s="1"/>
  <c r="Q84" i="7"/>
  <c r="J84" i="6" s="1"/>
  <c r="Q134" i="7"/>
  <c r="J134" i="6" s="1"/>
  <c r="Q40" i="7"/>
  <c r="J40" i="6" s="1"/>
  <c r="Q154" i="7"/>
  <c r="J154" i="6" s="1"/>
  <c r="Q78" i="7"/>
  <c r="J78" i="6" s="1"/>
  <c r="Q75" i="7"/>
  <c r="J75" i="6" s="1"/>
  <c r="Q128" i="7"/>
  <c r="J128" i="6" s="1"/>
  <c r="Q112" i="7"/>
  <c r="J112" i="6" s="1"/>
  <c r="Q45" i="7"/>
  <c r="J45" i="6" s="1"/>
  <c r="Q86" i="7"/>
  <c r="J86" i="6" s="1"/>
  <c r="Q28" i="7"/>
  <c r="J28" i="6" s="1"/>
  <c r="Q37" i="7"/>
  <c r="J37" i="6" s="1"/>
  <c r="Q87" i="7"/>
  <c r="J87" i="6" s="1"/>
  <c r="Q160" i="7"/>
  <c r="J160" i="6" s="1"/>
  <c r="Q36" i="7"/>
  <c r="J36" i="6" s="1"/>
  <c r="Q101" i="7"/>
  <c r="J101" i="6" s="1"/>
  <c r="Q52" i="7"/>
  <c r="J52" i="6" s="1"/>
  <c r="Q140" i="7"/>
  <c r="J140" i="6" s="1"/>
  <c r="I210" i="55"/>
  <c r="I212" i="55"/>
  <c r="I214" i="55"/>
  <c r="I216" i="55"/>
  <c r="I209" i="55"/>
  <c r="I213" i="55"/>
  <c r="I215" i="55"/>
  <c r="I211" i="55"/>
  <c r="Q167" i="7"/>
  <c r="J167" i="6" s="1"/>
  <c r="Q35" i="7"/>
  <c r="J35" i="6" s="1"/>
  <c r="Q11" i="7"/>
  <c r="J11" i="6" s="1"/>
  <c r="Q10" i="7"/>
  <c r="J10" i="6" s="1"/>
  <c r="M7" i="53"/>
  <c r="L7" i="53"/>
  <c r="Q2" i="7"/>
  <c r="E25" i="53"/>
  <c r="L13" i="53"/>
  <c r="M13" i="53"/>
  <c r="Q46" i="7"/>
  <c r="J46" i="6" s="1"/>
  <c r="Q53" i="7"/>
  <c r="J53" i="6" s="1"/>
  <c r="Q110" i="7"/>
  <c r="J110" i="6" s="1"/>
  <c r="Q106" i="7"/>
  <c r="J106" i="6" s="1"/>
  <c r="Q95" i="7"/>
  <c r="J95" i="6" s="1"/>
  <c r="Q126" i="7"/>
  <c r="J126" i="6" s="1"/>
  <c r="Q8" i="7"/>
  <c r="J8" i="6" s="1"/>
  <c r="Q176" i="7"/>
  <c r="J176" i="6" s="1"/>
  <c r="Q13" i="7"/>
  <c r="J13" i="6" s="1"/>
  <c r="Q105" i="7"/>
  <c r="J105" i="6" s="1"/>
  <c r="Q58" i="7"/>
  <c r="J58" i="6" s="1"/>
  <c r="Q97" i="7"/>
  <c r="J97" i="6" s="1"/>
  <c r="Q150" i="7"/>
  <c r="J150" i="6" s="1"/>
  <c r="Q62" i="7"/>
  <c r="J62" i="6" s="1"/>
  <c r="Q54" i="7"/>
  <c r="J54" i="6" s="1"/>
  <c r="Q141" i="7"/>
  <c r="J141" i="6" s="1"/>
  <c r="Q170" i="7"/>
  <c r="J170" i="6" s="1"/>
  <c r="Q120" i="7"/>
  <c r="J120" i="6" s="1"/>
  <c r="Q27" i="7"/>
  <c r="J27" i="6" s="1"/>
  <c r="Q121" i="7"/>
  <c r="J121" i="6" s="1"/>
  <c r="Q4" i="7"/>
  <c r="J4" i="6" s="1"/>
  <c r="Q63" i="7"/>
  <c r="J63" i="6" s="1"/>
  <c r="Q133" i="7"/>
  <c r="J133" i="6" s="1"/>
  <c r="Q41" i="7"/>
  <c r="J41" i="6" s="1"/>
  <c r="Q136" i="7"/>
  <c r="J136" i="6" s="1"/>
  <c r="Q102" i="7"/>
  <c r="J102" i="6" s="1"/>
  <c r="Q135" i="7"/>
  <c r="J135" i="6" s="1"/>
  <c r="Q168" i="7"/>
  <c r="J168" i="6" s="1"/>
  <c r="Q72" i="7"/>
  <c r="J72" i="6" s="1"/>
  <c r="Q85" i="7"/>
  <c r="J85" i="6" s="1"/>
  <c r="Q156" i="7"/>
  <c r="J156" i="6" s="1"/>
  <c r="Q81" i="7"/>
  <c r="J81" i="6" s="1"/>
  <c r="Q33" i="7"/>
  <c r="J33" i="6" s="1"/>
  <c r="Q68" i="7"/>
  <c r="J68" i="6" s="1"/>
  <c r="Q57" i="7"/>
  <c r="J57" i="6" s="1"/>
  <c r="Q99" i="7"/>
  <c r="J99" i="6" s="1"/>
  <c r="Q6" i="7"/>
  <c r="J6" i="6" s="1"/>
  <c r="Q9" i="7"/>
  <c r="J9" i="6" s="1"/>
  <c r="Q65" i="7"/>
  <c r="J65" i="6" s="1"/>
  <c r="Q44" i="7"/>
  <c r="J44" i="6" s="1"/>
  <c r="Q123" i="7"/>
  <c r="J123" i="6" s="1"/>
  <c r="Q96" i="7"/>
  <c r="J96" i="6" s="1"/>
  <c r="Q157" i="7"/>
  <c r="J157" i="6" s="1"/>
  <c r="Q70" i="7"/>
  <c r="J70" i="6" s="1"/>
  <c r="Q42" i="7"/>
  <c r="J42" i="6" s="1"/>
  <c r="Q39" i="7"/>
  <c r="J39" i="6" s="1"/>
  <c r="Q73" i="7"/>
  <c r="J73" i="6" s="1"/>
  <c r="Q166" i="7"/>
  <c r="J166" i="6" s="1"/>
  <c r="Q88" i="7"/>
  <c r="J88" i="6" s="1"/>
  <c r="Q19" i="7"/>
  <c r="J19" i="6" s="1"/>
  <c r="Q38" i="7"/>
  <c r="J38" i="6" s="1"/>
  <c r="Q77" i="7"/>
  <c r="J77" i="6" s="1"/>
  <c r="Q79" i="7"/>
  <c r="J79" i="6" s="1"/>
  <c r="Q115" i="7"/>
  <c r="J115" i="6" s="1"/>
  <c r="Q47" i="7"/>
  <c r="J47" i="6" s="1"/>
  <c r="Q172" i="7"/>
  <c r="J172" i="6" s="1"/>
  <c r="Q23" i="7"/>
  <c r="J23" i="6" s="1"/>
  <c r="Q59" i="7"/>
  <c r="J59" i="6" s="1"/>
  <c r="Q25" i="7"/>
  <c r="J25" i="6" s="1"/>
  <c r="Q14" i="7"/>
  <c r="J14" i="6" s="1"/>
  <c r="Q43" i="7"/>
  <c r="J43" i="6" s="1"/>
  <c r="Q76" i="7"/>
  <c r="J76" i="6" s="1"/>
  <c r="Q109" i="7"/>
  <c r="J109" i="6" s="1"/>
  <c r="Q90" i="7"/>
  <c r="J90" i="6" s="1"/>
  <c r="Q16" i="7"/>
  <c r="J16" i="6" s="1"/>
  <c r="Q49" i="7"/>
  <c r="J49" i="6" s="1"/>
  <c r="Q114" i="7"/>
  <c r="J114" i="6" s="1"/>
  <c r="Q117" i="7"/>
  <c r="J117" i="6" s="1"/>
  <c r="Q83" i="7"/>
  <c r="J83" i="6" s="1"/>
  <c r="Q69" i="7"/>
  <c r="J69" i="6" s="1"/>
  <c r="Q145" i="7"/>
  <c r="J145" i="6" s="1"/>
  <c r="Q174" i="7"/>
  <c r="J174" i="6" s="1"/>
  <c r="Q18" i="7"/>
  <c r="J18" i="6" s="1"/>
  <c r="Q159" i="7"/>
  <c r="J159" i="6" s="1"/>
  <c r="Q158" i="7"/>
  <c r="J158" i="6" s="1"/>
  <c r="Q50" i="7"/>
  <c r="J50" i="6" s="1"/>
  <c r="Q60" i="7"/>
  <c r="J60" i="6" s="1"/>
  <c r="Q100" i="7"/>
  <c r="J100" i="6" s="1"/>
  <c r="Q152" i="7"/>
  <c r="J152" i="6" s="1"/>
  <c r="Q82" i="7"/>
  <c r="J82" i="6" s="1"/>
  <c r="Q162" i="7"/>
  <c r="J162" i="6" s="1"/>
  <c r="Q31" i="7"/>
  <c r="J31" i="6" s="1"/>
  <c r="Q61" i="7"/>
  <c r="J61" i="6" s="1"/>
  <c r="Q147" i="7"/>
  <c r="J147" i="6" s="1"/>
  <c r="Q89" i="7"/>
  <c r="J89" i="6" s="1"/>
  <c r="Q80" i="7"/>
  <c r="J80" i="6" s="1"/>
  <c r="Q94" i="7"/>
  <c r="J94" i="6" s="1"/>
  <c r="Q131" i="7"/>
  <c r="J131" i="6" s="1"/>
  <c r="Q118" i="7"/>
  <c r="J118" i="6" s="1"/>
  <c r="Q111" i="7"/>
  <c r="J111" i="6" s="1"/>
  <c r="Q137" i="7"/>
  <c r="J137" i="6" s="1"/>
  <c r="Q20" i="7"/>
  <c r="J20" i="6" s="1"/>
  <c r="Q98" i="7"/>
  <c r="J98" i="6" s="1"/>
  <c r="Q169" i="7"/>
  <c r="J169" i="6" s="1"/>
  <c r="Q119" i="7"/>
  <c r="J119" i="6" s="1"/>
  <c r="Q113" i="7"/>
  <c r="J113" i="6" s="1"/>
  <c r="Q155" i="7"/>
  <c r="J155" i="6" s="1"/>
  <c r="Q34" i="7"/>
  <c r="J34" i="6" s="1"/>
  <c r="Q5" i="7"/>
  <c r="J5" i="6" s="1"/>
  <c r="Q93" i="7"/>
  <c r="J93" i="6" s="1"/>
  <c r="Q17" i="7"/>
  <c r="J17" i="6" s="1"/>
  <c r="Q66" i="7"/>
  <c r="J66" i="6" s="1"/>
  <c r="Q161" i="7"/>
  <c r="J161" i="6" s="1"/>
  <c r="Q175" i="7"/>
  <c r="Q51" i="7"/>
  <c r="J51" i="6" s="1"/>
  <c r="Q48" i="7"/>
  <c r="J48" i="6" s="1"/>
  <c r="Q67" i="7"/>
  <c r="J67" i="6" s="1"/>
  <c r="Q71" i="7"/>
  <c r="J71" i="6" s="1"/>
  <c r="Q24" i="7"/>
  <c r="J24" i="6" s="1"/>
  <c r="Q132" i="7"/>
  <c r="J132" i="6" s="1"/>
  <c r="Q171" i="7"/>
  <c r="J171" i="6" s="1"/>
  <c r="Q107" i="7"/>
  <c r="J107" i="6" s="1"/>
  <c r="Q55" i="7"/>
  <c r="J55" i="6" s="1"/>
  <c r="Q149" i="7"/>
  <c r="J149" i="6" s="1"/>
  <c r="Q139" i="7"/>
  <c r="J139" i="6" s="1"/>
  <c r="Q143" i="7"/>
  <c r="J143" i="6" s="1"/>
  <c r="Q15" i="7"/>
  <c r="J15" i="6" s="1"/>
  <c r="Q7" i="7"/>
  <c r="J7" i="6" s="1"/>
  <c r="Q153" i="7"/>
  <c r="J153" i="6" s="1"/>
  <c r="Q163" i="7"/>
  <c r="J163" i="6" s="1"/>
  <c r="Q26" i="7"/>
  <c r="J26" i="6" s="1"/>
  <c r="Q142" i="7"/>
  <c r="J142" i="6" s="1"/>
  <c r="Q32" i="7"/>
  <c r="J32" i="6" s="1"/>
  <c r="Q64" i="7"/>
  <c r="J64" i="6" s="1"/>
  <c r="Q151" i="7"/>
  <c r="J151" i="6" s="1"/>
  <c r="Q124" i="7"/>
  <c r="J124" i="6" s="1"/>
  <c r="Q165" i="7"/>
  <c r="J165" i="6" s="1"/>
  <c r="Q130" i="7"/>
  <c r="J130" i="6" s="1"/>
  <c r="I73" i="55"/>
  <c r="I14" i="55"/>
  <c r="I191" i="55"/>
  <c r="I185" i="55"/>
  <c r="I26" i="55"/>
  <c r="I56" i="55"/>
  <c r="I153" i="55"/>
  <c r="I140" i="55"/>
  <c r="I199" i="55"/>
  <c r="I74" i="55"/>
  <c r="I165" i="55"/>
  <c r="I184" i="55"/>
  <c r="I57" i="55"/>
  <c r="I41" i="55"/>
  <c r="I123" i="55"/>
  <c r="I136" i="55"/>
  <c r="I50" i="55"/>
  <c r="I96" i="55"/>
  <c r="I144" i="55"/>
  <c r="I17" i="55"/>
  <c r="I53" i="55"/>
  <c r="I79" i="55"/>
  <c r="I76" i="55"/>
  <c r="I12" i="55"/>
  <c r="I13" i="55"/>
  <c r="I60" i="55"/>
  <c r="I36" i="55"/>
  <c r="I46" i="55"/>
  <c r="I89" i="55"/>
  <c r="I31" i="55"/>
  <c r="I61" i="55"/>
  <c r="I151" i="55"/>
  <c r="I145" i="55"/>
  <c r="I166" i="55"/>
  <c r="I29" i="55"/>
  <c r="I63" i="55"/>
  <c r="I174" i="55"/>
  <c r="I33" i="55"/>
  <c r="I20" i="55"/>
  <c r="I40" i="55"/>
  <c r="I101" i="55"/>
  <c r="I2" i="55"/>
  <c r="I187" i="55"/>
  <c r="I92" i="55"/>
  <c r="I82" i="55"/>
  <c r="I130" i="55"/>
  <c r="I91" i="55"/>
  <c r="I7" i="55"/>
  <c r="I100" i="55"/>
  <c r="I114" i="55"/>
  <c r="I4" i="55"/>
  <c r="I106" i="55"/>
  <c r="I182" i="55"/>
  <c r="I177" i="55"/>
  <c r="I183" i="55"/>
  <c r="I39" i="55"/>
  <c r="I195" i="55"/>
  <c r="I86" i="55"/>
  <c r="I54" i="55"/>
  <c r="I19" i="55"/>
  <c r="I147" i="55"/>
  <c r="I179" i="55"/>
  <c r="I70" i="55"/>
  <c r="I173" i="55"/>
  <c r="I188" i="55"/>
  <c r="I43" i="55"/>
  <c r="I104" i="55"/>
  <c r="I181" i="55"/>
  <c r="I49" i="55"/>
  <c r="I139" i="55"/>
  <c r="I8" i="55"/>
  <c r="I113" i="55"/>
  <c r="I102" i="55"/>
  <c r="I154" i="55"/>
  <c r="I28" i="55"/>
  <c r="I59" i="55"/>
  <c r="I148" i="55"/>
  <c r="I202" i="55"/>
  <c r="I81" i="55"/>
  <c r="I62" i="55"/>
  <c r="I160" i="55"/>
  <c r="I150" i="55"/>
  <c r="I30" i="55"/>
  <c r="I180" i="55"/>
  <c r="I111" i="55"/>
  <c r="I203" i="55"/>
  <c r="I157" i="55"/>
  <c r="I138" i="55"/>
  <c r="I105" i="55"/>
  <c r="I10" i="55"/>
  <c r="I38" i="55"/>
  <c r="I64" i="55"/>
  <c r="I132" i="55"/>
  <c r="I90" i="55"/>
  <c r="Q185" i="7" s="1"/>
  <c r="I170" i="55"/>
  <c r="I206" i="55"/>
  <c r="I200" i="55"/>
  <c r="I48" i="55"/>
  <c r="I168" i="55"/>
  <c r="I16" i="55"/>
  <c r="I67" i="55"/>
  <c r="I51" i="55"/>
  <c r="I95" i="55"/>
  <c r="I55" i="55"/>
  <c r="I117" i="55"/>
  <c r="I44" i="55"/>
  <c r="I103" i="55"/>
  <c r="I186" i="55"/>
  <c r="I161" i="55"/>
  <c r="I156" i="55"/>
  <c r="I47" i="55"/>
  <c r="S146" i="7" s="1"/>
  <c r="I158" i="55"/>
  <c r="I164" i="55"/>
  <c r="I25" i="55"/>
  <c r="I69" i="55"/>
  <c r="I98" i="55"/>
  <c r="I197" i="55"/>
  <c r="I155" i="55"/>
  <c r="I58" i="55"/>
  <c r="I162" i="55"/>
  <c r="I75" i="55"/>
  <c r="I207" i="55"/>
  <c r="I109" i="55"/>
  <c r="I22" i="55"/>
  <c r="I110" i="55"/>
  <c r="I135" i="55"/>
  <c r="I134" i="55"/>
  <c r="I122" i="55"/>
  <c r="I72" i="55"/>
  <c r="I124" i="55"/>
  <c r="I65" i="55"/>
  <c r="I126" i="55"/>
  <c r="I87" i="55"/>
  <c r="I175" i="55"/>
  <c r="I176" i="55"/>
  <c r="I32" i="55"/>
  <c r="I52" i="55"/>
  <c r="I169" i="55"/>
  <c r="I24" i="55"/>
  <c r="I116" i="55"/>
  <c r="I208" i="55"/>
  <c r="I9" i="55"/>
  <c r="I84" i="55"/>
  <c r="I120" i="55"/>
  <c r="I194" i="55"/>
  <c r="I11" i="55"/>
  <c r="I97" i="55"/>
  <c r="I128" i="55"/>
  <c r="I108" i="55"/>
  <c r="I204" i="55"/>
  <c r="I159" i="55"/>
  <c r="I85" i="55"/>
  <c r="I15" i="55"/>
  <c r="I37" i="55"/>
  <c r="I172" i="55"/>
  <c r="I198" i="55"/>
  <c r="I142" i="55"/>
  <c r="I80" i="55"/>
  <c r="I119" i="55"/>
  <c r="I149" i="55"/>
  <c r="I23" i="55"/>
  <c r="I99" i="55"/>
  <c r="I6" i="55"/>
  <c r="I66" i="55"/>
  <c r="I34" i="55"/>
  <c r="I178" i="55"/>
  <c r="I18" i="55"/>
  <c r="I107" i="55"/>
  <c r="I68" i="55"/>
  <c r="I21" i="55"/>
  <c r="I94" i="55"/>
  <c r="I127" i="55"/>
  <c r="I190" i="55"/>
  <c r="I205" i="55"/>
  <c r="I163" i="55"/>
  <c r="I196" i="55"/>
  <c r="I189" i="55"/>
  <c r="I3" i="55"/>
  <c r="I143" i="55"/>
  <c r="I137" i="55"/>
  <c r="I112" i="55"/>
  <c r="I146" i="55"/>
  <c r="I193" i="55"/>
  <c r="I131" i="55"/>
  <c r="I5" i="55"/>
  <c r="I121" i="55"/>
  <c r="I71" i="55"/>
  <c r="I167" i="55"/>
  <c r="I42" i="55"/>
  <c r="I93" i="55"/>
  <c r="I77" i="55"/>
  <c r="I115" i="55"/>
  <c r="I129" i="55"/>
  <c r="I141" i="55"/>
  <c r="I118" i="55"/>
  <c r="I45" i="55"/>
  <c r="I201" i="55"/>
  <c r="I125" i="55"/>
  <c r="I192" i="55"/>
  <c r="I35" i="55"/>
  <c r="I78" i="55"/>
  <c r="I27" i="55"/>
  <c r="I133" i="55"/>
  <c r="I88" i="55"/>
  <c r="I171" i="55"/>
  <c r="I152" i="55"/>
  <c r="I83" i="55"/>
  <c r="Q108" i="7"/>
  <c r="J108" i="6" s="1"/>
  <c r="Q92" i="7"/>
  <c r="J92" i="6" s="1"/>
  <c r="Q148" i="7"/>
  <c r="J148" i="6" s="1"/>
  <c r="Q116" i="7"/>
  <c r="J116" i="6" s="1"/>
  <c r="Q104" i="7"/>
  <c r="J104" i="6" s="1"/>
  <c r="Q144" i="7"/>
  <c r="J144" i="6" s="1"/>
  <c r="Q138" i="7"/>
  <c r="J138" i="6" s="1"/>
  <c r="Q127" i="7"/>
  <c r="J127" i="6" s="1"/>
  <c r="Q12" i="7"/>
  <c r="J12" i="6" s="1"/>
  <c r="Q173" i="7"/>
  <c r="J173" i="6" s="1"/>
  <c r="Q91" i="7"/>
  <c r="J91" i="6" s="1"/>
  <c r="Q122" i="7"/>
  <c r="J122" i="6" s="1"/>
  <c r="Q56" i="7"/>
  <c r="J56" i="6" s="1"/>
  <c r="Q3" i="7"/>
  <c r="J3" i="6" s="1"/>
  <c r="P2" i="7"/>
  <c r="C2" i="6"/>
  <c r="A2" i="6"/>
  <c r="X2" i="7"/>
  <c r="Q215" i="7" l="1"/>
  <c r="J215" i="6" s="1"/>
  <c r="S215" i="7"/>
  <c r="L215" i="6" s="1"/>
  <c r="Q201" i="7"/>
  <c r="J201" i="6" s="1"/>
  <c r="S201" i="7"/>
  <c r="L201" i="6" s="1"/>
  <c r="Q196" i="7"/>
  <c r="J196" i="6" s="1"/>
  <c r="Q228" i="7"/>
  <c r="J228" i="6" s="1"/>
  <c r="Q227" i="7"/>
  <c r="J227" i="6" s="1"/>
  <c r="Q195" i="7"/>
  <c r="J195" i="6" s="1"/>
  <c r="S195" i="7"/>
  <c r="L195" i="6" s="1"/>
  <c r="Q187" i="7"/>
  <c r="J187" i="6" s="1"/>
  <c r="S187" i="7"/>
  <c r="L187" i="6" s="1"/>
  <c r="Q231" i="7"/>
  <c r="J231" i="6" s="1"/>
  <c r="Q199" i="7"/>
  <c r="J199" i="6" s="1"/>
  <c r="Q203" i="7"/>
  <c r="J203" i="6" s="1"/>
  <c r="Q218" i="7"/>
  <c r="J218" i="6" s="1"/>
  <c r="Q221" i="7"/>
  <c r="J221" i="6" s="1"/>
  <c r="Q186" i="7"/>
  <c r="J186" i="6" s="1"/>
  <c r="Q220" i="7"/>
  <c r="J220" i="6" s="1"/>
  <c r="Q193" i="7"/>
  <c r="J193" i="6" s="1"/>
  <c r="Q226" i="7"/>
  <c r="J226" i="6" s="1"/>
  <c r="Q202" i="7"/>
  <c r="J202" i="6" s="1"/>
  <c r="Q232" i="7"/>
  <c r="J232" i="6" s="1"/>
  <c r="Q223" i="7"/>
  <c r="J223" i="6" s="1"/>
  <c r="Q208" i="7"/>
  <c r="J208" i="6" s="1"/>
  <c r="Q192" i="7"/>
  <c r="J192" i="6" s="1"/>
  <c r="Q189" i="7"/>
  <c r="J189" i="6" s="1"/>
  <c r="S189" i="7"/>
  <c r="L189" i="6" s="1"/>
  <c r="Q209" i="7"/>
  <c r="J209" i="6" s="1"/>
  <c r="Q198" i="7"/>
  <c r="J198" i="6" s="1"/>
  <c r="Q197" i="7"/>
  <c r="J197" i="6" s="1"/>
  <c r="Q224" i="7"/>
  <c r="J224" i="6" s="1"/>
  <c r="Q219" i="7"/>
  <c r="J219" i="6" s="1"/>
  <c r="Q216" i="7"/>
  <c r="J216" i="6" s="1"/>
  <c r="Q213" i="7"/>
  <c r="J213" i="6" s="1"/>
  <c r="S213" i="7"/>
  <c r="L213" i="6" s="1"/>
  <c r="Q194" i="7"/>
  <c r="J194" i="6" s="1"/>
  <c r="Q204" i="7"/>
  <c r="J204" i="6" s="1"/>
  <c r="Q211" i="7"/>
  <c r="J211" i="6" s="1"/>
  <c r="Q214" i="7"/>
  <c r="J214" i="6" s="1"/>
  <c r="Q188" i="7"/>
  <c r="J188" i="6" s="1"/>
  <c r="Q210" i="7"/>
  <c r="J210" i="6" s="1"/>
  <c r="Q230" i="7"/>
  <c r="J230" i="6" s="1"/>
  <c r="S206" i="7"/>
  <c r="L206" i="6" s="1"/>
  <c r="Q206" i="7"/>
  <c r="J206" i="6" s="1"/>
  <c r="Q222" i="7"/>
  <c r="J222" i="6" s="1"/>
  <c r="Q205" i="7"/>
  <c r="J205" i="6" s="1"/>
  <c r="J175" i="6"/>
  <c r="S175" i="7"/>
  <c r="S191" i="7"/>
  <c r="L191" i="6" s="1"/>
  <c r="Q191" i="7"/>
  <c r="J191" i="6" s="1"/>
  <c r="Q217" i="7"/>
  <c r="J217" i="6" s="1"/>
  <c r="Q207" i="7"/>
  <c r="J207" i="6" s="1"/>
  <c r="Q200" i="7"/>
  <c r="J200" i="6" s="1"/>
  <c r="Q190" i="7"/>
  <c r="J190" i="6" s="1"/>
  <c r="S185" i="7"/>
  <c r="L185" i="6" s="1"/>
  <c r="J185" i="6"/>
  <c r="Q212" i="7"/>
  <c r="J212" i="6" s="1"/>
  <c r="Q229" i="7"/>
  <c r="J229" i="6" s="1"/>
  <c r="Q225" i="7"/>
  <c r="J225" i="6" s="1"/>
  <c r="S50" i="7"/>
  <c r="S8" i="7"/>
  <c r="S79" i="7"/>
  <c r="S135" i="7"/>
  <c r="S36" i="7"/>
  <c r="S65" i="7"/>
  <c r="S149" i="7"/>
  <c r="S82" i="7"/>
  <c r="S167" i="7"/>
  <c r="L167" i="6" s="1"/>
  <c r="R128" i="7"/>
  <c r="R141" i="7"/>
  <c r="K141" i="6" s="1"/>
  <c r="R35" i="7"/>
  <c r="K35" i="6" s="1"/>
  <c r="R62" i="7"/>
  <c r="K62" i="6" s="1"/>
  <c r="R118" i="7"/>
  <c r="R117" i="7"/>
  <c r="K117" i="6" s="1"/>
  <c r="R65" i="7"/>
  <c r="K65" i="6" s="1"/>
  <c r="R110" i="7"/>
  <c r="K110" i="6" s="1"/>
  <c r="R154" i="7"/>
  <c r="K154" i="6" s="1"/>
  <c r="R124" i="7"/>
  <c r="K124" i="6" s="1"/>
  <c r="R22" i="7"/>
  <c r="K22" i="6" s="1"/>
  <c r="R67" i="7"/>
  <c r="K67" i="6" s="1"/>
  <c r="R13" i="7"/>
  <c r="K13" i="6" s="1"/>
  <c r="R82" i="7"/>
  <c r="K82" i="6" s="1"/>
  <c r="L175" i="6"/>
  <c r="R98" i="7"/>
  <c r="K98" i="6" s="1"/>
  <c r="S71" i="7"/>
  <c r="R3" i="7"/>
  <c r="S91" i="7"/>
  <c r="S130" i="7"/>
  <c r="L130" i="6" s="1"/>
  <c r="S104" i="7"/>
  <c r="L104" i="6" s="1"/>
  <c r="S61" i="7"/>
  <c r="L61" i="6" s="1"/>
  <c r="R91" i="7"/>
  <c r="K91" i="6" s="1"/>
  <c r="R111" i="7"/>
  <c r="K111" i="6" s="1"/>
  <c r="R19" i="7"/>
  <c r="K19" i="6" s="1"/>
  <c r="S63" i="7"/>
  <c r="L63" i="6" s="1"/>
  <c r="S181" i="7"/>
  <c r="L181" i="6" s="1"/>
  <c r="R64" i="7"/>
  <c r="K64" i="6" s="1"/>
  <c r="S94" i="7"/>
  <c r="R42" i="7"/>
  <c r="S70" i="7"/>
  <c r="R54" i="7"/>
  <c r="K54" i="6" s="1"/>
  <c r="R132" i="7"/>
  <c r="K132" i="6" s="1"/>
  <c r="S7" i="7"/>
  <c r="L7" i="6" s="1"/>
  <c r="S105" i="7"/>
  <c r="L105" i="6" s="1"/>
  <c r="S48" i="7"/>
  <c r="L48" i="6" s="1"/>
  <c r="R23" i="7"/>
  <c r="K23" i="6" s="1"/>
  <c r="S13" i="7"/>
  <c r="L13" i="6" s="1"/>
  <c r="R46" i="7"/>
  <c r="S45" i="7"/>
  <c r="L45" i="6" s="1"/>
  <c r="S12" i="7"/>
  <c r="L12" i="6" s="1"/>
  <c r="R104" i="7"/>
  <c r="R12" i="7"/>
  <c r="K12" i="6" s="1"/>
  <c r="R116" i="7"/>
  <c r="K116" i="6" s="1"/>
  <c r="R108" i="7"/>
  <c r="K108" i="6" s="1"/>
  <c r="R172" i="7"/>
  <c r="K172" i="6" s="1"/>
  <c r="R11" i="7"/>
  <c r="K11" i="6" s="1"/>
  <c r="S39" i="7"/>
  <c r="L39" i="6" s="1"/>
  <c r="R70" i="7"/>
  <c r="K70" i="6" s="1"/>
  <c r="S54" i="7"/>
  <c r="L54" i="6" s="1"/>
  <c r="R133" i="7"/>
  <c r="K133" i="6" s="1"/>
  <c r="R102" i="7"/>
  <c r="K102" i="6" s="1"/>
  <c r="S169" i="7"/>
  <c r="S172" i="7"/>
  <c r="R131" i="7"/>
  <c r="R122" i="7"/>
  <c r="K122" i="6" s="1"/>
  <c r="R156" i="7"/>
  <c r="K156" i="6" s="1"/>
  <c r="R52" i="7"/>
  <c r="K52" i="6" s="1"/>
  <c r="R21" i="7"/>
  <c r="K21" i="6" s="1"/>
  <c r="S117" i="7"/>
  <c r="L117" i="6" s="1"/>
  <c r="R50" i="7"/>
  <c r="K50" i="6" s="1"/>
  <c r="R153" i="7"/>
  <c r="K153" i="6" s="1"/>
  <c r="R79" i="7"/>
  <c r="K79" i="6" s="1"/>
  <c r="S38" i="7"/>
  <c r="L38" i="6" s="1"/>
  <c r="S59" i="7"/>
  <c r="L59" i="6" s="1"/>
  <c r="S139" i="7"/>
  <c r="L139" i="6" s="1"/>
  <c r="R93" i="7"/>
  <c r="S153" i="7"/>
  <c r="L153" i="6" s="1"/>
  <c r="S47" i="7"/>
  <c r="L47" i="6" s="1"/>
  <c r="R168" i="7"/>
  <c r="K168" i="6" s="1"/>
  <c r="R16" i="7"/>
  <c r="K16" i="6" s="1"/>
  <c r="R57" i="7"/>
  <c r="K57" i="6" s="1"/>
  <c r="R80" i="7"/>
  <c r="K80" i="6" s="1"/>
  <c r="R10" i="7"/>
  <c r="K10" i="6" s="1"/>
  <c r="S86" i="7"/>
  <c r="L86" i="6" s="1"/>
  <c r="S143" i="7"/>
  <c r="L143" i="6" s="1"/>
  <c r="S115" i="7"/>
  <c r="S68" i="7"/>
  <c r="L68" i="6" s="1"/>
  <c r="S107" i="7"/>
  <c r="R86" i="7"/>
  <c r="K86" i="6" s="1"/>
  <c r="R143" i="7"/>
  <c r="K143" i="6" s="1"/>
  <c r="S101" i="7"/>
  <c r="L101" i="6" s="1"/>
  <c r="S32" i="7"/>
  <c r="L32" i="6" s="1"/>
  <c r="S112" i="7"/>
  <c r="L112" i="6" s="1"/>
  <c r="S45" i="6"/>
  <c r="R45" i="6"/>
  <c r="R170" i="6"/>
  <c r="S170" i="6"/>
  <c r="S136" i="6"/>
  <c r="R136" i="6"/>
  <c r="R114" i="6"/>
  <c r="S114" i="6"/>
  <c r="R102" i="6"/>
  <c r="S102" i="6"/>
  <c r="S107" i="6"/>
  <c r="R107" i="6"/>
  <c r="S140" i="6"/>
  <c r="R140" i="6"/>
  <c r="R95" i="6"/>
  <c r="S95" i="6"/>
  <c r="S180" i="6"/>
  <c r="R180" i="6"/>
  <c r="S24" i="7"/>
  <c r="L24" i="6" s="1"/>
  <c r="R172" i="6"/>
  <c r="S172" i="6"/>
  <c r="S3" i="7"/>
  <c r="L3" i="6" s="1"/>
  <c r="S93" i="6"/>
  <c r="R93" i="6"/>
  <c r="R94" i="7"/>
  <c r="K94" i="6" s="1"/>
  <c r="S80" i="7"/>
  <c r="L80" i="6" s="1"/>
  <c r="S10" i="7"/>
  <c r="L10" i="6" s="1"/>
  <c r="R47" i="6"/>
  <c r="S47" i="6"/>
  <c r="S133" i="7"/>
  <c r="L133" i="6" s="1"/>
  <c r="R121" i="6"/>
  <c r="S121" i="6"/>
  <c r="R60" i="6"/>
  <c r="S60" i="6"/>
  <c r="R146" i="7"/>
  <c r="K146" i="6" s="1"/>
  <c r="R81" i="6"/>
  <c r="S81" i="6"/>
  <c r="R115" i="7"/>
  <c r="K115" i="6" s="1"/>
  <c r="R18" i="7"/>
  <c r="K18" i="6" s="1"/>
  <c r="R59" i="7"/>
  <c r="K59" i="6" s="1"/>
  <c r="R149" i="7"/>
  <c r="R139" i="7"/>
  <c r="R112" i="7"/>
  <c r="K112" i="6" s="1"/>
  <c r="S21" i="7"/>
  <c r="L21" i="6" s="1"/>
  <c r="S57" i="7"/>
  <c r="L57" i="6" s="1"/>
  <c r="S64" i="7"/>
  <c r="L64" i="6" s="1"/>
  <c r="R24" i="7"/>
  <c r="K24" i="6" s="1"/>
  <c r="S95" i="7"/>
  <c r="L95" i="6" s="1"/>
  <c r="S184" i="7"/>
  <c r="L184" i="6" s="1"/>
  <c r="R54" i="6"/>
  <c r="S54" i="6"/>
  <c r="R86" i="6"/>
  <c r="S86" i="6"/>
  <c r="R19" i="6"/>
  <c r="S19" i="6"/>
  <c r="R43" i="7"/>
  <c r="K43" i="6" s="1"/>
  <c r="R96" i="7"/>
  <c r="K96" i="6" s="1"/>
  <c r="S162" i="7"/>
  <c r="L162" i="6" s="1"/>
  <c r="S85" i="7"/>
  <c r="L85" i="6" s="1"/>
  <c r="S156" i="6"/>
  <c r="R156" i="6"/>
  <c r="R27" i="6"/>
  <c r="S27" i="6"/>
  <c r="R179" i="6"/>
  <c r="S179" i="6"/>
  <c r="S56" i="6"/>
  <c r="R56" i="6"/>
  <c r="R75" i="7"/>
  <c r="K75" i="6" s="1"/>
  <c r="R31" i="7"/>
  <c r="K31" i="6" s="1"/>
  <c r="S60" i="7"/>
  <c r="L60" i="6" s="1"/>
  <c r="S123" i="6"/>
  <c r="R123" i="6"/>
  <c r="R53" i="7"/>
  <c r="K53" i="6" s="1"/>
  <c r="R28" i="6"/>
  <c r="S28" i="6"/>
  <c r="R40" i="6"/>
  <c r="S40" i="6"/>
  <c r="S51" i="6"/>
  <c r="R51" i="6"/>
  <c r="R77" i="7"/>
  <c r="K77" i="6" s="1"/>
  <c r="R69" i="7"/>
  <c r="K69" i="6" s="1"/>
  <c r="R28" i="7"/>
  <c r="K28" i="6" s="1"/>
  <c r="S40" i="7"/>
  <c r="L40" i="6" s="1"/>
  <c r="R51" i="7"/>
  <c r="K51" i="6" s="1"/>
  <c r="R5" i="6"/>
  <c r="S5" i="6"/>
  <c r="R46" i="6"/>
  <c r="S46" i="6"/>
  <c r="S71" i="6"/>
  <c r="R71" i="6"/>
  <c r="R61" i="6"/>
  <c r="S61" i="6"/>
  <c r="S128" i="6"/>
  <c r="R128" i="6"/>
  <c r="R62" i="6"/>
  <c r="S62" i="6"/>
  <c r="R120" i="6"/>
  <c r="S120" i="6"/>
  <c r="R146" i="6"/>
  <c r="S146" i="6"/>
  <c r="R81" i="7"/>
  <c r="S144" i="6"/>
  <c r="R144" i="6"/>
  <c r="R41" i="6"/>
  <c r="S41" i="6"/>
  <c r="R21" i="6"/>
  <c r="S21" i="6"/>
  <c r="R57" i="6"/>
  <c r="S57" i="6"/>
  <c r="R90" i="7"/>
  <c r="K90" i="6" s="1"/>
  <c r="R4" i="7"/>
  <c r="K4" i="6" s="1"/>
  <c r="R53" i="6"/>
  <c r="S53" i="6"/>
  <c r="S55" i="7"/>
  <c r="L55" i="6" s="1"/>
  <c r="S20" i="7"/>
  <c r="L20" i="6" s="1"/>
  <c r="R148" i="7"/>
  <c r="K148" i="6" s="1"/>
  <c r="S129" i="7"/>
  <c r="L129" i="6" s="1"/>
  <c r="S11" i="7"/>
  <c r="L11" i="6" s="1"/>
  <c r="R8" i="7"/>
  <c r="K8" i="6" s="1"/>
  <c r="R36" i="7"/>
  <c r="K36" i="6" s="1"/>
  <c r="R80" i="6"/>
  <c r="S80" i="6"/>
  <c r="S170" i="7"/>
  <c r="L170" i="6" s="1"/>
  <c r="R79" i="6"/>
  <c r="S79" i="6"/>
  <c r="R105" i="7"/>
  <c r="S14" i="7"/>
  <c r="S118" i="7"/>
  <c r="L118" i="6" s="1"/>
  <c r="R17" i="7"/>
  <c r="K17" i="6" s="1"/>
  <c r="R120" i="7"/>
  <c r="K120" i="6" s="1"/>
  <c r="R133" i="6"/>
  <c r="S133" i="6"/>
  <c r="S43" i="7"/>
  <c r="L43" i="6" s="1"/>
  <c r="S96" i="7"/>
  <c r="L96" i="6" s="1"/>
  <c r="R162" i="7"/>
  <c r="K162" i="6" s="1"/>
  <c r="R85" i="7"/>
  <c r="K85" i="6" s="1"/>
  <c r="R23" i="6"/>
  <c r="S23" i="6"/>
  <c r="R101" i="6"/>
  <c r="S101" i="6"/>
  <c r="S75" i="7"/>
  <c r="L75" i="6" s="1"/>
  <c r="S31" i="7"/>
  <c r="L31" i="6" s="1"/>
  <c r="R60" i="7"/>
  <c r="K60" i="6" s="1"/>
  <c r="S81" i="7"/>
  <c r="L81" i="6" s="1"/>
  <c r="S90" i="7"/>
  <c r="L90" i="6" s="1"/>
  <c r="S4" i="7"/>
  <c r="L4" i="6" s="1"/>
  <c r="R55" i="7"/>
  <c r="K55" i="6" s="1"/>
  <c r="R20" i="7"/>
  <c r="R103" i="6"/>
  <c r="S103" i="6"/>
  <c r="S53" i="7"/>
  <c r="S77" i="7"/>
  <c r="L77" i="6" s="1"/>
  <c r="S69" i="7"/>
  <c r="L69" i="6" s="1"/>
  <c r="S28" i="7"/>
  <c r="L28" i="6" s="1"/>
  <c r="R40" i="7"/>
  <c r="K40" i="6" s="1"/>
  <c r="S51" i="7"/>
  <c r="L51" i="6" s="1"/>
  <c r="R118" i="6"/>
  <c r="S118" i="6"/>
  <c r="S166" i="6"/>
  <c r="R166" i="6"/>
  <c r="R114" i="7"/>
  <c r="K114" i="6" s="1"/>
  <c r="R121" i="7"/>
  <c r="K121" i="6" s="1"/>
  <c r="S27" i="7"/>
  <c r="L27" i="6" s="1"/>
  <c r="S56" i="7"/>
  <c r="L56" i="6" s="1"/>
  <c r="S158" i="7"/>
  <c r="L158" i="6" s="1"/>
  <c r="S68" i="6"/>
  <c r="R68" i="6"/>
  <c r="R55" i="6"/>
  <c r="S55" i="6"/>
  <c r="S20" i="6"/>
  <c r="R20" i="6"/>
  <c r="R132" i="6"/>
  <c r="S132" i="6"/>
  <c r="R151" i="7"/>
  <c r="K151" i="6" s="1"/>
  <c r="R161" i="6"/>
  <c r="S161" i="6"/>
  <c r="R30" i="7"/>
  <c r="K30" i="6" s="1"/>
  <c r="S163" i="7"/>
  <c r="L163" i="6" s="1"/>
  <c r="R157" i="7"/>
  <c r="K157" i="6" s="1"/>
  <c r="S164" i="6"/>
  <c r="R164" i="6"/>
  <c r="R161" i="7"/>
  <c r="K161" i="6" s="1"/>
  <c r="R165" i="6"/>
  <c r="S165" i="6"/>
  <c r="S34" i="6"/>
  <c r="R34" i="6"/>
  <c r="S176" i="7"/>
  <c r="S140" i="7"/>
  <c r="L140" i="6" s="1"/>
  <c r="S44" i="7"/>
  <c r="L44" i="6" s="1"/>
  <c r="R165" i="7"/>
  <c r="K165" i="6" s="1"/>
  <c r="S34" i="7"/>
  <c r="L34" i="6" s="1"/>
  <c r="S13" i="6"/>
  <c r="R13" i="6"/>
  <c r="R154" i="6"/>
  <c r="S154" i="6"/>
  <c r="R17" i="6"/>
  <c r="S17" i="6"/>
  <c r="R145" i="7"/>
  <c r="K145" i="6" s="1"/>
  <c r="S152" i="7"/>
  <c r="L152" i="6" s="1"/>
  <c r="S83" i="7"/>
  <c r="L83" i="6" s="1"/>
  <c r="R6" i="7"/>
  <c r="K6" i="6" s="1"/>
  <c r="S147" i="7"/>
  <c r="L147" i="6" s="1"/>
  <c r="R43" i="6"/>
  <c r="S43" i="6"/>
  <c r="S162" i="6"/>
  <c r="R162" i="6"/>
  <c r="S26" i="7"/>
  <c r="L26" i="6" s="1"/>
  <c r="R167" i="6"/>
  <c r="S167" i="6"/>
  <c r="S109" i="7"/>
  <c r="S37" i="7"/>
  <c r="L37" i="6" s="1"/>
  <c r="S171" i="7"/>
  <c r="L171" i="6" s="1"/>
  <c r="S119" i="7"/>
  <c r="L119" i="6" s="1"/>
  <c r="S126" i="7"/>
  <c r="L126" i="6" s="1"/>
  <c r="S113" i="7"/>
  <c r="L113" i="6" s="1"/>
  <c r="R74" i="7"/>
  <c r="K74" i="6" s="1"/>
  <c r="R33" i="6"/>
  <c r="S33" i="6"/>
  <c r="R76" i="6"/>
  <c r="S76" i="6"/>
  <c r="S116" i="7"/>
  <c r="L116" i="6" s="1"/>
  <c r="R177" i="7"/>
  <c r="K177" i="6" s="1"/>
  <c r="R33" i="7"/>
  <c r="S76" i="7"/>
  <c r="L76" i="6" s="1"/>
  <c r="S66" i="7"/>
  <c r="L66" i="6" s="1"/>
  <c r="S145" i="7"/>
  <c r="L145" i="6" s="1"/>
  <c r="R152" i="7"/>
  <c r="K152" i="6" s="1"/>
  <c r="R83" i="7"/>
  <c r="K83" i="6" s="1"/>
  <c r="S6" i="7"/>
  <c r="L6" i="6" s="1"/>
  <c r="S42" i="7"/>
  <c r="L42" i="6" s="1"/>
  <c r="R147" i="7"/>
  <c r="K147" i="6" s="1"/>
  <c r="R96" i="6"/>
  <c r="S96" i="6"/>
  <c r="R85" i="6"/>
  <c r="S85" i="6"/>
  <c r="R26" i="7"/>
  <c r="K26" i="6" s="1"/>
  <c r="R109" i="7"/>
  <c r="K109" i="6" s="1"/>
  <c r="R37" i="7"/>
  <c r="K37" i="6" s="1"/>
  <c r="R171" i="7"/>
  <c r="K171" i="6" s="1"/>
  <c r="R119" i="7"/>
  <c r="K119" i="6" s="1"/>
  <c r="R126" i="7"/>
  <c r="K126" i="6" s="1"/>
  <c r="R113" i="7"/>
  <c r="K113" i="6" s="1"/>
  <c r="S74" i="7"/>
  <c r="L74" i="6" s="1"/>
  <c r="S32" i="6"/>
  <c r="R32" i="6"/>
  <c r="S114" i="7"/>
  <c r="S121" i="7"/>
  <c r="R27" i="7"/>
  <c r="K27" i="6" s="1"/>
  <c r="R56" i="7"/>
  <c r="K56" i="6" s="1"/>
  <c r="R158" i="7"/>
  <c r="K158" i="6" s="1"/>
  <c r="S151" i="7"/>
  <c r="L151" i="6" s="1"/>
  <c r="S30" i="7"/>
  <c r="L30" i="6" s="1"/>
  <c r="R163" i="7"/>
  <c r="K163" i="6" s="1"/>
  <c r="S157" i="7"/>
  <c r="S161" i="7"/>
  <c r="L161" i="6" s="1"/>
  <c r="R176" i="7"/>
  <c r="R140" i="7"/>
  <c r="K140" i="6" s="1"/>
  <c r="R44" i="7"/>
  <c r="K44" i="6" s="1"/>
  <c r="S165" i="7"/>
  <c r="R34" i="7"/>
  <c r="K34" i="6" s="1"/>
  <c r="R117" i="6"/>
  <c r="S117" i="6"/>
  <c r="R88" i="6"/>
  <c r="S88" i="6"/>
  <c r="R50" i="6"/>
  <c r="S50" i="6"/>
  <c r="R3" i="6"/>
  <c r="S3" i="6"/>
  <c r="R111" i="6"/>
  <c r="S111" i="6"/>
  <c r="S143" i="6"/>
  <c r="R143" i="6"/>
  <c r="R16" i="6"/>
  <c r="S16" i="6"/>
  <c r="S150" i="6"/>
  <c r="R150" i="6"/>
  <c r="R176" i="6"/>
  <c r="S176" i="6"/>
  <c r="R44" i="6"/>
  <c r="S44" i="6"/>
  <c r="R64" i="6"/>
  <c r="S64" i="6"/>
  <c r="R24" i="6"/>
  <c r="S24" i="6"/>
  <c r="R169" i="6"/>
  <c r="S169" i="6"/>
  <c r="R11" i="6"/>
  <c r="S11" i="6"/>
  <c r="R8" i="6"/>
  <c r="S8" i="6"/>
  <c r="R36" i="6"/>
  <c r="S36" i="6"/>
  <c r="S148" i="7"/>
  <c r="L148" i="6" s="1"/>
  <c r="R129" i="7"/>
  <c r="R170" i="7"/>
  <c r="K170" i="6" s="1"/>
  <c r="S10" i="6"/>
  <c r="R10" i="6"/>
  <c r="R91" i="6"/>
  <c r="S91" i="6"/>
  <c r="R14" i="7"/>
  <c r="K14" i="6" s="1"/>
  <c r="S17" i="7"/>
  <c r="L17" i="6" s="1"/>
  <c r="R145" i="6"/>
  <c r="S145" i="6"/>
  <c r="S120" i="7"/>
  <c r="L120" i="6" s="1"/>
  <c r="S66" i="6"/>
  <c r="R66" i="6"/>
  <c r="S177" i="7"/>
  <c r="L177" i="6" s="1"/>
  <c r="S33" i="7"/>
  <c r="L33" i="6" s="1"/>
  <c r="R76" i="7"/>
  <c r="K76" i="6" s="1"/>
  <c r="R66" i="7"/>
  <c r="K66" i="6" s="1"/>
  <c r="R105" i="6"/>
  <c r="S105" i="6"/>
  <c r="S14" i="6"/>
  <c r="R14" i="6"/>
  <c r="R67" i="6"/>
  <c r="S67" i="6"/>
  <c r="R82" i="6"/>
  <c r="S82" i="6"/>
  <c r="R184" i="6"/>
  <c r="S184" i="6"/>
  <c r="S67" i="7"/>
  <c r="L67" i="6" s="1"/>
  <c r="S108" i="7"/>
  <c r="L108" i="6" s="1"/>
  <c r="S152" i="6"/>
  <c r="R152" i="6"/>
  <c r="R83" i="6"/>
  <c r="S83" i="6"/>
  <c r="R6" i="6"/>
  <c r="S6" i="6"/>
  <c r="R42" i="6"/>
  <c r="S42" i="6"/>
  <c r="S147" i="6"/>
  <c r="R147" i="6"/>
  <c r="R84" i="7"/>
  <c r="K84" i="6" s="1"/>
  <c r="S26" i="6"/>
  <c r="R26" i="6"/>
  <c r="R167" i="7"/>
  <c r="K167" i="6" s="1"/>
  <c r="R109" i="6"/>
  <c r="S109" i="6"/>
  <c r="S37" i="6"/>
  <c r="R37" i="6"/>
  <c r="R171" i="6"/>
  <c r="S171" i="6"/>
  <c r="S141" i="7"/>
  <c r="L141" i="6" s="1"/>
  <c r="R113" i="6"/>
  <c r="S113" i="6"/>
  <c r="S124" i="7"/>
  <c r="L124" i="6" s="1"/>
  <c r="S182" i="7"/>
  <c r="L182" i="6" s="1"/>
  <c r="R63" i="6"/>
  <c r="S63" i="6"/>
  <c r="S168" i="6"/>
  <c r="R168" i="6"/>
  <c r="B97" i="6"/>
  <c r="Q97" i="6"/>
  <c r="R52" i="6"/>
  <c r="S52" i="6"/>
  <c r="R100" i="6"/>
  <c r="S100" i="6"/>
  <c r="S23" i="7"/>
  <c r="L23" i="6" s="1"/>
  <c r="S156" i="7"/>
  <c r="L156" i="6" s="1"/>
  <c r="R101" i="7"/>
  <c r="K101" i="6" s="1"/>
  <c r="R74" i="6"/>
  <c r="S74" i="6"/>
  <c r="R32" i="7"/>
  <c r="K32" i="6" s="1"/>
  <c r="R166" i="7"/>
  <c r="K166" i="6" s="1"/>
  <c r="R139" i="6"/>
  <c r="S139" i="6"/>
  <c r="S30" i="6"/>
  <c r="R30" i="6"/>
  <c r="R163" i="6"/>
  <c r="S163" i="6"/>
  <c r="S102" i="7"/>
  <c r="L102" i="6" s="1"/>
  <c r="S16" i="7"/>
  <c r="L16" i="6" s="1"/>
  <c r="S174" i="7"/>
  <c r="L174" i="6" s="1"/>
  <c r="R72" i="7"/>
  <c r="K72" i="6" s="1"/>
  <c r="R178" i="7"/>
  <c r="K178" i="6" s="1"/>
  <c r="R173" i="6"/>
  <c r="S173" i="6"/>
  <c r="S87" i="7"/>
  <c r="R87" i="7"/>
  <c r="K87" i="6" s="1"/>
  <c r="R106" i="6"/>
  <c r="S106" i="6"/>
  <c r="S142" i="6"/>
  <c r="R142" i="6"/>
  <c r="S103" i="7"/>
  <c r="L103" i="6" s="1"/>
  <c r="R123" i="7"/>
  <c r="K123" i="6" s="1"/>
  <c r="R137" i="6"/>
  <c r="S137" i="6"/>
  <c r="S106" i="7"/>
  <c r="L106" i="6" s="1"/>
  <c r="S142" i="7"/>
  <c r="L142" i="6" s="1"/>
  <c r="R104" i="6"/>
  <c r="S104" i="6"/>
  <c r="R65" i="6"/>
  <c r="S65" i="6"/>
  <c r="S137" i="7"/>
  <c r="L137" i="6" s="1"/>
  <c r="S153" i="6"/>
  <c r="R153" i="6"/>
  <c r="R130" i="6"/>
  <c r="S130" i="6"/>
  <c r="S19" i="7"/>
  <c r="L19" i="6" s="1"/>
  <c r="R108" i="6"/>
  <c r="S108" i="6"/>
  <c r="R175" i="7"/>
  <c r="R39" i="7"/>
  <c r="K39" i="6" s="1"/>
  <c r="R48" i="7"/>
  <c r="K48" i="6" s="1"/>
  <c r="S84" i="7"/>
  <c r="L84" i="6" s="1"/>
  <c r="S97" i="7"/>
  <c r="L97" i="6" s="1"/>
  <c r="R97" i="7"/>
  <c r="K97" i="6" s="1"/>
  <c r="S166" i="7"/>
  <c r="L166" i="6" s="1"/>
  <c r="R112" i="6"/>
  <c r="S112" i="6"/>
  <c r="R174" i="7"/>
  <c r="K174" i="6" s="1"/>
  <c r="S72" i="7"/>
  <c r="L72" i="6" s="1"/>
  <c r="S178" i="7"/>
  <c r="L178" i="6" s="1"/>
  <c r="R127" i="6"/>
  <c r="S127" i="6"/>
  <c r="B87" i="6"/>
  <c r="Q87" i="6"/>
  <c r="R103" i="7"/>
  <c r="K103" i="6" s="1"/>
  <c r="S123" i="7"/>
  <c r="L123" i="6" s="1"/>
  <c r="R106" i="7"/>
  <c r="K106" i="6" s="1"/>
  <c r="R142" i="7"/>
  <c r="K142" i="6" s="1"/>
  <c r="R137" i="7"/>
  <c r="K137" i="6" s="1"/>
  <c r="R122" i="6"/>
  <c r="S122" i="6"/>
  <c r="S52" i="7"/>
  <c r="L52" i="6" s="1"/>
  <c r="S100" i="7"/>
  <c r="L100" i="6" s="1"/>
  <c r="R90" i="6"/>
  <c r="S90" i="6"/>
  <c r="R4" i="6"/>
  <c r="S4" i="6"/>
  <c r="R174" i="6"/>
  <c r="S174" i="6"/>
  <c r="R178" i="6"/>
  <c r="S178" i="6"/>
  <c r="R144" i="7"/>
  <c r="K144" i="6" s="1"/>
  <c r="S41" i="7"/>
  <c r="L41" i="6" s="1"/>
  <c r="S49" i="7"/>
  <c r="L49" i="6" s="1"/>
  <c r="R138" i="6"/>
  <c r="S138" i="6"/>
  <c r="R58" i="7"/>
  <c r="K58" i="6" s="1"/>
  <c r="R169" i="7"/>
  <c r="K169" i="6" s="1"/>
  <c r="S180" i="7"/>
  <c r="L180" i="6" s="1"/>
  <c r="R7" i="6"/>
  <c r="S7" i="6"/>
  <c r="R9" i="6"/>
  <c r="S9" i="6"/>
  <c r="S157" i="6"/>
  <c r="R157" i="6"/>
  <c r="R164" i="7"/>
  <c r="K164" i="6" s="1"/>
  <c r="R183" i="6"/>
  <c r="S183" i="6"/>
  <c r="R7" i="7"/>
  <c r="K7" i="6" s="1"/>
  <c r="S9" i="7"/>
  <c r="L9" i="6" s="1"/>
  <c r="S148" i="6"/>
  <c r="R148" i="6"/>
  <c r="R129" i="6"/>
  <c r="S129" i="6"/>
  <c r="R159" i="6"/>
  <c r="S159" i="6"/>
  <c r="R5" i="7"/>
  <c r="K5" i="6" s="1"/>
  <c r="R159" i="7"/>
  <c r="K159" i="6" s="1"/>
  <c r="R175" i="6"/>
  <c r="S175" i="6"/>
  <c r="S78" i="7"/>
  <c r="L78" i="6" s="1"/>
  <c r="S89" i="7"/>
  <c r="L89" i="6" s="1"/>
  <c r="S99" i="7"/>
  <c r="L99" i="6" s="1"/>
  <c r="R182" i="6"/>
  <c r="S182" i="6"/>
  <c r="R92" i="7"/>
  <c r="K92" i="6" s="1"/>
  <c r="R98" i="6"/>
  <c r="S98" i="6"/>
  <c r="R126" i="6"/>
  <c r="S126" i="6"/>
  <c r="R125" i="6"/>
  <c r="S125" i="6"/>
  <c r="S5" i="7"/>
  <c r="L5" i="6" s="1"/>
  <c r="S46" i="7"/>
  <c r="L46" i="6" s="1"/>
  <c r="R25" i="7"/>
  <c r="K25" i="6" s="1"/>
  <c r="S159" i="7"/>
  <c r="L159" i="6" s="1"/>
  <c r="R125" i="7"/>
  <c r="K125" i="6" s="1"/>
  <c r="R48" i="6"/>
  <c r="S48" i="6"/>
  <c r="S84" i="6"/>
  <c r="R84" i="6"/>
  <c r="R78" i="7"/>
  <c r="K78" i="6" s="1"/>
  <c r="S110" i="7"/>
  <c r="L110" i="6" s="1"/>
  <c r="R99" i="6"/>
  <c r="S99" i="6"/>
  <c r="R88" i="7"/>
  <c r="K88" i="6" s="1"/>
  <c r="R89" i="7"/>
  <c r="K89" i="6" s="1"/>
  <c r="R99" i="7"/>
  <c r="K99" i="6" s="1"/>
  <c r="R124" i="6"/>
  <c r="S124" i="6"/>
  <c r="S131" i="7"/>
  <c r="L131" i="6" s="1"/>
  <c r="R38" i="7"/>
  <c r="K38" i="6" s="1"/>
  <c r="S22" i="7"/>
  <c r="L22" i="6" s="1"/>
  <c r="S92" i="7"/>
  <c r="L92" i="6" s="1"/>
  <c r="S122" i="7"/>
  <c r="L122" i="6" s="1"/>
  <c r="R135" i="6"/>
  <c r="S135" i="6"/>
  <c r="R100" i="7"/>
  <c r="K100" i="6" s="1"/>
  <c r="R72" i="6"/>
  <c r="S72" i="6"/>
  <c r="S144" i="7"/>
  <c r="L144" i="6" s="1"/>
  <c r="R41" i="7"/>
  <c r="K41" i="6" s="1"/>
  <c r="R49" i="7"/>
  <c r="K49" i="6" s="1"/>
  <c r="S58" i="7"/>
  <c r="L58" i="6" s="1"/>
  <c r="B29" i="6"/>
  <c r="Q29" i="6"/>
  <c r="S164" i="7"/>
  <c r="L164" i="6" s="1"/>
  <c r="R9" i="7"/>
  <c r="K9" i="6" s="1"/>
  <c r="S183" i="7"/>
  <c r="L183" i="6" s="1"/>
  <c r="S18" i="7"/>
  <c r="L18" i="6" s="1"/>
  <c r="S2" i="7"/>
  <c r="R2" i="7"/>
  <c r="R25" i="6"/>
  <c r="S25" i="6"/>
  <c r="S25" i="7"/>
  <c r="L25" i="6" s="1"/>
  <c r="S125" i="7"/>
  <c r="L125" i="6" s="1"/>
  <c r="R39" i="6"/>
  <c r="S39" i="6"/>
  <c r="S88" i="7"/>
  <c r="L88" i="6" s="1"/>
  <c r="R70" i="6"/>
  <c r="S70" i="6"/>
  <c r="R141" i="6"/>
  <c r="S141" i="6"/>
  <c r="S115" i="6"/>
  <c r="R115" i="6"/>
  <c r="R119" i="6"/>
  <c r="S119" i="6"/>
  <c r="R35" i="6"/>
  <c r="S35" i="6"/>
  <c r="S154" i="7"/>
  <c r="L154" i="6" s="1"/>
  <c r="S35" i="7"/>
  <c r="L35" i="6" s="1"/>
  <c r="R71" i="7"/>
  <c r="K71" i="6" s="1"/>
  <c r="R78" i="6"/>
  <c r="S78" i="6"/>
  <c r="R110" i="6"/>
  <c r="S110" i="6"/>
  <c r="R61" i="7"/>
  <c r="K61" i="6" s="1"/>
  <c r="R89" i="6"/>
  <c r="S89" i="6"/>
  <c r="S93" i="7"/>
  <c r="L93" i="6" s="1"/>
  <c r="S128" i="7"/>
  <c r="L128" i="6" s="1"/>
  <c r="R45" i="7"/>
  <c r="K45" i="6" s="1"/>
  <c r="R94" i="6"/>
  <c r="S94" i="6"/>
  <c r="R131" i="6"/>
  <c r="S131" i="6"/>
  <c r="R12" i="6"/>
  <c r="S12" i="6"/>
  <c r="R38" i="6"/>
  <c r="S38" i="6"/>
  <c r="S22" i="6"/>
  <c r="R22" i="6"/>
  <c r="S62" i="7"/>
  <c r="L62" i="6" s="1"/>
  <c r="S111" i="7"/>
  <c r="L111" i="6" s="1"/>
  <c r="R47" i="7"/>
  <c r="K47" i="6" s="1"/>
  <c r="R130" i="7"/>
  <c r="K130" i="6" s="1"/>
  <c r="R136" i="7"/>
  <c r="K136" i="6" s="1"/>
  <c r="S18" i="6"/>
  <c r="R18" i="6"/>
  <c r="R149" i="6"/>
  <c r="S149" i="6"/>
  <c r="R63" i="7"/>
  <c r="K63" i="6" s="1"/>
  <c r="S168" i="7"/>
  <c r="L168" i="6" s="1"/>
  <c r="S160" i="7"/>
  <c r="L160" i="6" s="1"/>
  <c r="R160" i="7"/>
  <c r="K160" i="6" s="1"/>
  <c r="R135" i="7"/>
  <c r="K135" i="6" s="1"/>
  <c r="S98" i="7"/>
  <c r="L98" i="6" s="1"/>
  <c r="S132" i="7"/>
  <c r="L132" i="6" s="1"/>
  <c r="R151" i="6"/>
  <c r="S151" i="6"/>
  <c r="R138" i="7"/>
  <c r="K138" i="6" s="1"/>
  <c r="R58" i="6"/>
  <c r="S58" i="6"/>
  <c r="R158" i="6"/>
  <c r="S158" i="6"/>
  <c r="R68" i="7"/>
  <c r="K68" i="6" s="1"/>
  <c r="R181" i="6"/>
  <c r="S181" i="6"/>
  <c r="R150" i="7"/>
  <c r="K150" i="6" s="1"/>
  <c r="R107" i="7"/>
  <c r="K107" i="6" s="1"/>
  <c r="S77" i="6"/>
  <c r="R77" i="6"/>
  <c r="R69" i="6"/>
  <c r="S69" i="6"/>
  <c r="R134" i="6"/>
  <c r="S134" i="6"/>
  <c r="S155" i="7"/>
  <c r="L155" i="6" s="1"/>
  <c r="R127" i="7"/>
  <c r="K127" i="6" s="1"/>
  <c r="S173" i="7"/>
  <c r="L173" i="6" s="1"/>
  <c r="R134" i="7"/>
  <c r="K134" i="6" s="1"/>
  <c r="S73" i="7"/>
  <c r="L73" i="6" s="1"/>
  <c r="R155" i="6"/>
  <c r="S155" i="6"/>
  <c r="R116" i="6"/>
  <c r="S116" i="6"/>
  <c r="R177" i="6"/>
  <c r="S177" i="6"/>
  <c r="R15" i="7"/>
  <c r="K15" i="6" s="1"/>
  <c r="S15" i="7"/>
  <c r="L15" i="6" s="1"/>
  <c r="S92" i="6"/>
  <c r="R92" i="6"/>
  <c r="S136" i="7"/>
  <c r="L136" i="6" s="1"/>
  <c r="R75" i="6"/>
  <c r="S75" i="6"/>
  <c r="R31" i="6"/>
  <c r="S31" i="6"/>
  <c r="R59" i="6"/>
  <c r="S59" i="6"/>
  <c r="Q160" i="6"/>
  <c r="B160" i="6"/>
  <c r="R49" i="6"/>
  <c r="S49" i="6"/>
  <c r="S138" i="7"/>
  <c r="L138" i="6" s="1"/>
  <c r="S150" i="7"/>
  <c r="L150" i="6" s="1"/>
  <c r="R73" i="6"/>
  <c r="S73" i="6"/>
  <c r="R155" i="7"/>
  <c r="K155" i="6" s="1"/>
  <c r="S127" i="7"/>
  <c r="L127" i="6" s="1"/>
  <c r="R173" i="7"/>
  <c r="K173" i="6" s="1"/>
  <c r="S134" i="7"/>
  <c r="L134" i="6" s="1"/>
  <c r="R73" i="7"/>
  <c r="K73" i="6" s="1"/>
  <c r="Q15" i="6"/>
  <c r="B15" i="6"/>
  <c r="K46" i="6"/>
  <c r="K20" i="6"/>
  <c r="K104" i="6"/>
  <c r="K139" i="6"/>
  <c r="K129" i="6"/>
  <c r="K105" i="6"/>
  <c r="K3" i="6"/>
  <c r="K149" i="6"/>
  <c r="K81" i="6"/>
  <c r="K93" i="6"/>
  <c r="K128" i="6"/>
  <c r="K131" i="6"/>
  <c r="K33" i="6"/>
  <c r="K42" i="6"/>
  <c r="Q179" i="7"/>
  <c r="K175" i="6"/>
  <c r="Q29" i="7"/>
  <c r="J29" i="6" s="1"/>
  <c r="K176" i="6"/>
  <c r="K118" i="6"/>
  <c r="P29" i="7"/>
  <c r="I29" i="6" s="1"/>
  <c r="L53" i="6"/>
  <c r="L176" i="6"/>
  <c r="P179" i="7"/>
  <c r="L87" i="6"/>
  <c r="J2" i="6"/>
  <c r="L91" i="6"/>
  <c r="L157" i="6"/>
  <c r="L79" i="6"/>
  <c r="L135" i="6"/>
  <c r="L107" i="6"/>
  <c r="L169" i="6"/>
  <c r="L109" i="6"/>
  <c r="L71" i="6"/>
  <c r="L149" i="6"/>
  <c r="L114" i="6"/>
  <c r="L121" i="6"/>
  <c r="L94" i="6"/>
  <c r="L115" i="6"/>
  <c r="L146" i="6"/>
  <c r="L14" i="6"/>
  <c r="L165" i="6"/>
  <c r="L36" i="6"/>
  <c r="L82" i="6"/>
  <c r="L172" i="6"/>
  <c r="L70" i="6"/>
  <c r="L50" i="6"/>
  <c r="L65" i="6"/>
  <c r="L8" i="6"/>
  <c r="AB58" i="7"/>
  <c r="I2" i="6"/>
  <c r="Q2" i="6"/>
  <c r="B2" i="6"/>
  <c r="S205" i="7" l="1"/>
  <c r="L205" i="6" s="1"/>
  <c r="S204" i="7"/>
  <c r="L204" i="6" s="1"/>
  <c r="S193" i="7"/>
  <c r="L193" i="6" s="1"/>
  <c r="S222" i="7"/>
  <c r="L222" i="6" s="1"/>
  <c r="S192" i="7"/>
  <c r="L192" i="6" s="1"/>
  <c r="S186" i="7"/>
  <c r="L186" i="6" s="1"/>
  <c r="S196" i="7"/>
  <c r="L196" i="6" s="1"/>
  <c r="S223" i="7"/>
  <c r="L223" i="6" s="1"/>
  <c r="S188" i="7"/>
  <c r="L188" i="6" s="1"/>
  <c r="S224" i="7"/>
  <c r="L224" i="6" s="1"/>
  <c r="S197" i="7"/>
  <c r="L197" i="6" s="1"/>
  <c r="S226" i="7"/>
  <c r="L226" i="6" s="1"/>
  <c r="S231" i="7"/>
  <c r="L231" i="6" s="1"/>
  <c r="S229" i="7"/>
  <c r="L229" i="6" s="1"/>
  <c r="S217" i="7"/>
  <c r="L217" i="6" s="1"/>
  <c r="S230" i="7"/>
  <c r="L230" i="6" s="1"/>
  <c r="S194" i="7"/>
  <c r="L194" i="6" s="1"/>
  <c r="S198" i="7"/>
  <c r="L198" i="6" s="1"/>
  <c r="S232" i="7"/>
  <c r="L232" i="6" s="1"/>
  <c r="S221" i="7"/>
  <c r="L221" i="6" s="1"/>
  <c r="S212" i="7"/>
  <c r="L212" i="6" s="1"/>
  <c r="S210" i="7"/>
  <c r="L210" i="6" s="1"/>
  <c r="S209" i="7"/>
  <c r="L209" i="6" s="1"/>
  <c r="S202" i="7"/>
  <c r="L202" i="6" s="1"/>
  <c r="S218" i="7"/>
  <c r="L218" i="6" s="1"/>
  <c r="S227" i="7"/>
  <c r="L227" i="6" s="1"/>
  <c r="S216" i="7"/>
  <c r="L216" i="6" s="1"/>
  <c r="S203" i="7"/>
  <c r="L203" i="6" s="1"/>
  <c r="S228" i="7"/>
  <c r="L228" i="6" s="1"/>
  <c r="S190" i="7"/>
  <c r="L190" i="6" s="1"/>
  <c r="S214" i="7"/>
  <c r="L214" i="6" s="1"/>
  <c r="S219" i="7"/>
  <c r="L219" i="6" s="1"/>
  <c r="S199" i="7"/>
  <c r="L199" i="6" s="1"/>
  <c r="S200" i="7"/>
  <c r="L200" i="6" s="1"/>
  <c r="S211" i="7"/>
  <c r="L211" i="6" s="1"/>
  <c r="S208" i="7"/>
  <c r="L208" i="6" s="1"/>
  <c r="S220" i="7"/>
  <c r="L220" i="6" s="1"/>
  <c r="S225" i="7"/>
  <c r="L225" i="6" s="1"/>
  <c r="S207" i="7"/>
  <c r="L207" i="6" s="1"/>
  <c r="S29" i="7"/>
  <c r="L29" i="6" s="1"/>
  <c r="R29" i="7"/>
  <c r="K29" i="6" s="1"/>
  <c r="R87" i="6"/>
  <c r="S87" i="6"/>
  <c r="R29" i="6"/>
  <c r="S29" i="6"/>
  <c r="R15" i="6"/>
  <c r="S15" i="6"/>
  <c r="R97" i="6"/>
  <c r="S97" i="6"/>
  <c r="I179" i="6"/>
  <c r="R179" i="7"/>
  <c r="K179" i="6" s="1"/>
  <c r="S160" i="6"/>
  <c r="R160" i="6"/>
  <c r="J179" i="6"/>
  <c r="S179" i="7"/>
  <c r="L179" i="6" s="1"/>
  <c r="K2" i="6"/>
  <c r="L2" i="6"/>
  <c r="AB10" i="71"/>
  <c r="S2" i="6"/>
  <c r="AC5" i="71"/>
  <c r="AC3" i="71"/>
  <c r="AB13" i="71"/>
  <c r="AB9" i="71"/>
  <c r="AB4" i="71"/>
  <c r="AB5" i="71"/>
  <c r="AC9" i="71"/>
  <c r="AC8" i="71"/>
  <c r="AC6" i="71"/>
  <c r="AC7" i="71"/>
  <c r="AB6" i="71"/>
  <c r="AB12" i="71"/>
  <c r="AC12" i="71"/>
  <c r="AB11" i="71"/>
  <c r="AC4" i="71"/>
  <c r="AC13" i="71"/>
  <c r="AB7" i="71"/>
  <c r="AC10" i="71"/>
  <c r="AC11" i="71"/>
  <c r="AB2" i="71"/>
  <c r="AC2" i="71"/>
  <c r="AB3" i="71"/>
  <c r="AB8" i="71"/>
  <c r="R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tc={619452E2-FD12-4D72-A06B-F28CB113A5EC}</author>
  </authors>
  <commentList>
    <comment ref="A243" authorId="0" shapeId="0" xr:uid="{619452E2-FD12-4D72-A06B-F28CB113A5EC}">
      <text>
        <t>[Threaded comment]
Your version of Excel allows you to read this threaded comment; however, any edits to it will get removed if the file is opened in a newer version of Excel. Learn more: https://go.microsoft.com/fwlink/?linkid=870924
Comment:
    Non-bold = no dg2023 data</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tc={C66D91BA-89FA-4083-A848-F1AB7458F508}</author>
    <author>tc={9D30DC13-25E1-448F-914D-15AC02CF0F2A}</author>
  </authors>
  <commentList>
    <comment ref="R1" authorId="0" shapeId="0" xr:uid="{C66D91BA-89FA-4083-A848-F1AB7458F508}">
      <text>
        <t xml:space="preserve">[Threaded comment]
Your version of Excel allows you to read this threaded comment; however, any edits to it will get removed if the file is opened in a newer version of Excel. Learn more: https://go.microsoft.com/fwlink/?linkid=870924
Comment:
    Up to date, not enough 2023 data on #N/A's, count &gt;90 means another player to check.
List as follows:
Chris Gotterup
Kevin Dougherty
Mac Meissner
Rico Hoey
Jake Knapp
Jimmy Stanger
Hayden Springer
Patrick Fishburn
Rafael Campos
Max Greyserman
Wilson Furr
Alejandro Tosti
Jhonattan Vegas
Parker Coody
Nick Dunlap
Blaine Hale, Jr.
Paul Barjon
Pierceson Coody
David Skinns
Taiga Semikawa
Ryan McCormick
Scott Gutschewski
Adrien Dumont de Chassart
Bronson Burgoon
Norman Xiong
Chan Kim
Chandler Phillips
Josh Teater
Trace Crowe
J.B. Holmes
Erik Barnes
Jacob Bridgeman
Tom Whitney
Joe Highsmith
Ben Silverman
Raul Pereda
Roger Sloan
Daniel Berger
Ben Kohles
Brandt Snedeker
Camilo Villegas
</t>
      </text>
    </comment>
    <comment ref="X1" authorId="1" shapeId="0" xr:uid="{9D30DC13-25E1-448F-914D-15AC02CF0F2A}">
      <text>
        <t>[Threaded comment]
Your version of Excel allows you to read this threaded comment; however, any edits to it will get removed if the file is opened in a newer version of Excel. Learn more: https://go.microsoft.com/fwlink/?linkid=870924
Comment:
    Refresh this for every event</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tc={7D425222-E6C2-4FBA-A5BD-9E1FB34DBBE9}</author>
  </authors>
  <commentList>
    <comment ref="J1" authorId="0" shapeId="0" xr:uid="{7D425222-E6C2-4FBA-A5BD-9E1FB34DBBE9}">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tc={0AEA45E9-08A8-42BC-B60E-056E12D89AAE}</author>
    <author>tc={04CF27D7-B630-465B-A8E2-62503F5EF0BC}</author>
  </authors>
  <commentList>
    <comment ref="G2" authorId="0" shapeId="0" xr:uid="{0AEA45E9-08A8-42BC-B60E-056E12D89AAE}">
      <text>
        <t>[Threaded comment]
Your version of Excel allows you to read this threaded comment; however, any edits to it will get removed if the file is opened in a newer version of Excel. Learn more: https://go.microsoft.com/fwlink/?linkid=870924
Comment:
    Place your bets on a Wednesday! Greater value!</t>
      </text>
    </comment>
    <comment ref="G7" authorId="1" shapeId="0" xr:uid="{04CF27D7-B630-465B-A8E2-62503F5EF0BC}">
      <text>
        <t>[Threaded comment]
Your version of Excel allows you to read this threaded comment; however, any edits to it will get removed if the file is opened in a newer version of Excel. Learn more: https://go.microsoft.com/fwlink/?linkid=870924
Comment:
    Place your bets on a Wednesday! Greater value!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tc={F02386BA-DC37-4D5D-A636-13B32EDBEE9D}</author>
    <author>tc={95363404-FE7F-4B60-8D05-1470412C336D}</author>
  </authors>
  <commentList>
    <comment ref="AD1" authorId="0" shapeId="0" xr:uid="{F02386BA-DC37-4D5D-A636-13B32EDBEE9D}">
      <text>
        <t>[Threaded comment]
Your version of Excel allows you to read this threaded comment; however, any edits to it will get removed if the file is opened in a newer version of Excel. Learn more: https://go.microsoft.com/fwlink/?linkid=870924
Comment:
    Don't include for non 130+ fields
Reply:
    Ignored so far</t>
      </text>
    </comment>
    <comment ref="AE1" authorId="1" shapeId="0" xr:uid="{95363404-FE7F-4B60-8D05-1470412C336D}">
      <text>
        <t>[Threaded comment]
Your version of Excel allows you to read this threaded comment; however, any edits to it will get removed if the file is opened in a newer version of Excel. Learn more: https://go.microsoft.com/fwlink/?linkid=870924
Comment:
    Don't include for non 130+ fields
Reply:
    Ignored so far</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tc={F380E101-8236-4332-BD1E-BFFE67A87D1E}</author>
  </authors>
  <commentList>
    <comment ref="J1" authorId="0" shapeId="0" xr:uid="{F380E101-8236-4332-BD1E-BFFE67A87D1E}">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tc={11605644-32CA-4AC6-B2AA-5ED89EF9EDF6}</author>
  </authors>
  <commentList>
    <comment ref="J1" authorId="0" shapeId="0" xr:uid="{11605644-32CA-4AC6-B2AA-5ED89EF9EDF6}">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tc={07744CE7-515B-4C90-9966-D7674425F776}</author>
  </authors>
  <commentList>
    <comment ref="J1" authorId="0" shapeId="0" xr:uid="{07744CE7-515B-4C90-9966-D7674425F776}">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tc={9CE98109-1D55-49A0-B065-4D8A4893F52E}</author>
    <author>tc={D0D86B40-BBA1-472F-BA75-67E5971822DB}</author>
  </authors>
  <commentList>
    <comment ref="J1" authorId="0" shapeId="0" xr:uid="{9CE98109-1D55-49A0-B065-4D8A4893F52E}">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 ref="A19" authorId="1" shapeId="0" xr:uid="{D0D86B40-BBA1-472F-BA75-67E5971822DB}">
      <text>
        <t>[Threaded comment]
Your version of Excel allows you to read this threaded comment; however, any edits to it will get removed if the file is opened in a newer version of Excel. Learn more: https://go.microsoft.com/fwlink/?linkid=870924
Comment:
    Stats not updated from Valspar</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tc={484C5258-9CEE-42F5-99DA-461CCE287D79}</author>
    <author>tc={A00C5978-C0CD-4BEF-8E43-F71C0B092F43}</author>
  </authors>
  <commentList>
    <comment ref="J1" authorId="0" shapeId="0" xr:uid="{484C5258-9CEE-42F5-99DA-461CCE287D79}">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 ref="A27" authorId="1" shapeId="0" xr:uid="{A00C5978-C0CD-4BEF-8E43-F71C0B092F43}">
      <text>
        <t>[Threaded comment]
Your version of Excel allows you to read this threaded comment; however, any edits to it will get removed if the file is opened in a newer version of Excel. Learn more: https://go.microsoft.com/fwlink/?linkid=870924
Comment:
    Re-do scores for dg2024 if t10/win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tc={7E4695B2-D72C-42BE-BA31-E802BA51F314}</author>
  </authors>
  <commentList>
    <comment ref="J1" authorId="0" shapeId="0" xr:uid="{7E4695B2-D72C-42BE-BA31-E802BA51F314}">
      <text>
        <t>[Threaded comment]
Your version of Excel allows you to read this threaded comment; however, any edits to it will get removed if the file is opened in a newer version of Excel. Learn more: https://go.microsoft.com/fwlink/?linkid=870924
Comment:
    Sort by this for value picks</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<sst xmlns="http://schemas.openxmlformats.org/spreadsheetml/2006/main" count="10147" uniqueCount="1164">
  <si>
    <t>Player</t>
  </si>
  <si>
    <t>Rank</t>
  </si>
  <si>
    <t>Avg</t>
  </si>
  <si>
    <t>Total Distance</t>
  </si>
  <si>
    <t>Total Drives</t>
  </si>
  <si>
    <t>PASTE AREA</t>
  </si>
  <si>
    <t>Rory McIlroy</t>
  </si>
  <si>
    <t>Brandon Matthews</t>
  </si>
  <si>
    <t>Cameron Champ</t>
  </si>
  <si>
    <t>Cameron Young</t>
  </si>
  <si>
    <t>Byeong Hun An</t>
  </si>
  <si>
    <t>Matti Schmid</t>
  </si>
  <si>
    <t>Trevor Cone</t>
  </si>
  <si>
    <t>Vincent Norrman</t>
  </si>
  <si>
    <t>Keith Mitchell</t>
  </si>
  <si>
    <t>Jon Rahm</t>
  </si>
  <si>
    <t>Kyle Westmoreland</t>
  </si>
  <si>
    <t>Gary Woodland</t>
  </si>
  <si>
    <t>Wyndham Clark</t>
  </si>
  <si>
    <t>Adam Scott</t>
  </si>
  <si>
    <t>Joseph Bramlett</t>
  </si>
  <si>
    <t>Callum Tarren</t>
  </si>
  <si>
    <t>Will Gordon</t>
  </si>
  <si>
    <t>Luke List</t>
  </si>
  <si>
    <t>Trey Mullinax</t>
  </si>
  <si>
    <t>Brent Grant</t>
  </si>
  <si>
    <t>Kevin Yu</t>
  </si>
  <si>
    <t>Sam Burns</t>
  </si>
  <si>
    <t>Davis Thompson</t>
  </si>
  <si>
    <t>Cam Davis</t>
  </si>
  <si>
    <t>Sam Stevens</t>
  </si>
  <si>
    <t>MJ Daffue</t>
  </si>
  <si>
    <t>Garrick Higgo</t>
  </si>
  <si>
    <t>Taylor Pendrith</t>
  </si>
  <si>
    <t>Augusto Núñez</t>
  </si>
  <si>
    <t>Scottie Scheffler</t>
  </si>
  <si>
    <t>Nick Hardy</t>
  </si>
  <si>
    <t>Ryan Brehm</t>
  </si>
  <si>
    <t>Patrick Rodgers</t>
  </si>
  <si>
    <t>S.H. Kim</t>
  </si>
  <si>
    <t>Patrick Cantlay</t>
  </si>
  <si>
    <t>Kevin Tway</t>
  </si>
  <si>
    <t>Justin Thomas</t>
  </si>
  <si>
    <t>Scott Harrington</t>
  </si>
  <si>
    <t>Rickie Fowler</t>
  </si>
  <si>
    <t>Jimmy Walker</t>
  </si>
  <si>
    <t>Thomas Detry</t>
  </si>
  <si>
    <t>Viktor Hovland</t>
  </si>
  <si>
    <t>Carl Yuan</t>
  </si>
  <si>
    <t>Taylor Moore</t>
  </si>
  <si>
    <t>Charley Hoffman</t>
  </si>
  <si>
    <t>Tyrrell Hatton</t>
  </si>
  <si>
    <t>Stephan Jaeger</t>
  </si>
  <si>
    <t>Stewart Cink</t>
  </si>
  <si>
    <t>Kurt Kitayama</t>
  </si>
  <si>
    <t>Davis Riley</t>
  </si>
  <si>
    <t>Adam Schenk</t>
  </si>
  <si>
    <t>Trevor Werbylo</t>
  </si>
  <si>
    <t>Keegan Bradley</t>
  </si>
  <si>
    <t>Beau Hossler</t>
  </si>
  <si>
    <t>Hayden Buckley</t>
  </si>
  <si>
    <t>Michael Gligic</t>
  </si>
  <si>
    <t>Michael Kim</t>
  </si>
  <si>
    <t>Taylor Montgomery</t>
  </si>
  <si>
    <t>Sahith Theegala</t>
  </si>
  <si>
    <t>Erik van Rooyen</t>
  </si>
  <si>
    <t>Max Homa</t>
  </si>
  <si>
    <t>Lucas Herbert</t>
  </si>
  <si>
    <t>Jason Day</t>
  </si>
  <si>
    <t>Tony Finau</t>
  </si>
  <si>
    <t>S.Y. Noh</t>
  </si>
  <si>
    <t>Ben Taylor</t>
  </si>
  <si>
    <t>Matt Fitzpatrick</t>
  </si>
  <si>
    <t>Xander Schauffele</t>
  </si>
  <si>
    <t>Shane Lowry</t>
  </si>
  <si>
    <t>Kevin Roy</t>
  </si>
  <si>
    <t>Jordan Spieth</t>
  </si>
  <si>
    <t>Dylan Frittelli</t>
  </si>
  <si>
    <t>Tano Goya</t>
  </si>
  <si>
    <t>Alex Smalley</t>
  </si>
  <si>
    <t>Lanto Griffin</t>
  </si>
  <si>
    <t>Zecheng Dou</t>
  </si>
  <si>
    <t>Matt Wallace</t>
  </si>
  <si>
    <t>Martin Trainer</t>
  </si>
  <si>
    <t>Kevin Chappell</t>
  </si>
  <si>
    <t>Tommy Fleetwood</t>
  </si>
  <si>
    <t>Harry Higgs</t>
  </si>
  <si>
    <t>Ryan Palmer</t>
  </si>
  <si>
    <t>Austin Eckroat</t>
  </si>
  <si>
    <t>Scott Stallings</t>
  </si>
  <si>
    <t>Emiliano Grillo</t>
  </si>
  <si>
    <t>Patton Kizzire</t>
  </si>
  <si>
    <t>K.H. Lee</t>
  </si>
  <si>
    <t>Corey Conners</t>
  </si>
  <si>
    <t>Richy Werenski</t>
  </si>
  <si>
    <t>Alex Noren</t>
  </si>
  <si>
    <t>Cody Gribble</t>
  </si>
  <si>
    <t>Ben Griffin</t>
  </si>
  <si>
    <t>Maverick McNealy</t>
  </si>
  <si>
    <t>Austin Smotherman</t>
  </si>
  <si>
    <t>Andrew Novak</t>
  </si>
  <si>
    <t>Lee Hodges</t>
  </si>
  <si>
    <t>Webb Simpson</t>
  </si>
  <si>
    <t>Nico Echavarria</t>
  </si>
  <si>
    <t>Mackenzie Hughes</t>
  </si>
  <si>
    <t>Seamus Power</t>
  </si>
  <si>
    <t>Chesson Hadley</t>
  </si>
  <si>
    <t>Tyson Alexander</t>
  </si>
  <si>
    <t>Harry Hall</t>
  </si>
  <si>
    <t>Justin Suh</t>
  </si>
  <si>
    <t>Sepp Straka</t>
  </si>
  <si>
    <t>Jason Dufner</t>
  </si>
  <si>
    <t>J.J. Spaun</t>
  </si>
  <si>
    <t>Sungjae Im</t>
  </si>
  <si>
    <t>Eric Cole</t>
  </si>
  <si>
    <t>Billy Horschel</t>
  </si>
  <si>
    <t>Tyler Duncan</t>
  </si>
  <si>
    <t>James Hahn</t>
  </si>
  <si>
    <t>Dylan Wu</t>
  </si>
  <si>
    <t>Robert Streb</t>
  </si>
  <si>
    <t>Hank Lebioda</t>
  </si>
  <si>
    <t>Doug Ghim</t>
  </si>
  <si>
    <t>Nate Lashley</t>
  </si>
  <si>
    <t>Kevin Streelman</t>
  </si>
  <si>
    <t>Tom Kim</t>
  </si>
  <si>
    <t>Harris English</t>
  </si>
  <si>
    <t>J.T. Poston</t>
  </si>
  <si>
    <t>Kramer Hickok</t>
  </si>
  <si>
    <t>Si Woo Kim</t>
  </si>
  <si>
    <t>Hideki Matsuyama</t>
  </si>
  <si>
    <t>Adam Svensson</t>
  </si>
  <si>
    <t>C.T. Pan</t>
  </si>
  <si>
    <t>Chris Kirk</t>
  </si>
  <si>
    <t>Brandon Wu</t>
  </si>
  <si>
    <t>Greyson Sigg</t>
  </si>
  <si>
    <t>Collin Morikawa</t>
  </si>
  <si>
    <t>Carson Young</t>
  </si>
  <si>
    <t>Joel Dahmen</t>
  </si>
  <si>
    <t>Nick Watney</t>
  </si>
  <si>
    <t>Tom Hoge</t>
  </si>
  <si>
    <t>Denny McCarthy</t>
  </si>
  <si>
    <t>Adam Hadwin</t>
  </si>
  <si>
    <t>Peter Malnati</t>
  </si>
  <si>
    <t>Justin Rose</t>
  </si>
  <si>
    <t>Matt Kuchar</t>
  </si>
  <si>
    <t>Lucas Glover</t>
  </si>
  <si>
    <t>Sam Ryder</t>
  </si>
  <si>
    <t>Justin Lower</t>
  </si>
  <si>
    <t>Chad Ramey</t>
  </si>
  <si>
    <t>Robby Shelton</t>
  </si>
  <si>
    <t>Matthias Schwab</t>
  </si>
  <si>
    <t>Ben Martin</t>
  </si>
  <si>
    <t>Aaron Rai</t>
  </si>
  <si>
    <t>Doc Redman</t>
  </si>
  <si>
    <t>Brian Harman</t>
  </si>
  <si>
    <t>Scott Piercy</t>
  </si>
  <si>
    <t>Troy Merritt</t>
  </si>
  <si>
    <t>Henrik Norlander</t>
  </si>
  <si>
    <t>Nick Taylor</t>
  </si>
  <si>
    <t>Sean O'Hair</t>
  </si>
  <si>
    <t>Harrison Endycott</t>
  </si>
  <si>
    <t>Martin Laird</t>
  </si>
  <si>
    <t>Mark Hubbard</t>
  </si>
  <si>
    <t>David Lipsky</t>
  </si>
  <si>
    <t>Danny Willett</t>
  </si>
  <si>
    <t>Christiaan Bezuidenhout</t>
  </si>
  <si>
    <t>Russell Henley</t>
  </si>
  <si>
    <t>Adam Long</t>
  </si>
  <si>
    <t>Jim Herman</t>
  </si>
  <si>
    <t>Max McGreevy</t>
  </si>
  <si>
    <t>Zach Johnson</t>
  </si>
  <si>
    <t>Cameron Percy</t>
  </si>
  <si>
    <t>Chris Stroud</t>
  </si>
  <si>
    <t>Jonathan Byrd</t>
  </si>
  <si>
    <t>Sung Kang</t>
  </si>
  <si>
    <t>Brice Garnett</t>
  </si>
  <si>
    <t>Andrew Landry</t>
  </si>
  <si>
    <t>Chez Reavie</t>
  </si>
  <si>
    <t>Satoshi Kodaira</t>
  </si>
  <si>
    <t>Ryan Moore</t>
  </si>
  <si>
    <t>Kelly Kraft</t>
  </si>
  <si>
    <t>Russell Knox</t>
  </si>
  <si>
    <t>Aaron Baddeley</t>
  </si>
  <si>
    <t>Andrew Putnam</t>
  </si>
  <si>
    <t>Paul Haley II</t>
  </si>
  <si>
    <t>Ryan Armour</t>
  </si>
  <si>
    <t>Austin Cook</t>
  </si>
  <si>
    <t>Zac Blair</t>
  </si>
  <si>
    <t>Brendon Todd</t>
  </si>
  <si>
    <t>William McGirt</t>
  </si>
  <si>
    <t>David Lingmerth</t>
  </si>
  <si>
    <t>Brian Stuard</t>
  </si>
  <si>
    <t>Percentage</t>
  </si>
  <si>
    <t>Fairways Hit</t>
  </si>
  <si>
    <t>Possible Fairways</t>
  </si>
  <si>
    <t>WDIST</t>
  </si>
  <si>
    <t>WACC</t>
  </si>
  <si>
    <t>WAPP</t>
  </si>
  <si>
    <t>WARG</t>
  </si>
  <si>
    <t>WPUTT</t>
  </si>
  <si>
    <t>SG</t>
  </si>
  <si>
    <t>DGSCORE</t>
  </si>
  <si>
    <t>RADARSCORE</t>
  </si>
  <si>
    <t>DG PGA RANK</t>
  </si>
  <si>
    <t>DG COURSE RANK</t>
  </si>
  <si>
    <t>RADAR PGA RANK</t>
  </si>
  <si>
    <t>RADAR COURSE RANK</t>
  </si>
  <si>
    <t>WIN%</t>
  </si>
  <si>
    <t>T10%</t>
  </si>
  <si>
    <t>SGT-5</t>
  </si>
  <si>
    <t>Position</t>
  </si>
  <si>
    <t>WinOdds</t>
  </si>
  <si>
    <t>Value</t>
  </si>
  <si>
    <t xml:space="preserve">CTRL+H </t>
  </si>
  <si>
    <t>REPLACE</t>
  </si>
  <si>
    <t>Field</t>
  </si>
  <si>
    <t>PLAYER NAME</t>
  </si>
  <si>
    <t>OWGR</t>
  </si>
  <si>
    <t>-</t>
  </si>
  <si>
    <t>Scott Brown</t>
  </si>
  <si>
    <t>Brian Gay</t>
  </si>
  <si>
    <t>Kyle Stanley</t>
  </si>
  <si>
    <t>Camilo Villegas</t>
  </si>
  <si>
    <t>Vince Whaley</t>
  </si>
  <si>
    <t>This Week Rank</t>
  </si>
  <si>
    <t>Last Week Rank</t>
  </si>
  <si>
    <t>Events</t>
  </si>
  <si>
    <t>Points</t>
  </si>
  <si>
    <t>Points behind Lead</t>
  </si>
  <si>
    <t>Wins</t>
  </si>
  <si>
    <t>Top-10s</t>
  </si>
  <si>
    <t>Aaron Wise</t>
  </si>
  <si>
    <t>Ludvig Aberg</t>
  </si>
  <si>
    <t>Will Zalatoris</t>
  </si>
  <si>
    <t>Mito Pereira</t>
  </si>
  <si>
    <t>Erik Barnes</t>
  </si>
  <si>
    <t>Michael Thompson</t>
  </si>
  <si>
    <t>Brendan Steele</t>
  </si>
  <si>
    <t>Luke Donald</t>
  </si>
  <si>
    <t>Francesco Molinari</t>
  </si>
  <si>
    <t>Danny Lee</t>
  </si>
  <si>
    <t>Jhonattan Vegas</t>
  </si>
  <si>
    <t>Kevin Kisner</t>
  </si>
  <si>
    <t>Bill Haas</t>
  </si>
  <si>
    <t>Sebastián Muñoz</t>
  </si>
  <si>
    <t>Rory Sabbatini</t>
  </si>
  <si>
    <t>John Huh</t>
  </si>
  <si>
    <t>Brandt Snedeker</t>
  </si>
  <si>
    <t>Anders Albertson</t>
  </si>
  <si>
    <t>Philip Knowles</t>
  </si>
  <si>
    <t>J.B. Holmes</t>
  </si>
  <si>
    <t>SGT</t>
  </si>
  <si>
    <t>SGT RANK</t>
  </si>
  <si>
    <t>SGT-5 RANK</t>
  </si>
  <si>
    <t>Diff</t>
  </si>
  <si>
    <t>PASTE HERE</t>
  </si>
  <si>
    <t>Total SG:Putting</t>
  </si>
  <si>
    <t>Measured Rounds</t>
  </si>
  <si>
    <t>Total SG:ARG</t>
  </si>
  <si>
    <t>Total SG:APP</t>
  </si>
  <si>
    <t>Total Winner Stats</t>
  </si>
  <si>
    <t>Year</t>
  </si>
  <si>
    <t>Event</t>
  </si>
  <si>
    <t>DIST</t>
  </si>
  <si>
    <t>ACC</t>
  </si>
  <si>
    <t>APP</t>
  </si>
  <si>
    <t>ARG</t>
  </si>
  <si>
    <t>PUTT</t>
  </si>
  <si>
    <t>Masters</t>
  </si>
  <si>
    <t>Valero Texas Open</t>
  </si>
  <si>
    <t>Zurich Open</t>
  </si>
  <si>
    <t>Cantlay/Schauffele</t>
  </si>
  <si>
    <t>Mexico Open</t>
  </si>
  <si>
    <t>RBC Heritage</t>
  </si>
  <si>
    <t>Wells Fargo</t>
  </si>
  <si>
    <t>AT&amp;T B.N.</t>
  </si>
  <si>
    <t>USPGA</t>
  </si>
  <si>
    <t>Byron Nelson</t>
  </si>
  <si>
    <t>Charles Schwab</t>
  </si>
  <si>
    <t>The Memorial</t>
  </si>
  <si>
    <t>Canadian Open</t>
  </si>
  <si>
    <t>US Open</t>
  </si>
  <si>
    <t>Travelers</t>
  </si>
  <si>
    <t>John Deere</t>
  </si>
  <si>
    <t>Rocket Mortgage</t>
  </si>
  <si>
    <t>Scottish Open</t>
  </si>
  <si>
    <t>UK Open</t>
  </si>
  <si>
    <t>Cameron Smith</t>
  </si>
  <si>
    <t>Barbasol</t>
  </si>
  <si>
    <t>3M Open</t>
  </si>
  <si>
    <t>FEDEXStJude</t>
  </si>
  <si>
    <t>Wyndham C</t>
  </si>
  <si>
    <t>BMW Champ</t>
  </si>
  <si>
    <t>Sanderson Farms</t>
  </si>
  <si>
    <t>Shriner's</t>
  </si>
  <si>
    <t>ZOZO</t>
  </si>
  <si>
    <t>Colin Morikawa</t>
  </si>
  <si>
    <t>WWT</t>
  </si>
  <si>
    <t>Average</t>
  </si>
  <si>
    <t>Weight</t>
  </si>
  <si>
    <t>Winner</t>
  </si>
  <si>
    <t>Course Rank</t>
  </si>
  <si>
    <t>Field Strength OWGR</t>
  </si>
  <si>
    <t>Win%</t>
  </si>
  <si>
    <t>% Chances</t>
  </si>
  <si>
    <t>1&lt;=3</t>
  </si>
  <si>
    <t>79&gt;</t>
  </si>
  <si>
    <t>Brooks Koepka</t>
  </si>
  <si>
    <t>10&lt;=38</t>
  </si>
  <si>
    <t>39&lt;=79</t>
  </si>
  <si>
    <t>Total Winner Probabilities</t>
  </si>
  <si>
    <t>2023 Events</t>
  </si>
  <si>
    <t>Total Events</t>
  </si>
  <si>
    <t>2022 Events</t>
  </si>
  <si>
    <t>WWTC</t>
  </si>
  <si>
    <t>Butterfield</t>
  </si>
  <si>
    <t>Camillo Villegas</t>
  </si>
  <si>
    <t>80&gt;</t>
  </si>
  <si>
    <t>RSM</t>
  </si>
  <si>
    <t>Dean Burmester</t>
  </si>
  <si>
    <t>Cole Hammer</t>
  </si>
  <si>
    <t>Keita Nakajima</t>
  </si>
  <si>
    <t>RADARCR</t>
  </si>
  <si>
    <t>RADAR CR</t>
  </si>
  <si>
    <t>DG CR</t>
  </si>
  <si>
    <t>RADAR PGA</t>
  </si>
  <si>
    <t>DG PGA</t>
  </si>
  <si>
    <t>RADARPGA</t>
  </si>
  <si>
    <t xml:space="preserve"> Sam</t>
  </si>
  <si>
    <t xml:space="preserve"> Tom</t>
  </si>
  <si>
    <t xml:space="preserve"> Max</t>
  </si>
  <si>
    <t>Kim</t>
  </si>
  <si>
    <t xml:space="preserve"> Adam</t>
  </si>
  <si>
    <t>CLEAN NAME</t>
  </si>
  <si>
    <t>RADAR</t>
  </si>
  <si>
    <t>DG</t>
  </si>
  <si>
    <t>$V$5*J2+$W$5*K2+$X$5*L2+$Y$5*M2+$Z$5*N2+$AA$5*O2</t>
  </si>
  <si>
    <t>$W$2*J2+$X$2*K2+$Y$2*L2+$Z$2*M2+$AA$2*N2</t>
  </si>
  <si>
    <t>Sentry</t>
  </si>
  <si>
    <t>Sony Open</t>
  </si>
  <si>
    <t>AMEX</t>
  </si>
  <si>
    <t>Farmers</t>
  </si>
  <si>
    <t>Pebble</t>
  </si>
  <si>
    <t>Genesis</t>
  </si>
  <si>
    <t>Honda</t>
  </si>
  <si>
    <t>Puerto Rico</t>
  </si>
  <si>
    <t>Arnold Palmer</t>
  </si>
  <si>
    <t>PLAYERS</t>
  </si>
  <si>
    <t>Valspar</t>
  </si>
  <si>
    <t>Corales Puntacana</t>
  </si>
  <si>
    <t>Griffin</t>
  </si>
  <si>
    <t xml:space="preserve"> Ben</t>
  </si>
  <si>
    <t xml:space="preserve"> Nick</t>
  </si>
  <si>
    <t xml:space="preserve"> Andrew</t>
  </si>
  <si>
    <t xml:space="preserve"> Kevin</t>
  </si>
  <si>
    <t>4&lt;=9</t>
  </si>
  <si>
    <t>FIELD STRENTGH AVG</t>
  </si>
  <si>
    <t>CRITERIA</t>
  </si>
  <si>
    <t>1-3 Win</t>
  </si>
  <si>
    <t>&gt;3 WIN</t>
  </si>
  <si>
    <t>FIELD STRENGTH</t>
  </si>
  <si>
    <t>Taiga Semikawa</t>
  </si>
  <si>
    <t>Win rate &lt;=232</t>
  </si>
  <si>
    <t>Win rate &gt;232</t>
  </si>
  <si>
    <t>Stake</t>
  </si>
  <si>
    <t>Pheonix</t>
  </si>
  <si>
    <t>Season</t>
  </si>
  <si>
    <t xml:space="preserve">Wyndham </t>
  </si>
  <si>
    <t>Playoffs</t>
  </si>
  <si>
    <t>SGT-5 GRAPH BELOW?</t>
  </si>
  <si>
    <t>Akshay Bhatia</t>
  </si>
  <si>
    <t>Jonas Blixt</t>
  </si>
  <si>
    <t>Grayson Murray</t>
  </si>
  <si>
    <t>Wesley Bryan</t>
  </si>
  <si>
    <t>Bo Van Pelt</t>
  </si>
  <si>
    <t>4&lt;=10</t>
  </si>
  <si>
    <t>11&lt;=20</t>
  </si>
  <si>
    <t>21&lt;=30</t>
  </si>
  <si>
    <t>31&lt;=40</t>
  </si>
  <si>
    <t>41&lt;=79</t>
  </si>
  <si>
    <t>Harold Varner III</t>
  </si>
  <si>
    <t>Matthew NeSmith</t>
  </si>
  <si>
    <t>Joaquin Niemann</t>
  </si>
  <si>
    <t>Cameron Tringale</t>
  </si>
  <si>
    <t>Daniel Berger</t>
  </si>
  <si>
    <t>Graeme McDowell</t>
  </si>
  <si>
    <t>Kevin Na</t>
  </si>
  <si>
    <t>Branden Grace</t>
  </si>
  <si>
    <t>Jason Kokrak</t>
  </si>
  <si>
    <t>Hudson Swafford</t>
  </si>
  <si>
    <t>Ian Poulter</t>
  </si>
  <si>
    <t>Pat Perez</t>
  </si>
  <si>
    <t>Charl Schwartzel</t>
  </si>
  <si>
    <t>Roger Sloan</t>
  </si>
  <si>
    <t>Anirban Lahiri</t>
  </si>
  <si>
    <t>Dustin Johnson</t>
  </si>
  <si>
    <t>Carlos Ortiz</t>
  </si>
  <si>
    <t>Charles Howell III</t>
  </si>
  <si>
    <t>Brandon Hagy</t>
  </si>
  <si>
    <t>Matthew Wolff</t>
  </si>
  <si>
    <t>Tyler McCumber</t>
  </si>
  <si>
    <t>Paul Barjon</t>
  </si>
  <si>
    <t>Peter Uihlein</t>
  </si>
  <si>
    <t>Jared Wolfe</t>
  </si>
  <si>
    <t>Matt Jones</t>
  </si>
  <si>
    <t>Curtis Thompson</t>
  </si>
  <si>
    <t>Marc Leishman</t>
  </si>
  <si>
    <t>Seth Reeves</t>
  </si>
  <si>
    <t>Sergio Garcia</t>
  </si>
  <si>
    <t>Talor Gooch</t>
  </si>
  <si>
    <t>David Skinns</t>
  </si>
  <si>
    <t>Louis Oosthuizen</t>
  </si>
  <si>
    <t>Bronson Burgoon</t>
  </si>
  <si>
    <t>Scott Gutschewski</t>
  </si>
  <si>
    <t>Jim Knous</t>
  </si>
  <si>
    <t>Dawie van der Walt</t>
  </si>
  <si>
    <t>Brett Drewitt</t>
  </si>
  <si>
    <t>Abraham Ancer</t>
  </si>
  <si>
    <t>Kiradech Aphibarnrat</t>
  </si>
  <si>
    <t>Ben Kohles</t>
  </si>
  <si>
    <t>Chase Seiffert</t>
  </si>
  <si>
    <t>Patrick Reed</t>
  </si>
  <si>
    <t>Joshua Creel</t>
  </si>
  <si>
    <t>Vaughn Taylor</t>
  </si>
  <si>
    <t>Chan Kim</t>
  </si>
  <si>
    <t>Phil Mickelson</t>
  </si>
  <si>
    <t>Bo Hoag</t>
  </si>
  <si>
    <t>Ryo Hisatsune</t>
  </si>
  <si>
    <t xml:space="preserve"> Patrick</t>
  </si>
  <si>
    <t xml:space="preserve"> Cameron</t>
  </si>
  <si>
    <t xml:space="preserve"> Justin</t>
  </si>
  <si>
    <t>Wu</t>
  </si>
  <si>
    <t>T212</t>
  </si>
  <si>
    <t>Ben Silverman</t>
  </si>
  <si>
    <t>Robert MacIntyre</t>
  </si>
  <si>
    <t xml:space="preserve">Win Rate </t>
  </si>
  <si>
    <t>%</t>
  </si>
  <si>
    <t>Time</t>
  </si>
  <si>
    <t>&gt;=Masters</t>
  </si>
  <si>
    <t>Ludvig Åberg</t>
  </si>
  <si>
    <t>Peter Kuest</t>
  </si>
  <si>
    <t>Nicolai Hojgaard</t>
  </si>
  <si>
    <t>Ryan Gerard</t>
  </si>
  <si>
    <t>Matt NeSmith</t>
  </si>
  <si>
    <t>Josh Teater</t>
  </si>
  <si>
    <t>Alejandro Tosti</t>
  </si>
  <si>
    <t>&lt;Masters</t>
  </si>
  <si>
    <t>Texas Open</t>
  </si>
  <si>
    <t>2023 Return</t>
  </si>
  <si>
    <t>2022 Return</t>
  </si>
  <si>
    <t>Average Profit</t>
  </si>
  <si>
    <t>Total P/L</t>
  </si>
  <si>
    <t>John Deere Classic</t>
  </si>
  <si>
    <t>Rocket Mortgage Classic</t>
  </si>
  <si>
    <t>Travelers Championship</t>
  </si>
  <si>
    <t>BMW Championship</t>
  </si>
  <si>
    <t>FedEx St. Jude Championship</t>
  </si>
  <si>
    <t>Wyndham Championship</t>
  </si>
  <si>
    <t>Genesis Scottish Open</t>
  </si>
  <si>
    <t>RBC Canadian Open</t>
  </si>
  <si>
    <t>AT&amp;T Bryson Nelson</t>
  </si>
  <si>
    <t>PGA</t>
  </si>
  <si>
    <t>Zurich Classic</t>
  </si>
  <si>
    <t>Current</t>
  </si>
  <si>
    <t>70/20/10 rule</t>
  </si>
  <si>
    <t>Invest</t>
  </si>
  <si>
    <t>Save</t>
  </si>
  <si>
    <t>Spend</t>
  </si>
  <si>
    <t>Cumulative Profit</t>
  </si>
  <si>
    <t>1-3 Profit (£)</t>
  </si>
  <si>
    <t xml:space="preserve">Event </t>
  </si>
  <si>
    <t>Per Month Spend</t>
  </si>
  <si>
    <t>Odds</t>
  </si>
  <si>
    <t>Odds % Chance</t>
  </si>
  <si>
    <t>ChatGPT Exp. Profit</t>
  </si>
  <si>
    <t>Tactic</t>
  </si>
  <si>
    <t>Step 1</t>
  </si>
  <si>
    <t>Step 2</t>
  </si>
  <si>
    <t>FB Winnings on Picks (Win Selection) to hedge</t>
  </si>
  <si>
    <t>NOTE: Count winnings of 1-3 only if 1-3 win for 1-3 strat</t>
  </si>
  <si>
    <t>Exp.Profit (Model)</t>
  </si>
  <si>
    <t>2024 Events</t>
  </si>
  <si>
    <t>2024 Return</t>
  </si>
  <si>
    <t>1-3 ROI p/w</t>
  </si>
  <si>
    <t>Actual ROI p/w</t>
  </si>
  <si>
    <t>Rico Hoey</t>
  </si>
  <si>
    <t>Adrien Dumont de Chassart</t>
  </si>
  <si>
    <t>Matthieu Pavon</t>
  </si>
  <si>
    <t>Sami Valimaki</t>
  </si>
  <si>
    <t>Chandler Phillips</t>
  </si>
  <si>
    <t>Pierceson Coody</t>
  </si>
  <si>
    <t>Alexander Björk</t>
  </si>
  <si>
    <t>Jake Knapp</t>
  </si>
  <si>
    <t>Max Greyserman</t>
  </si>
  <si>
    <t>Norman Xiong</t>
  </si>
  <si>
    <t>Jimmy Stanger</t>
  </si>
  <si>
    <t>Jacob Bridgeman</t>
  </si>
  <si>
    <t>Parker Coody</t>
  </si>
  <si>
    <t>=</t>
  </si>
  <si>
    <t>Negative Corr = Worser course ranked player wins Lesser fields</t>
  </si>
  <si>
    <t>Generally, worser course ranked players win from worse bunch</t>
  </si>
  <si>
    <t>But lower field strenghts with top pga rank produce better win rate</t>
  </si>
  <si>
    <t>r value of -0.08 suggests very weak -ve corr</t>
  </si>
  <si>
    <t>cole</t>
  </si>
  <si>
    <t>1&lt;=10</t>
  </si>
  <si>
    <t>&lt;=20</t>
  </si>
  <si>
    <t>&lt;=35</t>
  </si>
  <si>
    <t>35+</t>
  </si>
  <si>
    <t>1-3 win will have:</t>
  </si>
  <si>
    <t>40-41% t10 rate</t>
  </si>
  <si>
    <t>12-15% win rate</t>
  </si>
  <si>
    <t>r</t>
  </si>
  <si>
    <t>y</t>
  </si>
  <si>
    <t>Python model (x=1-3win)</t>
  </si>
  <si>
    <t>Python model (x=winner)</t>
  </si>
  <si>
    <t>1-3cr=46% avg</t>
  </si>
  <si>
    <t>Not 1-3cr=23% avg</t>
  </si>
  <si>
    <t>Griffin, Ben</t>
  </si>
  <si>
    <t>Kim, S.H.</t>
  </si>
  <si>
    <t>Cole</t>
  </si>
  <si>
    <t xml:space="preserve"> Chris</t>
  </si>
  <si>
    <t xml:space="preserve"> S.H.</t>
  </si>
  <si>
    <t>Joe Highsmith</t>
  </si>
  <si>
    <t>AVG</t>
  </si>
  <si>
    <t>CORR</t>
  </si>
  <si>
    <t>BACKTESTDG</t>
  </si>
  <si>
    <t>BACKTESTRADAR</t>
  </si>
  <si>
    <t>CORR 23</t>
  </si>
  <si>
    <t>BDG CR</t>
  </si>
  <si>
    <t>BRADAR CR</t>
  </si>
  <si>
    <t>BRDADAR PGA</t>
  </si>
  <si>
    <t>BDG PGA</t>
  </si>
  <si>
    <t>BDG</t>
  </si>
  <si>
    <t>BRADAR</t>
  </si>
  <si>
    <t>22-23 CORR</t>
  </si>
  <si>
    <t>SGT5</t>
  </si>
  <si>
    <t>T10</t>
  </si>
  <si>
    <t>WIN</t>
  </si>
  <si>
    <t>Win</t>
  </si>
  <si>
    <t>Nick Dunlap</t>
  </si>
  <si>
    <t>BDGRADAR</t>
  </si>
  <si>
    <t>2023 Averages</t>
  </si>
  <si>
    <t>Total Averages</t>
  </si>
  <si>
    <t>bdg start</t>
  </si>
  <si>
    <t>Min Woo Lee</t>
  </si>
  <si>
    <t>weight coefficent to 2023 and 2024 based on number of events played</t>
  </si>
  <si>
    <t>PLAYER</t>
  </si>
  <si>
    <t>MATCHBOOK</t>
  </si>
  <si>
    <t>Adrian Meronk</t>
  </si>
  <si>
    <t>Ryan Fox</t>
  </si>
  <si>
    <t>J.J Spaun</t>
  </si>
  <si>
    <t>Kyoung-Hoon Lee</t>
  </si>
  <si>
    <t>Vincent Whaley</t>
  </si>
  <si>
    <t>Seonghyeon Kim</t>
  </si>
  <si>
    <t>Alexander Bjork</t>
  </si>
  <si>
    <t>William Gordon</t>
  </si>
  <si>
    <t>Patrick Fishburn</t>
  </si>
  <si>
    <t>Hayden Springer</t>
  </si>
  <si>
    <t>Rafael Campos</t>
  </si>
  <si>
    <t>Trace Crowe</t>
  </si>
  <si>
    <t>Mac Meissner</t>
  </si>
  <si>
    <t>Ryan McCormick</t>
  </si>
  <si>
    <t>Kevin Dougherty</t>
  </si>
  <si>
    <t>Tom Whitney</t>
  </si>
  <si>
    <t>Raul Pereda</t>
  </si>
  <si>
    <t>VALUE</t>
  </si>
  <si>
    <t>VALUE RANK</t>
  </si>
  <si>
    <t>Events Left</t>
  </si>
  <si>
    <t>Excess loss over 25 funded by fb hedges</t>
  </si>
  <si>
    <t>Robert Macintyre</t>
  </si>
  <si>
    <t>Driving above Avg = Mean + DG2023 Coefficient * ((Max-Mean)/3))</t>
  </si>
  <si>
    <t>Max</t>
  </si>
  <si>
    <t>Min</t>
  </si>
  <si>
    <t>Mean</t>
  </si>
  <si>
    <t>DGCoeff(ABS)</t>
  </si>
  <si>
    <t>ACC above Avg = Mean + DG2023 Coefficient * ((Max-Mean)/2.2))</t>
  </si>
  <si>
    <t>ACC below Avg = Mean - DG2023 Coefficient * ((Mean-Min)/2.2))</t>
  </si>
  <si>
    <t>Driving below Avg = Mean - DG2023 Coefficient * ((Mean-Min)/2.2))</t>
  </si>
  <si>
    <t>Rank 20% Pick Spread</t>
  </si>
  <si>
    <t>Longshot T10 Value</t>
  </si>
  <si>
    <t>$T1=MIN($T$2:$T$8)</t>
  </si>
  <si>
    <t>$T1=MIN($T$9:$T$21)</t>
  </si>
  <si>
    <t>$T1=MIN($T$21:$T$35)</t>
  </si>
  <si>
    <t>$T1=MIN($T$36:$T$150)</t>
  </si>
  <si>
    <t>1-3 Strat</t>
  </si>
  <si>
    <t>Actual Strat</t>
  </si>
  <si>
    <t>Total Stake</t>
  </si>
  <si>
    <t>CUT</t>
  </si>
  <si>
    <t>Averages</t>
  </si>
  <si>
    <t>DG Winner Probabilities</t>
  </si>
  <si>
    <t>2024 DG Winner Probabilities</t>
  </si>
  <si>
    <t>BDG Winner Probabilities</t>
  </si>
  <si>
    <t>2024 BDG Winner Probabilities</t>
  </si>
  <si>
    <t xml:space="preserve"> Erik</t>
  </si>
  <si>
    <t>Blaine Hale, Jr.</t>
  </si>
  <si>
    <t>Nicolai Højgaard</t>
  </si>
  <si>
    <t>Chris Gotterup</t>
  </si>
  <si>
    <t>TOTAL EVENTS</t>
  </si>
  <si>
    <t>ADJ CORR</t>
  </si>
  <si>
    <t>2023 CORR</t>
  </si>
  <si>
    <t>2024 CORR</t>
  </si>
  <si>
    <t>PASTE A HERE</t>
  </si>
  <si>
    <t xml:space="preserve"> Hayden</t>
  </si>
  <si>
    <t>Byeong-Hun An</t>
  </si>
  <si>
    <t>J.T Poston</t>
  </si>
  <si>
    <t>Joohyung Kim</t>
  </si>
  <si>
    <t>Win Stake</t>
  </si>
  <si>
    <t>BFAIR</t>
  </si>
  <si>
    <t>B365</t>
  </si>
  <si>
    <t>SKY</t>
  </si>
  <si>
    <t>PP</t>
  </si>
  <si>
    <t>WHILL</t>
  </si>
  <si>
    <t>BV</t>
  </si>
  <si>
    <t>CORAL</t>
  </si>
  <si>
    <t>UNIBET</t>
  </si>
  <si>
    <t>BFRED</t>
  </si>
  <si>
    <t>BOYLE</t>
  </si>
  <si>
    <t>10BET</t>
  </si>
  <si>
    <t>BETUK</t>
  </si>
  <si>
    <t>S INDEX</t>
  </si>
  <si>
    <t>STAR S</t>
  </si>
  <si>
    <t>B MGM</t>
  </si>
  <si>
    <t>LS BET</t>
  </si>
  <si>
    <t>QUINN</t>
  </si>
  <si>
    <t>BWAY</t>
  </si>
  <si>
    <t>888</t>
  </si>
  <si>
    <t>BFAIREXC</t>
  </si>
  <si>
    <t>Cumulative Profit %</t>
  </si>
  <si>
    <t>1-3 ROI p/s</t>
  </si>
  <si>
    <t>Actual ROI p/s</t>
  </si>
  <si>
    <t>Cumulative Profit%</t>
  </si>
  <si>
    <t>Actual Strat Profit (£)</t>
  </si>
  <si>
    <t>Victor Perez</t>
  </si>
  <si>
    <t>Bud Cauley</t>
  </si>
  <si>
    <t>Baddeley, Aaron</t>
  </si>
  <si>
    <t>Berger, Daniel</t>
  </si>
  <si>
    <t>Brehm, Ryan</t>
  </si>
  <si>
    <t>Champ, Cameron</t>
  </si>
  <si>
    <t>Dahmen, Joel</t>
  </si>
  <si>
    <t>Dumont de Chassart, Adrien</t>
  </si>
  <si>
    <t>Duncan, Tyler</t>
  </si>
  <si>
    <t>Echavarria, Nico</t>
  </si>
  <si>
    <t>Gotterup, Chris</t>
  </si>
  <si>
    <t>Hall, Harry</t>
  </si>
  <si>
    <t>Higgo, Garrick</t>
  </si>
  <si>
    <t>Kim, Michael</t>
  </si>
  <si>
    <t>Kohles, Ben</t>
  </si>
  <si>
    <t>Martin, Ben</t>
  </si>
  <si>
    <t>Merritt, Troy</t>
  </si>
  <si>
    <t>Perez, Victor</t>
  </si>
  <si>
    <t>Rai, Aaron</t>
  </si>
  <si>
    <t>Schmid, Matti</t>
  </si>
  <si>
    <t>Snedeker, Brandt</t>
  </si>
  <si>
    <t>Stevens, Sam</t>
  </si>
  <si>
    <t>Streelman, Kevin</t>
  </si>
  <si>
    <t>Suh, Justin</t>
  </si>
  <si>
    <t>Villegas, Camilo</t>
  </si>
  <si>
    <t>Whaley, Vince</t>
  </si>
  <si>
    <t>MacIntyre, Robert</t>
  </si>
  <si>
    <t>Hisatsune, Ryo</t>
  </si>
  <si>
    <t>Kim, Chan</t>
  </si>
  <si>
    <t>Tosti, Alejandro</t>
  </si>
  <si>
    <t>Hoey, Rico</t>
  </si>
  <si>
    <t>Silverman, Ben</t>
  </si>
  <si>
    <t>Coody, Pierceson</t>
  </si>
  <si>
    <t>Barjon, Paul</t>
  </si>
  <si>
    <t>Greyserman, Max</t>
  </si>
  <si>
    <t>Phillips, Chandler</t>
  </si>
  <si>
    <t>BGOOD</t>
  </si>
  <si>
    <t>LADBR</t>
  </si>
  <si>
    <t>VBET</t>
  </si>
  <si>
    <t>£25 on 1-3</t>
  </si>
  <si>
    <t>SUCCESS?</t>
  </si>
  <si>
    <t>Cognizant</t>
  </si>
  <si>
    <t>Mexico</t>
  </si>
  <si>
    <t>Texas</t>
  </si>
  <si>
    <t>Corales</t>
  </si>
  <si>
    <t>Heritage</t>
  </si>
  <si>
    <t>CJ</t>
  </si>
  <si>
    <t xml:space="preserve">Myrtle </t>
  </si>
  <si>
    <t>Canadian</t>
  </si>
  <si>
    <t>Memorial</t>
  </si>
  <si>
    <t>Kentucky</t>
  </si>
  <si>
    <t>Scottish</t>
  </si>
  <si>
    <t>Barracuda</t>
  </si>
  <si>
    <t>3M</t>
  </si>
  <si>
    <t>Olympics</t>
  </si>
  <si>
    <t>Wyndham</t>
  </si>
  <si>
    <t>FEDEX</t>
  </si>
  <si>
    <t>BMW</t>
  </si>
  <si>
    <t>Fortinet</t>
  </si>
  <si>
    <t>Padraig Harrington</t>
  </si>
  <si>
    <t>Wilson Furr</t>
  </si>
  <si>
    <t>Jorge Campillo</t>
  </si>
  <si>
    <t>Thorbjorn Olesen</t>
  </si>
  <si>
    <t>Christopher Gotterup</t>
  </si>
  <si>
    <t>C T Pan</t>
  </si>
  <si>
    <t>J B Holmes</t>
  </si>
  <si>
    <t>1&lt;=8</t>
  </si>
  <si>
    <t>9&lt;=20</t>
  </si>
  <si>
    <t>$T1=MIN($T$2:$T$9)</t>
  </si>
  <si>
    <t>(dependent on 1 T10 win)</t>
  </si>
  <si>
    <t>Sony</t>
  </si>
  <si>
    <t>Baddeley</t>
  </si>
  <si>
    <t xml:space="preserve"> Aaron</t>
  </si>
  <si>
    <t>Barjon</t>
  </si>
  <si>
    <t xml:space="preserve"> Paul</t>
  </si>
  <si>
    <t>Berger</t>
  </si>
  <si>
    <t xml:space="preserve"> Daniel</t>
  </si>
  <si>
    <t>Biondi</t>
  </si>
  <si>
    <t xml:space="preserve"> Fred</t>
  </si>
  <si>
    <t>Brehm</t>
  </si>
  <si>
    <t xml:space="preserve"> Ryan</t>
  </si>
  <si>
    <t>Bridgeman</t>
  </si>
  <si>
    <t xml:space="preserve"> Jacob</t>
  </si>
  <si>
    <t>Campillo</t>
  </si>
  <si>
    <t xml:space="preserve"> Jorge</t>
  </si>
  <si>
    <t>Champ</t>
  </si>
  <si>
    <t xml:space="preserve"> Tyler</t>
  </si>
  <si>
    <t>Coody</t>
  </si>
  <si>
    <t xml:space="preserve"> Parker</t>
  </si>
  <si>
    <t xml:space="preserve"> Pierceson</t>
  </si>
  <si>
    <t>Dahmen</t>
  </si>
  <si>
    <t xml:space="preserve"> Joel</t>
  </si>
  <si>
    <t>Dumont de Chassart</t>
  </si>
  <si>
    <t xml:space="preserve"> Adrien</t>
  </si>
  <si>
    <t>Duncan</t>
  </si>
  <si>
    <t>Echavarria</t>
  </si>
  <si>
    <t xml:space="preserve"> Nico</t>
  </si>
  <si>
    <t xml:space="preserve"> Austin</t>
  </si>
  <si>
    <t>Fishburn</t>
  </si>
  <si>
    <t>Gotterup</t>
  </si>
  <si>
    <t>Greyserman</t>
  </si>
  <si>
    <t>Hall</t>
  </si>
  <si>
    <t xml:space="preserve"> Harry</t>
  </si>
  <si>
    <t>Higgo</t>
  </si>
  <si>
    <t xml:space="preserve"> Garrick</t>
  </si>
  <si>
    <t>Highsmith</t>
  </si>
  <si>
    <t xml:space="preserve"> Joe</t>
  </si>
  <si>
    <t>Hisatsune</t>
  </si>
  <si>
    <t xml:space="preserve"> Ryo</t>
  </si>
  <si>
    <t>Hoey</t>
  </si>
  <si>
    <t xml:space="preserve"> Rico</t>
  </si>
  <si>
    <t xml:space="preserve"> Chan</t>
  </si>
  <si>
    <t xml:space="preserve"> Michael</t>
  </si>
  <si>
    <t>Kisner</t>
  </si>
  <si>
    <t>Kohles</t>
  </si>
  <si>
    <t>Lindheim</t>
  </si>
  <si>
    <t xml:space="preserve"> Nicholas</t>
  </si>
  <si>
    <t xml:space="preserve"> David</t>
  </si>
  <si>
    <t>MacIntyre</t>
  </si>
  <si>
    <t xml:space="preserve"> Robert</t>
  </si>
  <si>
    <t>Martin</t>
  </si>
  <si>
    <t>Meissner</t>
  </si>
  <si>
    <t xml:space="preserve"> Mac</t>
  </si>
  <si>
    <t>Merritt</t>
  </si>
  <si>
    <t xml:space="preserve"> Troy</t>
  </si>
  <si>
    <t>Perez</t>
  </si>
  <si>
    <t xml:space="preserve"> Victor</t>
  </si>
  <si>
    <t>Phillips</t>
  </si>
  <si>
    <t xml:space="preserve"> Chandler</t>
  </si>
  <si>
    <t>Schmid</t>
  </si>
  <si>
    <t xml:space="preserve"> Matti</t>
  </si>
  <si>
    <t>Silverman</t>
  </si>
  <si>
    <t>Skinns</t>
  </si>
  <si>
    <t>Snedeker</t>
  </si>
  <si>
    <t xml:space="preserve"> Brandt</t>
  </si>
  <si>
    <t xml:space="preserve"> Scott</t>
  </si>
  <si>
    <t>Stanger</t>
  </si>
  <si>
    <t xml:space="preserve"> Jimmy</t>
  </si>
  <si>
    <t>Stevens</t>
  </si>
  <si>
    <t>Streelman</t>
  </si>
  <si>
    <t>Suh</t>
  </si>
  <si>
    <t>Tosti</t>
  </si>
  <si>
    <t xml:space="preserve"> Alejandro</t>
  </si>
  <si>
    <t>Villegas</t>
  </si>
  <si>
    <t xml:space="preserve"> Camilo</t>
  </si>
  <si>
    <t>Xiong</t>
  </si>
  <si>
    <t xml:space="preserve"> Norman</t>
  </si>
  <si>
    <t>Whitney</t>
  </si>
  <si>
    <t>Dougherty</t>
  </si>
  <si>
    <t>Furr</t>
  </si>
  <si>
    <t xml:space="preserve"> Wilson</t>
  </si>
  <si>
    <t>Teater</t>
  </si>
  <si>
    <t xml:space="preserve"> Josh</t>
  </si>
  <si>
    <t>McCormick</t>
  </si>
  <si>
    <t>Gutschewski</t>
  </si>
  <si>
    <t>Sloan</t>
  </si>
  <si>
    <t xml:space="preserve"> Roger</t>
  </si>
  <si>
    <t>Campos</t>
  </si>
  <si>
    <t xml:space="preserve"> Rafael</t>
  </si>
  <si>
    <t>Endycott</t>
  </si>
  <si>
    <t xml:space="preserve"> Harrison</t>
  </si>
  <si>
    <t>Crowe</t>
  </si>
  <si>
    <t xml:space="preserve"> Trace</t>
  </si>
  <si>
    <t>Thorbjørn Olesen</t>
  </si>
  <si>
    <t>Nicholas Lindheim</t>
  </si>
  <si>
    <t>Tyler Collet</t>
  </si>
  <si>
    <t>After full hedge rest of FB Winnings on hunch value pick</t>
  </si>
  <si>
    <t>Rasmus Højgaard</t>
  </si>
  <si>
    <t>Jeff Overton</t>
  </si>
  <si>
    <t>Matt Nesmith</t>
  </si>
  <si>
    <t>BDG Rank</t>
  </si>
  <si>
    <t>BDG T10 Probabilities</t>
  </si>
  <si>
    <t>CR</t>
  </si>
  <si>
    <t>DG T10 Probabilities</t>
  </si>
  <si>
    <t>DGRANK</t>
  </si>
  <si>
    <t>$M$2*B2+$N$2*C2+$O$2*D2+$P$2*E2+$Q$2*F2</t>
  </si>
  <si>
    <t>RADARRANK</t>
  </si>
  <si>
    <t xml:space="preserve"> Brian</t>
  </si>
  <si>
    <r>
      <t>THIS DOES NOT I</t>
    </r>
    <r>
      <rPr>
        <sz val="11"/>
        <color theme="1"/>
        <rFont val="PaQCT"/>
      </rPr>
      <t>MPACT</t>
    </r>
    <r>
      <rPr>
        <sz val="11"/>
        <color theme="1"/>
        <rFont val="Aptos Narrow"/>
        <family val="2"/>
        <scheme val="minor"/>
      </rPr>
      <t xml:space="preserve"> BACKTEST SCORES CELLS</t>
    </r>
  </si>
  <si>
    <t>70-man field</t>
  </si>
  <si>
    <t>T5 Stake</t>
  </si>
  <si>
    <t>Barnes, Erik</t>
  </si>
  <si>
    <t>Biondi, Fred</t>
  </si>
  <si>
    <t>Bridgeman, Jacob</t>
  </si>
  <si>
    <t>Campillo, Jorge</t>
  </si>
  <si>
    <t>Campos, Rafael</t>
  </si>
  <si>
    <t>Coody, Parker</t>
  </si>
  <si>
    <t>Cook, Austin</t>
  </si>
  <si>
    <t>Crowe, Trace</t>
  </si>
  <si>
    <t>Dougherty, Kevin</t>
  </si>
  <si>
    <t>Endycott, Harrison</t>
  </si>
  <si>
    <t>Fishburn, Patrick</t>
  </si>
  <si>
    <t>Furr, Wilson</t>
  </si>
  <si>
    <t>Garnett, Brice</t>
  </si>
  <si>
    <t>Gutschewski, Scott</t>
  </si>
  <si>
    <t>Hale, Jr., Blaine</t>
  </si>
  <si>
    <t>Harmeling, Evan</t>
  </si>
  <si>
    <t>Highsmith, Joe</t>
  </si>
  <si>
    <t>Kisner, Kevin</t>
  </si>
  <si>
    <t>Lindheim, Nicholas</t>
  </si>
  <si>
    <t>McCormick, Ryan</t>
  </si>
  <si>
    <t>Meissner, Mac</t>
  </si>
  <si>
    <t>Pereda, Raul</t>
  </si>
  <si>
    <t>Skinns, David</t>
  </si>
  <si>
    <t>Sloan, Roger</t>
  </si>
  <si>
    <t>Springer, Hayden</t>
  </si>
  <si>
    <t>Stanger, Jimmy</t>
  </si>
  <si>
    <t>Teater, Josh</t>
  </si>
  <si>
    <t>Whitney, Tom</t>
  </si>
  <si>
    <t>Wise, Aaron</t>
  </si>
  <si>
    <t>Xiong, Norman</t>
  </si>
  <si>
    <t>Barnes</t>
  </si>
  <si>
    <t xml:space="preserve"> Ricky</t>
  </si>
  <si>
    <t xml:space="preserve"> Greg</t>
  </si>
  <si>
    <t>Cook</t>
  </si>
  <si>
    <t>Garnett</t>
  </si>
  <si>
    <t xml:space="preserve"> Brice</t>
  </si>
  <si>
    <t>Harmeling</t>
  </si>
  <si>
    <t xml:space="preserve"> Evan</t>
  </si>
  <si>
    <t>Pereda</t>
  </si>
  <si>
    <t xml:space="preserve"> Raul</t>
  </si>
  <si>
    <t>Rai</t>
  </si>
  <si>
    <t>Springer</t>
  </si>
  <si>
    <t>Whaley</t>
  </si>
  <si>
    <t xml:space="preserve"> Vince</t>
  </si>
  <si>
    <t>Wise</t>
  </si>
  <si>
    <t>Yuxin Lin</t>
  </si>
  <si>
    <t>Jackson Van Paris</t>
  </si>
  <si>
    <t>Angel Ayora</t>
  </si>
  <si>
    <t>Tommy Gainey</t>
  </si>
  <si>
    <t>D J Trahan</t>
  </si>
  <si>
    <t>Chris Nido</t>
  </si>
  <si>
    <t>Evan Harmeling</t>
  </si>
  <si>
    <t>Geoff Ogilvy</t>
  </si>
  <si>
    <t>Justin Hastings</t>
  </si>
  <si>
    <t>Ricky Barnes</t>
  </si>
  <si>
    <t>Julian Perico</t>
  </si>
  <si>
    <t>Aram Yenidjeian</t>
  </si>
  <si>
    <t>Ryan Cole</t>
  </si>
  <si>
    <t>Ben Crane</t>
  </si>
  <si>
    <t>Ted Potter Jr</t>
  </si>
  <si>
    <t>D A Points</t>
  </si>
  <si>
    <t>Derek Ernst</t>
  </si>
  <si>
    <t>Kelvin Hernandez</t>
  </si>
  <si>
    <t>Gareth Steyn</t>
  </si>
  <si>
    <t>Evan Pena</t>
  </si>
  <si>
    <t>Domenico Geminiani</t>
  </si>
  <si>
    <t>George McNeill</t>
  </si>
  <si>
    <t>Sangmoon Bae</t>
  </si>
  <si>
    <t>BDG Radar Winner Probabilities</t>
  </si>
  <si>
    <t>Radar Winner Probabilities</t>
  </si>
  <si>
    <t>Alexander, Tyson</t>
  </si>
  <si>
    <t>Bezuidenhout, Christiaan</t>
  </si>
  <si>
    <t>Bhatia, Akshay</t>
  </si>
  <si>
    <t>Björk, Alexander</t>
  </si>
  <si>
    <t>Blair, Zac</t>
  </si>
  <si>
    <t>Bradley, Keegan</t>
  </si>
  <si>
    <t>Bramlett, Joseph</t>
  </si>
  <si>
    <t>Buckley, Hayden</t>
  </si>
  <si>
    <t>Burgoon, Bronson</t>
  </si>
  <si>
    <t>Burns, Sam</t>
  </si>
  <si>
    <t>Castillo, Ricky</t>
  </si>
  <si>
    <t>Cauley, Bud</t>
  </si>
  <si>
    <t>Cink, Stewart</t>
  </si>
  <si>
    <t>Cole, Eric</t>
  </si>
  <si>
    <t>Detry, Thomas</t>
  </si>
  <si>
    <t>Donald, Luke</t>
  </si>
  <si>
    <t>Finau, Tony</t>
  </si>
  <si>
    <t>Fox, Ryan</t>
  </si>
  <si>
    <t>Gabrelcik, Nick</t>
  </si>
  <si>
    <t>Ghim, Doug</t>
  </si>
  <si>
    <t>Glover, Lucas</t>
  </si>
  <si>
    <t>Hadley, Chesson</t>
  </si>
  <si>
    <t>Hadwin, Adam</t>
  </si>
  <si>
    <t>Hardy, Nick</t>
  </si>
  <si>
    <t>Harman, Brian</t>
  </si>
  <si>
    <t>Hodges, Lee</t>
  </si>
  <si>
    <t>Hoffman, Charley</t>
  </si>
  <si>
    <t>Holmes, J.B.</t>
  </si>
  <si>
    <t>Horschel, Billy</t>
  </si>
  <si>
    <t>Hossler, Beau</t>
  </si>
  <si>
    <t>Hughes, Mackenzie</t>
  </si>
  <si>
    <t>Im, Sungjae</t>
  </si>
  <si>
    <t>Johnson, Zach</t>
  </si>
  <si>
    <t>Koch, Greg</t>
  </si>
  <si>
    <t>Kuchar, Matt</t>
  </si>
  <si>
    <t>Lee, K.H.</t>
  </si>
  <si>
    <t>Lee, Min Woo</t>
  </si>
  <si>
    <t>Lipsky, David</t>
  </si>
  <si>
    <t>Lower, Justin</t>
  </si>
  <si>
    <t>Malnati, Peter</t>
  </si>
  <si>
    <t>McNealy, Maverick</t>
  </si>
  <si>
    <t>Mitchell, Keith</t>
  </si>
  <si>
    <t>Molinari, Francesco</t>
  </si>
  <si>
    <t>Montgomery, Taylor</t>
  </si>
  <si>
    <t>Moore, Ryan</t>
  </si>
  <si>
    <t>Moore, Taylor</t>
  </si>
  <si>
    <t>NeSmith, Matt</t>
  </si>
  <si>
    <t>Novak, Andrew</t>
  </si>
  <si>
    <t>Olesen, Thorbjørn</t>
  </si>
  <si>
    <t>Palmer, Ryan</t>
  </si>
  <si>
    <t>Pendrith, Taylor</t>
  </si>
  <si>
    <t>Power, Seamus</t>
  </si>
  <si>
    <t>Putnam, Andrew</t>
  </si>
  <si>
    <t>Ramey, Chad</t>
  </si>
  <si>
    <t>Reavie, Chez</t>
  </si>
  <si>
    <t>Riley, Davis</t>
  </si>
  <si>
    <t>Rodgers, Patrick</t>
  </si>
  <si>
    <t>Roy, Kevin</t>
  </si>
  <si>
    <t>Ryder, Sam</t>
  </si>
  <si>
    <t>Schauffele, Xander</t>
  </si>
  <si>
    <t>Schenk, Adam</t>
  </si>
  <si>
    <t>Shelton, Robby</t>
  </si>
  <si>
    <t>Sigg, Greyson</t>
  </si>
  <si>
    <t>Simpson, Webb</t>
  </si>
  <si>
    <t>Smalley, Alex</t>
  </si>
  <si>
    <t>Spaun, J.J.</t>
  </si>
  <si>
    <t>Spieth, Jordan</t>
  </si>
  <si>
    <t>Stallings, Scott</t>
  </si>
  <si>
    <t>Straka, Sepp</t>
  </si>
  <si>
    <t>Svensson, Adam</t>
  </si>
  <si>
    <t>Tarren, Callum</t>
  </si>
  <si>
    <t>Taylor, Ben</t>
  </si>
  <si>
    <t>Taylor, Nick</t>
  </si>
  <si>
    <t>Thomas, Justin</t>
  </si>
  <si>
    <t>Thompson, Davis</t>
  </si>
  <si>
    <t>Todd, Brendon</t>
  </si>
  <si>
    <t>Valimaki, Sami</t>
  </si>
  <si>
    <t>Vegas, Jhonattan</t>
  </si>
  <si>
    <t>Wallace, Matt</t>
  </si>
  <si>
    <t>Woodland, Gary</t>
  </si>
  <si>
    <t>Wu, Dylan</t>
  </si>
  <si>
    <t>Young, Cameron</t>
  </si>
  <si>
    <t>Young, Carson</t>
  </si>
  <si>
    <t>Yu, Kevin</t>
  </si>
  <si>
    <t>Yuan, Carl</t>
  </si>
  <si>
    <t>Alexander</t>
  </si>
  <si>
    <t xml:space="preserve"> Tyson</t>
  </si>
  <si>
    <t>Bezuidenhout</t>
  </si>
  <si>
    <t xml:space="preserve"> Christiaan</t>
  </si>
  <si>
    <t>Bhatia</t>
  </si>
  <si>
    <t xml:space="preserve"> Akshay</t>
  </si>
  <si>
    <t>Björk</t>
  </si>
  <si>
    <t xml:space="preserve"> Alexander</t>
  </si>
  <si>
    <t>Blair</t>
  </si>
  <si>
    <t xml:space="preserve"> Zac</t>
  </si>
  <si>
    <t>Bradley</t>
  </si>
  <si>
    <t xml:space="preserve"> Keegan</t>
  </si>
  <si>
    <t>Bramlett</t>
  </si>
  <si>
    <t xml:space="preserve"> Joseph</t>
  </si>
  <si>
    <t>Buckley</t>
  </si>
  <si>
    <t>Burgoon</t>
  </si>
  <si>
    <t xml:space="preserve"> Bronson</t>
  </si>
  <si>
    <t>Burns</t>
  </si>
  <si>
    <t>Castillo</t>
  </si>
  <si>
    <t>Cauley</t>
  </si>
  <si>
    <t xml:space="preserve"> Bud</t>
  </si>
  <si>
    <t>Cink</t>
  </si>
  <si>
    <t xml:space="preserve"> Stewart</t>
  </si>
  <si>
    <t xml:space="preserve"> Eric</t>
  </si>
  <si>
    <t>Detry</t>
  </si>
  <si>
    <t xml:space="preserve"> Thomas</t>
  </si>
  <si>
    <t>Donald</t>
  </si>
  <si>
    <t xml:space="preserve"> Luke</t>
  </si>
  <si>
    <t>Finau</t>
  </si>
  <si>
    <t xml:space="preserve"> Tony</t>
  </si>
  <si>
    <t>Fox</t>
  </si>
  <si>
    <t>Gabrelcik</t>
  </si>
  <si>
    <t>Ghim</t>
  </si>
  <si>
    <t xml:space="preserve"> Doug</t>
  </si>
  <si>
    <t>Glover</t>
  </si>
  <si>
    <t xml:space="preserve"> Lucas</t>
  </si>
  <si>
    <t>Hadley</t>
  </si>
  <si>
    <t xml:space="preserve"> Chesson</t>
  </si>
  <si>
    <t>Hadwin</t>
  </si>
  <si>
    <t xml:space="preserve"> Blaine</t>
  </si>
  <si>
    <t>Hardy</t>
  </si>
  <si>
    <t>Harman</t>
  </si>
  <si>
    <t>Hodges</t>
  </si>
  <si>
    <t xml:space="preserve"> Lee</t>
  </si>
  <si>
    <t>Hoffman</t>
  </si>
  <si>
    <t xml:space="preserve"> Charley</t>
  </si>
  <si>
    <t>Holmes</t>
  </si>
  <si>
    <t xml:space="preserve"> J.B.</t>
  </si>
  <si>
    <t>Horschel</t>
  </si>
  <si>
    <t xml:space="preserve"> Billy</t>
  </si>
  <si>
    <t>Hossler</t>
  </si>
  <si>
    <t xml:space="preserve"> Beau</t>
  </si>
  <si>
    <t>Hughes</t>
  </si>
  <si>
    <t xml:space="preserve"> Mackenzie</t>
  </si>
  <si>
    <t>Im</t>
  </si>
  <si>
    <t xml:space="preserve"> Sungjae</t>
  </si>
  <si>
    <t>Johnson</t>
  </si>
  <si>
    <t xml:space="preserve"> Zach</t>
  </si>
  <si>
    <t>Koch</t>
  </si>
  <si>
    <t>Kuchar</t>
  </si>
  <si>
    <t xml:space="preserve"> Matt</t>
  </si>
  <si>
    <t>Lee</t>
  </si>
  <si>
    <t xml:space="preserve"> K.H.</t>
  </si>
  <si>
    <t xml:space="preserve"> Min Woo</t>
  </si>
  <si>
    <t>Lipsky</t>
  </si>
  <si>
    <t>Lower</t>
  </si>
  <si>
    <t>Malnati</t>
  </si>
  <si>
    <t xml:space="preserve"> Peter</t>
  </si>
  <si>
    <t>McNealy</t>
  </si>
  <si>
    <t xml:space="preserve"> Maverick</t>
  </si>
  <si>
    <t>Mitchell</t>
  </si>
  <si>
    <t xml:space="preserve"> Keith</t>
  </si>
  <si>
    <t>Molinari</t>
  </si>
  <si>
    <t xml:space="preserve"> Francesco</t>
  </si>
  <si>
    <t>Montgomery</t>
  </si>
  <si>
    <t xml:space="preserve"> Taylor</t>
  </si>
  <si>
    <t>Moore</t>
  </si>
  <si>
    <t>NeSmith</t>
  </si>
  <si>
    <t>Novak</t>
  </si>
  <si>
    <t>Olesen</t>
  </si>
  <si>
    <t xml:space="preserve"> Thorbjørn</t>
  </si>
  <si>
    <t>Palmer</t>
  </si>
  <si>
    <t>Pendrith</t>
  </si>
  <si>
    <t>Power</t>
  </si>
  <si>
    <t xml:space="preserve"> Seamus</t>
  </si>
  <si>
    <t>Putnam</t>
  </si>
  <si>
    <t>Ramey</t>
  </si>
  <si>
    <t xml:space="preserve"> Chad</t>
  </si>
  <si>
    <t>Reavie</t>
  </si>
  <si>
    <t xml:space="preserve"> Chez</t>
  </si>
  <si>
    <t>Riley</t>
  </si>
  <si>
    <t xml:space="preserve"> Davis</t>
  </si>
  <si>
    <t>Rodgers</t>
  </si>
  <si>
    <t>Roy</t>
  </si>
  <si>
    <t>Ryder</t>
  </si>
  <si>
    <t>Schauffele</t>
  </si>
  <si>
    <t xml:space="preserve"> Xander</t>
  </si>
  <si>
    <t>Schenk</t>
  </si>
  <si>
    <t>Shelton</t>
  </si>
  <si>
    <t xml:space="preserve"> Robby</t>
  </si>
  <si>
    <t>Sigg</t>
  </si>
  <si>
    <t xml:space="preserve"> Greyson</t>
  </si>
  <si>
    <t>Simpson</t>
  </si>
  <si>
    <t xml:space="preserve"> Webb</t>
  </si>
  <si>
    <t>Smalley</t>
  </si>
  <si>
    <t xml:space="preserve"> Alex</t>
  </si>
  <si>
    <t>Spaun</t>
  </si>
  <si>
    <t xml:space="preserve"> J.J.</t>
  </si>
  <si>
    <t>Spieth</t>
  </si>
  <si>
    <t xml:space="preserve"> Jordan</t>
  </si>
  <si>
    <t>Stallings</t>
  </si>
  <si>
    <t>Straka</t>
  </si>
  <si>
    <t xml:space="preserve"> Sepp</t>
  </si>
  <si>
    <t>Svensson</t>
  </si>
  <si>
    <t>Tarren</t>
  </si>
  <si>
    <t xml:space="preserve"> Callum</t>
  </si>
  <si>
    <t>Taylor</t>
  </si>
  <si>
    <t>Thomas</t>
  </si>
  <si>
    <t>Thompson</t>
  </si>
  <si>
    <t>Todd</t>
  </si>
  <si>
    <t xml:space="preserve"> Brendon</t>
  </si>
  <si>
    <t>Valimaki</t>
  </si>
  <si>
    <t xml:space="preserve"> Sami</t>
  </si>
  <si>
    <t>Vegas</t>
  </si>
  <si>
    <t xml:space="preserve"> Jhonattan</t>
  </si>
  <si>
    <t>Wallace</t>
  </si>
  <si>
    <t>Woodland</t>
  </si>
  <si>
    <t xml:space="preserve"> Gary</t>
  </si>
  <si>
    <t xml:space="preserve"> Dylan</t>
  </si>
  <si>
    <t>Young</t>
  </si>
  <si>
    <t xml:space="preserve"> Carson</t>
  </si>
  <si>
    <t>Yu</t>
  </si>
  <si>
    <t>Yuan</t>
  </si>
  <si>
    <t xml:space="preserve"> Carl</t>
  </si>
  <si>
    <t>Hale Jr.</t>
  </si>
  <si>
    <t>LEADERBOARD</t>
  </si>
  <si>
    <t>FINAL</t>
  </si>
  <si>
    <t>Ricky Castillo</t>
  </si>
  <si>
    <t>Fred Biondi</t>
  </si>
  <si>
    <t>Kevin Aylwin</t>
  </si>
  <si>
    <t>Greg Koch</t>
  </si>
  <si>
    <t>Nick Gabrelcik(a)</t>
  </si>
  <si>
    <t>SPREX</t>
  </si>
  <si>
    <t>41&lt;=50</t>
  </si>
  <si>
    <t>51&lt;=60</t>
  </si>
  <si>
    <t>61&lt;=70</t>
  </si>
  <si>
    <t>71&lt;=80</t>
  </si>
  <si>
    <t xml:space="preserve">Position </t>
  </si>
  <si>
    <t>Column1</t>
  </si>
  <si>
    <t>21&lt;=34</t>
  </si>
  <si>
    <t>Difference</t>
  </si>
  <si>
    <t>Over-Performers</t>
  </si>
  <si>
    <t>Round 1</t>
  </si>
  <si>
    <t>Score</t>
  </si>
  <si>
    <t>Houston</t>
  </si>
  <si>
    <t xml:space="preserve"> </t>
  </si>
  <si>
    <t>José María Olazábal</t>
  </si>
  <si>
    <t>Vijay Singh</t>
  </si>
  <si>
    <t>Tiger Woods</t>
  </si>
  <si>
    <t>PASE HERE</t>
  </si>
  <si>
    <t>$T1=MIN($T$2:$T$5)</t>
  </si>
  <si>
    <t>$T1=MIN($T$6:$T$11)</t>
  </si>
  <si>
    <t>$T1=MIN($T$12:$T$18)</t>
  </si>
  <si>
    <t>Thriston Lawrence</t>
  </si>
  <si>
    <t>Erik Compton</t>
  </si>
  <si>
    <t>Alex Fitzpatrick</t>
  </si>
  <si>
    <t>Ryan Celano</t>
  </si>
  <si>
    <t>Joe Deraney</t>
  </si>
  <si>
    <t>Justin Hicks</t>
  </si>
  <si>
    <t>Thomas Longbella</t>
  </si>
  <si>
    <t>D.A. Points</t>
  </si>
  <si>
    <t>Julio Santos</t>
  </si>
  <si>
    <t>Chase Johnson</t>
  </si>
  <si>
    <t>Herman Wibe Sekne(a)</t>
  </si>
  <si>
    <t>Braden Shattuck</t>
  </si>
  <si>
    <t>Juan Jose Guerra</t>
  </si>
  <si>
    <t>Hiram Silfa</t>
  </si>
  <si>
    <t>Brandon Berry</t>
  </si>
  <si>
    <t>Willy Pumarol</t>
  </si>
  <si>
    <t>Matthew Nesmith</t>
  </si>
  <si>
    <t>Adrien Dumont De Chassart</t>
  </si>
  <si>
    <t>Herman Wibe Sekne</t>
  </si>
  <si>
    <t>Sean OHair</t>
  </si>
  <si>
    <t>Sang-Moon Bae</t>
  </si>
  <si>
    <t>Paul Haley</t>
  </si>
  <si>
    <t>Joseph Deraney</t>
  </si>
  <si>
    <t>Blaine Hale Jr</t>
  </si>
  <si>
    <t xml:space="preserve">BDG </t>
  </si>
  <si>
    <t>SCORE</t>
  </si>
  <si>
    <t>RANK</t>
  </si>
  <si>
    <t>Fabian Gomez</t>
  </si>
  <si>
    <t>T5/T10 Success</t>
  </si>
  <si>
    <t>$T1=MIN($T$10:$T$22)</t>
  </si>
  <si>
    <t>$T1=MIN($T$19:$T$36)</t>
  </si>
  <si>
    <t>$T1=MIN($T$37:$T$72)</t>
  </si>
  <si>
    <t>$T1=MIN($T$23:$T$36)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</si>
</sst>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Red]\-&quot;£&quot;#,##0"/>
    <numFmt numFmtId="164" formatCode="0.0"/>
    <numFmt numFmtId="165" formatCode="0.0%"/>
    <numFmt numFmtId="166" formatCode="&quot;£&quot;#,##0.00"/>
    <numFmt numFmtId="167" formatCode="&quot;£&quot;#,##0"/>
  </numFmts>
  <fonts count="26">
    <font>
      <sz val="11"/>
      <color theme="1"/>
      <name val="Aptos Narrow"/>
      <family val="2"/>
      <scheme val="minor"/>
    </font>
    <font>
      <sz val="11"/>
      <color theme="1"/>
      <name val="Aptos Narrow"/>
      <family val="2"/>
      <scheme val="minor"/>
    </font>
    <font>
      <b/>
      <sz val="11"/>
      <color theme="0"/>
      <name val="Aptos Narrow"/>
      <family val="2"/>
      <scheme val="minor"/>
    </font>
    <font>
      <sz val="11"/>
      <color rgb="FFFF0000"/>
      <name val="Aptos Narrow"/>
      <family val="2"/>
      <scheme val="minor"/>
    </font>
    <font>
      <b/>
      <sz val="11"/>
      <color theme="1"/>
      <name val="Aptos Narrow"/>
      <family val="2"/>
      <scheme val="minor"/>
    </font>
    <font>
      <sz val="11"/>
      <color theme="0"/>
      <name val="Aptos Narrow"/>
      <family val="2"/>
      <scheme val="minor"/>
    </font>
    <font>
      <sz val="10"/>
      <color theme="1"/>
      <name val="Aptos Narrow"/>
      <family val="2"/>
      <scheme val="minor"/>
    </font>
    <font>
      <b/>
      <sz val="11"/>
      <name val="Aptos Narrow"/>
      <family val="2"/>
      <scheme val="minor"/>
    </font>
    <font>
      <b/>
      <sz val="11"/>
      <color rgb="FF92D050"/>
      <name val="Aptos Narrow"/>
      <family val="2"/>
      <scheme val="minor"/>
    </font>
    <font>
      <sz val="11"/>
      <name val="Aptos Narrow"/>
      <family val="2"/>
      <scheme val="minor"/>
    </font>
    <font>
      <sz val="11"/>
      <color theme="1"/>
      <name val="Suisse Intl"/>
    </font>
    <font>
      <b/>
      <sz val="10"/>
      <color theme="1"/>
      <name val="Verdana"/>
      <family val="2"/>
    </font>
    <font>
      <b/>
      <sz val="11"/>
      <color rgb="FFFF0000"/>
      <name val="Aptos Narrow"/>
      <family val="2"/>
      <scheme val="minor"/>
    </font>
    <font>
      <sz val="11"/>
      <color theme="9"/>
      <name val="Aptos Narrow"/>
      <family val="2"/>
      <scheme val="minor"/>
    </font>
    <font>
      <sz val="11"/>
      <color theme="9" tint="0.59999389629810485"/>
      <name val="Aptos Narrow"/>
      <family val="2"/>
      <scheme val="minor"/>
    </font>
    <font>
      <sz val="11"/>
      <color rgb="FF00B050"/>
      <name val="Aptos Narrow"/>
      <family val="2"/>
      <scheme val="minor"/>
    </font>
    <font>
      <b/>
      <sz val="11"/>
      <color rgb="FFFFFF00"/>
      <name val="Aptos Narrow"/>
      <family val="2"/>
      <scheme val="minor"/>
    </font>
    <font>
      <b/>
      <sz val="11"/>
      <color theme="9" tint="0.59999389629810485"/>
      <name val="Aptos Narrow"/>
      <family val="2"/>
      <scheme val="minor"/>
    </font>
    <font>
      <sz val="11"/>
      <color rgb="FFFFFF00"/>
      <name val="Aptos Narrow"/>
      <family val="2"/>
      <scheme val="minor"/>
    </font>
    <font>
      <sz val="8"/>
      <name val="Aptos Narrow"/>
      <family val="2"/>
      <scheme val="minor"/>
    </font>
    <font>
      <sz val="8"/>
      <color rgb="FF222222"/>
      <name val="Trebuchet MS"/>
      <family val="2"/>
    </font>
    <font>
      <u/>
      <sz val="11"/>
      <color theme="10"/>
      <name val="Aptos Narrow"/>
      <family val="2"/>
      <scheme val="minor"/>
    </font>
    <font>
      <sz val="11"/>
      <color theme="1"/>
      <name val="PaQCT"/>
    </font>
    <font>
      <sz val="9"/>
      <color indexed="81"/>
      <name val="Tahoma"/>
      <family val="2"/>
    </font>
    <font>
      <sz val="8"/>
      <color rgb="FF222222"/>
      <name val="Var(--oc-font-family)"/>
    </font>
    <font>
      <b/>
      <sz val="8"/>
      <color rgb="FF222222"/>
      <name val="Var(--oc-font-family)"/>
    </font>
  </fonts>
  <fills count="16">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rgb="FF00B0F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rgb="FFFFFFFF"/>
        <bgColor indexed="64"/>
      </patternFill>
    </fill>
    <fill>
      <patternFill patternType="solid">
        <fgColor rgb="FF99FF99"/>
        <bgColor indexed="64"/>
      </patternFill>
    </fill>
    <fill>
      <patternFill patternType="solid">
        <fgColor rgb="FFF4F4F4"/>
        <bgColor indexed="64"/>
      </patternFill>
    </fill>
    <fill>
      <patternFill patternType="solid">
        <fgColor theme="9" tint="0.79998168889431442"/>
        <bgColor indexed="64"/>
      </patternFill>
    </fill>
  </fills>
  <borders count="2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diagonal/>
    </border>
    <border>
      <left/>
      <right style="medium">
        <color indexed="64"/>
      </right>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medium">
        <color rgb="FF000000"/>
      </bottom>
      <diagonal/>
    </border>
    <border>
      <left/>
      <right style="medium">
        <color rgb="FFFFFFFF"/>
      </right>
      <top/>
      <bottom style="medium">
        <color rgb="FFEAEAE9"/>
      </bottom>
      <diagonal/>
    </border>
    <border>
      <left style="medium">
        <color rgb="FF033954"/>
      </left>
      <right style="medium">
        <color rgb="FF033954"/>
      </right>
      <top style="medium">
        <color rgb="FF033954"/>
      </top>
      <bottom style="medium">
        <color rgb="FF033954"/>
      </bottom>
      <diagonal/>
    </border>
    <border>
      <left style="medium">
        <color rgb="FFDADADA"/>
      </left>
      <right style="medium">
        <color rgb="FFDADADA"/>
      </right>
      <top style="medium">
        <color rgb="FFDADADA"/>
      </top>
      <bottom style="medium">
        <color rgb="FFDADADA"/>
      </bottom>
      <diagonal/>
    </border>
    <border>
      <left/>
      <right style="medium">
        <color rgb="FFFFFFFF"/>
      </right>
      <top/>
      <bottom style="medium">
        <color rgb="FFFFFFFF"/>
      </bottom>
      <diagonal/>
    </border>
    <border>
      <left style="thin">
        <color theme="9" tint="0.39997558519241921"/>
      </left>
      <right/>
      <top style="thin">
        <color theme="9" tint="0.39997558519241921"/>
      </top>
      <bottom style="thin">
        <color theme="9" tint="0.39997558519241921"/>
      </bottom>
      <diagonal/>
    </border>
    <border>
      <left/>
      <right style="medium">
        <color rgb="FFFFFFFF"/>
      </right>
      <top/>
      <bottom/>
      <diagonal/>
    </border>
  </borders>
  <cellStyleXfs count="4">
    <xf numFmtId="0" fontId="0" fillId="0" borderId="0"/>
    <xf numFmtId="9" fontId="1" fillId="0" borderId="0" applyFont="0" applyFill="0" applyBorder="0" applyAlignment="0" applyProtection="0"/>
    <xf numFmtId="9" fontId="1" fillId="0" borderId="0" applyFont="0" applyFill="0" applyBorder="0" applyAlignment="0" applyProtection="0"/>
    <xf numFmtId="0" fontId="21" fillId="0" borderId="0" applyNumberFormat="0" applyFill="0" applyBorder="0" applyAlignment="0" applyProtection="0"/>
  </cellStyleXfs>
  <cellXfs count="488">
    <xf numFmtId="0" fontId="0" fillId="0" borderId="0" xfId="0"/>
    <xf numFmtId="0" fontId="4" fillId="0" borderId="0" xfId="0" applyFont="1"/>
    <xf numFmtId="3" fontId="4" fillId="0" borderId="0" xfId="0" applyNumberFormat="1" applyFont="1"/>
    <xf numFmtId="3" fontId="0" fillId="0" borderId="0" xfId="0" applyNumberFormat="1"/>
    <xf numFmtId="0" fontId="6" fillId="0" borderId="0" xfId="0" applyFont="1" applyAlignment="1">
      <alignment vertical="center" wrapText="1"/>
    </xf>
    <xf numFmtId="0" fontId="0" fillId="0" borderId="0" xfId="0" applyAlignment="1">
      <alignment vertical="center" wrapText="1"/>
    </xf>
    <xf numFmtId="0" fontId="2" fillId="2" borderId="1" xfId="0" applyFont="1" applyFill="1" applyBorder="1"/>
    <xf numFmtId="0" fontId="2" fillId="2" borderId="2" xfId="0" applyFont="1" applyFill="1" applyBorder="1"/>
    <xf numFmtId="2" fontId="2" fillId="2" borderId="2" xfId="0" applyNumberFormat="1" applyFont="1" applyFill="1" applyBorder="1"/>
    <xf numFmtId="0" fontId="7" fillId="0" borderId="2" xfId="0" applyFont="1" applyBorder="1"/>
    <xf numFmtId="0" fontId="8" fillId="0" borderId="2" xfId="0" applyFont="1" applyBorder="1"/>
    <xf numFmtId="10" fontId="7" fillId="3" borderId="2" xfId="0" applyNumberFormat="1" applyFont="1" applyFill="1" applyBorder="1" applyAlignment="1">
      <alignment horizontal="left"/>
    </xf>
    <xf numFmtId="0" fontId="4" fillId="3" borderId="2" xfId="0" applyFont="1" applyFill="1" applyBorder="1"/>
    <xf numFmtId="9" fontId="0" fillId="0" borderId="0" xfId="2" applyFont="1"/>
    <xf numFmtId="164" fontId="0" fillId="0" borderId="0" xfId="0" applyNumberFormat="1"/>
    <xf numFmtId="9" fontId="0" fillId="0" borderId="0" xfId="0" applyNumberFormat="1"/>
    <xf numFmtId="1" fontId="0" fillId="0" borderId="0" xfId="0" applyNumberFormat="1"/>
    <xf numFmtId="0" fontId="0" fillId="4" borderId="0" xfId="0" applyFill="1"/>
    <xf numFmtId="0" fontId="0" fillId="5" borderId="0" xfId="0" applyFill="1"/>
    <xf numFmtId="0" fontId="0" fillId="6" borderId="0" xfId="0" applyFill="1"/>
    <xf numFmtId="0" fontId="0" fillId="7" borderId="0" xfId="0" applyFill="1"/>
    <xf numFmtId="0" fontId="2" fillId="7" borderId="3" xfId="0" applyFont="1" applyFill="1" applyBorder="1" applyAlignment="1">
      <alignment horizontal="center"/>
    </xf>
    <xf numFmtId="0" fontId="0" fillId="0" borderId="4" xfId="0" applyBorder="1"/>
    <xf numFmtId="165" fontId="0" fillId="0" borderId="0" xfId="0" applyNumberFormat="1" applyAlignment="1">
      <alignment horizontal="right"/>
    </xf>
    <xf numFmtId="0" fontId="7" fillId="3" borderId="5" xfId="0" applyFont="1" applyFill="1" applyBorder="1"/>
    <xf numFmtId="0" fontId="2" fillId="2" borderId="6" xfId="0" applyFont="1" applyFill="1" applyBorder="1"/>
    <xf numFmtId="0" fontId="2" fillId="2" borderId="5" xfId="0" applyFont="1" applyFill="1" applyBorder="1"/>
    <xf numFmtId="0" fontId="0" fillId="0" borderId="1" xfId="0" applyBorder="1"/>
    <xf numFmtId="0" fontId="9" fillId="0" borderId="7" xfId="0" applyFont="1" applyBorder="1"/>
    <xf numFmtId="0" fontId="0" fillId="0" borderId="8" xfId="0" applyBorder="1"/>
    <xf numFmtId="0" fontId="0" fillId="0" borderId="9" xfId="0" applyBorder="1"/>
    <xf numFmtId="0" fontId="0" fillId="0" borderId="11" xfId="0" applyBorder="1"/>
    <xf numFmtId="0" fontId="9" fillId="0" borderId="10" xfId="0" applyFont="1" applyBorder="1"/>
    <xf numFmtId="0" fontId="0" fillId="0" borderId="12" xfId="0" applyBorder="1"/>
    <xf numFmtId="0" fontId="0" fillId="0" borderId="10" xfId="0" applyBorder="1"/>
    <xf numFmtId="0" fontId="10" fillId="0" borderId="0" xfId="0" applyFont="1" applyAlignment="1">
      <alignment horizontal="center" vertical="center" wrapText="1"/>
    </xf>
    <xf numFmtId="0" fontId="11" fillId="6" borderId="0" xfId="0" applyFont="1" applyFill="1"/>
    <xf numFmtId="0" fontId="4" fillId="6" borderId="0" xfId="0" applyFont="1" applyFill="1"/>
    <xf numFmtId="2" fontId="0" fillId="0" borderId="0" xfId="0" applyNumberFormat="1"/>
    <xf numFmtId="0" fontId="11" fillId="0" borderId="0" xfId="0" applyFont="1"/>
    <xf numFmtId="0" fontId="4" fillId="0" borderId="6" xfId="0" applyFont="1" applyBorder="1" applyAlignment="1">
      <alignment horizontal="center"/>
    </xf>
    <xf numFmtId="0" fontId="4" fillId="0" borderId="13" xfId="0" applyFont="1" applyBorder="1"/>
    <xf numFmtId="0" fontId="2" fillId="2" borderId="4" xfId="0" applyFont="1" applyFill="1" applyBorder="1"/>
    <xf numFmtId="0" fontId="4" fillId="7" borderId="4" xfId="0" applyFont="1" applyFill="1" applyBorder="1"/>
    <xf numFmtId="0" fontId="4" fillId="4" borderId="0" xfId="0" applyFont="1" applyFill="1"/>
    <xf numFmtId="0" fontId="4" fillId="7" borderId="0" xfId="0" applyFont="1" applyFill="1"/>
    <xf numFmtId="0" fontId="4" fillId="5" borderId="12" xfId="0" applyFont="1" applyFill="1" applyBorder="1"/>
    <xf numFmtId="0" fontId="2" fillId="2" borderId="13" xfId="0" applyFont="1" applyFill="1" applyBorder="1"/>
    <xf numFmtId="0" fontId="0" fillId="0" borderId="7" xfId="0" applyBorder="1"/>
    <xf numFmtId="0" fontId="0" fillId="5" borderId="11" xfId="0" applyFill="1" applyBorder="1"/>
    <xf numFmtId="0" fontId="0" fillId="5" borderId="4" xfId="0" applyFill="1" applyBorder="1"/>
    <xf numFmtId="0" fontId="0" fillId="2" borderId="4" xfId="0" applyFill="1" applyBorder="1"/>
    <xf numFmtId="0" fontId="0" fillId="2" borderId="0" xfId="0" applyFill="1"/>
    <xf numFmtId="0" fontId="0" fillId="2" borderId="12" xfId="0" applyFill="1" applyBorder="1"/>
    <xf numFmtId="0" fontId="0" fillId="5" borderId="4" xfId="0" applyFill="1" applyBorder="1" applyAlignment="1">
      <alignment horizontal="right"/>
    </xf>
    <xf numFmtId="1" fontId="0" fillId="5" borderId="0" xfId="0" applyNumberFormat="1" applyFill="1"/>
    <xf numFmtId="1" fontId="0" fillId="5" borderId="0" xfId="0" applyNumberFormat="1" applyFill="1" applyAlignment="1">
      <alignment horizontal="right"/>
    </xf>
    <xf numFmtId="1" fontId="0" fillId="0" borderId="12" xfId="0" applyNumberFormat="1" applyBorder="1" applyAlignment="1">
      <alignment horizontal="right"/>
    </xf>
    <xf numFmtId="1" fontId="0" fillId="5" borderId="4" xfId="0" applyNumberFormat="1" applyFill="1" applyBorder="1"/>
    <xf numFmtId="1" fontId="0" fillId="4" borderId="0" xfId="0" applyNumberFormat="1" applyFill="1"/>
    <xf numFmtId="0" fontId="0" fillId="5" borderId="12" xfId="0" applyFill="1" applyBorder="1"/>
    <xf numFmtId="0" fontId="0" fillId="4" borderId="4" xfId="0" applyFill="1" applyBorder="1"/>
    <xf numFmtId="0" fontId="0" fillId="6" borderId="4" xfId="0" applyFill="1" applyBorder="1" applyAlignment="1">
      <alignment horizontal="right"/>
    </xf>
    <xf numFmtId="0" fontId="0" fillId="6" borderId="0" xfId="0" applyFill="1" applyAlignment="1">
      <alignment horizontal="right"/>
    </xf>
    <xf numFmtId="0" fontId="0" fillId="4" borderId="0" xfId="0" applyFill="1" applyAlignment="1">
      <alignment horizontal="right"/>
    </xf>
    <xf numFmtId="1" fontId="0" fillId="7" borderId="0" xfId="0" applyNumberFormat="1" applyFill="1" applyAlignment="1">
      <alignment horizontal="right"/>
    </xf>
    <xf numFmtId="1" fontId="0" fillId="7" borderId="12" xfId="0" applyNumberFormat="1" applyFill="1" applyBorder="1" applyAlignment="1">
      <alignment horizontal="right"/>
    </xf>
    <xf numFmtId="1" fontId="0" fillId="6" borderId="4" xfId="0" applyNumberFormat="1" applyFill="1" applyBorder="1"/>
    <xf numFmtId="1" fontId="0" fillId="6" borderId="0" xfId="0" applyNumberFormat="1" applyFill="1"/>
    <xf numFmtId="1" fontId="0" fillId="7" borderId="0" xfId="0" applyNumberFormat="1" applyFill="1"/>
    <xf numFmtId="0" fontId="0" fillId="7" borderId="12" xfId="0" applyFill="1" applyBorder="1"/>
    <xf numFmtId="1" fontId="0" fillId="4" borderId="4" xfId="0" applyNumberFormat="1" applyFill="1" applyBorder="1"/>
    <xf numFmtId="0" fontId="0" fillId="6" borderId="12" xfId="0" applyFill="1" applyBorder="1"/>
    <xf numFmtId="1" fontId="0" fillId="6" borderId="0" xfId="0" applyNumberFormat="1" applyFill="1" applyAlignment="1">
      <alignment horizontal="right"/>
    </xf>
    <xf numFmtId="0" fontId="0" fillId="6" borderId="4" xfId="0" applyFill="1" applyBorder="1"/>
    <xf numFmtId="1" fontId="0" fillId="5" borderId="12" xfId="0" applyNumberFormat="1" applyFill="1" applyBorder="1" applyAlignment="1">
      <alignment horizontal="right"/>
    </xf>
    <xf numFmtId="1" fontId="0" fillId="7" borderId="4" xfId="0" applyNumberFormat="1" applyFill="1" applyBorder="1"/>
    <xf numFmtId="1" fontId="0" fillId="6" borderId="12" xfId="0" applyNumberFormat="1" applyFill="1" applyBorder="1"/>
    <xf numFmtId="0" fontId="0" fillId="7" borderId="4" xfId="0" applyFill="1" applyBorder="1"/>
    <xf numFmtId="1" fontId="0" fillId="5" borderId="12" xfId="0" applyNumberFormat="1" applyFill="1" applyBorder="1"/>
    <xf numFmtId="1" fontId="0" fillId="7" borderId="12" xfId="0" applyNumberFormat="1" applyFill="1" applyBorder="1"/>
    <xf numFmtId="1" fontId="0" fillId="0" borderId="4" xfId="0" applyNumberFormat="1" applyBorder="1"/>
    <xf numFmtId="1" fontId="0" fillId="0" borderId="12" xfId="0" applyNumberFormat="1" applyBorder="1"/>
    <xf numFmtId="1" fontId="9" fillId="0" borderId="4" xfId="0" applyNumberFormat="1" applyFont="1" applyBorder="1"/>
    <xf numFmtId="0" fontId="5" fillId="2" borderId="10" xfId="0" applyFont="1" applyFill="1" applyBorder="1"/>
    <xf numFmtId="1" fontId="0" fillId="0" borderId="13" xfId="0" applyNumberFormat="1" applyBorder="1"/>
    <xf numFmtId="1" fontId="0" fillId="0" borderId="15" xfId="0" applyNumberFormat="1" applyBorder="1"/>
    <xf numFmtId="0" fontId="0" fillId="5" borderId="16" xfId="0" applyFill="1" applyBorder="1"/>
    <xf numFmtId="1" fontId="0" fillId="6" borderId="12" xfId="0" applyNumberFormat="1" applyFill="1" applyBorder="1" applyAlignment="1">
      <alignment horizontal="right"/>
    </xf>
    <xf numFmtId="0" fontId="0" fillId="4" borderId="10" xfId="0" applyFill="1" applyBorder="1"/>
    <xf numFmtId="0" fontId="0" fillId="0" borderId="13" xfId="0" applyBorder="1"/>
    <xf numFmtId="0" fontId="0" fillId="0" borderId="15" xfId="0" applyBorder="1"/>
    <xf numFmtId="0" fontId="0" fillId="0" borderId="16" xfId="0" applyBorder="1"/>
    <xf numFmtId="0" fontId="4" fillId="0" borderId="1" xfId="0" applyFont="1" applyBorder="1"/>
    <xf numFmtId="1" fontId="0" fillId="0" borderId="11" xfId="0" applyNumberFormat="1" applyBorder="1"/>
    <xf numFmtId="2" fontId="0" fillId="0" borderId="1" xfId="0" applyNumberFormat="1" applyBorder="1"/>
    <xf numFmtId="2" fontId="0" fillId="0" borderId="2" xfId="0" applyNumberFormat="1" applyBorder="1"/>
    <xf numFmtId="2" fontId="0" fillId="0" borderId="6" xfId="0" applyNumberFormat="1" applyBorder="1"/>
    <xf numFmtId="1" fontId="0" fillId="0" borderId="1" xfId="0" applyNumberFormat="1" applyBorder="1"/>
    <xf numFmtId="1" fontId="0" fillId="0" borderId="2" xfId="0" applyNumberFormat="1" applyBorder="1"/>
    <xf numFmtId="1" fontId="0" fillId="0" borderId="6" xfId="0" applyNumberFormat="1" applyBorder="1"/>
    <xf numFmtId="0" fontId="4" fillId="0" borderId="5" xfId="0" applyFont="1" applyBorder="1"/>
    <xf numFmtId="0" fontId="7" fillId="0" borderId="6" xfId="0" applyFont="1" applyBorder="1"/>
    <xf numFmtId="0" fontId="0" fillId="0" borderId="0" xfId="0" applyAlignment="1">
      <alignment horizontal="right"/>
    </xf>
    <xf numFmtId="16" fontId="0" fillId="0" borderId="11" xfId="0" applyNumberFormat="1" applyBorder="1" applyAlignment="1">
      <alignment horizontal="right"/>
    </xf>
    <xf numFmtId="165" fontId="0" fillId="0" borderId="0" xfId="0" applyNumberFormat="1"/>
    <xf numFmtId="0" fontId="0" fillId="5" borderId="10" xfId="0" applyFill="1" applyBorder="1"/>
    <xf numFmtId="1" fontId="0" fillId="0" borderId="4" xfId="0" applyNumberFormat="1" applyBorder="1" applyAlignment="1">
      <alignment horizontal="right"/>
    </xf>
    <xf numFmtId="1" fontId="0" fillId="0" borderId="13" xfId="0" applyNumberFormat="1" applyBorder="1" applyAlignment="1">
      <alignment horizontal="right"/>
    </xf>
    <xf numFmtId="165" fontId="0" fillId="0" borderId="16" xfId="0" applyNumberFormat="1" applyBorder="1"/>
    <xf numFmtId="0" fontId="9" fillId="5" borderId="10" xfId="0" applyFont="1" applyFill="1" applyBorder="1"/>
    <xf numFmtId="0" fontId="0" fillId="3" borderId="10" xfId="0" applyFill="1" applyBorder="1"/>
    <xf numFmtId="0" fontId="7" fillId="3" borderId="6" xfId="0" applyFont="1" applyFill="1" applyBorder="1"/>
    <xf numFmtId="1" fontId="0" fillId="0" borderId="11" xfId="0" applyNumberFormat="1" applyBorder="1" applyAlignment="1">
      <alignment horizontal="right"/>
    </xf>
    <xf numFmtId="165" fontId="4" fillId="0" borderId="0" xfId="0" applyNumberFormat="1" applyFont="1"/>
    <xf numFmtId="0" fontId="4" fillId="0" borderId="2" xfId="0" applyFont="1" applyBorder="1"/>
    <xf numFmtId="0" fontId="0" fillId="0" borderId="10" xfId="0" applyBorder="1" applyAlignment="1">
      <alignment horizontal="right"/>
    </xf>
    <xf numFmtId="0" fontId="2" fillId="2" borderId="0" xfId="0" applyFont="1" applyFill="1"/>
    <xf numFmtId="0" fontId="7" fillId="0" borderId="1" xfId="0" applyFont="1" applyBorder="1"/>
    <xf numFmtId="0" fontId="4" fillId="0" borderId="7" xfId="0" applyFont="1" applyBorder="1"/>
    <xf numFmtId="9" fontId="0" fillId="0" borderId="0" xfId="1" applyFont="1"/>
    <xf numFmtId="0" fontId="7" fillId="3" borderId="2" xfId="0" applyFont="1" applyFill="1" applyBorder="1"/>
    <xf numFmtId="9" fontId="7" fillId="8" borderId="2" xfId="1" applyFont="1" applyFill="1" applyBorder="1" applyAlignment="1">
      <alignment horizontal="left"/>
    </xf>
    <xf numFmtId="2" fontId="7" fillId="3" borderId="2" xfId="0" applyNumberFormat="1" applyFont="1" applyFill="1" applyBorder="1"/>
    <xf numFmtId="0" fontId="7" fillId="9" borderId="2" xfId="0" applyFont="1" applyFill="1" applyBorder="1"/>
    <xf numFmtId="0" fontId="2" fillId="2" borderId="6" xfId="0" applyFont="1" applyFill="1" applyBorder="1" applyAlignment="1">
      <alignment horizontal="center"/>
    </xf>
    <xf numFmtId="0" fontId="9" fillId="4" borderId="10" xfId="0" applyFont="1" applyFill="1" applyBorder="1"/>
    <xf numFmtId="0" fontId="4" fillId="0" borderId="6" xfId="0" applyFont="1" applyBorder="1"/>
    <xf numFmtId="165" fontId="0" fillId="0" borderId="9" xfId="0" applyNumberFormat="1" applyBorder="1" applyAlignment="1">
      <alignment horizontal="right"/>
    </xf>
    <xf numFmtId="165" fontId="0" fillId="0" borderId="12" xfId="0" applyNumberFormat="1" applyBorder="1" applyAlignment="1">
      <alignment horizontal="right"/>
    </xf>
    <xf numFmtId="165" fontId="0" fillId="0" borderId="16" xfId="0" applyNumberFormat="1" applyBorder="1" applyAlignment="1">
      <alignment horizontal="right"/>
    </xf>
    <xf numFmtId="0" fontId="0" fillId="0" borderId="14" xfId="0" applyBorder="1" applyAlignment="1">
      <alignment horizontal="right"/>
    </xf>
    <xf numFmtId="1" fontId="0" fillId="0" borderId="16" xfId="0" applyNumberFormat="1" applyBorder="1" applyAlignment="1">
      <alignment horizontal="right"/>
    </xf>
    <xf numFmtId="9" fontId="0" fillId="0" borderId="16" xfId="2" applyFont="1" applyBorder="1" applyAlignment="1">
      <alignment horizontal="right"/>
    </xf>
    <xf numFmtId="0" fontId="2" fillId="2" borderId="1" xfId="0" applyFont="1" applyFill="1" applyBorder="1" applyAlignment="1">
      <alignment horizontal="center"/>
    </xf>
    <xf numFmtId="0" fontId="4" fillId="0" borderId="5" xfId="0" applyFont="1" applyBorder="1" applyAlignment="1">
      <alignment horizontal="center"/>
    </xf>
    <xf numFmtId="0" fontId="0" fillId="9" borderId="0" xfId="0" applyFill="1"/>
    <xf numFmtId="0" fontId="0" fillId="3" borderId="0" xfId="0" applyFill="1"/>
    <xf numFmtId="0" fontId="4" fillId="0" borderId="15" xfId="0" applyFont="1" applyBorder="1"/>
    <xf numFmtId="0" fontId="0" fillId="5" borderId="7" xfId="0" applyFill="1" applyBorder="1"/>
    <xf numFmtId="0" fontId="0" fillId="4" borderId="14" xfId="0" applyFill="1" applyBorder="1"/>
    <xf numFmtId="9" fontId="0" fillId="0" borderId="12" xfId="2" applyFont="1" applyBorder="1" applyAlignment="1">
      <alignment horizontal="right"/>
    </xf>
    <xf numFmtId="0" fontId="0" fillId="7" borderId="7" xfId="0" applyFill="1" applyBorder="1"/>
    <xf numFmtId="9" fontId="0" fillId="0" borderId="0" xfId="1" applyFont="1" applyFill="1"/>
    <xf numFmtId="0" fontId="2" fillId="2" borderId="11" xfId="0" applyFont="1" applyFill="1" applyBorder="1" applyAlignment="1">
      <alignment horizontal="center"/>
    </xf>
    <xf numFmtId="0" fontId="2" fillId="2" borderId="9" xfId="0" applyFont="1" applyFill="1" applyBorder="1" applyAlignment="1">
      <alignment horizontal="center"/>
    </xf>
    <xf numFmtId="165" fontId="0" fillId="0" borderId="8" xfId="0" applyNumberFormat="1" applyBorder="1" applyAlignment="1">
      <alignment horizontal="right"/>
    </xf>
    <xf numFmtId="165" fontId="0" fillId="0" borderId="15" xfId="0" applyNumberFormat="1" applyBorder="1" applyAlignment="1">
      <alignment horizontal="right"/>
    </xf>
    <xf numFmtId="0" fontId="7" fillId="0" borderId="1" xfId="0" applyFont="1" applyBorder="1" applyAlignment="1">
      <alignment horizontal="center"/>
    </xf>
    <xf numFmtId="165" fontId="4" fillId="0" borderId="9" xfId="0" applyNumberFormat="1" applyFont="1" applyBorder="1" applyAlignment="1">
      <alignment horizontal="right"/>
    </xf>
    <xf numFmtId="1" fontId="0" fillId="0" borderId="0" xfId="0" applyNumberFormat="1" applyAlignment="1">
      <alignment horizontal="right"/>
    </xf>
    <xf numFmtId="9" fontId="0" fillId="0" borderId="4" xfId="0" applyNumberFormat="1" applyBorder="1"/>
    <xf numFmtId="9" fontId="9" fillId="0" borderId="4" xfId="0" applyNumberFormat="1" applyFont="1" applyBorder="1"/>
    <xf numFmtId="9" fontId="9" fillId="0" borderId="0" xfId="1" applyFont="1" applyFill="1" applyBorder="1"/>
    <xf numFmtId="9" fontId="0" fillId="0" borderId="4" xfId="2" applyFont="1" applyFill="1" applyBorder="1"/>
    <xf numFmtId="9" fontId="0" fillId="0" borderId="0" xfId="2" applyFont="1" applyFill="1" applyBorder="1"/>
    <xf numFmtId="9" fontId="9" fillId="0" borderId="4" xfId="1" applyFont="1" applyBorder="1"/>
    <xf numFmtId="0" fontId="4" fillId="0" borderId="0" xfId="0" applyFont="1" applyAlignment="1">
      <alignment horizontal="center"/>
    </xf>
    <xf numFmtId="0" fontId="0" fillId="7" borderId="10" xfId="0" applyFill="1" applyBorder="1"/>
    <xf numFmtId="0" fontId="9" fillId="0" borderId="0" xfId="0" applyFont="1"/>
    <xf numFmtId="10" fontId="0" fillId="0" borderId="0" xfId="0" applyNumberFormat="1"/>
    <xf numFmtId="0" fontId="4" fillId="0" borderId="4" xfId="0" applyFont="1" applyBorder="1" applyAlignment="1">
      <alignment vertical="center"/>
    </xf>
    <xf numFmtId="9" fontId="0" fillId="2" borderId="0" xfId="1" applyFont="1" applyFill="1" applyBorder="1"/>
    <xf numFmtId="0" fontId="13" fillId="2" borderId="10" xfId="0" applyFont="1" applyFill="1" applyBorder="1"/>
    <xf numFmtId="1" fontId="0" fillId="4" borderId="0" xfId="0" applyNumberFormat="1" applyFill="1" applyAlignment="1">
      <alignment horizontal="right"/>
    </xf>
    <xf numFmtId="0" fontId="0" fillId="6" borderId="15" xfId="0" applyFill="1" applyBorder="1"/>
    <xf numFmtId="0" fontId="0" fillId="7" borderId="15" xfId="0" applyFill="1" applyBorder="1"/>
    <xf numFmtId="0" fontId="2" fillId="2" borderId="15" xfId="0" applyFont="1" applyFill="1" applyBorder="1"/>
    <xf numFmtId="2" fontId="2" fillId="2" borderId="15" xfId="0" applyNumberFormat="1" applyFont="1" applyFill="1" applyBorder="1"/>
    <xf numFmtId="2" fontId="7" fillId="3" borderId="15" xfId="0" applyNumberFormat="1" applyFont="1" applyFill="1" applyBorder="1"/>
    <xf numFmtId="0" fontId="7" fillId="9" borderId="15" xfId="0" applyFont="1" applyFill="1" applyBorder="1"/>
    <xf numFmtId="0" fontId="7" fillId="3" borderId="15" xfId="0" applyFont="1" applyFill="1" applyBorder="1"/>
    <xf numFmtId="0" fontId="4" fillId="3" borderId="15" xfId="0" applyFont="1" applyFill="1" applyBorder="1"/>
    <xf numFmtId="0" fontId="4" fillId="0" borderId="16" xfId="0" applyFont="1" applyBorder="1"/>
    <xf numFmtId="9" fontId="7" fillId="8" borderId="15" xfId="0" applyNumberFormat="1" applyFont="1" applyFill="1" applyBorder="1" applyAlignment="1">
      <alignment horizontal="left"/>
    </xf>
    <xf numFmtId="0" fontId="4" fillId="3" borderId="0" xfId="0" applyFont="1" applyFill="1"/>
    <xf numFmtId="0" fontId="4" fillId="0" borderId="4" xfId="0" applyFont="1" applyBorder="1"/>
    <xf numFmtId="1" fontId="9" fillId="0" borderId="0" xfId="0" applyNumberFormat="1" applyFont="1"/>
    <xf numFmtId="0" fontId="0" fillId="0" borderId="5" xfId="0" applyBorder="1"/>
    <xf numFmtId="0" fontId="0" fillId="0" borderId="14" xfId="0" applyBorder="1"/>
    <xf numFmtId="9" fontId="9" fillId="2" borderId="0" xfId="1" applyFont="1" applyFill="1" applyBorder="1"/>
    <xf numFmtId="0" fontId="0" fillId="4" borderId="7" xfId="0" applyFill="1" applyBorder="1"/>
    <xf numFmtId="165" fontId="0" fillId="0" borderId="0" xfId="1" applyNumberFormat="1" applyFont="1"/>
    <xf numFmtId="9" fontId="0" fillId="0" borderId="12" xfId="1" applyFont="1" applyBorder="1"/>
    <xf numFmtId="9" fontId="0" fillId="0" borderId="16" xfId="1" applyFont="1" applyBorder="1"/>
    <xf numFmtId="0" fontId="4" fillId="0" borderId="0" xfId="0" applyFont="1" applyAlignment="1">
      <alignment vertical="center"/>
    </xf>
    <xf numFmtId="0" fontId="0" fillId="9" borderId="14" xfId="0" applyFill="1" applyBorder="1"/>
    <xf numFmtId="166" fontId="0" fillId="0" borderId="0" xfId="0" applyNumberFormat="1"/>
    <xf numFmtId="0" fontId="0" fillId="0" borderId="2" xfId="0" applyBorder="1"/>
    <xf numFmtId="0" fontId="7" fillId="3" borderId="1" xfId="0" applyFont="1" applyFill="1" applyBorder="1"/>
    <xf numFmtId="0" fontId="2" fillId="5" borderId="6" xfId="0" applyFont="1" applyFill="1" applyBorder="1"/>
    <xf numFmtId="0" fontId="2" fillId="5" borderId="1" xfId="0" applyFont="1" applyFill="1" applyBorder="1"/>
    <xf numFmtId="0" fontId="4" fillId="0" borderId="14" xfId="0" applyFont="1" applyBorder="1"/>
    <xf numFmtId="166" fontId="0" fillId="0" borderId="0" xfId="0" applyNumberFormat="1" applyAlignment="1">
      <alignment horizontal="center" vertical="center"/>
    </xf>
    <xf numFmtId="10" fontId="4" fillId="0" borderId="0" xfId="0" applyNumberFormat="1" applyFont="1"/>
    <xf numFmtId="164" fontId="0" fillId="4" borderId="0" xfId="0" applyNumberFormat="1" applyFill="1"/>
    <xf numFmtId="0" fontId="0" fillId="4" borderId="8" xfId="0" applyFill="1" applyBorder="1"/>
    <xf numFmtId="0" fontId="4" fillId="0" borderId="11" xfId="0" applyFont="1" applyBorder="1"/>
    <xf numFmtId="165" fontId="0" fillId="0" borderId="15" xfId="0" applyNumberFormat="1" applyBorder="1"/>
    <xf numFmtId="166" fontId="0" fillId="0" borderId="12" xfId="0" applyNumberFormat="1" applyBorder="1"/>
    <xf numFmtId="0" fontId="15" fillId="0" borderId="0" xfId="0" applyFont="1"/>
    <xf numFmtId="165" fontId="0" fillId="5" borderId="0" xfId="0" applyNumberFormat="1" applyFill="1"/>
    <xf numFmtId="1" fontId="0" fillId="2" borderId="12" xfId="0" applyNumberFormat="1" applyFill="1" applyBorder="1" applyAlignment="1">
      <alignment horizontal="right"/>
    </xf>
    <xf numFmtId="9" fontId="0" fillId="3" borderId="4" xfId="1" applyFont="1" applyFill="1" applyBorder="1"/>
    <xf numFmtId="9" fontId="0" fillId="3" borderId="0" xfId="1" applyFont="1" applyFill="1" applyBorder="1" applyAlignment="1">
      <alignment horizontal="right"/>
    </xf>
    <xf numFmtId="9" fontId="0" fillId="3" borderId="4" xfId="2" applyFont="1" applyFill="1" applyBorder="1"/>
    <xf numFmtId="9" fontId="0" fillId="3" borderId="0" xfId="2" applyFont="1" applyFill="1" applyBorder="1"/>
    <xf numFmtId="9" fontId="9" fillId="3" borderId="0" xfId="1" applyFont="1" applyFill="1" applyBorder="1" applyAlignment="1">
      <alignment horizontal="right"/>
    </xf>
    <xf numFmtId="9" fontId="0" fillId="2" borderId="4" xfId="1" applyFont="1" applyFill="1" applyBorder="1"/>
    <xf numFmtId="9" fontId="0" fillId="2" borderId="13" xfId="1" applyFont="1" applyFill="1" applyBorder="1"/>
    <xf numFmtId="9" fontId="3" fillId="2" borderId="15" xfId="1" applyFont="1" applyFill="1" applyBorder="1"/>
    <xf numFmtId="0" fontId="4" fillId="5" borderId="1" xfId="0" applyFont="1" applyFill="1" applyBorder="1" applyAlignment="1">
      <alignment horizontal="center"/>
    </xf>
    <xf numFmtId="0" fontId="4" fillId="5" borderId="2" xfId="0" applyFont="1" applyFill="1" applyBorder="1" applyAlignment="1">
      <alignment horizontal="center"/>
    </xf>
    <xf numFmtId="0" fontId="4" fillId="7" borderId="2" xfId="0" applyFont="1" applyFill="1" applyBorder="1" applyAlignment="1">
      <alignment horizontal="center"/>
    </xf>
    <xf numFmtId="9" fontId="4" fillId="0" borderId="1" xfId="0" applyNumberFormat="1" applyFont="1" applyBorder="1"/>
    <xf numFmtId="9" fontId="4" fillId="0" borderId="2" xfId="0" applyNumberFormat="1" applyFont="1" applyBorder="1"/>
    <xf numFmtId="9" fontId="0" fillId="0" borderId="6" xfId="0" applyNumberFormat="1" applyBorder="1"/>
    <xf numFmtId="0" fontId="7" fillId="0" borderId="0" xfId="0" applyFont="1" applyAlignment="1">
      <alignment horizontal="center"/>
    </xf>
    <xf numFmtId="0" fontId="0" fillId="0" borderId="0" xfId="0" applyAlignment="1">
      <alignment horizontal="left"/>
    </xf>
    <xf numFmtId="9" fontId="9" fillId="4" borderId="8" xfId="1" applyFont="1" applyFill="1" applyBorder="1"/>
    <xf numFmtId="9" fontId="9" fillId="4" borderId="0" xfId="1" applyFont="1" applyFill="1" applyBorder="1"/>
    <xf numFmtId="9" fontId="9" fillId="4" borderId="15" xfId="1" applyFont="1" applyFill="1" applyBorder="1"/>
    <xf numFmtId="0" fontId="4" fillId="0" borderId="11" xfId="0" applyFont="1" applyBorder="1" applyAlignment="1">
      <alignment horizontal="center"/>
    </xf>
    <xf numFmtId="0" fontId="4" fillId="0" borderId="9" xfId="0" applyFont="1" applyBorder="1" applyAlignment="1">
      <alignment horizontal="center"/>
    </xf>
    <xf numFmtId="0" fontId="9" fillId="0" borderId="14" xfId="0" applyFont="1" applyBorder="1"/>
    <xf numFmtId="0" fontId="9" fillId="4" borderId="0" xfId="0" applyFont="1" applyFill="1"/>
    <xf numFmtId="164" fontId="0" fillId="0" borderId="4" xfId="0" applyNumberFormat="1" applyBorder="1"/>
    <xf numFmtId="0" fontId="4" fillId="3" borderId="6" xfId="0" applyFont="1" applyFill="1" applyBorder="1"/>
    <xf numFmtId="0" fontId="16" fillId="2" borderId="2" xfId="0" applyFont="1" applyFill="1" applyBorder="1"/>
    <xf numFmtId="0" fontId="17" fillId="2" borderId="2" xfId="0" applyFont="1" applyFill="1" applyBorder="1"/>
    <xf numFmtId="1" fontId="0" fillId="0" borderId="0" xfId="1" applyNumberFormat="1" applyFont="1" applyFill="1"/>
    <xf numFmtId="164" fontId="0" fillId="0" borderId="0" xfId="0" applyNumberFormat="1" applyAlignment="1">
      <alignment horizontal="right"/>
    </xf>
    <xf numFmtId="0" fontId="15" fillId="2" borderId="0" xfId="0" applyFont="1" applyFill="1"/>
    <xf numFmtId="0" fontId="18" fillId="2" borderId="0" xfId="0" applyFont="1" applyFill="1"/>
    <xf numFmtId="0" fontId="14" fillId="2" borderId="0" xfId="0" applyFont="1" applyFill="1"/>
    <xf numFmtId="0" fontId="4" fillId="0" borderId="17" xfId="0" applyFont="1" applyBorder="1"/>
    <xf numFmtId="9" fontId="4" fillId="0" borderId="0" xfId="0" applyNumberFormat="1" applyFont="1"/>
    <xf numFmtId="0" fontId="2" fillId="2" borderId="11" xfId="0" applyFont="1" applyFill="1" applyBorder="1"/>
    <xf numFmtId="1" fontId="7" fillId="0" borderId="0" xfId="0" applyNumberFormat="1" applyFont="1"/>
    <xf numFmtId="1" fontId="0" fillId="0" borderId="0" xfId="1" applyNumberFormat="1" applyFont="1"/>
    <xf numFmtId="0" fontId="5" fillId="7" borderId="0" xfId="0" applyFont="1" applyFill="1"/>
    <xf numFmtId="0" fontId="2" fillId="10" borderId="15" xfId="0" applyFont="1" applyFill="1" applyBorder="1"/>
    <xf numFmtId="16" fontId="0" fillId="0" borderId="0" xfId="0" applyNumberFormat="1"/>
    <xf numFmtId="2" fontId="4" fillId="0" borderId="0" xfId="0" applyNumberFormat="1" applyFont="1"/>
    <xf numFmtId="0" fontId="2" fillId="10" borderId="2" xfId="0" applyFont="1" applyFill="1" applyBorder="1"/>
    <xf numFmtId="0" fontId="0" fillId="0" borderId="4" xfId="0" applyBorder="1" applyAlignment="1">
      <alignment horizontal="right"/>
    </xf>
    <xf numFmtId="9" fontId="0" fillId="3" borderId="0" xfId="1" applyFont="1" applyFill="1" applyBorder="1"/>
    <xf numFmtId="9" fontId="0" fillId="3" borderId="4" xfId="1" applyFont="1" applyFill="1" applyBorder="1" applyAlignment="1">
      <alignment horizontal="right"/>
    </xf>
    <xf numFmtId="9" fontId="0" fillId="2" borderId="4" xfId="1" applyFont="1" applyFill="1" applyBorder="1" applyAlignment="1">
      <alignment horizontal="right"/>
    </xf>
    <xf numFmtId="9" fontId="9" fillId="2" borderId="0" xfId="1" applyFont="1" applyFill="1" applyBorder="1" applyAlignment="1">
      <alignment horizontal="right"/>
    </xf>
    <xf numFmtId="9" fontId="9" fillId="3" borderId="0" xfId="1" applyFont="1" applyFill="1" applyBorder="1"/>
    <xf numFmtId="9" fontId="0" fillId="6" borderId="1" xfId="0" applyNumberFormat="1" applyFill="1" applyBorder="1"/>
    <xf numFmtId="1" fontId="0" fillId="5" borderId="2" xfId="0" applyNumberFormat="1" applyFill="1" applyBorder="1"/>
    <xf numFmtId="0" fontId="7" fillId="4" borderId="1" xfId="0" applyFont="1" applyFill="1" applyBorder="1"/>
    <xf numFmtId="0" fontId="7" fillId="4" borderId="2" xfId="0" applyFont="1" applyFill="1" applyBorder="1"/>
    <xf numFmtId="0" fontId="7" fillId="0" borderId="0" xfId="0" applyFont="1"/>
    <xf numFmtId="10" fontId="0" fillId="0" borderId="0" xfId="1" applyNumberFormat="1" applyFont="1"/>
    <xf numFmtId="1" fontId="0" fillId="2" borderId="4" xfId="0" applyNumberFormat="1" applyFill="1" applyBorder="1" applyAlignment="1">
      <alignment horizontal="right"/>
    </xf>
    <xf numFmtId="0" fontId="0" fillId="2" borderId="4" xfId="0" applyFill="1" applyBorder="1" applyAlignment="1">
      <alignment horizontal="right"/>
    </xf>
    <xf numFmtId="164" fontId="18" fillId="2" borderId="0" xfId="0" applyNumberFormat="1" applyFont="1" applyFill="1" applyAlignment="1">
      <alignment horizontal="right"/>
    </xf>
    <xf numFmtId="164" fontId="14" fillId="2" borderId="0" xfId="0" applyNumberFormat="1" applyFont="1" applyFill="1" applyAlignment="1">
      <alignment horizontal="right"/>
    </xf>
    <xf numFmtId="1" fontId="0" fillId="0" borderId="0" xfId="1" applyNumberFormat="1" applyFont="1" applyFill="1" applyBorder="1" applyAlignment="1">
      <alignment horizontal="right"/>
    </xf>
    <xf numFmtId="1" fontId="0" fillId="3" borderId="0" xfId="1" applyNumberFormat="1" applyFont="1" applyFill="1" applyBorder="1" applyAlignment="1">
      <alignment horizontal="right"/>
    </xf>
    <xf numFmtId="1" fontId="0" fillId="0" borderId="0" xfId="2" applyNumberFormat="1" applyFont="1" applyFill="1" applyBorder="1"/>
    <xf numFmtId="0" fontId="0" fillId="2" borderId="15" xfId="0" applyFill="1" applyBorder="1"/>
    <xf numFmtId="0" fontId="2" fillId="10" borderId="9" xfId="0" applyFont="1" applyFill="1" applyBorder="1"/>
    <xf numFmtId="0" fontId="9" fillId="0" borderId="9" xfId="0" applyFont="1" applyBorder="1"/>
    <xf numFmtId="167" fontId="0" fillId="3" borderId="0" xfId="0" applyNumberFormat="1" applyFill="1"/>
    <xf numFmtId="0" fontId="2" fillId="11" borderId="0" xfId="0" applyFont="1" applyFill="1"/>
    <xf numFmtId="0" fontId="4" fillId="0" borderId="11" xfId="0" applyFont="1" applyBorder="1" applyAlignment="1">
      <alignment vertical="center"/>
    </xf>
    <xf numFmtId="0" fontId="4" fillId="0" borderId="13" xfId="0" applyFont="1" applyBorder="1" applyAlignment="1">
      <alignment vertical="center"/>
    </xf>
    <xf numFmtId="1" fontId="0" fillId="7" borderId="2" xfId="0" applyNumberFormat="1" applyFill="1" applyBorder="1"/>
    <xf numFmtId="9" fontId="0" fillId="7" borderId="2" xfId="1" applyFont="1" applyFill="1" applyBorder="1"/>
    <xf numFmtId="9" fontId="0" fillId="6" borderId="2" xfId="1" applyFont="1" applyFill="1" applyBorder="1"/>
    <xf numFmtId="0" fontId="2" fillId="10" borderId="5" xfId="0" applyFont="1" applyFill="1" applyBorder="1"/>
    <xf numFmtId="1" fontId="0" fillId="0" borderId="5" xfId="0" applyNumberFormat="1" applyBorder="1"/>
    <xf numFmtId="0" fontId="7" fillId="0" borderId="5" xfId="0" applyFont="1" applyBorder="1"/>
    <xf numFmtId="1" fontId="0" fillId="7" borderId="1" xfId="0" applyNumberFormat="1" applyFill="1" applyBorder="1"/>
    <xf numFmtId="0" fontId="7" fillId="0" borderId="9" xfId="0" applyFont="1" applyBorder="1"/>
    <xf numFmtId="0" fontId="0" fillId="0" borderId="5" xfId="0" applyBorder="1" applyAlignment="1">
      <alignment vertical="center"/>
    </xf>
    <xf numFmtId="0" fontId="7" fillId="3" borderId="8" xfId="0" applyFont="1" applyFill="1" applyBorder="1"/>
    <xf numFmtId="0" fontId="7" fillId="9" borderId="8" xfId="0" applyFont="1" applyFill="1" applyBorder="1"/>
    <xf numFmtId="0" fontId="16" fillId="2" borderId="8" xfId="0" applyFont="1" applyFill="1" applyBorder="1"/>
    <xf numFmtId="0" fontId="17" fillId="2" borderId="8" xfId="0" applyFont="1" applyFill="1" applyBorder="1"/>
    <xf numFmtId="9" fontId="0" fillId="0" borderId="0" xfId="1" applyFont="1" applyBorder="1"/>
    <xf numFmtId="0" fontId="7" fillId="4" borderId="6" xfId="0" applyFont="1" applyFill="1" applyBorder="1"/>
    <xf numFmtId="0" fontId="4" fillId="0" borderId="8" xfId="0" applyFont="1" applyBorder="1"/>
    <xf numFmtId="0" fontId="2" fillId="2" borderId="7" xfId="0" applyFont="1" applyFill="1" applyBorder="1"/>
    <xf numFmtId="9" fontId="9" fillId="4" borderId="4" xfId="1" applyFont="1" applyFill="1" applyBorder="1"/>
    <xf numFmtId="0" fontId="5" fillId="2" borderId="12" xfId="0" applyFont="1" applyFill="1" applyBorder="1"/>
    <xf numFmtId="0" fontId="0" fillId="4" borderId="9" xfId="0" applyFill="1" applyBorder="1"/>
    <xf numFmtId="0" fontId="0" fillId="4" borderId="12" xfId="0" applyFill="1" applyBorder="1"/>
    <xf numFmtId="9" fontId="9" fillId="4" borderId="11" xfId="1" applyFont="1" applyFill="1" applyBorder="1"/>
    <xf numFmtId="9" fontId="9" fillId="4" borderId="13" xfId="1" applyFont="1" applyFill="1" applyBorder="1"/>
    <xf numFmtId="0" fontId="4" fillId="0" borderId="4" xfId="0" applyFont="1" applyBorder="1" applyAlignment="1">
      <alignment horizontal="left" vertical="center"/>
    </xf>
    <xf numFmtId="166" fontId="0" fillId="0" borderId="9" xfId="0" applyNumberFormat="1" applyBorder="1"/>
    <xf numFmtId="166" fontId="0" fillId="0" borderId="16" xfId="0" applyNumberFormat="1" applyBorder="1"/>
    <xf numFmtId="166" fontId="7" fillId="5" borderId="1" xfId="0" applyNumberFormat="1" applyFont="1" applyFill="1" applyBorder="1" applyAlignment="1">
      <alignment horizontal="center"/>
    </xf>
    <xf numFmtId="0" fontId="0" fillId="3" borderId="11" xfId="0" applyFill="1" applyBorder="1" applyAlignment="1">
      <alignment horizontal="center" vertical="center"/>
    </xf>
    <xf numFmtId="0" fontId="0" fillId="3" borderId="13" xfId="0" applyFill="1" applyBorder="1" applyAlignment="1">
      <alignment horizontal="center" vertical="center"/>
    </xf>
    <xf numFmtId="0" fontId="0" fillId="5" borderId="11" xfId="0" applyFill="1" applyBorder="1" applyAlignment="1">
      <alignment horizontal="center" vertical="center"/>
    </xf>
    <xf numFmtId="0" fontId="0" fillId="5" borderId="13" xfId="0" applyFill="1" applyBorder="1" applyAlignment="1">
      <alignment horizontal="center" vertical="center"/>
    </xf>
    <xf numFmtId="0" fontId="21" fillId="12" borderId="18" xfId="3" applyFill="1" applyBorder="1" applyAlignment="1">
      <alignment horizontal="left" vertical="center" wrapText="1"/>
    </xf>
    <xf numFmtId="0" fontId="4" fillId="3" borderId="0" xfId="0" applyFont="1" applyFill="1" applyAlignment="1">
      <alignment horizontal="center"/>
    </xf>
    <xf numFmtId="0" fontId="9" fillId="2" borderId="0" xfId="0" applyFont="1" applyFill="1"/>
    <xf numFmtId="166" fontId="0" fillId="0" borderId="0" xfId="0" applyNumberFormat="1" applyAlignment="1">
      <alignment horizontal="center"/>
    </xf>
    <xf numFmtId="0" fontId="2" fillId="5" borderId="2" xfId="0" applyFont="1" applyFill="1" applyBorder="1"/>
    <xf numFmtId="166" fontId="7" fillId="5" borderId="2" xfId="0" applyNumberFormat="1" applyFont="1" applyFill="1" applyBorder="1" applyAlignment="1">
      <alignment horizontal="center"/>
    </xf>
    <xf numFmtId="166" fontId="0" fillId="0" borderId="11" xfId="0" applyNumberFormat="1" applyBorder="1"/>
    <xf numFmtId="166" fontId="0" fillId="0" borderId="8" xfId="0" applyNumberFormat="1" applyBorder="1"/>
    <xf numFmtId="9" fontId="0" fillId="0" borderId="13" xfId="1" applyFont="1" applyBorder="1"/>
    <xf numFmtId="9" fontId="0" fillId="0" borderId="8" xfId="1" applyFont="1" applyBorder="1"/>
    <xf numFmtId="0" fontId="0" fillId="0" borderId="0" xfId="0" applyAlignment="1">
      <alignment vertical="center"/>
    </xf>
    <xf numFmtId="0" fontId="0" fillId="0" borderId="0" xfId="0" applyAlignment="1">
      <alignment horizontal="left" vertical="center"/>
    </xf>
    <xf numFmtId="9" fontId="0" fillId="0" borderId="15" xfId="1" applyFont="1" applyBorder="1"/>
    <xf numFmtId="9" fontId="0" fillId="0" borderId="9" xfId="1" applyFont="1" applyBorder="1"/>
    <xf numFmtId="166" fontId="7" fillId="5" borderId="6" xfId="0" applyNumberFormat="1" applyFont="1" applyFill="1" applyBorder="1"/>
    <xf numFmtId="166" fontId="7" fillId="0" borderId="0" xfId="0" applyNumberFormat="1" applyFont="1" applyAlignment="1">
      <alignment horizontal="center"/>
    </xf>
    <xf numFmtId="166" fontId="7" fillId="5" borderId="2" xfId="0" applyNumberFormat="1" applyFont="1" applyFill="1" applyBorder="1"/>
    <xf numFmtId="0" fontId="7" fillId="0" borderId="15" xfId="0" applyFont="1" applyBorder="1"/>
    <xf numFmtId="164" fontId="14" fillId="0" borderId="0" xfId="0" applyNumberFormat="1" applyFont="1" applyAlignment="1">
      <alignment horizontal="right"/>
    </xf>
    <xf numFmtId="0" fontId="4" fillId="0" borderId="10" xfId="0" applyFont="1" applyBorder="1"/>
    <xf numFmtId="1" fontId="0" fillId="6" borderId="1" xfId="0" applyNumberFormat="1" applyFill="1" applyBorder="1"/>
    <xf numFmtId="2" fontId="7" fillId="4" borderId="9" xfId="0" applyNumberFormat="1" applyFont="1" applyFill="1" applyBorder="1"/>
    <xf numFmtId="2" fontId="7" fillId="2" borderId="12" xfId="0" applyNumberFormat="1" applyFont="1" applyFill="1" applyBorder="1"/>
    <xf numFmtId="2" fontId="7" fillId="4" borderId="12" xfId="0" applyNumberFormat="1" applyFont="1" applyFill="1" applyBorder="1"/>
    <xf numFmtId="2" fontId="7" fillId="4" borderId="16" xfId="0" applyNumberFormat="1" applyFont="1" applyFill="1" applyBorder="1"/>
    <xf numFmtId="1" fontId="9" fillId="4" borderId="12" xfId="1" applyNumberFormat="1" applyFont="1" applyFill="1" applyBorder="1"/>
    <xf numFmtId="0" fontId="4" fillId="3" borderId="10" xfId="0" applyFont="1" applyFill="1" applyBorder="1"/>
    <xf numFmtId="0" fontId="2" fillId="2" borderId="10" xfId="0" applyFont="1" applyFill="1" applyBorder="1"/>
    <xf numFmtId="1" fontId="0" fillId="4" borderId="5" xfId="0" applyNumberFormat="1" applyFill="1" applyBorder="1"/>
    <xf numFmtId="0" fontId="0" fillId="0" borderId="17" xfId="0" applyBorder="1"/>
    <xf numFmtId="0" fontId="9" fillId="0" borderId="12" xfId="0" applyFont="1" applyBorder="1"/>
    <xf numFmtId="164" fontId="0" fillId="0" borderId="8" xfId="0" applyNumberFormat="1" applyBorder="1"/>
    <xf numFmtId="1" fontId="0" fillId="0" borderId="0" xfId="1" applyNumberFormat="1" applyFont="1" applyFill="1" applyBorder="1"/>
    <xf numFmtId="0" fontId="16" fillId="0" borderId="0" xfId="0" applyFont="1"/>
    <xf numFmtId="164" fontId="9" fillId="0" borderId="0" xfId="0" applyNumberFormat="1" applyFont="1"/>
    <xf numFmtId="6" fontId="0" fillId="3" borderId="0" xfId="0" applyNumberFormat="1" applyFill="1"/>
    <xf numFmtId="0" fontId="0" fillId="0" borderId="22" xfId="0" applyBorder="1"/>
    <xf numFmtId="1" fontId="2" fillId="0" borderId="0" xfId="0" applyNumberFormat="1" applyFont="1"/>
    <xf numFmtId="9" fontId="4" fillId="0" borderId="6" xfId="1" applyFont="1" applyFill="1" applyBorder="1"/>
    <xf numFmtId="167" fontId="4" fillId="3" borderId="0" xfId="0" applyNumberFormat="1" applyFont="1" applyFill="1"/>
    <xf numFmtId="0" fontId="2" fillId="0" borderId="0" xfId="0" applyFont="1"/>
    <xf numFmtId="1" fontId="0" fillId="0" borderId="0" xfId="1" applyNumberFormat="1" applyFont="1" applyBorder="1"/>
    <xf numFmtId="0" fontId="4" fillId="8" borderId="6" xfId="0" applyFont="1" applyFill="1" applyBorder="1"/>
    <xf numFmtId="0" fontId="7" fillId="8" borderId="11" xfId="0" applyFont="1" applyFill="1" applyBorder="1"/>
    <xf numFmtId="0" fontId="7" fillId="8" borderId="8" xfId="0" applyFont="1" applyFill="1" applyBorder="1"/>
    <xf numFmtId="1" fontId="9" fillId="4" borderId="12" xfId="0" applyNumberFormat="1" applyFont="1" applyFill="1" applyBorder="1"/>
    <xf numFmtId="2" fontId="9" fillId="4" borderId="12" xfId="0" applyNumberFormat="1" applyFont="1" applyFill="1" applyBorder="1"/>
    <xf numFmtId="0" fontId="9" fillId="4" borderId="12" xfId="0" applyFont="1" applyFill="1" applyBorder="1"/>
    <xf numFmtId="9" fontId="0" fillId="0" borderId="12" xfId="0" applyNumberFormat="1" applyBorder="1"/>
    <xf numFmtId="9" fontId="0" fillId="0" borderId="13" xfId="0" applyNumberFormat="1" applyBorder="1"/>
    <xf numFmtId="9" fontId="0" fillId="0" borderId="15" xfId="0" applyNumberFormat="1" applyBorder="1"/>
    <xf numFmtId="9" fontId="0" fillId="0" borderId="16" xfId="0" applyNumberFormat="1" applyBorder="1"/>
    <xf numFmtId="9" fontId="0" fillId="6" borderId="5" xfId="0" applyNumberFormat="1" applyFill="1" applyBorder="1"/>
    <xf numFmtId="0" fontId="0" fillId="3" borderId="12" xfId="0" applyFill="1" applyBorder="1"/>
    <xf numFmtId="0" fontId="0" fillId="12" borderId="0" xfId="0" applyFill="1"/>
    <xf numFmtId="0" fontId="2" fillId="2" borderId="8" xfId="0" applyFont="1" applyFill="1" applyBorder="1"/>
    <xf numFmtId="164" fontId="0" fillId="0" borderId="9" xfId="0" applyNumberFormat="1" applyBorder="1"/>
    <xf numFmtId="164" fontId="0" fillId="0" borderId="12" xfId="0" applyNumberFormat="1" applyBorder="1"/>
    <xf numFmtId="0" fontId="0" fillId="5" borderId="15" xfId="0" applyFill="1" applyBorder="1"/>
    <xf numFmtId="0" fontId="0" fillId="7" borderId="13" xfId="0" applyFill="1" applyBorder="1"/>
    <xf numFmtId="0" fontId="4" fillId="8" borderId="2" xfId="0" applyFont="1" applyFill="1" applyBorder="1"/>
    <xf numFmtId="0" fontId="12" fillId="0" borderId="7" xfId="0" applyFont="1" applyBorder="1"/>
    <xf numFmtId="0" fontId="2" fillId="0" borderId="0" xfId="0" applyFont="1" applyAlignment="1">
      <alignment horizontal="center"/>
    </xf>
    <xf numFmtId="16" fontId="0" fillId="0" borderId="0" xfId="0" applyNumberFormat="1" applyAlignment="1">
      <alignment horizontal="right"/>
    </xf>
    <xf numFmtId="165" fontId="4" fillId="0" borderId="0" xfId="0" applyNumberFormat="1" applyFont="1" applyAlignment="1">
      <alignment horizontal="right"/>
    </xf>
    <xf numFmtId="0" fontId="0" fillId="0" borderId="0" xfId="0" applyAlignment="1">
      <alignment horizontal="center"/>
    </xf>
    <xf numFmtId="0" fontId="9" fillId="0" borderId="0" xfId="0" applyFont="1" applyAlignment="1">
      <alignment horizontal="right"/>
    </xf>
    <xf numFmtId="9" fontId="9" fillId="0" borderId="0" xfId="0" applyNumberFormat="1" applyFont="1"/>
    <xf numFmtId="0" fontId="14" fillId="0" borderId="0" xfId="0" applyFont="1"/>
    <xf numFmtId="1" fontId="0" fillId="2" borderId="0" xfId="0" applyNumberFormat="1" applyFill="1" applyAlignment="1">
      <alignment horizontal="right"/>
    </xf>
    <xf numFmtId="0" fontId="0" fillId="2" borderId="10" xfId="0" applyFill="1" applyBorder="1"/>
    <xf numFmtId="0" fontId="3" fillId="2" borderId="0" xfId="0" applyFont="1" applyFill="1"/>
    <xf numFmtId="0" fontId="0" fillId="2" borderId="14" xfId="0" applyFill="1" applyBorder="1"/>
    <xf numFmtId="0" fontId="0" fillId="0" borderId="12" xfId="0" applyBorder="1" applyAlignment="1">
      <alignment horizontal="right"/>
    </xf>
    <xf numFmtId="0" fontId="0" fillId="2" borderId="0" xfId="0" applyFill="1" applyAlignment="1">
      <alignment horizontal="right"/>
    </xf>
    <xf numFmtId="0" fontId="9" fillId="0" borderId="12" xfId="0" applyFont="1" applyBorder="1" applyAlignment="1">
      <alignment horizontal="right"/>
    </xf>
    <xf numFmtId="0" fontId="0" fillId="2" borderId="12" xfId="0" applyFill="1" applyBorder="1" applyAlignment="1">
      <alignment horizontal="right"/>
    </xf>
    <xf numFmtId="0" fontId="0" fillId="0" borderId="16" xfId="0" applyBorder="1" applyAlignment="1">
      <alignment horizontal="right"/>
    </xf>
    <xf numFmtId="0" fontId="20" fillId="12" borderId="23" xfId="0" applyFont="1" applyFill="1" applyBorder="1" applyAlignment="1">
      <alignment horizontal="center" vertical="center" wrapText="1"/>
    </xf>
    <xf numFmtId="0" fontId="9" fillId="13" borderId="0" xfId="0" applyFont="1" applyFill="1"/>
    <xf numFmtId="164" fontId="9" fillId="9" borderId="0" xfId="0" applyNumberFormat="1" applyFont="1" applyFill="1"/>
    <xf numFmtId="0" fontId="2" fillId="10" borderId="6" xfId="0" applyFont="1" applyFill="1" applyBorder="1"/>
    <xf numFmtId="166" fontId="0" fillId="3" borderId="0" xfId="0" applyNumberFormat="1" applyFill="1"/>
    <xf numFmtId="0" fontId="5" fillId="2" borderId="11" xfId="0" applyFont="1" applyFill="1" applyBorder="1" applyAlignment="1">
      <alignment horizontal="center"/>
    </xf>
    <xf numFmtId="0" fontId="5" fillId="2" borderId="9" xfId="0" applyFont="1" applyFill="1" applyBorder="1" applyAlignment="1">
      <alignment horizontal="center"/>
    </xf>
    <xf numFmtId="0" fontId="3" fillId="0" borderId="0" xfId="0" applyFont="1"/>
    <xf numFmtId="0" fontId="9" fillId="9" borderId="12" xfId="0" applyFont="1" applyFill="1" applyBorder="1"/>
    <xf numFmtId="0" fontId="9" fillId="5" borderId="12" xfId="0" applyFont="1" applyFill="1" applyBorder="1"/>
    <xf numFmtId="0" fontId="5" fillId="7" borderId="16" xfId="0" applyFont="1" applyFill="1" applyBorder="1"/>
    <xf numFmtId="0" fontId="9" fillId="7" borderId="12" xfId="0" applyFont="1" applyFill="1" applyBorder="1"/>
    <xf numFmtId="0" fontId="5" fillId="7" borderId="12" xfId="0" applyFont="1" applyFill="1" applyBorder="1"/>
    <xf numFmtId="0" fontId="4" fillId="0" borderId="10" xfId="0" applyFont="1" applyBorder="1" applyAlignment="1">
      <alignment vertical="center"/>
    </xf>
    <xf numFmtId="0" fontId="2" fillId="2" borderId="10" xfId="0" applyFont="1" applyFill="1" applyBorder="1" applyAlignment="1">
      <alignment vertical="center"/>
    </xf>
    <xf numFmtId="0" fontId="4" fillId="0" borderId="10" xfId="0" applyFont="1" applyBorder="1" applyAlignment="1">
      <alignment horizontal="left" vertical="center"/>
    </xf>
    <xf numFmtId="0" fontId="2" fillId="2" borderId="14" xfId="0" applyFont="1" applyFill="1" applyBorder="1"/>
    <xf numFmtId="0" fontId="7" fillId="0" borderId="10" xfId="0" applyFont="1" applyBorder="1"/>
    <xf numFmtId="0" fontId="7" fillId="4" borderId="10" xfId="0" applyFont="1" applyFill="1" applyBorder="1"/>
    <xf numFmtId="0" fontId="21" fillId="14" borderId="18" xfId="3" applyFill="1" applyBorder="1" applyAlignment="1">
      <alignment horizontal="left" vertical="center" wrapText="1"/>
    </xf>
    <xf numFmtId="0" fontId="24" fillId="14" borderId="20" xfId="0" applyFont="1" applyFill="1" applyBorder="1" applyAlignment="1">
      <alignment horizontal="center" vertical="center" wrapText="1"/>
    </xf>
    <xf numFmtId="0" fontId="24" fillId="14" borderId="21" xfId="0" applyFont="1" applyFill="1" applyBorder="1" applyAlignment="1">
      <alignment horizontal="center" vertical="center" wrapText="1"/>
    </xf>
    <xf numFmtId="0" fontId="20" fillId="14" borderId="23" xfId="0" applyFont="1" applyFill="1" applyBorder="1" applyAlignment="1">
      <alignment horizontal="center" vertical="center" wrapText="1"/>
    </xf>
    <xf numFmtId="0" fontId="4" fillId="0" borderId="0" xfId="0" applyFont="1" applyAlignment="1">
      <alignment horizontal="center"/>
    </xf>
    <xf numFmtId="0" fontId="7" fillId="3" borderId="0" xfId="0" applyFont="1" applyFill="1" applyAlignment="1">
      <alignment horizontal="center"/>
    </xf>
    <xf numFmtId="2" fontId="7" fillId="3" borderId="0" xfId="0" applyNumberFormat="1" applyFont="1" applyFill="1" applyAlignment="1">
      <alignment horizontal="center"/>
    </xf>
    <xf numFmtId="0" fontId="4" fillId="5" borderId="0" xfId="0" applyFont="1" applyFill="1" applyAlignment="1">
      <alignment horizontal="center"/>
    </xf>
    <xf numFmtId="0" fontId="4" fillId="3" borderId="0" xfId="0" applyFont="1" applyFill="1" applyAlignment="1">
      <alignment horizontal="center"/>
    </xf>
    <xf numFmtId="0" fontId="0" fillId="0" borderId="0" xfId="0" applyAlignment="1">
      <alignment horizontal="left"/>
    </xf>
    <xf numFmtId="167" fontId="0" fillId="3" borderId="0" xfId="0" applyNumberFormat="1" applyFill="1" applyAlignment="1">
      <alignment horizontal="center" vertical="center"/>
    </xf>
    <xf numFmtId="1" fontId="7" fillId="0" borderId="0" xfId="0" applyNumberFormat="1" applyFont="1" applyAlignment="1">
      <alignment horizontal="center"/>
    </xf>
    <xf numFmtId="0" fontId="4" fillId="0" borderId="11" xfId="0" applyFont="1" applyBorder="1" applyAlignment="1">
      <alignment horizontal="center"/>
    </xf>
    <xf numFmtId="0" fontId="4" fillId="0" borderId="8" xfId="0" applyFont="1" applyBorder="1" applyAlignment="1">
      <alignment horizontal="center"/>
    </xf>
    <xf numFmtId="0" fontId="4" fillId="0" borderId="9" xfId="0" applyFont="1" applyBorder="1" applyAlignment="1">
      <alignment horizontal="center"/>
    </xf>
    <xf numFmtId="0" fontId="0" fillId="0" borderId="4" xfId="0" applyBorder="1" applyAlignment="1">
      <alignment horizontal="center" vertical="center"/>
    </xf>
    <xf numFmtId="0" fontId="4" fillId="0" borderId="1" xfId="0" applyFont="1" applyBorder="1" applyAlignment="1">
      <alignment horizontal="center"/>
    </xf>
    <xf numFmtId="0" fontId="4" fillId="0" borderId="2" xfId="0" applyFont="1" applyBorder="1" applyAlignment="1">
      <alignment horizontal="center"/>
    </xf>
    <xf numFmtId="0" fontId="4" fillId="0" borderId="6" xfId="0" applyFont="1" applyBorder="1" applyAlignment="1">
      <alignment horizontal="center"/>
    </xf>
    <xf numFmtId="0" fontId="0" fillId="0" borderId="7"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4" fillId="0" borderId="16" xfId="0" applyFont="1" applyBorder="1" applyAlignment="1">
      <alignment horizontal="center" vertical="center"/>
    </xf>
    <xf numFmtId="0" fontId="4" fillId="0" borderId="7" xfId="0" applyFont="1" applyBorder="1" applyAlignment="1">
      <alignment horizontal="center" vertical="center"/>
    </xf>
    <xf numFmtId="0" fontId="4" fillId="0" borderId="10" xfId="0" applyFont="1" applyBorder="1" applyAlignment="1">
      <alignment horizontal="center" vertical="center"/>
    </xf>
    <xf numFmtId="0" fontId="4" fillId="0" borderId="14" xfId="0" applyFont="1" applyBorder="1" applyAlignment="1">
      <alignment horizontal="center" vertical="center"/>
    </xf>
    <xf numFmtId="0" fontId="17" fillId="2" borderId="1" xfId="0" applyFont="1" applyFill="1" applyBorder="1" applyAlignment="1">
      <alignment horizontal="center"/>
    </xf>
    <xf numFmtId="0" fontId="17" fillId="2" borderId="6" xfId="0" applyFont="1" applyFill="1" applyBorder="1" applyAlignment="1">
      <alignment horizontal="center"/>
    </xf>
    <xf numFmtId="0" fontId="7" fillId="3" borderId="1" xfId="0" applyFont="1" applyFill="1" applyBorder="1" applyAlignment="1">
      <alignment horizontal="center"/>
    </xf>
    <xf numFmtId="0" fontId="7" fillId="3" borderId="6" xfId="0" applyFont="1" applyFill="1" applyBorder="1" applyAlignment="1">
      <alignment horizontal="center"/>
    </xf>
    <xf numFmtId="0" fontId="16" fillId="2" borderId="1" xfId="0" applyFont="1" applyFill="1" applyBorder="1" applyAlignment="1">
      <alignment horizontal="center"/>
    </xf>
    <xf numFmtId="0" fontId="16" fillId="2" borderId="6" xfId="0" applyFont="1" applyFill="1" applyBorder="1" applyAlignment="1">
      <alignment horizontal="center"/>
    </xf>
    <xf numFmtId="0" fontId="17" fillId="0" borderId="0" xfId="0" applyFont="1" applyAlignment="1">
      <alignment horizontal="center"/>
    </xf>
    <xf numFmtId="0" fontId="4" fillId="0" borderId="4" xfId="0" applyFont="1" applyBorder="1" applyAlignment="1">
      <alignment horizontal="center"/>
    </xf>
    <xf numFmtId="0" fontId="18" fillId="2" borderId="1" xfId="0" applyFont="1" applyFill="1" applyBorder="1" applyAlignment="1">
      <alignment horizontal="center"/>
    </xf>
    <xf numFmtId="0" fontId="18" fillId="2" borderId="6" xfId="0" applyFont="1" applyFill="1" applyBorder="1" applyAlignment="1">
      <alignment horizontal="center"/>
    </xf>
    <xf numFmtId="0" fontId="9" fillId="0" borderId="0" xfId="0" applyFont="1" applyFill="1"/>
    <xf numFmtId="0" fontId="0" fillId="0" borderId="0" xfId="0" applyFill="1"/>
    <xf numFmtId="164" fontId="0" fillId="0" borderId="0" xfId="0" applyNumberFormat="1" applyFill="1"/>
    <xf numFmtId="1" fontId="0" fillId="0" borderId="0" xfId="0" applyNumberFormat="1" applyFill="1"/>
    <xf numFmtId="9" fontId="0" fillId="0" borderId="0" xfId="0" applyNumberFormat="1" applyFill="1"/>
    <xf numFmtId="1" fontId="0" fillId="4" borderId="0" xfId="1" applyNumberFormat="1" applyFont="1" applyFill="1" applyBorder="1"/>
    <xf numFmtId="0" fontId="25" fillId="12" borderId="19" xfId="0" applyFont="1" applyFill="1" applyBorder="1" applyAlignment="1">
      <alignment horizontal="center" vertical="center" wrapText="1"/>
    </xf>
    <xf numFmtId="0" fontId="24" fillId="12" borderId="20" xfId="0" applyFont="1" applyFill="1" applyBorder="1" applyAlignment="1">
      <alignment horizontal="center" vertical="center" wrapText="1"/>
    </xf>
    <xf numFmtId="0" fontId="24" fillId="12" borderId="21" xfId="0" applyFont="1" applyFill="1" applyBorder="1" applyAlignment="1">
      <alignment horizontal="center" vertical="center" wrapText="1"/>
    </xf>
    <xf numFmtId="0" fontId="20" fillId="12" borderId="21" xfId="0" applyFont="1" applyFill="1" applyBorder="1" applyAlignment="1">
      <alignment horizontal="center" vertical="center" wrapText="1"/>
    </xf>
    <xf numFmtId="0" fontId="21" fillId="0" borderId="18" xfId="3" applyFill="1" applyBorder="1" applyAlignment="1">
      <alignment horizontal="left" vertical="center" wrapText="1"/>
    </xf>
    <xf numFmtId="0" fontId="0" fillId="0" borderId="0" xfId="0" applyBorder="1"/>
    <xf numFmtId="0" fontId="25" fillId="14" borderId="19" xfId="0" applyFont="1" applyFill="1" applyBorder="1" applyAlignment="1">
      <alignment horizontal="center" vertical="center" wrapText="1"/>
    </xf>
    <xf numFmtId="0" fontId="20" fillId="14" borderId="21" xfId="0" applyFont="1" applyFill="1" applyBorder="1" applyAlignment="1">
      <alignment horizontal="center" vertical="center" wrapText="1"/>
    </xf>
    <xf numFmtId="0" fontId="4" fillId="0" borderId="0" xfId="0" applyFont="1" applyAlignment="1"/>
    <xf numFmtId="0" fontId="2" fillId="8" borderId="10" xfId="0" applyFont="1" applyFill="1" applyBorder="1"/>
    <xf numFmtId="0" fontId="16" fillId="8" borderId="10" xfId="0" applyFont="1" applyFill="1" applyBorder="1"/>
    <xf numFmtId="166" fontId="0" fillId="4" borderId="0" xfId="0" applyNumberFormat="1" applyFill="1"/>
    <xf numFmtId="9" fontId="0" fillId="4" borderId="0" xfId="1" applyFont="1" applyFill="1" applyBorder="1"/>
    <xf numFmtId="9" fontId="0" fillId="4" borderId="12" xfId="1" applyFont="1" applyFill="1" applyBorder="1"/>
    <xf numFmtId="0" fontId="0" fillId="0" borderId="4" xfId="0" applyFill="1" applyBorder="1"/>
    <xf numFmtId="0" fontId="9" fillId="15" borderId="0" xfId="0" applyFont="1" applyFill="1"/>
    <xf numFmtId="0" fontId="0" fillId="9" borderId="10" xfId="0" applyFont="1" applyFill="1" applyBorder="1"/>
    <xf numFmtId="9" fontId="9" fillId="2" borderId="4" xfId="1" applyFont="1" applyFill="1" applyBorder="1"/>
    <xf numFmtId="0" fontId="9" fillId="2" borderId="10" xfId="0" applyFont="1" applyFill="1" applyBorder="1"/>
    <xf numFmtId="0" fontId="12" fillId="4" borderId="10" xfId="0" applyFont="1" applyFill="1" applyBorder="1"/>
    <xf numFmtId="0" fontId="4" fillId="4" borderId="10" xfId="0" applyFont="1" applyFill="1" applyBorder="1"/>
    <xf numFmtId="9" fontId="0" fillId="4" borderId="12" xfId="0" applyNumberFormat="1" applyFill="1" applyBorder="1"/>
    <xf numFmtId="9" fontId="0" fillId="4" borderId="12" xfId="0" applyNumberFormat="1" applyFont="1" applyFill="1" applyBorder="1"/>
    <xf numFmtId="1" fontId="0" fillId="0" borderId="0" xfId="0" applyNumberFormat="1" applyBorder="1"/>
    <xf numFmtId="1" fontId="7" fillId="4" borderId="0" xfId="0" applyNumberFormat="1" applyFont="1" applyFill="1" applyBorder="1"/>
    <xf numFmtId="9" fontId="0" fillId="0" borderId="0" xfId="0" applyNumberFormat="1" applyBorder="1"/>
    <xf numFmtId="1" fontId="7" fillId="2" borderId="0" xfId="0" applyNumberFormat="1" applyFont="1" applyFill="1" applyBorder="1"/>
    <xf numFmtId="1" fontId="0" fillId="4" borderId="0" xfId="0" applyNumberFormat="1" applyFont="1" applyFill="1" applyBorder="1"/>
    <xf numFmtId="9" fontId="0" fillId="0" borderId="0" xfId="1" applyFont="1" applyFill="1" applyBorder="1"/>
    <xf numFmtId="1" fontId="0" fillId="4" borderId="0" xfId="0" applyNumberFormat="1" applyFill="1" applyBorder="1"/>
    <xf numFmtId="9" fontId="0" fillId="4" borderId="0" xfId="0" applyNumberFormat="1" applyFill="1" applyBorder="1"/>
    <xf numFmtId="1" fontId="0" fillId="0" borderId="0" xfId="0" applyNumberFormat="1" applyBorder="1" applyAlignment="1">
      <alignment horizontal="right"/>
    </xf>
    <xf numFmtId="0" fontId="0" fillId="4" borderId="0" xfId="0" applyFont="1" applyFill="1" applyBorder="1"/>
    <xf numFmtId="1" fontId="0" fillId="4" borderId="0" xfId="0" applyNumberFormat="1" applyFont="1" applyFill="1" applyBorder="1" applyAlignment="1">
      <alignment horizontal="right"/>
    </xf>
    <xf numFmtId="9" fontId="0" fillId="4" borderId="0" xfId="0" applyNumberFormat="1" applyFont="1" applyFill="1" applyBorder="1"/>
    <xf numFmtId="0" fontId="9" fillId="0" borderId="0" xfId="0" applyFont="1" applyBorder="1"/>
    <xf numFmtId="0" fontId="0" fillId="4" borderId="0" xfId="0" applyFill="1" applyBorder="1"/>
    <xf numFmtId="0" fontId="4" fillId="4" borderId="7" xfId="0" applyFont="1" applyFill="1" applyBorder="1"/>
    <xf numFmtId="1" fontId="4" fillId="4" borderId="0" xfId="0" applyNumberFormat="1" applyFont="1" applyFill="1" applyBorder="1"/>
    <xf numFmtId="9" fontId="0" fillId="4" borderId="8" xfId="0" applyNumberFormat="1" applyFont="1" applyFill="1" applyBorder="1"/>
    <xf numFmtId="0" fontId="4" fillId="0" borderId="0" xfId="0" applyFont="1" applyBorder="1"/>
    <xf numFmtId="1" fontId="4" fillId="0" borderId="0" xfId="0" applyNumberFormat="1" applyFont="1" applyBorder="1"/>
    <xf numFmtId="1" fontId="4" fillId="0" borderId="12" xfId="0" applyNumberFormat="1" applyFont="1" applyBorder="1"/>
    <xf numFmtId="1" fontId="4" fillId="0" borderId="16" xfId="0" applyNumberFormat="1" applyFont="1" applyBorder="1"/>
  </cellXfs>
  <cellStyles count="4">
    <cellStyle name="Hyperlink" xfId="3" builtinId="8"/>
    <cellStyle name="Normal" xfId="0" builtinId="0"/>
    <cellStyle name="Percent" xfId="1" builtinId="5"/>
    <cellStyle name="Percent 2" xfId="2" xr:uid="{2437C8B0-C4B7-48B2-95A3-A691F8B45557}"/>
  </cellStyles>
  <dxfs count="1389">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b val="0"/>
        <i val="0"/>
        <color rgb="FFFF0000"/>
      </font>
      <fill>
        <patternFill>
          <bgColor theme="0"/>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00B050"/>
        </patternFill>
      </fill>
    </dxf>
    <dxf>
      <fill>
        <patternFill>
          <bgColor rgb="FF92D05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ill>
        <patternFill>
          <bgColor rgb="FF00B050"/>
        </patternFill>
      </fill>
    </dxf>
    <dxf>
      <fill>
        <patternFill>
          <bgColor rgb="FF92D050"/>
        </patternFill>
      </fill>
    </dxf>
    <dxf>
      <font>
        <b val="0"/>
        <i val="0"/>
        <color rgb="FFFF0000"/>
      </font>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C00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ill>
        <patternFill>
          <bgColor rgb="FFFFC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ill>
        <patternFill>
          <bgColor rgb="FF92D050"/>
        </patternFill>
      </fill>
    </dxf>
    <dxf>
      <fill>
        <patternFill>
          <bgColor rgb="FFFFC000"/>
        </patternFill>
      </fill>
    </dxf>
    <dxf>
      <fill>
        <patternFill>
          <bgColor rgb="FFFF0000"/>
        </patternFill>
      </fill>
    </dxf>
    <dxf>
      <fill>
        <patternFill>
          <bgColor rgb="FF00B050"/>
        </patternFill>
      </fill>
    </dxf>
    <dxf>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ont>
        <b val="0"/>
        <i val="0"/>
        <color rgb="FFFF0000"/>
      </font>
      <fill>
        <patternFill>
          <bgColor theme="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00B05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theme="0"/>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ill>
        <patternFill>
          <bgColor rgb="FF92D050"/>
        </patternFill>
      </fill>
    </dxf>
    <dxf>
      <fill>
        <patternFill>
          <bgColor rgb="FF92D050"/>
        </patternFill>
      </fill>
    </dxf>
    <dxf>
      <font>
        <b/>
        <i val="0"/>
        <color theme="0"/>
      </font>
      <fill>
        <patternFill>
          <bgColor rgb="FF00B050"/>
        </patternFill>
      </fill>
    </dxf>
    <dxf>
      <font>
        <b/>
        <i val="0"/>
        <color auto="1"/>
      </font>
      <fill>
        <patternFill>
          <bgColor rgb="FF00B050"/>
        </patternFill>
      </fill>
    </dxf>
    <dxf>
      <font>
        <b/>
        <i val="0"/>
        <color theme="9" tint="0.59996337778862885"/>
      </font>
      <fill>
        <patternFill>
          <bgColor theme="1"/>
        </patternFill>
      </fill>
    </dxf>
    <dxf>
      <font>
        <b/>
        <i val="0"/>
        <color rgb="FFFFFF00"/>
      </font>
      <fill>
        <patternFill>
          <bgColor theme="1"/>
        </patternFill>
      </fill>
    </dxf>
    <dxf>
      <font>
        <b/>
        <i val="0"/>
        <color theme="1"/>
      </font>
      <fill>
        <patternFill>
          <bgColor theme="9" tint="0.59996337778862885"/>
        </patternFill>
      </fill>
    </dxf>
    <dxf>
      <font>
        <b/>
        <i val="0"/>
        <color theme="1"/>
      </font>
      <fill>
        <patternFill>
          <bgColor rgb="FFFFFF00"/>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b/>
        <i val="0"/>
        <color theme="0"/>
      </font>
      <fill>
        <patternFill>
          <bgColor theme="6" tint="0.59996337778862885"/>
        </patternFill>
      </fill>
    </dxf>
    <dxf>
      <font>
        <color auto="1"/>
      </font>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0000"/>
        </patternFill>
      </fill>
    </dxf>
    <dxf>
      <fill>
        <patternFill>
          <bgColor rgb="FFFFC000"/>
        </patternFill>
      </fill>
    </dxf>
    <dxf>
      <fill>
        <patternFill>
          <bgColor rgb="FFFFC000"/>
        </patternFill>
      </fill>
    </dxf>
    <dxf>
      <fill>
        <patternFill>
          <bgColor rgb="FF00B050"/>
        </patternFill>
      </fill>
    </dxf>
    <dxf>
      <fill>
        <patternFill>
          <bgColor rgb="FF92D050"/>
        </patternFill>
      </fill>
    </dxf>
    <dxf>
      <font>
        <b val="0"/>
        <i val="0"/>
        <color rgb="FFFF0000"/>
      </font>
      <fill>
        <patternFill>
          <bgColor theme="0"/>
        </patternFill>
      </fill>
    </dxf>
    <dxf>
      <fill>
        <patternFill>
          <bgColor rgb="FFFF0000"/>
        </patternFill>
      </fill>
    </dxf>
    <dxf>
      <fill>
        <patternFill>
          <bgColor rgb="FFFF0000"/>
        </patternFill>
      </fill>
    </dxf>
    <dxf>
      <fill>
        <patternFill>
          <bgColor rgb="FF92D050"/>
        </patternFill>
      </fill>
    </dxf>
    <dxf>
      <fill>
        <patternFill>
          <bgColor rgb="FF00B050"/>
        </patternFill>
      </fill>
    </dxf>
    <dxf>
      <fill>
        <patternFill>
          <bgColor rgb="FFFFC000"/>
        </patternFill>
      </fill>
    </dxf>
    <dxf>
      <fill>
        <patternFill>
          <bgColor rgb="FFFF0000"/>
        </patternFill>
      </fill>
    </dxf>
    <dxf>
      <fill>
        <patternFill>
          <bgColor rgb="FFFF0000"/>
        </patternFill>
      </fill>
    </dxf>
    <dxf>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00B050"/>
        </patternFill>
      </fill>
    </dxf>
    <dxf>
      <fill>
        <patternFill>
          <bgColor rgb="FFFFC000"/>
        </patternFill>
      </fill>
    </dxf>
    <dxf>
      <fill>
        <patternFill>
          <bgColor rgb="FFFF0000"/>
        </patternFill>
      </fill>
    </dxf>
    <dxf>
      <fill>
        <patternFill>
          <bgColor rgb="FF92D050"/>
        </patternFill>
      </fill>
    </dxf>
    <dxf>
      <fill>
        <patternFill>
          <bgColor rgb="FFFF0000"/>
        </patternFill>
      </fill>
    </dxf>
    <dxf>
      <fill>
        <patternFill>
          <bgColor rgb="FF00B050"/>
        </patternFill>
      </fill>
    </dxf>
    <dxf>
      <fill>
        <patternFill>
          <bgColor rgb="FFFFC000"/>
        </patternFill>
      </fill>
    </dxf>
    <dxf>
      <numFmt numFmtId="13" formatCode="0%"/>
    </dxf>
    <dxf>
      <numFmt numFmtId="1" formatCode="0"/>
    </dxf>
    <dxf>
      <numFmt numFmtId="1" formatCode="0"/>
      <alignment horizontal="right" vertical="bottom" textRotation="0" wrapText="0" indent="0" justifyLastLine="0" shrinkToFit="0" readingOrder="0"/>
    </dxf>
    <dxf>
      <border diagonalUp="0" diagonalDown="0">
        <left style="medium">
          <color indexed="64"/>
        </left>
        <right style="medium">
          <color indexed="64"/>
        </right>
        <vertical/>
      </border>
    </dxf>
    <dxf>
      <fill>
        <patternFill patternType="none">
          <fgColor rgb="FF000000"/>
          <bgColor auto="1"/>
        </patternFill>
      </fill>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bottom style="medium">
          <color rgb="FF000000"/>
        </bottom>
      </border>
    </dxf>
    <dxf>
      <border outline="0">
        <top style="medium">
          <color rgb="FF000000"/>
        </top>
      </border>
    </dxf>
    <dxf>
      <fill>
        <patternFill patternType="none">
          <fgColor rgb="FF000000"/>
          <bgColor auto="1"/>
        </patternFill>
      </fill>
    </dxf>
    <dxf>
      <numFmt numFmtId="164" formatCode="0.0"/>
    </dxf>
    <dxf>
      <numFmt numFmtId="164" formatCode="0.0"/>
    </dxf>
    <dxf>
      <font>
        <b/>
        <i val="0"/>
        <strike val="0"/>
        <condense val="0"/>
        <extend val="0"/>
        <outline val="0"/>
        <shadow val="0"/>
        <u val="none"/>
        <vertAlign val="baseline"/>
        <sz val="11"/>
        <color theme="1"/>
        <name val="Aptos Narrow"/>
        <family val="2"/>
        <scheme val="minor"/>
      </font>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bottom style="medium">
          <color rgb="FF000000"/>
        </bottom>
      </border>
    </dxf>
    <dxf>
      <border outline="0">
        <top style="medium">
          <color rgb="FF000000"/>
        </top>
      </border>
    </dxf>
    <dxf>
      <fill>
        <patternFill patternType="none">
          <fgColor rgb="FF000000"/>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numFmt numFmtId="164" formatCode="0.0"/>
      <fill>
        <patternFill patternType="none">
          <fgColor indexed="64"/>
          <bgColor auto="1"/>
        </patternFill>
      </fill>
    </dxf>
    <dxf>
      <numFmt numFmtId="164" formatCode="0.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ont>
        <b/>
        <i val="0"/>
        <strike val="0"/>
        <condense val="0"/>
        <extend val="0"/>
        <outline val="0"/>
        <shadow val="0"/>
        <u val="none"/>
        <vertAlign val="baseline"/>
        <sz val="11"/>
        <color theme="1"/>
        <name val="Aptos Narrow"/>
        <family val="2"/>
        <scheme val="minor"/>
      </font>
    </dxf>
    <dxf>
      <fill>
        <patternFill patternType="none">
          <fgColor rgb="FF000000"/>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numFmt numFmtId="1" formatCode="0"/>
      <fill>
        <patternFill patternType="none">
          <fgColor indexed="64"/>
          <bgColor auto="1"/>
        </patternFill>
      </fill>
    </dxf>
    <dxf>
      <numFmt numFmtId="164" formatCode="0.0"/>
      <fill>
        <patternFill patternType="none">
          <fgColor indexed="64"/>
          <bgColor auto="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ill>
        <patternFill patternType="none">
          <fgColor indexed="64"/>
          <bgColor indexed="65"/>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rgb="FFFFFF0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bottom style="medium">
          <color indexed="64"/>
        </bottom>
      </border>
    </dxf>
    <dxf>
      <border diagonalUp="0" diagonalDown="0">
        <left/>
        <right/>
        <top/>
        <bottom/>
        <vertical/>
        <horizontal/>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fill>
        <patternFill patternType="none">
          <fgColor rgb="FF000000"/>
          <bgColor auto="1"/>
        </patternFill>
      </fill>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rgb="FF000000"/>
        </top>
      </border>
    </dxf>
    <dxf>
      <fill>
        <patternFill patternType="none">
          <fgColor rgb="FF000000"/>
          <bgColor auto="1"/>
        </patternFill>
      </fill>
    </dxf>
    <dxf>
      <border outline="0">
        <bottom style="medium">
          <color rgb="FF000000"/>
        </bottom>
      </border>
    </dxf>
    <dxf>
      <border outline="0">
        <left style="medium">
          <color indexed="64"/>
        </left>
        <right style="medium">
          <color indexed="64"/>
        </right>
        <top style="medium">
          <color indexed="64"/>
        </top>
        <bottom style="medium">
          <color indexed="64"/>
        </bottom>
      </border>
    </dxf>
    <dxf>
      <border>
        <bottom style="medium">
          <color indexed="64"/>
        </bottom>
      </border>
    </dxf>
    <dxf>
      <border diagonalUp="0" diagonalDown="0">
        <left style="medium">
          <color indexed="64"/>
        </left>
      </border>
    </dxf>
    <dxf>
      <numFmt numFmtId="1" formatCode="0"/>
      <alignment horizontal="right" vertical="bottom" textRotation="0" wrapText="0" indent="0" justifyLastLine="0" shrinkToFit="0" readingOrder="0"/>
      <border diagonalUp="0" diagonalDown="0">
        <left/>
        <right/>
        <top/>
        <bottom style="medium">
          <color indexed="64"/>
        </bottom>
        <vertical/>
        <horizontal/>
      </border>
    </dxf>
    <dxf>
      <fill>
        <patternFill patternType="solid">
          <fgColor indexed="64"/>
          <bgColor rgb="FFFF0000"/>
        </patternFill>
      </fill>
      <border diagonalUp="0" diagonalDown="0">
        <left/>
        <right style="medium">
          <color indexed="64"/>
        </right>
        <top/>
        <bottom style="medium">
          <color indexed="64"/>
        </bottom>
      </border>
    </dxf>
    <dxf>
      <font>
        <b/>
      </font>
      <border diagonalUp="0" diagonalDown="0">
        <left style="medium">
          <color indexed="64"/>
        </left>
        <right style="medium">
          <color indexed="64"/>
        </right>
        <vertical/>
      </border>
    </dxf>
    <dxf>
      <border outline="0">
        <left style="medium">
          <color indexed="64"/>
        </left>
        <right style="medium">
          <color indexed="64"/>
        </right>
        <top style="medium">
          <color indexed="64"/>
        </top>
        <bottom style="medium">
          <color indexed="64"/>
        </bottom>
      </border>
    </dxf>
    <dxf>
      <border>
        <bottom style="medium">
          <color indexed="64"/>
        </bottom>
      </border>
    </dxf>
    <dxf>
      <border diagonalUp="0" diagonalDown="0">
        <left/>
        <right/>
        <top/>
        <bottom/>
        <vertical/>
        <horizontal/>
      </border>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alignment horizontal="left" vertical="bottom" textRotation="0" wrapText="0" indent="0" justifyLastLine="0" shrinkToFit="0" readingOrder="0"/>
    </dxf>
    <dxf>
      <numFmt numFmtId="164" formatCode="0.0"/>
      <fill>
        <patternFill patternType="none">
          <fgColor indexed="64"/>
          <bgColor indexed="65"/>
        </patternFill>
      </fill>
    </dxf>
    <dxf>
      <numFmt numFmtId="164" formatCode="0.0"/>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13" formatCode="0%"/>
      <fill>
        <patternFill patternType="none">
          <fgColor indexed="64"/>
          <bgColor auto="1"/>
        </patternFill>
      </fill>
    </dxf>
    <dxf>
      <numFmt numFmtId="13" formatCode="0%"/>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strike val="0"/>
        <outline val="0"/>
        <shadow val="0"/>
        <u val="none"/>
        <vertAlign val="baseline"/>
        <sz val="11"/>
        <color auto="1"/>
        <name val="Aptos Narrow"/>
        <family val="2"/>
        <scheme val="minor"/>
      </font>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 formatCode="0"/>
      <fill>
        <patternFill patternType="none">
          <fgColor indexed="64"/>
          <bgColor auto="1"/>
        </patternFill>
      </fill>
    </dxf>
    <dxf>
      <numFmt numFmtId="1" formatCode="0"/>
      <fill>
        <patternFill patternType="none">
          <fgColor indexed="64"/>
          <bgColor auto="1"/>
        </patternFill>
      </fill>
    </dxf>
    <dxf>
      <font>
        <color theme="9" tint="0.59999389629810485"/>
      </font>
      <numFmt numFmtId="164" formatCode="0.0"/>
      <fill>
        <patternFill patternType="solid">
          <fgColor indexed="64"/>
          <bgColor theme="1"/>
        </patternFill>
      </fill>
      <alignment horizontal="right" vertical="bottom" textRotation="0" wrapText="0" indent="0" justifyLastLine="0" shrinkToFit="0" readingOrder="0"/>
    </dxf>
    <dxf>
      <font>
        <color rgb="FFFFFF00"/>
      </font>
      <numFmt numFmtId="164" formatCode="0.0"/>
      <fill>
        <patternFill patternType="solid">
          <fgColor indexed="64"/>
          <bgColor theme="1"/>
        </patternFill>
      </fill>
      <alignment horizontal="right" vertical="bottom" textRotation="0" wrapText="0" indent="0" justifyLastLine="0" shrinkToFit="0" readingOrder="0"/>
    </dxf>
    <dxf>
      <numFmt numFmtId="164" formatCode="0.0"/>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strike val="0"/>
        <outline val="0"/>
        <shadow val="0"/>
        <u val="none"/>
        <vertAlign val="baseline"/>
        <sz val="11"/>
        <color auto="1"/>
        <name val="Aptos Narrow"/>
        <family val="2"/>
        <scheme val="minor"/>
      </font>
      <fill>
        <patternFill patternType="none">
          <fgColor indexed="64"/>
          <bgColor auto="1"/>
        </patternFill>
      </fill>
    </dxf>
    <dxf>
      <border outline="0">
        <top style="medium">
          <color indexed="64"/>
        </top>
      </border>
    </dxf>
    <dxf>
      <fill>
        <patternFill patternType="none">
          <fgColor indexed="64"/>
          <bgColor auto="1"/>
        </patternFill>
      </fill>
    </dxf>
    <dxf>
      <border outline="0">
        <bottom style="medium">
          <color indexed="64"/>
        </bottom>
      </border>
    </dxf>
    <dxf>
      <border diagonalUp="0" diagonalDown="0">
        <left style="medium">
          <color indexed="64"/>
        </left>
        <right style="medium">
          <color indexed="64"/>
        </right>
        <top/>
        <bottom/>
        <vertical/>
        <horizontal/>
      </border>
    </dxf>
    <dxf>
      <font>
        <b/>
        <i val="0"/>
        <strike val="0"/>
        <condense val="0"/>
        <extend val="0"/>
        <outline val="0"/>
        <shadow val="0"/>
        <u val="none"/>
        <vertAlign val="baseline"/>
        <sz val="11"/>
        <color theme="0"/>
        <name val="Aptos Narrow"/>
        <family val="2"/>
        <scheme val="minor"/>
      </font>
      <fill>
        <patternFill patternType="solid">
          <fgColor indexed="64"/>
          <bgColor theme="1"/>
        </patternFill>
      </fill>
    </dxf>
    <dxf>
      <numFmt numFmtId="0" formatCode="General"/>
      <fill>
        <patternFill patternType="solid">
          <fgColor indexed="64"/>
          <bgColor rgb="FFFF9999"/>
        </patternFill>
      </fill>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99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tyles" Target="styles.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1.xml"/><Relationship Id="rId74" Type="http://schemas.microsoft.com/office/2017/10/relationships/person" Target="persons/person.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17/06/relationships/rdRichValueStructure" Target="richData/rdrichvaluestructure.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eetMetadata" Target="metadata.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1.xml"/><Relationship Id="rId7" Type="http://schemas.openxmlformats.org/officeDocument/2006/relationships/worksheet" Target="worksheets/sheet7.xml"/><Relationship Id="rId71" Type="http://schemas.microsoft.com/office/2017/06/relationships/rdRichValue" Target="richData/rdrichvalue.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5.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6.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strRef>
              <c:f>'CORR Y-1'!$A$2:$A$139</c:f>
              <c:strCache>
                <c:ptCount val="138"/>
                <c:pt idx="0">
                  <c:v>Rory McIlroy</c:v>
                </c:pt>
                <c:pt idx="1">
                  <c:v>Matt Fitzpatrick</c:v>
                </c:pt>
                <c:pt idx="2">
                  <c:v>Justin Thomas</c:v>
                </c:pt>
                <c:pt idx="3">
                  <c:v>Scottie Scheffler</c:v>
                </c:pt>
                <c:pt idx="4">
                  <c:v>Sungjae Im</c:v>
                </c:pt>
                <c:pt idx="5">
                  <c:v>Jon Rahm</c:v>
                </c:pt>
                <c:pt idx="6">
                  <c:v>Xander Schauffele</c:v>
                </c:pt>
                <c:pt idx="7">
                  <c:v>Patrick Cantlay</c:v>
                </c:pt>
                <c:pt idx="8">
                  <c:v>Tony Finau</c:v>
                </c:pt>
                <c:pt idx="9">
                  <c:v>Sam Burns</c:v>
                </c:pt>
                <c:pt idx="10">
                  <c:v>Max Homa</c:v>
                </c:pt>
                <c:pt idx="11">
                  <c:v>Cameron Young</c:v>
                </c:pt>
                <c:pt idx="12">
                  <c:v>Russell Henley</c:v>
                </c:pt>
                <c:pt idx="13">
                  <c:v>Shane Lowry</c:v>
                </c:pt>
                <c:pt idx="14">
                  <c:v>Corey Conners</c:v>
                </c:pt>
                <c:pt idx="15">
                  <c:v>Keith Mitchell</c:v>
                </c:pt>
                <c:pt idx="16">
                  <c:v>Keegan Bradley</c:v>
                </c:pt>
                <c:pt idx="17">
                  <c:v>Tommy Fleetwood</c:v>
                </c:pt>
                <c:pt idx="18">
                  <c:v>Tyrrell Hatton</c:v>
                </c:pt>
                <c:pt idx="19">
                  <c:v>Billy Horschel</c:v>
                </c:pt>
                <c:pt idx="20">
                  <c:v>Hideki Matsuyama</c:v>
                </c:pt>
                <c:pt idx="21">
                  <c:v>Chris Kirk</c:v>
                </c:pt>
                <c:pt idx="22">
                  <c:v>Collin Morikawa</c:v>
                </c:pt>
                <c:pt idx="23">
                  <c:v>Jordan Spieth</c:v>
                </c:pt>
                <c:pt idx="24">
                  <c:v>Denny McCarthy</c:v>
                </c:pt>
                <c:pt idx="25">
                  <c:v>Gary Woodland</c:v>
                </c:pt>
                <c:pt idx="26">
                  <c:v>Viktor Hovland</c:v>
                </c:pt>
                <c:pt idx="27">
                  <c:v>Tom Hoge</c:v>
                </c:pt>
                <c:pt idx="28">
                  <c:v>Matt Kuchar</c:v>
                </c:pt>
                <c:pt idx="29">
                  <c:v>Christiaan Bezuidenhout</c:v>
                </c:pt>
                <c:pt idx="30">
                  <c:v>J.T. Poston</c:v>
                </c:pt>
                <c:pt idx="31">
                  <c:v>Maverick McNealy</c:v>
                </c:pt>
                <c:pt idx="32">
                  <c:v>Adam Hadwin</c:v>
                </c:pt>
                <c:pt idx="33">
                  <c:v>Adam Scott</c:v>
                </c:pt>
                <c:pt idx="34">
                  <c:v>Taylor Pendrith</c:v>
                </c:pt>
                <c:pt idx="35">
                  <c:v>Brian Harman</c:v>
                </c:pt>
                <c:pt idx="36">
                  <c:v>Mark Hubbard</c:v>
                </c:pt>
                <c:pt idx="37">
                  <c:v>Davis Riley</c:v>
                </c:pt>
                <c:pt idx="38">
                  <c:v>Patrick Rodgers</c:v>
                </c:pt>
                <c:pt idx="39">
                  <c:v>Scott Stallings</c:v>
                </c:pt>
                <c:pt idx="40">
                  <c:v>Adam Long</c:v>
                </c:pt>
                <c:pt idx="41">
                  <c:v>Seamus Power</c:v>
                </c:pt>
                <c:pt idx="42">
                  <c:v>Cam Davis</c:v>
                </c:pt>
                <c:pt idx="43">
                  <c:v>Brendon Todd</c:v>
                </c:pt>
                <c:pt idx="44">
                  <c:v>Troy Merritt</c:v>
                </c:pt>
                <c:pt idx="45">
                  <c:v>Justin Rose</c:v>
                </c:pt>
                <c:pt idx="46">
                  <c:v>Alex Noren</c:v>
                </c:pt>
                <c:pt idx="47">
                  <c:v>Luke List</c:v>
                </c:pt>
                <c:pt idx="48">
                  <c:v>Emiliano Grillo</c:v>
                </c:pt>
                <c:pt idx="49">
                  <c:v>Andrew Putnam</c:v>
                </c:pt>
                <c:pt idx="50">
                  <c:v>K.H. Lee</c:v>
                </c:pt>
                <c:pt idx="51">
                  <c:v>Tyler Duncan</c:v>
                </c:pt>
                <c:pt idx="52">
                  <c:v>Kevin Streelman</c:v>
                </c:pt>
                <c:pt idx="53">
                  <c:v>Martin Laird</c:v>
                </c:pt>
                <c:pt idx="54">
                  <c:v>Aaron Rai</c:v>
                </c:pt>
                <c:pt idx="55">
                  <c:v>Webb Simpson</c:v>
                </c:pt>
                <c:pt idx="56">
                  <c:v>David Lipsky</c:v>
                </c:pt>
                <c:pt idx="57">
                  <c:v>Sahith Theegala</c:v>
                </c:pt>
                <c:pt idx="58">
                  <c:v>J.J. Spaun</c:v>
                </c:pt>
                <c:pt idx="59">
                  <c:v>Mackenzie Hughes</c:v>
                </c:pt>
                <c:pt idx="60">
                  <c:v>Lanto Griffin</c:v>
                </c:pt>
                <c:pt idx="61">
                  <c:v>Nate Lashley</c:v>
                </c:pt>
                <c:pt idx="62">
                  <c:v>Kurt Kitayama</c:v>
                </c:pt>
                <c:pt idx="63">
                  <c:v>C.T. Pan</c:v>
                </c:pt>
                <c:pt idx="64">
                  <c:v>Matthias Schwab</c:v>
                </c:pt>
                <c:pt idx="65">
                  <c:v>Ryan Armour</c:v>
                </c:pt>
                <c:pt idx="66">
                  <c:v>Wyndham Clark</c:v>
                </c:pt>
                <c:pt idx="67">
                  <c:v>Si Woo Kim</c:v>
                </c:pt>
                <c:pt idx="68">
                  <c:v>Austin Smotherman</c:v>
                </c:pt>
                <c:pt idx="69">
                  <c:v>Callum Tarren</c:v>
                </c:pt>
                <c:pt idx="70">
                  <c:v>Jason Day</c:v>
                </c:pt>
                <c:pt idx="71">
                  <c:v>Trey Mullinax</c:v>
                </c:pt>
                <c:pt idx="72">
                  <c:v>Adam Svensson</c:v>
                </c:pt>
                <c:pt idx="73">
                  <c:v>Russell Knox</c:v>
                </c:pt>
                <c:pt idx="74">
                  <c:v>Ryan Palmer</c:v>
                </c:pt>
                <c:pt idx="75">
                  <c:v>Hayden Buckley</c:v>
                </c:pt>
                <c:pt idx="76">
                  <c:v>Lee Hodges</c:v>
                </c:pt>
                <c:pt idx="77">
                  <c:v>Taylor Moore</c:v>
                </c:pt>
                <c:pt idx="78">
                  <c:v>Alex Smalley</c:v>
                </c:pt>
                <c:pt idx="79">
                  <c:v>Nick Hardy</c:v>
                </c:pt>
                <c:pt idx="80">
                  <c:v>Stephan Jaeger</c:v>
                </c:pt>
                <c:pt idx="81">
                  <c:v>Peter Malnati</c:v>
                </c:pt>
                <c:pt idx="82">
                  <c:v>Beau Hossler</c:v>
                </c:pt>
                <c:pt idx="83">
                  <c:v>Hank Lebioda</c:v>
                </c:pt>
                <c:pt idx="84">
                  <c:v>Robert Streb</c:v>
                </c:pt>
                <c:pt idx="85">
                  <c:v>Satoshi Kodaira</c:v>
                </c:pt>
                <c:pt idx="86">
                  <c:v>Scott Piercy</c:v>
                </c:pt>
                <c:pt idx="87">
                  <c:v>Danny Willett</c:v>
                </c:pt>
                <c:pt idx="88">
                  <c:v>Joel Dahmen</c:v>
                </c:pt>
                <c:pt idx="89">
                  <c:v>Sam Ryder</c:v>
                </c:pt>
                <c:pt idx="90">
                  <c:v>Sepp Straka</c:v>
                </c:pt>
                <c:pt idx="91">
                  <c:v>Dylan Frittelli</c:v>
                </c:pt>
                <c:pt idx="92">
                  <c:v>Greyson Sigg</c:v>
                </c:pt>
                <c:pt idx="93">
                  <c:v>James Hahn</c:v>
                </c:pt>
                <c:pt idx="94">
                  <c:v>Cameron Percy</c:v>
                </c:pt>
                <c:pt idx="95">
                  <c:v>Nick Taylor</c:v>
                </c:pt>
                <c:pt idx="96">
                  <c:v>Cameron Champ</c:v>
                </c:pt>
                <c:pt idx="97">
                  <c:v>Michael Gligic</c:v>
                </c:pt>
                <c:pt idx="98">
                  <c:v>Brice Garnett</c:v>
                </c:pt>
                <c:pt idx="99">
                  <c:v>Jonathan Byrd</c:v>
                </c:pt>
                <c:pt idx="100">
                  <c:v>Kelly Kraft</c:v>
                </c:pt>
                <c:pt idx="101">
                  <c:v>Patton Kizzire</c:v>
                </c:pt>
                <c:pt idx="102">
                  <c:v>Doug Ghim</c:v>
                </c:pt>
                <c:pt idx="103">
                  <c:v>Rickie Fowler</c:v>
                </c:pt>
                <c:pt idx="104">
                  <c:v>Chesson Hadley</c:v>
                </c:pt>
                <c:pt idx="105">
                  <c:v>Chez Reavie</c:v>
                </c:pt>
                <c:pt idx="106">
                  <c:v>Lucas Glover</c:v>
                </c:pt>
                <c:pt idx="107">
                  <c:v>Brandon Wu</c:v>
                </c:pt>
                <c:pt idx="108">
                  <c:v>Zach Johnson</c:v>
                </c:pt>
                <c:pt idx="109">
                  <c:v>Adam Schenk</c:v>
                </c:pt>
                <c:pt idx="110">
                  <c:v>Stewart Cink</c:v>
                </c:pt>
                <c:pt idx="111">
                  <c:v>Justin Lower</c:v>
                </c:pt>
                <c:pt idx="112">
                  <c:v>Doc Redman</c:v>
                </c:pt>
                <c:pt idx="113">
                  <c:v>Lucas Herbert</c:v>
                </c:pt>
                <c:pt idx="114">
                  <c:v>Austin Cook</c:v>
                </c:pt>
                <c:pt idx="115">
                  <c:v>Kramer Hickok</c:v>
                </c:pt>
                <c:pt idx="116">
                  <c:v>Erik van Rooyen</c:v>
                </c:pt>
                <c:pt idx="117">
                  <c:v>Andrew Novak</c:v>
                </c:pt>
                <c:pt idx="118">
                  <c:v>S.Y. Noh</c:v>
                </c:pt>
                <c:pt idx="119">
                  <c:v>Henrik Norlander</c:v>
                </c:pt>
                <c:pt idx="120">
                  <c:v>Chad Ramey</c:v>
                </c:pt>
                <c:pt idx="121">
                  <c:v>Joseph Bramlett</c:v>
                </c:pt>
                <c:pt idx="122">
                  <c:v>Kevin Tway</c:v>
                </c:pt>
                <c:pt idx="123">
                  <c:v>Charley Hoffman</c:v>
                </c:pt>
                <c:pt idx="124">
                  <c:v>Dylan Wu</c:v>
                </c:pt>
                <c:pt idx="125">
                  <c:v>Brian Stuard</c:v>
                </c:pt>
                <c:pt idx="126">
                  <c:v>Max McGreevy</c:v>
                </c:pt>
                <c:pt idx="127">
                  <c:v>Matt Wallace</c:v>
                </c:pt>
                <c:pt idx="128">
                  <c:v>Harry Higgs</c:v>
                </c:pt>
                <c:pt idx="129">
                  <c:v>Kevin Chappell</c:v>
                </c:pt>
                <c:pt idx="130">
                  <c:v>Sung Kang</c:v>
                </c:pt>
                <c:pt idx="131">
                  <c:v>Martin Trainer</c:v>
                </c:pt>
                <c:pt idx="132">
                  <c:v>Nick Watney</c:v>
                </c:pt>
                <c:pt idx="133">
                  <c:v>Garrick Higgo</c:v>
                </c:pt>
                <c:pt idx="134">
                  <c:v>Jim Herman</c:v>
                </c:pt>
                <c:pt idx="135">
                  <c:v>Jason Dufner</c:v>
                </c:pt>
                <c:pt idx="136">
                  <c:v>Richy Werenski</c:v>
                </c:pt>
                <c:pt idx="137">
                  <c:v>Wesley Bryan</c:v>
                </c:pt>
              </c:strCache>
            </c:strRef>
          </c:xVal>
          <c:yVal>
            <c:numRef>
              <c:f>'CORR Y-1'!$B$2:$B$139</c:f>
              <c:numCache>
                <c:formatCode>General</c:formatCode>
                <c:ptCount val="138"/>
                <c:pt idx="0">
                  <c:v>1</c:v>
                </c:pt>
                <c:pt idx="1">
                  <c:v>2</c:v>
                </c:pt>
                <c:pt idx="2">
                  <c:v>4</c:v>
                </c:pt>
                <c:pt idx="3">
                  <c:v>5</c:v>
                </c:pt>
                <c:pt idx="4">
                  <c:v>6</c:v>
                </c:pt>
                <c:pt idx="5">
                  <c:v>7</c:v>
                </c:pt>
                <c:pt idx="6">
                  <c:v>8</c:v>
                </c:pt>
                <c:pt idx="7">
                  <c:v>9</c:v>
                </c:pt>
                <c:pt idx="8">
                  <c:v>10</c:v>
                </c:pt>
                <c:pt idx="9">
                  <c:v>12</c:v>
                </c:pt>
                <c:pt idx="10">
                  <c:v>13</c:v>
                </c:pt>
                <c:pt idx="11">
                  <c:v>15</c:v>
                </c:pt>
                <c:pt idx="12">
                  <c:v>16</c:v>
                </c:pt>
                <c:pt idx="13">
                  <c:v>17</c:v>
                </c:pt>
                <c:pt idx="14">
                  <c:v>18</c:v>
                </c:pt>
                <c:pt idx="15">
                  <c:v>20</c:v>
                </c:pt>
                <c:pt idx="16">
                  <c:v>21</c:v>
                </c:pt>
                <c:pt idx="17">
                  <c:v>23</c:v>
                </c:pt>
                <c:pt idx="18">
                  <c:v>24</c:v>
                </c:pt>
                <c:pt idx="19">
                  <c:v>25</c:v>
                </c:pt>
                <c:pt idx="20">
                  <c:v>27</c:v>
                </c:pt>
                <c:pt idx="21">
                  <c:v>28</c:v>
                </c:pt>
                <c:pt idx="22">
                  <c:v>29</c:v>
                </c:pt>
                <c:pt idx="23">
                  <c:v>30</c:v>
                </c:pt>
                <c:pt idx="24">
                  <c:v>31</c:v>
                </c:pt>
                <c:pt idx="25">
                  <c:v>32</c:v>
                </c:pt>
                <c:pt idx="26">
                  <c:v>34</c:v>
                </c:pt>
                <c:pt idx="27">
                  <c:v>34</c:v>
                </c:pt>
                <c:pt idx="28">
                  <c:v>36</c:v>
                </c:pt>
                <c:pt idx="29">
                  <c:v>37</c:v>
                </c:pt>
                <c:pt idx="30">
                  <c:v>38</c:v>
                </c:pt>
                <c:pt idx="31">
                  <c:v>39</c:v>
                </c:pt>
                <c:pt idx="32">
                  <c:v>41</c:v>
                </c:pt>
                <c:pt idx="33">
                  <c:v>42</c:v>
                </c:pt>
                <c:pt idx="34">
                  <c:v>42</c:v>
                </c:pt>
                <c:pt idx="35">
                  <c:v>44</c:v>
                </c:pt>
                <c:pt idx="36">
                  <c:v>45</c:v>
                </c:pt>
                <c:pt idx="37">
                  <c:v>46</c:v>
                </c:pt>
                <c:pt idx="38">
                  <c:v>47</c:v>
                </c:pt>
                <c:pt idx="39">
                  <c:v>48</c:v>
                </c:pt>
                <c:pt idx="40">
                  <c:v>50</c:v>
                </c:pt>
                <c:pt idx="41">
                  <c:v>51</c:v>
                </c:pt>
                <c:pt idx="42">
                  <c:v>52</c:v>
                </c:pt>
                <c:pt idx="43">
                  <c:v>53</c:v>
                </c:pt>
                <c:pt idx="44">
                  <c:v>54</c:v>
                </c:pt>
                <c:pt idx="45">
                  <c:v>55</c:v>
                </c:pt>
                <c:pt idx="46">
                  <c:v>56</c:v>
                </c:pt>
                <c:pt idx="47">
                  <c:v>57</c:v>
                </c:pt>
                <c:pt idx="48">
                  <c:v>59</c:v>
                </c:pt>
                <c:pt idx="49">
                  <c:v>60</c:v>
                </c:pt>
                <c:pt idx="50">
                  <c:v>61</c:v>
                </c:pt>
                <c:pt idx="51">
                  <c:v>63</c:v>
                </c:pt>
                <c:pt idx="52">
                  <c:v>65</c:v>
                </c:pt>
                <c:pt idx="53">
                  <c:v>67</c:v>
                </c:pt>
                <c:pt idx="54">
                  <c:v>69</c:v>
                </c:pt>
                <c:pt idx="55">
                  <c:v>71</c:v>
                </c:pt>
                <c:pt idx="56">
                  <c:v>72</c:v>
                </c:pt>
                <c:pt idx="57">
                  <c:v>74</c:v>
                </c:pt>
                <c:pt idx="58">
                  <c:v>76</c:v>
                </c:pt>
                <c:pt idx="59">
                  <c:v>77</c:v>
                </c:pt>
                <c:pt idx="60">
                  <c:v>78</c:v>
                </c:pt>
                <c:pt idx="61">
                  <c:v>79</c:v>
                </c:pt>
                <c:pt idx="62">
                  <c:v>79</c:v>
                </c:pt>
                <c:pt idx="63">
                  <c:v>82</c:v>
                </c:pt>
                <c:pt idx="64">
                  <c:v>86</c:v>
                </c:pt>
                <c:pt idx="65">
                  <c:v>87</c:v>
                </c:pt>
                <c:pt idx="66">
                  <c:v>88</c:v>
                </c:pt>
                <c:pt idx="67">
                  <c:v>90</c:v>
                </c:pt>
                <c:pt idx="68">
                  <c:v>91</c:v>
                </c:pt>
                <c:pt idx="69">
                  <c:v>92</c:v>
                </c:pt>
                <c:pt idx="70">
                  <c:v>93</c:v>
                </c:pt>
                <c:pt idx="71">
                  <c:v>94</c:v>
                </c:pt>
                <c:pt idx="72">
                  <c:v>95</c:v>
                </c:pt>
                <c:pt idx="73">
                  <c:v>96</c:v>
                </c:pt>
                <c:pt idx="74">
                  <c:v>97</c:v>
                </c:pt>
                <c:pt idx="75">
                  <c:v>98</c:v>
                </c:pt>
                <c:pt idx="76">
                  <c:v>100</c:v>
                </c:pt>
                <c:pt idx="77">
                  <c:v>102</c:v>
                </c:pt>
                <c:pt idx="78">
                  <c:v>103</c:v>
                </c:pt>
                <c:pt idx="79">
                  <c:v>104</c:v>
                </c:pt>
                <c:pt idx="80">
                  <c:v>105</c:v>
                </c:pt>
                <c:pt idx="81">
                  <c:v>106</c:v>
                </c:pt>
                <c:pt idx="82">
                  <c:v>107</c:v>
                </c:pt>
                <c:pt idx="83">
                  <c:v>108</c:v>
                </c:pt>
                <c:pt idx="84">
                  <c:v>111</c:v>
                </c:pt>
                <c:pt idx="85">
                  <c:v>112</c:v>
                </c:pt>
                <c:pt idx="86">
                  <c:v>113</c:v>
                </c:pt>
                <c:pt idx="87">
                  <c:v>114</c:v>
                </c:pt>
                <c:pt idx="88">
                  <c:v>115</c:v>
                </c:pt>
                <c:pt idx="89">
                  <c:v>116</c:v>
                </c:pt>
                <c:pt idx="90">
                  <c:v>117</c:v>
                </c:pt>
                <c:pt idx="91">
                  <c:v>118</c:v>
                </c:pt>
                <c:pt idx="92">
                  <c:v>119</c:v>
                </c:pt>
                <c:pt idx="93">
                  <c:v>121</c:v>
                </c:pt>
                <c:pt idx="94">
                  <c:v>122</c:v>
                </c:pt>
                <c:pt idx="95">
                  <c:v>123</c:v>
                </c:pt>
                <c:pt idx="96">
                  <c:v>125</c:v>
                </c:pt>
                <c:pt idx="97">
                  <c:v>126</c:v>
                </c:pt>
                <c:pt idx="98">
                  <c:v>127</c:v>
                </c:pt>
                <c:pt idx="99">
                  <c:v>129</c:v>
                </c:pt>
                <c:pt idx="100">
                  <c:v>130</c:v>
                </c:pt>
                <c:pt idx="101">
                  <c:v>131</c:v>
                </c:pt>
                <c:pt idx="102">
                  <c:v>132</c:v>
                </c:pt>
                <c:pt idx="103">
                  <c:v>133</c:v>
                </c:pt>
                <c:pt idx="104">
                  <c:v>134</c:v>
                </c:pt>
                <c:pt idx="105">
                  <c:v>135</c:v>
                </c:pt>
                <c:pt idx="106">
                  <c:v>136</c:v>
                </c:pt>
                <c:pt idx="107">
                  <c:v>136</c:v>
                </c:pt>
                <c:pt idx="108">
                  <c:v>138</c:v>
                </c:pt>
                <c:pt idx="109">
                  <c:v>139</c:v>
                </c:pt>
                <c:pt idx="110">
                  <c:v>140</c:v>
                </c:pt>
                <c:pt idx="111">
                  <c:v>143</c:v>
                </c:pt>
                <c:pt idx="112">
                  <c:v>144</c:v>
                </c:pt>
                <c:pt idx="113">
                  <c:v>145</c:v>
                </c:pt>
                <c:pt idx="114">
                  <c:v>146</c:v>
                </c:pt>
                <c:pt idx="115">
                  <c:v>147</c:v>
                </c:pt>
                <c:pt idx="116">
                  <c:v>150</c:v>
                </c:pt>
                <c:pt idx="117">
                  <c:v>154</c:v>
                </c:pt>
                <c:pt idx="118">
                  <c:v>155</c:v>
                </c:pt>
                <c:pt idx="119">
                  <c:v>156</c:v>
                </c:pt>
                <c:pt idx="120">
                  <c:v>157</c:v>
                </c:pt>
                <c:pt idx="121">
                  <c:v>159</c:v>
                </c:pt>
                <c:pt idx="122">
                  <c:v>161</c:v>
                </c:pt>
                <c:pt idx="123">
                  <c:v>162</c:v>
                </c:pt>
                <c:pt idx="124">
                  <c:v>167</c:v>
                </c:pt>
                <c:pt idx="125">
                  <c:v>170</c:v>
                </c:pt>
                <c:pt idx="126">
                  <c:v>171</c:v>
                </c:pt>
                <c:pt idx="127">
                  <c:v>173</c:v>
                </c:pt>
                <c:pt idx="128">
                  <c:v>176</c:v>
                </c:pt>
                <c:pt idx="129">
                  <c:v>178</c:v>
                </c:pt>
                <c:pt idx="130">
                  <c:v>181</c:v>
                </c:pt>
                <c:pt idx="131">
                  <c:v>183</c:v>
                </c:pt>
                <c:pt idx="132">
                  <c:v>184</c:v>
                </c:pt>
                <c:pt idx="133">
                  <c:v>186</c:v>
                </c:pt>
                <c:pt idx="134">
                  <c:v>187</c:v>
                </c:pt>
                <c:pt idx="135">
                  <c:v>189</c:v>
                </c:pt>
                <c:pt idx="136">
                  <c:v>190</c:v>
                </c:pt>
                <c:pt idx="137">
                  <c:v>191</c:v>
                </c:pt>
              </c:numCache>
            </c:numRef>
          </c:yVal>
          <c:smooth val="0"/>
          <c:extLst>
            <c:ext xmlns:c16="http://schemas.microsoft.com/office/drawing/2014/chart" uri="{C3380CC4-5D6E-409C-BE32-E72D297353CC}">
              <c16:uniqueId val="{00000000-69EE-4489-BB01-203036301336}"/>
            </c:ext>
          </c:extLst>
        </c:ser>
        <c:ser>
          <c:idx val="1"/>
          <c:order val="1"/>
          <c:tx>
            <c:v>Series2</c:v>
          </c:tx>
          <c:spPr>
            <a:ln w="25400"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trendline>
            <c:spPr>
              <a:ln w="38100" cap="rnd">
                <a:solidFill>
                  <a:srgbClr val="FFC000"/>
                </a:solidFill>
                <a:prstDash val="solid"/>
              </a:ln>
              <a:effectLst/>
            </c:spPr>
            <c:trendlineType val="linear"/>
            <c:dispRSqr val="0"/>
            <c:dispEq val="0"/>
          </c:trendline>
          <c:xVal>
            <c:strRef>
              <c:f>'CORR Y-1'!$A$2:$A$139</c:f>
              <c:strCache>
                <c:ptCount val="138"/>
                <c:pt idx="0">
                  <c:v>Rory McIlroy</c:v>
                </c:pt>
                <c:pt idx="1">
                  <c:v>Matt Fitzpatrick</c:v>
                </c:pt>
                <c:pt idx="2">
                  <c:v>Justin Thomas</c:v>
                </c:pt>
                <c:pt idx="3">
                  <c:v>Scottie Scheffler</c:v>
                </c:pt>
                <c:pt idx="4">
                  <c:v>Sungjae Im</c:v>
                </c:pt>
                <c:pt idx="5">
                  <c:v>Jon Rahm</c:v>
                </c:pt>
                <c:pt idx="6">
                  <c:v>Xander Schauffele</c:v>
                </c:pt>
                <c:pt idx="7">
                  <c:v>Patrick Cantlay</c:v>
                </c:pt>
                <c:pt idx="8">
                  <c:v>Tony Finau</c:v>
                </c:pt>
                <c:pt idx="9">
                  <c:v>Sam Burns</c:v>
                </c:pt>
                <c:pt idx="10">
                  <c:v>Max Homa</c:v>
                </c:pt>
                <c:pt idx="11">
                  <c:v>Cameron Young</c:v>
                </c:pt>
                <c:pt idx="12">
                  <c:v>Russell Henley</c:v>
                </c:pt>
                <c:pt idx="13">
                  <c:v>Shane Lowry</c:v>
                </c:pt>
                <c:pt idx="14">
                  <c:v>Corey Conners</c:v>
                </c:pt>
                <c:pt idx="15">
                  <c:v>Keith Mitchell</c:v>
                </c:pt>
                <c:pt idx="16">
                  <c:v>Keegan Bradley</c:v>
                </c:pt>
                <c:pt idx="17">
                  <c:v>Tommy Fleetwood</c:v>
                </c:pt>
                <c:pt idx="18">
                  <c:v>Tyrrell Hatton</c:v>
                </c:pt>
                <c:pt idx="19">
                  <c:v>Billy Horschel</c:v>
                </c:pt>
                <c:pt idx="20">
                  <c:v>Hideki Matsuyama</c:v>
                </c:pt>
                <c:pt idx="21">
                  <c:v>Chris Kirk</c:v>
                </c:pt>
                <c:pt idx="22">
                  <c:v>Collin Morikawa</c:v>
                </c:pt>
                <c:pt idx="23">
                  <c:v>Jordan Spieth</c:v>
                </c:pt>
                <c:pt idx="24">
                  <c:v>Denny McCarthy</c:v>
                </c:pt>
                <c:pt idx="25">
                  <c:v>Gary Woodland</c:v>
                </c:pt>
                <c:pt idx="26">
                  <c:v>Viktor Hovland</c:v>
                </c:pt>
                <c:pt idx="27">
                  <c:v>Tom Hoge</c:v>
                </c:pt>
                <c:pt idx="28">
                  <c:v>Matt Kuchar</c:v>
                </c:pt>
                <c:pt idx="29">
                  <c:v>Christiaan Bezuidenhout</c:v>
                </c:pt>
                <c:pt idx="30">
                  <c:v>J.T. Poston</c:v>
                </c:pt>
                <c:pt idx="31">
                  <c:v>Maverick McNealy</c:v>
                </c:pt>
                <c:pt idx="32">
                  <c:v>Adam Hadwin</c:v>
                </c:pt>
                <c:pt idx="33">
                  <c:v>Adam Scott</c:v>
                </c:pt>
                <c:pt idx="34">
                  <c:v>Taylor Pendrith</c:v>
                </c:pt>
                <c:pt idx="35">
                  <c:v>Brian Harman</c:v>
                </c:pt>
                <c:pt idx="36">
                  <c:v>Mark Hubbard</c:v>
                </c:pt>
                <c:pt idx="37">
                  <c:v>Davis Riley</c:v>
                </c:pt>
                <c:pt idx="38">
                  <c:v>Patrick Rodgers</c:v>
                </c:pt>
                <c:pt idx="39">
                  <c:v>Scott Stallings</c:v>
                </c:pt>
                <c:pt idx="40">
                  <c:v>Adam Long</c:v>
                </c:pt>
                <c:pt idx="41">
                  <c:v>Seamus Power</c:v>
                </c:pt>
                <c:pt idx="42">
                  <c:v>Cam Davis</c:v>
                </c:pt>
                <c:pt idx="43">
                  <c:v>Brendon Todd</c:v>
                </c:pt>
                <c:pt idx="44">
                  <c:v>Troy Merritt</c:v>
                </c:pt>
                <c:pt idx="45">
                  <c:v>Justin Rose</c:v>
                </c:pt>
                <c:pt idx="46">
                  <c:v>Alex Noren</c:v>
                </c:pt>
                <c:pt idx="47">
                  <c:v>Luke List</c:v>
                </c:pt>
                <c:pt idx="48">
                  <c:v>Emiliano Grillo</c:v>
                </c:pt>
                <c:pt idx="49">
                  <c:v>Andrew Putnam</c:v>
                </c:pt>
                <c:pt idx="50">
                  <c:v>K.H. Lee</c:v>
                </c:pt>
                <c:pt idx="51">
                  <c:v>Tyler Duncan</c:v>
                </c:pt>
                <c:pt idx="52">
                  <c:v>Kevin Streelman</c:v>
                </c:pt>
                <c:pt idx="53">
                  <c:v>Martin Laird</c:v>
                </c:pt>
                <c:pt idx="54">
                  <c:v>Aaron Rai</c:v>
                </c:pt>
                <c:pt idx="55">
                  <c:v>Webb Simpson</c:v>
                </c:pt>
                <c:pt idx="56">
                  <c:v>David Lipsky</c:v>
                </c:pt>
                <c:pt idx="57">
                  <c:v>Sahith Theegala</c:v>
                </c:pt>
                <c:pt idx="58">
                  <c:v>J.J. Spaun</c:v>
                </c:pt>
                <c:pt idx="59">
                  <c:v>Mackenzie Hughes</c:v>
                </c:pt>
                <c:pt idx="60">
                  <c:v>Lanto Griffin</c:v>
                </c:pt>
                <c:pt idx="61">
                  <c:v>Nate Lashley</c:v>
                </c:pt>
                <c:pt idx="62">
                  <c:v>Kurt Kitayama</c:v>
                </c:pt>
                <c:pt idx="63">
                  <c:v>C.T. Pan</c:v>
                </c:pt>
                <c:pt idx="64">
                  <c:v>Matthias Schwab</c:v>
                </c:pt>
                <c:pt idx="65">
                  <c:v>Ryan Armour</c:v>
                </c:pt>
                <c:pt idx="66">
                  <c:v>Wyndham Clark</c:v>
                </c:pt>
                <c:pt idx="67">
                  <c:v>Si Woo Kim</c:v>
                </c:pt>
                <c:pt idx="68">
                  <c:v>Austin Smotherman</c:v>
                </c:pt>
                <c:pt idx="69">
                  <c:v>Callum Tarren</c:v>
                </c:pt>
                <c:pt idx="70">
                  <c:v>Jason Day</c:v>
                </c:pt>
                <c:pt idx="71">
                  <c:v>Trey Mullinax</c:v>
                </c:pt>
                <c:pt idx="72">
                  <c:v>Adam Svensson</c:v>
                </c:pt>
                <c:pt idx="73">
                  <c:v>Russell Knox</c:v>
                </c:pt>
                <c:pt idx="74">
                  <c:v>Ryan Palmer</c:v>
                </c:pt>
                <c:pt idx="75">
                  <c:v>Hayden Buckley</c:v>
                </c:pt>
                <c:pt idx="76">
                  <c:v>Lee Hodges</c:v>
                </c:pt>
                <c:pt idx="77">
                  <c:v>Taylor Moore</c:v>
                </c:pt>
                <c:pt idx="78">
                  <c:v>Alex Smalley</c:v>
                </c:pt>
                <c:pt idx="79">
                  <c:v>Nick Hardy</c:v>
                </c:pt>
                <c:pt idx="80">
                  <c:v>Stephan Jaeger</c:v>
                </c:pt>
                <c:pt idx="81">
                  <c:v>Peter Malnati</c:v>
                </c:pt>
                <c:pt idx="82">
                  <c:v>Beau Hossler</c:v>
                </c:pt>
                <c:pt idx="83">
                  <c:v>Hank Lebioda</c:v>
                </c:pt>
                <c:pt idx="84">
                  <c:v>Robert Streb</c:v>
                </c:pt>
                <c:pt idx="85">
                  <c:v>Satoshi Kodaira</c:v>
                </c:pt>
                <c:pt idx="86">
                  <c:v>Scott Piercy</c:v>
                </c:pt>
                <c:pt idx="87">
                  <c:v>Danny Willett</c:v>
                </c:pt>
                <c:pt idx="88">
                  <c:v>Joel Dahmen</c:v>
                </c:pt>
                <c:pt idx="89">
                  <c:v>Sam Ryder</c:v>
                </c:pt>
                <c:pt idx="90">
                  <c:v>Sepp Straka</c:v>
                </c:pt>
                <c:pt idx="91">
                  <c:v>Dylan Frittelli</c:v>
                </c:pt>
                <c:pt idx="92">
                  <c:v>Greyson Sigg</c:v>
                </c:pt>
                <c:pt idx="93">
                  <c:v>James Hahn</c:v>
                </c:pt>
                <c:pt idx="94">
                  <c:v>Cameron Percy</c:v>
                </c:pt>
                <c:pt idx="95">
                  <c:v>Nick Taylor</c:v>
                </c:pt>
                <c:pt idx="96">
                  <c:v>Cameron Champ</c:v>
                </c:pt>
                <c:pt idx="97">
                  <c:v>Michael Gligic</c:v>
                </c:pt>
                <c:pt idx="98">
                  <c:v>Brice Garnett</c:v>
                </c:pt>
                <c:pt idx="99">
                  <c:v>Jonathan Byrd</c:v>
                </c:pt>
                <c:pt idx="100">
                  <c:v>Kelly Kraft</c:v>
                </c:pt>
                <c:pt idx="101">
                  <c:v>Patton Kizzire</c:v>
                </c:pt>
                <c:pt idx="102">
                  <c:v>Doug Ghim</c:v>
                </c:pt>
                <c:pt idx="103">
                  <c:v>Rickie Fowler</c:v>
                </c:pt>
                <c:pt idx="104">
                  <c:v>Chesson Hadley</c:v>
                </c:pt>
                <c:pt idx="105">
                  <c:v>Chez Reavie</c:v>
                </c:pt>
                <c:pt idx="106">
                  <c:v>Lucas Glover</c:v>
                </c:pt>
                <c:pt idx="107">
                  <c:v>Brandon Wu</c:v>
                </c:pt>
                <c:pt idx="108">
                  <c:v>Zach Johnson</c:v>
                </c:pt>
                <c:pt idx="109">
                  <c:v>Adam Schenk</c:v>
                </c:pt>
                <c:pt idx="110">
                  <c:v>Stewart Cink</c:v>
                </c:pt>
                <c:pt idx="111">
                  <c:v>Justin Lower</c:v>
                </c:pt>
                <c:pt idx="112">
                  <c:v>Doc Redman</c:v>
                </c:pt>
                <c:pt idx="113">
                  <c:v>Lucas Herbert</c:v>
                </c:pt>
                <c:pt idx="114">
                  <c:v>Austin Cook</c:v>
                </c:pt>
                <c:pt idx="115">
                  <c:v>Kramer Hickok</c:v>
                </c:pt>
                <c:pt idx="116">
                  <c:v>Erik van Rooyen</c:v>
                </c:pt>
                <c:pt idx="117">
                  <c:v>Andrew Novak</c:v>
                </c:pt>
                <c:pt idx="118">
                  <c:v>S.Y. Noh</c:v>
                </c:pt>
                <c:pt idx="119">
                  <c:v>Henrik Norlander</c:v>
                </c:pt>
                <c:pt idx="120">
                  <c:v>Chad Ramey</c:v>
                </c:pt>
                <c:pt idx="121">
                  <c:v>Joseph Bramlett</c:v>
                </c:pt>
                <c:pt idx="122">
                  <c:v>Kevin Tway</c:v>
                </c:pt>
                <c:pt idx="123">
                  <c:v>Charley Hoffman</c:v>
                </c:pt>
                <c:pt idx="124">
                  <c:v>Dylan Wu</c:v>
                </c:pt>
                <c:pt idx="125">
                  <c:v>Brian Stuard</c:v>
                </c:pt>
                <c:pt idx="126">
                  <c:v>Max McGreevy</c:v>
                </c:pt>
                <c:pt idx="127">
                  <c:v>Matt Wallace</c:v>
                </c:pt>
                <c:pt idx="128">
                  <c:v>Harry Higgs</c:v>
                </c:pt>
                <c:pt idx="129">
                  <c:v>Kevin Chappell</c:v>
                </c:pt>
                <c:pt idx="130">
                  <c:v>Sung Kang</c:v>
                </c:pt>
                <c:pt idx="131">
                  <c:v>Martin Trainer</c:v>
                </c:pt>
                <c:pt idx="132">
                  <c:v>Nick Watney</c:v>
                </c:pt>
                <c:pt idx="133">
                  <c:v>Garrick Higgo</c:v>
                </c:pt>
                <c:pt idx="134">
                  <c:v>Jim Herman</c:v>
                </c:pt>
                <c:pt idx="135">
                  <c:v>Jason Dufner</c:v>
                </c:pt>
                <c:pt idx="136">
                  <c:v>Richy Werenski</c:v>
                </c:pt>
                <c:pt idx="137">
                  <c:v>Wesley Bryan</c:v>
                </c:pt>
              </c:strCache>
            </c:strRef>
          </c:xVal>
          <c:yVal>
            <c:numRef>
              <c:f>'CORR Y-1'!$C$2:$C$139</c:f>
              <c:numCache>
                <c:formatCode>General</c:formatCode>
                <c:ptCount val="138"/>
                <c:pt idx="0">
                  <c:v>2</c:v>
                </c:pt>
                <c:pt idx="1">
                  <c:v>21</c:v>
                </c:pt>
                <c:pt idx="2">
                  <c:v>27</c:v>
                </c:pt>
                <c:pt idx="3">
                  <c:v>1</c:v>
                </c:pt>
                <c:pt idx="4">
                  <c:v>17</c:v>
                </c:pt>
                <c:pt idx="5">
                  <c:v>6</c:v>
                </c:pt>
                <c:pt idx="6">
                  <c:v>3</c:v>
                </c:pt>
                <c:pt idx="7">
                  <c:v>3</c:v>
                </c:pt>
                <c:pt idx="8">
                  <c:v>15</c:v>
                </c:pt>
                <c:pt idx="9">
                  <c:v>31</c:v>
                </c:pt>
                <c:pt idx="10">
                  <c:v>9</c:v>
                </c:pt>
                <c:pt idx="11">
                  <c:v>74</c:v>
                </c:pt>
                <c:pt idx="12">
                  <c:v>25</c:v>
                </c:pt>
                <c:pt idx="13">
                  <c:v>29</c:v>
                </c:pt>
                <c:pt idx="14">
                  <c:v>22</c:v>
                </c:pt>
                <c:pt idx="15">
                  <c:v>57</c:v>
                </c:pt>
                <c:pt idx="16">
                  <c:v>24</c:v>
                </c:pt>
                <c:pt idx="17">
                  <c:v>5</c:v>
                </c:pt>
                <c:pt idx="18">
                  <c:v>7</c:v>
                </c:pt>
                <c:pt idx="19">
                  <c:v>102</c:v>
                </c:pt>
                <c:pt idx="20">
                  <c:v>23</c:v>
                </c:pt>
                <c:pt idx="21">
                  <c:v>30</c:v>
                </c:pt>
                <c:pt idx="22">
                  <c:v>11</c:v>
                </c:pt>
                <c:pt idx="23">
                  <c:v>38</c:v>
                </c:pt>
                <c:pt idx="24">
                  <c:v>18</c:v>
                </c:pt>
                <c:pt idx="25">
                  <c:v>69</c:v>
                </c:pt>
                <c:pt idx="26">
                  <c:v>8</c:v>
                </c:pt>
                <c:pt idx="27">
                  <c:v>58</c:v>
                </c:pt>
                <c:pt idx="28">
                  <c:v>53</c:v>
                </c:pt>
                <c:pt idx="29">
                  <c:v>85</c:v>
                </c:pt>
                <c:pt idx="30">
                  <c:v>47</c:v>
                </c:pt>
                <c:pt idx="31">
                  <c:v>82</c:v>
                </c:pt>
                <c:pt idx="32">
                  <c:v>39</c:v>
                </c:pt>
                <c:pt idx="33">
                  <c:v>20</c:v>
                </c:pt>
                <c:pt idx="34">
                  <c:v>87</c:v>
                </c:pt>
                <c:pt idx="35">
                  <c:v>44</c:v>
                </c:pt>
                <c:pt idx="36">
                  <c:v>49</c:v>
                </c:pt>
                <c:pt idx="37">
                  <c:v>118</c:v>
                </c:pt>
                <c:pt idx="38">
                  <c:v>56</c:v>
                </c:pt>
                <c:pt idx="39">
                  <c:v>141</c:v>
                </c:pt>
                <c:pt idx="40">
                  <c:v>117</c:v>
                </c:pt>
                <c:pt idx="41">
                  <c:v>108</c:v>
                </c:pt>
                <c:pt idx="42">
                  <c:v>35</c:v>
                </c:pt>
                <c:pt idx="43">
                  <c:v>36</c:v>
                </c:pt>
                <c:pt idx="44">
                  <c:v>145</c:v>
                </c:pt>
                <c:pt idx="45">
                  <c:v>14</c:v>
                </c:pt>
                <c:pt idx="46">
                  <c:v>50</c:v>
                </c:pt>
                <c:pt idx="47">
                  <c:v>91</c:v>
                </c:pt>
                <c:pt idx="48">
                  <c:v>78</c:v>
                </c:pt>
                <c:pt idx="49">
                  <c:v>43</c:v>
                </c:pt>
                <c:pt idx="50">
                  <c:v>73</c:v>
                </c:pt>
                <c:pt idx="51">
                  <c:v>115</c:v>
                </c:pt>
                <c:pt idx="52">
                  <c:v>90</c:v>
                </c:pt>
                <c:pt idx="53">
                  <c:v>136</c:v>
                </c:pt>
                <c:pt idx="54">
                  <c:v>48</c:v>
                </c:pt>
                <c:pt idx="55">
                  <c:v>144</c:v>
                </c:pt>
                <c:pt idx="56">
                  <c:v>129</c:v>
                </c:pt>
                <c:pt idx="57">
                  <c:v>32</c:v>
                </c:pt>
                <c:pt idx="58">
                  <c:v>52</c:v>
                </c:pt>
                <c:pt idx="59">
                  <c:v>86</c:v>
                </c:pt>
                <c:pt idx="60">
                  <c:v>143</c:v>
                </c:pt>
                <c:pt idx="61">
                  <c:v>70</c:v>
                </c:pt>
                <c:pt idx="62">
                  <c:v>96</c:v>
                </c:pt>
                <c:pt idx="63">
                  <c:v>104</c:v>
                </c:pt>
                <c:pt idx="64">
                  <c:v>178</c:v>
                </c:pt>
                <c:pt idx="65">
                  <c:v>162</c:v>
                </c:pt>
                <c:pt idx="66">
                  <c:v>13</c:v>
                </c:pt>
                <c:pt idx="67">
                  <c:v>45</c:v>
                </c:pt>
                <c:pt idx="68">
                  <c:v>147</c:v>
                </c:pt>
                <c:pt idx="69">
                  <c:v>111</c:v>
                </c:pt>
                <c:pt idx="70">
                  <c:v>26</c:v>
                </c:pt>
                <c:pt idx="71">
                  <c:v>163</c:v>
                </c:pt>
                <c:pt idx="72">
                  <c:v>34</c:v>
                </c:pt>
                <c:pt idx="73">
                  <c:v>142</c:v>
                </c:pt>
                <c:pt idx="74">
                  <c:v>112</c:v>
                </c:pt>
                <c:pt idx="75">
                  <c:v>103</c:v>
                </c:pt>
                <c:pt idx="76">
                  <c:v>66</c:v>
                </c:pt>
                <c:pt idx="77">
                  <c:v>72</c:v>
                </c:pt>
                <c:pt idx="78">
                  <c:v>67</c:v>
                </c:pt>
                <c:pt idx="79">
                  <c:v>95</c:v>
                </c:pt>
                <c:pt idx="80">
                  <c:v>28</c:v>
                </c:pt>
                <c:pt idx="81">
                  <c:v>126</c:v>
                </c:pt>
                <c:pt idx="82">
                  <c:v>63</c:v>
                </c:pt>
                <c:pt idx="83">
                  <c:v>177</c:v>
                </c:pt>
                <c:pt idx="84">
                  <c:v>168</c:v>
                </c:pt>
                <c:pt idx="85">
                  <c:v>137</c:v>
                </c:pt>
                <c:pt idx="86">
                  <c:v>122</c:v>
                </c:pt>
                <c:pt idx="87">
                  <c:v>121</c:v>
                </c:pt>
                <c:pt idx="88">
                  <c:v>127</c:v>
                </c:pt>
                <c:pt idx="89">
                  <c:v>54</c:v>
                </c:pt>
                <c:pt idx="90">
                  <c:v>60</c:v>
                </c:pt>
                <c:pt idx="91">
                  <c:v>186</c:v>
                </c:pt>
                <c:pt idx="92">
                  <c:v>67</c:v>
                </c:pt>
                <c:pt idx="93">
                  <c:v>146</c:v>
                </c:pt>
                <c:pt idx="94">
                  <c:v>116</c:v>
                </c:pt>
                <c:pt idx="95">
                  <c:v>46</c:v>
                </c:pt>
                <c:pt idx="96">
                  <c:v>161</c:v>
                </c:pt>
                <c:pt idx="97">
                  <c:v>188</c:v>
                </c:pt>
                <c:pt idx="98">
                  <c:v>105</c:v>
                </c:pt>
                <c:pt idx="99">
                  <c:v>169</c:v>
                </c:pt>
                <c:pt idx="100">
                  <c:v>158</c:v>
                </c:pt>
                <c:pt idx="101">
                  <c:v>153</c:v>
                </c:pt>
                <c:pt idx="102">
                  <c:v>77</c:v>
                </c:pt>
                <c:pt idx="103">
                  <c:v>12</c:v>
                </c:pt>
                <c:pt idx="104">
                  <c:v>88</c:v>
                </c:pt>
                <c:pt idx="105">
                  <c:v>128</c:v>
                </c:pt>
                <c:pt idx="106">
                  <c:v>64</c:v>
                </c:pt>
                <c:pt idx="107">
                  <c:v>98</c:v>
                </c:pt>
                <c:pt idx="108">
                  <c:v>159</c:v>
                </c:pt>
                <c:pt idx="109">
                  <c:v>41</c:v>
                </c:pt>
                <c:pt idx="110">
                  <c:v>155</c:v>
                </c:pt>
                <c:pt idx="111">
                  <c:v>107</c:v>
                </c:pt>
                <c:pt idx="112">
                  <c:v>160</c:v>
                </c:pt>
                <c:pt idx="113">
                  <c:v>138</c:v>
                </c:pt>
                <c:pt idx="114">
                  <c:v>171</c:v>
                </c:pt>
                <c:pt idx="115">
                  <c:v>151</c:v>
                </c:pt>
                <c:pt idx="116">
                  <c:v>156</c:v>
                </c:pt>
                <c:pt idx="117">
                  <c:v>76</c:v>
                </c:pt>
                <c:pt idx="118">
                  <c:v>170</c:v>
                </c:pt>
                <c:pt idx="119">
                  <c:v>157</c:v>
                </c:pt>
                <c:pt idx="120">
                  <c:v>106</c:v>
                </c:pt>
                <c:pt idx="121">
                  <c:v>62</c:v>
                </c:pt>
                <c:pt idx="122">
                  <c:v>135</c:v>
                </c:pt>
                <c:pt idx="123">
                  <c:v>119</c:v>
                </c:pt>
                <c:pt idx="124">
                  <c:v>51</c:v>
                </c:pt>
                <c:pt idx="125">
                  <c:v>182</c:v>
                </c:pt>
                <c:pt idx="126">
                  <c:v>191</c:v>
                </c:pt>
                <c:pt idx="127">
                  <c:v>109</c:v>
                </c:pt>
                <c:pt idx="128">
                  <c:v>185</c:v>
                </c:pt>
                <c:pt idx="129">
                  <c:v>124</c:v>
                </c:pt>
                <c:pt idx="130">
                  <c:v>173</c:v>
                </c:pt>
                <c:pt idx="131">
                  <c:v>183</c:v>
                </c:pt>
                <c:pt idx="132">
                  <c:v>192</c:v>
                </c:pt>
                <c:pt idx="133">
                  <c:v>83</c:v>
                </c:pt>
                <c:pt idx="134">
                  <c:v>189</c:v>
                </c:pt>
                <c:pt idx="135">
                  <c:v>165</c:v>
                </c:pt>
                <c:pt idx="136">
                  <c:v>172</c:v>
                </c:pt>
                <c:pt idx="137">
                  <c:v>181</c:v>
                </c:pt>
              </c:numCache>
            </c:numRef>
          </c:yVal>
          <c:smooth val="0"/>
          <c:extLst>
            <c:ext xmlns:c16="http://schemas.microsoft.com/office/drawing/2014/chart" uri="{C3380CC4-5D6E-409C-BE32-E72D297353CC}">
              <c16:uniqueId val="{00000005-69EE-4489-BB01-203036301336}"/>
            </c:ext>
          </c:extLst>
        </c:ser>
        <c:dLbls>
          <c:showLegendKey val="0"/>
          <c:showVal val="0"/>
          <c:showCatName val="0"/>
          <c:showSerName val="0"/>
          <c:showPercent val="0"/>
          <c:showBubbleSize val="0"/>
        </c:dLbls>
        <c:axId val="1845543487"/>
        <c:axId val="1829995311"/>
      </c:scatterChart>
      <c:valAx>
        <c:axId val="184554348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9995311"/>
        <c:crosses val="autoZero"/>
        <c:crossBetween val="midCat"/>
      </c:valAx>
      <c:valAx>
        <c:axId val="18299953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5543487"/>
        <c:crosses val="autoZero"/>
        <c:crossBetween val="midCat"/>
      </c:valAx>
      <c:spPr>
        <a:noFill/>
        <a:ln>
          <a:noFill/>
        </a:ln>
        <a:effectLst/>
      </c:spPr>
    </c:plotArea>
    <c:legend>
      <c:legendPos val="b"/>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Profit</a:t>
            </a:r>
            <a:r>
              <a:rPr lang="en-GB"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spPr>
            <a:ln w="28575" cap="rnd">
              <a:solidFill>
                <a:srgbClr val="00B050"/>
              </a:solidFill>
              <a:round/>
            </a:ln>
            <a:effectLst/>
          </c:spPr>
          <c:marker>
            <c:symbol val="none"/>
          </c:marker>
          <c:val>
            <c:numRef>
              <c:f>'P&amp;L'!$E$2:$E$60</c:f>
              <c:numCache>
                <c:formatCode>General</c:formatCode>
                <c:ptCount val="59"/>
                <c:pt idx="0">
                  <c:v>80</c:v>
                </c:pt>
                <c:pt idx="1">
                  <c:v>70</c:v>
                </c:pt>
                <c:pt idx="2">
                  <c:v>120</c:v>
                </c:pt>
                <c:pt idx="3">
                  <c:v>174</c:v>
                </c:pt>
                <c:pt idx="4">
                  <c:v>281</c:v>
                </c:pt>
                <c:pt idx="5">
                  <c:v>261</c:v>
                </c:pt>
                <c:pt idx="6">
                  <c:v>241</c:v>
                </c:pt>
                <c:pt idx="7">
                  <c:v>372</c:v>
                </c:pt>
                <c:pt idx="8">
                  <c:v>352</c:v>
                </c:pt>
                <c:pt idx="9">
                  <c:v>390</c:v>
                </c:pt>
                <c:pt idx="10">
                  <c:v>379</c:v>
                </c:pt>
                <c:pt idx="11">
                  <c:v>460</c:v>
                </c:pt>
                <c:pt idx="12">
                  <c:v>435</c:v>
                </c:pt>
                <c:pt idx="13">
                  <c:v>515</c:v>
                </c:pt>
                <c:pt idx="14">
                  <c:v>490</c:v>
                </c:pt>
                <c:pt idx="15">
                  <c:v>549</c:v>
                </c:pt>
                <c:pt idx="16">
                  <c:v>524</c:v>
                </c:pt>
                <c:pt idx="17">
                  <c:v>499</c:v>
                </c:pt>
                <c:pt idx="18">
                  <c:v>474</c:v>
                </c:pt>
                <c:pt idx="19">
                  <c:v>449</c:v>
                </c:pt>
                <c:pt idx="20">
                  <c:v>399</c:v>
                </c:pt>
                <c:pt idx="21">
                  <c:v>609</c:v>
                </c:pt>
                <c:pt idx="22">
                  <c:v>559</c:v>
                </c:pt>
                <c:pt idx="23">
                  <c:v>647</c:v>
                </c:pt>
                <c:pt idx="24">
                  <c:v>597</c:v>
                </c:pt>
                <c:pt idx="25">
                  <c:v>865</c:v>
                </c:pt>
                <c:pt idx="26">
                  <c:v>815</c:v>
                </c:pt>
                <c:pt idx="27">
                  <c:v>765</c:v>
                </c:pt>
                <c:pt idx="28">
                  <c:v>715</c:v>
                </c:pt>
                <c:pt idx="29">
                  <c:v>665</c:v>
                </c:pt>
                <c:pt idx="30">
                  <c:v>615</c:v>
                </c:pt>
                <c:pt idx="31">
                  <c:v>565</c:v>
                </c:pt>
                <c:pt idx="32">
                  <c:v>787</c:v>
                </c:pt>
                <c:pt idx="33">
                  <c:v>1595</c:v>
                </c:pt>
                <c:pt idx="34">
                  <c:v>1555</c:v>
                </c:pt>
                <c:pt idx="35">
                  <c:v>1515</c:v>
                </c:pt>
                <c:pt idx="36">
                  <c:v>1475</c:v>
                </c:pt>
                <c:pt idx="37">
                  <c:v>1435</c:v>
                </c:pt>
                <c:pt idx="38">
                  <c:v>1568</c:v>
                </c:pt>
                <c:pt idx="39">
                  <c:v>1518</c:v>
                </c:pt>
                <c:pt idx="40">
                  <c:v>1468</c:v>
                </c:pt>
                <c:pt idx="41">
                  <c:v>1443</c:v>
                </c:pt>
                <c:pt idx="42">
                  <c:v>1418</c:v>
                </c:pt>
                <c:pt idx="43">
                  <c:v>1393</c:v>
                </c:pt>
                <c:pt idx="44">
                  <c:v>1368</c:v>
                </c:pt>
                <c:pt idx="45">
                  <c:v>1343</c:v>
                </c:pt>
                <c:pt idx="46">
                  <c:v>1318</c:v>
                </c:pt>
                <c:pt idx="47">
                  <c:v>1293</c:v>
                </c:pt>
                <c:pt idx="48">
                  <c:v>1742</c:v>
                </c:pt>
                <c:pt idx="49">
                  <c:v>1717</c:v>
                </c:pt>
                <c:pt idx="50">
                  <c:v>1692</c:v>
                </c:pt>
                <c:pt idx="51">
                  <c:v>1667</c:v>
                </c:pt>
                <c:pt idx="52">
                  <c:v>1700</c:v>
                </c:pt>
                <c:pt idx="53">
                  <c:v>1675</c:v>
                </c:pt>
                <c:pt idx="54">
                  <c:v>1650</c:v>
                </c:pt>
                <c:pt idx="55">
                  <c:v>1625</c:v>
                </c:pt>
                <c:pt idx="56">
                  <c:v>1625</c:v>
                </c:pt>
                <c:pt idx="57">
                  <c:v>1641</c:v>
                </c:pt>
                <c:pt idx="58">
                  <c:v>1616</c:v>
                </c:pt>
              </c:numCache>
            </c:numRef>
          </c:val>
          <c:smooth val="1"/>
          <c:extLst>
            <c:ext xmlns:c16="http://schemas.microsoft.com/office/drawing/2014/chart" uri="{C3380CC4-5D6E-409C-BE32-E72D297353CC}">
              <c16:uniqueId val="{00000002-88E8-4916-A26F-CB9BBDC8F2BD}"/>
            </c:ext>
          </c:extLst>
        </c:ser>
        <c:ser>
          <c:idx val="0"/>
          <c:order val="1"/>
          <c:spPr>
            <a:ln w="28575" cap="rnd">
              <a:solidFill>
                <a:schemeClr val="accent1"/>
              </a:solidFill>
              <a:round/>
            </a:ln>
            <a:effectLst/>
          </c:spPr>
          <c:marker>
            <c:symbol val="none"/>
          </c:marker>
          <c:val>
            <c:numRef>
              <c:f>'P&amp;L'!$I$2:$I$60</c:f>
              <c:numCache>
                <c:formatCode>General</c:formatCode>
                <c:ptCount val="59"/>
                <c:pt idx="0">
                  <c:v>80</c:v>
                </c:pt>
                <c:pt idx="1">
                  <c:v>70</c:v>
                </c:pt>
                <c:pt idx="2">
                  <c:v>120</c:v>
                </c:pt>
                <c:pt idx="3">
                  <c:v>174</c:v>
                </c:pt>
                <c:pt idx="4">
                  <c:v>281</c:v>
                </c:pt>
                <c:pt idx="5">
                  <c:v>261</c:v>
                </c:pt>
                <c:pt idx="6">
                  <c:v>241</c:v>
                </c:pt>
                <c:pt idx="7">
                  <c:v>372</c:v>
                </c:pt>
                <c:pt idx="8">
                  <c:v>352</c:v>
                </c:pt>
                <c:pt idx="9">
                  <c:v>352</c:v>
                </c:pt>
                <c:pt idx="10">
                  <c:v>341</c:v>
                </c:pt>
                <c:pt idx="11">
                  <c:v>422</c:v>
                </c:pt>
                <c:pt idx="12">
                  <c:v>397</c:v>
                </c:pt>
                <c:pt idx="13">
                  <c:v>477</c:v>
                </c:pt>
                <c:pt idx="14">
                  <c:v>452</c:v>
                </c:pt>
                <c:pt idx="15">
                  <c:v>511</c:v>
                </c:pt>
                <c:pt idx="16">
                  <c:v>486</c:v>
                </c:pt>
                <c:pt idx="17">
                  <c:v>461</c:v>
                </c:pt>
                <c:pt idx="18">
                  <c:v>436</c:v>
                </c:pt>
                <c:pt idx="19">
                  <c:v>411</c:v>
                </c:pt>
                <c:pt idx="20">
                  <c:v>361</c:v>
                </c:pt>
                <c:pt idx="21">
                  <c:v>571</c:v>
                </c:pt>
                <c:pt idx="22">
                  <c:v>521</c:v>
                </c:pt>
                <c:pt idx="23">
                  <c:v>609</c:v>
                </c:pt>
                <c:pt idx="24">
                  <c:v>559</c:v>
                </c:pt>
                <c:pt idx="25">
                  <c:v>559</c:v>
                </c:pt>
                <c:pt idx="26">
                  <c:v>509</c:v>
                </c:pt>
                <c:pt idx="27">
                  <c:v>459</c:v>
                </c:pt>
                <c:pt idx="28">
                  <c:v>409</c:v>
                </c:pt>
                <c:pt idx="29">
                  <c:v>359</c:v>
                </c:pt>
                <c:pt idx="30">
                  <c:v>699</c:v>
                </c:pt>
                <c:pt idx="31">
                  <c:v>649</c:v>
                </c:pt>
                <c:pt idx="32">
                  <c:v>693</c:v>
                </c:pt>
                <c:pt idx="33">
                  <c:v>701</c:v>
                </c:pt>
                <c:pt idx="34">
                  <c:v>761</c:v>
                </c:pt>
                <c:pt idx="35">
                  <c:v>721</c:v>
                </c:pt>
                <c:pt idx="36">
                  <c:v>761</c:v>
                </c:pt>
                <c:pt idx="37">
                  <c:v>761</c:v>
                </c:pt>
                <c:pt idx="38">
                  <c:v>761</c:v>
                </c:pt>
                <c:pt idx="39">
                  <c:v>690</c:v>
                </c:pt>
                <c:pt idx="40">
                  <c:v>634</c:v>
                </c:pt>
                <c:pt idx="41" formatCode="0">
                  <c:v>609</c:v>
                </c:pt>
                <c:pt idx="42" formatCode="0">
                  <c:v>584</c:v>
                </c:pt>
                <c:pt idx="43" formatCode="0">
                  <c:v>559</c:v>
                </c:pt>
                <c:pt idx="44" formatCode="0">
                  <c:v>588.52</c:v>
                </c:pt>
                <c:pt idx="45" formatCode="0">
                  <c:v>621.52</c:v>
                </c:pt>
                <c:pt idx="46" formatCode="0">
                  <c:v>596.52</c:v>
                </c:pt>
                <c:pt idx="47" formatCode="0">
                  <c:v>579.52</c:v>
                </c:pt>
                <c:pt idx="48" formatCode="0">
                  <c:v>1960.52</c:v>
                </c:pt>
                <c:pt idx="49" formatCode="0">
                  <c:v>1935.52</c:v>
                </c:pt>
                <c:pt idx="50" formatCode="0">
                  <c:v>1970.52</c:v>
                </c:pt>
                <c:pt idx="51" formatCode="0">
                  <c:v>1972.52</c:v>
                </c:pt>
                <c:pt idx="52" formatCode="0">
                  <c:v>1947.52</c:v>
                </c:pt>
                <c:pt idx="53" formatCode="0">
                  <c:v>1922.52</c:v>
                </c:pt>
                <c:pt idx="54" formatCode="0">
                  <c:v>1897.52</c:v>
                </c:pt>
                <c:pt idx="55" formatCode="0">
                  <c:v>1872.52</c:v>
                </c:pt>
                <c:pt idx="56" formatCode="0">
                  <c:v>1847.52</c:v>
                </c:pt>
                <c:pt idx="57" formatCode="0">
                  <c:v>1863.52</c:v>
                </c:pt>
                <c:pt idx="58" formatCode="0">
                  <c:v>1882.52</c:v>
                </c:pt>
              </c:numCache>
            </c:numRef>
          </c:val>
          <c:smooth val="0"/>
          <c:extLst>
            <c:ext xmlns:c16="http://schemas.microsoft.com/office/drawing/2014/chart" uri="{C3380CC4-5D6E-409C-BE32-E72D297353CC}">
              <c16:uniqueId val="{00000004-88E8-4916-A26F-CB9BBDC8F2BD}"/>
            </c:ext>
          </c:extLst>
        </c:ser>
        <c:dLbls>
          <c:showLegendKey val="0"/>
          <c:showVal val="0"/>
          <c:showCatName val="0"/>
          <c:showSerName val="0"/>
          <c:showPercent val="0"/>
          <c:showBubbleSize val="0"/>
        </c:dLbls>
        <c:smooth val="0"/>
        <c:axId val="62613712"/>
        <c:axId val="62614128"/>
      </c:lineChart>
      <c:catAx>
        <c:axId val="626137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Week</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4128"/>
        <c:crosses val="autoZero"/>
        <c:auto val="1"/>
        <c:lblAlgn val="ctr"/>
        <c:lblOffset val="100"/>
        <c:noMultiLvlLbl val="0"/>
      </c:catAx>
      <c:valAx>
        <c:axId val="62614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Cumulative</a:t>
                </a:r>
                <a:r>
                  <a:rPr lang="en-GB" baseline="0"/>
                  <a:t> Profit</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371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solidFill>
              </a:rPr>
              <a:t>Stats Correlation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marker"/>
        <c:varyColors val="0"/>
        <c:ser>
          <c:idx val="0"/>
          <c:order val="0"/>
          <c:tx>
            <c:v>Stats Correlation</c:v>
          </c:tx>
          <c:spPr>
            <a:ln w="28575" cap="rnd">
              <a:solidFill>
                <a:srgbClr val="92D050"/>
              </a:solidFill>
              <a:round/>
            </a:ln>
            <a:effectLst/>
          </c:spPr>
          <c:marker>
            <c:symbol val="none"/>
          </c:marker>
          <c:cat>
            <c:strRef>
              <c:f>'Radar Model Fit'!$D$2:$I$2</c:f>
              <c:strCache>
                <c:ptCount val="6"/>
                <c:pt idx="0">
                  <c:v>DIST</c:v>
                </c:pt>
                <c:pt idx="1">
                  <c:v>ACC</c:v>
                </c:pt>
                <c:pt idx="2">
                  <c:v>APP</c:v>
                </c:pt>
                <c:pt idx="3">
                  <c:v>ARG</c:v>
                </c:pt>
                <c:pt idx="4">
                  <c:v>PUTT</c:v>
                </c:pt>
                <c:pt idx="5">
                  <c:v>SG</c:v>
                </c:pt>
              </c:strCache>
            </c:strRef>
          </c:cat>
          <c:val>
            <c:numRef>
              <c:f>'Radar Model Fit'!$D$103:$I$103</c:f>
              <c:numCache>
                <c:formatCode>0.00</c:formatCode>
                <c:ptCount val="6"/>
                <c:pt idx="0">
                  <c:v>0.62495103969918797</c:v>
                </c:pt>
                <c:pt idx="1">
                  <c:v>0.49926986996731798</c:v>
                </c:pt>
                <c:pt idx="2">
                  <c:v>0.84256477656778062</c:v>
                </c:pt>
                <c:pt idx="3">
                  <c:v>0.60341712259116387</c:v>
                </c:pt>
                <c:pt idx="4">
                  <c:v>0.52123411978221412</c:v>
                </c:pt>
                <c:pt idx="5">
                  <c:v>1</c:v>
                </c:pt>
              </c:numCache>
            </c:numRef>
          </c:val>
          <c:extLst>
            <c:ext xmlns:c16="http://schemas.microsoft.com/office/drawing/2014/chart" uri="{C3380CC4-5D6E-409C-BE32-E72D297353CC}">
              <c16:uniqueId val="{00000000-95F8-47E4-8898-4B759A952D78}"/>
            </c:ext>
          </c:extLst>
        </c:ser>
        <c:dLbls>
          <c:showLegendKey val="0"/>
          <c:showVal val="0"/>
          <c:showCatName val="0"/>
          <c:showSerName val="0"/>
          <c:showPercent val="0"/>
          <c:showBubbleSize val="0"/>
        </c:dLbls>
        <c:axId val="1699298464"/>
        <c:axId val="1699308864"/>
      </c:radarChart>
      <c:catAx>
        <c:axId val="1699298464"/>
        <c:scaling>
          <c:orientation val="minMax"/>
        </c:scaling>
        <c:delete val="0"/>
        <c:axPos val="b"/>
        <c:numFmt formatCode="General" sourceLinked="1"/>
        <c:majorTickMark val="none"/>
        <c:minorTickMark val="none"/>
        <c:tickLblPos val="nextTo"/>
        <c:spPr>
          <a:solidFill>
            <a:schemeClr val="tx1"/>
          </a:solidFill>
          <a:ln w="9525" cap="flat" cmpd="sng" algn="ctr">
            <a:solidFill>
              <a:sysClr val="windowText" lastClr="000000"/>
            </a:solidFill>
            <a:round/>
          </a:ln>
          <a:effectLst/>
        </c:spPr>
        <c:txPr>
          <a:bodyPr rot="-6000000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crossAx val="1699308864"/>
        <c:crosses val="autoZero"/>
        <c:auto val="1"/>
        <c:lblAlgn val="ctr"/>
        <c:lblOffset val="100"/>
        <c:noMultiLvlLbl val="0"/>
      </c:catAx>
      <c:valAx>
        <c:axId val="1699308864"/>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1699298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DG Course Winner vs Field Rank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WinnerKPIs!$D$3:$D$118</c:f>
              <c:numCache>
                <c:formatCode>General</c:formatCode>
                <c:ptCount val="116"/>
                <c:pt idx="0">
                  <c:v>18</c:v>
                </c:pt>
                <c:pt idx="1">
                  <c:v>104</c:v>
                </c:pt>
                <c:pt idx="2">
                  <c:v>113</c:v>
                </c:pt>
                <c:pt idx="3" formatCode="0">
                  <c:v>10</c:v>
                </c:pt>
                <c:pt idx="5">
                  <c:v>82</c:v>
                </c:pt>
                <c:pt idx="6">
                  <c:v>32</c:v>
                </c:pt>
                <c:pt idx="7">
                  <c:v>5</c:v>
                </c:pt>
                <c:pt idx="8">
                  <c:v>13</c:v>
                </c:pt>
                <c:pt idx="9">
                  <c:v>49</c:v>
                </c:pt>
                <c:pt idx="10">
                  <c:v>22</c:v>
                </c:pt>
                <c:pt idx="11">
                  <c:v>15</c:v>
                </c:pt>
                <c:pt idx="12">
                  <c:v>84</c:v>
                </c:pt>
                <c:pt idx="13" formatCode="0">
                  <c:v>7</c:v>
                </c:pt>
                <c:pt idx="14">
                  <c:v>21</c:v>
                </c:pt>
                <c:pt idx="16">
                  <c:v>1</c:v>
                </c:pt>
                <c:pt idx="17">
                  <c:v>4</c:v>
                </c:pt>
                <c:pt idx="45">
                  <c:v>1</c:v>
                </c:pt>
                <c:pt idx="46">
                  <c:v>8</c:v>
                </c:pt>
                <c:pt idx="47">
                  <c:v>1</c:v>
                </c:pt>
                <c:pt idx="48">
                  <c:v>2</c:v>
                </c:pt>
                <c:pt idx="49">
                  <c:v>14</c:v>
                </c:pt>
                <c:pt idx="50">
                  <c:v>13</c:v>
                </c:pt>
                <c:pt idx="51">
                  <c:v>1</c:v>
                </c:pt>
                <c:pt idx="52">
                  <c:v>2</c:v>
                </c:pt>
                <c:pt idx="53">
                  <c:v>30</c:v>
                </c:pt>
                <c:pt idx="54">
                  <c:v>54</c:v>
                </c:pt>
                <c:pt idx="55">
                  <c:v>5</c:v>
                </c:pt>
                <c:pt idx="56">
                  <c:v>22</c:v>
                </c:pt>
                <c:pt idx="57">
                  <c:v>3</c:v>
                </c:pt>
                <c:pt idx="58">
                  <c:v>60</c:v>
                </c:pt>
                <c:pt idx="59">
                  <c:v>1</c:v>
                </c:pt>
                <c:pt idx="60">
                  <c:v>35</c:v>
                </c:pt>
                <c:pt idx="61">
                  <c:v>2</c:v>
                </c:pt>
                <c:pt idx="62">
                  <c:v>8</c:v>
                </c:pt>
                <c:pt idx="63">
                  <c:v>2</c:v>
                </c:pt>
                <c:pt idx="65">
                  <c:v>58</c:v>
                </c:pt>
                <c:pt idx="66">
                  <c:v>9</c:v>
                </c:pt>
                <c:pt idx="67">
                  <c:v>15</c:v>
                </c:pt>
                <c:pt idx="68">
                  <c:v>11</c:v>
                </c:pt>
                <c:pt idx="69">
                  <c:v>30</c:v>
                </c:pt>
                <c:pt idx="70">
                  <c:v>1</c:v>
                </c:pt>
                <c:pt idx="71">
                  <c:v>2</c:v>
                </c:pt>
                <c:pt idx="72">
                  <c:v>5</c:v>
                </c:pt>
                <c:pt idx="73">
                  <c:v>38</c:v>
                </c:pt>
                <c:pt idx="74">
                  <c:v>49</c:v>
                </c:pt>
                <c:pt idx="75">
                  <c:v>30</c:v>
                </c:pt>
                <c:pt idx="76">
                  <c:v>37</c:v>
                </c:pt>
                <c:pt idx="77">
                  <c:v>2</c:v>
                </c:pt>
                <c:pt idx="78">
                  <c:v>15</c:v>
                </c:pt>
                <c:pt idx="79">
                  <c:v>76</c:v>
                </c:pt>
                <c:pt idx="82">
                  <c:v>8</c:v>
                </c:pt>
                <c:pt idx="83">
                  <c:v>9</c:v>
                </c:pt>
                <c:pt idx="84" formatCode="0">
                  <c:v>21</c:v>
                </c:pt>
                <c:pt idx="85">
                  <c:v>19</c:v>
                </c:pt>
                <c:pt idx="86">
                  <c:v>23</c:v>
                </c:pt>
                <c:pt idx="87">
                  <c:v>8</c:v>
                </c:pt>
                <c:pt idx="88">
                  <c:v>29</c:v>
                </c:pt>
                <c:pt idx="89">
                  <c:v>87</c:v>
                </c:pt>
                <c:pt idx="91">
                  <c:v>2</c:v>
                </c:pt>
                <c:pt idx="92">
                  <c:v>19</c:v>
                </c:pt>
                <c:pt idx="93">
                  <c:v>2</c:v>
                </c:pt>
                <c:pt idx="94">
                  <c:v>47</c:v>
                </c:pt>
                <c:pt idx="95">
                  <c:v>46</c:v>
                </c:pt>
                <c:pt idx="96" formatCode="0">
                  <c:v>1</c:v>
                </c:pt>
                <c:pt idx="97" formatCode="0">
                  <c:v>46</c:v>
                </c:pt>
                <c:pt idx="98" formatCode="0">
                  <c:v>1</c:v>
                </c:pt>
                <c:pt idx="99" formatCode="0">
                  <c:v>1</c:v>
                </c:pt>
                <c:pt idx="100" formatCode="0">
                  <c:v>3</c:v>
                </c:pt>
                <c:pt idx="101" formatCode="0">
                  <c:v>79</c:v>
                </c:pt>
                <c:pt idx="102" formatCode="0">
                  <c:v>7</c:v>
                </c:pt>
                <c:pt idx="103" formatCode="0">
                  <c:v>3</c:v>
                </c:pt>
                <c:pt idx="104" formatCode="0">
                  <c:v>27</c:v>
                </c:pt>
                <c:pt idx="105" formatCode="0">
                  <c:v>2</c:v>
                </c:pt>
                <c:pt idx="106" formatCode="0">
                  <c:v>8</c:v>
                </c:pt>
                <c:pt idx="107">
                  <c:v>1</c:v>
                </c:pt>
                <c:pt idx="108">
                  <c:v>33</c:v>
                </c:pt>
                <c:pt idx="109">
                  <c:v>1</c:v>
                </c:pt>
                <c:pt idx="110">
                  <c:v>14</c:v>
                </c:pt>
                <c:pt idx="111">
                  <c:v>3</c:v>
                </c:pt>
                <c:pt idx="112">
                  <c:v>5</c:v>
                </c:pt>
                <c:pt idx="114">
                  <c:v>9</c:v>
                </c:pt>
                <c:pt idx="115">
                  <c:v>9</c:v>
                </c:pt>
              </c:numCache>
            </c:numRef>
          </c:xVal>
          <c:yVal>
            <c:numRef>
              <c:f>WinnerKPIs!$M$48:$M$118</c:f>
              <c:numCache>
                <c:formatCode>General</c:formatCode>
                <c:ptCount val="71"/>
                <c:pt idx="0">
                  <c:v>197</c:v>
                </c:pt>
                <c:pt idx="1">
                  <c:v>229</c:v>
                </c:pt>
                <c:pt idx="2">
                  <c:v>306</c:v>
                </c:pt>
                <c:pt idx="3">
                  <c:v>274</c:v>
                </c:pt>
                <c:pt idx="4">
                  <c:v>202</c:v>
                </c:pt>
                <c:pt idx="5">
                  <c:v>380</c:v>
                </c:pt>
                <c:pt idx="6">
                  <c:v>391</c:v>
                </c:pt>
                <c:pt idx="7">
                  <c:v>181</c:v>
                </c:pt>
                <c:pt idx="8">
                  <c:v>59</c:v>
                </c:pt>
                <c:pt idx="9">
                  <c:v>391</c:v>
                </c:pt>
                <c:pt idx="10">
                  <c:v>434</c:v>
                </c:pt>
                <c:pt idx="11">
                  <c:v>216</c:v>
                </c:pt>
                <c:pt idx="12">
                  <c:v>92</c:v>
                </c:pt>
                <c:pt idx="13">
                  <c:v>209</c:v>
                </c:pt>
                <c:pt idx="14">
                  <c:v>335</c:v>
                </c:pt>
                <c:pt idx="15">
                  <c:v>392</c:v>
                </c:pt>
                <c:pt idx="16">
                  <c:v>173</c:v>
                </c:pt>
                <c:pt idx="17">
                  <c:v>370</c:v>
                </c:pt>
                <c:pt idx="18">
                  <c:v>210</c:v>
                </c:pt>
                <c:pt idx="20">
                  <c:v>276</c:v>
                </c:pt>
                <c:pt idx="21">
                  <c:v>376</c:v>
                </c:pt>
                <c:pt idx="22">
                  <c:v>213</c:v>
                </c:pt>
                <c:pt idx="23">
                  <c:v>422</c:v>
                </c:pt>
                <c:pt idx="24">
                  <c:v>404</c:v>
                </c:pt>
                <c:pt idx="25">
                  <c:v>244</c:v>
                </c:pt>
                <c:pt idx="26">
                  <c:v>193</c:v>
                </c:pt>
                <c:pt idx="27">
                  <c:v>93</c:v>
                </c:pt>
                <c:pt idx="28">
                  <c:v>433</c:v>
                </c:pt>
                <c:pt idx="29">
                  <c:v>228</c:v>
                </c:pt>
                <c:pt idx="30">
                  <c:v>249</c:v>
                </c:pt>
                <c:pt idx="31">
                  <c:v>168</c:v>
                </c:pt>
                <c:pt idx="32">
                  <c:v>197</c:v>
                </c:pt>
                <c:pt idx="33">
                  <c:v>180</c:v>
                </c:pt>
                <c:pt idx="34">
                  <c:v>174</c:v>
                </c:pt>
                <c:pt idx="37">
                  <c:v>514</c:v>
                </c:pt>
                <c:pt idx="38">
                  <c:v>282</c:v>
                </c:pt>
                <c:pt idx="39">
                  <c:v>321</c:v>
                </c:pt>
                <c:pt idx="40">
                  <c:v>486</c:v>
                </c:pt>
                <c:pt idx="41">
                  <c:v>181</c:v>
                </c:pt>
                <c:pt idx="42">
                  <c:v>512</c:v>
                </c:pt>
                <c:pt idx="43">
                  <c:v>685</c:v>
                </c:pt>
                <c:pt idx="44">
                  <c:v>227</c:v>
                </c:pt>
                <c:pt idx="46">
                  <c:v>533</c:v>
                </c:pt>
                <c:pt idx="47">
                  <c:v>806</c:v>
                </c:pt>
                <c:pt idx="48">
                  <c:v>373</c:v>
                </c:pt>
                <c:pt idx="49">
                  <c:v>26</c:v>
                </c:pt>
                <c:pt idx="50">
                  <c:v>209</c:v>
                </c:pt>
                <c:pt idx="51">
                  <c:v>785</c:v>
                </c:pt>
                <c:pt idx="52">
                  <c:v>461</c:v>
                </c:pt>
                <c:pt idx="54">
                  <c:v>151</c:v>
                </c:pt>
                <c:pt idx="55">
                  <c:v>246</c:v>
                </c:pt>
                <c:pt idx="56">
                  <c:v>371</c:v>
                </c:pt>
                <c:pt idx="57">
                  <c:v>876</c:v>
                </c:pt>
                <c:pt idx="58">
                  <c:v>470</c:v>
                </c:pt>
                <c:pt idx="59">
                  <c:v>587</c:v>
                </c:pt>
                <c:pt idx="60">
                  <c:v>256</c:v>
                </c:pt>
                <c:pt idx="61">
                  <c:v>830</c:v>
                </c:pt>
                <c:pt idx="62">
                  <c:v>405</c:v>
                </c:pt>
                <c:pt idx="63">
                  <c:v>53</c:v>
                </c:pt>
                <c:pt idx="64">
                  <c:v>642</c:v>
                </c:pt>
                <c:pt idx="65">
                  <c:v>871</c:v>
                </c:pt>
                <c:pt idx="66">
                  <c:v>113</c:v>
                </c:pt>
                <c:pt idx="67">
                  <c:v>227</c:v>
                </c:pt>
                <c:pt idx="69">
                  <c:v>391</c:v>
                </c:pt>
                <c:pt idx="70">
                  <c:v>296</c:v>
                </c:pt>
              </c:numCache>
            </c:numRef>
          </c:yVal>
          <c:smooth val="0"/>
          <c:extLst>
            <c:ext xmlns:c16="http://schemas.microsoft.com/office/drawing/2014/chart" uri="{C3380CC4-5D6E-409C-BE32-E72D297353CC}">
              <c16:uniqueId val="{00000002-FF5F-4859-854F-83076707C8F2}"/>
            </c:ext>
          </c:extLst>
        </c:ser>
        <c:dLbls>
          <c:showLegendKey val="0"/>
          <c:showVal val="0"/>
          <c:showCatName val="0"/>
          <c:showSerName val="0"/>
          <c:showPercent val="0"/>
          <c:showBubbleSize val="0"/>
        </c:dLbls>
        <c:axId val="998003919"/>
        <c:axId val="998001039"/>
      </c:scatterChart>
      <c:valAx>
        <c:axId val="99800391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aseline="0"/>
                  <a:t>DG CR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001039"/>
        <c:crosses val="autoZero"/>
        <c:crossBetween val="midCat"/>
      </c:valAx>
      <c:valAx>
        <c:axId val="998001039"/>
        <c:scaling>
          <c:orientation val="minMax"/>
          <c:max val="1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Strength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003919"/>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1" i="0" u="none" strike="noStrike" kern="1200" spc="0" baseline="0">
                <a:solidFill>
                  <a:sysClr val="windowText" lastClr="000000">
                    <a:lumMod val="65000"/>
                    <a:lumOff val="35000"/>
                  </a:sysClr>
                </a:solidFill>
              </a:rPr>
              <a:t>BDG Course Winner vs Field Rank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3810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0"/>
          </c:trendline>
          <c:trendline>
            <c:spPr>
              <a:ln w="19050" cap="rnd">
                <a:solidFill>
                  <a:schemeClr val="accent1"/>
                </a:solidFill>
                <a:prstDash val="sysDot"/>
              </a:ln>
              <a:effectLst/>
            </c:spPr>
            <c:trendlineType val="linear"/>
            <c:dispRSqr val="0"/>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WinnerKPIs!$F$3:$F$47</c:f>
              <c:numCache>
                <c:formatCode>General</c:formatCode>
                <c:ptCount val="45"/>
                <c:pt idx="0">
                  <c:v>18</c:v>
                </c:pt>
                <c:pt idx="1">
                  <c:v>104</c:v>
                </c:pt>
                <c:pt idx="2">
                  <c:v>85</c:v>
                </c:pt>
                <c:pt idx="3" formatCode="0">
                  <c:v>11</c:v>
                </c:pt>
                <c:pt idx="5">
                  <c:v>64</c:v>
                </c:pt>
                <c:pt idx="6">
                  <c:v>32</c:v>
                </c:pt>
                <c:pt idx="7">
                  <c:v>1</c:v>
                </c:pt>
                <c:pt idx="8">
                  <c:v>25</c:v>
                </c:pt>
                <c:pt idx="9">
                  <c:v>54</c:v>
                </c:pt>
                <c:pt idx="10">
                  <c:v>5</c:v>
                </c:pt>
                <c:pt idx="11">
                  <c:v>2</c:v>
                </c:pt>
                <c:pt idx="12">
                  <c:v>119</c:v>
                </c:pt>
                <c:pt idx="13">
                  <c:v>5</c:v>
                </c:pt>
                <c:pt idx="14">
                  <c:v>28</c:v>
                </c:pt>
                <c:pt idx="16">
                  <c:v>1</c:v>
                </c:pt>
                <c:pt idx="17">
                  <c:v>14</c:v>
                </c:pt>
              </c:numCache>
            </c:numRef>
          </c:xVal>
          <c:yVal>
            <c:numRef>
              <c:f>WinnerKPIs!$M$3:$M$47</c:f>
              <c:numCache>
                <c:formatCode>General</c:formatCode>
                <c:ptCount val="45"/>
                <c:pt idx="0">
                  <c:v>283</c:v>
                </c:pt>
                <c:pt idx="1">
                  <c:v>285</c:v>
                </c:pt>
                <c:pt idx="2">
                  <c:v>324</c:v>
                </c:pt>
                <c:pt idx="3">
                  <c:v>321</c:v>
                </c:pt>
                <c:pt idx="5">
                  <c:v>325</c:v>
                </c:pt>
                <c:pt idx="6">
                  <c:v>323</c:v>
                </c:pt>
                <c:pt idx="7">
                  <c:v>181</c:v>
                </c:pt>
                <c:pt idx="8">
                  <c:v>294</c:v>
                </c:pt>
                <c:pt idx="9">
                  <c:v>118</c:v>
                </c:pt>
                <c:pt idx="10">
                  <c:v>320</c:v>
                </c:pt>
                <c:pt idx="11">
                  <c:v>456</c:v>
                </c:pt>
                <c:pt idx="12">
                  <c:v>291</c:v>
                </c:pt>
                <c:pt idx="13">
                  <c:v>259</c:v>
                </c:pt>
                <c:pt idx="14">
                  <c:v>323</c:v>
                </c:pt>
              </c:numCache>
            </c:numRef>
          </c:yVal>
          <c:smooth val="0"/>
          <c:extLst>
            <c:ext xmlns:c16="http://schemas.microsoft.com/office/drawing/2014/chart" uri="{C3380CC4-5D6E-409C-BE32-E72D297353CC}">
              <c16:uniqueId val="{00000000-5A68-4BFC-B292-53C1191D932C}"/>
            </c:ext>
          </c:extLst>
        </c:ser>
        <c:dLbls>
          <c:showLegendKey val="0"/>
          <c:showVal val="0"/>
          <c:showCatName val="0"/>
          <c:showSerName val="0"/>
          <c:showPercent val="0"/>
          <c:showBubbleSize val="0"/>
        </c:dLbls>
        <c:axId val="1262377439"/>
        <c:axId val="1262377919"/>
      </c:scatterChart>
      <c:valAx>
        <c:axId val="126237743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BDG CR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2377919"/>
        <c:crosses val="autoZero"/>
        <c:crossBetween val="midCat"/>
      </c:valAx>
      <c:valAx>
        <c:axId val="1262377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a:t>
                </a:r>
                <a:r>
                  <a:rPr lang="en-GB" baseline="0"/>
                  <a:t> Strength</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237743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title pos="t" align="ctr" overlay="0">
      <cx:tx>
        <cx:txData>
          <cx:v>DG Winner Thresholds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Aptos Narrow" panose="02110004020202020204"/>
            </a:rPr>
            <a:t>DG Winner Thresholds</a:t>
          </a:r>
        </a:p>
      </cx:txPr>
    </cx:title>
    <cx:plotArea>
      <cx:plotAreaRegion>
        <cx:series layoutId="funnel" uniqueId="{2D303703-FBF7-4AF7-96F9-911E3FF92265}">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_xlchart.v2.3</cx:f>
      </cx:numDim>
    </cx:data>
  </cx:chartData>
  <cx:chart>
    <cx:title pos="t" align="ctr" overlay="0">
      <cx:tx>
        <cx:txData>
          <cx:v>BDG Winner Thresholds</cx:v>
        </cx:txData>
      </cx:tx>
      <cx:txPr>
        <a:bodyPr spcFirstLastPara="1" vertOverflow="ellipsis" horzOverflow="overflow" wrap="square" lIns="0" tIns="0" rIns="0" bIns="0" anchor="ctr" anchorCtr="1"/>
        <a:lstStyle/>
        <a:p>
          <a:pPr algn="ctr" rtl="0">
            <a:defRPr b="1"/>
          </a:pPr>
          <a:r>
            <a:rPr lang="en-US" sz="1400" b="1" i="0" u="none" strike="noStrike" baseline="0">
              <a:solidFill>
                <a:sysClr val="windowText" lastClr="000000">
                  <a:lumMod val="65000"/>
                  <a:lumOff val="35000"/>
                </a:sysClr>
              </a:solidFill>
              <a:latin typeface="Aptos Narrow" panose="02110004020202020204"/>
            </a:rPr>
            <a:t>BDG Winner Thresholds</a:t>
          </a:r>
        </a:p>
      </cx:txPr>
    </cx:title>
    <cx:plotArea>
      <cx:plotAreaRegion>
        <cx:series layoutId="funnel" uniqueId="{445F49E4-9CE8-4E92-ABC3-1CDBFA16C719}">
          <cx:dataLabels>
            <cx:visibility seriesName="0" categoryName="0" value="1"/>
          </cx:dataLabels>
          <cx:dataId val="0"/>
        </cx:series>
      </cx:plotAreaRegion>
      <cx:axis id="0">
        <cx:catScaling gapWidth="0.0599999987"/>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_xlchart.v2.5</cx:f>
      </cx:strDim>
      <cx:numDim type="val">
        <cx:f>_xlchart.v2.4</cx:f>
      </cx:numDim>
    </cx:data>
  </cx:chartData>
  <cx:chart>
    <cx:title pos="t" align="ctr" overlay="0">
      <cx:tx>
        <cx:rich>
          <a:bodyPr spcFirstLastPara="1" vertOverflow="ellipsis" horzOverflow="overflow" wrap="square" lIns="0" tIns="0" rIns="0" bIns="0" anchor="ctr" anchorCtr="1"/>
          <a:lstStyle/>
          <a:p>
            <a:pPr algn="ctr" rtl="0">
              <a:spcBef>
                <a:spcPts val="0"/>
              </a:spcBef>
              <a:spcAft>
                <a:spcPts val="0"/>
              </a:spcAft>
            </a:pPr>
            <a:r>
              <a:rPr lang="en-US" sz="1400" b="1" i="0" baseline="0">
                <a:solidFill>
                  <a:srgbClr val="595959"/>
                </a:solidFill>
                <a:effectLst/>
                <a:latin typeface="Aptos Narrow" panose="020B0004020202020204" pitchFamily="34" charset="0"/>
                <a:ea typeface="Calibri" panose="020F0502020204030204" pitchFamily="34" charset="0"/>
                <a:cs typeface="Calibri" panose="020F0502020204030204" pitchFamily="34" charset="0"/>
              </a:rPr>
              <a:t>BDG Radar Winner Thresholds</a:t>
            </a:r>
            <a:endParaRPr lang="en-GB" sz="1400">
              <a:effectLst/>
            </a:endParaRPr>
          </a:p>
        </cx:rich>
      </cx:tx>
    </cx:title>
    <cx:plotArea>
      <cx:plotAreaRegion>
        <cx:series layoutId="funnel" uniqueId="{7A30FFC7-4ACE-48F5-8AEC-350A2033C240}">
          <cx:dataLabels>
            <cx:visibility seriesName="0" categoryName="0" value="1"/>
          </cx:dataLabels>
          <cx:dataId val="0"/>
        </cx:series>
      </cx:plotAreaRegion>
      <cx:axis id="0">
        <cx:catScaling gapWidth="0.0599999987"/>
        <cx:tickLabels/>
      </cx:axis>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_xlchart.v2.7</cx:f>
      </cx:strDim>
      <cx:numDim type="val">
        <cx:f>_xlchart.v2.6</cx:f>
      </cx:numDim>
    </cx:data>
  </cx:chartData>
  <cx:chart>
    <cx:title pos="t" align="ctr" overlay="0">
      <cx:tx>
        <cx:rich>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effectLst/>
                <a:latin typeface="Aptos Narrow" panose="02110004020202020204"/>
                <a:ea typeface="Calibri" panose="020F0502020204030204" pitchFamily="34" charset="0"/>
                <a:cs typeface="Calibri" panose="020F0502020204030204" pitchFamily="34" charset="0"/>
              </a:rPr>
              <a:t>Radar Winner Thresholds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funnel" uniqueId="{59884C39-5A09-4570-A029-506703CD6985}">
          <cx:dataLabels>
            <cx:visibility seriesName="0" categoryName="0" value="1"/>
          </cx:dataLabels>
          <cx:dataId val="0"/>
        </cx:series>
      </cx:plotAreaRegion>
      <cx:axis id="0">
        <cx:catScaling gapWidth="0.0599999987"/>
        <cx:tickLabels/>
      </cx:axis>
    </cx:plotArea>
  </cx:chart>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_xlchart.v2.8</cx:f>
      </cx:strDim>
      <cx:numDim type="val">
        <cx:f>_xlchart.v2.9</cx:f>
      </cx:numDim>
    </cx:data>
  </cx:chartData>
  <cx:chart>
    <cx:title pos="t" align="ctr" overlay="0">
      <cx:tx>
        <cx:txData>
          <cx:v>DG T10 Thresholds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DG T10 Thresholds</a:t>
          </a:r>
        </a:p>
      </cx:txPr>
    </cx:title>
    <cx:plotArea>
      <cx:plotAreaRegion>
        <cx:series layoutId="funnel" uniqueId="{EEA9106C-BC2B-4D38-8E1E-728E66816679}">
          <cx:dataLabels>
            <cx:visibility seriesName="0" categoryName="0" value="1"/>
          </cx:dataLabels>
          <cx:dataId val="0"/>
        </cx:series>
      </cx:plotAreaRegion>
      <cx:axis id="0">
        <cx:catScaling gapWidth="0.0599999987"/>
        <cx:tickLabels/>
      </cx:axis>
    </cx:plotArea>
  </cx:chart>
</cx:chartSpace>
</file>

<file path=xl/charts/chartEx6.xml><?xml version="1.0" encoding="utf-8"?>
<cx:chartSpace xmlns:a="http://schemas.openxmlformats.org/drawingml/2006/main" xmlns:r="http://schemas.openxmlformats.org/officeDocument/2006/relationships" xmlns:cx="http://schemas.microsoft.com/office/drawing/2014/chartex">
  <cx:chartData>
    <cx:data id="0">
      <cx:strDim type="cat">
        <cx:f>_xlchart.v2.10</cx:f>
      </cx:strDim>
      <cx:numDim type="val">
        <cx:f>_xlchart.v2.11</cx:f>
      </cx:numDim>
    </cx:data>
  </cx:chartData>
  <cx:chart>
    <cx:title pos="t" align="ctr" overlay="0">
      <cx:tx>
        <cx:txData>
          <cx:v>BDG T10 Thresholds</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BDG T10 Thresholds</a:t>
          </a:r>
        </a:p>
      </cx:txPr>
    </cx:title>
    <cx:plotArea>
      <cx:plotAreaRegion>
        <cx:series layoutId="funnel" uniqueId="{78267DDD-746B-448F-B8A5-A9B29CC62FFA}">
          <cx:dataLabels>
            <cx:visibility seriesName="0" categoryName="0" value="1"/>
          </cx:dataLabels>
          <cx:dataId val="0"/>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17" Type="http://schemas.openxmlformats.org/officeDocument/2006/relationships/hyperlink" Target="https://www.pgatour.com/player/25818/scott-piercy" TargetMode="External"/><Relationship Id="rId21" Type="http://schemas.openxmlformats.org/officeDocument/2006/relationships/hyperlink" Target="https://www.pgatour.com/player/40098/matt-fitzpatrick" TargetMode="External"/><Relationship Id="rId42" Type="http://schemas.openxmlformats.org/officeDocument/2006/relationships/hyperlink" Target="https://www.pgatour.com/player/23108/matt-kuchar" TargetMode="External"/><Relationship Id="rId63" Type="http://schemas.openxmlformats.org/officeDocument/2006/relationships/hyperlink" Target="https://www.pgatour.com/player/32791/k.h-lee" TargetMode="External"/><Relationship Id="rId84" Type="http://schemas.openxmlformats.org/officeDocument/2006/relationships/hyperlink" Target="https://www.pgatour.com/player/46414/aaron-rai" TargetMode="External"/><Relationship Id="rId138" Type="http://schemas.openxmlformats.org/officeDocument/2006/relationships/hyperlink" Target="https://www.pgatour.com/player/32150/michael-thompson" TargetMode="External"/><Relationship Id="rId159" Type="http://schemas.openxmlformats.org/officeDocument/2006/relationships/hyperlink" Target="https://www.pgatour.com/player/50095/austin-smotherman" TargetMode="External"/><Relationship Id="rId170" Type="http://schemas.openxmlformats.org/officeDocument/2006/relationships/hyperlink" Target="https://www.pgatour.com/player/28420/ryan-brehm" TargetMode="External"/><Relationship Id="rId191" Type="http://schemas.openxmlformats.org/officeDocument/2006/relationships/hyperlink" Target="https://www.pgatour.com/player/31202/william-mcgirt" TargetMode="External"/><Relationship Id="rId205" Type="http://schemas.openxmlformats.org/officeDocument/2006/relationships/hyperlink" Target="https://www.pgatour.com/player/27974/sung-kang" TargetMode="External"/><Relationship Id="rId226" Type="http://schemas.openxmlformats.org/officeDocument/2006/relationships/hyperlink" Target="https://www.pgatour.com/player/24490/george-mcneill" TargetMode="External"/><Relationship Id="rId107" Type="http://schemas.openxmlformats.org/officeDocument/2006/relationships/hyperlink" Target="https://www.pgatour.com/player/39975/michael-kim" TargetMode="External"/><Relationship Id="rId11" Type="http://schemas.openxmlformats.org/officeDocument/2006/relationships/hyperlink" Target="https://www.pgatour.com/player/51634/sahith-theegala" TargetMode="External"/><Relationship Id="rId32" Type="http://schemas.openxmlformats.org/officeDocument/2006/relationships/hyperlink" Target="https://www.pgatour.com/player/47995/davis-riley" TargetMode="External"/><Relationship Id="rId53" Type="http://schemas.openxmlformats.org/officeDocument/2006/relationships/hyperlink" Target="https://www.pgatour.com/player/48887/matt-wallace" TargetMode="External"/><Relationship Id="rId74" Type="http://schemas.openxmlformats.org/officeDocument/2006/relationships/hyperlink" Target="https://www.pgatour.com/player/35461/beau-hossler" TargetMode="External"/><Relationship Id="rId128" Type="http://schemas.openxmlformats.org/officeDocument/2006/relationships/hyperlink" Target="https://www.pgatour.com/player/25632/jimmy-walker" TargetMode="External"/><Relationship Id="rId149" Type="http://schemas.openxmlformats.org/officeDocument/2006/relationships/hyperlink" Target="https://www.pgatour.com/player/48867/matti-schmid" TargetMode="External"/><Relationship Id="rId5" Type="http://schemas.openxmlformats.org/officeDocument/2006/relationships/hyperlink" Target="https://www.pgatour.com/player/47504/sam-burns" TargetMode="External"/><Relationship Id="rId95" Type="http://schemas.openxmlformats.org/officeDocument/2006/relationships/hyperlink" Target="https://www.pgatour.com/player/28775/nate-lashley" TargetMode="External"/><Relationship Id="rId160" Type="http://schemas.openxmlformats.org/officeDocument/2006/relationships/hyperlink" Target="https://www.pgatour.com/player/29926/danny-lee" TargetMode="External"/><Relationship Id="rId181" Type="http://schemas.openxmlformats.org/officeDocument/2006/relationships/hyperlink" Target="https://www.pgatour.com/player/25198/francesco-molinari" TargetMode="External"/><Relationship Id="rId216" Type="http://schemas.openxmlformats.org/officeDocument/2006/relationships/hyperlink" Target="https://www.pgatour.com/player/27770/camilo-villegas" TargetMode="External"/><Relationship Id="rId22" Type="http://schemas.openxmlformats.org/officeDocument/2006/relationships/hyperlink" Target="https://www.pgatour.com/player/34098/russell-henley" TargetMode="External"/><Relationship Id="rId43" Type="http://schemas.openxmlformats.org/officeDocument/2006/relationships/hyperlink" Target="https://www.pgatour.com/player/33399/adam-hadwin" TargetMode="External"/><Relationship Id="rId64" Type="http://schemas.openxmlformats.org/officeDocument/2006/relationships/hyperlink" Target="https://www.pgatour.com/player/52374/brandon-wu" TargetMode="External"/><Relationship Id="rId118" Type="http://schemas.openxmlformats.org/officeDocument/2006/relationships/hyperlink" Target="https://www.pgatour.com/player/47529/mito-pereira" TargetMode="External"/><Relationship Id="rId139" Type="http://schemas.openxmlformats.org/officeDocument/2006/relationships/hyperlink" Target="https://www.pgatour.com/player/49298/kramer-hickok" TargetMode="External"/><Relationship Id="rId85" Type="http://schemas.openxmlformats.org/officeDocument/2006/relationships/hyperlink" Target="https://www.pgatour.com/player/56762/will-gordon" TargetMode="External"/><Relationship Id="rId150" Type="http://schemas.openxmlformats.org/officeDocument/2006/relationships/hyperlink" Target="https://www.pgatour.com/player/46435/austin-cook" TargetMode="External"/><Relationship Id="rId171" Type="http://schemas.openxmlformats.org/officeDocument/2006/relationships/hyperlink" Target="https://www.pgatour.com/player/49766/hank-lebioda" TargetMode="External"/><Relationship Id="rId192" Type="http://schemas.openxmlformats.org/officeDocument/2006/relationships/hyperlink" Target="https://www.pgatour.com/player/23621/rory-sabbatini" TargetMode="External"/><Relationship Id="rId206" Type="http://schemas.openxmlformats.org/officeDocument/2006/relationships/hyperlink" Target="https://www.pgatour.com/player/49303/anders-albertson" TargetMode="External"/><Relationship Id="rId227" Type="http://schemas.openxmlformats.org/officeDocument/2006/relationships/hyperlink" Target="https://www.pgatour.com/player/06522/ernie-els" TargetMode="External"/><Relationship Id="rId12" Type="http://schemas.openxmlformats.org/officeDocument/2006/relationships/hyperlink" Target="https://www.pgatour.com/player/55182/tom-kim" TargetMode="External"/><Relationship Id="rId33" Type="http://schemas.openxmlformats.org/officeDocument/2006/relationships/hyperlink" Target="https://www.pgatour.com/player/55708/hayden-buckley" TargetMode="External"/><Relationship Id="rId108" Type="http://schemas.openxmlformats.org/officeDocument/2006/relationships/hyperlink" Target="https://www.pgatour.com/player/54783/dylan-wu" TargetMode="External"/><Relationship Id="rId129" Type="http://schemas.openxmlformats.org/officeDocument/2006/relationships/hyperlink" Target="https://www.pgatour.com/player/22056/cameron-percy" TargetMode="External"/><Relationship Id="rId54" Type="http://schemas.openxmlformats.org/officeDocument/2006/relationships/hyperlink" Target="https://www.pgatour.com/player/48119/ben-taylor" TargetMode="External"/><Relationship Id="rId75" Type="http://schemas.openxmlformats.org/officeDocument/2006/relationships/hyperlink" Target="https://www.pgatour.com/player/50493/justin-suh" TargetMode="External"/><Relationship Id="rId96" Type="http://schemas.openxmlformats.org/officeDocument/2006/relationships/hyperlink" Target="https://www.pgatour.com/player/46601/trey-mullinax" TargetMode="External"/><Relationship Id="rId140" Type="http://schemas.openxmlformats.org/officeDocument/2006/relationships/hyperlink" Target="https://www.pgatour.com/player/35901/paul-haley-ii" TargetMode="External"/><Relationship Id="rId161" Type="http://schemas.openxmlformats.org/officeDocument/2006/relationships/hyperlink" Target="https://www.pgatour.com/player/27064/jhonattan-vegas" TargetMode="External"/><Relationship Id="rId182" Type="http://schemas.openxmlformats.org/officeDocument/2006/relationships/hyperlink" Target="https://www.pgatour.com/player/32448/james-hahn" TargetMode="External"/><Relationship Id="rId217" Type="http://schemas.openxmlformats.org/officeDocument/2006/relationships/hyperlink" Target="https://www.pgatour.com/player/23541/ben-crane" TargetMode="External"/><Relationship Id="rId6" Type="http://schemas.openxmlformats.org/officeDocument/2006/relationships/hyperlink" Target="https://www.pgatour.com/player/48117/kurt-kitayama" TargetMode="External"/><Relationship Id="rId23" Type="http://schemas.openxmlformats.org/officeDocument/2006/relationships/hyperlink" Target="https://www.pgatour.com/player/27644/brian-harman" TargetMode="External"/><Relationship Id="rId119" Type="http://schemas.openxmlformats.org/officeDocument/2006/relationships/hyperlink" Target="https://www.pgatour.com/player/29970/dylan-frittelli" TargetMode="External"/><Relationship Id="rId44" Type="http://schemas.openxmlformats.org/officeDocument/2006/relationships/hyperlink" Target="https://www.pgatour.com/player/34099/harris-english" TargetMode="External"/><Relationship Id="rId65" Type="http://schemas.openxmlformats.org/officeDocument/2006/relationships/hyperlink" Target="https://www.pgatour.com/player/46441/robby-shelton" TargetMode="External"/><Relationship Id="rId86" Type="http://schemas.openxmlformats.org/officeDocument/2006/relationships/hyperlink" Target="https://www.pgatour.com/player/34255/joseph-bramlett" TargetMode="External"/><Relationship Id="rId130" Type="http://schemas.openxmlformats.org/officeDocument/2006/relationships/hyperlink" Target="https://www.pgatour.com/player/40058/zac-blair" TargetMode="External"/><Relationship Id="rId151" Type="http://schemas.openxmlformats.org/officeDocument/2006/relationships/hyperlink" Target="https://www.pgatour.com/player/35449/adam-long" TargetMode="External"/><Relationship Id="rId172" Type="http://schemas.openxmlformats.org/officeDocument/2006/relationships/hyperlink" Target="https://www.pgatour.com/player/32816/satoshi-kodaira" TargetMode="External"/><Relationship Id="rId193" Type="http://schemas.openxmlformats.org/officeDocument/2006/relationships/hyperlink" Target="https://www.pgatour.com/player/25686/jason-dufner" TargetMode="External"/><Relationship Id="rId207" Type="http://schemas.openxmlformats.org/officeDocument/2006/relationships/hyperlink" Target="https://www.pgatour.com/player/34213/grayson-murray" TargetMode="External"/><Relationship Id="rId228" Type="http://schemas.openxmlformats.org/officeDocument/2006/relationships/hyperlink" Target="https://www.pgatour.com/player/27649/brandt-snedeker" TargetMode="External"/><Relationship Id="rId13" Type="http://schemas.openxmlformats.org/officeDocument/2006/relationships/hyperlink" Target="https://www.pgatour.com/player/28252/seamus-power" TargetMode="External"/><Relationship Id="rId109" Type="http://schemas.openxmlformats.org/officeDocument/2006/relationships/hyperlink" Target="https://www.pgatour.com/player/47079/harrison-endycott" TargetMode="External"/><Relationship Id="rId34" Type="http://schemas.openxmlformats.org/officeDocument/2006/relationships/hyperlink" Target="https://www.pgatour.com/player/34256/andrew-putnam" TargetMode="External"/><Relationship Id="rId55" Type="http://schemas.openxmlformats.org/officeDocument/2006/relationships/hyperlink" Target="https://www.pgatour.com/player/32139/danny-willett" TargetMode="External"/><Relationship Id="rId76" Type="http://schemas.openxmlformats.org/officeDocument/2006/relationships/hyperlink" Target="https://www.pgatour.com/player/33408/tyson-alexander" TargetMode="External"/><Relationship Id="rId97" Type="http://schemas.openxmlformats.org/officeDocument/2006/relationships/hyperlink" Target="https://www.pgatour.com/player/29420/billy-horschel" TargetMode="External"/><Relationship Id="rId120" Type="http://schemas.openxmlformats.org/officeDocument/2006/relationships/hyperlink" Target="https://www.pgatour.com/player/24140/sean-ohair" TargetMode="External"/><Relationship Id="rId141" Type="http://schemas.openxmlformats.org/officeDocument/2006/relationships/hyperlink" Target="https://www.pgatour.com/player/29221/webb-simpson" TargetMode="External"/><Relationship Id="rId7" Type="http://schemas.openxmlformats.org/officeDocument/2006/relationships/hyperlink" Target="https://www.pgatour.com/player/30926/chris-kirk" TargetMode="External"/><Relationship Id="rId162" Type="http://schemas.openxmlformats.org/officeDocument/2006/relationships/hyperlink" Target="https://www.pgatour.com/player/37338/zecheng-dou" TargetMode="External"/><Relationship Id="rId183" Type="http://schemas.openxmlformats.org/officeDocument/2006/relationships/hyperlink" Target="https://www.pgatour.com/player/31560/brian-stuard" TargetMode="External"/><Relationship Id="rId218" Type="http://schemas.openxmlformats.org/officeDocument/2006/relationships/hyperlink" Target="https://www.pgatour.com/player/30110/kyle-stanley" TargetMode="External"/><Relationship Id="rId24" Type="http://schemas.openxmlformats.org/officeDocument/2006/relationships/hyperlink" Target="https://www.pgatour.com/player/40115/adam-svensson" TargetMode="External"/><Relationship Id="rId45" Type="http://schemas.openxmlformats.org/officeDocument/2006/relationships/hyperlink" Target="https://www.pgatour.com/player/37275/sam-ryder" TargetMode="External"/><Relationship Id="rId66" Type="http://schemas.openxmlformats.org/officeDocument/2006/relationships/hyperlink" Target="https://www.pgatour.com/player/50188/s.h-kim" TargetMode="External"/><Relationship Id="rId87" Type="http://schemas.openxmlformats.org/officeDocument/2006/relationships/hyperlink" Target="https://www.pgatour.com/player/36801/mark-hubbard" TargetMode="External"/><Relationship Id="rId110" Type="http://schemas.openxmlformats.org/officeDocument/2006/relationships/hyperlink" Target="https://www.pgatour.com/player/33597/harry-higgs" TargetMode="External"/><Relationship Id="rId131" Type="http://schemas.openxmlformats.org/officeDocument/2006/relationships/hyperlink" Target="https://www.pgatour.com/player/27214/kevin-streelman" TargetMode="External"/><Relationship Id="rId152" Type="http://schemas.openxmlformats.org/officeDocument/2006/relationships/hyperlink" Target="https://www.pgatour.com/player/47128/richy-werenski" TargetMode="External"/><Relationship Id="rId173" Type="http://schemas.openxmlformats.org/officeDocument/2006/relationships/hyperlink" Target="https://www.pgatour.com/player/31557/jim-herman" TargetMode="External"/><Relationship Id="rId194" Type="http://schemas.openxmlformats.org/officeDocument/2006/relationships/hyperlink" Target="https://www.pgatour.com/player/28679/fabin-gmez" TargetMode="External"/><Relationship Id="rId208" Type="http://schemas.openxmlformats.org/officeDocument/2006/relationships/hyperlink" Target="https://www.pgatour.com/player/33410/andrew-landry" TargetMode="External"/><Relationship Id="rId229" Type="http://schemas.openxmlformats.org/officeDocument/2006/relationships/hyperlink" Target="https://www.pgatour.com/player/51894/vince-whaley" TargetMode="External"/><Relationship Id="rId14" Type="http://schemas.openxmlformats.org/officeDocument/2006/relationships/hyperlink" Target="https://www.pgatour.com/player/34046/jordan-spieth" TargetMode="External"/><Relationship Id="rId35" Type="http://schemas.openxmlformats.org/officeDocument/2006/relationships/hyperlink" Target="https://www.pgatour.com/player/34363/tyrrell-hatton" TargetMode="External"/><Relationship Id="rId56" Type="http://schemas.openxmlformats.org/officeDocument/2006/relationships/hyperlink" Target="https://www.pgatour.com/player/58168/davis-thompson" TargetMode="External"/><Relationship Id="rId77" Type="http://schemas.openxmlformats.org/officeDocument/2006/relationships/hyperlink" Target="https://www.pgatour.com/player/54421/garrick-higgo" TargetMode="External"/><Relationship Id="rId100" Type="http://schemas.openxmlformats.org/officeDocument/2006/relationships/hyperlink" Target="https://www.pgatour.com/player/22371/aaron-baddeley" TargetMode="External"/><Relationship Id="rId8" Type="http://schemas.openxmlformats.org/officeDocument/2006/relationships/hyperlink" Target="https://www.pgatour.com/player/49947/taylor-moore" TargetMode="External"/><Relationship Id="rId98" Type="http://schemas.openxmlformats.org/officeDocument/2006/relationships/hyperlink" Target="https://www.pgatour.com/player/30692/scott-stallings" TargetMode="External"/><Relationship Id="rId121" Type="http://schemas.openxmlformats.org/officeDocument/2006/relationships/hyperlink" Target="https://www.pgatour.com/player/30163/henrik-norlander" TargetMode="External"/><Relationship Id="rId142" Type="http://schemas.openxmlformats.org/officeDocument/2006/relationships/hyperlink" Target="https://www.pgatour.com/player/24024/zach-johnson" TargetMode="External"/><Relationship Id="rId163" Type="http://schemas.openxmlformats.org/officeDocument/2006/relationships/hyperlink" Target="https://www.pgatour.com/player/51950/max-mcgreevy" TargetMode="External"/><Relationship Id="rId184" Type="http://schemas.openxmlformats.org/officeDocument/2006/relationships/hyperlink" Target="https://www.pgatour.com/player/29478/kevin-kisner" TargetMode="External"/><Relationship Id="rId219" Type="http://schemas.openxmlformats.org/officeDocument/2006/relationships/hyperlink" Target="https://www.pgatour.com/player/08793/tiger-woods" TargetMode="External"/><Relationship Id="rId230" Type="http://schemas.openxmlformats.org/officeDocument/2006/relationships/hyperlink" Target="https://www.pgatour.com/player/26679/kevin-stadler" TargetMode="External"/><Relationship Id="rId25" Type="http://schemas.openxmlformats.org/officeDocument/2006/relationships/hyperlink" Target="https://www.pgatour.com/player/35506/mackenzie-hughes" TargetMode="External"/><Relationship Id="rId46" Type="http://schemas.openxmlformats.org/officeDocument/2006/relationships/hyperlink" Target="https://www.pgatour.com/player/47993/denny-mccarthy" TargetMode="External"/><Relationship Id="rId67" Type="http://schemas.openxmlformats.org/officeDocument/2006/relationships/hyperlink" Target="https://www.pgatour.com/player/51349/nico-echavarria" TargetMode="External"/><Relationship Id="rId20" Type="http://schemas.openxmlformats.org/officeDocument/2006/relationships/hyperlink" Target="https://www.pgatour.com/player/48081/xander-schauffele" TargetMode="External"/><Relationship Id="rId41" Type="http://schemas.openxmlformats.org/officeDocument/2006/relationships/hyperlink" Target="https://www.pgatour.com/player/36699/patrick-rodgers" TargetMode="External"/><Relationship Id="rId62" Type="http://schemas.openxmlformats.org/officeDocument/2006/relationships/hyperlink" Target="https://www.pgatour.com/player/30911/tommy-fleetwood" TargetMode="External"/><Relationship Id="rId83" Type="http://schemas.openxmlformats.org/officeDocument/2006/relationships/hyperlink" Target="https://www.pgatour.com/player/48699/callum-tarren" TargetMode="External"/><Relationship Id="rId88" Type="http://schemas.openxmlformats.org/officeDocument/2006/relationships/hyperlink" Target="https://www.pgatour.com/player/36326/david-lipsky" TargetMode="External"/><Relationship Id="rId111" Type="http://schemas.openxmlformats.org/officeDocument/2006/relationships/hyperlink" Target="https://www.pgatour.com/player/39067/mj-daffue" TargetMode="External"/><Relationship Id="rId132" Type="http://schemas.openxmlformats.org/officeDocument/2006/relationships/hyperlink" Target="https://www.pgatour.com/player/19803/ryan-armour" TargetMode="External"/><Relationship Id="rId153" Type="http://schemas.openxmlformats.org/officeDocument/2006/relationships/hyperlink" Target="https://www.pgatour.com/player/31577/tano-goya" TargetMode="External"/><Relationship Id="rId174" Type="http://schemas.openxmlformats.org/officeDocument/2006/relationships/hyperlink" Target="https://www.pgatour.com/player/58967/trevor-werbylo" TargetMode="External"/><Relationship Id="rId179" Type="http://schemas.openxmlformats.org/officeDocument/2006/relationships/hyperlink" Target="https://www.pgatour.com/player/55454/carl-yuan" TargetMode="External"/><Relationship Id="rId195" Type="http://schemas.openxmlformats.org/officeDocument/2006/relationships/hyperlink" Target="https://www.pgatour.com/player/23320/ryan-palmer" TargetMode="External"/><Relationship Id="rId209" Type="http://schemas.openxmlformats.org/officeDocument/2006/relationships/hyperlink" Target="https://www.pgatour.com/player/37273/derek-ernst" TargetMode="External"/><Relationship Id="rId190" Type="http://schemas.openxmlformats.org/officeDocument/2006/relationships/hyperlink" Target="https://www.pgatour.com/player/24924/bill-haas" TargetMode="External"/><Relationship Id="rId204" Type="http://schemas.openxmlformats.org/officeDocument/2006/relationships/hyperlink" Target="https://www.pgatour.com/player/32662/michael-gligic" TargetMode="External"/><Relationship Id="rId220" Type="http://schemas.openxmlformats.org/officeDocument/2006/relationships/hyperlink" Target="https://www.pgatour.com/player/01226/fred-couples" TargetMode="External"/><Relationship Id="rId225" Type="http://schemas.openxmlformats.org/officeDocument/2006/relationships/hyperlink" Target="https://www.pgatour.com/player/08075/jerry-kelly" TargetMode="External"/><Relationship Id="rId15" Type="http://schemas.openxmlformats.org/officeDocument/2006/relationships/hyperlink" Target="https://www.pgatour.com/player/25493/nick-taylor" TargetMode="External"/><Relationship Id="rId36" Type="http://schemas.openxmlformats.org/officeDocument/2006/relationships/hyperlink" Target="https://www.pgatour.com/player/57366/cameron-young" TargetMode="External"/><Relationship Id="rId57" Type="http://schemas.openxmlformats.org/officeDocument/2006/relationships/hyperlink" Target="https://www.pgatour.com/player/39324/j.j-spaun" TargetMode="External"/><Relationship Id="rId106" Type="http://schemas.openxmlformats.org/officeDocument/2006/relationships/hyperlink" Target="https://www.pgatour.com/player/27349/alex-noren" TargetMode="External"/><Relationship Id="rId127" Type="http://schemas.openxmlformats.org/officeDocument/2006/relationships/hyperlink" Target="https://www.pgatour.com/player/47983/chad-ramey" TargetMode="External"/><Relationship Id="rId10" Type="http://schemas.openxmlformats.org/officeDocument/2006/relationships/hyperlink" Target="https://www.pgatour.com/player/29725/tony-finau" TargetMode="External"/><Relationship Id="rId31" Type="http://schemas.openxmlformats.org/officeDocument/2006/relationships/hyperlink" Target="https://www.pgatour.com/player/46717/viktor-hovland" TargetMode="External"/><Relationship Id="rId52" Type="http://schemas.openxmlformats.org/officeDocument/2006/relationships/hyperlink" Target="https://www.pgatour.com/player/36871/matthew-nesmith" TargetMode="External"/><Relationship Id="rId73" Type="http://schemas.openxmlformats.org/officeDocument/2006/relationships/hyperlink" Target="https://www.pgatour.com/player/31646/emiliano-grillo" TargetMode="External"/><Relationship Id="rId78" Type="http://schemas.openxmlformats.org/officeDocument/2006/relationships/hyperlink" Target="https://www.pgatour.com/player/54628/lee-hodges" TargetMode="External"/><Relationship Id="rId94" Type="http://schemas.openxmlformats.org/officeDocument/2006/relationships/hyperlink" Target="https://www.pgatour.com/player/51997/andrew-novak" TargetMode="External"/><Relationship Id="rId99" Type="http://schemas.openxmlformats.org/officeDocument/2006/relationships/hyperlink" Target="https://www.pgatour.com/player/31323/gary-woodland" TargetMode="External"/><Relationship Id="rId101" Type="http://schemas.openxmlformats.org/officeDocument/2006/relationships/hyperlink" Target="https://www.pgatour.com/player/32757/patton-kizzire" TargetMode="External"/><Relationship Id="rId122" Type="http://schemas.openxmlformats.org/officeDocument/2006/relationships/hyperlink" Target="https://www.pgatour.com/player/52513/carson-young" TargetMode="External"/><Relationship Id="rId143" Type="http://schemas.openxmlformats.org/officeDocument/2006/relationships/hyperlink" Target="https://www.pgatour.com/player/51070/vincent-norrman" TargetMode="External"/><Relationship Id="rId148" Type="http://schemas.openxmlformats.org/officeDocument/2006/relationships/hyperlink" Target="https://www.pgatour.com/player/29289/s.y-noh" TargetMode="External"/><Relationship Id="rId164" Type="http://schemas.openxmlformats.org/officeDocument/2006/relationships/hyperlink" Target="https://www.pgatour.com/player/51491/brandon-matthews" TargetMode="External"/><Relationship Id="rId169" Type="http://schemas.openxmlformats.org/officeDocument/2006/relationships/hyperlink" Target="https://www.pgatour.com/player/27095/nick-watney" TargetMode="External"/><Relationship Id="rId185" Type="http://schemas.openxmlformats.org/officeDocument/2006/relationships/hyperlink" Target="https://www.pgatour.com/player/35310/lanto-griffin" TargetMode="External"/><Relationship Id="rId4" Type="http://schemas.openxmlformats.org/officeDocument/2006/relationships/hyperlink" Target="https://www.pgatour.com/player/35450/patrick-cantlay" TargetMode="External"/><Relationship Id="rId9" Type="http://schemas.openxmlformats.org/officeDocument/2006/relationships/hyperlink" Target="https://www.pgatour.com/player/28237/rory-mcilroy" TargetMode="External"/><Relationship Id="rId180" Type="http://schemas.openxmlformats.org/officeDocument/2006/relationships/hyperlink" Target="https://www.pgatour.com/player/52375/doug-ghim" TargetMode="External"/><Relationship Id="rId210" Type="http://schemas.openxmlformats.org/officeDocument/2006/relationships/hyperlink" Target="https://www.pgatour.com/player/27797/derek-lamely" TargetMode="External"/><Relationship Id="rId215" Type="http://schemas.openxmlformats.org/officeDocument/2006/relationships/hyperlink" Target="https://www.pgatour.com/player/54813/philip-knowles" TargetMode="External"/><Relationship Id="rId26" Type="http://schemas.openxmlformats.org/officeDocument/2006/relationships/hyperlink" Target="https://www.pgatour.com/player/39997/corey-conners" TargetMode="External"/><Relationship Id="rId231" Type="http://schemas.openxmlformats.org/officeDocument/2006/relationships/hyperlink" Target="https://www.pgatour.com/player/27556/ted-potter-jr" TargetMode="External"/><Relationship Id="rId47" Type="http://schemas.openxmlformats.org/officeDocument/2006/relationships/hyperlink" Target="https://www.pgatour.com/player/30927/brendon-todd" TargetMode="External"/><Relationship Id="rId68" Type="http://schemas.openxmlformats.org/officeDocument/2006/relationships/hyperlink" Target="https://www.pgatour.com/player/33448/justin-thomas" TargetMode="External"/><Relationship Id="rId89" Type="http://schemas.openxmlformats.org/officeDocument/2006/relationships/hyperlink" Target="https://www.pgatour.com/player/45522/christiaan-bezuidenhout" TargetMode="External"/><Relationship Id="rId112" Type="http://schemas.openxmlformats.org/officeDocument/2006/relationships/hyperlink" Target="https://www.pgatour.com/player/40250/taylor-pendrith" TargetMode="External"/><Relationship Id="rId133" Type="http://schemas.openxmlformats.org/officeDocument/2006/relationships/hyperlink" Target="https://www.pgatour.com/player/12716/charley-hoffman" TargetMode="External"/><Relationship Id="rId154" Type="http://schemas.openxmlformats.org/officeDocument/2006/relationships/hyperlink" Target="https://www.pgatour.com/player/36724/augusto-nez" TargetMode="External"/><Relationship Id="rId175" Type="http://schemas.openxmlformats.org/officeDocument/2006/relationships/hyperlink" Target="https://www.pgatour.com/player/25900/lucas-glover" TargetMode="External"/><Relationship Id="rId196" Type="http://schemas.openxmlformats.org/officeDocument/2006/relationships/hyperlink" Target="https://www.pgatour.com/player/23983/luke-donald" TargetMode="External"/><Relationship Id="rId200" Type="http://schemas.openxmlformats.org/officeDocument/2006/relationships/hyperlink" Target="https://www.pgatour.com/player/34174/john-huh" TargetMode="External"/><Relationship Id="rId16" Type="http://schemas.openxmlformats.org/officeDocument/2006/relationships/hyperlink" Target="https://www.pgatour.com/player/37455/si-woo-kim" TargetMode="External"/><Relationship Id="rId221" Type="http://schemas.openxmlformats.org/officeDocument/2006/relationships/hyperlink" Target="https://www.pgatour.com/player/25240/d.a-points" TargetMode="External"/><Relationship Id="rId37" Type="http://schemas.openxmlformats.org/officeDocument/2006/relationships/hyperlink" Target="https://www.pgatour.com/player/33653/thomas-detry" TargetMode="External"/><Relationship Id="rId58" Type="http://schemas.openxmlformats.org/officeDocument/2006/relationships/hyperlink" Target="https://www.pgatour.com/player/47591/eric-cole" TargetMode="External"/><Relationship Id="rId79" Type="http://schemas.openxmlformats.org/officeDocument/2006/relationships/hyperlink" Target="https://www.pgatour.com/player/33413/ben-martin" TargetMode="External"/><Relationship Id="rId102" Type="http://schemas.openxmlformats.org/officeDocument/2006/relationships/hyperlink" Target="https://www.pgatour.com/player/34466/peter-malnati" TargetMode="External"/><Relationship Id="rId123" Type="http://schemas.openxmlformats.org/officeDocument/2006/relationships/hyperlink" Target="https://www.pgatour.com/player/33122/russell-knox" TargetMode="External"/><Relationship Id="rId144" Type="http://schemas.openxmlformats.org/officeDocument/2006/relationships/hyperlink" Target="https://www.pgatour.com/player/34563/chesson-hadley" TargetMode="External"/><Relationship Id="rId90" Type="http://schemas.openxmlformats.org/officeDocument/2006/relationships/hyperlink" Target="https://www.pgatour.com/player/36799/stephan-jaeger" TargetMode="External"/><Relationship Id="rId165" Type="http://schemas.openxmlformats.org/officeDocument/2006/relationships/hyperlink" Target="https://www.pgatour.com/player/27554/scott-harrington" TargetMode="External"/><Relationship Id="rId186" Type="http://schemas.openxmlformats.org/officeDocument/2006/relationships/hyperlink" Target="https://www.pgatour.com/player/24846/ricky-barnes" TargetMode="External"/><Relationship Id="rId211" Type="http://schemas.openxmlformats.org/officeDocument/2006/relationships/hyperlink" Target="https://www.pgatour.com/player/20593/greg-chalmers" TargetMode="External"/><Relationship Id="rId232" Type="http://schemas.openxmlformats.org/officeDocument/2006/relationships/hyperlink" Target="https://www.pgatour.com/player/26420/richard-johnson" TargetMode="External"/><Relationship Id="rId27" Type="http://schemas.openxmlformats.org/officeDocument/2006/relationships/hyperlink" Target="https://www.pgatour.com/player/55789/taylor-montgomery" TargetMode="External"/><Relationship Id="rId48" Type="http://schemas.openxmlformats.org/officeDocument/2006/relationships/hyperlink" Target="https://www.pgatour.com/player/54591/ben-griffin" TargetMode="External"/><Relationship Id="rId69" Type="http://schemas.openxmlformats.org/officeDocument/2006/relationships/hyperlink" Target="https://www.pgatour.com/player/46340/alex-smalley" TargetMode="External"/><Relationship Id="rId113" Type="http://schemas.openxmlformats.org/officeDocument/2006/relationships/hyperlink" Target="https://www.pgatour.com/player/26476/chez-reavie" TargetMode="External"/><Relationship Id="rId134" Type="http://schemas.openxmlformats.org/officeDocument/2006/relationships/hyperlink" Target="https://www.pgatour.com/player/57362/austin-eckroat" TargetMode="External"/><Relationship Id="rId80" Type="http://schemas.openxmlformats.org/officeDocument/2006/relationships/hyperlink" Target="https://www.pgatour.com/player/45242/kevin-yu" TargetMode="External"/><Relationship Id="rId155" Type="http://schemas.openxmlformats.org/officeDocument/2006/relationships/hyperlink" Target="https://www.pgatour.com/player/32333/kevin-tway" TargetMode="External"/><Relationship Id="rId176" Type="http://schemas.openxmlformats.org/officeDocument/2006/relationships/hyperlink" Target="https://www.pgatour.com/player/52411/kyle-westmoreland" TargetMode="External"/><Relationship Id="rId197" Type="http://schemas.openxmlformats.org/officeDocument/2006/relationships/hyperlink" Target="https://www.pgatour.com/player/24925/jonathan-byrd" TargetMode="External"/><Relationship Id="rId201" Type="http://schemas.openxmlformats.org/officeDocument/2006/relationships/hyperlink" Target="https://www.pgatour.com/player/35879/kelly-kraft" TargetMode="External"/><Relationship Id="rId222" Type="http://schemas.openxmlformats.org/officeDocument/2006/relationships/hyperlink" Target="https://www.pgatour.com/player/21407/arjun-atwal" TargetMode="External"/><Relationship Id="rId17" Type="http://schemas.openxmlformats.org/officeDocument/2006/relationships/hyperlink" Target="https://www.pgatour.com/player/50525/collin-morikawa" TargetMode="External"/><Relationship Id="rId38" Type="http://schemas.openxmlformats.org/officeDocument/2006/relationships/hyperlink" Target="https://www.pgatour.com/player/47988/nick-hardy" TargetMode="External"/><Relationship Id="rId59" Type="http://schemas.openxmlformats.org/officeDocument/2006/relationships/hyperlink" Target="https://www.pgatour.com/player/34076/joel-dahmen" TargetMode="External"/><Relationship Id="rId103" Type="http://schemas.openxmlformats.org/officeDocument/2006/relationships/hyperlink" Target="https://www.pgatour.com/player/47483/will-zalatoris" TargetMode="External"/><Relationship Id="rId124" Type="http://schemas.openxmlformats.org/officeDocument/2006/relationships/hyperlink" Target="https://www.pgatour.com/player/32640/troy-merritt" TargetMode="External"/><Relationship Id="rId70" Type="http://schemas.openxmlformats.org/officeDocument/2006/relationships/hyperlink" Target="https://www.pgatour.com/player/49771/j.t-poston" TargetMode="External"/><Relationship Id="rId91" Type="http://schemas.openxmlformats.org/officeDocument/2006/relationships/hyperlink" Target="https://www.pgatour.com/player/33204/shane-lowry" TargetMode="External"/><Relationship Id="rId145" Type="http://schemas.openxmlformats.org/officeDocument/2006/relationships/hyperlink" Target="https://www.pgatour.com/player/29518/brendan-steele" TargetMode="External"/><Relationship Id="rId166" Type="http://schemas.openxmlformats.org/officeDocument/2006/relationships/hyperlink" Target="https://www.pgatour.com/player/32366/kevin-chappell" TargetMode="External"/><Relationship Id="rId187" Type="http://schemas.openxmlformats.org/officeDocument/2006/relationships/hyperlink" Target="https://www.pgatour.com/player/34431/robert-streb" TargetMode="External"/><Relationship Id="rId1" Type="http://schemas.openxmlformats.org/officeDocument/2006/relationships/hyperlink" Target="https://www.pgatour.com/player/46970/jon-rahm" TargetMode="External"/><Relationship Id="rId212" Type="http://schemas.openxmlformats.org/officeDocument/2006/relationships/hyperlink" Target="https://www.pgatour.com/player/49453/trevor-cone" TargetMode="External"/><Relationship Id="rId233" Type="http://schemas.openxmlformats.org/officeDocument/2006/relationships/hyperlink" Target="https://www.pgatour.com/player/28259/sangmoon-bae" TargetMode="External"/><Relationship Id="rId28" Type="http://schemas.openxmlformats.org/officeDocument/2006/relationships/hyperlink" Target="https://www.pgatour.com/player/32102/rickie-fowler" TargetMode="External"/><Relationship Id="rId49" Type="http://schemas.openxmlformats.org/officeDocument/2006/relationships/hyperlink" Target="https://www.pgatour.com/player/49960/sepp-straka" TargetMode="External"/><Relationship Id="rId114" Type="http://schemas.openxmlformats.org/officeDocument/2006/relationships/hyperlink" Target="https://www.pgatour.com/player/40006/erik-van-rooyen" TargetMode="External"/><Relationship Id="rId60" Type="http://schemas.openxmlformats.org/officeDocument/2006/relationships/hyperlink" Target="https://www.pgatour.com/player/32839/hideki-matsuyama" TargetMode="External"/><Relationship Id="rId81" Type="http://schemas.openxmlformats.org/officeDocument/2006/relationships/hyperlink" Target="https://www.pgatour.com/player/45609/tyler-duncan" TargetMode="External"/><Relationship Id="rId135" Type="http://schemas.openxmlformats.org/officeDocument/2006/relationships/hyperlink" Target="https://www.pgatour.com/player/34374/erik-barnes" TargetMode="External"/><Relationship Id="rId156" Type="http://schemas.openxmlformats.org/officeDocument/2006/relationships/hyperlink" Target="https://www.pgatour.com/player/29535/brice-garnett" TargetMode="External"/><Relationship Id="rId177" Type="http://schemas.openxmlformats.org/officeDocument/2006/relationships/hyperlink" Target="https://www.pgatour.com/player/20766/padraig-harrington" TargetMode="External"/><Relationship Id="rId198" Type="http://schemas.openxmlformats.org/officeDocument/2006/relationships/hyperlink" Target="https://www.pgatour.com/player/39335/kevin-roy" TargetMode="External"/><Relationship Id="rId202" Type="http://schemas.openxmlformats.org/officeDocument/2006/relationships/hyperlink" Target="https://www.pgatour.com/player/27895/jonas-blixt" TargetMode="External"/><Relationship Id="rId223" Type="http://schemas.openxmlformats.org/officeDocument/2006/relationships/hyperlink" Target="https://www.pgatour.com/player/27141/j.b-holmes" TargetMode="External"/><Relationship Id="rId18" Type="http://schemas.openxmlformats.org/officeDocument/2006/relationships/hyperlink" Target="https://www.pgatour.com/player/22405/justin-rose" TargetMode="External"/><Relationship Id="rId39" Type="http://schemas.openxmlformats.org/officeDocument/2006/relationships/hyperlink" Target="https://www.pgatour.com/player/51766/wyndham-clark" TargetMode="External"/><Relationship Id="rId50" Type="http://schemas.openxmlformats.org/officeDocument/2006/relationships/hyperlink" Target="https://www.pgatour.com/player/39546/keith-mitchell" TargetMode="External"/><Relationship Id="rId104" Type="http://schemas.openxmlformats.org/officeDocument/2006/relationships/hyperlink" Target="https://www.pgatour.com/player/51890/greyson-sigg" TargetMode="External"/><Relationship Id="rId125" Type="http://schemas.openxmlformats.org/officeDocument/2006/relationships/hyperlink" Target="https://www.pgatour.com/player/39954/cody-gribble" TargetMode="External"/><Relationship Id="rId146" Type="http://schemas.openxmlformats.org/officeDocument/2006/relationships/hyperlink" Target="https://www.pgatour.com/player/27936/martin-laird" TargetMode="External"/><Relationship Id="rId167" Type="http://schemas.openxmlformats.org/officeDocument/2006/relationships/hyperlink" Target="https://www.pgatour.com/player/53165/doc-redman" TargetMode="External"/><Relationship Id="rId188" Type="http://schemas.openxmlformats.org/officeDocument/2006/relationships/hyperlink" Target="https://www.pgatour.com/player/48084/wesley-bryan" TargetMode="External"/><Relationship Id="rId71" Type="http://schemas.openxmlformats.org/officeDocument/2006/relationships/hyperlink" Target="https://www.pgatour.com/player/34409/david-lingmerth" TargetMode="External"/><Relationship Id="rId92" Type="http://schemas.openxmlformats.org/officeDocument/2006/relationships/hyperlink" Target="https://www.pgatour.com/player/49964/aaron-wise" TargetMode="External"/><Relationship Id="rId213" Type="http://schemas.openxmlformats.org/officeDocument/2006/relationships/hyperlink" Target="https://www.pgatour.com/player/29479/scott-brown" TargetMode="External"/><Relationship Id="rId234" Type="http://schemas.openxmlformats.org/officeDocument/2006/relationships/hyperlink" Target="https://www.pgatour.com/player/46046/scottie-scheffler" TargetMode="External"/><Relationship Id="rId2" Type="http://schemas.openxmlformats.org/officeDocument/2006/relationships/hyperlink" Target="https://www.pgatour.com/player/39977/max-homa" TargetMode="External"/><Relationship Id="rId29" Type="http://schemas.openxmlformats.org/officeDocument/2006/relationships/hyperlink" Target="https://www.pgatour.com/player/28089/jason-day" TargetMode="External"/><Relationship Id="rId40" Type="http://schemas.openxmlformats.org/officeDocument/2006/relationships/hyperlink" Target="https://www.pgatour.com/player/47347/adam-schenk" TargetMode="External"/><Relationship Id="rId115" Type="http://schemas.openxmlformats.org/officeDocument/2006/relationships/hyperlink" Target="https://www.pgatour.com/player/27129/luke-list" TargetMode="External"/><Relationship Id="rId136" Type="http://schemas.openxmlformats.org/officeDocument/2006/relationships/hyperlink" Target="https://www.pgatour.com/player/27963/chris-stroud" TargetMode="External"/><Relationship Id="rId157" Type="http://schemas.openxmlformats.org/officeDocument/2006/relationships/hyperlink" Target="https://www.pgatour.com/player/35617/martin-trainer" TargetMode="External"/><Relationship Id="rId178" Type="http://schemas.openxmlformats.org/officeDocument/2006/relationships/hyperlink" Target="https://www.pgatour.com/player/20229/stewart-cink" TargetMode="External"/><Relationship Id="rId61" Type="http://schemas.openxmlformats.org/officeDocument/2006/relationships/hyperlink" Target="https://www.pgatour.com/player/33948/byeong-hun-an" TargetMode="External"/><Relationship Id="rId82" Type="http://schemas.openxmlformats.org/officeDocument/2006/relationships/hyperlink" Target="https://www.pgatour.com/player/45157/cam-davis" TargetMode="External"/><Relationship Id="rId199" Type="http://schemas.openxmlformats.org/officeDocument/2006/relationships/hyperlink" Target="https://www.pgatour.com/player/48822/sebastin-muoz" TargetMode="External"/><Relationship Id="rId203" Type="http://schemas.openxmlformats.org/officeDocument/2006/relationships/hyperlink" Target="https://www.pgatour.com/player/22046/geoff-ogilvy" TargetMode="External"/><Relationship Id="rId19" Type="http://schemas.openxmlformats.org/officeDocument/2006/relationships/hyperlink" Target="https://www.pgatour.com/player/39971/sungjae-im" TargetMode="External"/><Relationship Id="rId224" Type="http://schemas.openxmlformats.org/officeDocument/2006/relationships/hyperlink" Target="https://www.pgatour.com/player/23788/d.j-trahan" TargetMode="External"/><Relationship Id="rId30" Type="http://schemas.openxmlformats.org/officeDocument/2006/relationships/hyperlink" Target="https://www.pgatour.com/player/35532/tom-hoge" TargetMode="External"/><Relationship Id="rId105" Type="http://schemas.openxmlformats.org/officeDocument/2006/relationships/hyperlink" Target="https://www.pgatour.com/player/57975/harry-hall" TargetMode="External"/><Relationship Id="rId126" Type="http://schemas.openxmlformats.org/officeDocument/2006/relationships/hyperlink" Target="https://www.pgatour.com/player/24502/adam-scott" TargetMode="External"/><Relationship Id="rId147" Type="http://schemas.openxmlformats.org/officeDocument/2006/relationships/hyperlink" Target="https://www.pgatour.com/player/39058/lucas-herbert" TargetMode="External"/><Relationship Id="rId168" Type="http://schemas.openxmlformats.org/officeDocument/2006/relationships/hyperlink" Target="https://www.pgatour.com/player/52372/cameron-champ" TargetMode="External"/><Relationship Id="rId51" Type="http://schemas.openxmlformats.org/officeDocument/2006/relationships/hyperlink" Target="https://www.pgatour.com/player/55893/sam-stevens" TargetMode="External"/><Relationship Id="rId72" Type="http://schemas.openxmlformats.org/officeDocument/2006/relationships/hyperlink" Target="https://www.pgatour.com/player/46442/maverick-mcnealy" TargetMode="External"/><Relationship Id="rId93" Type="http://schemas.openxmlformats.org/officeDocument/2006/relationships/hyperlink" Target="https://www.pgatour.com/player/40162/justin-lower" TargetMode="External"/><Relationship Id="rId189" Type="http://schemas.openxmlformats.org/officeDocument/2006/relationships/hyperlink" Target="https://www.pgatour.com/player/19846/brian-gay" TargetMode="External"/><Relationship Id="rId3" Type="http://schemas.openxmlformats.org/officeDocument/2006/relationships/hyperlink" Target="https://www.pgatour.com/player/33141/keegan-bradley" TargetMode="External"/><Relationship Id="rId214" Type="http://schemas.openxmlformats.org/officeDocument/2006/relationships/hyperlink" Target="https://www.pgatour.com/player/29908/c.t-pan" TargetMode="External"/><Relationship Id="rId116" Type="http://schemas.openxmlformats.org/officeDocument/2006/relationships/hyperlink" Target="https://www.pgatour.com/player/34610/matthias-schwab" TargetMode="External"/><Relationship Id="rId137" Type="http://schemas.openxmlformats.org/officeDocument/2006/relationships/hyperlink" Target="https://www.pgatour.com/player/51414/brent-grant" TargetMode="External"/><Relationship Id="rId158" Type="http://schemas.openxmlformats.org/officeDocument/2006/relationships/hyperlink" Target="https://www.pgatour.com/player/26596/ryan-moore"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17" Type="http://schemas.openxmlformats.org/officeDocument/2006/relationships/hyperlink" Target="https://www.pgatour.com/player/25818/scott-piercy" TargetMode="External"/><Relationship Id="rId21" Type="http://schemas.openxmlformats.org/officeDocument/2006/relationships/hyperlink" Target="https://www.pgatour.com/player/48081/xander-schauffele" TargetMode="External"/><Relationship Id="rId42" Type="http://schemas.openxmlformats.org/officeDocument/2006/relationships/hyperlink" Target="https://www.pgatour.com/player/52374/brandon-wu" TargetMode="External"/><Relationship Id="rId63" Type="http://schemas.openxmlformats.org/officeDocument/2006/relationships/hyperlink" Target="https://www.pgatour.com/player/34076/joel-dahmen" TargetMode="External"/><Relationship Id="rId84" Type="http://schemas.openxmlformats.org/officeDocument/2006/relationships/hyperlink" Target="https://www.pgatour.com/player/45242/kevin-yu" TargetMode="External"/><Relationship Id="rId138" Type="http://schemas.openxmlformats.org/officeDocument/2006/relationships/hyperlink" Target="https://www.pgatour.com/player/12716/charley-hoffman" TargetMode="External"/><Relationship Id="rId159" Type="http://schemas.openxmlformats.org/officeDocument/2006/relationships/hyperlink" Target="https://www.pgatour.com/player/36724/augusto-nez" TargetMode="External"/><Relationship Id="rId170" Type="http://schemas.openxmlformats.org/officeDocument/2006/relationships/hyperlink" Target="https://www.pgatour.com/player/27554/scott-harrington" TargetMode="External"/><Relationship Id="rId191" Type="http://schemas.openxmlformats.org/officeDocument/2006/relationships/hyperlink" Target="https://www.pgatour.com/player/19846/brian-gay" TargetMode="External"/><Relationship Id="rId205" Type="http://schemas.openxmlformats.org/officeDocument/2006/relationships/hyperlink" Target="https://www.pgatour.com/player/27974/sung-kang" TargetMode="External"/><Relationship Id="rId226" Type="http://schemas.openxmlformats.org/officeDocument/2006/relationships/hyperlink" Target="https://www.pgatour.com/player/24490/george-mcneill" TargetMode="External"/><Relationship Id="rId107" Type="http://schemas.openxmlformats.org/officeDocument/2006/relationships/hyperlink" Target="https://www.pgatour.com/player/34466/peter-malnati" TargetMode="External"/><Relationship Id="rId11" Type="http://schemas.openxmlformats.org/officeDocument/2006/relationships/hyperlink" Target="https://www.pgatour.com/player/28237/rory-mcilroy" TargetMode="External"/><Relationship Id="rId32" Type="http://schemas.openxmlformats.org/officeDocument/2006/relationships/hyperlink" Target="https://www.pgatour.com/player/46717/viktor-hovland" TargetMode="External"/><Relationship Id="rId53" Type="http://schemas.openxmlformats.org/officeDocument/2006/relationships/hyperlink" Target="https://www.pgatour.com/player/49960/sepp-straka" TargetMode="External"/><Relationship Id="rId74" Type="http://schemas.openxmlformats.org/officeDocument/2006/relationships/hyperlink" Target="https://www.pgatour.com/player/49771/j.t-poston" TargetMode="External"/><Relationship Id="rId128" Type="http://schemas.openxmlformats.org/officeDocument/2006/relationships/hyperlink" Target="https://www.pgatour.com/player/39954/cody-gribble" TargetMode="External"/><Relationship Id="rId149" Type="http://schemas.openxmlformats.org/officeDocument/2006/relationships/hyperlink" Target="https://www.pgatour.com/player/29289/s.y-noh" TargetMode="External"/><Relationship Id="rId5" Type="http://schemas.openxmlformats.org/officeDocument/2006/relationships/hyperlink" Target="https://www.pgatour.com/player/33141/keegan-bradley" TargetMode="External"/><Relationship Id="rId95" Type="http://schemas.openxmlformats.org/officeDocument/2006/relationships/hyperlink" Target="https://www.pgatour.com/player/51890/greyson-sigg" TargetMode="External"/><Relationship Id="rId160" Type="http://schemas.openxmlformats.org/officeDocument/2006/relationships/hyperlink" Target="https://www.pgatour.com/player/48867/matti-schmid" TargetMode="External"/><Relationship Id="rId181" Type="http://schemas.openxmlformats.org/officeDocument/2006/relationships/hyperlink" Target="https://www.pgatour.com/player/52411/kyle-westmoreland" TargetMode="External"/><Relationship Id="rId216" Type="http://schemas.openxmlformats.org/officeDocument/2006/relationships/hyperlink" Target="https://www.pgatour.com/player/27770/camilo-villegas" TargetMode="External"/><Relationship Id="rId22" Type="http://schemas.openxmlformats.org/officeDocument/2006/relationships/hyperlink" Target="https://www.pgatour.com/player/40098/matt-fitzpatrick" TargetMode="External"/><Relationship Id="rId43" Type="http://schemas.openxmlformats.org/officeDocument/2006/relationships/hyperlink" Target="https://www.pgatour.com/player/47347/adam-schenk" TargetMode="External"/><Relationship Id="rId64" Type="http://schemas.openxmlformats.org/officeDocument/2006/relationships/hyperlink" Target="https://www.pgatour.com/player/50188/s.h-kim" TargetMode="External"/><Relationship Id="rId118" Type="http://schemas.openxmlformats.org/officeDocument/2006/relationships/hyperlink" Target="https://www.pgatour.com/player/33597/harry-higgs" TargetMode="External"/><Relationship Id="rId139" Type="http://schemas.openxmlformats.org/officeDocument/2006/relationships/hyperlink" Target="https://www.pgatour.com/player/19803/ryan-armour" TargetMode="External"/><Relationship Id="rId85" Type="http://schemas.openxmlformats.org/officeDocument/2006/relationships/hyperlink" Target="https://www.pgatour.com/player/45609/tyler-duncan" TargetMode="External"/><Relationship Id="rId150" Type="http://schemas.openxmlformats.org/officeDocument/2006/relationships/hyperlink" Target="https://www.pgatour.com/player/29221/webb-simpson" TargetMode="External"/><Relationship Id="rId171" Type="http://schemas.openxmlformats.org/officeDocument/2006/relationships/hyperlink" Target="https://www.pgatour.com/player/39335/kevin-roy" TargetMode="External"/><Relationship Id="rId192" Type="http://schemas.openxmlformats.org/officeDocument/2006/relationships/hyperlink" Target="https://www.pgatour.com/player/31202/william-mcgirt" TargetMode="External"/><Relationship Id="rId206" Type="http://schemas.openxmlformats.org/officeDocument/2006/relationships/hyperlink" Target="https://www.pgatour.com/player/49303/anders-albertson" TargetMode="External"/><Relationship Id="rId227" Type="http://schemas.openxmlformats.org/officeDocument/2006/relationships/hyperlink" Target="https://www.pgatour.com/player/06522/ernie-els" TargetMode="External"/><Relationship Id="rId12" Type="http://schemas.openxmlformats.org/officeDocument/2006/relationships/hyperlink" Target="https://www.pgatour.com/player/51634/sahith-theegala" TargetMode="External"/><Relationship Id="rId33" Type="http://schemas.openxmlformats.org/officeDocument/2006/relationships/hyperlink" Target="https://www.pgatour.com/player/34256/andrew-putnam" TargetMode="External"/><Relationship Id="rId108" Type="http://schemas.openxmlformats.org/officeDocument/2006/relationships/hyperlink" Target="https://www.pgatour.com/player/47483/will-zalatoris" TargetMode="External"/><Relationship Id="rId129" Type="http://schemas.openxmlformats.org/officeDocument/2006/relationships/hyperlink" Target="https://www.pgatour.com/player/33122/russell-knox" TargetMode="External"/><Relationship Id="rId54" Type="http://schemas.openxmlformats.org/officeDocument/2006/relationships/hyperlink" Target="https://www.pgatour.com/player/39546/keith-mitchell" TargetMode="External"/><Relationship Id="rId75" Type="http://schemas.openxmlformats.org/officeDocument/2006/relationships/hyperlink" Target="https://www.pgatour.com/player/34409/david-lingmerth" TargetMode="External"/><Relationship Id="rId96" Type="http://schemas.openxmlformats.org/officeDocument/2006/relationships/hyperlink" Target="https://www.pgatour.com/player/33204/shane-lowry" TargetMode="External"/><Relationship Id="rId140" Type="http://schemas.openxmlformats.org/officeDocument/2006/relationships/hyperlink" Target="https://www.pgatour.com/player/34374/erik-barnes" TargetMode="External"/><Relationship Id="rId161" Type="http://schemas.openxmlformats.org/officeDocument/2006/relationships/hyperlink" Target="https://www.pgatour.com/player/32333/kevin-tway" TargetMode="External"/><Relationship Id="rId182" Type="http://schemas.openxmlformats.org/officeDocument/2006/relationships/hyperlink" Target="https://www.pgatour.com/player/20766/padraig-harrington" TargetMode="External"/><Relationship Id="rId217" Type="http://schemas.openxmlformats.org/officeDocument/2006/relationships/hyperlink" Target="https://www.pgatour.com/player/23541/ben-crane" TargetMode="External"/><Relationship Id="rId6" Type="http://schemas.openxmlformats.org/officeDocument/2006/relationships/hyperlink" Target="https://www.pgatour.com/player/35450/patrick-cantlay" TargetMode="External"/><Relationship Id="rId23" Type="http://schemas.openxmlformats.org/officeDocument/2006/relationships/hyperlink" Target="https://www.pgatour.com/player/34098/russell-henley" TargetMode="External"/><Relationship Id="rId119" Type="http://schemas.openxmlformats.org/officeDocument/2006/relationships/hyperlink" Target="https://www.pgatour.com/player/39067/mj-daffue" TargetMode="External"/><Relationship Id="rId44" Type="http://schemas.openxmlformats.org/officeDocument/2006/relationships/hyperlink" Target="https://www.pgatour.com/player/48119/ben-taylor" TargetMode="External"/><Relationship Id="rId65" Type="http://schemas.openxmlformats.org/officeDocument/2006/relationships/hyperlink" Target="https://www.pgatour.com/player/32839/hideki-matsuyama" TargetMode="External"/><Relationship Id="rId86" Type="http://schemas.openxmlformats.org/officeDocument/2006/relationships/hyperlink" Target="https://www.pgatour.com/player/45157/cam-davis" TargetMode="External"/><Relationship Id="rId130" Type="http://schemas.openxmlformats.org/officeDocument/2006/relationships/hyperlink" Target="https://www.pgatour.com/player/32640/troy-merritt" TargetMode="External"/><Relationship Id="rId151" Type="http://schemas.openxmlformats.org/officeDocument/2006/relationships/hyperlink" Target="https://www.pgatour.com/player/24024/zach-johnson" TargetMode="External"/><Relationship Id="rId172" Type="http://schemas.openxmlformats.org/officeDocument/2006/relationships/hyperlink" Target="https://www.pgatour.com/player/53165/doc-redman" TargetMode="External"/><Relationship Id="rId193" Type="http://schemas.openxmlformats.org/officeDocument/2006/relationships/hyperlink" Target="https://www.pgatour.com/player/24925/jonathan-byrd" TargetMode="External"/><Relationship Id="rId207" Type="http://schemas.openxmlformats.org/officeDocument/2006/relationships/hyperlink" Target="https://www.pgatour.com/player/34213/grayson-murray" TargetMode="External"/><Relationship Id="rId228" Type="http://schemas.openxmlformats.org/officeDocument/2006/relationships/hyperlink" Target="https://www.pgatour.com/player/27649/brandt-snedeker" TargetMode="External"/><Relationship Id="rId13" Type="http://schemas.openxmlformats.org/officeDocument/2006/relationships/hyperlink" Target="https://www.pgatour.com/player/55182/tom-kim" TargetMode="External"/><Relationship Id="rId109" Type="http://schemas.openxmlformats.org/officeDocument/2006/relationships/hyperlink" Target="https://www.pgatour.com/player/27349/alex-noren" TargetMode="External"/><Relationship Id="rId34" Type="http://schemas.openxmlformats.org/officeDocument/2006/relationships/hyperlink" Target="https://www.pgatour.com/player/47995/davis-riley" TargetMode="External"/><Relationship Id="rId55" Type="http://schemas.openxmlformats.org/officeDocument/2006/relationships/hyperlink" Target="https://www.pgatour.com/player/55893/sam-stevens" TargetMode="External"/><Relationship Id="rId76" Type="http://schemas.openxmlformats.org/officeDocument/2006/relationships/hyperlink" Target="https://www.pgatour.com/player/50493/justin-suh" TargetMode="External"/><Relationship Id="rId97" Type="http://schemas.openxmlformats.org/officeDocument/2006/relationships/hyperlink" Target="https://www.pgatour.com/player/49964/aaron-wise" TargetMode="External"/><Relationship Id="rId120" Type="http://schemas.openxmlformats.org/officeDocument/2006/relationships/hyperlink" Target="https://www.pgatour.com/player/27129/luke-list" TargetMode="External"/><Relationship Id="rId141" Type="http://schemas.openxmlformats.org/officeDocument/2006/relationships/hyperlink" Target="https://www.pgatour.com/player/27963/chris-stroud" TargetMode="External"/><Relationship Id="rId7" Type="http://schemas.openxmlformats.org/officeDocument/2006/relationships/hyperlink" Target="https://www.pgatour.com/player/47504/sam-burns" TargetMode="External"/><Relationship Id="rId162" Type="http://schemas.openxmlformats.org/officeDocument/2006/relationships/hyperlink" Target="https://www.pgatour.com/player/35617/martin-trainer" TargetMode="External"/><Relationship Id="rId183" Type="http://schemas.openxmlformats.org/officeDocument/2006/relationships/hyperlink" Target="https://www.pgatour.com/player/20229/stewart-cink" TargetMode="External"/><Relationship Id="rId218" Type="http://schemas.openxmlformats.org/officeDocument/2006/relationships/hyperlink" Target="https://www.pgatour.com/player/30110/kyle-stanley" TargetMode="External"/><Relationship Id="rId24" Type="http://schemas.openxmlformats.org/officeDocument/2006/relationships/hyperlink" Target="https://www.pgatour.com/player/27644/brian-harman" TargetMode="External"/><Relationship Id="rId45" Type="http://schemas.openxmlformats.org/officeDocument/2006/relationships/hyperlink" Target="https://www.pgatour.com/player/47591/eric-cole" TargetMode="External"/><Relationship Id="rId66" Type="http://schemas.openxmlformats.org/officeDocument/2006/relationships/hyperlink" Target="https://www.pgatour.com/player/35461/beau-hossler" TargetMode="External"/><Relationship Id="rId87" Type="http://schemas.openxmlformats.org/officeDocument/2006/relationships/hyperlink" Target="https://www.pgatour.com/player/36799/stephan-jaeger" TargetMode="External"/><Relationship Id="rId110" Type="http://schemas.openxmlformats.org/officeDocument/2006/relationships/hyperlink" Target="https://www.pgatour.com/player/40250/taylor-pendrith" TargetMode="External"/><Relationship Id="rId131" Type="http://schemas.openxmlformats.org/officeDocument/2006/relationships/hyperlink" Target="https://www.pgatour.com/player/35449/adam-long" TargetMode="External"/><Relationship Id="rId152" Type="http://schemas.openxmlformats.org/officeDocument/2006/relationships/hyperlink" Target="https://www.pgatour.com/player/34563/chesson-hadley" TargetMode="External"/><Relationship Id="rId173" Type="http://schemas.openxmlformats.org/officeDocument/2006/relationships/hyperlink" Target="https://www.pgatour.com/player/32816/satoshi-kodaira" TargetMode="External"/><Relationship Id="rId194" Type="http://schemas.openxmlformats.org/officeDocument/2006/relationships/hyperlink" Target="https://www.pgatour.com/player/23621/rory-sabbatini" TargetMode="External"/><Relationship Id="rId208" Type="http://schemas.openxmlformats.org/officeDocument/2006/relationships/hyperlink" Target="https://www.pgatour.com/player/33410/andrew-landry" TargetMode="External"/><Relationship Id="rId229" Type="http://schemas.openxmlformats.org/officeDocument/2006/relationships/hyperlink" Target="https://www.pgatour.com/player/51894/vince-whaley" TargetMode="External"/><Relationship Id="rId14" Type="http://schemas.openxmlformats.org/officeDocument/2006/relationships/hyperlink" Target="https://www.pgatour.com/player/28252/seamus-power" TargetMode="External"/><Relationship Id="rId35" Type="http://schemas.openxmlformats.org/officeDocument/2006/relationships/hyperlink" Target="https://www.pgatour.com/player/55708/hayden-buckley" TargetMode="External"/><Relationship Id="rId56" Type="http://schemas.openxmlformats.org/officeDocument/2006/relationships/hyperlink" Target="https://www.pgatour.com/player/36871/matthew-nesmith" TargetMode="External"/><Relationship Id="rId77" Type="http://schemas.openxmlformats.org/officeDocument/2006/relationships/hyperlink" Target="https://www.pgatour.com/player/34255/joseph-bramlett" TargetMode="External"/><Relationship Id="rId100" Type="http://schemas.openxmlformats.org/officeDocument/2006/relationships/hyperlink" Target="https://www.pgatour.com/player/22371/aaron-baddeley" TargetMode="External"/><Relationship Id="rId8" Type="http://schemas.openxmlformats.org/officeDocument/2006/relationships/hyperlink" Target="https://www.pgatour.com/player/48117/kurt-kitayama" TargetMode="External"/><Relationship Id="rId98" Type="http://schemas.openxmlformats.org/officeDocument/2006/relationships/hyperlink" Target="https://www.pgatour.com/player/40162/justin-lower" TargetMode="External"/><Relationship Id="rId121" Type="http://schemas.openxmlformats.org/officeDocument/2006/relationships/hyperlink" Target="https://www.pgatour.com/player/34610/matthias-schwab" TargetMode="External"/><Relationship Id="rId142" Type="http://schemas.openxmlformats.org/officeDocument/2006/relationships/hyperlink" Target="https://www.pgatour.com/player/51414/brent-grant" TargetMode="External"/><Relationship Id="rId163" Type="http://schemas.openxmlformats.org/officeDocument/2006/relationships/hyperlink" Target="https://www.pgatour.com/player/37338/zecheng-dou" TargetMode="External"/><Relationship Id="rId184" Type="http://schemas.openxmlformats.org/officeDocument/2006/relationships/hyperlink" Target="https://www.pgatour.com/player/52375/doug-ghim" TargetMode="External"/><Relationship Id="rId219" Type="http://schemas.openxmlformats.org/officeDocument/2006/relationships/hyperlink" Target="https://www.pgatour.com/player/08793/tiger-woods" TargetMode="External"/><Relationship Id="rId230" Type="http://schemas.openxmlformats.org/officeDocument/2006/relationships/hyperlink" Target="https://www.pgatour.com/player/26679/kevin-stadler" TargetMode="External"/><Relationship Id="rId25" Type="http://schemas.openxmlformats.org/officeDocument/2006/relationships/hyperlink" Target="https://www.pgatour.com/player/40115/adam-svensson" TargetMode="External"/><Relationship Id="rId46" Type="http://schemas.openxmlformats.org/officeDocument/2006/relationships/hyperlink" Target="https://www.pgatour.com/player/23108/matt-kuchar" TargetMode="External"/><Relationship Id="rId67" Type="http://schemas.openxmlformats.org/officeDocument/2006/relationships/hyperlink" Target="https://www.pgatour.com/player/30911/tommy-fleetwood" TargetMode="External"/><Relationship Id="rId20" Type="http://schemas.openxmlformats.org/officeDocument/2006/relationships/hyperlink" Target="https://www.pgatour.com/player/39971/sungjae-im" TargetMode="External"/><Relationship Id="rId41" Type="http://schemas.openxmlformats.org/officeDocument/2006/relationships/hyperlink" Target="https://www.pgatour.com/player/36699/patrick-rodgers" TargetMode="External"/><Relationship Id="rId62" Type="http://schemas.openxmlformats.org/officeDocument/2006/relationships/hyperlink" Target="https://www.pgatour.com/player/33948/byeong-hun-an" TargetMode="External"/><Relationship Id="rId83" Type="http://schemas.openxmlformats.org/officeDocument/2006/relationships/hyperlink" Target="https://www.pgatour.com/player/56762/will-gordon" TargetMode="External"/><Relationship Id="rId88" Type="http://schemas.openxmlformats.org/officeDocument/2006/relationships/hyperlink" Target="https://www.pgatour.com/player/48699/callum-tarren" TargetMode="External"/><Relationship Id="rId111" Type="http://schemas.openxmlformats.org/officeDocument/2006/relationships/hyperlink" Target="https://www.pgatour.com/player/52513/carson-young" TargetMode="External"/><Relationship Id="rId132" Type="http://schemas.openxmlformats.org/officeDocument/2006/relationships/hyperlink" Target="https://www.pgatour.com/player/22056/cameron-percy" TargetMode="External"/><Relationship Id="rId153" Type="http://schemas.openxmlformats.org/officeDocument/2006/relationships/hyperlink" Target="https://www.pgatour.com/player/29518/brendan-steele" TargetMode="External"/><Relationship Id="rId174" Type="http://schemas.openxmlformats.org/officeDocument/2006/relationships/hyperlink" Target="https://www.pgatour.com/player/27095/nick-watney" TargetMode="External"/><Relationship Id="rId179" Type="http://schemas.openxmlformats.org/officeDocument/2006/relationships/hyperlink" Target="https://www.pgatour.com/player/25900/lucas-glover" TargetMode="External"/><Relationship Id="rId195" Type="http://schemas.openxmlformats.org/officeDocument/2006/relationships/hyperlink" Target="https://www.pgatour.com/player/25686/jason-dufner" TargetMode="External"/><Relationship Id="rId209" Type="http://schemas.openxmlformats.org/officeDocument/2006/relationships/hyperlink" Target="https://www.pgatour.com/player/37273/derek-ernst" TargetMode="External"/><Relationship Id="rId190" Type="http://schemas.openxmlformats.org/officeDocument/2006/relationships/hyperlink" Target="https://www.pgatour.com/player/24924/bill-haas" TargetMode="External"/><Relationship Id="rId204" Type="http://schemas.openxmlformats.org/officeDocument/2006/relationships/hyperlink" Target="https://www.pgatour.com/player/27895/jonas-blixt" TargetMode="External"/><Relationship Id="rId220" Type="http://schemas.openxmlformats.org/officeDocument/2006/relationships/hyperlink" Target="https://www.pgatour.com/player/01226/fred-couples" TargetMode="External"/><Relationship Id="rId225" Type="http://schemas.openxmlformats.org/officeDocument/2006/relationships/hyperlink" Target="https://www.pgatour.com/player/08075/jerry-kelly" TargetMode="External"/><Relationship Id="rId15" Type="http://schemas.openxmlformats.org/officeDocument/2006/relationships/hyperlink" Target="https://www.pgatour.com/player/34046/jordan-spieth" TargetMode="External"/><Relationship Id="rId36" Type="http://schemas.openxmlformats.org/officeDocument/2006/relationships/hyperlink" Target="https://www.pgatour.com/player/51766/wyndham-clark" TargetMode="External"/><Relationship Id="rId57" Type="http://schemas.openxmlformats.org/officeDocument/2006/relationships/hyperlink" Target="https://www.pgatour.com/player/31646/emiliano-grillo" TargetMode="External"/><Relationship Id="rId106" Type="http://schemas.openxmlformats.org/officeDocument/2006/relationships/hyperlink" Target="https://www.pgatour.com/player/32757/patton-kizzire" TargetMode="External"/><Relationship Id="rId127" Type="http://schemas.openxmlformats.org/officeDocument/2006/relationships/hyperlink" Target="https://www.pgatour.com/player/52372/cameron-champ" TargetMode="External"/><Relationship Id="rId10" Type="http://schemas.openxmlformats.org/officeDocument/2006/relationships/hyperlink" Target="https://www.pgatour.com/player/49947/taylor-moore" TargetMode="External"/><Relationship Id="rId31" Type="http://schemas.openxmlformats.org/officeDocument/2006/relationships/hyperlink" Target="https://www.pgatour.com/player/35532/tom-hoge" TargetMode="External"/><Relationship Id="rId52" Type="http://schemas.openxmlformats.org/officeDocument/2006/relationships/hyperlink" Target="https://www.pgatour.com/player/54591/ben-griffin" TargetMode="External"/><Relationship Id="rId73" Type="http://schemas.openxmlformats.org/officeDocument/2006/relationships/hyperlink" Target="https://www.pgatour.com/player/46340/alex-smalley" TargetMode="External"/><Relationship Id="rId78" Type="http://schemas.openxmlformats.org/officeDocument/2006/relationships/hyperlink" Target="https://www.pgatour.com/player/54628/lee-hodges" TargetMode="External"/><Relationship Id="rId94" Type="http://schemas.openxmlformats.org/officeDocument/2006/relationships/hyperlink" Target="https://www.pgatour.com/player/28775/nate-lashley" TargetMode="External"/><Relationship Id="rId99" Type="http://schemas.openxmlformats.org/officeDocument/2006/relationships/hyperlink" Target="https://www.pgatour.com/player/31323/gary-woodland" TargetMode="External"/><Relationship Id="rId101" Type="http://schemas.openxmlformats.org/officeDocument/2006/relationships/hyperlink" Target="https://www.pgatour.com/player/46601/trey-mullinax" TargetMode="External"/><Relationship Id="rId122" Type="http://schemas.openxmlformats.org/officeDocument/2006/relationships/hyperlink" Target="https://www.pgatour.com/player/47529/mito-pereira" TargetMode="External"/><Relationship Id="rId143" Type="http://schemas.openxmlformats.org/officeDocument/2006/relationships/hyperlink" Target="https://www.pgatour.com/player/29535/brice-garnett" TargetMode="External"/><Relationship Id="rId148" Type="http://schemas.openxmlformats.org/officeDocument/2006/relationships/hyperlink" Target="https://www.pgatour.com/player/46435/austin-cook" TargetMode="External"/><Relationship Id="rId164" Type="http://schemas.openxmlformats.org/officeDocument/2006/relationships/hyperlink" Target="https://www.pgatour.com/player/29926/danny-lee" TargetMode="External"/><Relationship Id="rId169" Type="http://schemas.openxmlformats.org/officeDocument/2006/relationships/hyperlink" Target="https://www.pgatour.com/player/51491/brandon-matthews" TargetMode="External"/><Relationship Id="rId185" Type="http://schemas.openxmlformats.org/officeDocument/2006/relationships/hyperlink" Target="https://www.pgatour.com/player/31560/brian-stuard" TargetMode="External"/><Relationship Id="rId4" Type="http://schemas.openxmlformats.org/officeDocument/2006/relationships/hyperlink" Target="https://www.pgatour.com/player/29725/tony-finau" TargetMode="External"/><Relationship Id="rId9" Type="http://schemas.openxmlformats.org/officeDocument/2006/relationships/hyperlink" Target="https://www.pgatour.com/player/30926/chris-kirk" TargetMode="External"/><Relationship Id="rId180" Type="http://schemas.openxmlformats.org/officeDocument/2006/relationships/hyperlink" Target="https://www.pgatour.com/player/32448/james-hahn" TargetMode="External"/><Relationship Id="rId210" Type="http://schemas.openxmlformats.org/officeDocument/2006/relationships/hyperlink" Target="https://www.pgatour.com/player/27797/derek-lamely" TargetMode="External"/><Relationship Id="rId215" Type="http://schemas.openxmlformats.org/officeDocument/2006/relationships/hyperlink" Target="https://www.pgatour.com/player/54813/philip-knowles" TargetMode="External"/><Relationship Id="rId26" Type="http://schemas.openxmlformats.org/officeDocument/2006/relationships/hyperlink" Target="https://www.pgatour.com/player/35506/mackenzie-hughes" TargetMode="External"/><Relationship Id="rId231" Type="http://schemas.openxmlformats.org/officeDocument/2006/relationships/hyperlink" Target="https://www.pgatour.com/player/27556/ted-potter-jr" TargetMode="External"/><Relationship Id="rId47" Type="http://schemas.openxmlformats.org/officeDocument/2006/relationships/hyperlink" Target="https://www.pgatour.com/player/33399/adam-hadwin" TargetMode="External"/><Relationship Id="rId68" Type="http://schemas.openxmlformats.org/officeDocument/2006/relationships/hyperlink" Target="https://www.pgatour.com/player/32791/k.h-lee" TargetMode="External"/><Relationship Id="rId89" Type="http://schemas.openxmlformats.org/officeDocument/2006/relationships/hyperlink" Target="https://www.pgatour.com/player/46414/aaron-rai" TargetMode="External"/><Relationship Id="rId112" Type="http://schemas.openxmlformats.org/officeDocument/2006/relationships/hyperlink" Target="https://www.pgatour.com/player/40006/erik-van-rooyen" TargetMode="External"/><Relationship Id="rId133" Type="http://schemas.openxmlformats.org/officeDocument/2006/relationships/hyperlink" Target="https://www.pgatour.com/player/24502/adam-scott" TargetMode="External"/><Relationship Id="rId154" Type="http://schemas.openxmlformats.org/officeDocument/2006/relationships/hyperlink" Target="https://www.pgatour.com/player/47128/richy-werenski" TargetMode="External"/><Relationship Id="rId175" Type="http://schemas.openxmlformats.org/officeDocument/2006/relationships/hyperlink" Target="https://www.pgatour.com/player/28420/ryan-brehm" TargetMode="External"/><Relationship Id="rId196" Type="http://schemas.openxmlformats.org/officeDocument/2006/relationships/hyperlink" Target="https://www.pgatour.com/player/28679/fabin-gmez" TargetMode="External"/><Relationship Id="rId200" Type="http://schemas.openxmlformats.org/officeDocument/2006/relationships/hyperlink" Target="https://www.pgatour.com/player/23983/luke-donald" TargetMode="External"/><Relationship Id="rId16" Type="http://schemas.openxmlformats.org/officeDocument/2006/relationships/hyperlink" Target="https://www.pgatour.com/player/25493/nick-taylor" TargetMode="External"/><Relationship Id="rId221" Type="http://schemas.openxmlformats.org/officeDocument/2006/relationships/hyperlink" Target="https://www.pgatour.com/player/25240/d.a-points" TargetMode="External"/><Relationship Id="rId37" Type="http://schemas.openxmlformats.org/officeDocument/2006/relationships/hyperlink" Target="https://www.pgatour.com/player/34363/tyrrell-hatton" TargetMode="External"/><Relationship Id="rId58" Type="http://schemas.openxmlformats.org/officeDocument/2006/relationships/hyperlink" Target="https://www.pgatour.com/player/48887/matt-wallace" TargetMode="External"/><Relationship Id="rId79" Type="http://schemas.openxmlformats.org/officeDocument/2006/relationships/hyperlink" Target="https://www.pgatour.com/player/33408/tyson-alexander" TargetMode="External"/><Relationship Id="rId102" Type="http://schemas.openxmlformats.org/officeDocument/2006/relationships/hyperlink" Target="https://www.pgatour.com/player/29420/billy-horschel" TargetMode="External"/><Relationship Id="rId123" Type="http://schemas.openxmlformats.org/officeDocument/2006/relationships/hyperlink" Target="https://www.pgatour.com/player/29970/dylan-frittelli" TargetMode="External"/><Relationship Id="rId144" Type="http://schemas.openxmlformats.org/officeDocument/2006/relationships/hyperlink" Target="https://www.pgatour.com/player/32150/michael-thompson" TargetMode="External"/><Relationship Id="rId90" Type="http://schemas.openxmlformats.org/officeDocument/2006/relationships/hyperlink" Target="https://www.pgatour.com/player/57975/harry-hall" TargetMode="External"/><Relationship Id="rId165" Type="http://schemas.openxmlformats.org/officeDocument/2006/relationships/hyperlink" Target="https://www.pgatour.com/player/27064/jhonattan-vegas" TargetMode="External"/><Relationship Id="rId186" Type="http://schemas.openxmlformats.org/officeDocument/2006/relationships/hyperlink" Target="https://www.pgatour.com/player/29478/kevin-kisner" TargetMode="External"/><Relationship Id="rId211" Type="http://schemas.openxmlformats.org/officeDocument/2006/relationships/hyperlink" Target="https://www.pgatour.com/player/49453/trevor-cone" TargetMode="External"/><Relationship Id="rId232" Type="http://schemas.openxmlformats.org/officeDocument/2006/relationships/hyperlink" Target="https://www.pgatour.com/player/26420/richard-johnson" TargetMode="External"/><Relationship Id="rId27" Type="http://schemas.openxmlformats.org/officeDocument/2006/relationships/hyperlink" Target="https://www.pgatour.com/player/39997/corey-conners" TargetMode="External"/><Relationship Id="rId48" Type="http://schemas.openxmlformats.org/officeDocument/2006/relationships/hyperlink" Target="https://www.pgatour.com/player/34099/harris-english" TargetMode="External"/><Relationship Id="rId69" Type="http://schemas.openxmlformats.org/officeDocument/2006/relationships/hyperlink" Target="https://www.pgatour.com/player/46441/robby-shelton" TargetMode="External"/><Relationship Id="rId113" Type="http://schemas.openxmlformats.org/officeDocument/2006/relationships/hyperlink" Target="https://www.pgatour.com/player/25632/jimmy-walker" TargetMode="External"/><Relationship Id="rId134" Type="http://schemas.openxmlformats.org/officeDocument/2006/relationships/hyperlink" Target="https://www.pgatour.com/player/47983/chad-ramey" TargetMode="External"/><Relationship Id="rId80" Type="http://schemas.openxmlformats.org/officeDocument/2006/relationships/hyperlink" Target="https://www.pgatour.com/player/54421/garrick-higgo" TargetMode="External"/><Relationship Id="rId155" Type="http://schemas.openxmlformats.org/officeDocument/2006/relationships/hyperlink" Target="https://www.pgatour.com/player/27936/martin-laird" TargetMode="External"/><Relationship Id="rId176" Type="http://schemas.openxmlformats.org/officeDocument/2006/relationships/hyperlink" Target="https://www.pgatour.com/player/49766/hank-lebioda" TargetMode="External"/><Relationship Id="rId197" Type="http://schemas.openxmlformats.org/officeDocument/2006/relationships/hyperlink" Target="https://www.pgatour.com/player/22046/geoff-ogilvy" TargetMode="External"/><Relationship Id="rId201" Type="http://schemas.openxmlformats.org/officeDocument/2006/relationships/hyperlink" Target="https://www.pgatour.com/player/48822/sebastin-muoz" TargetMode="External"/><Relationship Id="rId222" Type="http://schemas.openxmlformats.org/officeDocument/2006/relationships/hyperlink" Target="https://www.pgatour.com/player/21407/arjun-atwal" TargetMode="External"/><Relationship Id="rId17" Type="http://schemas.openxmlformats.org/officeDocument/2006/relationships/hyperlink" Target="https://www.pgatour.com/player/37455/si-woo-kim" TargetMode="External"/><Relationship Id="rId38" Type="http://schemas.openxmlformats.org/officeDocument/2006/relationships/hyperlink" Target="https://www.pgatour.com/player/57366/cameron-young" TargetMode="External"/><Relationship Id="rId59" Type="http://schemas.openxmlformats.org/officeDocument/2006/relationships/hyperlink" Target="https://www.pgatour.com/player/32139/danny-willett" TargetMode="External"/><Relationship Id="rId103" Type="http://schemas.openxmlformats.org/officeDocument/2006/relationships/hyperlink" Target="https://www.pgatour.com/player/54783/dylan-wu" TargetMode="External"/><Relationship Id="rId124" Type="http://schemas.openxmlformats.org/officeDocument/2006/relationships/hyperlink" Target="https://www.pgatour.com/player/51070/vincent-norrman" TargetMode="External"/><Relationship Id="rId70" Type="http://schemas.openxmlformats.org/officeDocument/2006/relationships/hyperlink" Target="https://www.pgatour.com/player/51349/nico-echavarria" TargetMode="External"/><Relationship Id="rId91" Type="http://schemas.openxmlformats.org/officeDocument/2006/relationships/hyperlink" Target="https://www.pgatour.com/player/36326/david-lipsky" TargetMode="External"/><Relationship Id="rId145" Type="http://schemas.openxmlformats.org/officeDocument/2006/relationships/hyperlink" Target="https://www.pgatour.com/player/49298/kramer-hickok" TargetMode="External"/><Relationship Id="rId166" Type="http://schemas.openxmlformats.org/officeDocument/2006/relationships/hyperlink" Target="https://www.pgatour.com/player/58967/trevor-werbylo" TargetMode="External"/><Relationship Id="rId187" Type="http://schemas.openxmlformats.org/officeDocument/2006/relationships/hyperlink" Target="https://www.pgatour.com/player/24846/ricky-barnes" TargetMode="External"/><Relationship Id="rId1" Type="http://schemas.openxmlformats.org/officeDocument/2006/relationships/hyperlink" Target="https://www.pgatour.com/player/46970/jon-rahm" TargetMode="External"/><Relationship Id="rId212" Type="http://schemas.openxmlformats.org/officeDocument/2006/relationships/hyperlink" Target="https://www.pgatour.com/player/20593/greg-chalmers" TargetMode="External"/><Relationship Id="rId233" Type="http://schemas.openxmlformats.org/officeDocument/2006/relationships/hyperlink" Target="https://www.pgatour.com/player/28259/sangmoon-bae" TargetMode="External"/><Relationship Id="rId28" Type="http://schemas.openxmlformats.org/officeDocument/2006/relationships/hyperlink" Target="https://www.pgatour.com/player/55789/taylor-montgomery" TargetMode="External"/><Relationship Id="rId49" Type="http://schemas.openxmlformats.org/officeDocument/2006/relationships/hyperlink" Target="https://www.pgatour.com/player/37275/sam-ryder" TargetMode="External"/><Relationship Id="rId114" Type="http://schemas.openxmlformats.org/officeDocument/2006/relationships/hyperlink" Target="https://www.pgatour.com/player/50095/austin-smotherman" TargetMode="External"/><Relationship Id="rId60" Type="http://schemas.openxmlformats.org/officeDocument/2006/relationships/hyperlink" Target="https://www.pgatour.com/player/58168/davis-thompson" TargetMode="External"/><Relationship Id="rId81" Type="http://schemas.openxmlformats.org/officeDocument/2006/relationships/hyperlink" Target="https://www.pgatour.com/player/33413/ben-martin" TargetMode="External"/><Relationship Id="rId135" Type="http://schemas.openxmlformats.org/officeDocument/2006/relationships/hyperlink" Target="https://www.pgatour.com/player/40058/zac-blair" TargetMode="External"/><Relationship Id="rId156" Type="http://schemas.openxmlformats.org/officeDocument/2006/relationships/hyperlink" Target="https://www.pgatour.com/player/39058/lucas-herbert" TargetMode="External"/><Relationship Id="rId177" Type="http://schemas.openxmlformats.org/officeDocument/2006/relationships/hyperlink" Target="https://www.pgatour.com/player/31557/jim-herman" TargetMode="External"/><Relationship Id="rId198" Type="http://schemas.openxmlformats.org/officeDocument/2006/relationships/hyperlink" Target="https://www.pgatour.com/player/32662/michael-gligic" TargetMode="External"/><Relationship Id="rId202" Type="http://schemas.openxmlformats.org/officeDocument/2006/relationships/hyperlink" Target="https://www.pgatour.com/player/34174/john-huh" TargetMode="External"/><Relationship Id="rId223" Type="http://schemas.openxmlformats.org/officeDocument/2006/relationships/hyperlink" Target="https://www.pgatour.com/player/27141/j.b-holmes" TargetMode="External"/><Relationship Id="rId18" Type="http://schemas.openxmlformats.org/officeDocument/2006/relationships/hyperlink" Target="https://www.pgatour.com/player/50525/collin-morikawa" TargetMode="External"/><Relationship Id="rId39" Type="http://schemas.openxmlformats.org/officeDocument/2006/relationships/hyperlink" Target="https://www.pgatour.com/player/33653/thomas-detry" TargetMode="External"/><Relationship Id="rId50" Type="http://schemas.openxmlformats.org/officeDocument/2006/relationships/hyperlink" Target="https://www.pgatour.com/player/47993/denny-mccarthy" TargetMode="External"/><Relationship Id="rId104" Type="http://schemas.openxmlformats.org/officeDocument/2006/relationships/hyperlink" Target="https://www.pgatour.com/player/30692/scott-stallings" TargetMode="External"/><Relationship Id="rId125" Type="http://schemas.openxmlformats.org/officeDocument/2006/relationships/hyperlink" Target="https://www.pgatour.com/player/24140/sean-ohair" TargetMode="External"/><Relationship Id="rId146" Type="http://schemas.openxmlformats.org/officeDocument/2006/relationships/hyperlink" Target="https://www.pgatour.com/player/35901/paul-haley-ii" TargetMode="External"/><Relationship Id="rId167" Type="http://schemas.openxmlformats.org/officeDocument/2006/relationships/hyperlink" Target="https://www.pgatour.com/player/51950/max-mcgreevy" TargetMode="External"/><Relationship Id="rId188" Type="http://schemas.openxmlformats.org/officeDocument/2006/relationships/hyperlink" Target="https://www.pgatour.com/player/34431/robert-streb" TargetMode="External"/><Relationship Id="rId71" Type="http://schemas.openxmlformats.org/officeDocument/2006/relationships/hyperlink" Target="https://www.pgatour.com/player/33448/justin-thomas" TargetMode="External"/><Relationship Id="rId92" Type="http://schemas.openxmlformats.org/officeDocument/2006/relationships/hyperlink" Target="https://www.pgatour.com/player/45522/christiaan-bezuidenhout" TargetMode="External"/><Relationship Id="rId213" Type="http://schemas.openxmlformats.org/officeDocument/2006/relationships/hyperlink" Target="https://www.pgatour.com/player/29479/scott-brown" TargetMode="External"/><Relationship Id="rId2" Type="http://schemas.openxmlformats.org/officeDocument/2006/relationships/hyperlink" Target="https://www.pgatour.com/player/46046/scottie-scheffler" TargetMode="External"/><Relationship Id="rId29" Type="http://schemas.openxmlformats.org/officeDocument/2006/relationships/hyperlink" Target="https://www.pgatour.com/player/32102/rickie-fowler" TargetMode="External"/><Relationship Id="rId40" Type="http://schemas.openxmlformats.org/officeDocument/2006/relationships/hyperlink" Target="https://www.pgatour.com/player/47988/nick-hardy" TargetMode="External"/><Relationship Id="rId115" Type="http://schemas.openxmlformats.org/officeDocument/2006/relationships/hyperlink" Target="https://www.pgatour.com/player/26476/chez-reavie" TargetMode="External"/><Relationship Id="rId136" Type="http://schemas.openxmlformats.org/officeDocument/2006/relationships/hyperlink" Target="https://www.pgatour.com/player/27214/kevin-streelman" TargetMode="External"/><Relationship Id="rId157" Type="http://schemas.openxmlformats.org/officeDocument/2006/relationships/hyperlink" Target="https://www.pgatour.com/player/32366/kevin-chappell" TargetMode="External"/><Relationship Id="rId178" Type="http://schemas.openxmlformats.org/officeDocument/2006/relationships/hyperlink" Target="https://www.pgatour.com/player/55454/carl-yuan" TargetMode="External"/><Relationship Id="rId61" Type="http://schemas.openxmlformats.org/officeDocument/2006/relationships/hyperlink" Target="https://www.pgatour.com/player/39324/j.j-spaun" TargetMode="External"/><Relationship Id="rId82" Type="http://schemas.openxmlformats.org/officeDocument/2006/relationships/hyperlink" Target="https://www.pgatour.com/player/36801/mark-hubbard" TargetMode="External"/><Relationship Id="rId199" Type="http://schemas.openxmlformats.org/officeDocument/2006/relationships/hyperlink" Target="https://www.pgatour.com/player/23320/ryan-palmer" TargetMode="External"/><Relationship Id="rId203" Type="http://schemas.openxmlformats.org/officeDocument/2006/relationships/hyperlink" Target="https://www.pgatour.com/player/35879/kelly-kraft" TargetMode="External"/><Relationship Id="rId19" Type="http://schemas.openxmlformats.org/officeDocument/2006/relationships/hyperlink" Target="https://www.pgatour.com/player/22405/justin-rose" TargetMode="External"/><Relationship Id="rId224" Type="http://schemas.openxmlformats.org/officeDocument/2006/relationships/hyperlink" Target="https://www.pgatour.com/player/23788/d.j-trahan" TargetMode="External"/><Relationship Id="rId30" Type="http://schemas.openxmlformats.org/officeDocument/2006/relationships/hyperlink" Target="https://www.pgatour.com/player/28089/jason-day" TargetMode="External"/><Relationship Id="rId105" Type="http://schemas.openxmlformats.org/officeDocument/2006/relationships/hyperlink" Target="https://www.pgatour.com/player/39975/michael-kim" TargetMode="External"/><Relationship Id="rId126" Type="http://schemas.openxmlformats.org/officeDocument/2006/relationships/hyperlink" Target="https://www.pgatour.com/player/30163/henrik-norlander" TargetMode="External"/><Relationship Id="rId147" Type="http://schemas.openxmlformats.org/officeDocument/2006/relationships/hyperlink" Target="https://www.pgatour.com/player/26596/ryan-moore" TargetMode="External"/><Relationship Id="rId168" Type="http://schemas.openxmlformats.org/officeDocument/2006/relationships/hyperlink" Target="https://www.pgatour.com/player/25198/francesco-molinari" TargetMode="External"/><Relationship Id="rId51" Type="http://schemas.openxmlformats.org/officeDocument/2006/relationships/hyperlink" Target="https://www.pgatour.com/player/30927/brendon-todd" TargetMode="External"/><Relationship Id="rId72" Type="http://schemas.openxmlformats.org/officeDocument/2006/relationships/hyperlink" Target="https://www.pgatour.com/player/46442/maverick-mcnealy" TargetMode="External"/><Relationship Id="rId93" Type="http://schemas.openxmlformats.org/officeDocument/2006/relationships/hyperlink" Target="https://www.pgatour.com/player/51997/andrew-novak" TargetMode="External"/><Relationship Id="rId189" Type="http://schemas.openxmlformats.org/officeDocument/2006/relationships/hyperlink" Target="https://www.pgatour.com/player/48084/wesley-bryan" TargetMode="External"/><Relationship Id="rId3" Type="http://schemas.openxmlformats.org/officeDocument/2006/relationships/hyperlink" Target="https://www.pgatour.com/player/39977/max-homa" TargetMode="External"/><Relationship Id="rId214" Type="http://schemas.openxmlformats.org/officeDocument/2006/relationships/hyperlink" Target="https://www.pgatour.com/player/29908/c.t-pan" TargetMode="External"/><Relationship Id="rId116" Type="http://schemas.openxmlformats.org/officeDocument/2006/relationships/hyperlink" Target="https://www.pgatour.com/player/47079/harrison-endycott" TargetMode="External"/><Relationship Id="rId137" Type="http://schemas.openxmlformats.org/officeDocument/2006/relationships/hyperlink" Target="https://www.pgatour.com/player/57362/austin-eckroat" TargetMode="External"/><Relationship Id="rId158" Type="http://schemas.openxmlformats.org/officeDocument/2006/relationships/hyperlink" Target="https://www.pgatour.com/player/31577/tano-goya"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https://www.raig.org/" TargetMode="External"/><Relationship Id="rId3" Type="http://schemas.openxmlformats.org/officeDocument/2006/relationships/hyperlink" Target="https://www.oddschecker.com/clickout.htm?customer=new&amp;type=flag_on_grids_offer&amp;bk=KN&amp;burl=https%3A%2F%2Fntrfr.betmgm.co.uk%2Fredirect.aspx%3Fpid%3D3767453%26bid%3D19638&amp;name=Bet%20%C2%A310%20Get%20%C2%A340%20in%20Free%20Bets&amp;offer-type=su&amp;id=855353" TargetMode="External"/><Relationship Id="rId7" Type="http://schemas.openxmlformats.org/officeDocument/2006/relationships/hyperlink" Target="https://www.gamstop.co.uk/" TargetMode="External"/><Relationship Id="rId2" Type="http://schemas.openxmlformats.org/officeDocument/2006/relationships/hyperlink" Target="https://www.oddschecker.com/clickout.htm?customer=new&amp;type=flag_on_grids_offer&amp;bk=B3&amp;burl=https%3A%2F%2Fwww.bet365.com%2Folp%2Fen%2Fgolf-live-tracker%3Faffiliate%3D365_694379&amp;name=Bet%20%C2%A310%20Get%20%C2%A330%20in%20Free%20Bets&amp;offer-type=su&amp;id=800422" TargetMode="External"/><Relationship Id="rId1" Type="http://schemas.openxmlformats.org/officeDocument/2006/relationships/hyperlink" Target="https://www.oddschecker.com/clickout.htm?customer=new&amp;type=flag_on_grids_offer&amp;bk=SK&amp;burl=https%3A%2F%2Fm.skybet.com%2Flp%2Facq-bet-x-get-30%2F%3Fsba_promo%3DACQBXG30%26aff%3D1197330237%26dcmp%3DOC_freebettest&amp;name=%C2%A330%20in%20Free%20Bets%20when%20you%20place%20any%20bet&amp;offer-type=su&amp;id=832881" TargetMode="External"/><Relationship Id="rId6" Type="http://schemas.openxmlformats.org/officeDocument/2006/relationships/hyperlink" Target="https://www.instagram.com/oddscheckertv" TargetMode="External"/><Relationship Id="rId5" Type="http://schemas.openxmlformats.org/officeDocument/2006/relationships/hyperlink" Target="https://www.facebook.com/oddscheckerBetting" TargetMode="External"/><Relationship Id="rId4" Type="http://schemas.openxmlformats.org/officeDocument/2006/relationships/hyperlink" Target="javascript:void(0);"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3" Type="http://schemas.microsoft.com/office/2014/relationships/chartEx" Target="../charts/chartEx2.xml"/><Relationship Id="rId2" Type="http://schemas.microsoft.com/office/2014/relationships/chartEx" Target="../charts/chartEx1.xml"/><Relationship Id="rId1" Type="http://schemas.openxmlformats.org/officeDocument/2006/relationships/chart" Target="../charts/chart4.xml"/><Relationship Id="rId6" Type="http://schemas.openxmlformats.org/officeDocument/2006/relationships/chart" Target="../charts/chart5.xml"/><Relationship Id="rId5" Type="http://schemas.microsoft.com/office/2014/relationships/chartEx" Target="../charts/chartEx4.xml"/><Relationship Id="rId4" Type="http://schemas.microsoft.com/office/2014/relationships/chartEx" Target="../charts/chartEx3.xml"/></Relationships>
</file>

<file path=xl/drawings/_rels/drawing9.xml.rels><?xml version="1.0" encoding="UTF-8" standalone="yes"?>
<Relationships xmlns="http://schemas.openxmlformats.org/package/2006/relationships"><Relationship Id="rId2" Type="http://schemas.microsoft.com/office/2014/relationships/chartEx" Target="../charts/chartEx6.xml"/><Relationship Id="rId1" Type="http://schemas.microsoft.com/office/2014/relationships/chartEx" Target="../charts/chartEx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32</xdr:row>
      <xdr:rowOff>0</xdr:rowOff>
    </xdr:from>
    <xdr:to>
      <xdr:col>10</xdr:col>
      <xdr:colOff>304800</xdr:colOff>
      <xdr:row>33</xdr:row>
      <xdr:rowOff>136525</xdr:rowOff>
    </xdr:to>
    <xdr:sp macro="" textlink="">
      <xdr:nvSpPr>
        <xdr:cNvPr id="2" name="AutoShape 2" descr="ESP">
          <a:hlinkClick xmlns:r="http://schemas.openxmlformats.org/officeDocument/2006/relationships" r:id="rId1"/>
          <a:extLst>
            <a:ext uri="{FF2B5EF4-FFF2-40B4-BE49-F238E27FC236}">
              <a16:creationId xmlns:a16="http://schemas.microsoft.com/office/drawing/2014/main" id="{8740647C-B544-48F5-8328-1F86E8C3DEFC}"/>
            </a:ext>
          </a:extLst>
        </xdr:cNvPr>
        <xdr:cNvSpPr>
          <a:spLocks noChangeAspect="1" noChangeArrowheads="1"/>
        </xdr:cNvSpPr>
      </xdr:nvSpPr>
      <xdr:spPr bwMode="auto">
        <a:xfrm>
          <a:off x="0" y="7296150"/>
          <a:ext cx="304800" cy="3270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213</xdr:row>
      <xdr:rowOff>0</xdr:rowOff>
    </xdr:from>
    <xdr:to>
      <xdr:col>10</xdr:col>
      <xdr:colOff>304800</xdr:colOff>
      <xdr:row>214</xdr:row>
      <xdr:rowOff>127000</xdr:rowOff>
    </xdr:to>
    <xdr:sp macro="" textlink="">
      <xdr:nvSpPr>
        <xdr:cNvPr id="3" name="AutoShape 4" descr="USA">
          <a:hlinkClick xmlns:r="http://schemas.openxmlformats.org/officeDocument/2006/relationships" r:id="rId2"/>
          <a:extLst>
            <a:ext uri="{FF2B5EF4-FFF2-40B4-BE49-F238E27FC236}">
              <a16:creationId xmlns:a16="http://schemas.microsoft.com/office/drawing/2014/main" id="{AAE6B8F6-A9AD-4EB1-8D50-8ADC6F1E437D}"/>
            </a:ext>
          </a:extLst>
        </xdr:cNvPr>
        <xdr:cNvSpPr>
          <a:spLocks noChangeAspect="1" noChangeArrowheads="1"/>
        </xdr:cNvSpPr>
      </xdr:nvSpPr>
      <xdr:spPr bwMode="auto">
        <a:xfrm>
          <a:off x="0" y="421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183</xdr:row>
      <xdr:rowOff>0</xdr:rowOff>
    </xdr:from>
    <xdr:to>
      <xdr:col>10</xdr:col>
      <xdr:colOff>304800</xdr:colOff>
      <xdr:row>184</xdr:row>
      <xdr:rowOff>127000</xdr:rowOff>
    </xdr:to>
    <xdr:sp macro="" textlink="">
      <xdr:nvSpPr>
        <xdr:cNvPr id="4" name="AutoShape 5" descr="USA">
          <a:hlinkClick xmlns:r="http://schemas.openxmlformats.org/officeDocument/2006/relationships" r:id="rId3"/>
          <a:extLst>
            <a:ext uri="{FF2B5EF4-FFF2-40B4-BE49-F238E27FC236}">
              <a16:creationId xmlns:a16="http://schemas.microsoft.com/office/drawing/2014/main" id="{EB7CDF5A-6F20-4E65-92A4-DFDD973A9389}"/>
            </a:ext>
          </a:extLst>
        </xdr:cNvPr>
        <xdr:cNvSpPr>
          <a:spLocks noChangeAspect="1" noChangeArrowheads="1"/>
        </xdr:cNvSpPr>
      </xdr:nvSpPr>
      <xdr:spPr bwMode="auto">
        <a:xfrm>
          <a:off x="0" y="3606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61</xdr:row>
      <xdr:rowOff>0</xdr:rowOff>
    </xdr:from>
    <xdr:to>
      <xdr:col>10</xdr:col>
      <xdr:colOff>304800</xdr:colOff>
      <xdr:row>62</xdr:row>
      <xdr:rowOff>127000</xdr:rowOff>
    </xdr:to>
    <xdr:sp macro="" textlink="">
      <xdr:nvSpPr>
        <xdr:cNvPr id="5" name="AutoShape 6" descr="USA">
          <a:hlinkClick xmlns:r="http://schemas.openxmlformats.org/officeDocument/2006/relationships" r:id="rId4"/>
          <a:extLst>
            <a:ext uri="{FF2B5EF4-FFF2-40B4-BE49-F238E27FC236}">
              <a16:creationId xmlns:a16="http://schemas.microsoft.com/office/drawing/2014/main" id="{0E80C48E-6424-447A-AAFA-679B28742581}"/>
            </a:ext>
          </a:extLst>
        </xdr:cNvPr>
        <xdr:cNvSpPr>
          <a:spLocks noChangeAspect="1" noChangeArrowheads="1"/>
        </xdr:cNvSpPr>
      </xdr:nvSpPr>
      <xdr:spPr bwMode="auto">
        <a:xfrm>
          <a:off x="0" y="1282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210</xdr:row>
      <xdr:rowOff>0</xdr:rowOff>
    </xdr:from>
    <xdr:to>
      <xdr:col>10</xdr:col>
      <xdr:colOff>304800</xdr:colOff>
      <xdr:row>211</xdr:row>
      <xdr:rowOff>127000</xdr:rowOff>
    </xdr:to>
    <xdr:sp macro="" textlink="">
      <xdr:nvSpPr>
        <xdr:cNvPr id="6" name="AutoShape 7" descr="USA">
          <a:hlinkClick xmlns:r="http://schemas.openxmlformats.org/officeDocument/2006/relationships" r:id="rId5"/>
          <a:extLst>
            <a:ext uri="{FF2B5EF4-FFF2-40B4-BE49-F238E27FC236}">
              <a16:creationId xmlns:a16="http://schemas.microsoft.com/office/drawing/2014/main" id="{BC62EA8E-B02A-457E-94F6-349754FC80F7}"/>
            </a:ext>
          </a:extLst>
        </xdr:cNvPr>
        <xdr:cNvSpPr>
          <a:spLocks noChangeAspect="1" noChangeArrowheads="1"/>
        </xdr:cNvSpPr>
      </xdr:nvSpPr>
      <xdr:spPr bwMode="auto">
        <a:xfrm>
          <a:off x="0" y="415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xdr:row>
      <xdr:rowOff>0</xdr:rowOff>
    </xdr:from>
    <xdr:to>
      <xdr:col>10</xdr:col>
      <xdr:colOff>304800</xdr:colOff>
      <xdr:row>18</xdr:row>
      <xdr:rowOff>127000</xdr:rowOff>
    </xdr:to>
    <xdr:sp macro="" textlink="">
      <xdr:nvSpPr>
        <xdr:cNvPr id="7" name="AutoShape 8" descr="USA">
          <a:hlinkClick xmlns:r="http://schemas.openxmlformats.org/officeDocument/2006/relationships" r:id="rId6"/>
          <a:extLst>
            <a:ext uri="{FF2B5EF4-FFF2-40B4-BE49-F238E27FC236}">
              <a16:creationId xmlns:a16="http://schemas.microsoft.com/office/drawing/2014/main" id="{22739DF9-78B7-45D0-82B2-C8E8E90CFF17}"/>
            </a:ext>
          </a:extLst>
        </xdr:cNvPr>
        <xdr:cNvSpPr>
          <a:spLocks noChangeAspect="1" noChangeArrowheads="1"/>
        </xdr:cNvSpPr>
      </xdr:nvSpPr>
      <xdr:spPr bwMode="auto">
        <a:xfrm>
          <a:off x="0" y="44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52</xdr:row>
      <xdr:rowOff>0</xdr:rowOff>
    </xdr:from>
    <xdr:to>
      <xdr:col>10</xdr:col>
      <xdr:colOff>304800</xdr:colOff>
      <xdr:row>53</xdr:row>
      <xdr:rowOff>127000</xdr:rowOff>
    </xdr:to>
    <xdr:sp macro="" textlink="">
      <xdr:nvSpPr>
        <xdr:cNvPr id="8" name="AutoShape 9" descr="USA">
          <a:hlinkClick xmlns:r="http://schemas.openxmlformats.org/officeDocument/2006/relationships" r:id="rId7"/>
          <a:extLst>
            <a:ext uri="{FF2B5EF4-FFF2-40B4-BE49-F238E27FC236}">
              <a16:creationId xmlns:a16="http://schemas.microsoft.com/office/drawing/2014/main" id="{10672F9F-F0C6-46A0-8A2F-817BFB8B500F}"/>
            </a:ext>
          </a:extLst>
        </xdr:cNvPr>
        <xdr:cNvSpPr>
          <a:spLocks noChangeAspect="1" noChangeArrowheads="1"/>
        </xdr:cNvSpPr>
      </xdr:nvSpPr>
      <xdr:spPr bwMode="auto">
        <a:xfrm>
          <a:off x="0" y="1110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xdr:row>
      <xdr:rowOff>0</xdr:rowOff>
    </xdr:from>
    <xdr:to>
      <xdr:col>10</xdr:col>
      <xdr:colOff>304800</xdr:colOff>
      <xdr:row>12</xdr:row>
      <xdr:rowOff>127000</xdr:rowOff>
    </xdr:to>
    <xdr:sp macro="" textlink="">
      <xdr:nvSpPr>
        <xdr:cNvPr id="9" name="AutoShape 10" descr="USA">
          <a:hlinkClick xmlns:r="http://schemas.openxmlformats.org/officeDocument/2006/relationships" r:id="rId8"/>
          <a:extLst>
            <a:ext uri="{FF2B5EF4-FFF2-40B4-BE49-F238E27FC236}">
              <a16:creationId xmlns:a16="http://schemas.microsoft.com/office/drawing/2014/main" id="{8D21FF6B-B27D-4953-AA5E-FC3B8CD3E6E4}"/>
            </a:ext>
          </a:extLst>
        </xdr:cNvPr>
        <xdr:cNvSpPr>
          <a:spLocks noChangeAspect="1" noChangeArrowheads="1"/>
        </xdr:cNvSpPr>
      </xdr:nvSpPr>
      <xdr:spPr bwMode="auto">
        <a:xfrm>
          <a:off x="0" y="32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187</xdr:row>
      <xdr:rowOff>0</xdr:rowOff>
    </xdr:from>
    <xdr:to>
      <xdr:col>10</xdr:col>
      <xdr:colOff>304800</xdr:colOff>
      <xdr:row>188</xdr:row>
      <xdr:rowOff>127000</xdr:rowOff>
    </xdr:to>
    <xdr:sp macro="" textlink="">
      <xdr:nvSpPr>
        <xdr:cNvPr id="10" name="AutoShape 11" descr="NIR">
          <a:hlinkClick xmlns:r="http://schemas.openxmlformats.org/officeDocument/2006/relationships" r:id="rId9"/>
          <a:extLst>
            <a:ext uri="{FF2B5EF4-FFF2-40B4-BE49-F238E27FC236}">
              <a16:creationId xmlns:a16="http://schemas.microsoft.com/office/drawing/2014/main" id="{E613BF95-FE77-4882-9053-D05CCA639CC5}"/>
            </a:ext>
          </a:extLst>
        </xdr:cNvPr>
        <xdr:cNvSpPr>
          <a:spLocks noChangeAspect="1" noChangeArrowheads="1"/>
        </xdr:cNvSpPr>
      </xdr:nvSpPr>
      <xdr:spPr bwMode="auto">
        <a:xfrm>
          <a:off x="0" y="3682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11" name="AutoShape 12" descr="Top 10 - Comcast Business Top 10">
          <a:extLst>
            <a:ext uri="{FF2B5EF4-FFF2-40B4-BE49-F238E27FC236}">
              <a16:creationId xmlns:a16="http://schemas.microsoft.com/office/drawing/2014/main" id="{4EBD40AA-7744-4635-8B56-B807470774C4}"/>
            </a:ext>
          </a:extLst>
        </xdr:cNvPr>
        <xdr:cNvSpPr>
          <a:spLocks noChangeAspect="1" noChangeArrowheads="1"/>
        </xdr:cNvSpPr>
      </xdr:nvSpPr>
      <xdr:spPr bwMode="auto">
        <a:xfrm>
          <a:off x="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12" name="AutoShape 13" descr="USA">
          <a:hlinkClick xmlns:r="http://schemas.openxmlformats.org/officeDocument/2006/relationships" r:id="rId10"/>
          <a:extLst>
            <a:ext uri="{FF2B5EF4-FFF2-40B4-BE49-F238E27FC236}">
              <a16:creationId xmlns:a16="http://schemas.microsoft.com/office/drawing/2014/main" id="{7B0BFDE6-F566-4D47-820B-3FF5EBE51013}"/>
            </a:ext>
          </a:extLst>
        </xdr:cNvPr>
        <xdr:cNvSpPr>
          <a:spLocks noChangeAspect="1" noChangeArrowheads="1"/>
        </xdr:cNvSpPr>
      </xdr:nvSpPr>
      <xdr:spPr bwMode="auto">
        <a:xfrm>
          <a:off x="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154</xdr:row>
      <xdr:rowOff>0</xdr:rowOff>
    </xdr:from>
    <xdr:to>
      <xdr:col>10</xdr:col>
      <xdr:colOff>304800</xdr:colOff>
      <xdr:row>155</xdr:row>
      <xdr:rowOff>127000</xdr:rowOff>
    </xdr:to>
    <xdr:sp macro="" textlink="">
      <xdr:nvSpPr>
        <xdr:cNvPr id="13" name="AutoShape 14" descr="USA">
          <a:hlinkClick xmlns:r="http://schemas.openxmlformats.org/officeDocument/2006/relationships" r:id="rId11"/>
          <a:extLst>
            <a:ext uri="{FF2B5EF4-FFF2-40B4-BE49-F238E27FC236}">
              <a16:creationId xmlns:a16="http://schemas.microsoft.com/office/drawing/2014/main" id="{8D87778C-E33B-401C-B28E-D3EE2CEFA2FE}"/>
            </a:ext>
          </a:extLst>
        </xdr:cNvPr>
        <xdr:cNvSpPr>
          <a:spLocks noChangeAspect="1" noChangeArrowheads="1"/>
        </xdr:cNvSpPr>
      </xdr:nvSpPr>
      <xdr:spPr bwMode="auto">
        <a:xfrm>
          <a:off x="0" y="3053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154</xdr:row>
      <xdr:rowOff>0</xdr:rowOff>
    </xdr:from>
    <xdr:to>
      <xdr:col>10</xdr:col>
      <xdr:colOff>304800</xdr:colOff>
      <xdr:row>155</xdr:row>
      <xdr:rowOff>127000</xdr:rowOff>
    </xdr:to>
    <xdr:sp macro="" textlink="">
      <xdr:nvSpPr>
        <xdr:cNvPr id="14" name="AutoShape 15" descr="KOR">
          <a:hlinkClick xmlns:r="http://schemas.openxmlformats.org/officeDocument/2006/relationships" r:id="rId12"/>
          <a:extLst>
            <a:ext uri="{FF2B5EF4-FFF2-40B4-BE49-F238E27FC236}">
              <a16:creationId xmlns:a16="http://schemas.microsoft.com/office/drawing/2014/main" id="{AABF2161-813E-4FA2-AEB9-BA6C5430A8BE}"/>
            </a:ext>
          </a:extLst>
        </xdr:cNvPr>
        <xdr:cNvSpPr>
          <a:spLocks noChangeAspect="1" noChangeArrowheads="1"/>
        </xdr:cNvSpPr>
      </xdr:nvSpPr>
      <xdr:spPr bwMode="auto">
        <a:xfrm>
          <a:off x="0" y="3053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53</xdr:row>
      <xdr:rowOff>0</xdr:rowOff>
    </xdr:from>
    <xdr:to>
      <xdr:col>10</xdr:col>
      <xdr:colOff>304800</xdr:colOff>
      <xdr:row>54</xdr:row>
      <xdr:rowOff>127000</xdr:rowOff>
    </xdr:to>
    <xdr:sp macro="" textlink="">
      <xdr:nvSpPr>
        <xdr:cNvPr id="15" name="AutoShape 16" descr="IRL">
          <a:hlinkClick xmlns:r="http://schemas.openxmlformats.org/officeDocument/2006/relationships" r:id="rId13"/>
          <a:extLst>
            <a:ext uri="{FF2B5EF4-FFF2-40B4-BE49-F238E27FC236}">
              <a16:creationId xmlns:a16="http://schemas.microsoft.com/office/drawing/2014/main" id="{7A62266C-F666-4D45-8727-9F132CD33098}"/>
            </a:ext>
          </a:extLst>
        </xdr:cNvPr>
        <xdr:cNvSpPr>
          <a:spLocks noChangeAspect="1" noChangeArrowheads="1"/>
        </xdr:cNvSpPr>
      </xdr:nvSpPr>
      <xdr:spPr bwMode="auto">
        <a:xfrm>
          <a:off x="0" y="1129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149</xdr:row>
      <xdr:rowOff>0</xdr:rowOff>
    </xdr:from>
    <xdr:to>
      <xdr:col>10</xdr:col>
      <xdr:colOff>304800</xdr:colOff>
      <xdr:row>150</xdr:row>
      <xdr:rowOff>127000</xdr:rowOff>
    </xdr:to>
    <xdr:sp macro="" textlink="">
      <xdr:nvSpPr>
        <xdr:cNvPr id="16" name="AutoShape 17" descr="USA">
          <a:hlinkClick xmlns:r="http://schemas.openxmlformats.org/officeDocument/2006/relationships" r:id="rId14"/>
          <a:extLst>
            <a:ext uri="{FF2B5EF4-FFF2-40B4-BE49-F238E27FC236}">
              <a16:creationId xmlns:a16="http://schemas.microsoft.com/office/drawing/2014/main" id="{C0A377A4-2B12-4E3F-A316-D4F4B6F0E3B8}"/>
            </a:ext>
          </a:extLst>
        </xdr:cNvPr>
        <xdr:cNvSpPr>
          <a:spLocks noChangeAspect="1" noChangeArrowheads="1"/>
        </xdr:cNvSpPr>
      </xdr:nvSpPr>
      <xdr:spPr bwMode="auto">
        <a:xfrm>
          <a:off x="0" y="2958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166</xdr:row>
      <xdr:rowOff>0</xdr:rowOff>
    </xdr:from>
    <xdr:to>
      <xdr:col>10</xdr:col>
      <xdr:colOff>304800</xdr:colOff>
      <xdr:row>167</xdr:row>
      <xdr:rowOff>127000</xdr:rowOff>
    </xdr:to>
    <xdr:sp macro="" textlink="">
      <xdr:nvSpPr>
        <xdr:cNvPr id="17" name="AutoShape 18" descr="CAN">
          <a:hlinkClick xmlns:r="http://schemas.openxmlformats.org/officeDocument/2006/relationships" r:id="rId15"/>
          <a:extLst>
            <a:ext uri="{FF2B5EF4-FFF2-40B4-BE49-F238E27FC236}">
              <a16:creationId xmlns:a16="http://schemas.microsoft.com/office/drawing/2014/main" id="{950003F9-25B8-4486-9B4A-E92CB632B56D}"/>
            </a:ext>
          </a:extLst>
        </xdr:cNvPr>
        <xdr:cNvSpPr>
          <a:spLocks noChangeAspect="1" noChangeArrowheads="1"/>
        </xdr:cNvSpPr>
      </xdr:nvSpPr>
      <xdr:spPr bwMode="auto">
        <a:xfrm>
          <a:off x="0" y="3282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38</xdr:row>
      <xdr:rowOff>0</xdr:rowOff>
    </xdr:from>
    <xdr:to>
      <xdr:col>10</xdr:col>
      <xdr:colOff>304800</xdr:colOff>
      <xdr:row>39</xdr:row>
      <xdr:rowOff>127000</xdr:rowOff>
    </xdr:to>
    <xdr:sp macro="" textlink="">
      <xdr:nvSpPr>
        <xdr:cNvPr id="18" name="AutoShape 19" descr="KOR">
          <a:hlinkClick xmlns:r="http://schemas.openxmlformats.org/officeDocument/2006/relationships" r:id="rId16"/>
          <a:extLst>
            <a:ext uri="{FF2B5EF4-FFF2-40B4-BE49-F238E27FC236}">
              <a16:creationId xmlns:a16="http://schemas.microsoft.com/office/drawing/2014/main" id="{F32885F5-4937-4D46-AF73-17597F665454}"/>
            </a:ext>
          </a:extLst>
        </xdr:cNvPr>
        <xdr:cNvSpPr>
          <a:spLocks noChangeAspect="1" noChangeArrowheads="1"/>
        </xdr:cNvSpPr>
      </xdr:nvSpPr>
      <xdr:spPr bwMode="auto">
        <a:xfrm>
          <a:off x="0" y="843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9" name="AutoShape 20" descr="USA">
          <a:hlinkClick xmlns:r="http://schemas.openxmlformats.org/officeDocument/2006/relationships" r:id="rId17"/>
          <a:extLst>
            <a:ext uri="{FF2B5EF4-FFF2-40B4-BE49-F238E27FC236}">
              <a16:creationId xmlns:a16="http://schemas.microsoft.com/office/drawing/2014/main" id="{180BBE57-DB5E-4553-88CF-8E513C6B7CFC}"/>
            </a:ext>
          </a:extLst>
        </xdr:cNvPr>
        <xdr:cNvSpPr>
          <a:spLocks noChangeAspect="1" noChangeArrowheads="1"/>
        </xdr:cNvSpPr>
      </xdr:nvSpPr>
      <xdr:spPr bwMode="auto">
        <a:xfrm>
          <a:off x="0" y="762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131</xdr:row>
      <xdr:rowOff>0</xdr:rowOff>
    </xdr:from>
    <xdr:to>
      <xdr:col>10</xdr:col>
      <xdr:colOff>304800</xdr:colOff>
      <xdr:row>132</xdr:row>
      <xdr:rowOff>127000</xdr:rowOff>
    </xdr:to>
    <xdr:sp macro="" textlink="">
      <xdr:nvSpPr>
        <xdr:cNvPr id="20" name="AutoShape 21" descr="ENG">
          <a:hlinkClick xmlns:r="http://schemas.openxmlformats.org/officeDocument/2006/relationships" r:id="rId18"/>
          <a:extLst>
            <a:ext uri="{FF2B5EF4-FFF2-40B4-BE49-F238E27FC236}">
              <a16:creationId xmlns:a16="http://schemas.microsoft.com/office/drawing/2014/main" id="{9B5F16A8-09C0-414D-A8E7-C752AF3CB524}"/>
            </a:ext>
          </a:extLst>
        </xdr:cNvPr>
        <xdr:cNvSpPr>
          <a:spLocks noChangeAspect="1" noChangeArrowheads="1"/>
        </xdr:cNvSpPr>
      </xdr:nvSpPr>
      <xdr:spPr bwMode="auto">
        <a:xfrm>
          <a:off x="0" y="2615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54</xdr:row>
      <xdr:rowOff>0</xdr:rowOff>
    </xdr:from>
    <xdr:to>
      <xdr:col>10</xdr:col>
      <xdr:colOff>304800</xdr:colOff>
      <xdr:row>55</xdr:row>
      <xdr:rowOff>127000</xdr:rowOff>
    </xdr:to>
    <xdr:sp macro="" textlink="">
      <xdr:nvSpPr>
        <xdr:cNvPr id="21" name="AutoShape 22" descr="KOR">
          <a:hlinkClick xmlns:r="http://schemas.openxmlformats.org/officeDocument/2006/relationships" r:id="rId19"/>
          <a:extLst>
            <a:ext uri="{FF2B5EF4-FFF2-40B4-BE49-F238E27FC236}">
              <a16:creationId xmlns:a16="http://schemas.microsoft.com/office/drawing/2014/main" id="{6A8FC4B2-DC30-4ABA-8D8D-041973B646AD}"/>
            </a:ext>
          </a:extLst>
        </xdr:cNvPr>
        <xdr:cNvSpPr>
          <a:spLocks noChangeAspect="1" noChangeArrowheads="1"/>
        </xdr:cNvSpPr>
      </xdr:nvSpPr>
      <xdr:spPr bwMode="auto">
        <a:xfrm>
          <a:off x="0" y="1148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76</xdr:row>
      <xdr:rowOff>0</xdr:rowOff>
    </xdr:from>
    <xdr:to>
      <xdr:col>10</xdr:col>
      <xdr:colOff>304800</xdr:colOff>
      <xdr:row>77</xdr:row>
      <xdr:rowOff>127000</xdr:rowOff>
    </xdr:to>
    <xdr:sp macro="" textlink="">
      <xdr:nvSpPr>
        <xdr:cNvPr id="22" name="AutoShape 23" descr="USA">
          <a:hlinkClick xmlns:r="http://schemas.openxmlformats.org/officeDocument/2006/relationships" r:id="rId20"/>
          <a:extLst>
            <a:ext uri="{FF2B5EF4-FFF2-40B4-BE49-F238E27FC236}">
              <a16:creationId xmlns:a16="http://schemas.microsoft.com/office/drawing/2014/main" id="{0547247B-C901-4023-8F85-EE918D955807}"/>
            </a:ext>
          </a:extLst>
        </xdr:cNvPr>
        <xdr:cNvSpPr>
          <a:spLocks noChangeAspect="1" noChangeArrowheads="1"/>
        </xdr:cNvSpPr>
      </xdr:nvSpPr>
      <xdr:spPr bwMode="auto">
        <a:xfrm>
          <a:off x="0" y="1567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78</xdr:row>
      <xdr:rowOff>0</xdr:rowOff>
    </xdr:from>
    <xdr:to>
      <xdr:col>10</xdr:col>
      <xdr:colOff>304800</xdr:colOff>
      <xdr:row>79</xdr:row>
      <xdr:rowOff>127000</xdr:rowOff>
    </xdr:to>
    <xdr:sp macro="" textlink="">
      <xdr:nvSpPr>
        <xdr:cNvPr id="23" name="AutoShape 24" descr="ENG">
          <a:hlinkClick xmlns:r="http://schemas.openxmlformats.org/officeDocument/2006/relationships" r:id="rId21"/>
          <a:extLst>
            <a:ext uri="{FF2B5EF4-FFF2-40B4-BE49-F238E27FC236}">
              <a16:creationId xmlns:a16="http://schemas.microsoft.com/office/drawing/2014/main" id="{BE9A637E-A0F4-428A-9C0A-09EE9E6ED4F9}"/>
            </a:ext>
          </a:extLst>
        </xdr:cNvPr>
        <xdr:cNvSpPr>
          <a:spLocks noChangeAspect="1" noChangeArrowheads="1"/>
        </xdr:cNvSpPr>
      </xdr:nvSpPr>
      <xdr:spPr bwMode="auto">
        <a:xfrm>
          <a:off x="0" y="1605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72</xdr:row>
      <xdr:rowOff>0</xdr:rowOff>
    </xdr:from>
    <xdr:to>
      <xdr:col>10</xdr:col>
      <xdr:colOff>304800</xdr:colOff>
      <xdr:row>73</xdr:row>
      <xdr:rowOff>127000</xdr:rowOff>
    </xdr:to>
    <xdr:sp macro="" textlink="">
      <xdr:nvSpPr>
        <xdr:cNvPr id="24" name="AutoShape 25" descr="USA">
          <a:hlinkClick xmlns:r="http://schemas.openxmlformats.org/officeDocument/2006/relationships" r:id="rId22"/>
          <a:extLst>
            <a:ext uri="{FF2B5EF4-FFF2-40B4-BE49-F238E27FC236}">
              <a16:creationId xmlns:a16="http://schemas.microsoft.com/office/drawing/2014/main" id="{831AB3DF-C5BA-438E-B641-ADF2699CD4A8}"/>
            </a:ext>
          </a:extLst>
        </xdr:cNvPr>
        <xdr:cNvSpPr>
          <a:spLocks noChangeAspect="1" noChangeArrowheads="1"/>
        </xdr:cNvSpPr>
      </xdr:nvSpPr>
      <xdr:spPr bwMode="auto">
        <a:xfrm>
          <a:off x="0" y="1491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116</xdr:row>
      <xdr:rowOff>0</xdr:rowOff>
    </xdr:from>
    <xdr:to>
      <xdr:col>10</xdr:col>
      <xdr:colOff>304800</xdr:colOff>
      <xdr:row>117</xdr:row>
      <xdr:rowOff>127000</xdr:rowOff>
    </xdr:to>
    <xdr:sp macro="" textlink="">
      <xdr:nvSpPr>
        <xdr:cNvPr id="25" name="AutoShape 26" descr="USA">
          <a:hlinkClick xmlns:r="http://schemas.openxmlformats.org/officeDocument/2006/relationships" r:id="rId23"/>
          <a:extLst>
            <a:ext uri="{FF2B5EF4-FFF2-40B4-BE49-F238E27FC236}">
              <a16:creationId xmlns:a16="http://schemas.microsoft.com/office/drawing/2014/main" id="{5C54C9DF-28D6-4B81-88D4-8A4B0B93D06F}"/>
            </a:ext>
          </a:extLst>
        </xdr:cNvPr>
        <xdr:cNvSpPr>
          <a:spLocks noChangeAspect="1" noChangeArrowheads="1"/>
        </xdr:cNvSpPr>
      </xdr:nvSpPr>
      <xdr:spPr bwMode="auto">
        <a:xfrm>
          <a:off x="0" y="2329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98</xdr:row>
      <xdr:rowOff>0</xdr:rowOff>
    </xdr:from>
    <xdr:to>
      <xdr:col>10</xdr:col>
      <xdr:colOff>304800</xdr:colOff>
      <xdr:row>99</xdr:row>
      <xdr:rowOff>127000</xdr:rowOff>
    </xdr:to>
    <xdr:sp macro="" textlink="">
      <xdr:nvSpPr>
        <xdr:cNvPr id="26" name="AutoShape 27" descr="CAN">
          <a:hlinkClick xmlns:r="http://schemas.openxmlformats.org/officeDocument/2006/relationships" r:id="rId24"/>
          <a:extLst>
            <a:ext uri="{FF2B5EF4-FFF2-40B4-BE49-F238E27FC236}">
              <a16:creationId xmlns:a16="http://schemas.microsoft.com/office/drawing/2014/main" id="{232F4A58-C9C0-4091-87C2-DC5F3827AB7A}"/>
            </a:ext>
          </a:extLst>
        </xdr:cNvPr>
        <xdr:cNvSpPr>
          <a:spLocks noChangeAspect="1" noChangeArrowheads="1"/>
        </xdr:cNvSpPr>
      </xdr:nvSpPr>
      <xdr:spPr bwMode="auto">
        <a:xfrm>
          <a:off x="0" y="1986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217</xdr:row>
      <xdr:rowOff>0</xdr:rowOff>
    </xdr:from>
    <xdr:to>
      <xdr:col>10</xdr:col>
      <xdr:colOff>304800</xdr:colOff>
      <xdr:row>218</xdr:row>
      <xdr:rowOff>127000</xdr:rowOff>
    </xdr:to>
    <xdr:sp macro="" textlink="">
      <xdr:nvSpPr>
        <xdr:cNvPr id="27" name="AutoShape 28" descr="CAN">
          <a:hlinkClick xmlns:r="http://schemas.openxmlformats.org/officeDocument/2006/relationships" r:id="rId25"/>
          <a:extLst>
            <a:ext uri="{FF2B5EF4-FFF2-40B4-BE49-F238E27FC236}">
              <a16:creationId xmlns:a16="http://schemas.microsoft.com/office/drawing/2014/main" id="{E116D550-E0C2-4FD4-A706-9A3FC21E5523}"/>
            </a:ext>
          </a:extLst>
        </xdr:cNvPr>
        <xdr:cNvSpPr>
          <a:spLocks noChangeAspect="1" noChangeArrowheads="1"/>
        </xdr:cNvSpPr>
      </xdr:nvSpPr>
      <xdr:spPr bwMode="auto">
        <a:xfrm>
          <a:off x="0" y="429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90</xdr:row>
      <xdr:rowOff>0</xdr:rowOff>
    </xdr:from>
    <xdr:to>
      <xdr:col>10</xdr:col>
      <xdr:colOff>304800</xdr:colOff>
      <xdr:row>91</xdr:row>
      <xdr:rowOff>127000</xdr:rowOff>
    </xdr:to>
    <xdr:sp macro="" textlink="">
      <xdr:nvSpPr>
        <xdr:cNvPr id="28" name="AutoShape 29" descr="CAN">
          <a:hlinkClick xmlns:r="http://schemas.openxmlformats.org/officeDocument/2006/relationships" r:id="rId26"/>
          <a:extLst>
            <a:ext uri="{FF2B5EF4-FFF2-40B4-BE49-F238E27FC236}">
              <a16:creationId xmlns:a16="http://schemas.microsoft.com/office/drawing/2014/main" id="{9F01E599-E475-473B-8278-FADF1624CF27}"/>
            </a:ext>
          </a:extLst>
        </xdr:cNvPr>
        <xdr:cNvSpPr>
          <a:spLocks noChangeAspect="1" noChangeArrowheads="1"/>
        </xdr:cNvSpPr>
      </xdr:nvSpPr>
      <xdr:spPr bwMode="auto">
        <a:xfrm>
          <a:off x="0" y="1834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138</xdr:row>
      <xdr:rowOff>0</xdr:rowOff>
    </xdr:from>
    <xdr:to>
      <xdr:col>10</xdr:col>
      <xdr:colOff>304800</xdr:colOff>
      <xdr:row>139</xdr:row>
      <xdr:rowOff>127000</xdr:rowOff>
    </xdr:to>
    <xdr:sp macro="" textlink="">
      <xdr:nvSpPr>
        <xdr:cNvPr id="29" name="AutoShape 30" descr="USA">
          <a:hlinkClick xmlns:r="http://schemas.openxmlformats.org/officeDocument/2006/relationships" r:id="rId27"/>
          <a:extLst>
            <a:ext uri="{FF2B5EF4-FFF2-40B4-BE49-F238E27FC236}">
              <a16:creationId xmlns:a16="http://schemas.microsoft.com/office/drawing/2014/main" id="{404BD2D6-C7AC-458E-8F4F-D681F0541FE7}"/>
            </a:ext>
          </a:extLst>
        </xdr:cNvPr>
        <xdr:cNvSpPr>
          <a:spLocks noChangeAspect="1" noChangeArrowheads="1"/>
        </xdr:cNvSpPr>
      </xdr:nvSpPr>
      <xdr:spPr bwMode="auto">
        <a:xfrm>
          <a:off x="0" y="2748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0</xdr:rowOff>
    </xdr:from>
    <xdr:to>
      <xdr:col>10</xdr:col>
      <xdr:colOff>304800</xdr:colOff>
      <xdr:row>32</xdr:row>
      <xdr:rowOff>127000</xdr:rowOff>
    </xdr:to>
    <xdr:sp macro="" textlink="">
      <xdr:nvSpPr>
        <xdr:cNvPr id="30" name="AutoShape 31" descr="USA">
          <a:hlinkClick xmlns:r="http://schemas.openxmlformats.org/officeDocument/2006/relationships" r:id="rId28"/>
          <a:extLst>
            <a:ext uri="{FF2B5EF4-FFF2-40B4-BE49-F238E27FC236}">
              <a16:creationId xmlns:a16="http://schemas.microsoft.com/office/drawing/2014/main" id="{4FB58C58-864B-4C54-AEEF-142D8A05E597}"/>
            </a:ext>
          </a:extLst>
        </xdr:cNvPr>
        <xdr:cNvSpPr>
          <a:spLocks noChangeAspect="1" noChangeArrowheads="1"/>
        </xdr:cNvSpPr>
      </xdr:nvSpPr>
      <xdr:spPr bwMode="auto">
        <a:xfrm>
          <a:off x="0" y="710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192</xdr:row>
      <xdr:rowOff>0</xdr:rowOff>
    </xdr:from>
    <xdr:to>
      <xdr:col>10</xdr:col>
      <xdr:colOff>304800</xdr:colOff>
      <xdr:row>193</xdr:row>
      <xdr:rowOff>127000</xdr:rowOff>
    </xdr:to>
    <xdr:sp macro="" textlink="">
      <xdr:nvSpPr>
        <xdr:cNvPr id="31" name="AutoShape 32" descr="AUS">
          <a:hlinkClick xmlns:r="http://schemas.openxmlformats.org/officeDocument/2006/relationships" r:id="rId29"/>
          <a:extLst>
            <a:ext uri="{FF2B5EF4-FFF2-40B4-BE49-F238E27FC236}">
              <a16:creationId xmlns:a16="http://schemas.microsoft.com/office/drawing/2014/main" id="{2C7CD280-D6FB-4E33-9E28-F3077DCED861}"/>
            </a:ext>
          </a:extLst>
        </xdr:cNvPr>
        <xdr:cNvSpPr>
          <a:spLocks noChangeAspect="1" noChangeArrowheads="1"/>
        </xdr:cNvSpPr>
      </xdr:nvSpPr>
      <xdr:spPr bwMode="auto">
        <a:xfrm>
          <a:off x="0" y="3777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172</xdr:row>
      <xdr:rowOff>0</xdr:rowOff>
    </xdr:from>
    <xdr:to>
      <xdr:col>10</xdr:col>
      <xdr:colOff>304800</xdr:colOff>
      <xdr:row>173</xdr:row>
      <xdr:rowOff>127000</xdr:rowOff>
    </xdr:to>
    <xdr:sp macro="" textlink="">
      <xdr:nvSpPr>
        <xdr:cNvPr id="32" name="AutoShape 33" descr="USA">
          <a:hlinkClick xmlns:r="http://schemas.openxmlformats.org/officeDocument/2006/relationships" r:id="rId30"/>
          <a:extLst>
            <a:ext uri="{FF2B5EF4-FFF2-40B4-BE49-F238E27FC236}">
              <a16:creationId xmlns:a16="http://schemas.microsoft.com/office/drawing/2014/main" id="{0B078C3C-8C48-4377-AF7C-5466BDF7DC59}"/>
            </a:ext>
          </a:extLst>
        </xdr:cNvPr>
        <xdr:cNvSpPr>
          <a:spLocks noChangeAspect="1" noChangeArrowheads="1"/>
        </xdr:cNvSpPr>
      </xdr:nvSpPr>
      <xdr:spPr bwMode="auto">
        <a:xfrm>
          <a:off x="0" y="3396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211</xdr:row>
      <xdr:rowOff>0</xdr:rowOff>
    </xdr:from>
    <xdr:to>
      <xdr:col>10</xdr:col>
      <xdr:colOff>304800</xdr:colOff>
      <xdr:row>212</xdr:row>
      <xdr:rowOff>127000</xdr:rowOff>
    </xdr:to>
    <xdr:sp macro="" textlink="">
      <xdr:nvSpPr>
        <xdr:cNvPr id="33" name="AutoShape 34" descr="NOR">
          <a:hlinkClick xmlns:r="http://schemas.openxmlformats.org/officeDocument/2006/relationships" r:id="rId31"/>
          <a:extLst>
            <a:ext uri="{FF2B5EF4-FFF2-40B4-BE49-F238E27FC236}">
              <a16:creationId xmlns:a16="http://schemas.microsoft.com/office/drawing/2014/main" id="{28103BE7-3689-4ED9-8F40-C2DD4230AA1F}"/>
            </a:ext>
          </a:extLst>
        </xdr:cNvPr>
        <xdr:cNvSpPr>
          <a:spLocks noChangeAspect="1" noChangeArrowheads="1"/>
        </xdr:cNvSpPr>
      </xdr:nvSpPr>
      <xdr:spPr bwMode="auto">
        <a:xfrm>
          <a:off x="0" y="417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220</xdr:row>
      <xdr:rowOff>0</xdr:rowOff>
    </xdr:from>
    <xdr:to>
      <xdr:col>10</xdr:col>
      <xdr:colOff>304800</xdr:colOff>
      <xdr:row>221</xdr:row>
      <xdr:rowOff>127000</xdr:rowOff>
    </xdr:to>
    <xdr:sp macro="" textlink="">
      <xdr:nvSpPr>
        <xdr:cNvPr id="34" name="AutoShape 35" descr="USA">
          <a:hlinkClick xmlns:r="http://schemas.openxmlformats.org/officeDocument/2006/relationships" r:id="rId32"/>
          <a:extLst>
            <a:ext uri="{FF2B5EF4-FFF2-40B4-BE49-F238E27FC236}">
              <a16:creationId xmlns:a16="http://schemas.microsoft.com/office/drawing/2014/main" id="{DB639D5E-0FFA-44E6-841A-A7A1706E608B}"/>
            </a:ext>
          </a:extLst>
        </xdr:cNvPr>
        <xdr:cNvSpPr>
          <a:spLocks noChangeAspect="1" noChangeArrowheads="1"/>
        </xdr:cNvSpPr>
      </xdr:nvSpPr>
      <xdr:spPr bwMode="auto">
        <a:xfrm>
          <a:off x="0" y="434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209</xdr:row>
      <xdr:rowOff>0</xdr:rowOff>
    </xdr:from>
    <xdr:to>
      <xdr:col>10</xdr:col>
      <xdr:colOff>304800</xdr:colOff>
      <xdr:row>210</xdr:row>
      <xdr:rowOff>127000</xdr:rowOff>
    </xdr:to>
    <xdr:sp macro="" textlink="">
      <xdr:nvSpPr>
        <xdr:cNvPr id="35" name="AutoShape 36" descr="USA">
          <a:hlinkClick xmlns:r="http://schemas.openxmlformats.org/officeDocument/2006/relationships" r:id="rId33"/>
          <a:extLst>
            <a:ext uri="{FF2B5EF4-FFF2-40B4-BE49-F238E27FC236}">
              <a16:creationId xmlns:a16="http://schemas.microsoft.com/office/drawing/2014/main" id="{F7D8F04A-3F8E-4650-99B7-DBF07ADBFFD5}"/>
            </a:ext>
          </a:extLst>
        </xdr:cNvPr>
        <xdr:cNvSpPr>
          <a:spLocks noChangeAspect="1" noChangeArrowheads="1"/>
        </xdr:cNvSpPr>
      </xdr:nvSpPr>
      <xdr:spPr bwMode="auto">
        <a:xfrm>
          <a:off x="0" y="413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119</xdr:row>
      <xdr:rowOff>0</xdr:rowOff>
    </xdr:from>
    <xdr:to>
      <xdr:col>10</xdr:col>
      <xdr:colOff>304800</xdr:colOff>
      <xdr:row>120</xdr:row>
      <xdr:rowOff>127000</xdr:rowOff>
    </xdr:to>
    <xdr:sp macro="" textlink="">
      <xdr:nvSpPr>
        <xdr:cNvPr id="36" name="AutoShape 37" descr="USA">
          <a:hlinkClick xmlns:r="http://schemas.openxmlformats.org/officeDocument/2006/relationships" r:id="rId34"/>
          <a:extLst>
            <a:ext uri="{FF2B5EF4-FFF2-40B4-BE49-F238E27FC236}">
              <a16:creationId xmlns:a16="http://schemas.microsoft.com/office/drawing/2014/main" id="{43905BCC-5E5E-4517-8064-BEB0131BB9C9}"/>
            </a:ext>
          </a:extLst>
        </xdr:cNvPr>
        <xdr:cNvSpPr>
          <a:spLocks noChangeAspect="1" noChangeArrowheads="1"/>
        </xdr:cNvSpPr>
      </xdr:nvSpPr>
      <xdr:spPr bwMode="auto">
        <a:xfrm>
          <a:off x="0" y="2386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215</xdr:row>
      <xdr:rowOff>0</xdr:rowOff>
    </xdr:from>
    <xdr:to>
      <xdr:col>10</xdr:col>
      <xdr:colOff>304800</xdr:colOff>
      <xdr:row>216</xdr:row>
      <xdr:rowOff>127000</xdr:rowOff>
    </xdr:to>
    <xdr:sp macro="" textlink="">
      <xdr:nvSpPr>
        <xdr:cNvPr id="37" name="AutoShape 38" descr="ENG">
          <a:hlinkClick xmlns:r="http://schemas.openxmlformats.org/officeDocument/2006/relationships" r:id="rId35"/>
          <a:extLst>
            <a:ext uri="{FF2B5EF4-FFF2-40B4-BE49-F238E27FC236}">
              <a16:creationId xmlns:a16="http://schemas.microsoft.com/office/drawing/2014/main" id="{EDA4BDA0-8610-4D70-9DA1-2EFB8A88732B}"/>
            </a:ext>
          </a:extLst>
        </xdr:cNvPr>
        <xdr:cNvSpPr>
          <a:spLocks noChangeAspect="1" noChangeArrowheads="1"/>
        </xdr:cNvSpPr>
      </xdr:nvSpPr>
      <xdr:spPr bwMode="auto">
        <a:xfrm>
          <a:off x="0" y="425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199</xdr:row>
      <xdr:rowOff>0</xdr:rowOff>
    </xdr:from>
    <xdr:to>
      <xdr:col>10</xdr:col>
      <xdr:colOff>304800</xdr:colOff>
      <xdr:row>200</xdr:row>
      <xdr:rowOff>127000</xdr:rowOff>
    </xdr:to>
    <xdr:sp macro="" textlink="">
      <xdr:nvSpPr>
        <xdr:cNvPr id="38" name="AutoShape 39" descr="USA">
          <a:hlinkClick xmlns:r="http://schemas.openxmlformats.org/officeDocument/2006/relationships" r:id="rId36"/>
          <a:extLst>
            <a:ext uri="{FF2B5EF4-FFF2-40B4-BE49-F238E27FC236}">
              <a16:creationId xmlns:a16="http://schemas.microsoft.com/office/drawing/2014/main" id="{BF51F5D8-40E3-4C3A-A777-800FB9C04E2A}"/>
            </a:ext>
          </a:extLst>
        </xdr:cNvPr>
        <xdr:cNvSpPr>
          <a:spLocks noChangeAspect="1" noChangeArrowheads="1"/>
        </xdr:cNvSpPr>
      </xdr:nvSpPr>
      <xdr:spPr bwMode="auto">
        <a:xfrm>
          <a:off x="0" y="3910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170</xdr:row>
      <xdr:rowOff>0</xdr:rowOff>
    </xdr:from>
    <xdr:to>
      <xdr:col>10</xdr:col>
      <xdr:colOff>304800</xdr:colOff>
      <xdr:row>171</xdr:row>
      <xdr:rowOff>127000</xdr:rowOff>
    </xdr:to>
    <xdr:sp macro="" textlink="">
      <xdr:nvSpPr>
        <xdr:cNvPr id="39" name="AutoShape 40" descr="BEL">
          <a:hlinkClick xmlns:r="http://schemas.openxmlformats.org/officeDocument/2006/relationships" r:id="rId37"/>
          <a:extLst>
            <a:ext uri="{FF2B5EF4-FFF2-40B4-BE49-F238E27FC236}">
              <a16:creationId xmlns:a16="http://schemas.microsoft.com/office/drawing/2014/main" id="{337BBFD8-20A6-44B1-896F-CD5C5A29D739}"/>
            </a:ext>
          </a:extLst>
        </xdr:cNvPr>
        <xdr:cNvSpPr>
          <a:spLocks noChangeAspect="1" noChangeArrowheads="1"/>
        </xdr:cNvSpPr>
      </xdr:nvSpPr>
      <xdr:spPr bwMode="auto">
        <a:xfrm>
          <a:off x="0" y="3358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0</xdr:rowOff>
    </xdr:from>
    <xdr:to>
      <xdr:col>10</xdr:col>
      <xdr:colOff>304800</xdr:colOff>
      <xdr:row>6</xdr:row>
      <xdr:rowOff>127000</xdr:rowOff>
    </xdr:to>
    <xdr:sp macro="" textlink="">
      <xdr:nvSpPr>
        <xdr:cNvPr id="40" name="AutoShape 41" descr="USA">
          <a:hlinkClick xmlns:r="http://schemas.openxmlformats.org/officeDocument/2006/relationships" r:id="rId38"/>
          <a:extLst>
            <a:ext uri="{FF2B5EF4-FFF2-40B4-BE49-F238E27FC236}">
              <a16:creationId xmlns:a16="http://schemas.microsoft.com/office/drawing/2014/main" id="{987ADDD2-9E6D-4FC1-B673-D61F2F4EA8E6}"/>
            </a:ext>
          </a:extLst>
        </xdr:cNvPr>
        <xdr:cNvSpPr>
          <a:spLocks noChangeAspect="1" noChangeArrowheads="1"/>
        </xdr:cNvSpPr>
      </xdr:nvSpPr>
      <xdr:spPr bwMode="auto">
        <a:xfrm>
          <a:off x="0" y="21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142</xdr:row>
      <xdr:rowOff>0</xdr:rowOff>
    </xdr:from>
    <xdr:to>
      <xdr:col>10</xdr:col>
      <xdr:colOff>304800</xdr:colOff>
      <xdr:row>143</xdr:row>
      <xdr:rowOff>127000</xdr:rowOff>
    </xdr:to>
    <xdr:sp macro="" textlink="">
      <xdr:nvSpPr>
        <xdr:cNvPr id="41" name="AutoShape 42" descr="USA">
          <a:hlinkClick xmlns:r="http://schemas.openxmlformats.org/officeDocument/2006/relationships" r:id="rId39"/>
          <a:extLst>
            <a:ext uri="{FF2B5EF4-FFF2-40B4-BE49-F238E27FC236}">
              <a16:creationId xmlns:a16="http://schemas.microsoft.com/office/drawing/2014/main" id="{5D30DFAE-E920-49A1-9DD1-52226502E730}"/>
            </a:ext>
          </a:extLst>
        </xdr:cNvPr>
        <xdr:cNvSpPr>
          <a:spLocks noChangeAspect="1" noChangeArrowheads="1"/>
        </xdr:cNvSpPr>
      </xdr:nvSpPr>
      <xdr:spPr bwMode="auto">
        <a:xfrm>
          <a:off x="0" y="2825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75</xdr:row>
      <xdr:rowOff>0</xdr:rowOff>
    </xdr:from>
    <xdr:to>
      <xdr:col>10</xdr:col>
      <xdr:colOff>304800</xdr:colOff>
      <xdr:row>76</xdr:row>
      <xdr:rowOff>127000</xdr:rowOff>
    </xdr:to>
    <xdr:sp macro="" textlink="">
      <xdr:nvSpPr>
        <xdr:cNvPr id="42" name="AutoShape 43" descr="USA">
          <a:hlinkClick xmlns:r="http://schemas.openxmlformats.org/officeDocument/2006/relationships" r:id="rId40"/>
          <a:extLst>
            <a:ext uri="{FF2B5EF4-FFF2-40B4-BE49-F238E27FC236}">
              <a16:creationId xmlns:a16="http://schemas.microsoft.com/office/drawing/2014/main" id="{5AF75799-59D0-4E3A-BA47-8C7A51F4FC07}"/>
            </a:ext>
          </a:extLst>
        </xdr:cNvPr>
        <xdr:cNvSpPr>
          <a:spLocks noChangeAspect="1" noChangeArrowheads="1"/>
        </xdr:cNvSpPr>
      </xdr:nvSpPr>
      <xdr:spPr bwMode="auto">
        <a:xfrm>
          <a:off x="0" y="1548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102</xdr:row>
      <xdr:rowOff>0</xdr:rowOff>
    </xdr:from>
    <xdr:to>
      <xdr:col>10</xdr:col>
      <xdr:colOff>304800</xdr:colOff>
      <xdr:row>103</xdr:row>
      <xdr:rowOff>127000</xdr:rowOff>
    </xdr:to>
    <xdr:sp macro="" textlink="">
      <xdr:nvSpPr>
        <xdr:cNvPr id="43" name="AutoShape 44" descr="USA">
          <a:hlinkClick xmlns:r="http://schemas.openxmlformats.org/officeDocument/2006/relationships" r:id="rId41"/>
          <a:extLst>
            <a:ext uri="{FF2B5EF4-FFF2-40B4-BE49-F238E27FC236}">
              <a16:creationId xmlns:a16="http://schemas.microsoft.com/office/drawing/2014/main" id="{3ECB3B1F-BE15-42AE-9C09-8BA464B5DAE5}"/>
            </a:ext>
          </a:extLst>
        </xdr:cNvPr>
        <xdr:cNvSpPr>
          <a:spLocks noChangeAspect="1" noChangeArrowheads="1"/>
        </xdr:cNvSpPr>
      </xdr:nvSpPr>
      <xdr:spPr bwMode="auto">
        <a:xfrm>
          <a:off x="0" y="2063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181</xdr:row>
      <xdr:rowOff>0</xdr:rowOff>
    </xdr:from>
    <xdr:to>
      <xdr:col>10</xdr:col>
      <xdr:colOff>304800</xdr:colOff>
      <xdr:row>182</xdr:row>
      <xdr:rowOff>127000</xdr:rowOff>
    </xdr:to>
    <xdr:sp macro="" textlink="">
      <xdr:nvSpPr>
        <xdr:cNvPr id="44" name="AutoShape 45" descr="USA">
          <a:hlinkClick xmlns:r="http://schemas.openxmlformats.org/officeDocument/2006/relationships" r:id="rId42"/>
          <a:extLst>
            <a:ext uri="{FF2B5EF4-FFF2-40B4-BE49-F238E27FC236}">
              <a16:creationId xmlns:a16="http://schemas.microsoft.com/office/drawing/2014/main" id="{EAA8CF7C-E3AC-4708-996E-5058405BD0D1}"/>
            </a:ext>
          </a:extLst>
        </xdr:cNvPr>
        <xdr:cNvSpPr>
          <a:spLocks noChangeAspect="1" noChangeArrowheads="1"/>
        </xdr:cNvSpPr>
      </xdr:nvSpPr>
      <xdr:spPr bwMode="auto">
        <a:xfrm>
          <a:off x="0" y="3568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58</xdr:row>
      <xdr:rowOff>0</xdr:rowOff>
    </xdr:from>
    <xdr:to>
      <xdr:col>10</xdr:col>
      <xdr:colOff>304800</xdr:colOff>
      <xdr:row>59</xdr:row>
      <xdr:rowOff>127000</xdr:rowOff>
    </xdr:to>
    <xdr:sp macro="" textlink="">
      <xdr:nvSpPr>
        <xdr:cNvPr id="45" name="AutoShape 46" descr="CAN">
          <a:hlinkClick xmlns:r="http://schemas.openxmlformats.org/officeDocument/2006/relationships" r:id="rId43"/>
          <a:extLst>
            <a:ext uri="{FF2B5EF4-FFF2-40B4-BE49-F238E27FC236}">
              <a16:creationId xmlns:a16="http://schemas.microsoft.com/office/drawing/2014/main" id="{C4D15BB9-C131-4E4A-B05C-BF3DECC1E26E}"/>
            </a:ext>
          </a:extLst>
        </xdr:cNvPr>
        <xdr:cNvSpPr>
          <a:spLocks noChangeAspect="1" noChangeArrowheads="1"/>
        </xdr:cNvSpPr>
      </xdr:nvSpPr>
      <xdr:spPr bwMode="auto">
        <a:xfrm>
          <a:off x="0" y="1224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0</xdr:rowOff>
    </xdr:from>
    <xdr:to>
      <xdr:col>10</xdr:col>
      <xdr:colOff>304800</xdr:colOff>
      <xdr:row>25</xdr:row>
      <xdr:rowOff>127000</xdr:rowOff>
    </xdr:to>
    <xdr:sp macro="" textlink="">
      <xdr:nvSpPr>
        <xdr:cNvPr id="46" name="AutoShape 47" descr="USA">
          <a:hlinkClick xmlns:r="http://schemas.openxmlformats.org/officeDocument/2006/relationships" r:id="rId44"/>
          <a:extLst>
            <a:ext uri="{FF2B5EF4-FFF2-40B4-BE49-F238E27FC236}">
              <a16:creationId xmlns:a16="http://schemas.microsoft.com/office/drawing/2014/main" id="{660C9B60-1C6A-4F03-9FE4-E23FCA56DC83}"/>
            </a:ext>
          </a:extLst>
        </xdr:cNvPr>
        <xdr:cNvSpPr>
          <a:spLocks noChangeAspect="1" noChangeArrowheads="1"/>
        </xdr:cNvSpPr>
      </xdr:nvSpPr>
      <xdr:spPr bwMode="auto">
        <a:xfrm>
          <a:off x="0" y="57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221</xdr:row>
      <xdr:rowOff>0</xdr:rowOff>
    </xdr:from>
    <xdr:to>
      <xdr:col>10</xdr:col>
      <xdr:colOff>304800</xdr:colOff>
      <xdr:row>222</xdr:row>
      <xdr:rowOff>127000</xdr:rowOff>
    </xdr:to>
    <xdr:sp macro="" textlink="">
      <xdr:nvSpPr>
        <xdr:cNvPr id="47" name="AutoShape 48" descr="USA">
          <a:hlinkClick xmlns:r="http://schemas.openxmlformats.org/officeDocument/2006/relationships" r:id="rId45"/>
          <a:extLst>
            <a:ext uri="{FF2B5EF4-FFF2-40B4-BE49-F238E27FC236}">
              <a16:creationId xmlns:a16="http://schemas.microsoft.com/office/drawing/2014/main" id="{64A3196D-92C2-482C-A879-8B64EC98132F}"/>
            </a:ext>
          </a:extLst>
        </xdr:cNvPr>
        <xdr:cNvSpPr>
          <a:spLocks noChangeAspect="1" noChangeArrowheads="1"/>
        </xdr:cNvSpPr>
      </xdr:nvSpPr>
      <xdr:spPr bwMode="auto">
        <a:xfrm>
          <a:off x="0" y="436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134</xdr:row>
      <xdr:rowOff>0</xdr:rowOff>
    </xdr:from>
    <xdr:to>
      <xdr:col>10</xdr:col>
      <xdr:colOff>304800</xdr:colOff>
      <xdr:row>135</xdr:row>
      <xdr:rowOff>127000</xdr:rowOff>
    </xdr:to>
    <xdr:sp macro="" textlink="">
      <xdr:nvSpPr>
        <xdr:cNvPr id="48" name="AutoShape 49" descr="USA">
          <a:hlinkClick xmlns:r="http://schemas.openxmlformats.org/officeDocument/2006/relationships" r:id="rId46"/>
          <a:extLst>
            <a:ext uri="{FF2B5EF4-FFF2-40B4-BE49-F238E27FC236}">
              <a16:creationId xmlns:a16="http://schemas.microsoft.com/office/drawing/2014/main" id="{06CEB411-BC50-4468-B9E2-B405D965BD48}"/>
            </a:ext>
          </a:extLst>
        </xdr:cNvPr>
        <xdr:cNvSpPr>
          <a:spLocks noChangeAspect="1" noChangeArrowheads="1"/>
        </xdr:cNvSpPr>
      </xdr:nvSpPr>
      <xdr:spPr bwMode="auto">
        <a:xfrm>
          <a:off x="0" y="2672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xdr:row>
      <xdr:rowOff>0</xdr:rowOff>
    </xdr:from>
    <xdr:to>
      <xdr:col>10</xdr:col>
      <xdr:colOff>304800</xdr:colOff>
      <xdr:row>23</xdr:row>
      <xdr:rowOff>127000</xdr:rowOff>
    </xdr:to>
    <xdr:sp macro="" textlink="">
      <xdr:nvSpPr>
        <xdr:cNvPr id="49" name="AutoShape 50" descr="USA">
          <a:hlinkClick xmlns:r="http://schemas.openxmlformats.org/officeDocument/2006/relationships" r:id="rId47"/>
          <a:extLst>
            <a:ext uri="{FF2B5EF4-FFF2-40B4-BE49-F238E27FC236}">
              <a16:creationId xmlns:a16="http://schemas.microsoft.com/office/drawing/2014/main" id="{FBCE3429-C110-425D-A18E-36DF6EDF6D51}"/>
            </a:ext>
          </a:extLst>
        </xdr:cNvPr>
        <xdr:cNvSpPr>
          <a:spLocks noChangeAspect="1" noChangeArrowheads="1"/>
        </xdr:cNvSpPr>
      </xdr:nvSpPr>
      <xdr:spPr bwMode="auto">
        <a:xfrm>
          <a:off x="0" y="53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202</xdr:row>
      <xdr:rowOff>0</xdr:rowOff>
    </xdr:from>
    <xdr:to>
      <xdr:col>10</xdr:col>
      <xdr:colOff>304800</xdr:colOff>
      <xdr:row>203</xdr:row>
      <xdr:rowOff>127000</xdr:rowOff>
    </xdr:to>
    <xdr:sp macro="" textlink="">
      <xdr:nvSpPr>
        <xdr:cNvPr id="50" name="AutoShape 51" descr="USA">
          <a:hlinkClick xmlns:r="http://schemas.openxmlformats.org/officeDocument/2006/relationships" r:id="rId48"/>
          <a:extLst>
            <a:ext uri="{FF2B5EF4-FFF2-40B4-BE49-F238E27FC236}">
              <a16:creationId xmlns:a16="http://schemas.microsoft.com/office/drawing/2014/main" id="{CC6D055F-F178-458A-80AF-2E6610283656}"/>
            </a:ext>
          </a:extLst>
        </xdr:cNvPr>
        <xdr:cNvSpPr>
          <a:spLocks noChangeAspect="1" noChangeArrowheads="1"/>
        </xdr:cNvSpPr>
      </xdr:nvSpPr>
      <xdr:spPr bwMode="auto">
        <a:xfrm>
          <a:off x="0" y="3968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64</xdr:row>
      <xdr:rowOff>0</xdr:rowOff>
    </xdr:from>
    <xdr:to>
      <xdr:col>10</xdr:col>
      <xdr:colOff>304800</xdr:colOff>
      <xdr:row>65</xdr:row>
      <xdr:rowOff>127000</xdr:rowOff>
    </xdr:to>
    <xdr:sp macro="" textlink="">
      <xdr:nvSpPr>
        <xdr:cNvPr id="51" name="AutoShape 52" descr="AUT">
          <a:hlinkClick xmlns:r="http://schemas.openxmlformats.org/officeDocument/2006/relationships" r:id="rId49"/>
          <a:extLst>
            <a:ext uri="{FF2B5EF4-FFF2-40B4-BE49-F238E27FC236}">
              <a16:creationId xmlns:a16="http://schemas.microsoft.com/office/drawing/2014/main" id="{F5128E1D-B193-473A-9B03-E2EEB1F7DC52}"/>
            </a:ext>
          </a:extLst>
        </xdr:cNvPr>
        <xdr:cNvSpPr>
          <a:spLocks noChangeAspect="1" noChangeArrowheads="1"/>
        </xdr:cNvSpPr>
      </xdr:nvSpPr>
      <xdr:spPr bwMode="auto">
        <a:xfrm>
          <a:off x="0" y="1339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52" name="AutoShape 53" descr="USA">
          <a:hlinkClick xmlns:r="http://schemas.openxmlformats.org/officeDocument/2006/relationships" r:id="rId50"/>
          <a:extLst>
            <a:ext uri="{FF2B5EF4-FFF2-40B4-BE49-F238E27FC236}">
              <a16:creationId xmlns:a16="http://schemas.microsoft.com/office/drawing/2014/main" id="{2C6AB7E3-7CFC-4A26-A173-EE0CCCE806E6}"/>
            </a:ext>
          </a:extLst>
        </xdr:cNvPr>
        <xdr:cNvSpPr>
          <a:spLocks noChangeAspect="1" noChangeArrowheads="1"/>
        </xdr:cNvSpPr>
      </xdr:nvSpPr>
      <xdr:spPr bwMode="auto">
        <a:xfrm>
          <a:off x="0" y="410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204</xdr:row>
      <xdr:rowOff>0</xdr:rowOff>
    </xdr:from>
    <xdr:to>
      <xdr:col>10</xdr:col>
      <xdr:colOff>304800</xdr:colOff>
      <xdr:row>205</xdr:row>
      <xdr:rowOff>127000</xdr:rowOff>
    </xdr:to>
    <xdr:sp macro="" textlink="">
      <xdr:nvSpPr>
        <xdr:cNvPr id="53" name="AutoShape 54" descr="USA">
          <a:hlinkClick xmlns:r="http://schemas.openxmlformats.org/officeDocument/2006/relationships" r:id="rId51"/>
          <a:extLst>
            <a:ext uri="{FF2B5EF4-FFF2-40B4-BE49-F238E27FC236}">
              <a16:creationId xmlns:a16="http://schemas.microsoft.com/office/drawing/2014/main" id="{BA2021BE-16BA-496F-9263-881BA52AECCC}"/>
            </a:ext>
          </a:extLst>
        </xdr:cNvPr>
        <xdr:cNvSpPr>
          <a:spLocks noChangeAspect="1" noChangeArrowheads="1"/>
        </xdr:cNvSpPr>
      </xdr:nvSpPr>
      <xdr:spPr bwMode="auto">
        <a:xfrm>
          <a:off x="0" y="4006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204</xdr:row>
      <xdr:rowOff>0</xdr:rowOff>
    </xdr:from>
    <xdr:to>
      <xdr:col>10</xdr:col>
      <xdr:colOff>304800</xdr:colOff>
      <xdr:row>205</xdr:row>
      <xdr:rowOff>127000</xdr:rowOff>
    </xdr:to>
    <xdr:sp macro="" textlink="">
      <xdr:nvSpPr>
        <xdr:cNvPr id="54" name="AutoShape 55" descr="USA">
          <a:hlinkClick xmlns:r="http://schemas.openxmlformats.org/officeDocument/2006/relationships" r:id="rId52"/>
          <a:extLst>
            <a:ext uri="{FF2B5EF4-FFF2-40B4-BE49-F238E27FC236}">
              <a16:creationId xmlns:a16="http://schemas.microsoft.com/office/drawing/2014/main" id="{EEAED7DD-8354-4FB8-9155-1430023B9F78}"/>
            </a:ext>
          </a:extLst>
        </xdr:cNvPr>
        <xdr:cNvSpPr>
          <a:spLocks noChangeAspect="1" noChangeArrowheads="1"/>
        </xdr:cNvSpPr>
      </xdr:nvSpPr>
      <xdr:spPr bwMode="auto">
        <a:xfrm>
          <a:off x="0" y="4006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132</xdr:row>
      <xdr:rowOff>0</xdr:rowOff>
    </xdr:from>
    <xdr:to>
      <xdr:col>10</xdr:col>
      <xdr:colOff>304800</xdr:colOff>
      <xdr:row>133</xdr:row>
      <xdr:rowOff>127000</xdr:rowOff>
    </xdr:to>
    <xdr:sp macro="" textlink="">
      <xdr:nvSpPr>
        <xdr:cNvPr id="55" name="AutoShape 56" descr="ENG">
          <a:hlinkClick xmlns:r="http://schemas.openxmlformats.org/officeDocument/2006/relationships" r:id="rId53"/>
          <a:extLst>
            <a:ext uri="{FF2B5EF4-FFF2-40B4-BE49-F238E27FC236}">
              <a16:creationId xmlns:a16="http://schemas.microsoft.com/office/drawing/2014/main" id="{969F1D8A-2380-4733-B4DE-96C31CC709A5}"/>
            </a:ext>
          </a:extLst>
        </xdr:cNvPr>
        <xdr:cNvSpPr>
          <a:spLocks noChangeAspect="1" noChangeArrowheads="1"/>
        </xdr:cNvSpPr>
      </xdr:nvSpPr>
      <xdr:spPr bwMode="auto">
        <a:xfrm>
          <a:off x="0" y="2634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43</xdr:row>
      <xdr:rowOff>0</xdr:rowOff>
    </xdr:from>
    <xdr:to>
      <xdr:col>10</xdr:col>
      <xdr:colOff>304800</xdr:colOff>
      <xdr:row>44</xdr:row>
      <xdr:rowOff>127000</xdr:rowOff>
    </xdr:to>
    <xdr:sp macro="" textlink="">
      <xdr:nvSpPr>
        <xdr:cNvPr id="56" name="AutoShape 57" descr="ENG">
          <a:hlinkClick xmlns:r="http://schemas.openxmlformats.org/officeDocument/2006/relationships" r:id="rId54"/>
          <a:extLst>
            <a:ext uri="{FF2B5EF4-FFF2-40B4-BE49-F238E27FC236}">
              <a16:creationId xmlns:a16="http://schemas.microsoft.com/office/drawing/2014/main" id="{87FCA45C-B4AD-44FA-A716-708565A1AF96}"/>
            </a:ext>
          </a:extLst>
        </xdr:cNvPr>
        <xdr:cNvSpPr>
          <a:spLocks noChangeAspect="1" noChangeArrowheads="1"/>
        </xdr:cNvSpPr>
      </xdr:nvSpPr>
      <xdr:spPr bwMode="auto">
        <a:xfrm>
          <a:off x="0" y="939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225</xdr:row>
      <xdr:rowOff>0</xdr:rowOff>
    </xdr:from>
    <xdr:to>
      <xdr:col>10</xdr:col>
      <xdr:colOff>304800</xdr:colOff>
      <xdr:row>226</xdr:row>
      <xdr:rowOff>127000</xdr:rowOff>
    </xdr:to>
    <xdr:sp macro="" textlink="">
      <xdr:nvSpPr>
        <xdr:cNvPr id="57" name="AutoShape 58" descr="ENG">
          <a:hlinkClick xmlns:r="http://schemas.openxmlformats.org/officeDocument/2006/relationships" r:id="rId55"/>
          <a:extLst>
            <a:ext uri="{FF2B5EF4-FFF2-40B4-BE49-F238E27FC236}">
              <a16:creationId xmlns:a16="http://schemas.microsoft.com/office/drawing/2014/main" id="{661CD1D9-8299-4873-B1D1-7400383F3165}"/>
            </a:ext>
          </a:extLst>
        </xdr:cNvPr>
        <xdr:cNvSpPr>
          <a:spLocks noChangeAspect="1" noChangeArrowheads="1"/>
        </xdr:cNvSpPr>
      </xdr:nvSpPr>
      <xdr:spPr bwMode="auto">
        <a:xfrm>
          <a:off x="0" y="444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45</xdr:row>
      <xdr:rowOff>0</xdr:rowOff>
    </xdr:from>
    <xdr:to>
      <xdr:col>10</xdr:col>
      <xdr:colOff>304800</xdr:colOff>
      <xdr:row>46</xdr:row>
      <xdr:rowOff>127000</xdr:rowOff>
    </xdr:to>
    <xdr:sp macro="" textlink="">
      <xdr:nvSpPr>
        <xdr:cNvPr id="58" name="AutoShape 59" descr="USA">
          <a:hlinkClick xmlns:r="http://schemas.openxmlformats.org/officeDocument/2006/relationships" r:id="rId56"/>
          <a:extLst>
            <a:ext uri="{FF2B5EF4-FFF2-40B4-BE49-F238E27FC236}">
              <a16:creationId xmlns:a16="http://schemas.microsoft.com/office/drawing/2014/main" id="{C20337C6-A26A-4342-AF76-55321B63F6F7}"/>
            </a:ext>
          </a:extLst>
        </xdr:cNvPr>
        <xdr:cNvSpPr>
          <a:spLocks noChangeAspect="1" noChangeArrowheads="1"/>
        </xdr:cNvSpPr>
      </xdr:nvSpPr>
      <xdr:spPr bwMode="auto">
        <a:xfrm>
          <a:off x="0" y="977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97</xdr:row>
      <xdr:rowOff>0</xdr:rowOff>
    </xdr:from>
    <xdr:to>
      <xdr:col>10</xdr:col>
      <xdr:colOff>304800</xdr:colOff>
      <xdr:row>98</xdr:row>
      <xdr:rowOff>127000</xdr:rowOff>
    </xdr:to>
    <xdr:sp macro="" textlink="">
      <xdr:nvSpPr>
        <xdr:cNvPr id="59" name="AutoShape 60" descr="USA">
          <a:hlinkClick xmlns:r="http://schemas.openxmlformats.org/officeDocument/2006/relationships" r:id="rId57"/>
          <a:extLst>
            <a:ext uri="{FF2B5EF4-FFF2-40B4-BE49-F238E27FC236}">
              <a16:creationId xmlns:a16="http://schemas.microsoft.com/office/drawing/2014/main" id="{46FCF974-AE94-417E-87AA-D44F552799B1}"/>
            </a:ext>
          </a:extLst>
        </xdr:cNvPr>
        <xdr:cNvSpPr>
          <a:spLocks noChangeAspect="1" noChangeArrowheads="1"/>
        </xdr:cNvSpPr>
      </xdr:nvSpPr>
      <xdr:spPr bwMode="auto">
        <a:xfrm>
          <a:off x="0" y="1967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33</xdr:row>
      <xdr:rowOff>0</xdr:rowOff>
    </xdr:from>
    <xdr:to>
      <xdr:col>10</xdr:col>
      <xdr:colOff>304800</xdr:colOff>
      <xdr:row>34</xdr:row>
      <xdr:rowOff>127000</xdr:rowOff>
    </xdr:to>
    <xdr:sp macro="" textlink="">
      <xdr:nvSpPr>
        <xdr:cNvPr id="60" name="AutoShape 61" descr="USA">
          <a:hlinkClick xmlns:r="http://schemas.openxmlformats.org/officeDocument/2006/relationships" r:id="rId58"/>
          <a:extLst>
            <a:ext uri="{FF2B5EF4-FFF2-40B4-BE49-F238E27FC236}">
              <a16:creationId xmlns:a16="http://schemas.microsoft.com/office/drawing/2014/main" id="{C563CB01-5696-41EA-82CB-190E3142B0EB}"/>
            </a:ext>
          </a:extLst>
        </xdr:cNvPr>
        <xdr:cNvSpPr>
          <a:spLocks noChangeAspect="1" noChangeArrowheads="1"/>
        </xdr:cNvSpPr>
      </xdr:nvSpPr>
      <xdr:spPr bwMode="auto">
        <a:xfrm>
          <a:off x="0" y="748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83</xdr:row>
      <xdr:rowOff>0</xdr:rowOff>
    </xdr:from>
    <xdr:to>
      <xdr:col>10</xdr:col>
      <xdr:colOff>304800</xdr:colOff>
      <xdr:row>84</xdr:row>
      <xdr:rowOff>127000</xdr:rowOff>
    </xdr:to>
    <xdr:sp macro="" textlink="">
      <xdr:nvSpPr>
        <xdr:cNvPr id="61" name="AutoShape 62" descr="USA">
          <a:hlinkClick xmlns:r="http://schemas.openxmlformats.org/officeDocument/2006/relationships" r:id="rId59"/>
          <a:extLst>
            <a:ext uri="{FF2B5EF4-FFF2-40B4-BE49-F238E27FC236}">
              <a16:creationId xmlns:a16="http://schemas.microsoft.com/office/drawing/2014/main" id="{5C3EC2CF-00E0-4CA6-8F58-99BD42BA95AF}"/>
            </a:ext>
          </a:extLst>
        </xdr:cNvPr>
        <xdr:cNvSpPr>
          <a:spLocks noChangeAspect="1" noChangeArrowheads="1"/>
        </xdr:cNvSpPr>
      </xdr:nvSpPr>
      <xdr:spPr bwMode="auto">
        <a:xfrm>
          <a:off x="0" y="1701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92</xdr:row>
      <xdr:rowOff>0</xdr:rowOff>
    </xdr:from>
    <xdr:to>
      <xdr:col>10</xdr:col>
      <xdr:colOff>304800</xdr:colOff>
      <xdr:row>93</xdr:row>
      <xdr:rowOff>127000</xdr:rowOff>
    </xdr:to>
    <xdr:sp macro="" textlink="">
      <xdr:nvSpPr>
        <xdr:cNvPr id="62" name="AutoShape 63" descr="JPN">
          <a:hlinkClick xmlns:r="http://schemas.openxmlformats.org/officeDocument/2006/relationships" r:id="rId60"/>
          <a:extLst>
            <a:ext uri="{FF2B5EF4-FFF2-40B4-BE49-F238E27FC236}">
              <a16:creationId xmlns:a16="http://schemas.microsoft.com/office/drawing/2014/main" id="{214D3114-1AA4-433E-90A5-4735112795C2}"/>
            </a:ext>
          </a:extLst>
        </xdr:cNvPr>
        <xdr:cNvSpPr>
          <a:spLocks noChangeAspect="1" noChangeArrowheads="1"/>
        </xdr:cNvSpPr>
      </xdr:nvSpPr>
      <xdr:spPr bwMode="auto">
        <a:xfrm>
          <a:off x="0" y="1872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47</xdr:row>
      <xdr:rowOff>0</xdr:rowOff>
    </xdr:from>
    <xdr:to>
      <xdr:col>10</xdr:col>
      <xdr:colOff>304800</xdr:colOff>
      <xdr:row>48</xdr:row>
      <xdr:rowOff>127000</xdr:rowOff>
    </xdr:to>
    <xdr:sp macro="" textlink="">
      <xdr:nvSpPr>
        <xdr:cNvPr id="63" name="AutoShape 64" descr="KOR">
          <a:hlinkClick xmlns:r="http://schemas.openxmlformats.org/officeDocument/2006/relationships" r:id="rId61"/>
          <a:extLst>
            <a:ext uri="{FF2B5EF4-FFF2-40B4-BE49-F238E27FC236}">
              <a16:creationId xmlns:a16="http://schemas.microsoft.com/office/drawing/2014/main" id="{2D5E5486-1399-49B1-B458-35EECB0799D7}"/>
            </a:ext>
          </a:extLst>
        </xdr:cNvPr>
        <xdr:cNvSpPr>
          <a:spLocks noChangeAspect="1" noChangeArrowheads="1"/>
        </xdr:cNvSpPr>
      </xdr:nvSpPr>
      <xdr:spPr bwMode="auto">
        <a:xfrm>
          <a:off x="0" y="1015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219</xdr:row>
      <xdr:rowOff>0</xdr:rowOff>
    </xdr:from>
    <xdr:to>
      <xdr:col>10</xdr:col>
      <xdr:colOff>304800</xdr:colOff>
      <xdr:row>220</xdr:row>
      <xdr:rowOff>127000</xdr:rowOff>
    </xdr:to>
    <xdr:sp macro="" textlink="">
      <xdr:nvSpPr>
        <xdr:cNvPr id="64" name="AutoShape 65" descr="ENG">
          <a:hlinkClick xmlns:r="http://schemas.openxmlformats.org/officeDocument/2006/relationships" r:id="rId62"/>
          <a:extLst>
            <a:ext uri="{FF2B5EF4-FFF2-40B4-BE49-F238E27FC236}">
              <a16:creationId xmlns:a16="http://schemas.microsoft.com/office/drawing/2014/main" id="{1651B1AD-7978-4FCA-8F40-A2C14D64AA45}"/>
            </a:ext>
          </a:extLst>
        </xdr:cNvPr>
        <xdr:cNvSpPr>
          <a:spLocks noChangeAspect="1" noChangeArrowheads="1"/>
        </xdr:cNvSpPr>
      </xdr:nvSpPr>
      <xdr:spPr bwMode="auto">
        <a:xfrm>
          <a:off x="0" y="433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107</xdr:row>
      <xdr:rowOff>0</xdr:rowOff>
    </xdr:from>
    <xdr:to>
      <xdr:col>10</xdr:col>
      <xdr:colOff>304800</xdr:colOff>
      <xdr:row>108</xdr:row>
      <xdr:rowOff>127000</xdr:rowOff>
    </xdr:to>
    <xdr:sp macro="" textlink="">
      <xdr:nvSpPr>
        <xdr:cNvPr id="65" name="AutoShape 66" descr="KOR">
          <a:hlinkClick xmlns:r="http://schemas.openxmlformats.org/officeDocument/2006/relationships" r:id="rId63"/>
          <a:extLst>
            <a:ext uri="{FF2B5EF4-FFF2-40B4-BE49-F238E27FC236}">
              <a16:creationId xmlns:a16="http://schemas.microsoft.com/office/drawing/2014/main" id="{848F72B9-3044-4BCF-BB5F-64978A4D77F4}"/>
            </a:ext>
          </a:extLst>
        </xdr:cNvPr>
        <xdr:cNvSpPr>
          <a:spLocks noChangeAspect="1" noChangeArrowheads="1"/>
        </xdr:cNvSpPr>
      </xdr:nvSpPr>
      <xdr:spPr bwMode="auto">
        <a:xfrm>
          <a:off x="0" y="2158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66</xdr:row>
      <xdr:rowOff>0</xdr:rowOff>
    </xdr:from>
    <xdr:to>
      <xdr:col>10</xdr:col>
      <xdr:colOff>304800</xdr:colOff>
      <xdr:row>67</xdr:row>
      <xdr:rowOff>127000</xdr:rowOff>
    </xdr:to>
    <xdr:sp macro="" textlink="">
      <xdr:nvSpPr>
        <xdr:cNvPr id="66" name="AutoShape 67" descr="USA">
          <a:hlinkClick xmlns:r="http://schemas.openxmlformats.org/officeDocument/2006/relationships" r:id="rId64"/>
          <a:extLst>
            <a:ext uri="{FF2B5EF4-FFF2-40B4-BE49-F238E27FC236}">
              <a16:creationId xmlns:a16="http://schemas.microsoft.com/office/drawing/2014/main" id="{72518232-EFF6-44BA-80CA-7F3AB9E2653F}"/>
            </a:ext>
          </a:extLst>
        </xdr:cNvPr>
        <xdr:cNvSpPr>
          <a:spLocks noChangeAspect="1" noChangeArrowheads="1"/>
        </xdr:cNvSpPr>
      </xdr:nvSpPr>
      <xdr:spPr bwMode="auto">
        <a:xfrm>
          <a:off x="0" y="1377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66</xdr:row>
      <xdr:rowOff>0</xdr:rowOff>
    </xdr:from>
    <xdr:to>
      <xdr:col>10</xdr:col>
      <xdr:colOff>304800</xdr:colOff>
      <xdr:row>67</xdr:row>
      <xdr:rowOff>127000</xdr:rowOff>
    </xdr:to>
    <xdr:sp macro="" textlink="">
      <xdr:nvSpPr>
        <xdr:cNvPr id="67" name="AutoShape 68" descr="USA">
          <a:hlinkClick xmlns:r="http://schemas.openxmlformats.org/officeDocument/2006/relationships" r:id="rId65"/>
          <a:extLst>
            <a:ext uri="{FF2B5EF4-FFF2-40B4-BE49-F238E27FC236}">
              <a16:creationId xmlns:a16="http://schemas.microsoft.com/office/drawing/2014/main" id="{F84FE4C7-56C5-45DD-B00B-A9F1CD91B43C}"/>
            </a:ext>
          </a:extLst>
        </xdr:cNvPr>
        <xdr:cNvSpPr>
          <a:spLocks noChangeAspect="1" noChangeArrowheads="1"/>
        </xdr:cNvSpPr>
      </xdr:nvSpPr>
      <xdr:spPr bwMode="auto">
        <a:xfrm>
          <a:off x="0" y="1377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68" name="AutoShape 69" descr="KOR">
          <a:hlinkClick xmlns:r="http://schemas.openxmlformats.org/officeDocument/2006/relationships" r:id="rId66"/>
          <a:extLst>
            <a:ext uri="{FF2B5EF4-FFF2-40B4-BE49-F238E27FC236}">
              <a16:creationId xmlns:a16="http://schemas.microsoft.com/office/drawing/2014/main" id="{79994FC1-A0D2-4076-A80A-94F458FE4634}"/>
            </a:ext>
          </a:extLst>
        </xdr:cNvPr>
        <xdr:cNvSpPr>
          <a:spLocks noChangeAspect="1" noChangeArrowheads="1"/>
        </xdr:cNvSpPr>
      </xdr:nvSpPr>
      <xdr:spPr bwMode="auto">
        <a:xfrm>
          <a:off x="0" y="952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157</xdr:row>
      <xdr:rowOff>0</xdr:rowOff>
    </xdr:from>
    <xdr:to>
      <xdr:col>10</xdr:col>
      <xdr:colOff>304800</xdr:colOff>
      <xdr:row>158</xdr:row>
      <xdr:rowOff>127000</xdr:rowOff>
    </xdr:to>
    <xdr:sp macro="" textlink="">
      <xdr:nvSpPr>
        <xdr:cNvPr id="69" name="AutoShape 70" descr="COL">
          <a:hlinkClick xmlns:r="http://schemas.openxmlformats.org/officeDocument/2006/relationships" r:id="rId67"/>
          <a:extLst>
            <a:ext uri="{FF2B5EF4-FFF2-40B4-BE49-F238E27FC236}">
              <a16:creationId xmlns:a16="http://schemas.microsoft.com/office/drawing/2014/main" id="{1D824657-94A6-4EA8-B89E-0F78AB0192C1}"/>
            </a:ext>
          </a:extLst>
        </xdr:cNvPr>
        <xdr:cNvSpPr>
          <a:spLocks noChangeAspect="1" noChangeArrowheads="1"/>
        </xdr:cNvSpPr>
      </xdr:nvSpPr>
      <xdr:spPr bwMode="auto">
        <a:xfrm>
          <a:off x="0" y="3110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133</xdr:row>
      <xdr:rowOff>0</xdr:rowOff>
    </xdr:from>
    <xdr:to>
      <xdr:col>10</xdr:col>
      <xdr:colOff>304800</xdr:colOff>
      <xdr:row>134</xdr:row>
      <xdr:rowOff>127000</xdr:rowOff>
    </xdr:to>
    <xdr:sp macro="" textlink="">
      <xdr:nvSpPr>
        <xdr:cNvPr id="70" name="AutoShape 71" descr="USA">
          <a:hlinkClick xmlns:r="http://schemas.openxmlformats.org/officeDocument/2006/relationships" r:id="rId68"/>
          <a:extLst>
            <a:ext uri="{FF2B5EF4-FFF2-40B4-BE49-F238E27FC236}">
              <a16:creationId xmlns:a16="http://schemas.microsoft.com/office/drawing/2014/main" id="{80790190-4C36-4C76-9A2E-D1352C343A53}"/>
            </a:ext>
          </a:extLst>
        </xdr:cNvPr>
        <xdr:cNvSpPr>
          <a:spLocks noChangeAspect="1" noChangeArrowheads="1"/>
        </xdr:cNvSpPr>
      </xdr:nvSpPr>
      <xdr:spPr bwMode="auto">
        <a:xfrm>
          <a:off x="0" y="2653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71" name="AutoShape 72" descr="USA">
          <a:hlinkClick xmlns:r="http://schemas.openxmlformats.org/officeDocument/2006/relationships" r:id="rId69"/>
          <a:extLst>
            <a:ext uri="{FF2B5EF4-FFF2-40B4-BE49-F238E27FC236}">
              <a16:creationId xmlns:a16="http://schemas.microsoft.com/office/drawing/2014/main" id="{E1EEF4E7-2FAE-4277-906B-93025F1E49F4}"/>
            </a:ext>
          </a:extLst>
        </xdr:cNvPr>
        <xdr:cNvSpPr>
          <a:spLocks noChangeAspect="1" noChangeArrowheads="1"/>
        </xdr:cNvSpPr>
      </xdr:nvSpPr>
      <xdr:spPr bwMode="auto">
        <a:xfrm>
          <a:off x="0" y="381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118</xdr:row>
      <xdr:rowOff>0</xdr:rowOff>
    </xdr:from>
    <xdr:to>
      <xdr:col>10</xdr:col>
      <xdr:colOff>304800</xdr:colOff>
      <xdr:row>119</xdr:row>
      <xdr:rowOff>127000</xdr:rowOff>
    </xdr:to>
    <xdr:sp macro="" textlink="">
      <xdr:nvSpPr>
        <xdr:cNvPr id="72" name="AutoShape 73" descr="USA">
          <a:hlinkClick xmlns:r="http://schemas.openxmlformats.org/officeDocument/2006/relationships" r:id="rId70"/>
          <a:extLst>
            <a:ext uri="{FF2B5EF4-FFF2-40B4-BE49-F238E27FC236}">
              <a16:creationId xmlns:a16="http://schemas.microsoft.com/office/drawing/2014/main" id="{5645F03E-3173-4AA8-9789-9E3E33EE8132}"/>
            </a:ext>
          </a:extLst>
        </xdr:cNvPr>
        <xdr:cNvSpPr>
          <a:spLocks noChangeAspect="1" noChangeArrowheads="1"/>
        </xdr:cNvSpPr>
      </xdr:nvSpPr>
      <xdr:spPr bwMode="auto">
        <a:xfrm>
          <a:off x="0" y="2367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121</xdr:row>
      <xdr:rowOff>0</xdr:rowOff>
    </xdr:from>
    <xdr:to>
      <xdr:col>10</xdr:col>
      <xdr:colOff>304800</xdr:colOff>
      <xdr:row>122</xdr:row>
      <xdr:rowOff>127000</xdr:rowOff>
    </xdr:to>
    <xdr:sp macro="" textlink="">
      <xdr:nvSpPr>
        <xdr:cNvPr id="73" name="AutoShape 74" descr="SWE">
          <a:hlinkClick xmlns:r="http://schemas.openxmlformats.org/officeDocument/2006/relationships" r:id="rId71"/>
          <a:extLst>
            <a:ext uri="{FF2B5EF4-FFF2-40B4-BE49-F238E27FC236}">
              <a16:creationId xmlns:a16="http://schemas.microsoft.com/office/drawing/2014/main" id="{2DEC8A56-935B-4411-AF39-4303ADE68BD5}"/>
            </a:ext>
          </a:extLst>
        </xdr:cNvPr>
        <xdr:cNvSpPr>
          <a:spLocks noChangeAspect="1" noChangeArrowheads="1"/>
        </xdr:cNvSpPr>
      </xdr:nvSpPr>
      <xdr:spPr bwMode="auto">
        <a:xfrm>
          <a:off x="0" y="2425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161</xdr:row>
      <xdr:rowOff>0</xdr:rowOff>
    </xdr:from>
    <xdr:to>
      <xdr:col>10</xdr:col>
      <xdr:colOff>304800</xdr:colOff>
      <xdr:row>162</xdr:row>
      <xdr:rowOff>127000</xdr:rowOff>
    </xdr:to>
    <xdr:sp macro="" textlink="">
      <xdr:nvSpPr>
        <xdr:cNvPr id="74" name="AutoShape 75" descr="USA">
          <a:hlinkClick xmlns:r="http://schemas.openxmlformats.org/officeDocument/2006/relationships" r:id="rId72"/>
          <a:extLst>
            <a:ext uri="{FF2B5EF4-FFF2-40B4-BE49-F238E27FC236}">
              <a16:creationId xmlns:a16="http://schemas.microsoft.com/office/drawing/2014/main" id="{68627401-3ACF-415E-A082-F7467737DF43}"/>
            </a:ext>
          </a:extLst>
        </xdr:cNvPr>
        <xdr:cNvSpPr>
          <a:spLocks noChangeAspect="1" noChangeArrowheads="1"/>
        </xdr:cNvSpPr>
      </xdr:nvSpPr>
      <xdr:spPr bwMode="auto">
        <a:xfrm>
          <a:off x="0" y="3187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198</xdr:row>
      <xdr:rowOff>0</xdr:rowOff>
    </xdr:from>
    <xdr:to>
      <xdr:col>10</xdr:col>
      <xdr:colOff>304800</xdr:colOff>
      <xdr:row>199</xdr:row>
      <xdr:rowOff>127000</xdr:rowOff>
    </xdr:to>
    <xdr:sp macro="" textlink="">
      <xdr:nvSpPr>
        <xdr:cNvPr id="75" name="AutoShape 76" descr="ARG">
          <a:hlinkClick xmlns:r="http://schemas.openxmlformats.org/officeDocument/2006/relationships" r:id="rId73"/>
          <a:extLst>
            <a:ext uri="{FF2B5EF4-FFF2-40B4-BE49-F238E27FC236}">
              <a16:creationId xmlns:a16="http://schemas.microsoft.com/office/drawing/2014/main" id="{EAD3D173-2226-4B72-8158-DB978AD6510C}"/>
            </a:ext>
          </a:extLst>
        </xdr:cNvPr>
        <xdr:cNvSpPr>
          <a:spLocks noChangeAspect="1" noChangeArrowheads="1"/>
        </xdr:cNvSpPr>
      </xdr:nvSpPr>
      <xdr:spPr bwMode="auto">
        <a:xfrm>
          <a:off x="0" y="3891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214</xdr:row>
      <xdr:rowOff>0</xdr:rowOff>
    </xdr:from>
    <xdr:to>
      <xdr:col>10</xdr:col>
      <xdr:colOff>304800</xdr:colOff>
      <xdr:row>215</xdr:row>
      <xdr:rowOff>127000</xdr:rowOff>
    </xdr:to>
    <xdr:sp macro="" textlink="">
      <xdr:nvSpPr>
        <xdr:cNvPr id="76" name="AutoShape 77" descr="USA">
          <a:hlinkClick xmlns:r="http://schemas.openxmlformats.org/officeDocument/2006/relationships" r:id="rId74"/>
          <a:extLst>
            <a:ext uri="{FF2B5EF4-FFF2-40B4-BE49-F238E27FC236}">
              <a16:creationId xmlns:a16="http://schemas.microsoft.com/office/drawing/2014/main" id="{3623C175-97A9-4C2A-97CF-3116D130B9BD}"/>
            </a:ext>
          </a:extLst>
        </xdr:cNvPr>
        <xdr:cNvSpPr>
          <a:spLocks noChangeAspect="1" noChangeArrowheads="1"/>
        </xdr:cNvSpPr>
      </xdr:nvSpPr>
      <xdr:spPr bwMode="auto">
        <a:xfrm>
          <a:off x="0" y="423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77" name="AutoShape 78" descr="USA">
          <a:hlinkClick xmlns:r="http://schemas.openxmlformats.org/officeDocument/2006/relationships" r:id="rId75"/>
          <a:extLst>
            <a:ext uri="{FF2B5EF4-FFF2-40B4-BE49-F238E27FC236}">
              <a16:creationId xmlns:a16="http://schemas.microsoft.com/office/drawing/2014/main" id="{5B702EF0-0A9C-4930-9CF3-A81D51818D8B}"/>
            </a:ext>
          </a:extLst>
        </xdr:cNvPr>
        <xdr:cNvSpPr>
          <a:spLocks noChangeAspect="1" noChangeArrowheads="1"/>
        </xdr:cNvSpPr>
      </xdr:nvSpPr>
      <xdr:spPr bwMode="auto">
        <a:xfrm>
          <a:off x="0" y="408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224</xdr:row>
      <xdr:rowOff>0</xdr:rowOff>
    </xdr:from>
    <xdr:to>
      <xdr:col>10</xdr:col>
      <xdr:colOff>304800</xdr:colOff>
      <xdr:row>225</xdr:row>
      <xdr:rowOff>127000</xdr:rowOff>
    </xdr:to>
    <xdr:sp macro="" textlink="">
      <xdr:nvSpPr>
        <xdr:cNvPr id="78" name="AutoShape 79" descr="USA">
          <a:hlinkClick xmlns:r="http://schemas.openxmlformats.org/officeDocument/2006/relationships" r:id="rId76"/>
          <a:extLst>
            <a:ext uri="{FF2B5EF4-FFF2-40B4-BE49-F238E27FC236}">
              <a16:creationId xmlns:a16="http://schemas.microsoft.com/office/drawing/2014/main" id="{371702F3-09FA-4259-8453-547DD4066726}"/>
            </a:ext>
          </a:extLst>
        </xdr:cNvPr>
        <xdr:cNvSpPr>
          <a:spLocks noChangeAspect="1" noChangeArrowheads="1"/>
        </xdr:cNvSpPr>
      </xdr:nvSpPr>
      <xdr:spPr bwMode="auto">
        <a:xfrm>
          <a:off x="0" y="442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212</xdr:row>
      <xdr:rowOff>0</xdr:rowOff>
    </xdr:from>
    <xdr:to>
      <xdr:col>10</xdr:col>
      <xdr:colOff>304800</xdr:colOff>
      <xdr:row>213</xdr:row>
      <xdr:rowOff>127000</xdr:rowOff>
    </xdr:to>
    <xdr:sp macro="" textlink="">
      <xdr:nvSpPr>
        <xdr:cNvPr id="79" name="AutoShape 80" descr="RSA">
          <a:hlinkClick xmlns:r="http://schemas.openxmlformats.org/officeDocument/2006/relationships" r:id="rId77"/>
          <a:extLst>
            <a:ext uri="{FF2B5EF4-FFF2-40B4-BE49-F238E27FC236}">
              <a16:creationId xmlns:a16="http://schemas.microsoft.com/office/drawing/2014/main" id="{79E2DCE9-CAC2-48E5-911E-866F81DBDD54}"/>
            </a:ext>
          </a:extLst>
        </xdr:cNvPr>
        <xdr:cNvSpPr>
          <a:spLocks noChangeAspect="1" noChangeArrowheads="1"/>
        </xdr:cNvSpPr>
      </xdr:nvSpPr>
      <xdr:spPr bwMode="auto">
        <a:xfrm>
          <a:off x="0" y="419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227</xdr:row>
      <xdr:rowOff>0</xdr:rowOff>
    </xdr:from>
    <xdr:to>
      <xdr:col>10</xdr:col>
      <xdr:colOff>304800</xdr:colOff>
      <xdr:row>228</xdr:row>
      <xdr:rowOff>127000</xdr:rowOff>
    </xdr:to>
    <xdr:sp macro="" textlink="">
      <xdr:nvSpPr>
        <xdr:cNvPr id="80" name="AutoShape 81" descr="USA">
          <a:hlinkClick xmlns:r="http://schemas.openxmlformats.org/officeDocument/2006/relationships" r:id="rId78"/>
          <a:extLst>
            <a:ext uri="{FF2B5EF4-FFF2-40B4-BE49-F238E27FC236}">
              <a16:creationId xmlns:a16="http://schemas.microsoft.com/office/drawing/2014/main" id="{B6909319-47E0-49B4-9142-07539897A6D1}"/>
            </a:ext>
          </a:extLst>
        </xdr:cNvPr>
        <xdr:cNvSpPr>
          <a:spLocks noChangeAspect="1" noChangeArrowheads="1"/>
        </xdr:cNvSpPr>
      </xdr:nvSpPr>
      <xdr:spPr bwMode="auto">
        <a:xfrm>
          <a:off x="0" y="448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87</xdr:row>
      <xdr:rowOff>0</xdr:rowOff>
    </xdr:from>
    <xdr:to>
      <xdr:col>10</xdr:col>
      <xdr:colOff>304800</xdr:colOff>
      <xdr:row>88</xdr:row>
      <xdr:rowOff>127000</xdr:rowOff>
    </xdr:to>
    <xdr:sp macro="" textlink="">
      <xdr:nvSpPr>
        <xdr:cNvPr id="81" name="AutoShape 82" descr="USA">
          <a:hlinkClick xmlns:r="http://schemas.openxmlformats.org/officeDocument/2006/relationships" r:id="rId79"/>
          <a:extLst>
            <a:ext uri="{FF2B5EF4-FFF2-40B4-BE49-F238E27FC236}">
              <a16:creationId xmlns:a16="http://schemas.microsoft.com/office/drawing/2014/main" id="{758CB731-893F-40C1-8B59-DC7C8BBF4F57}"/>
            </a:ext>
          </a:extLst>
        </xdr:cNvPr>
        <xdr:cNvSpPr>
          <a:spLocks noChangeAspect="1" noChangeArrowheads="1"/>
        </xdr:cNvSpPr>
      </xdr:nvSpPr>
      <xdr:spPr bwMode="auto">
        <a:xfrm>
          <a:off x="0" y="1777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201</xdr:row>
      <xdr:rowOff>0</xdr:rowOff>
    </xdr:from>
    <xdr:to>
      <xdr:col>10</xdr:col>
      <xdr:colOff>304800</xdr:colOff>
      <xdr:row>202</xdr:row>
      <xdr:rowOff>127000</xdr:rowOff>
    </xdr:to>
    <xdr:sp macro="" textlink="">
      <xdr:nvSpPr>
        <xdr:cNvPr id="82" name="AutoShape 83" descr="TPE">
          <a:hlinkClick xmlns:r="http://schemas.openxmlformats.org/officeDocument/2006/relationships" r:id="rId80"/>
          <a:extLst>
            <a:ext uri="{FF2B5EF4-FFF2-40B4-BE49-F238E27FC236}">
              <a16:creationId xmlns:a16="http://schemas.microsoft.com/office/drawing/2014/main" id="{BCB21558-4171-43E3-BE77-8D01D22F9893}"/>
            </a:ext>
          </a:extLst>
        </xdr:cNvPr>
        <xdr:cNvSpPr>
          <a:spLocks noChangeAspect="1" noChangeArrowheads="1"/>
        </xdr:cNvSpPr>
      </xdr:nvSpPr>
      <xdr:spPr bwMode="auto">
        <a:xfrm>
          <a:off x="0" y="3949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62</xdr:row>
      <xdr:rowOff>0</xdr:rowOff>
    </xdr:from>
    <xdr:to>
      <xdr:col>10</xdr:col>
      <xdr:colOff>304800</xdr:colOff>
      <xdr:row>63</xdr:row>
      <xdr:rowOff>127000</xdr:rowOff>
    </xdr:to>
    <xdr:sp macro="" textlink="">
      <xdr:nvSpPr>
        <xdr:cNvPr id="83" name="AutoShape 84" descr="USA">
          <a:hlinkClick xmlns:r="http://schemas.openxmlformats.org/officeDocument/2006/relationships" r:id="rId81"/>
          <a:extLst>
            <a:ext uri="{FF2B5EF4-FFF2-40B4-BE49-F238E27FC236}">
              <a16:creationId xmlns:a16="http://schemas.microsoft.com/office/drawing/2014/main" id="{E9CC1211-61BF-4F95-A4D5-798541D5D58F}"/>
            </a:ext>
          </a:extLst>
        </xdr:cNvPr>
        <xdr:cNvSpPr>
          <a:spLocks noChangeAspect="1" noChangeArrowheads="1"/>
        </xdr:cNvSpPr>
      </xdr:nvSpPr>
      <xdr:spPr bwMode="auto">
        <a:xfrm>
          <a:off x="0" y="1301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169</xdr:row>
      <xdr:rowOff>0</xdr:rowOff>
    </xdr:from>
    <xdr:to>
      <xdr:col>10</xdr:col>
      <xdr:colOff>304800</xdr:colOff>
      <xdr:row>170</xdr:row>
      <xdr:rowOff>127000</xdr:rowOff>
    </xdr:to>
    <xdr:sp macro="" textlink="">
      <xdr:nvSpPr>
        <xdr:cNvPr id="84" name="AutoShape 85" descr="AUS">
          <a:hlinkClick xmlns:r="http://schemas.openxmlformats.org/officeDocument/2006/relationships" r:id="rId82"/>
          <a:extLst>
            <a:ext uri="{FF2B5EF4-FFF2-40B4-BE49-F238E27FC236}">
              <a16:creationId xmlns:a16="http://schemas.microsoft.com/office/drawing/2014/main" id="{3B9D15F6-2EC2-4BD7-858A-FE65965FC58A}"/>
            </a:ext>
          </a:extLst>
        </xdr:cNvPr>
        <xdr:cNvSpPr>
          <a:spLocks noChangeAspect="1" noChangeArrowheads="1"/>
        </xdr:cNvSpPr>
      </xdr:nvSpPr>
      <xdr:spPr bwMode="auto">
        <a:xfrm>
          <a:off x="0" y="3339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0</xdr:rowOff>
    </xdr:from>
    <xdr:to>
      <xdr:col>10</xdr:col>
      <xdr:colOff>304800</xdr:colOff>
      <xdr:row>8</xdr:row>
      <xdr:rowOff>127000</xdr:rowOff>
    </xdr:to>
    <xdr:sp macro="" textlink="">
      <xdr:nvSpPr>
        <xdr:cNvPr id="85" name="AutoShape 86" descr="ENG">
          <a:hlinkClick xmlns:r="http://schemas.openxmlformats.org/officeDocument/2006/relationships" r:id="rId83"/>
          <a:extLst>
            <a:ext uri="{FF2B5EF4-FFF2-40B4-BE49-F238E27FC236}">
              <a16:creationId xmlns:a16="http://schemas.microsoft.com/office/drawing/2014/main" id="{9C6D175E-C7BE-4080-BFCB-4A0495B5CB7E}"/>
            </a:ext>
          </a:extLst>
        </xdr:cNvPr>
        <xdr:cNvSpPr>
          <a:spLocks noChangeAspect="1" noChangeArrowheads="1"/>
        </xdr:cNvSpPr>
      </xdr:nvSpPr>
      <xdr:spPr bwMode="auto">
        <a:xfrm>
          <a:off x="0" y="25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173</xdr:row>
      <xdr:rowOff>0</xdr:rowOff>
    </xdr:from>
    <xdr:to>
      <xdr:col>10</xdr:col>
      <xdr:colOff>304800</xdr:colOff>
      <xdr:row>174</xdr:row>
      <xdr:rowOff>127000</xdr:rowOff>
    </xdr:to>
    <xdr:sp macro="" textlink="">
      <xdr:nvSpPr>
        <xdr:cNvPr id="86" name="AutoShape 87" descr="ENG">
          <a:hlinkClick xmlns:r="http://schemas.openxmlformats.org/officeDocument/2006/relationships" r:id="rId84"/>
          <a:extLst>
            <a:ext uri="{FF2B5EF4-FFF2-40B4-BE49-F238E27FC236}">
              <a16:creationId xmlns:a16="http://schemas.microsoft.com/office/drawing/2014/main" id="{F31210BF-9F42-4BDB-B9F3-158D04F99A35}"/>
            </a:ext>
          </a:extLst>
        </xdr:cNvPr>
        <xdr:cNvSpPr>
          <a:spLocks noChangeAspect="1" noChangeArrowheads="1"/>
        </xdr:cNvSpPr>
      </xdr:nvSpPr>
      <xdr:spPr bwMode="auto">
        <a:xfrm>
          <a:off x="0" y="3415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99</xdr:row>
      <xdr:rowOff>0</xdr:rowOff>
    </xdr:from>
    <xdr:to>
      <xdr:col>10</xdr:col>
      <xdr:colOff>304800</xdr:colOff>
      <xdr:row>100</xdr:row>
      <xdr:rowOff>127000</xdr:rowOff>
    </xdr:to>
    <xdr:sp macro="" textlink="">
      <xdr:nvSpPr>
        <xdr:cNvPr id="87" name="AutoShape 88" descr="USA">
          <a:hlinkClick xmlns:r="http://schemas.openxmlformats.org/officeDocument/2006/relationships" r:id="rId85"/>
          <a:extLst>
            <a:ext uri="{FF2B5EF4-FFF2-40B4-BE49-F238E27FC236}">
              <a16:creationId xmlns:a16="http://schemas.microsoft.com/office/drawing/2014/main" id="{DE17B5B8-58B6-4390-A591-1E498761B56D}"/>
            </a:ext>
          </a:extLst>
        </xdr:cNvPr>
        <xdr:cNvSpPr>
          <a:spLocks noChangeAspect="1" noChangeArrowheads="1"/>
        </xdr:cNvSpPr>
      </xdr:nvSpPr>
      <xdr:spPr bwMode="auto">
        <a:xfrm>
          <a:off x="0" y="2005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xdr:row>
      <xdr:rowOff>0</xdr:rowOff>
    </xdr:from>
    <xdr:to>
      <xdr:col>10</xdr:col>
      <xdr:colOff>304800</xdr:colOff>
      <xdr:row>11</xdr:row>
      <xdr:rowOff>74083</xdr:rowOff>
    </xdr:to>
    <xdr:sp macro="" textlink="">
      <xdr:nvSpPr>
        <xdr:cNvPr id="88" name="AutoShape 89" descr="USA">
          <a:hlinkClick xmlns:r="http://schemas.openxmlformats.org/officeDocument/2006/relationships" r:id="rId86"/>
          <a:extLst>
            <a:ext uri="{FF2B5EF4-FFF2-40B4-BE49-F238E27FC236}">
              <a16:creationId xmlns:a16="http://schemas.microsoft.com/office/drawing/2014/main" id="{CF1CC769-CC73-48D4-A7D3-E6A40E2B837E}"/>
            </a:ext>
          </a:extLst>
        </xdr:cNvPr>
        <xdr:cNvSpPr>
          <a:spLocks noChangeAspect="1" noChangeArrowheads="1"/>
        </xdr:cNvSpPr>
      </xdr:nvSpPr>
      <xdr:spPr bwMode="auto">
        <a:xfrm>
          <a:off x="0" y="31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228</xdr:row>
      <xdr:rowOff>0</xdr:rowOff>
    </xdr:from>
    <xdr:to>
      <xdr:col>10</xdr:col>
      <xdr:colOff>304800</xdr:colOff>
      <xdr:row>229</xdr:row>
      <xdr:rowOff>127000</xdr:rowOff>
    </xdr:to>
    <xdr:sp macro="" textlink="">
      <xdr:nvSpPr>
        <xdr:cNvPr id="89" name="AutoShape 90" descr="USA">
          <a:hlinkClick xmlns:r="http://schemas.openxmlformats.org/officeDocument/2006/relationships" r:id="rId87"/>
          <a:extLst>
            <a:ext uri="{FF2B5EF4-FFF2-40B4-BE49-F238E27FC236}">
              <a16:creationId xmlns:a16="http://schemas.microsoft.com/office/drawing/2014/main" id="{B2B33F2C-8C57-4E35-B359-AD4CF958D0E7}"/>
            </a:ext>
          </a:extLst>
        </xdr:cNvPr>
        <xdr:cNvSpPr>
          <a:spLocks noChangeAspect="1" noChangeArrowheads="1"/>
        </xdr:cNvSpPr>
      </xdr:nvSpPr>
      <xdr:spPr bwMode="auto">
        <a:xfrm>
          <a:off x="0" y="450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112</xdr:row>
      <xdr:rowOff>0</xdr:rowOff>
    </xdr:from>
    <xdr:to>
      <xdr:col>10</xdr:col>
      <xdr:colOff>304800</xdr:colOff>
      <xdr:row>113</xdr:row>
      <xdr:rowOff>127000</xdr:rowOff>
    </xdr:to>
    <xdr:sp macro="" textlink="">
      <xdr:nvSpPr>
        <xdr:cNvPr id="90" name="AutoShape 91" descr="USA">
          <a:hlinkClick xmlns:r="http://schemas.openxmlformats.org/officeDocument/2006/relationships" r:id="rId88"/>
          <a:extLst>
            <a:ext uri="{FF2B5EF4-FFF2-40B4-BE49-F238E27FC236}">
              <a16:creationId xmlns:a16="http://schemas.microsoft.com/office/drawing/2014/main" id="{39A3B429-337E-4ED8-94F2-C72AAA0681DD}"/>
            </a:ext>
          </a:extLst>
        </xdr:cNvPr>
        <xdr:cNvSpPr>
          <a:spLocks noChangeAspect="1" noChangeArrowheads="1"/>
        </xdr:cNvSpPr>
      </xdr:nvSpPr>
      <xdr:spPr bwMode="auto">
        <a:xfrm>
          <a:off x="0" y="2253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110</xdr:row>
      <xdr:rowOff>0</xdr:rowOff>
    </xdr:from>
    <xdr:to>
      <xdr:col>10</xdr:col>
      <xdr:colOff>304800</xdr:colOff>
      <xdr:row>111</xdr:row>
      <xdr:rowOff>127000</xdr:rowOff>
    </xdr:to>
    <xdr:sp macro="" textlink="">
      <xdr:nvSpPr>
        <xdr:cNvPr id="91" name="AutoShape 92" descr="RSA">
          <a:hlinkClick xmlns:r="http://schemas.openxmlformats.org/officeDocument/2006/relationships" r:id="rId89"/>
          <a:extLst>
            <a:ext uri="{FF2B5EF4-FFF2-40B4-BE49-F238E27FC236}">
              <a16:creationId xmlns:a16="http://schemas.microsoft.com/office/drawing/2014/main" id="{1AFDC4C3-FE27-4589-9F22-404796CE10E6}"/>
            </a:ext>
          </a:extLst>
        </xdr:cNvPr>
        <xdr:cNvSpPr>
          <a:spLocks noChangeAspect="1" noChangeArrowheads="1"/>
        </xdr:cNvSpPr>
      </xdr:nvSpPr>
      <xdr:spPr bwMode="auto">
        <a:xfrm>
          <a:off x="0" y="2215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129</xdr:row>
      <xdr:rowOff>0</xdr:rowOff>
    </xdr:from>
    <xdr:to>
      <xdr:col>10</xdr:col>
      <xdr:colOff>304800</xdr:colOff>
      <xdr:row>130</xdr:row>
      <xdr:rowOff>127000</xdr:rowOff>
    </xdr:to>
    <xdr:sp macro="" textlink="">
      <xdr:nvSpPr>
        <xdr:cNvPr id="92" name="AutoShape 93" descr="GER">
          <a:hlinkClick xmlns:r="http://schemas.openxmlformats.org/officeDocument/2006/relationships" r:id="rId90"/>
          <a:extLst>
            <a:ext uri="{FF2B5EF4-FFF2-40B4-BE49-F238E27FC236}">
              <a16:creationId xmlns:a16="http://schemas.microsoft.com/office/drawing/2014/main" id="{02AA7B29-EEE5-496F-AFE7-566691CB48A0}"/>
            </a:ext>
          </a:extLst>
        </xdr:cNvPr>
        <xdr:cNvSpPr>
          <a:spLocks noChangeAspect="1" noChangeArrowheads="1"/>
        </xdr:cNvSpPr>
      </xdr:nvSpPr>
      <xdr:spPr bwMode="auto">
        <a:xfrm>
          <a:off x="0" y="2577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25</xdr:row>
      <xdr:rowOff>0</xdr:rowOff>
    </xdr:from>
    <xdr:to>
      <xdr:col>10</xdr:col>
      <xdr:colOff>304800</xdr:colOff>
      <xdr:row>26</xdr:row>
      <xdr:rowOff>127000</xdr:rowOff>
    </xdr:to>
    <xdr:sp macro="" textlink="">
      <xdr:nvSpPr>
        <xdr:cNvPr id="93" name="AutoShape 94" descr="IRL">
          <a:hlinkClick xmlns:r="http://schemas.openxmlformats.org/officeDocument/2006/relationships" r:id="rId91"/>
          <a:extLst>
            <a:ext uri="{FF2B5EF4-FFF2-40B4-BE49-F238E27FC236}">
              <a16:creationId xmlns:a16="http://schemas.microsoft.com/office/drawing/2014/main" id="{4B7C7FBC-FCC5-4DD6-9AD7-1B236123A8CF}"/>
            </a:ext>
          </a:extLst>
        </xdr:cNvPr>
        <xdr:cNvSpPr>
          <a:spLocks noChangeAspect="1" noChangeArrowheads="1"/>
        </xdr:cNvSpPr>
      </xdr:nvSpPr>
      <xdr:spPr bwMode="auto">
        <a:xfrm>
          <a:off x="0" y="59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189</xdr:row>
      <xdr:rowOff>0</xdr:rowOff>
    </xdr:from>
    <xdr:to>
      <xdr:col>10</xdr:col>
      <xdr:colOff>304800</xdr:colOff>
      <xdr:row>190</xdr:row>
      <xdr:rowOff>127000</xdr:rowOff>
    </xdr:to>
    <xdr:sp macro="" textlink="">
      <xdr:nvSpPr>
        <xdr:cNvPr id="94" name="AutoShape 95" descr="USA">
          <a:hlinkClick xmlns:r="http://schemas.openxmlformats.org/officeDocument/2006/relationships" r:id="rId92"/>
          <a:extLst>
            <a:ext uri="{FF2B5EF4-FFF2-40B4-BE49-F238E27FC236}">
              <a16:creationId xmlns:a16="http://schemas.microsoft.com/office/drawing/2014/main" id="{74F78EE9-9C21-4EB3-9144-B283A0176D17}"/>
            </a:ext>
          </a:extLst>
        </xdr:cNvPr>
        <xdr:cNvSpPr>
          <a:spLocks noChangeAspect="1" noChangeArrowheads="1"/>
        </xdr:cNvSpPr>
      </xdr:nvSpPr>
      <xdr:spPr bwMode="auto">
        <a:xfrm>
          <a:off x="0" y="3720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xdr:row>
      <xdr:rowOff>0</xdr:rowOff>
    </xdr:from>
    <xdr:to>
      <xdr:col>10</xdr:col>
      <xdr:colOff>304800</xdr:colOff>
      <xdr:row>16</xdr:row>
      <xdr:rowOff>127000</xdr:rowOff>
    </xdr:to>
    <xdr:sp macro="" textlink="">
      <xdr:nvSpPr>
        <xdr:cNvPr id="95" name="AutoShape 96" descr="USA">
          <a:hlinkClick xmlns:r="http://schemas.openxmlformats.org/officeDocument/2006/relationships" r:id="rId93"/>
          <a:extLst>
            <a:ext uri="{FF2B5EF4-FFF2-40B4-BE49-F238E27FC236}">
              <a16:creationId xmlns:a16="http://schemas.microsoft.com/office/drawing/2014/main" id="{9EC4CF68-8DFD-46A2-89E2-8E2DECAC1223}"/>
            </a:ext>
          </a:extLst>
        </xdr:cNvPr>
        <xdr:cNvSpPr>
          <a:spLocks noChangeAspect="1" noChangeArrowheads="1"/>
        </xdr:cNvSpPr>
      </xdr:nvSpPr>
      <xdr:spPr bwMode="auto">
        <a:xfrm>
          <a:off x="0" y="40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190</xdr:row>
      <xdr:rowOff>0</xdr:rowOff>
    </xdr:from>
    <xdr:to>
      <xdr:col>10</xdr:col>
      <xdr:colOff>304800</xdr:colOff>
      <xdr:row>191</xdr:row>
      <xdr:rowOff>127000</xdr:rowOff>
    </xdr:to>
    <xdr:sp macro="" textlink="">
      <xdr:nvSpPr>
        <xdr:cNvPr id="96" name="AutoShape 97" descr="USA">
          <a:hlinkClick xmlns:r="http://schemas.openxmlformats.org/officeDocument/2006/relationships" r:id="rId94"/>
          <a:extLst>
            <a:ext uri="{FF2B5EF4-FFF2-40B4-BE49-F238E27FC236}">
              <a16:creationId xmlns:a16="http://schemas.microsoft.com/office/drawing/2014/main" id="{D7132477-C4CF-4196-B45B-7168DDE9BC64}"/>
            </a:ext>
          </a:extLst>
        </xdr:cNvPr>
        <xdr:cNvSpPr>
          <a:spLocks noChangeAspect="1" noChangeArrowheads="1"/>
        </xdr:cNvSpPr>
      </xdr:nvSpPr>
      <xdr:spPr bwMode="auto">
        <a:xfrm>
          <a:off x="0" y="3739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196</xdr:row>
      <xdr:rowOff>0</xdr:rowOff>
    </xdr:from>
    <xdr:to>
      <xdr:col>10</xdr:col>
      <xdr:colOff>304800</xdr:colOff>
      <xdr:row>197</xdr:row>
      <xdr:rowOff>127000</xdr:rowOff>
    </xdr:to>
    <xdr:sp macro="" textlink="">
      <xdr:nvSpPr>
        <xdr:cNvPr id="97" name="AutoShape 98" descr="USA">
          <a:hlinkClick xmlns:r="http://schemas.openxmlformats.org/officeDocument/2006/relationships" r:id="rId95"/>
          <a:extLst>
            <a:ext uri="{FF2B5EF4-FFF2-40B4-BE49-F238E27FC236}">
              <a16:creationId xmlns:a16="http://schemas.microsoft.com/office/drawing/2014/main" id="{B618D99D-3784-4CA7-AE77-A31FDFE1A48B}"/>
            </a:ext>
          </a:extLst>
        </xdr:cNvPr>
        <xdr:cNvSpPr>
          <a:spLocks noChangeAspect="1" noChangeArrowheads="1"/>
        </xdr:cNvSpPr>
      </xdr:nvSpPr>
      <xdr:spPr bwMode="auto">
        <a:xfrm>
          <a:off x="0" y="3853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67</xdr:row>
      <xdr:rowOff>0</xdr:rowOff>
    </xdr:from>
    <xdr:to>
      <xdr:col>10</xdr:col>
      <xdr:colOff>304800</xdr:colOff>
      <xdr:row>68</xdr:row>
      <xdr:rowOff>127000</xdr:rowOff>
    </xdr:to>
    <xdr:sp macro="" textlink="">
      <xdr:nvSpPr>
        <xdr:cNvPr id="98" name="AutoShape 99" descr="USA">
          <a:hlinkClick xmlns:r="http://schemas.openxmlformats.org/officeDocument/2006/relationships" r:id="rId96"/>
          <a:extLst>
            <a:ext uri="{FF2B5EF4-FFF2-40B4-BE49-F238E27FC236}">
              <a16:creationId xmlns:a16="http://schemas.microsoft.com/office/drawing/2014/main" id="{36C0AEE8-BEC2-46D9-B568-388C871F781B}"/>
            </a:ext>
          </a:extLst>
        </xdr:cNvPr>
        <xdr:cNvSpPr>
          <a:spLocks noChangeAspect="1" noChangeArrowheads="1"/>
        </xdr:cNvSpPr>
      </xdr:nvSpPr>
      <xdr:spPr bwMode="auto">
        <a:xfrm>
          <a:off x="0" y="1396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218</xdr:row>
      <xdr:rowOff>0</xdr:rowOff>
    </xdr:from>
    <xdr:to>
      <xdr:col>10</xdr:col>
      <xdr:colOff>304800</xdr:colOff>
      <xdr:row>219</xdr:row>
      <xdr:rowOff>127000</xdr:rowOff>
    </xdr:to>
    <xdr:sp macro="" textlink="">
      <xdr:nvSpPr>
        <xdr:cNvPr id="99" name="AutoShape 100" descr="USA">
          <a:hlinkClick xmlns:r="http://schemas.openxmlformats.org/officeDocument/2006/relationships" r:id="rId97"/>
          <a:extLst>
            <a:ext uri="{FF2B5EF4-FFF2-40B4-BE49-F238E27FC236}">
              <a16:creationId xmlns:a16="http://schemas.microsoft.com/office/drawing/2014/main" id="{F128D4F8-0630-41B7-8A30-8229BD70C9F7}"/>
            </a:ext>
          </a:extLst>
        </xdr:cNvPr>
        <xdr:cNvSpPr>
          <a:spLocks noChangeAspect="1" noChangeArrowheads="1"/>
        </xdr:cNvSpPr>
      </xdr:nvSpPr>
      <xdr:spPr bwMode="auto">
        <a:xfrm>
          <a:off x="0" y="431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101</xdr:row>
      <xdr:rowOff>0</xdr:rowOff>
    </xdr:from>
    <xdr:to>
      <xdr:col>10</xdr:col>
      <xdr:colOff>304800</xdr:colOff>
      <xdr:row>102</xdr:row>
      <xdr:rowOff>127000</xdr:rowOff>
    </xdr:to>
    <xdr:sp macro="" textlink="">
      <xdr:nvSpPr>
        <xdr:cNvPr id="100" name="AutoShape 101" descr="USA">
          <a:hlinkClick xmlns:r="http://schemas.openxmlformats.org/officeDocument/2006/relationships" r:id="rId98"/>
          <a:extLst>
            <a:ext uri="{FF2B5EF4-FFF2-40B4-BE49-F238E27FC236}">
              <a16:creationId xmlns:a16="http://schemas.microsoft.com/office/drawing/2014/main" id="{8F7005BD-61E6-4781-8891-E193F468336E}"/>
            </a:ext>
          </a:extLst>
        </xdr:cNvPr>
        <xdr:cNvSpPr>
          <a:spLocks noChangeAspect="1" noChangeArrowheads="1"/>
        </xdr:cNvSpPr>
      </xdr:nvSpPr>
      <xdr:spPr bwMode="auto">
        <a:xfrm>
          <a:off x="0" y="2044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68</xdr:row>
      <xdr:rowOff>0</xdr:rowOff>
    </xdr:from>
    <xdr:to>
      <xdr:col>10</xdr:col>
      <xdr:colOff>304800</xdr:colOff>
      <xdr:row>69</xdr:row>
      <xdr:rowOff>127000</xdr:rowOff>
    </xdr:to>
    <xdr:sp macro="" textlink="">
      <xdr:nvSpPr>
        <xdr:cNvPr id="101" name="AutoShape 102" descr="USA">
          <a:hlinkClick xmlns:r="http://schemas.openxmlformats.org/officeDocument/2006/relationships" r:id="rId99"/>
          <a:extLst>
            <a:ext uri="{FF2B5EF4-FFF2-40B4-BE49-F238E27FC236}">
              <a16:creationId xmlns:a16="http://schemas.microsoft.com/office/drawing/2014/main" id="{4253BFF5-AA71-465D-A1E3-D840E0F31CFE}"/>
            </a:ext>
          </a:extLst>
        </xdr:cNvPr>
        <xdr:cNvSpPr>
          <a:spLocks noChangeAspect="1" noChangeArrowheads="1"/>
        </xdr:cNvSpPr>
      </xdr:nvSpPr>
      <xdr:spPr bwMode="auto">
        <a:xfrm>
          <a:off x="0" y="1415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160</xdr:row>
      <xdr:rowOff>0</xdr:rowOff>
    </xdr:from>
    <xdr:to>
      <xdr:col>10</xdr:col>
      <xdr:colOff>304800</xdr:colOff>
      <xdr:row>161</xdr:row>
      <xdr:rowOff>127000</xdr:rowOff>
    </xdr:to>
    <xdr:sp macro="" textlink="">
      <xdr:nvSpPr>
        <xdr:cNvPr id="102" name="AutoShape 103" descr="AUS">
          <a:hlinkClick xmlns:r="http://schemas.openxmlformats.org/officeDocument/2006/relationships" r:id="rId100"/>
          <a:extLst>
            <a:ext uri="{FF2B5EF4-FFF2-40B4-BE49-F238E27FC236}">
              <a16:creationId xmlns:a16="http://schemas.microsoft.com/office/drawing/2014/main" id="{7A9A90C0-B56B-468F-B688-BC1221C41D28}"/>
            </a:ext>
          </a:extLst>
        </xdr:cNvPr>
        <xdr:cNvSpPr>
          <a:spLocks noChangeAspect="1" noChangeArrowheads="1"/>
        </xdr:cNvSpPr>
      </xdr:nvSpPr>
      <xdr:spPr bwMode="auto">
        <a:xfrm>
          <a:off x="0" y="3168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162</xdr:row>
      <xdr:rowOff>0</xdr:rowOff>
    </xdr:from>
    <xdr:to>
      <xdr:col>10</xdr:col>
      <xdr:colOff>304800</xdr:colOff>
      <xdr:row>163</xdr:row>
      <xdr:rowOff>127000</xdr:rowOff>
    </xdr:to>
    <xdr:sp macro="" textlink="">
      <xdr:nvSpPr>
        <xdr:cNvPr id="103" name="AutoShape 104" descr="USA">
          <a:hlinkClick xmlns:r="http://schemas.openxmlformats.org/officeDocument/2006/relationships" r:id="rId101"/>
          <a:extLst>
            <a:ext uri="{FF2B5EF4-FFF2-40B4-BE49-F238E27FC236}">
              <a16:creationId xmlns:a16="http://schemas.microsoft.com/office/drawing/2014/main" id="{DE335E55-2F38-450F-818C-2DD17A2EA34E}"/>
            </a:ext>
          </a:extLst>
        </xdr:cNvPr>
        <xdr:cNvSpPr>
          <a:spLocks noChangeAspect="1" noChangeArrowheads="1"/>
        </xdr:cNvSpPr>
      </xdr:nvSpPr>
      <xdr:spPr bwMode="auto">
        <a:xfrm>
          <a:off x="0" y="3206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158</xdr:row>
      <xdr:rowOff>0</xdr:rowOff>
    </xdr:from>
    <xdr:to>
      <xdr:col>10</xdr:col>
      <xdr:colOff>304800</xdr:colOff>
      <xdr:row>159</xdr:row>
      <xdr:rowOff>127000</xdr:rowOff>
    </xdr:to>
    <xdr:sp macro="" textlink="">
      <xdr:nvSpPr>
        <xdr:cNvPr id="104" name="AutoShape 105" descr="USA">
          <a:hlinkClick xmlns:r="http://schemas.openxmlformats.org/officeDocument/2006/relationships" r:id="rId102"/>
          <a:extLst>
            <a:ext uri="{FF2B5EF4-FFF2-40B4-BE49-F238E27FC236}">
              <a16:creationId xmlns:a16="http://schemas.microsoft.com/office/drawing/2014/main" id="{68C12199-F929-4BFC-88A0-2990CEC39D44}"/>
            </a:ext>
          </a:extLst>
        </xdr:cNvPr>
        <xdr:cNvSpPr>
          <a:spLocks noChangeAspect="1" noChangeArrowheads="1"/>
        </xdr:cNvSpPr>
      </xdr:nvSpPr>
      <xdr:spPr bwMode="auto">
        <a:xfrm>
          <a:off x="0" y="3129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177</xdr:row>
      <xdr:rowOff>0</xdr:rowOff>
    </xdr:from>
    <xdr:to>
      <xdr:col>10</xdr:col>
      <xdr:colOff>304800</xdr:colOff>
      <xdr:row>178</xdr:row>
      <xdr:rowOff>127000</xdr:rowOff>
    </xdr:to>
    <xdr:sp macro="" textlink="">
      <xdr:nvSpPr>
        <xdr:cNvPr id="105" name="AutoShape 106" descr="USA">
          <a:hlinkClick xmlns:r="http://schemas.openxmlformats.org/officeDocument/2006/relationships" r:id="rId103"/>
          <a:extLst>
            <a:ext uri="{FF2B5EF4-FFF2-40B4-BE49-F238E27FC236}">
              <a16:creationId xmlns:a16="http://schemas.microsoft.com/office/drawing/2014/main" id="{EB2CEB57-7907-4E33-9960-EA28CB12F09E}"/>
            </a:ext>
          </a:extLst>
        </xdr:cNvPr>
        <xdr:cNvSpPr>
          <a:spLocks noChangeAspect="1" noChangeArrowheads="1"/>
        </xdr:cNvSpPr>
      </xdr:nvSpPr>
      <xdr:spPr bwMode="auto">
        <a:xfrm>
          <a:off x="0" y="3491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93</xdr:row>
      <xdr:rowOff>0</xdr:rowOff>
    </xdr:from>
    <xdr:to>
      <xdr:col>10</xdr:col>
      <xdr:colOff>304800</xdr:colOff>
      <xdr:row>94</xdr:row>
      <xdr:rowOff>127000</xdr:rowOff>
    </xdr:to>
    <xdr:sp macro="" textlink="">
      <xdr:nvSpPr>
        <xdr:cNvPr id="106" name="AutoShape 107" descr="USA">
          <a:hlinkClick xmlns:r="http://schemas.openxmlformats.org/officeDocument/2006/relationships" r:id="rId104"/>
          <a:extLst>
            <a:ext uri="{FF2B5EF4-FFF2-40B4-BE49-F238E27FC236}">
              <a16:creationId xmlns:a16="http://schemas.microsoft.com/office/drawing/2014/main" id="{33B3D2F0-CAF0-4C4E-A07E-C8834D64AB10}"/>
            </a:ext>
          </a:extLst>
        </xdr:cNvPr>
        <xdr:cNvSpPr>
          <a:spLocks noChangeAspect="1" noChangeArrowheads="1"/>
        </xdr:cNvSpPr>
      </xdr:nvSpPr>
      <xdr:spPr bwMode="auto">
        <a:xfrm>
          <a:off x="0" y="1891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07" name="AutoShape 108" descr="ENG">
          <a:hlinkClick xmlns:r="http://schemas.openxmlformats.org/officeDocument/2006/relationships" r:id="rId105"/>
          <a:extLst>
            <a:ext uri="{FF2B5EF4-FFF2-40B4-BE49-F238E27FC236}">
              <a16:creationId xmlns:a16="http://schemas.microsoft.com/office/drawing/2014/main" id="{FF67852A-B02D-4A39-85CC-D9E1C5975F9E}"/>
            </a:ext>
          </a:extLst>
        </xdr:cNvPr>
        <xdr:cNvSpPr>
          <a:spLocks noChangeAspect="1" noChangeArrowheads="1"/>
        </xdr:cNvSpPr>
      </xdr:nvSpPr>
      <xdr:spPr bwMode="auto">
        <a:xfrm>
          <a:off x="0" y="571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08" name="AutoShape 109" descr="SWE">
          <a:hlinkClick xmlns:r="http://schemas.openxmlformats.org/officeDocument/2006/relationships" r:id="rId106"/>
          <a:extLst>
            <a:ext uri="{FF2B5EF4-FFF2-40B4-BE49-F238E27FC236}">
              <a16:creationId xmlns:a16="http://schemas.microsoft.com/office/drawing/2014/main" id="{8D528257-488E-4506-AB3C-BF5C28716DAC}"/>
            </a:ext>
          </a:extLst>
        </xdr:cNvPr>
        <xdr:cNvSpPr>
          <a:spLocks noChangeAspect="1" noChangeArrowheads="1"/>
        </xdr:cNvSpPr>
      </xdr:nvSpPr>
      <xdr:spPr bwMode="auto">
        <a:xfrm>
          <a:off x="0" y="571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143</xdr:row>
      <xdr:rowOff>0</xdr:rowOff>
    </xdr:from>
    <xdr:to>
      <xdr:col>10</xdr:col>
      <xdr:colOff>304800</xdr:colOff>
      <xdr:row>144</xdr:row>
      <xdr:rowOff>127000</xdr:rowOff>
    </xdr:to>
    <xdr:sp macro="" textlink="">
      <xdr:nvSpPr>
        <xdr:cNvPr id="109" name="AutoShape 110" descr="USA">
          <a:hlinkClick xmlns:r="http://schemas.openxmlformats.org/officeDocument/2006/relationships" r:id="rId107"/>
          <a:extLst>
            <a:ext uri="{FF2B5EF4-FFF2-40B4-BE49-F238E27FC236}">
              <a16:creationId xmlns:a16="http://schemas.microsoft.com/office/drawing/2014/main" id="{51BAC17B-278D-44BE-BE13-A5399DACF467}"/>
            </a:ext>
          </a:extLst>
        </xdr:cNvPr>
        <xdr:cNvSpPr>
          <a:spLocks noChangeAspect="1" noChangeArrowheads="1"/>
        </xdr:cNvSpPr>
      </xdr:nvSpPr>
      <xdr:spPr bwMode="auto">
        <a:xfrm>
          <a:off x="0" y="2844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155</xdr:row>
      <xdr:rowOff>0</xdr:rowOff>
    </xdr:from>
    <xdr:to>
      <xdr:col>10</xdr:col>
      <xdr:colOff>304800</xdr:colOff>
      <xdr:row>156</xdr:row>
      <xdr:rowOff>127000</xdr:rowOff>
    </xdr:to>
    <xdr:sp macro="" textlink="">
      <xdr:nvSpPr>
        <xdr:cNvPr id="110" name="AutoShape 111" descr="USA">
          <a:hlinkClick xmlns:r="http://schemas.openxmlformats.org/officeDocument/2006/relationships" r:id="rId108"/>
          <a:extLst>
            <a:ext uri="{FF2B5EF4-FFF2-40B4-BE49-F238E27FC236}">
              <a16:creationId xmlns:a16="http://schemas.microsoft.com/office/drawing/2014/main" id="{BF859816-CBCC-4586-8997-CF5544DFFB5E}"/>
            </a:ext>
          </a:extLst>
        </xdr:cNvPr>
        <xdr:cNvSpPr>
          <a:spLocks noChangeAspect="1" noChangeArrowheads="1"/>
        </xdr:cNvSpPr>
      </xdr:nvSpPr>
      <xdr:spPr bwMode="auto">
        <a:xfrm>
          <a:off x="0" y="3072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200</xdr:row>
      <xdr:rowOff>0</xdr:rowOff>
    </xdr:from>
    <xdr:to>
      <xdr:col>10</xdr:col>
      <xdr:colOff>304800</xdr:colOff>
      <xdr:row>201</xdr:row>
      <xdr:rowOff>127000</xdr:rowOff>
    </xdr:to>
    <xdr:sp macro="" textlink="">
      <xdr:nvSpPr>
        <xdr:cNvPr id="111" name="AutoShape 112" descr="AUS">
          <a:hlinkClick xmlns:r="http://schemas.openxmlformats.org/officeDocument/2006/relationships" r:id="rId109"/>
          <a:extLst>
            <a:ext uri="{FF2B5EF4-FFF2-40B4-BE49-F238E27FC236}">
              <a16:creationId xmlns:a16="http://schemas.microsoft.com/office/drawing/2014/main" id="{2D288C4C-53A5-4068-97E6-0A48B302D6CF}"/>
            </a:ext>
          </a:extLst>
        </xdr:cNvPr>
        <xdr:cNvSpPr>
          <a:spLocks noChangeAspect="1" noChangeArrowheads="1"/>
        </xdr:cNvSpPr>
      </xdr:nvSpPr>
      <xdr:spPr bwMode="auto">
        <a:xfrm>
          <a:off x="0" y="3930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80</xdr:row>
      <xdr:rowOff>0</xdr:rowOff>
    </xdr:from>
    <xdr:to>
      <xdr:col>10</xdr:col>
      <xdr:colOff>304800</xdr:colOff>
      <xdr:row>81</xdr:row>
      <xdr:rowOff>127000</xdr:rowOff>
    </xdr:to>
    <xdr:sp macro="" textlink="">
      <xdr:nvSpPr>
        <xdr:cNvPr id="112" name="AutoShape 113" descr="USA">
          <a:hlinkClick xmlns:r="http://schemas.openxmlformats.org/officeDocument/2006/relationships" r:id="rId110"/>
          <a:extLst>
            <a:ext uri="{FF2B5EF4-FFF2-40B4-BE49-F238E27FC236}">
              <a16:creationId xmlns:a16="http://schemas.microsoft.com/office/drawing/2014/main" id="{EB0A647C-1FD2-4BD5-8F74-EA18F25FE45D}"/>
            </a:ext>
          </a:extLst>
        </xdr:cNvPr>
        <xdr:cNvSpPr>
          <a:spLocks noChangeAspect="1" noChangeArrowheads="1"/>
        </xdr:cNvSpPr>
      </xdr:nvSpPr>
      <xdr:spPr bwMode="auto">
        <a:xfrm>
          <a:off x="0" y="1644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104</xdr:row>
      <xdr:rowOff>0</xdr:rowOff>
    </xdr:from>
    <xdr:to>
      <xdr:col>10</xdr:col>
      <xdr:colOff>304800</xdr:colOff>
      <xdr:row>105</xdr:row>
      <xdr:rowOff>127000</xdr:rowOff>
    </xdr:to>
    <xdr:sp macro="" textlink="">
      <xdr:nvSpPr>
        <xdr:cNvPr id="113" name="AutoShape 114" descr="RSA">
          <a:hlinkClick xmlns:r="http://schemas.openxmlformats.org/officeDocument/2006/relationships" r:id="rId111"/>
          <a:extLst>
            <a:ext uri="{FF2B5EF4-FFF2-40B4-BE49-F238E27FC236}">
              <a16:creationId xmlns:a16="http://schemas.microsoft.com/office/drawing/2014/main" id="{9485B095-5214-4EE6-8068-03BE65769400}"/>
            </a:ext>
          </a:extLst>
        </xdr:cNvPr>
        <xdr:cNvSpPr>
          <a:spLocks noChangeAspect="1" noChangeArrowheads="1"/>
        </xdr:cNvSpPr>
      </xdr:nvSpPr>
      <xdr:spPr bwMode="auto">
        <a:xfrm>
          <a:off x="0" y="2101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xdr:row>
      <xdr:rowOff>0</xdr:rowOff>
    </xdr:from>
    <xdr:to>
      <xdr:col>10</xdr:col>
      <xdr:colOff>304800</xdr:colOff>
      <xdr:row>14</xdr:row>
      <xdr:rowOff>127000</xdr:rowOff>
    </xdr:to>
    <xdr:sp macro="" textlink="">
      <xdr:nvSpPr>
        <xdr:cNvPr id="114" name="AutoShape 115" descr="CAN">
          <a:hlinkClick xmlns:r="http://schemas.openxmlformats.org/officeDocument/2006/relationships" r:id="rId112"/>
          <a:extLst>
            <a:ext uri="{FF2B5EF4-FFF2-40B4-BE49-F238E27FC236}">
              <a16:creationId xmlns:a16="http://schemas.microsoft.com/office/drawing/2014/main" id="{30604E83-C2FE-4991-8E12-138F7D2FB2E1}"/>
            </a:ext>
          </a:extLst>
        </xdr:cNvPr>
        <xdr:cNvSpPr>
          <a:spLocks noChangeAspect="1" noChangeArrowheads="1"/>
        </xdr:cNvSpPr>
      </xdr:nvSpPr>
      <xdr:spPr bwMode="auto">
        <a:xfrm>
          <a:off x="0" y="36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23</xdr:row>
      <xdr:rowOff>0</xdr:rowOff>
    </xdr:from>
    <xdr:to>
      <xdr:col>10</xdr:col>
      <xdr:colOff>304800</xdr:colOff>
      <xdr:row>24</xdr:row>
      <xdr:rowOff>127000</xdr:rowOff>
    </xdr:to>
    <xdr:sp macro="" textlink="">
      <xdr:nvSpPr>
        <xdr:cNvPr id="115" name="AutoShape 116" descr="USA">
          <a:hlinkClick xmlns:r="http://schemas.openxmlformats.org/officeDocument/2006/relationships" r:id="rId113"/>
          <a:extLst>
            <a:ext uri="{FF2B5EF4-FFF2-40B4-BE49-F238E27FC236}">
              <a16:creationId xmlns:a16="http://schemas.microsoft.com/office/drawing/2014/main" id="{889FC908-7AD7-498D-A5B9-A3B8E5A5EEA0}"/>
            </a:ext>
          </a:extLst>
        </xdr:cNvPr>
        <xdr:cNvSpPr>
          <a:spLocks noChangeAspect="1" noChangeArrowheads="1"/>
        </xdr:cNvSpPr>
      </xdr:nvSpPr>
      <xdr:spPr bwMode="auto">
        <a:xfrm>
          <a:off x="0" y="55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128</xdr:row>
      <xdr:rowOff>0</xdr:rowOff>
    </xdr:from>
    <xdr:to>
      <xdr:col>10</xdr:col>
      <xdr:colOff>304800</xdr:colOff>
      <xdr:row>129</xdr:row>
      <xdr:rowOff>127000</xdr:rowOff>
    </xdr:to>
    <xdr:sp macro="" textlink="">
      <xdr:nvSpPr>
        <xdr:cNvPr id="116" name="AutoShape 117" descr="RSA">
          <a:hlinkClick xmlns:r="http://schemas.openxmlformats.org/officeDocument/2006/relationships" r:id="rId114"/>
          <a:extLst>
            <a:ext uri="{FF2B5EF4-FFF2-40B4-BE49-F238E27FC236}">
              <a16:creationId xmlns:a16="http://schemas.microsoft.com/office/drawing/2014/main" id="{18030756-E844-4CF7-8D5F-FD111EDEE734}"/>
            </a:ext>
          </a:extLst>
        </xdr:cNvPr>
        <xdr:cNvSpPr>
          <a:spLocks noChangeAspect="1" noChangeArrowheads="1"/>
        </xdr:cNvSpPr>
      </xdr:nvSpPr>
      <xdr:spPr bwMode="auto">
        <a:xfrm>
          <a:off x="0" y="2558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114</xdr:row>
      <xdr:rowOff>0</xdr:rowOff>
    </xdr:from>
    <xdr:to>
      <xdr:col>10</xdr:col>
      <xdr:colOff>304800</xdr:colOff>
      <xdr:row>115</xdr:row>
      <xdr:rowOff>127000</xdr:rowOff>
    </xdr:to>
    <xdr:sp macro="" textlink="">
      <xdr:nvSpPr>
        <xdr:cNvPr id="117" name="AutoShape 118" descr="USA">
          <a:hlinkClick xmlns:r="http://schemas.openxmlformats.org/officeDocument/2006/relationships" r:id="rId115"/>
          <a:extLst>
            <a:ext uri="{FF2B5EF4-FFF2-40B4-BE49-F238E27FC236}">
              <a16:creationId xmlns:a16="http://schemas.microsoft.com/office/drawing/2014/main" id="{AB59F33C-3C34-482C-8F40-E52829A961ED}"/>
            </a:ext>
          </a:extLst>
        </xdr:cNvPr>
        <xdr:cNvSpPr>
          <a:spLocks noChangeAspect="1" noChangeArrowheads="1"/>
        </xdr:cNvSpPr>
      </xdr:nvSpPr>
      <xdr:spPr bwMode="auto">
        <a:xfrm>
          <a:off x="0" y="2291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206</xdr:row>
      <xdr:rowOff>0</xdr:rowOff>
    </xdr:from>
    <xdr:to>
      <xdr:col>10</xdr:col>
      <xdr:colOff>304800</xdr:colOff>
      <xdr:row>207</xdr:row>
      <xdr:rowOff>127000</xdr:rowOff>
    </xdr:to>
    <xdr:sp macro="" textlink="">
      <xdr:nvSpPr>
        <xdr:cNvPr id="118" name="AutoShape 119" descr="AUT">
          <a:hlinkClick xmlns:r="http://schemas.openxmlformats.org/officeDocument/2006/relationships" r:id="rId116"/>
          <a:extLst>
            <a:ext uri="{FF2B5EF4-FFF2-40B4-BE49-F238E27FC236}">
              <a16:creationId xmlns:a16="http://schemas.microsoft.com/office/drawing/2014/main" id="{E34ECF90-44F1-450D-A389-4A18FCA6B8F0}"/>
            </a:ext>
          </a:extLst>
        </xdr:cNvPr>
        <xdr:cNvSpPr>
          <a:spLocks noChangeAspect="1" noChangeArrowheads="1"/>
        </xdr:cNvSpPr>
      </xdr:nvSpPr>
      <xdr:spPr bwMode="auto">
        <a:xfrm>
          <a:off x="0" y="404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115</xdr:row>
      <xdr:rowOff>0</xdr:rowOff>
    </xdr:from>
    <xdr:to>
      <xdr:col>10</xdr:col>
      <xdr:colOff>304800</xdr:colOff>
      <xdr:row>116</xdr:row>
      <xdr:rowOff>127000</xdr:rowOff>
    </xdr:to>
    <xdr:sp macro="" textlink="">
      <xdr:nvSpPr>
        <xdr:cNvPr id="119" name="AutoShape 120" descr="USA">
          <a:hlinkClick xmlns:r="http://schemas.openxmlformats.org/officeDocument/2006/relationships" r:id="rId117"/>
          <a:extLst>
            <a:ext uri="{FF2B5EF4-FFF2-40B4-BE49-F238E27FC236}">
              <a16:creationId xmlns:a16="http://schemas.microsoft.com/office/drawing/2014/main" id="{36C094E1-AA42-412D-947A-101FDF8E1A73}"/>
            </a:ext>
          </a:extLst>
        </xdr:cNvPr>
        <xdr:cNvSpPr>
          <a:spLocks noChangeAspect="1" noChangeArrowheads="1"/>
        </xdr:cNvSpPr>
      </xdr:nvSpPr>
      <xdr:spPr bwMode="auto">
        <a:xfrm>
          <a:off x="0" y="2310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29</xdr:row>
      <xdr:rowOff>0</xdr:rowOff>
    </xdr:from>
    <xdr:to>
      <xdr:col>10</xdr:col>
      <xdr:colOff>304800</xdr:colOff>
      <xdr:row>30</xdr:row>
      <xdr:rowOff>127000</xdr:rowOff>
    </xdr:to>
    <xdr:sp macro="" textlink="">
      <xdr:nvSpPr>
        <xdr:cNvPr id="120" name="AutoShape 121" descr="CHI">
          <a:hlinkClick xmlns:r="http://schemas.openxmlformats.org/officeDocument/2006/relationships" r:id="rId118"/>
          <a:extLst>
            <a:ext uri="{FF2B5EF4-FFF2-40B4-BE49-F238E27FC236}">
              <a16:creationId xmlns:a16="http://schemas.microsoft.com/office/drawing/2014/main" id="{1E25F108-7497-4A36-86DC-39D43E978507}"/>
            </a:ext>
          </a:extLst>
        </xdr:cNvPr>
        <xdr:cNvSpPr>
          <a:spLocks noChangeAspect="1" noChangeArrowheads="1"/>
        </xdr:cNvSpPr>
      </xdr:nvSpPr>
      <xdr:spPr bwMode="auto">
        <a:xfrm>
          <a:off x="0" y="67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153</xdr:row>
      <xdr:rowOff>0</xdr:rowOff>
    </xdr:from>
    <xdr:to>
      <xdr:col>10</xdr:col>
      <xdr:colOff>304800</xdr:colOff>
      <xdr:row>154</xdr:row>
      <xdr:rowOff>127000</xdr:rowOff>
    </xdr:to>
    <xdr:sp macro="" textlink="">
      <xdr:nvSpPr>
        <xdr:cNvPr id="121" name="AutoShape 122" descr="RSA">
          <a:hlinkClick xmlns:r="http://schemas.openxmlformats.org/officeDocument/2006/relationships" r:id="rId119"/>
          <a:extLst>
            <a:ext uri="{FF2B5EF4-FFF2-40B4-BE49-F238E27FC236}">
              <a16:creationId xmlns:a16="http://schemas.microsoft.com/office/drawing/2014/main" id="{C5A12534-952E-48B3-A467-7C7DE0D7EFEC}"/>
            </a:ext>
          </a:extLst>
        </xdr:cNvPr>
        <xdr:cNvSpPr>
          <a:spLocks noChangeAspect="1" noChangeArrowheads="1"/>
        </xdr:cNvSpPr>
      </xdr:nvSpPr>
      <xdr:spPr bwMode="auto">
        <a:xfrm>
          <a:off x="0" y="3034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145</xdr:row>
      <xdr:rowOff>0</xdr:rowOff>
    </xdr:from>
    <xdr:to>
      <xdr:col>10</xdr:col>
      <xdr:colOff>304800</xdr:colOff>
      <xdr:row>146</xdr:row>
      <xdr:rowOff>127000</xdr:rowOff>
    </xdr:to>
    <xdr:sp macro="" textlink="">
      <xdr:nvSpPr>
        <xdr:cNvPr id="122" name="AutoShape 123" descr="USA">
          <a:hlinkClick xmlns:r="http://schemas.openxmlformats.org/officeDocument/2006/relationships" r:id="rId120"/>
          <a:extLst>
            <a:ext uri="{FF2B5EF4-FFF2-40B4-BE49-F238E27FC236}">
              <a16:creationId xmlns:a16="http://schemas.microsoft.com/office/drawing/2014/main" id="{5069E4CC-4372-4826-BF9E-093FAA41A7BA}"/>
            </a:ext>
          </a:extLst>
        </xdr:cNvPr>
        <xdr:cNvSpPr>
          <a:spLocks noChangeAspect="1" noChangeArrowheads="1"/>
        </xdr:cNvSpPr>
      </xdr:nvSpPr>
      <xdr:spPr bwMode="auto">
        <a:xfrm>
          <a:off x="0" y="2882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28</xdr:row>
      <xdr:rowOff>0</xdr:rowOff>
    </xdr:from>
    <xdr:to>
      <xdr:col>10</xdr:col>
      <xdr:colOff>304800</xdr:colOff>
      <xdr:row>29</xdr:row>
      <xdr:rowOff>127000</xdr:rowOff>
    </xdr:to>
    <xdr:sp macro="" textlink="">
      <xdr:nvSpPr>
        <xdr:cNvPr id="123" name="AutoShape 124" descr="SWE">
          <a:hlinkClick xmlns:r="http://schemas.openxmlformats.org/officeDocument/2006/relationships" r:id="rId121"/>
          <a:extLst>
            <a:ext uri="{FF2B5EF4-FFF2-40B4-BE49-F238E27FC236}">
              <a16:creationId xmlns:a16="http://schemas.microsoft.com/office/drawing/2014/main" id="{E4A51D20-48D1-448F-A713-B8E45663FF09}"/>
            </a:ext>
          </a:extLst>
        </xdr:cNvPr>
        <xdr:cNvSpPr>
          <a:spLocks noChangeAspect="1" noChangeArrowheads="1"/>
        </xdr:cNvSpPr>
      </xdr:nvSpPr>
      <xdr:spPr bwMode="auto">
        <a:xfrm>
          <a:off x="0" y="65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39</xdr:row>
      <xdr:rowOff>0</xdr:rowOff>
    </xdr:from>
    <xdr:to>
      <xdr:col>10</xdr:col>
      <xdr:colOff>304800</xdr:colOff>
      <xdr:row>40</xdr:row>
      <xdr:rowOff>127000</xdr:rowOff>
    </xdr:to>
    <xdr:sp macro="" textlink="">
      <xdr:nvSpPr>
        <xdr:cNvPr id="124" name="AutoShape 125" descr="USA">
          <a:hlinkClick xmlns:r="http://schemas.openxmlformats.org/officeDocument/2006/relationships" r:id="rId122"/>
          <a:extLst>
            <a:ext uri="{FF2B5EF4-FFF2-40B4-BE49-F238E27FC236}">
              <a16:creationId xmlns:a16="http://schemas.microsoft.com/office/drawing/2014/main" id="{3C750C3A-99F9-454E-B62B-AE796E4F81FA}"/>
            </a:ext>
          </a:extLst>
        </xdr:cNvPr>
        <xdr:cNvSpPr>
          <a:spLocks noChangeAspect="1" noChangeArrowheads="1"/>
        </xdr:cNvSpPr>
      </xdr:nvSpPr>
      <xdr:spPr bwMode="auto">
        <a:xfrm>
          <a:off x="0" y="862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57</xdr:row>
      <xdr:rowOff>0</xdr:rowOff>
    </xdr:from>
    <xdr:to>
      <xdr:col>10</xdr:col>
      <xdr:colOff>304800</xdr:colOff>
      <xdr:row>58</xdr:row>
      <xdr:rowOff>127000</xdr:rowOff>
    </xdr:to>
    <xdr:sp macro="" textlink="">
      <xdr:nvSpPr>
        <xdr:cNvPr id="125" name="AutoShape 126" descr="SCO">
          <a:hlinkClick xmlns:r="http://schemas.openxmlformats.org/officeDocument/2006/relationships" r:id="rId123"/>
          <a:extLst>
            <a:ext uri="{FF2B5EF4-FFF2-40B4-BE49-F238E27FC236}">
              <a16:creationId xmlns:a16="http://schemas.microsoft.com/office/drawing/2014/main" id="{DC579342-83CA-475A-93BA-F694EC3110C2}"/>
            </a:ext>
          </a:extLst>
        </xdr:cNvPr>
        <xdr:cNvSpPr>
          <a:spLocks noChangeAspect="1" noChangeArrowheads="1"/>
        </xdr:cNvSpPr>
      </xdr:nvSpPr>
      <xdr:spPr bwMode="auto">
        <a:xfrm>
          <a:off x="0" y="1205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xdr:row>
      <xdr:rowOff>0</xdr:rowOff>
    </xdr:from>
    <xdr:to>
      <xdr:col>10</xdr:col>
      <xdr:colOff>304800</xdr:colOff>
      <xdr:row>10</xdr:row>
      <xdr:rowOff>127000</xdr:rowOff>
    </xdr:to>
    <xdr:sp macro="" textlink="">
      <xdr:nvSpPr>
        <xdr:cNvPr id="126" name="AutoShape 127" descr="USA">
          <a:hlinkClick xmlns:r="http://schemas.openxmlformats.org/officeDocument/2006/relationships" r:id="rId124"/>
          <a:extLst>
            <a:ext uri="{FF2B5EF4-FFF2-40B4-BE49-F238E27FC236}">
              <a16:creationId xmlns:a16="http://schemas.microsoft.com/office/drawing/2014/main" id="{A60BFE9D-FA98-4C93-A823-A0B04F274476}"/>
            </a:ext>
          </a:extLst>
        </xdr:cNvPr>
        <xdr:cNvSpPr>
          <a:spLocks noChangeAspect="1" noChangeArrowheads="1"/>
        </xdr:cNvSpPr>
      </xdr:nvSpPr>
      <xdr:spPr bwMode="auto">
        <a:xfrm>
          <a:off x="0" y="29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137</xdr:row>
      <xdr:rowOff>0</xdr:rowOff>
    </xdr:from>
    <xdr:to>
      <xdr:col>10</xdr:col>
      <xdr:colOff>304800</xdr:colOff>
      <xdr:row>138</xdr:row>
      <xdr:rowOff>127000</xdr:rowOff>
    </xdr:to>
    <xdr:sp macro="" textlink="">
      <xdr:nvSpPr>
        <xdr:cNvPr id="127" name="AutoShape 128" descr="USA">
          <a:hlinkClick xmlns:r="http://schemas.openxmlformats.org/officeDocument/2006/relationships" r:id="rId125"/>
          <a:extLst>
            <a:ext uri="{FF2B5EF4-FFF2-40B4-BE49-F238E27FC236}">
              <a16:creationId xmlns:a16="http://schemas.microsoft.com/office/drawing/2014/main" id="{34ABC0C6-19D6-42B2-AD8B-FCE0916F4ACB}"/>
            </a:ext>
          </a:extLst>
        </xdr:cNvPr>
        <xdr:cNvSpPr>
          <a:spLocks noChangeAspect="1" noChangeArrowheads="1"/>
        </xdr:cNvSpPr>
      </xdr:nvSpPr>
      <xdr:spPr bwMode="auto">
        <a:xfrm>
          <a:off x="0" y="2729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46</xdr:row>
      <xdr:rowOff>0</xdr:rowOff>
    </xdr:from>
    <xdr:to>
      <xdr:col>10</xdr:col>
      <xdr:colOff>304800</xdr:colOff>
      <xdr:row>47</xdr:row>
      <xdr:rowOff>127000</xdr:rowOff>
    </xdr:to>
    <xdr:sp macro="" textlink="">
      <xdr:nvSpPr>
        <xdr:cNvPr id="128" name="AutoShape 129" descr="AUS">
          <a:hlinkClick xmlns:r="http://schemas.openxmlformats.org/officeDocument/2006/relationships" r:id="rId126"/>
          <a:extLst>
            <a:ext uri="{FF2B5EF4-FFF2-40B4-BE49-F238E27FC236}">
              <a16:creationId xmlns:a16="http://schemas.microsoft.com/office/drawing/2014/main" id="{A63DCB3C-C49E-40BC-B29D-11D28AEEB631}"/>
            </a:ext>
          </a:extLst>
        </xdr:cNvPr>
        <xdr:cNvSpPr>
          <a:spLocks noChangeAspect="1" noChangeArrowheads="1"/>
        </xdr:cNvSpPr>
      </xdr:nvSpPr>
      <xdr:spPr bwMode="auto">
        <a:xfrm>
          <a:off x="0" y="996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70</xdr:row>
      <xdr:rowOff>0</xdr:rowOff>
    </xdr:from>
    <xdr:to>
      <xdr:col>10</xdr:col>
      <xdr:colOff>304800</xdr:colOff>
      <xdr:row>71</xdr:row>
      <xdr:rowOff>127000</xdr:rowOff>
    </xdr:to>
    <xdr:sp macro="" textlink="">
      <xdr:nvSpPr>
        <xdr:cNvPr id="129" name="AutoShape 130" descr="USA">
          <a:hlinkClick xmlns:r="http://schemas.openxmlformats.org/officeDocument/2006/relationships" r:id="rId127"/>
          <a:extLst>
            <a:ext uri="{FF2B5EF4-FFF2-40B4-BE49-F238E27FC236}">
              <a16:creationId xmlns:a16="http://schemas.microsoft.com/office/drawing/2014/main" id="{6CF63283-DB22-4A06-BAA3-E9002447084F}"/>
            </a:ext>
          </a:extLst>
        </xdr:cNvPr>
        <xdr:cNvSpPr>
          <a:spLocks noChangeAspect="1" noChangeArrowheads="1"/>
        </xdr:cNvSpPr>
      </xdr:nvSpPr>
      <xdr:spPr bwMode="auto">
        <a:xfrm>
          <a:off x="0" y="1453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55</xdr:row>
      <xdr:rowOff>0</xdr:rowOff>
    </xdr:from>
    <xdr:to>
      <xdr:col>10</xdr:col>
      <xdr:colOff>304800</xdr:colOff>
      <xdr:row>56</xdr:row>
      <xdr:rowOff>127000</xdr:rowOff>
    </xdr:to>
    <xdr:sp macro="" textlink="">
      <xdr:nvSpPr>
        <xdr:cNvPr id="130" name="AutoShape 131" descr="USA">
          <a:hlinkClick xmlns:r="http://schemas.openxmlformats.org/officeDocument/2006/relationships" r:id="rId128"/>
          <a:extLst>
            <a:ext uri="{FF2B5EF4-FFF2-40B4-BE49-F238E27FC236}">
              <a16:creationId xmlns:a16="http://schemas.microsoft.com/office/drawing/2014/main" id="{6B3B52EC-3ECD-45E1-8371-F30985DCA44E}"/>
            </a:ext>
          </a:extLst>
        </xdr:cNvPr>
        <xdr:cNvSpPr>
          <a:spLocks noChangeAspect="1" noChangeArrowheads="1"/>
        </xdr:cNvSpPr>
      </xdr:nvSpPr>
      <xdr:spPr bwMode="auto">
        <a:xfrm>
          <a:off x="0" y="1167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126</xdr:row>
      <xdr:rowOff>0</xdr:rowOff>
    </xdr:from>
    <xdr:to>
      <xdr:col>10</xdr:col>
      <xdr:colOff>304800</xdr:colOff>
      <xdr:row>127</xdr:row>
      <xdr:rowOff>127000</xdr:rowOff>
    </xdr:to>
    <xdr:sp macro="" textlink="">
      <xdr:nvSpPr>
        <xdr:cNvPr id="131" name="AutoShape 132" descr="AUS">
          <a:hlinkClick xmlns:r="http://schemas.openxmlformats.org/officeDocument/2006/relationships" r:id="rId129"/>
          <a:extLst>
            <a:ext uri="{FF2B5EF4-FFF2-40B4-BE49-F238E27FC236}">
              <a16:creationId xmlns:a16="http://schemas.microsoft.com/office/drawing/2014/main" id="{BEFB1BF3-1C5D-4C75-9335-D69A18BFFFD9}"/>
            </a:ext>
          </a:extLst>
        </xdr:cNvPr>
        <xdr:cNvSpPr>
          <a:spLocks noChangeAspect="1" noChangeArrowheads="1"/>
        </xdr:cNvSpPr>
      </xdr:nvSpPr>
      <xdr:spPr bwMode="auto">
        <a:xfrm>
          <a:off x="0" y="2520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26</xdr:row>
      <xdr:rowOff>0</xdr:rowOff>
    </xdr:from>
    <xdr:to>
      <xdr:col>10</xdr:col>
      <xdr:colOff>304800</xdr:colOff>
      <xdr:row>27</xdr:row>
      <xdr:rowOff>127000</xdr:rowOff>
    </xdr:to>
    <xdr:sp macro="" textlink="">
      <xdr:nvSpPr>
        <xdr:cNvPr id="132" name="AutoShape 133" descr="USA">
          <a:hlinkClick xmlns:r="http://schemas.openxmlformats.org/officeDocument/2006/relationships" r:id="rId130"/>
          <a:extLst>
            <a:ext uri="{FF2B5EF4-FFF2-40B4-BE49-F238E27FC236}">
              <a16:creationId xmlns:a16="http://schemas.microsoft.com/office/drawing/2014/main" id="{E021D47C-3318-4353-A4C2-FE3C72E09A20}"/>
            </a:ext>
          </a:extLst>
        </xdr:cNvPr>
        <xdr:cNvSpPr>
          <a:spLocks noChangeAspect="1" noChangeArrowheads="1"/>
        </xdr:cNvSpPr>
      </xdr:nvSpPr>
      <xdr:spPr bwMode="auto">
        <a:xfrm>
          <a:off x="0" y="61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222</xdr:row>
      <xdr:rowOff>0</xdr:rowOff>
    </xdr:from>
    <xdr:to>
      <xdr:col>10</xdr:col>
      <xdr:colOff>304800</xdr:colOff>
      <xdr:row>223</xdr:row>
      <xdr:rowOff>127000</xdr:rowOff>
    </xdr:to>
    <xdr:sp macro="" textlink="">
      <xdr:nvSpPr>
        <xdr:cNvPr id="133" name="AutoShape 134" descr="USA">
          <a:hlinkClick xmlns:r="http://schemas.openxmlformats.org/officeDocument/2006/relationships" r:id="rId131"/>
          <a:extLst>
            <a:ext uri="{FF2B5EF4-FFF2-40B4-BE49-F238E27FC236}">
              <a16:creationId xmlns:a16="http://schemas.microsoft.com/office/drawing/2014/main" id="{043E1135-E0C3-483A-BE61-26EFA0F2D753}"/>
            </a:ext>
          </a:extLst>
        </xdr:cNvPr>
        <xdr:cNvSpPr>
          <a:spLocks noChangeAspect="1" noChangeArrowheads="1"/>
        </xdr:cNvSpPr>
      </xdr:nvSpPr>
      <xdr:spPr bwMode="auto">
        <a:xfrm>
          <a:off x="0" y="438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151</xdr:row>
      <xdr:rowOff>0</xdr:rowOff>
    </xdr:from>
    <xdr:to>
      <xdr:col>10</xdr:col>
      <xdr:colOff>304800</xdr:colOff>
      <xdr:row>152</xdr:row>
      <xdr:rowOff>127000</xdr:rowOff>
    </xdr:to>
    <xdr:sp macro="" textlink="">
      <xdr:nvSpPr>
        <xdr:cNvPr id="134" name="AutoShape 135" descr="USA">
          <a:hlinkClick xmlns:r="http://schemas.openxmlformats.org/officeDocument/2006/relationships" r:id="rId132"/>
          <a:extLst>
            <a:ext uri="{FF2B5EF4-FFF2-40B4-BE49-F238E27FC236}">
              <a16:creationId xmlns:a16="http://schemas.microsoft.com/office/drawing/2014/main" id="{3E4C2C8C-D089-4C87-80AC-F8BBC1C6B549}"/>
            </a:ext>
          </a:extLst>
        </xdr:cNvPr>
        <xdr:cNvSpPr>
          <a:spLocks noChangeAspect="1" noChangeArrowheads="1"/>
        </xdr:cNvSpPr>
      </xdr:nvSpPr>
      <xdr:spPr bwMode="auto">
        <a:xfrm>
          <a:off x="0" y="2996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176</xdr:row>
      <xdr:rowOff>0</xdr:rowOff>
    </xdr:from>
    <xdr:to>
      <xdr:col>10</xdr:col>
      <xdr:colOff>304800</xdr:colOff>
      <xdr:row>177</xdr:row>
      <xdr:rowOff>127000</xdr:rowOff>
    </xdr:to>
    <xdr:sp macro="" textlink="">
      <xdr:nvSpPr>
        <xdr:cNvPr id="135" name="AutoShape 136" descr="USA">
          <a:hlinkClick xmlns:r="http://schemas.openxmlformats.org/officeDocument/2006/relationships" r:id="rId133"/>
          <a:extLst>
            <a:ext uri="{FF2B5EF4-FFF2-40B4-BE49-F238E27FC236}">
              <a16:creationId xmlns:a16="http://schemas.microsoft.com/office/drawing/2014/main" id="{2B137FB2-6D8B-4543-878A-44FB728266A3}"/>
            </a:ext>
          </a:extLst>
        </xdr:cNvPr>
        <xdr:cNvSpPr>
          <a:spLocks noChangeAspect="1" noChangeArrowheads="1"/>
        </xdr:cNvSpPr>
      </xdr:nvSpPr>
      <xdr:spPr bwMode="auto">
        <a:xfrm>
          <a:off x="0" y="3472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141</xdr:row>
      <xdr:rowOff>0</xdr:rowOff>
    </xdr:from>
    <xdr:to>
      <xdr:col>10</xdr:col>
      <xdr:colOff>304800</xdr:colOff>
      <xdr:row>142</xdr:row>
      <xdr:rowOff>127000</xdr:rowOff>
    </xdr:to>
    <xdr:sp macro="" textlink="">
      <xdr:nvSpPr>
        <xdr:cNvPr id="136" name="AutoShape 137" descr="USA">
          <a:hlinkClick xmlns:r="http://schemas.openxmlformats.org/officeDocument/2006/relationships" r:id="rId134"/>
          <a:extLst>
            <a:ext uri="{FF2B5EF4-FFF2-40B4-BE49-F238E27FC236}">
              <a16:creationId xmlns:a16="http://schemas.microsoft.com/office/drawing/2014/main" id="{3F013ED0-76C2-411B-9F31-51B1BD0BB7CD}"/>
            </a:ext>
          </a:extLst>
        </xdr:cNvPr>
        <xdr:cNvSpPr>
          <a:spLocks noChangeAspect="1" noChangeArrowheads="1"/>
        </xdr:cNvSpPr>
      </xdr:nvSpPr>
      <xdr:spPr bwMode="auto">
        <a:xfrm>
          <a:off x="0" y="2806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223</xdr:row>
      <xdr:rowOff>0</xdr:rowOff>
    </xdr:from>
    <xdr:to>
      <xdr:col>10</xdr:col>
      <xdr:colOff>304800</xdr:colOff>
      <xdr:row>224</xdr:row>
      <xdr:rowOff>127000</xdr:rowOff>
    </xdr:to>
    <xdr:sp macro="" textlink="">
      <xdr:nvSpPr>
        <xdr:cNvPr id="137" name="AutoShape 138" descr="USA">
          <a:hlinkClick xmlns:r="http://schemas.openxmlformats.org/officeDocument/2006/relationships" r:id="rId135"/>
          <a:extLst>
            <a:ext uri="{FF2B5EF4-FFF2-40B4-BE49-F238E27FC236}">
              <a16:creationId xmlns:a16="http://schemas.microsoft.com/office/drawing/2014/main" id="{CD2A064F-2594-4290-A876-467C6BCFE407}"/>
            </a:ext>
          </a:extLst>
        </xdr:cNvPr>
        <xdr:cNvSpPr>
          <a:spLocks noChangeAspect="1" noChangeArrowheads="1"/>
        </xdr:cNvSpPr>
      </xdr:nvSpPr>
      <xdr:spPr bwMode="auto">
        <a:xfrm>
          <a:off x="0" y="440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63</xdr:row>
      <xdr:rowOff>0</xdr:rowOff>
    </xdr:from>
    <xdr:to>
      <xdr:col>10</xdr:col>
      <xdr:colOff>304800</xdr:colOff>
      <xdr:row>64</xdr:row>
      <xdr:rowOff>127000</xdr:rowOff>
    </xdr:to>
    <xdr:sp macro="" textlink="">
      <xdr:nvSpPr>
        <xdr:cNvPr id="138" name="AutoShape 139" descr="USA">
          <a:hlinkClick xmlns:r="http://schemas.openxmlformats.org/officeDocument/2006/relationships" r:id="rId136"/>
          <a:extLst>
            <a:ext uri="{FF2B5EF4-FFF2-40B4-BE49-F238E27FC236}">
              <a16:creationId xmlns:a16="http://schemas.microsoft.com/office/drawing/2014/main" id="{98778187-168F-47E6-B0ED-BB748E253D9B}"/>
            </a:ext>
          </a:extLst>
        </xdr:cNvPr>
        <xdr:cNvSpPr>
          <a:spLocks noChangeAspect="1" noChangeArrowheads="1"/>
        </xdr:cNvSpPr>
      </xdr:nvSpPr>
      <xdr:spPr bwMode="auto">
        <a:xfrm>
          <a:off x="0" y="1320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27</xdr:row>
      <xdr:rowOff>0</xdr:rowOff>
    </xdr:from>
    <xdr:to>
      <xdr:col>10</xdr:col>
      <xdr:colOff>304800</xdr:colOff>
      <xdr:row>28</xdr:row>
      <xdr:rowOff>127000</xdr:rowOff>
    </xdr:to>
    <xdr:sp macro="" textlink="">
      <xdr:nvSpPr>
        <xdr:cNvPr id="139" name="AutoShape 140" descr="USA">
          <a:hlinkClick xmlns:r="http://schemas.openxmlformats.org/officeDocument/2006/relationships" r:id="rId137"/>
          <a:extLst>
            <a:ext uri="{FF2B5EF4-FFF2-40B4-BE49-F238E27FC236}">
              <a16:creationId xmlns:a16="http://schemas.microsoft.com/office/drawing/2014/main" id="{9C00B99F-EFB2-40B5-A85A-5D52FBC9B2E9}"/>
            </a:ext>
          </a:extLst>
        </xdr:cNvPr>
        <xdr:cNvSpPr>
          <a:spLocks noChangeAspect="1" noChangeArrowheads="1"/>
        </xdr:cNvSpPr>
      </xdr:nvSpPr>
      <xdr:spPr bwMode="auto">
        <a:xfrm>
          <a:off x="0" y="63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140" name="AutoShape 141" descr="USA">
          <a:hlinkClick xmlns:r="http://schemas.openxmlformats.org/officeDocument/2006/relationships" r:id="rId138"/>
          <a:extLst>
            <a:ext uri="{FF2B5EF4-FFF2-40B4-BE49-F238E27FC236}">
              <a16:creationId xmlns:a16="http://schemas.microsoft.com/office/drawing/2014/main" id="{3460F89F-9370-447C-8069-DAC71D324A1B}"/>
            </a:ext>
          </a:extLst>
        </xdr:cNvPr>
        <xdr:cNvSpPr>
          <a:spLocks noChangeAspect="1" noChangeArrowheads="1"/>
        </xdr:cNvSpPr>
      </xdr:nvSpPr>
      <xdr:spPr bwMode="auto">
        <a:xfrm>
          <a:off x="0" y="406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139</xdr:row>
      <xdr:rowOff>0</xdr:rowOff>
    </xdr:from>
    <xdr:to>
      <xdr:col>10</xdr:col>
      <xdr:colOff>304800</xdr:colOff>
      <xdr:row>140</xdr:row>
      <xdr:rowOff>127000</xdr:rowOff>
    </xdr:to>
    <xdr:sp macro="" textlink="">
      <xdr:nvSpPr>
        <xdr:cNvPr id="141" name="AutoShape 142" descr="USA">
          <a:hlinkClick xmlns:r="http://schemas.openxmlformats.org/officeDocument/2006/relationships" r:id="rId139"/>
          <a:extLst>
            <a:ext uri="{FF2B5EF4-FFF2-40B4-BE49-F238E27FC236}">
              <a16:creationId xmlns:a16="http://schemas.microsoft.com/office/drawing/2014/main" id="{EF5D445E-FAEC-4181-AA60-0D68B265CEAF}"/>
            </a:ext>
          </a:extLst>
        </xdr:cNvPr>
        <xdr:cNvSpPr>
          <a:spLocks noChangeAspect="1" noChangeArrowheads="1"/>
        </xdr:cNvSpPr>
      </xdr:nvSpPr>
      <xdr:spPr bwMode="auto">
        <a:xfrm>
          <a:off x="0" y="2767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xdr:row>
      <xdr:rowOff>0</xdr:rowOff>
    </xdr:from>
    <xdr:to>
      <xdr:col>10</xdr:col>
      <xdr:colOff>304800</xdr:colOff>
      <xdr:row>5</xdr:row>
      <xdr:rowOff>112788</xdr:rowOff>
    </xdr:to>
    <xdr:sp macro="" textlink="">
      <xdr:nvSpPr>
        <xdr:cNvPr id="142" name="AutoShape 143" descr="USA">
          <a:hlinkClick xmlns:r="http://schemas.openxmlformats.org/officeDocument/2006/relationships" r:id="rId140"/>
          <a:extLst>
            <a:ext uri="{FF2B5EF4-FFF2-40B4-BE49-F238E27FC236}">
              <a16:creationId xmlns:a16="http://schemas.microsoft.com/office/drawing/2014/main" id="{701CA791-F50F-4208-AAC3-AA67B57B7DD8}"/>
            </a:ext>
          </a:extLst>
        </xdr:cNvPr>
        <xdr:cNvSpPr>
          <a:spLocks noChangeAspect="1" noChangeArrowheads="1"/>
        </xdr:cNvSpPr>
      </xdr:nvSpPr>
      <xdr:spPr bwMode="auto">
        <a:xfrm>
          <a:off x="0" y="1905000"/>
          <a:ext cx="304800" cy="30752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111</xdr:row>
      <xdr:rowOff>0</xdr:rowOff>
    </xdr:from>
    <xdr:to>
      <xdr:col>10</xdr:col>
      <xdr:colOff>304800</xdr:colOff>
      <xdr:row>112</xdr:row>
      <xdr:rowOff>127000</xdr:rowOff>
    </xdr:to>
    <xdr:sp macro="" textlink="">
      <xdr:nvSpPr>
        <xdr:cNvPr id="143" name="AutoShape 144" descr="USA">
          <a:hlinkClick xmlns:r="http://schemas.openxmlformats.org/officeDocument/2006/relationships" r:id="rId141"/>
          <a:extLst>
            <a:ext uri="{FF2B5EF4-FFF2-40B4-BE49-F238E27FC236}">
              <a16:creationId xmlns:a16="http://schemas.microsoft.com/office/drawing/2014/main" id="{05453F64-51BC-4297-901E-2C5E587ADD48}"/>
            </a:ext>
          </a:extLst>
        </xdr:cNvPr>
        <xdr:cNvSpPr>
          <a:spLocks noChangeAspect="1" noChangeArrowheads="1"/>
        </xdr:cNvSpPr>
      </xdr:nvSpPr>
      <xdr:spPr bwMode="auto">
        <a:xfrm>
          <a:off x="0" y="2234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144</xdr:row>
      <xdr:rowOff>0</xdr:rowOff>
    </xdr:from>
    <xdr:to>
      <xdr:col>10</xdr:col>
      <xdr:colOff>304800</xdr:colOff>
      <xdr:row>145</xdr:row>
      <xdr:rowOff>127000</xdr:rowOff>
    </xdr:to>
    <xdr:sp macro="" textlink="">
      <xdr:nvSpPr>
        <xdr:cNvPr id="144" name="AutoShape 145" descr="USA">
          <a:hlinkClick xmlns:r="http://schemas.openxmlformats.org/officeDocument/2006/relationships" r:id="rId142"/>
          <a:extLst>
            <a:ext uri="{FF2B5EF4-FFF2-40B4-BE49-F238E27FC236}">
              <a16:creationId xmlns:a16="http://schemas.microsoft.com/office/drawing/2014/main" id="{FD061677-EF95-4136-8509-69CE2152FE7E}"/>
            </a:ext>
          </a:extLst>
        </xdr:cNvPr>
        <xdr:cNvSpPr>
          <a:spLocks noChangeAspect="1" noChangeArrowheads="1"/>
        </xdr:cNvSpPr>
      </xdr:nvSpPr>
      <xdr:spPr bwMode="auto">
        <a:xfrm>
          <a:off x="0" y="2863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208</xdr:row>
      <xdr:rowOff>0</xdr:rowOff>
    </xdr:from>
    <xdr:to>
      <xdr:col>10</xdr:col>
      <xdr:colOff>304800</xdr:colOff>
      <xdr:row>209</xdr:row>
      <xdr:rowOff>127000</xdr:rowOff>
    </xdr:to>
    <xdr:sp macro="" textlink="">
      <xdr:nvSpPr>
        <xdr:cNvPr id="145" name="AutoShape 146" descr="SWE">
          <a:hlinkClick xmlns:r="http://schemas.openxmlformats.org/officeDocument/2006/relationships" r:id="rId143"/>
          <a:extLst>
            <a:ext uri="{FF2B5EF4-FFF2-40B4-BE49-F238E27FC236}">
              <a16:creationId xmlns:a16="http://schemas.microsoft.com/office/drawing/2014/main" id="{D1D5D1D5-4439-441F-A145-B1901F0003B6}"/>
            </a:ext>
          </a:extLst>
        </xdr:cNvPr>
        <xdr:cNvSpPr>
          <a:spLocks noChangeAspect="1" noChangeArrowheads="1"/>
        </xdr:cNvSpPr>
      </xdr:nvSpPr>
      <xdr:spPr bwMode="auto">
        <a:xfrm>
          <a:off x="0" y="412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95</xdr:row>
      <xdr:rowOff>0</xdr:rowOff>
    </xdr:from>
    <xdr:to>
      <xdr:col>10</xdr:col>
      <xdr:colOff>304800</xdr:colOff>
      <xdr:row>96</xdr:row>
      <xdr:rowOff>127000</xdr:rowOff>
    </xdr:to>
    <xdr:sp macro="" textlink="">
      <xdr:nvSpPr>
        <xdr:cNvPr id="146" name="AutoShape 147" descr="USA">
          <a:hlinkClick xmlns:r="http://schemas.openxmlformats.org/officeDocument/2006/relationships" r:id="rId144"/>
          <a:extLst>
            <a:ext uri="{FF2B5EF4-FFF2-40B4-BE49-F238E27FC236}">
              <a16:creationId xmlns:a16="http://schemas.microsoft.com/office/drawing/2014/main" id="{DEC5CB47-FA58-4024-AE4A-43F3D52ED670}"/>
            </a:ext>
          </a:extLst>
        </xdr:cNvPr>
        <xdr:cNvSpPr>
          <a:spLocks noChangeAspect="1" noChangeArrowheads="1"/>
        </xdr:cNvSpPr>
      </xdr:nvSpPr>
      <xdr:spPr bwMode="auto">
        <a:xfrm>
          <a:off x="0" y="1929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86</xdr:row>
      <xdr:rowOff>0</xdr:rowOff>
    </xdr:from>
    <xdr:to>
      <xdr:col>10</xdr:col>
      <xdr:colOff>304800</xdr:colOff>
      <xdr:row>87</xdr:row>
      <xdr:rowOff>127000</xdr:rowOff>
    </xdr:to>
    <xdr:sp macro="" textlink="">
      <xdr:nvSpPr>
        <xdr:cNvPr id="147" name="AutoShape 148" descr="USA">
          <a:hlinkClick xmlns:r="http://schemas.openxmlformats.org/officeDocument/2006/relationships" r:id="rId145"/>
          <a:extLst>
            <a:ext uri="{FF2B5EF4-FFF2-40B4-BE49-F238E27FC236}">
              <a16:creationId xmlns:a16="http://schemas.microsoft.com/office/drawing/2014/main" id="{8FD12F0C-F87B-43FF-AE14-8116D25D043E}"/>
            </a:ext>
          </a:extLst>
        </xdr:cNvPr>
        <xdr:cNvSpPr>
          <a:spLocks noChangeAspect="1" noChangeArrowheads="1"/>
        </xdr:cNvSpPr>
      </xdr:nvSpPr>
      <xdr:spPr bwMode="auto">
        <a:xfrm>
          <a:off x="0" y="1758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197</xdr:row>
      <xdr:rowOff>0</xdr:rowOff>
    </xdr:from>
    <xdr:to>
      <xdr:col>10</xdr:col>
      <xdr:colOff>304800</xdr:colOff>
      <xdr:row>198</xdr:row>
      <xdr:rowOff>127000</xdr:rowOff>
    </xdr:to>
    <xdr:sp macro="" textlink="">
      <xdr:nvSpPr>
        <xdr:cNvPr id="148" name="AutoShape 149" descr="SCO">
          <a:hlinkClick xmlns:r="http://schemas.openxmlformats.org/officeDocument/2006/relationships" r:id="rId146"/>
          <a:extLst>
            <a:ext uri="{FF2B5EF4-FFF2-40B4-BE49-F238E27FC236}">
              <a16:creationId xmlns:a16="http://schemas.microsoft.com/office/drawing/2014/main" id="{8D7354D0-FE83-4174-A927-4EE6F8DFFBDE}"/>
            </a:ext>
          </a:extLst>
        </xdr:cNvPr>
        <xdr:cNvSpPr>
          <a:spLocks noChangeAspect="1" noChangeArrowheads="1"/>
        </xdr:cNvSpPr>
      </xdr:nvSpPr>
      <xdr:spPr bwMode="auto">
        <a:xfrm>
          <a:off x="0" y="3872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197</xdr:row>
      <xdr:rowOff>0</xdr:rowOff>
    </xdr:from>
    <xdr:to>
      <xdr:col>10</xdr:col>
      <xdr:colOff>304800</xdr:colOff>
      <xdr:row>198</xdr:row>
      <xdr:rowOff>127000</xdr:rowOff>
    </xdr:to>
    <xdr:sp macro="" textlink="">
      <xdr:nvSpPr>
        <xdr:cNvPr id="149" name="AutoShape 150" descr="AUS">
          <a:hlinkClick xmlns:r="http://schemas.openxmlformats.org/officeDocument/2006/relationships" r:id="rId147"/>
          <a:extLst>
            <a:ext uri="{FF2B5EF4-FFF2-40B4-BE49-F238E27FC236}">
              <a16:creationId xmlns:a16="http://schemas.microsoft.com/office/drawing/2014/main" id="{6778559A-F34B-40E5-9B8F-408B3D0E91FA}"/>
            </a:ext>
          </a:extLst>
        </xdr:cNvPr>
        <xdr:cNvSpPr>
          <a:spLocks noChangeAspect="1" noChangeArrowheads="1"/>
        </xdr:cNvSpPr>
      </xdr:nvSpPr>
      <xdr:spPr bwMode="auto">
        <a:xfrm>
          <a:off x="0" y="3872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150" name="AutoShape 151" descr="KOR">
          <a:hlinkClick xmlns:r="http://schemas.openxmlformats.org/officeDocument/2006/relationships" r:id="rId148"/>
          <a:extLst>
            <a:ext uri="{FF2B5EF4-FFF2-40B4-BE49-F238E27FC236}">
              <a16:creationId xmlns:a16="http://schemas.microsoft.com/office/drawing/2014/main" id="{080537FA-CCFF-4C61-BA29-EA750DF3DB57}"/>
            </a:ext>
          </a:extLst>
        </xdr:cNvPr>
        <xdr:cNvSpPr>
          <a:spLocks noChangeAspect="1" noChangeArrowheads="1"/>
        </xdr:cNvSpPr>
      </xdr:nvSpPr>
      <xdr:spPr bwMode="auto">
        <a:xfrm>
          <a:off x="0" y="1524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37</xdr:row>
      <xdr:rowOff>0</xdr:rowOff>
    </xdr:from>
    <xdr:to>
      <xdr:col>10</xdr:col>
      <xdr:colOff>304800</xdr:colOff>
      <xdr:row>38</xdr:row>
      <xdr:rowOff>127000</xdr:rowOff>
    </xdr:to>
    <xdr:sp macro="" textlink="">
      <xdr:nvSpPr>
        <xdr:cNvPr id="151" name="AutoShape 152" descr="GER">
          <a:hlinkClick xmlns:r="http://schemas.openxmlformats.org/officeDocument/2006/relationships" r:id="rId149"/>
          <a:extLst>
            <a:ext uri="{FF2B5EF4-FFF2-40B4-BE49-F238E27FC236}">
              <a16:creationId xmlns:a16="http://schemas.microsoft.com/office/drawing/2014/main" id="{D3A76134-C764-4DCA-9FE7-2026E0135BDB}"/>
            </a:ext>
          </a:extLst>
        </xdr:cNvPr>
        <xdr:cNvSpPr>
          <a:spLocks noChangeAspect="1" noChangeArrowheads="1"/>
        </xdr:cNvSpPr>
      </xdr:nvSpPr>
      <xdr:spPr bwMode="auto">
        <a:xfrm>
          <a:off x="0" y="824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xdr:row>
      <xdr:rowOff>0</xdr:rowOff>
    </xdr:from>
    <xdr:to>
      <xdr:col>10</xdr:col>
      <xdr:colOff>304800</xdr:colOff>
      <xdr:row>22</xdr:row>
      <xdr:rowOff>127000</xdr:rowOff>
    </xdr:to>
    <xdr:sp macro="" textlink="">
      <xdr:nvSpPr>
        <xdr:cNvPr id="152" name="AutoShape 153" descr="USA">
          <a:hlinkClick xmlns:r="http://schemas.openxmlformats.org/officeDocument/2006/relationships" r:id="rId150"/>
          <a:extLst>
            <a:ext uri="{FF2B5EF4-FFF2-40B4-BE49-F238E27FC236}">
              <a16:creationId xmlns:a16="http://schemas.microsoft.com/office/drawing/2014/main" id="{905BA945-DA2A-4D5F-AFEB-0C745EA8C243}"/>
            </a:ext>
          </a:extLst>
        </xdr:cNvPr>
        <xdr:cNvSpPr>
          <a:spLocks noChangeAspect="1" noChangeArrowheads="1"/>
        </xdr:cNvSpPr>
      </xdr:nvSpPr>
      <xdr:spPr bwMode="auto">
        <a:xfrm>
          <a:off x="0" y="52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88</xdr:row>
      <xdr:rowOff>0</xdr:rowOff>
    </xdr:from>
    <xdr:to>
      <xdr:col>10</xdr:col>
      <xdr:colOff>304800</xdr:colOff>
      <xdr:row>89</xdr:row>
      <xdr:rowOff>127000</xdr:rowOff>
    </xdr:to>
    <xdr:sp macro="" textlink="">
      <xdr:nvSpPr>
        <xdr:cNvPr id="153" name="AutoShape 154" descr="USA">
          <a:hlinkClick xmlns:r="http://schemas.openxmlformats.org/officeDocument/2006/relationships" r:id="rId151"/>
          <a:extLst>
            <a:ext uri="{FF2B5EF4-FFF2-40B4-BE49-F238E27FC236}">
              <a16:creationId xmlns:a16="http://schemas.microsoft.com/office/drawing/2014/main" id="{94A8C3A7-0C7D-4FEE-91C1-C414EAD7FF29}"/>
            </a:ext>
          </a:extLst>
        </xdr:cNvPr>
        <xdr:cNvSpPr>
          <a:spLocks noChangeAspect="1" noChangeArrowheads="1"/>
        </xdr:cNvSpPr>
      </xdr:nvSpPr>
      <xdr:spPr bwMode="auto">
        <a:xfrm>
          <a:off x="0" y="1796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194</xdr:row>
      <xdr:rowOff>0</xdr:rowOff>
    </xdr:from>
    <xdr:to>
      <xdr:col>10</xdr:col>
      <xdr:colOff>304800</xdr:colOff>
      <xdr:row>195</xdr:row>
      <xdr:rowOff>127000</xdr:rowOff>
    </xdr:to>
    <xdr:sp macro="" textlink="">
      <xdr:nvSpPr>
        <xdr:cNvPr id="154" name="AutoShape 155" descr="USA">
          <a:hlinkClick xmlns:r="http://schemas.openxmlformats.org/officeDocument/2006/relationships" r:id="rId152"/>
          <a:extLst>
            <a:ext uri="{FF2B5EF4-FFF2-40B4-BE49-F238E27FC236}">
              <a16:creationId xmlns:a16="http://schemas.microsoft.com/office/drawing/2014/main" id="{C055E799-F362-4437-AABD-C46A7891A860}"/>
            </a:ext>
          </a:extLst>
        </xdr:cNvPr>
        <xdr:cNvSpPr>
          <a:spLocks noChangeAspect="1" noChangeArrowheads="1"/>
        </xdr:cNvSpPr>
      </xdr:nvSpPr>
      <xdr:spPr bwMode="auto">
        <a:xfrm>
          <a:off x="0" y="3815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191</xdr:row>
      <xdr:rowOff>0</xdr:rowOff>
    </xdr:from>
    <xdr:to>
      <xdr:col>10</xdr:col>
      <xdr:colOff>304800</xdr:colOff>
      <xdr:row>192</xdr:row>
      <xdr:rowOff>127000</xdr:rowOff>
    </xdr:to>
    <xdr:sp macro="" textlink="">
      <xdr:nvSpPr>
        <xdr:cNvPr id="155" name="AutoShape 156" descr="ARG">
          <a:hlinkClick xmlns:r="http://schemas.openxmlformats.org/officeDocument/2006/relationships" r:id="rId153"/>
          <a:extLst>
            <a:ext uri="{FF2B5EF4-FFF2-40B4-BE49-F238E27FC236}">
              <a16:creationId xmlns:a16="http://schemas.microsoft.com/office/drawing/2014/main" id="{049D9212-B695-4B0C-AD25-8B8E5AA175B9}"/>
            </a:ext>
          </a:extLst>
        </xdr:cNvPr>
        <xdr:cNvSpPr>
          <a:spLocks noChangeAspect="1" noChangeArrowheads="1"/>
        </xdr:cNvSpPr>
      </xdr:nvSpPr>
      <xdr:spPr bwMode="auto">
        <a:xfrm>
          <a:off x="0" y="3758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xdr:row>
      <xdr:rowOff>0</xdr:rowOff>
    </xdr:from>
    <xdr:to>
      <xdr:col>10</xdr:col>
      <xdr:colOff>304800</xdr:colOff>
      <xdr:row>15</xdr:row>
      <xdr:rowOff>127000</xdr:rowOff>
    </xdr:to>
    <xdr:sp macro="" textlink="">
      <xdr:nvSpPr>
        <xdr:cNvPr id="156" name="AutoShape 157" descr="ARG">
          <a:hlinkClick xmlns:r="http://schemas.openxmlformats.org/officeDocument/2006/relationships" r:id="rId154"/>
          <a:extLst>
            <a:ext uri="{FF2B5EF4-FFF2-40B4-BE49-F238E27FC236}">
              <a16:creationId xmlns:a16="http://schemas.microsoft.com/office/drawing/2014/main" id="{9531B1A3-5CD1-4166-91DB-2100E98B8F16}"/>
            </a:ext>
          </a:extLst>
        </xdr:cNvPr>
        <xdr:cNvSpPr>
          <a:spLocks noChangeAspect="1" noChangeArrowheads="1"/>
        </xdr:cNvSpPr>
      </xdr:nvSpPr>
      <xdr:spPr bwMode="auto">
        <a:xfrm>
          <a:off x="0" y="38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49</xdr:row>
      <xdr:rowOff>0</xdr:rowOff>
    </xdr:from>
    <xdr:to>
      <xdr:col>10</xdr:col>
      <xdr:colOff>304800</xdr:colOff>
      <xdr:row>50</xdr:row>
      <xdr:rowOff>127000</xdr:rowOff>
    </xdr:to>
    <xdr:sp macro="" textlink="">
      <xdr:nvSpPr>
        <xdr:cNvPr id="157" name="AutoShape 158" descr="USA">
          <a:hlinkClick xmlns:r="http://schemas.openxmlformats.org/officeDocument/2006/relationships" r:id="rId155"/>
          <a:extLst>
            <a:ext uri="{FF2B5EF4-FFF2-40B4-BE49-F238E27FC236}">
              <a16:creationId xmlns:a16="http://schemas.microsoft.com/office/drawing/2014/main" id="{CAFD4D43-7173-4C22-A5CA-99E9FF3C6A1D}"/>
            </a:ext>
          </a:extLst>
        </xdr:cNvPr>
        <xdr:cNvSpPr>
          <a:spLocks noChangeAspect="1" noChangeArrowheads="1"/>
        </xdr:cNvSpPr>
      </xdr:nvSpPr>
      <xdr:spPr bwMode="auto">
        <a:xfrm>
          <a:off x="0" y="1053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140</xdr:row>
      <xdr:rowOff>0</xdr:rowOff>
    </xdr:from>
    <xdr:to>
      <xdr:col>10</xdr:col>
      <xdr:colOff>304800</xdr:colOff>
      <xdr:row>141</xdr:row>
      <xdr:rowOff>127000</xdr:rowOff>
    </xdr:to>
    <xdr:sp macro="" textlink="">
      <xdr:nvSpPr>
        <xdr:cNvPr id="158" name="AutoShape 159" descr="USA">
          <a:hlinkClick xmlns:r="http://schemas.openxmlformats.org/officeDocument/2006/relationships" r:id="rId156"/>
          <a:extLst>
            <a:ext uri="{FF2B5EF4-FFF2-40B4-BE49-F238E27FC236}">
              <a16:creationId xmlns:a16="http://schemas.microsoft.com/office/drawing/2014/main" id="{D74263F7-E204-4195-B6EF-C40A6EA20C71}"/>
            </a:ext>
          </a:extLst>
        </xdr:cNvPr>
        <xdr:cNvSpPr>
          <a:spLocks noChangeAspect="1" noChangeArrowheads="1"/>
        </xdr:cNvSpPr>
      </xdr:nvSpPr>
      <xdr:spPr bwMode="auto">
        <a:xfrm>
          <a:off x="0" y="2787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xdr:row>
      <xdr:rowOff>0</xdr:rowOff>
    </xdr:from>
    <xdr:to>
      <xdr:col>10</xdr:col>
      <xdr:colOff>304800</xdr:colOff>
      <xdr:row>9</xdr:row>
      <xdr:rowOff>127000</xdr:rowOff>
    </xdr:to>
    <xdr:sp macro="" textlink="">
      <xdr:nvSpPr>
        <xdr:cNvPr id="159" name="AutoShape 160" descr="FRA">
          <a:hlinkClick xmlns:r="http://schemas.openxmlformats.org/officeDocument/2006/relationships" r:id="rId157"/>
          <a:extLst>
            <a:ext uri="{FF2B5EF4-FFF2-40B4-BE49-F238E27FC236}">
              <a16:creationId xmlns:a16="http://schemas.microsoft.com/office/drawing/2014/main" id="{C14FCB61-789E-4655-9FA9-57E1BC915E27}"/>
            </a:ext>
          </a:extLst>
        </xdr:cNvPr>
        <xdr:cNvSpPr>
          <a:spLocks noChangeAspect="1" noChangeArrowheads="1"/>
        </xdr:cNvSpPr>
      </xdr:nvSpPr>
      <xdr:spPr bwMode="auto">
        <a:xfrm>
          <a:off x="0" y="27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122</xdr:row>
      <xdr:rowOff>0</xdr:rowOff>
    </xdr:from>
    <xdr:to>
      <xdr:col>10</xdr:col>
      <xdr:colOff>304800</xdr:colOff>
      <xdr:row>123</xdr:row>
      <xdr:rowOff>127000</xdr:rowOff>
    </xdr:to>
    <xdr:sp macro="" textlink="">
      <xdr:nvSpPr>
        <xdr:cNvPr id="160" name="AutoShape 161" descr="USA">
          <a:hlinkClick xmlns:r="http://schemas.openxmlformats.org/officeDocument/2006/relationships" r:id="rId158"/>
          <a:extLst>
            <a:ext uri="{FF2B5EF4-FFF2-40B4-BE49-F238E27FC236}">
              <a16:creationId xmlns:a16="http://schemas.microsoft.com/office/drawing/2014/main" id="{CA1DA25F-DDB7-4F59-A158-3C496E334662}"/>
            </a:ext>
          </a:extLst>
        </xdr:cNvPr>
        <xdr:cNvSpPr>
          <a:spLocks noChangeAspect="1" noChangeArrowheads="1"/>
        </xdr:cNvSpPr>
      </xdr:nvSpPr>
      <xdr:spPr bwMode="auto">
        <a:xfrm>
          <a:off x="0" y="2444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77</xdr:row>
      <xdr:rowOff>0</xdr:rowOff>
    </xdr:from>
    <xdr:to>
      <xdr:col>10</xdr:col>
      <xdr:colOff>304800</xdr:colOff>
      <xdr:row>78</xdr:row>
      <xdr:rowOff>127000</xdr:rowOff>
    </xdr:to>
    <xdr:sp macro="" textlink="">
      <xdr:nvSpPr>
        <xdr:cNvPr id="161" name="AutoShape 162" descr="USA">
          <a:hlinkClick xmlns:r="http://schemas.openxmlformats.org/officeDocument/2006/relationships" r:id="rId159"/>
          <a:extLst>
            <a:ext uri="{FF2B5EF4-FFF2-40B4-BE49-F238E27FC236}">
              <a16:creationId xmlns:a16="http://schemas.microsoft.com/office/drawing/2014/main" id="{F4F2C067-7A7D-446C-A47C-7E35EC65A634}"/>
            </a:ext>
          </a:extLst>
        </xdr:cNvPr>
        <xdr:cNvSpPr>
          <a:spLocks noChangeAspect="1" noChangeArrowheads="1"/>
        </xdr:cNvSpPr>
      </xdr:nvSpPr>
      <xdr:spPr bwMode="auto">
        <a:xfrm>
          <a:off x="0" y="1586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73</xdr:row>
      <xdr:rowOff>0</xdr:rowOff>
    </xdr:from>
    <xdr:to>
      <xdr:col>10</xdr:col>
      <xdr:colOff>304800</xdr:colOff>
      <xdr:row>74</xdr:row>
      <xdr:rowOff>127000</xdr:rowOff>
    </xdr:to>
    <xdr:sp macro="" textlink="">
      <xdr:nvSpPr>
        <xdr:cNvPr id="162" name="AutoShape 163" descr="NZL">
          <a:hlinkClick xmlns:r="http://schemas.openxmlformats.org/officeDocument/2006/relationships" r:id="rId160"/>
          <a:extLst>
            <a:ext uri="{FF2B5EF4-FFF2-40B4-BE49-F238E27FC236}">
              <a16:creationId xmlns:a16="http://schemas.microsoft.com/office/drawing/2014/main" id="{70566E4A-1ED5-4C3D-9128-23A26395B537}"/>
            </a:ext>
          </a:extLst>
        </xdr:cNvPr>
        <xdr:cNvSpPr>
          <a:spLocks noChangeAspect="1" noChangeArrowheads="1"/>
        </xdr:cNvSpPr>
      </xdr:nvSpPr>
      <xdr:spPr bwMode="auto">
        <a:xfrm>
          <a:off x="0" y="1510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178</xdr:row>
      <xdr:rowOff>0</xdr:rowOff>
    </xdr:from>
    <xdr:to>
      <xdr:col>10</xdr:col>
      <xdr:colOff>304800</xdr:colOff>
      <xdr:row>179</xdr:row>
      <xdr:rowOff>127000</xdr:rowOff>
    </xdr:to>
    <xdr:sp macro="" textlink="">
      <xdr:nvSpPr>
        <xdr:cNvPr id="163" name="AutoShape 164" descr="VEN">
          <a:hlinkClick xmlns:r="http://schemas.openxmlformats.org/officeDocument/2006/relationships" r:id="rId161"/>
          <a:extLst>
            <a:ext uri="{FF2B5EF4-FFF2-40B4-BE49-F238E27FC236}">
              <a16:creationId xmlns:a16="http://schemas.microsoft.com/office/drawing/2014/main" id="{60BACAB0-79B0-4708-ACC8-3F1DDD0AEEC9}"/>
            </a:ext>
          </a:extLst>
        </xdr:cNvPr>
        <xdr:cNvSpPr>
          <a:spLocks noChangeAspect="1" noChangeArrowheads="1"/>
        </xdr:cNvSpPr>
      </xdr:nvSpPr>
      <xdr:spPr bwMode="auto">
        <a:xfrm>
          <a:off x="0" y="3510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174</xdr:row>
      <xdr:rowOff>0</xdr:rowOff>
    </xdr:from>
    <xdr:to>
      <xdr:col>10</xdr:col>
      <xdr:colOff>304800</xdr:colOff>
      <xdr:row>175</xdr:row>
      <xdr:rowOff>127000</xdr:rowOff>
    </xdr:to>
    <xdr:sp macro="" textlink="">
      <xdr:nvSpPr>
        <xdr:cNvPr id="164" name="AutoShape 165" descr="CHN">
          <a:hlinkClick xmlns:r="http://schemas.openxmlformats.org/officeDocument/2006/relationships" r:id="rId162"/>
          <a:extLst>
            <a:ext uri="{FF2B5EF4-FFF2-40B4-BE49-F238E27FC236}">
              <a16:creationId xmlns:a16="http://schemas.microsoft.com/office/drawing/2014/main" id="{FFB82A45-2C04-49C1-97AD-9F7F48450C26}"/>
            </a:ext>
          </a:extLst>
        </xdr:cNvPr>
        <xdr:cNvSpPr>
          <a:spLocks noChangeAspect="1" noChangeArrowheads="1"/>
        </xdr:cNvSpPr>
      </xdr:nvSpPr>
      <xdr:spPr bwMode="auto">
        <a:xfrm>
          <a:off x="0" y="3434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186</xdr:row>
      <xdr:rowOff>0</xdr:rowOff>
    </xdr:from>
    <xdr:to>
      <xdr:col>10</xdr:col>
      <xdr:colOff>304800</xdr:colOff>
      <xdr:row>187</xdr:row>
      <xdr:rowOff>127000</xdr:rowOff>
    </xdr:to>
    <xdr:sp macro="" textlink="">
      <xdr:nvSpPr>
        <xdr:cNvPr id="165" name="AutoShape 166" descr="USA">
          <a:hlinkClick xmlns:r="http://schemas.openxmlformats.org/officeDocument/2006/relationships" r:id="rId163"/>
          <a:extLst>
            <a:ext uri="{FF2B5EF4-FFF2-40B4-BE49-F238E27FC236}">
              <a16:creationId xmlns:a16="http://schemas.microsoft.com/office/drawing/2014/main" id="{FF626945-EB29-4A03-B94F-B9FFEC66D978}"/>
            </a:ext>
          </a:extLst>
        </xdr:cNvPr>
        <xdr:cNvSpPr>
          <a:spLocks noChangeAspect="1" noChangeArrowheads="1"/>
        </xdr:cNvSpPr>
      </xdr:nvSpPr>
      <xdr:spPr bwMode="auto">
        <a:xfrm>
          <a:off x="0" y="3663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165</xdr:row>
      <xdr:rowOff>0</xdr:rowOff>
    </xdr:from>
    <xdr:to>
      <xdr:col>10</xdr:col>
      <xdr:colOff>304800</xdr:colOff>
      <xdr:row>166</xdr:row>
      <xdr:rowOff>127000</xdr:rowOff>
    </xdr:to>
    <xdr:sp macro="" textlink="">
      <xdr:nvSpPr>
        <xdr:cNvPr id="166" name="AutoShape 167" descr="USA">
          <a:hlinkClick xmlns:r="http://schemas.openxmlformats.org/officeDocument/2006/relationships" r:id="rId164"/>
          <a:extLst>
            <a:ext uri="{FF2B5EF4-FFF2-40B4-BE49-F238E27FC236}">
              <a16:creationId xmlns:a16="http://schemas.microsoft.com/office/drawing/2014/main" id="{CD1CB31F-8BDF-4162-A1C7-8CB9E63A0E8E}"/>
            </a:ext>
          </a:extLst>
        </xdr:cNvPr>
        <xdr:cNvSpPr>
          <a:spLocks noChangeAspect="1" noChangeArrowheads="1"/>
        </xdr:cNvSpPr>
      </xdr:nvSpPr>
      <xdr:spPr bwMode="auto">
        <a:xfrm>
          <a:off x="0" y="3263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193</xdr:row>
      <xdr:rowOff>0</xdr:rowOff>
    </xdr:from>
    <xdr:to>
      <xdr:col>10</xdr:col>
      <xdr:colOff>304800</xdr:colOff>
      <xdr:row>194</xdr:row>
      <xdr:rowOff>127000</xdr:rowOff>
    </xdr:to>
    <xdr:sp macro="" textlink="">
      <xdr:nvSpPr>
        <xdr:cNvPr id="167" name="AutoShape 168" descr="USA">
          <a:hlinkClick xmlns:r="http://schemas.openxmlformats.org/officeDocument/2006/relationships" r:id="rId165"/>
          <a:extLst>
            <a:ext uri="{FF2B5EF4-FFF2-40B4-BE49-F238E27FC236}">
              <a16:creationId xmlns:a16="http://schemas.microsoft.com/office/drawing/2014/main" id="{BE4A129C-58D3-43D0-8D73-0170B2E1F0D1}"/>
            </a:ext>
          </a:extLst>
        </xdr:cNvPr>
        <xdr:cNvSpPr>
          <a:spLocks noChangeAspect="1" noChangeArrowheads="1"/>
        </xdr:cNvSpPr>
      </xdr:nvSpPr>
      <xdr:spPr bwMode="auto">
        <a:xfrm>
          <a:off x="0" y="3796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171</xdr:row>
      <xdr:rowOff>0</xdr:rowOff>
    </xdr:from>
    <xdr:to>
      <xdr:col>10</xdr:col>
      <xdr:colOff>304800</xdr:colOff>
      <xdr:row>172</xdr:row>
      <xdr:rowOff>127000</xdr:rowOff>
    </xdr:to>
    <xdr:sp macro="" textlink="">
      <xdr:nvSpPr>
        <xdr:cNvPr id="168" name="AutoShape 169" descr="USA">
          <a:hlinkClick xmlns:r="http://schemas.openxmlformats.org/officeDocument/2006/relationships" r:id="rId166"/>
          <a:extLst>
            <a:ext uri="{FF2B5EF4-FFF2-40B4-BE49-F238E27FC236}">
              <a16:creationId xmlns:a16="http://schemas.microsoft.com/office/drawing/2014/main" id="{CE4E5159-D08C-440B-A60F-968E630D987A}"/>
            </a:ext>
          </a:extLst>
        </xdr:cNvPr>
        <xdr:cNvSpPr>
          <a:spLocks noChangeAspect="1" noChangeArrowheads="1"/>
        </xdr:cNvSpPr>
      </xdr:nvSpPr>
      <xdr:spPr bwMode="auto">
        <a:xfrm>
          <a:off x="0" y="3377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71</xdr:row>
      <xdr:rowOff>0</xdr:rowOff>
    </xdr:from>
    <xdr:to>
      <xdr:col>10</xdr:col>
      <xdr:colOff>304800</xdr:colOff>
      <xdr:row>72</xdr:row>
      <xdr:rowOff>127000</xdr:rowOff>
    </xdr:to>
    <xdr:sp macro="" textlink="">
      <xdr:nvSpPr>
        <xdr:cNvPr id="169" name="AutoShape 170" descr="USA">
          <a:hlinkClick xmlns:r="http://schemas.openxmlformats.org/officeDocument/2006/relationships" r:id="rId167"/>
          <a:extLst>
            <a:ext uri="{FF2B5EF4-FFF2-40B4-BE49-F238E27FC236}">
              <a16:creationId xmlns:a16="http://schemas.microsoft.com/office/drawing/2014/main" id="{245FE128-1AB9-4090-9102-90463436AC6C}"/>
            </a:ext>
          </a:extLst>
        </xdr:cNvPr>
        <xdr:cNvSpPr>
          <a:spLocks noChangeAspect="1" noChangeArrowheads="1"/>
        </xdr:cNvSpPr>
      </xdr:nvSpPr>
      <xdr:spPr bwMode="auto">
        <a:xfrm>
          <a:off x="0" y="1472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203</xdr:row>
      <xdr:rowOff>0</xdr:rowOff>
    </xdr:from>
    <xdr:to>
      <xdr:col>10</xdr:col>
      <xdr:colOff>304800</xdr:colOff>
      <xdr:row>204</xdr:row>
      <xdr:rowOff>127000</xdr:rowOff>
    </xdr:to>
    <xdr:sp macro="" textlink="">
      <xdr:nvSpPr>
        <xdr:cNvPr id="170" name="AutoShape 171" descr="USA">
          <a:hlinkClick xmlns:r="http://schemas.openxmlformats.org/officeDocument/2006/relationships" r:id="rId168"/>
          <a:extLst>
            <a:ext uri="{FF2B5EF4-FFF2-40B4-BE49-F238E27FC236}">
              <a16:creationId xmlns:a16="http://schemas.microsoft.com/office/drawing/2014/main" id="{1B4B6142-5C11-487A-A385-7413BB4188E2}"/>
            </a:ext>
          </a:extLst>
        </xdr:cNvPr>
        <xdr:cNvSpPr>
          <a:spLocks noChangeAspect="1" noChangeArrowheads="1"/>
        </xdr:cNvSpPr>
      </xdr:nvSpPr>
      <xdr:spPr bwMode="auto">
        <a:xfrm>
          <a:off x="0" y="3987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36</xdr:row>
      <xdr:rowOff>0</xdr:rowOff>
    </xdr:from>
    <xdr:to>
      <xdr:col>10</xdr:col>
      <xdr:colOff>304800</xdr:colOff>
      <xdr:row>37</xdr:row>
      <xdr:rowOff>127000</xdr:rowOff>
    </xdr:to>
    <xdr:sp macro="" textlink="">
      <xdr:nvSpPr>
        <xdr:cNvPr id="171" name="AutoShape 172" descr="USA">
          <a:hlinkClick xmlns:r="http://schemas.openxmlformats.org/officeDocument/2006/relationships" r:id="rId169"/>
          <a:extLst>
            <a:ext uri="{FF2B5EF4-FFF2-40B4-BE49-F238E27FC236}">
              <a16:creationId xmlns:a16="http://schemas.microsoft.com/office/drawing/2014/main" id="{64227A07-331A-4EAF-943A-46016B2D2D72}"/>
            </a:ext>
          </a:extLst>
        </xdr:cNvPr>
        <xdr:cNvSpPr>
          <a:spLocks noChangeAspect="1" noChangeArrowheads="1"/>
        </xdr:cNvSpPr>
      </xdr:nvSpPr>
      <xdr:spPr bwMode="auto">
        <a:xfrm>
          <a:off x="0" y="805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105</xdr:row>
      <xdr:rowOff>0</xdr:rowOff>
    </xdr:from>
    <xdr:to>
      <xdr:col>10</xdr:col>
      <xdr:colOff>304800</xdr:colOff>
      <xdr:row>106</xdr:row>
      <xdr:rowOff>127000</xdr:rowOff>
    </xdr:to>
    <xdr:sp macro="" textlink="">
      <xdr:nvSpPr>
        <xdr:cNvPr id="172" name="AutoShape 173" descr="USA">
          <a:hlinkClick xmlns:r="http://schemas.openxmlformats.org/officeDocument/2006/relationships" r:id="rId170"/>
          <a:extLst>
            <a:ext uri="{FF2B5EF4-FFF2-40B4-BE49-F238E27FC236}">
              <a16:creationId xmlns:a16="http://schemas.microsoft.com/office/drawing/2014/main" id="{0C8FB5B3-B64B-4E66-B026-FFA094D89B01}"/>
            </a:ext>
          </a:extLst>
        </xdr:cNvPr>
        <xdr:cNvSpPr>
          <a:spLocks noChangeAspect="1" noChangeArrowheads="1"/>
        </xdr:cNvSpPr>
      </xdr:nvSpPr>
      <xdr:spPr bwMode="auto">
        <a:xfrm>
          <a:off x="0" y="2120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108</xdr:row>
      <xdr:rowOff>0</xdr:rowOff>
    </xdr:from>
    <xdr:to>
      <xdr:col>10</xdr:col>
      <xdr:colOff>304800</xdr:colOff>
      <xdr:row>109</xdr:row>
      <xdr:rowOff>127000</xdr:rowOff>
    </xdr:to>
    <xdr:sp macro="" textlink="">
      <xdr:nvSpPr>
        <xdr:cNvPr id="173" name="AutoShape 174" descr="USA">
          <a:hlinkClick xmlns:r="http://schemas.openxmlformats.org/officeDocument/2006/relationships" r:id="rId171"/>
          <a:extLst>
            <a:ext uri="{FF2B5EF4-FFF2-40B4-BE49-F238E27FC236}">
              <a16:creationId xmlns:a16="http://schemas.microsoft.com/office/drawing/2014/main" id="{0360EC6F-AA0C-4CB2-BA54-B98A5FEB2AA7}"/>
            </a:ext>
          </a:extLst>
        </xdr:cNvPr>
        <xdr:cNvSpPr>
          <a:spLocks noChangeAspect="1" noChangeArrowheads="1"/>
        </xdr:cNvSpPr>
      </xdr:nvSpPr>
      <xdr:spPr bwMode="auto">
        <a:xfrm>
          <a:off x="0" y="2177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35</xdr:row>
      <xdr:rowOff>0</xdr:rowOff>
    </xdr:from>
    <xdr:to>
      <xdr:col>10</xdr:col>
      <xdr:colOff>304800</xdr:colOff>
      <xdr:row>36</xdr:row>
      <xdr:rowOff>127000</xdr:rowOff>
    </xdr:to>
    <xdr:sp macro="" textlink="">
      <xdr:nvSpPr>
        <xdr:cNvPr id="174" name="AutoShape 175" descr="JPN">
          <a:hlinkClick xmlns:r="http://schemas.openxmlformats.org/officeDocument/2006/relationships" r:id="rId172"/>
          <a:extLst>
            <a:ext uri="{FF2B5EF4-FFF2-40B4-BE49-F238E27FC236}">
              <a16:creationId xmlns:a16="http://schemas.microsoft.com/office/drawing/2014/main" id="{B947226C-5285-4910-81EC-F95C12F49073}"/>
            </a:ext>
          </a:extLst>
        </xdr:cNvPr>
        <xdr:cNvSpPr>
          <a:spLocks noChangeAspect="1" noChangeArrowheads="1"/>
        </xdr:cNvSpPr>
      </xdr:nvSpPr>
      <xdr:spPr bwMode="auto">
        <a:xfrm>
          <a:off x="0" y="786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xdr:row>
      <xdr:rowOff>0</xdr:rowOff>
    </xdr:from>
    <xdr:to>
      <xdr:col>10</xdr:col>
      <xdr:colOff>304800</xdr:colOff>
      <xdr:row>19</xdr:row>
      <xdr:rowOff>127000</xdr:rowOff>
    </xdr:to>
    <xdr:sp macro="" textlink="">
      <xdr:nvSpPr>
        <xdr:cNvPr id="175" name="AutoShape 176" descr="USA">
          <a:hlinkClick xmlns:r="http://schemas.openxmlformats.org/officeDocument/2006/relationships" r:id="rId173"/>
          <a:extLst>
            <a:ext uri="{FF2B5EF4-FFF2-40B4-BE49-F238E27FC236}">
              <a16:creationId xmlns:a16="http://schemas.microsoft.com/office/drawing/2014/main" id="{393FB0B0-250C-41BF-A355-E884ABF24610}"/>
            </a:ext>
          </a:extLst>
        </xdr:cNvPr>
        <xdr:cNvSpPr>
          <a:spLocks noChangeAspect="1" noChangeArrowheads="1"/>
        </xdr:cNvSpPr>
      </xdr:nvSpPr>
      <xdr:spPr bwMode="auto">
        <a:xfrm>
          <a:off x="0" y="46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176" name="AutoShape 177" descr="USA">
          <a:hlinkClick xmlns:r="http://schemas.openxmlformats.org/officeDocument/2006/relationships" r:id="rId174"/>
          <a:extLst>
            <a:ext uri="{FF2B5EF4-FFF2-40B4-BE49-F238E27FC236}">
              <a16:creationId xmlns:a16="http://schemas.microsoft.com/office/drawing/2014/main" id="{B97C6AC8-4EAB-4A69-B1ED-77FF86A65BF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79</xdr:row>
      <xdr:rowOff>0</xdr:rowOff>
    </xdr:from>
    <xdr:to>
      <xdr:col>10</xdr:col>
      <xdr:colOff>304800</xdr:colOff>
      <xdr:row>80</xdr:row>
      <xdr:rowOff>127000</xdr:rowOff>
    </xdr:to>
    <xdr:sp macro="" textlink="">
      <xdr:nvSpPr>
        <xdr:cNvPr id="177" name="AutoShape 178" descr="USA">
          <a:hlinkClick xmlns:r="http://schemas.openxmlformats.org/officeDocument/2006/relationships" r:id="rId175"/>
          <a:extLst>
            <a:ext uri="{FF2B5EF4-FFF2-40B4-BE49-F238E27FC236}">
              <a16:creationId xmlns:a16="http://schemas.microsoft.com/office/drawing/2014/main" id="{506CFE46-1AB8-44D1-A66C-A86B299FDD6A}"/>
            </a:ext>
          </a:extLst>
        </xdr:cNvPr>
        <xdr:cNvSpPr>
          <a:spLocks noChangeAspect="1" noChangeArrowheads="1"/>
        </xdr:cNvSpPr>
      </xdr:nvSpPr>
      <xdr:spPr bwMode="auto">
        <a:xfrm>
          <a:off x="0" y="1624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175</xdr:row>
      <xdr:rowOff>0</xdr:rowOff>
    </xdr:from>
    <xdr:to>
      <xdr:col>10</xdr:col>
      <xdr:colOff>304800</xdr:colOff>
      <xdr:row>176</xdr:row>
      <xdr:rowOff>127000</xdr:rowOff>
    </xdr:to>
    <xdr:sp macro="" textlink="">
      <xdr:nvSpPr>
        <xdr:cNvPr id="178" name="AutoShape 179" descr="USA">
          <a:hlinkClick xmlns:r="http://schemas.openxmlformats.org/officeDocument/2006/relationships" r:id="rId176"/>
          <a:extLst>
            <a:ext uri="{FF2B5EF4-FFF2-40B4-BE49-F238E27FC236}">
              <a16:creationId xmlns:a16="http://schemas.microsoft.com/office/drawing/2014/main" id="{AD9BA2B1-7405-4455-B33E-E6412B2E1794}"/>
            </a:ext>
          </a:extLst>
        </xdr:cNvPr>
        <xdr:cNvSpPr>
          <a:spLocks noChangeAspect="1" noChangeArrowheads="1"/>
        </xdr:cNvSpPr>
      </xdr:nvSpPr>
      <xdr:spPr bwMode="auto">
        <a:xfrm>
          <a:off x="0" y="3453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94</xdr:row>
      <xdr:rowOff>0</xdr:rowOff>
    </xdr:from>
    <xdr:to>
      <xdr:col>10</xdr:col>
      <xdr:colOff>304800</xdr:colOff>
      <xdr:row>95</xdr:row>
      <xdr:rowOff>127000</xdr:rowOff>
    </xdr:to>
    <xdr:sp macro="" textlink="">
      <xdr:nvSpPr>
        <xdr:cNvPr id="179" name="AutoShape 180" descr="IRL">
          <a:hlinkClick xmlns:r="http://schemas.openxmlformats.org/officeDocument/2006/relationships" r:id="rId177"/>
          <a:extLst>
            <a:ext uri="{FF2B5EF4-FFF2-40B4-BE49-F238E27FC236}">
              <a16:creationId xmlns:a16="http://schemas.microsoft.com/office/drawing/2014/main" id="{0C471789-BF16-4430-A4CA-DB25CBB0E1E2}"/>
            </a:ext>
          </a:extLst>
        </xdr:cNvPr>
        <xdr:cNvSpPr>
          <a:spLocks noChangeAspect="1" noChangeArrowheads="1"/>
        </xdr:cNvSpPr>
      </xdr:nvSpPr>
      <xdr:spPr bwMode="auto">
        <a:xfrm>
          <a:off x="0" y="1910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130</xdr:row>
      <xdr:rowOff>0</xdr:rowOff>
    </xdr:from>
    <xdr:to>
      <xdr:col>10</xdr:col>
      <xdr:colOff>304800</xdr:colOff>
      <xdr:row>131</xdr:row>
      <xdr:rowOff>127000</xdr:rowOff>
    </xdr:to>
    <xdr:sp macro="" textlink="">
      <xdr:nvSpPr>
        <xdr:cNvPr id="180" name="AutoShape 181" descr="USA">
          <a:hlinkClick xmlns:r="http://schemas.openxmlformats.org/officeDocument/2006/relationships" r:id="rId178"/>
          <a:extLst>
            <a:ext uri="{FF2B5EF4-FFF2-40B4-BE49-F238E27FC236}">
              <a16:creationId xmlns:a16="http://schemas.microsoft.com/office/drawing/2014/main" id="{EC93A3BE-AAF9-4BEE-B773-446053BC52DF}"/>
            </a:ext>
          </a:extLst>
        </xdr:cNvPr>
        <xdr:cNvSpPr>
          <a:spLocks noChangeAspect="1" noChangeArrowheads="1"/>
        </xdr:cNvSpPr>
      </xdr:nvSpPr>
      <xdr:spPr bwMode="auto">
        <a:xfrm>
          <a:off x="0" y="2596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124</xdr:row>
      <xdr:rowOff>0</xdr:rowOff>
    </xdr:from>
    <xdr:to>
      <xdr:col>10</xdr:col>
      <xdr:colOff>304800</xdr:colOff>
      <xdr:row>125</xdr:row>
      <xdr:rowOff>127000</xdr:rowOff>
    </xdr:to>
    <xdr:sp macro="" textlink="">
      <xdr:nvSpPr>
        <xdr:cNvPr id="181" name="AutoShape 182" descr="CHN">
          <a:hlinkClick xmlns:r="http://schemas.openxmlformats.org/officeDocument/2006/relationships" r:id="rId179"/>
          <a:extLst>
            <a:ext uri="{FF2B5EF4-FFF2-40B4-BE49-F238E27FC236}">
              <a16:creationId xmlns:a16="http://schemas.microsoft.com/office/drawing/2014/main" id="{59239F36-70E5-4D6C-8F95-66B8188CA6AF}"/>
            </a:ext>
          </a:extLst>
        </xdr:cNvPr>
        <xdr:cNvSpPr>
          <a:spLocks noChangeAspect="1" noChangeArrowheads="1"/>
        </xdr:cNvSpPr>
      </xdr:nvSpPr>
      <xdr:spPr bwMode="auto">
        <a:xfrm>
          <a:off x="0" y="2482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50</xdr:row>
      <xdr:rowOff>0</xdr:rowOff>
    </xdr:from>
    <xdr:to>
      <xdr:col>10</xdr:col>
      <xdr:colOff>304800</xdr:colOff>
      <xdr:row>51</xdr:row>
      <xdr:rowOff>127000</xdr:rowOff>
    </xdr:to>
    <xdr:sp macro="" textlink="">
      <xdr:nvSpPr>
        <xdr:cNvPr id="182" name="AutoShape 183" descr="USA">
          <a:hlinkClick xmlns:r="http://schemas.openxmlformats.org/officeDocument/2006/relationships" r:id="rId180"/>
          <a:extLst>
            <a:ext uri="{FF2B5EF4-FFF2-40B4-BE49-F238E27FC236}">
              <a16:creationId xmlns:a16="http://schemas.microsoft.com/office/drawing/2014/main" id="{48580D60-DA30-475D-B1E0-FEA3CE761E7A}"/>
            </a:ext>
          </a:extLst>
        </xdr:cNvPr>
        <xdr:cNvSpPr>
          <a:spLocks noChangeAspect="1" noChangeArrowheads="1"/>
        </xdr:cNvSpPr>
      </xdr:nvSpPr>
      <xdr:spPr bwMode="auto">
        <a:xfrm>
          <a:off x="0" y="1072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184</xdr:row>
      <xdr:rowOff>0</xdr:rowOff>
    </xdr:from>
    <xdr:to>
      <xdr:col>10</xdr:col>
      <xdr:colOff>304800</xdr:colOff>
      <xdr:row>185</xdr:row>
      <xdr:rowOff>127000</xdr:rowOff>
    </xdr:to>
    <xdr:sp macro="" textlink="">
      <xdr:nvSpPr>
        <xdr:cNvPr id="183" name="AutoShape 184" descr="ITA">
          <a:hlinkClick xmlns:r="http://schemas.openxmlformats.org/officeDocument/2006/relationships" r:id="rId181"/>
          <a:extLst>
            <a:ext uri="{FF2B5EF4-FFF2-40B4-BE49-F238E27FC236}">
              <a16:creationId xmlns:a16="http://schemas.microsoft.com/office/drawing/2014/main" id="{ECB77712-E28A-4BEE-AFE6-D2C9351D4044}"/>
            </a:ext>
          </a:extLst>
        </xdr:cNvPr>
        <xdr:cNvSpPr>
          <a:spLocks noChangeAspect="1" noChangeArrowheads="1"/>
        </xdr:cNvSpPr>
      </xdr:nvSpPr>
      <xdr:spPr bwMode="auto">
        <a:xfrm>
          <a:off x="0" y="3625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85</xdr:row>
      <xdr:rowOff>0</xdr:rowOff>
    </xdr:from>
    <xdr:to>
      <xdr:col>10</xdr:col>
      <xdr:colOff>304800</xdr:colOff>
      <xdr:row>86</xdr:row>
      <xdr:rowOff>127000</xdr:rowOff>
    </xdr:to>
    <xdr:sp macro="" textlink="">
      <xdr:nvSpPr>
        <xdr:cNvPr id="184" name="AutoShape 185" descr="USA">
          <a:hlinkClick xmlns:r="http://schemas.openxmlformats.org/officeDocument/2006/relationships" r:id="rId182"/>
          <a:extLst>
            <a:ext uri="{FF2B5EF4-FFF2-40B4-BE49-F238E27FC236}">
              <a16:creationId xmlns:a16="http://schemas.microsoft.com/office/drawing/2014/main" id="{8B26D179-BCE0-4991-8E3B-CEF7C351D34C}"/>
            </a:ext>
          </a:extLst>
        </xdr:cNvPr>
        <xdr:cNvSpPr>
          <a:spLocks noChangeAspect="1" noChangeArrowheads="1"/>
        </xdr:cNvSpPr>
      </xdr:nvSpPr>
      <xdr:spPr bwMode="auto">
        <a:xfrm>
          <a:off x="0" y="1739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0</xdr:rowOff>
    </xdr:from>
    <xdr:to>
      <xdr:col>10</xdr:col>
      <xdr:colOff>304800</xdr:colOff>
      <xdr:row>31</xdr:row>
      <xdr:rowOff>127000</xdr:rowOff>
    </xdr:to>
    <xdr:sp macro="" textlink="">
      <xdr:nvSpPr>
        <xdr:cNvPr id="185" name="AutoShape 186" descr="USA">
          <a:hlinkClick xmlns:r="http://schemas.openxmlformats.org/officeDocument/2006/relationships" r:id="rId183"/>
          <a:extLst>
            <a:ext uri="{FF2B5EF4-FFF2-40B4-BE49-F238E27FC236}">
              <a16:creationId xmlns:a16="http://schemas.microsoft.com/office/drawing/2014/main" id="{AA7D949D-3533-4FC3-82EF-049695AAB50E}"/>
            </a:ext>
          </a:extLst>
        </xdr:cNvPr>
        <xdr:cNvSpPr>
          <a:spLocks noChangeAspect="1" noChangeArrowheads="1"/>
        </xdr:cNvSpPr>
      </xdr:nvSpPr>
      <xdr:spPr bwMode="auto">
        <a:xfrm>
          <a:off x="0" y="69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113</xdr:row>
      <xdr:rowOff>0</xdr:rowOff>
    </xdr:from>
    <xdr:to>
      <xdr:col>10</xdr:col>
      <xdr:colOff>304800</xdr:colOff>
      <xdr:row>114</xdr:row>
      <xdr:rowOff>127000</xdr:rowOff>
    </xdr:to>
    <xdr:sp macro="" textlink="">
      <xdr:nvSpPr>
        <xdr:cNvPr id="186" name="AutoShape 187" descr="USA">
          <a:hlinkClick xmlns:r="http://schemas.openxmlformats.org/officeDocument/2006/relationships" r:id="rId184"/>
          <a:extLst>
            <a:ext uri="{FF2B5EF4-FFF2-40B4-BE49-F238E27FC236}">
              <a16:creationId xmlns:a16="http://schemas.microsoft.com/office/drawing/2014/main" id="{3872CF4F-B5EB-4D7C-9014-4F8F5DE60591}"/>
            </a:ext>
          </a:extLst>
        </xdr:cNvPr>
        <xdr:cNvSpPr>
          <a:spLocks noChangeAspect="1" noChangeArrowheads="1"/>
        </xdr:cNvSpPr>
      </xdr:nvSpPr>
      <xdr:spPr bwMode="auto">
        <a:xfrm>
          <a:off x="0" y="2272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147</xdr:row>
      <xdr:rowOff>0</xdr:rowOff>
    </xdr:from>
    <xdr:to>
      <xdr:col>10</xdr:col>
      <xdr:colOff>304800</xdr:colOff>
      <xdr:row>148</xdr:row>
      <xdr:rowOff>127000</xdr:rowOff>
    </xdr:to>
    <xdr:sp macro="" textlink="">
      <xdr:nvSpPr>
        <xdr:cNvPr id="187" name="AutoShape 188" descr="USA">
          <a:hlinkClick xmlns:r="http://schemas.openxmlformats.org/officeDocument/2006/relationships" r:id="rId185"/>
          <a:extLst>
            <a:ext uri="{FF2B5EF4-FFF2-40B4-BE49-F238E27FC236}">
              <a16:creationId xmlns:a16="http://schemas.microsoft.com/office/drawing/2014/main" id="{92CD1B95-8417-4E84-B7B1-5F003E001A6A}"/>
            </a:ext>
          </a:extLst>
        </xdr:cNvPr>
        <xdr:cNvSpPr>
          <a:spLocks noChangeAspect="1" noChangeArrowheads="1"/>
        </xdr:cNvSpPr>
      </xdr:nvSpPr>
      <xdr:spPr bwMode="auto">
        <a:xfrm>
          <a:off x="0" y="2920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120</xdr:row>
      <xdr:rowOff>0</xdr:rowOff>
    </xdr:from>
    <xdr:to>
      <xdr:col>10</xdr:col>
      <xdr:colOff>304800</xdr:colOff>
      <xdr:row>121</xdr:row>
      <xdr:rowOff>127000</xdr:rowOff>
    </xdr:to>
    <xdr:sp macro="" textlink="">
      <xdr:nvSpPr>
        <xdr:cNvPr id="188" name="AutoShape 189" descr="USA">
          <a:hlinkClick xmlns:r="http://schemas.openxmlformats.org/officeDocument/2006/relationships" r:id="rId186"/>
          <a:extLst>
            <a:ext uri="{FF2B5EF4-FFF2-40B4-BE49-F238E27FC236}">
              <a16:creationId xmlns:a16="http://schemas.microsoft.com/office/drawing/2014/main" id="{E3787980-10BE-4BF0-AAFE-70A9CD1320E1}"/>
            </a:ext>
          </a:extLst>
        </xdr:cNvPr>
        <xdr:cNvSpPr>
          <a:spLocks noChangeAspect="1" noChangeArrowheads="1"/>
        </xdr:cNvSpPr>
      </xdr:nvSpPr>
      <xdr:spPr bwMode="auto">
        <a:xfrm>
          <a:off x="0" y="2406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56</xdr:row>
      <xdr:rowOff>0</xdr:rowOff>
    </xdr:from>
    <xdr:to>
      <xdr:col>10</xdr:col>
      <xdr:colOff>304800</xdr:colOff>
      <xdr:row>57</xdr:row>
      <xdr:rowOff>127000</xdr:rowOff>
    </xdr:to>
    <xdr:sp macro="" textlink="">
      <xdr:nvSpPr>
        <xdr:cNvPr id="189" name="AutoShape 190" descr="USA">
          <a:hlinkClick xmlns:r="http://schemas.openxmlformats.org/officeDocument/2006/relationships" r:id="rId187"/>
          <a:extLst>
            <a:ext uri="{FF2B5EF4-FFF2-40B4-BE49-F238E27FC236}">
              <a16:creationId xmlns:a16="http://schemas.microsoft.com/office/drawing/2014/main" id="{1E0AB032-4ED9-404C-85E1-43E688E9AF48}"/>
            </a:ext>
          </a:extLst>
        </xdr:cNvPr>
        <xdr:cNvSpPr>
          <a:spLocks noChangeAspect="1" noChangeArrowheads="1"/>
        </xdr:cNvSpPr>
      </xdr:nvSpPr>
      <xdr:spPr bwMode="auto">
        <a:xfrm>
          <a:off x="0" y="1186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40</xdr:row>
      <xdr:rowOff>0</xdr:rowOff>
    </xdr:from>
    <xdr:to>
      <xdr:col>10</xdr:col>
      <xdr:colOff>304800</xdr:colOff>
      <xdr:row>41</xdr:row>
      <xdr:rowOff>127000</xdr:rowOff>
    </xdr:to>
    <xdr:sp macro="" textlink="">
      <xdr:nvSpPr>
        <xdr:cNvPr id="190" name="AutoShape 191" descr="USA">
          <a:hlinkClick xmlns:r="http://schemas.openxmlformats.org/officeDocument/2006/relationships" r:id="rId188"/>
          <a:extLst>
            <a:ext uri="{FF2B5EF4-FFF2-40B4-BE49-F238E27FC236}">
              <a16:creationId xmlns:a16="http://schemas.microsoft.com/office/drawing/2014/main" id="{D97ABA0D-6F48-41E2-9FAC-88F126C5EA0D}"/>
            </a:ext>
          </a:extLst>
        </xdr:cNvPr>
        <xdr:cNvSpPr>
          <a:spLocks noChangeAspect="1" noChangeArrowheads="1"/>
        </xdr:cNvSpPr>
      </xdr:nvSpPr>
      <xdr:spPr bwMode="auto">
        <a:xfrm>
          <a:off x="0" y="882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164</xdr:row>
      <xdr:rowOff>0</xdr:rowOff>
    </xdr:from>
    <xdr:to>
      <xdr:col>10</xdr:col>
      <xdr:colOff>304800</xdr:colOff>
      <xdr:row>165</xdr:row>
      <xdr:rowOff>127000</xdr:rowOff>
    </xdr:to>
    <xdr:sp macro="" textlink="">
      <xdr:nvSpPr>
        <xdr:cNvPr id="191" name="AutoShape 192" descr="USA">
          <a:hlinkClick xmlns:r="http://schemas.openxmlformats.org/officeDocument/2006/relationships" r:id="rId189"/>
          <a:extLst>
            <a:ext uri="{FF2B5EF4-FFF2-40B4-BE49-F238E27FC236}">
              <a16:creationId xmlns:a16="http://schemas.microsoft.com/office/drawing/2014/main" id="{9BE3EAB3-9213-47C2-913E-E3CCF8840112}"/>
            </a:ext>
          </a:extLst>
        </xdr:cNvPr>
        <xdr:cNvSpPr>
          <a:spLocks noChangeAspect="1" noChangeArrowheads="1"/>
        </xdr:cNvSpPr>
      </xdr:nvSpPr>
      <xdr:spPr bwMode="auto">
        <a:xfrm>
          <a:off x="0" y="3244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48</xdr:row>
      <xdr:rowOff>0</xdr:rowOff>
    </xdr:from>
    <xdr:to>
      <xdr:col>10</xdr:col>
      <xdr:colOff>304800</xdr:colOff>
      <xdr:row>49</xdr:row>
      <xdr:rowOff>127000</xdr:rowOff>
    </xdr:to>
    <xdr:sp macro="" textlink="">
      <xdr:nvSpPr>
        <xdr:cNvPr id="192" name="AutoShape 193" descr="USA">
          <a:hlinkClick xmlns:r="http://schemas.openxmlformats.org/officeDocument/2006/relationships" r:id="rId190"/>
          <a:extLst>
            <a:ext uri="{FF2B5EF4-FFF2-40B4-BE49-F238E27FC236}">
              <a16:creationId xmlns:a16="http://schemas.microsoft.com/office/drawing/2014/main" id="{BE02BAAA-8158-4286-B237-0DA33938D3EC}"/>
            </a:ext>
          </a:extLst>
        </xdr:cNvPr>
        <xdr:cNvSpPr>
          <a:spLocks noChangeAspect="1" noChangeArrowheads="1"/>
        </xdr:cNvSpPr>
      </xdr:nvSpPr>
      <xdr:spPr bwMode="auto">
        <a:xfrm>
          <a:off x="0" y="1034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205</xdr:row>
      <xdr:rowOff>0</xdr:rowOff>
    </xdr:from>
    <xdr:to>
      <xdr:col>10</xdr:col>
      <xdr:colOff>304800</xdr:colOff>
      <xdr:row>206</xdr:row>
      <xdr:rowOff>127000</xdr:rowOff>
    </xdr:to>
    <xdr:sp macro="" textlink="">
      <xdr:nvSpPr>
        <xdr:cNvPr id="193" name="AutoShape 194" descr="USA">
          <a:hlinkClick xmlns:r="http://schemas.openxmlformats.org/officeDocument/2006/relationships" r:id="rId191"/>
          <a:extLst>
            <a:ext uri="{FF2B5EF4-FFF2-40B4-BE49-F238E27FC236}">
              <a16:creationId xmlns:a16="http://schemas.microsoft.com/office/drawing/2014/main" id="{A5AFCDEA-AC03-4D64-A154-69C1D6C241F3}"/>
            </a:ext>
          </a:extLst>
        </xdr:cNvPr>
        <xdr:cNvSpPr>
          <a:spLocks noChangeAspect="1" noChangeArrowheads="1"/>
        </xdr:cNvSpPr>
      </xdr:nvSpPr>
      <xdr:spPr bwMode="auto">
        <a:xfrm>
          <a:off x="0" y="402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69</xdr:row>
      <xdr:rowOff>0</xdr:rowOff>
    </xdr:from>
    <xdr:to>
      <xdr:col>10</xdr:col>
      <xdr:colOff>304800</xdr:colOff>
      <xdr:row>70</xdr:row>
      <xdr:rowOff>127000</xdr:rowOff>
    </xdr:to>
    <xdr:sp macro="" textlink="">
      <xdr:nvSpPr>
        <xdr:cNvPr id="194" name="AutoShape 195" descr="SVK">
          <a:hlinkClick xmlns:r="http://schemas.openxmlformats.org/officeDocument/2006/relationships" r:id="rId192"/>
          <a:extLst>
            <a:ext uri="{FF2B5EF4-FFF2-40B4-BE49-F238E27FC236}">
              <a16:creationId xmlns:a16="http://schemas.microsoft.com/office/drawing/2014/main" id="{DDB0B9E8-C009-4892-A37A-0330CA4A0BBF}"/>
            </a:ext>
          </a:extLst>
        </xdr:cNvPr>
        <xdr:cNvSpPr>
          <a:spLocks noChangeAspect="1" noChangeArrowheads="1"/>
        </xdr:cNvSpPr>
      </xdr:nvSpPr>
      <xdr:spPr bwMode="auto">
        <a:xfrm>
          <a:off x="0" y="1434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150</xdr:row>
      <xdr:rowOff>0</xdr:rowOff>
    </xdr:from>
    <xdr:to>
      <xdr:col>10</xdr:col>
      <xdr:colOff>304800</xdr:colOff>
      <xdr:row>151</xdr:row>
      <xdr:rowOff>127000</xdr:rowOff>
    </xdr:to>
    <xdr:sp macro="" textlink="">
      <xdr:nvSpPr>
        <xdr:cNvPr id="195" name="AutoShape 196" descr="USA">
          <a:hlinkClick xmlns:r="http://schemas.openxmlformats.org/officeDocument/2006/relationships" r:id="rId193"/>
          <a:extLst>
            <a:ext uri="{FF2B5EF4-FFF2-40B4-BE49-F238E27FC236}">
              <a16:creationId xmlns:a16="http://schemas.microsoft.com/office/drawing/2014/main" id="{0F652FAD-B895-4187-AA82-4F136DC32788}"/>
            </a:ext>
          </a:extLst>
        </xdr:cNvPr>
        <xdr:cNvSpPr>
          <a:spLocks noChangeAspect="1" noChangeArrowheads="1"/>
        </xdr:cNvSpPr>
      </xdr:nvSpPr>
      <xdr:spPr bwMode="auto">
        <a:xfrm>
          <a:off x="0" y="2977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82</xdr:row>
      <xdr:rowOff>0</xdr:rowOff>
    </xdr:from>
    <xdr:to>
      <xdr:col>10</xdr:col>
      <xdr:colOff>304800</xdr:colOff>
      <xdr:row>83</xdr:row>
      <xdr:rowOff>127000</xdr:rowOff>
    </xdr:to>
    <xdr:sp macro="" textlink="">
      <xdr:nvSpPr>
        <xdr:cNvPr id="196" name="AutoShape 197" descr="ARG">
          <a:hlinkClick xmlns:r="http://schemas.openxmlformats.org/officeDocument/2006/relationships" r:id="rId194"/>
          <a:extLst>
            <a:ext uri="{FF2B5EF4-FFF2-40B4-BE49-F238E27FC236}">
              <a16:creationId xmlns:a16="http://schemas.microsoft.com/office/drawing/2014/main" id="{F2DCE13B-B970-410B-8390-6AD52A7AB6D0}"/>
            </a:ext>
          </a:extLst>
        </xdr:cNvPr>
        <xdr:cNvSpPr>
          <a:spLocks noChangeAspect="1" noChangeArrowheads="1"/>
        </xdr:cNvSpPr>
      </xdr:nvSpPr>
      <xdr:spPr bwMode="auto">
        <a:xfrm>
          <a:off x="0" y="1682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xdr:row>
      <xdr:rowOff>0</xdr:rowOff>
    </xdr:from>
    <xdr:to>
      <xdr:col>10</xdr:col>
      <xdr:colOff>304800</xdr:colOff>
      <xdr:row>4</xdr:row>
      <xdr:rowOff>127000</xdr:rowOff>
    </xdr:to>
    <xdr:sp macro="" textlink="">
      <xdr:nvSpPr>
        <xdr:cNvPr id="197" name="AutoShape 198" descr="USA">
          <a:hlinkClick xmlns:r="http://schemas.openxmlformats.org/officeDocument/2006/relationships" r:id="rId195"/>
          <a:extLst>
            <a:ext uri="{FF2B5EF4-FFF2-40B4-BE49-F238E27FC236}">
              <a16:creationId xmlns:a16="http://schemas.microsoft.com/office/drawing/2014/main" id="{D5A33FE0-4E5B-490D-9F40-6462F958B327}"/>
            </a:ext>
          </a:extLst>
        </xdr:cNvPr>
        <xdr:cNvSpPr>
          <a:spLocks noChangeAspect="1" noChangeArrowheads="1"/>
        </xdr:cNvSpPr>
      </xdr:nvSpPr>
      <xdr:spPr bwMode="auto">
        <a:xfrm>
          <a:off x="0" y="1714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156</xdr:row>
      <xdr:rowOff>0</xdr:rowOff>
    </xdr:from>
    <xdr:to>
      <xdr:col>10</xdr:col>
      <xdr:colOff>304800</xdr:colOff>
      <xdr:row>157</xdr:row>
      <xdr:rowOff>127000</xdr:rowOff>
    </xdr:to>
    <xdr:sp macro="" textlink="">
      <xdr:nvSpPr>
        <xdr:cNvPr id="198" name="AutoShape 199" descr="ENG">
          <a:hlinkClick xmlns:r="http://schemas.openxmlformats.org/officeDocument/2006/relationships" r:id="rId196"/>
          <a:extLst>
            <a:ext uri="{FF2B5EF4-FFF2-40B4-BE49-F238E27FC236}">
              <a16:creationId xmlns:a16="http://schemas.microsoft.com/office/drawing/2014/main" id="{3F052748-FE60-4A9E-A647-0AE68BE137CA}"/>
            </a:ext>
          </a:extLst>
        </xdr:cNvPr>
        <xdr:cNvSpPr>
          <a:spLocks noChangeAspect="1" noChangeArrowheads="1"/>
        </xdr:cNvSpPr>
      </xdr:nvSpPr>
      <xdr:spPr bwMode="auto">
        <a:xfrm>
          <a:off x="0" y="3091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135</xdr:row>
      <xdr:rowOff>0</xdr:rowOff>
    </xdr:from>
    <xdr:to>
      <xdr:col>10</xdr:col>
      <xdr:colOff>304800</xdr:colOff>
      <xdr:row>136</xdr:row>
      <xdr:rowOff>127000</xdr:rowOff>
    </xdr:to>
    <xdr:sp macro="" textlink="">
      <xdr:nvSpPr>
        <xdr:cNvPr id="199" name="AutoShape 200" descr="USA">
          <a:hlinkClick xmlns:r="http://schemas.openxmlformats.org/officeDocument/2006/relationships" r:id="rId197"/>
          <a:extLst>
            <a:ext uri="{FF2B5EF4-FFF2-40B4-BE49-F238E27FC236}">
              <a16:creationId xmlns:a16="http://schemas.microsoft.com/office/drawing/2014/main" id="{B141D2E0-E4A4-4703-86E5-6D5334D6DE92}"/>
            </a:ext>
          </a:extLst>
        </xdr:cNvPr>
        <xdr:cNvSpPr>
          <a:spLocks noChangeAspect="1" noChangeArrowheads="1"/>
        </xdr:cNvSpPr>
      </xdr:nvSpPr>
      <xdr:spPr bwMode="auto">
        <a:xfrm>
          <a:off x="0" y="2691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xdr:row>
      <xdr:rowOff>0</xdr:rowOff>
    </xdr:from>
    <xdr:to>
      <xdr:col>10</xdr:col>
      <xdr:colOff>304800</xdr:colOff>
      <xdr:row>21</xdr:row>
      <xdr:rowOff>127000</xdr:rowOff>
    </xdr:to>
    <xdr:sp macro="" textlink="">
      <xdr:nvSpPr>
        <xdr:cNvPr id="200" name="AutoShape 201" descr="USA">
          <a:hlinkClick xmlns:r="http://schemas.openxmlformats.org/officeDocument/2006/relationships" r:id="rId198"/>
          <a:extLst>
            <a:ext uri="{FF2B5EF4-FFF2-40B4-BE49-F238E27FC236}">
              <a16:creationId xmlns:a16="http://schemas.microsoft.com/office/drawing/2014/main" id="{432C40E9-02CF-4112-933B-FA4B7F69E220}"/>
            </a:ext>
          </a:extLst>
        </xdr:cNvPr>
        <xdr:cNvSpPr>
          <a:spLocks noChangeAspect="1" noChangeArrowheads="1"/>
        </xdr:cNvSpPr>
      </xdr:nvSpPr>
      <xdr:spPr bwMode="auto">
        <a:xfrm>
          <a:off x="0" y="50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179</xdr:row>
      <xdr:rowOff>0</xdr:rowOff>
    </xdr:from>
    <xdr:to>
      <xdr:col>10</xdr:col>
      <xdr:colOff>304800</xdr:colOff>
      <xdr:row>180</xdr:row>
      <xdr:rowOff>127000</xdr:rowOff>
    </xdr:to>
    <xdr:sp macro="" textlink="">
      <xdr:nvSpPr>
        <xdr:cNvPr id="201" name="AutoShape 202" descr="COL">
          <a:hlinkClick xmlns:r="http://schemas.openxmlformats.org/officeDocument/2006/relationships" r:id="rId199"/>
          <a:extLst>
            <a:ext uri="{FF2B5EF4-FFF2-40B4-BE49-F238E27FC236}">
              <a16:creationId xmlns:a16="http://schemas.microsoft.com/office/drawing/2014/main" id="{9488EA2E-7388-40B5-9487-E12E0F2B7CF9}"/>
            </a:ext>
          </a:extLst>
        </xdr:cNvPr>
        <xdr:cNvSpPr>
          <a:spLocks noChangeAspect="1" noChangeArrowheads="1"/>
        </xdr:cNvSpPr>
      </xdr:nvSpPr>
      <xdr:spPr bwMode="auto">
        <a:xfrm>
          <a:off x="0" y="3529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51</xdr:row>
      <xdr:rowOff>0</xdr:rowOff>
    </xdr:from>
    <xdr:to>
      <xdr:col>10</xdr:col>
      <xdr:colOff>304800</xdr:colOff>
      <xdr:row>52</xdr:row>
      <xdr:rowOff>127000</xdr:rowOff>
    </xdr:to>
    <xdr:sp macro="" textlink="">
      <xdr:nvSpPr>
        <xdr:cNvPr id="202" name="AutoShape 203" descr="USA">
          <a:hlinkClick xmlns:r="http://schemas.openxmlformats.org/officeDocument/2006/relationships" r:id="rId200"/>
          <a:extLst>
            <a:ext uri="{FF2B5EF4-FFF2-40B4-BE49-F238E27FC236}">
              <a16:creationId xmlns:a16="http://schemas.microsoft.com/office/drawing/2014/main" id="{99D78D4C-178D-4462-9F7A-5DECE98D8BC0}"/>
            </a:ext>
          </a:extLst>
        </xdr:cNvPr>
        <xdr:cNvSpPr>
          <a:spLocks noChangeAspect="1" noChangeArrowheads="1"/>
        </xdr:cNvSpPr>
      </xdr:nvSpPr>
      <xdr:spPr bwMode="auto">
        <a:xfrm>
          <a:off x="0" y="1091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89</xdr:row>
      <xdr:rowOff>0</xdr:rowOff>
    </xdr:from>
    <xdr:to>
      <xdr:col>10</xdr:col>
      <xdr:colOff>304800</xdr:colOff>
      <xdr:row>90</xdr:row>
      <xdr:rowOff>127000</xdr:rowOff>
    </xdr:to>
    <xdr:sp macro="" textlink="">
      <xdr:nvSpPr>
        <xdr:cNvPr id="203" name="AutoShape 204" descr="USA">
          <a:hlinkClick xmlns:r="http://schemas.openxmlformats.org/officeDocument/2006/relationships" r:id="rId201"/>
          <a:extLst>
            <a:ext uri="{FF2B5EF4-FFF2-40B4-BE49-F238E27FC236}">
              <a16:creationId xmlns:a16="http://schemas.microsoft.com/office/drawing/2014/main" id="{43796AF8-5DBD-4B30-A57F-6EA3DA0ACC57}"/>
            </a:ext>
          </a:extLst>
        </xdr:cNvPr>
        <xdr:cNvSpPr>
          <a:spLocks noChangeAspect="1" noChangeArrowheads="1"/>
        </xdr:cNvSpPr>
      </xdr:nvSpPr>
      <xdr:spPr bwMode="auto">
        <a:xfrm>
          <a:off x="0" y="1815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204" name="AutoShape 205" descr="SWE">
          <a:hlinkClick xmlns:r="http://schemas.openxmlformats.org/officeDocument/2006/relationships" r:id="rId202"/>
          <a:extLst>
            <a:ext uri="{FF2B5EF4-FFF2-40B4-BE49-F238E27FC236}">
              <a16:creationId xmlns:a16="http://schemas.microsoft.com/office/drawing/2014/main" id="{40EE0469-647D-4DD7-9237-59EE5EAB0CD8}"/>
            </a:ext>
          </a:extLst>
        </xdr:cNvPr>
        <xdr:cNvSpPr>
          <a:spLocks noChangeAspect="1" noChangeArrowheads="1"/>
        </xdr:cNvSpPr>
      </xdr:nvSpPr>
      <xdr:spPr bwMode="auto">
        <a:xfrm>
          <a:off x="0" y="1143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185</xdr:row>
      <xdr:rowOff>0</xdr:rowOff>
    </xdr:from>
    <xdr:to>
      <xdr:col>10</xdr:col>
      <xdr:colOff>304800</xdr:colOff>
      <xdr:row>186</xdr:row>
      <xdr:rowOff>127000</xdr:rowOff>
    </xdr:to>
    <xdr:sp macro="" textlink="">
      <xdr:nvSpPr>
        <xdr:cNvPr id="205" name="AutoShape 206" descr="AUS">
          <a:hlinkClick xmlns:r="http://schemas.openxmlformats.org/officeDocument/2006/relationships" r:id="rId203"/>
          <a:extLst>
            <a:ext uri="{FF2B5EF4-FFF2-40B4-BE49-F238E27FC236}">
              <a16:creationId xmlns:a16="http://schemas.microsoft.com/office/drawing/2014/main" id="{9E0E11CA-C4F6-4922-B6F4-E69FFC18822A}"/>
            </a:ext>
          </a:extLst>
        </xdr:cNvPr>
        <xdr:cNvSpPr>
          <a:spLocks noChangeAspect="1" noChangeArrowheads="1"/>
        </xdr:cNvSpPr>
      </xdr:nvSpPr>
      <xdr:spPr bwMode="auto">
        <a:xfrm>
          <a:off x="0" y="3644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84</xdr:row>
      <xdr:rowOff>0</xdr:rowOff>
    </xdr:from>
    <xdr:to>
      <xdr:col>10</xdr:col>
      <xdr:colOff>304800</xdr:colOff>
      <xdr:row>85</xdr:row>
      <xdr:rowOff>127000</xdr:rowOff>
    </xdr:to>
    <xdr:sp macro="" textlink="">
      <xdr:nvSpPr>
        <xdr:cNvPr id="206" name="AutoShape 207" descr="CAN">
          <a:hlinkClick xmlns:r="http://schemas.openxmlformats.org/officeDocument/2006/relationships" r:id="rId204"/>
          <a:extLst>
            <a:ext uri="{FF2B5EF4-FFF2-40B4-BE49-F238E27FC236}">
              <a16:creationId xmlns:a16="http://schemas.microsoft.com/office/drawing/2014/main" id="{7DC4B2DA-E4A5-4B59-BB03-8F263DFE765B}"/>
            </a:ext>
          </a:extLst>
        </xdr:cNvPr>
        <xdr:cNvSpPr>
          <a:spLocks noChangeAspect="1" noChangeArrowheads="1"/>
        </xdr:cNvSpPr>
      </xdr:nvSpPr>
      <xdr:spPr bwMode="auto">
        <a:xfrm>
          <a:off x="0" y="1720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96</xdr:row>
      <xdr:rowOff>0</xdr:rowOff>
    </xdr:from>
    <xdr:to>
      <xdr:col>10</xdr:col>
      <xdr:colOff>304800</xdr:colOff>
      <xdr:row>97</xdr:row>
      <xdr:rowOff>127000</xdr:rowOff>
    </xdr:to>
    <xdr:sp macro="" textlink="">
      <xdr:nvSpPr>
        <xdr:cNvPr id="207" name="AutoShape 208" descr="KOR">
          <a:hlinkClick xmlns:r="http://schemas.openxmlformats.org/officeDocument/2006/relationships" r:id="rId205"/>
          <a:extLst>
            <a:ext uri="{FF2B5EF4-FFF2-40B4-BE49-F238E27FC236}">
              <a16:creationId xmlns:a16="http://schemas.microsoft.com/office/drawing/2014/main" id="{B336F822-43A4-4689-A6F6-66E4073B351E}"/>
            </a:ext>
          </a:extLst>
        </xdr:cNvPr>
        <xdr:cNvSpPr>
          <a:spLocks noChangeAspect="1" noChangeArrowheads="1"/>
        </xdr:cNvSpPr>
      </xdr:nvSpPr>
      <xdr:spPr bwMode="auto">
        <a:xfrm>
          <a:off x="0" y="1948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216</xdr:row>
      <xdr:rowOff>0</xdr:rowOff>
    </xdr:from>
    <xdr:to>
      <xdr:col>10</xdr:col>
      <xdr:colOff>304800</xdr:colOff>
      <xdr:row>217</xdr:row>
      <xdr:rowOff>127000</xdr:rowOff>
    </xdr:to>
    <xdr:sp macro="" textlink="">
      <xdr:nvSpPr>
        <xdr:cNvPr id="208" name="AutoShape 209" descr="USA">
          <a:hlinkClick xmlns:r="http://schemas.openxmlformats.org/officeDocument/2006/relationships" r:id="rId206"/>
          <a:extLst>
            <a:ext uri="{FF2B5EF4-FFF2-40B4-BE49-F238E27FC236}">
              <a16:creationId xmlns:a16="http://schemas.microsoft.com/office/drawing/2014/main" id="{901788CB-E64E-4F59-9C1E-7C1FCDC6C2DC}"/>
            </a:ext>
          </a:extLst>
        </xdr:cNvPr>
        <xdr:cNvSpPr>
          <a:spLocks noChangeAspect="1" noChangeArrowheads="1"/>
        </xdr:cNvSpPr>
      </xdr:nvSpPr>
      <xdr:spPr bwMode="auto">
        <a:xfrm>
          <a:off x="0" y="427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167</xdr:row>
      <xdr:rowOff>0</xdr:rowOff>
    </xdr:from>
    <xdr:to>
      <xdr:col>10</xdr:col>
      <xdr:colOff>304800</xdr:colOff>
      <xdr:row>168</xdr:row>
      <xdr:rowOff>127000</xdr:rowOff>
    </xdr:to>
    <xdr:sp macro="" textlink="">
      <xdr:nvSpPr>
        <xdr:cNvPr id="209" name="AutoShape 210" descr="USA">
          <a:hlinkClick xmlns:r="http://schemas.openxmlformats.org/officeDocument/2006/relationships" r:id="rId207"/>
          <a:extLst>
            <a:ext uri="{FF2B5EF4-FFF2-40B4-BE49-F238E27FC236}">
              <a16:creationId xmlns:a16="http://schemas.microsoft.com/office/drawing/2014/main" id="{AB137DC8-6A84-470D-A180-4342BB05AE3D}"/>
            </a:ext>
          </a:extLst>
        </xdr:cNvPr>
        <xdr:cNvSpPr>
          <a:spLocks noChangeAspect="1" noChangeArrowheads="1"/>
        </xdr:cNvSpPr>
      </xdr:nvSpPr>
      <xdr:spPr bwMode="auto">
        <a:xfrm>
          <a:off x="0" y="3301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42</xdr:row>
      <xdr:rowOff>0</xdr:rowOff>
    </xdr:from>
    <xdr:to>
      <xdr:col>10</xdr:col>
      <xdr:colOff>304800</xdr:colOff>
      <xdr:row>43</xdr:row>
      <xdr:rowOff>127000</xdr:rowOff>
    </xdr:to>
    <xdr:sp macro="" textlink="">
      <xdr:nvSpPr>
        <xdr:cNvPr id="210" name="AutoShape 211" descr="USA">
          <a:hlinkClick xmlns:r="http://schemas.openxmlformats.org/officeDocument/2006/relationships" r:id="rId208"/>
          <a:extLst>
            <a:ext uri="{FF2B5EF4-FFF2-40B4-BE49-F238E27FC236}">
              <a16:creationId xmlns:a16="http://schemas.microsoft.com/office/drawing/2014/main" id="{B781AD06-8BAF-46FF-B7EF-4D54EA517D5D}"/>
            </a:ext>
          </a:extLst>
        </xdr:cNvPr>
        <xdr:cNvSpPr>
          <a:spLocks noChangeAspect="1" noChangeArrowheads="1"/>
        </xdr:cNvSpPr>
      </xdr:nvSpPr>
      <xdr:spPr bwMode="auto">
        <a:xfrm>
          <a:off x="0" y="920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xdr:row>
      <xdr:rowOff>0</xdr:rowOff>
    </xdr:from>
    <xdr:to>
      <xdr:col>10</xdr:col>
      <xdr:colOff>304800</xdr:colOff>
      <xdr:row>20</xdr:row>
      <xdr:rowOff>127000</xdr:rowOff>
    </xdr:to>
    <xdr:sp macro="" textlink="">
      <xdr:nvSpPr>
        <xdr:cNvPr id="211" name="AutoShape 212" descr="USA">
          <a:hlinkClick xmlns:r="http://schemas.openxmlformats.org/officeDocument/2006/relationships" r:id="rId209"/>
          <a:extLst>
            <a:ext uri="{FF2B5EF4-FFF2-40B4-BE49-F238E27FC236}">
              <a16:creationId xmlns:a16="http://schemas.microsoft.com/office/drawing/2014/main" id="{1A8B19CA-61C1-4FBD-9F89-E7837C66C414}"/>
            </a:ext>
          </a:extLst>
        </xdr:cNvPr>
        <xdr:cNvSpPr>
          <a:spLocks noChangeAspect="1" noChangeArrowheads="1"/>
        </xdr:cNvSpPr>
      </xdr:nvSpPr>
      <xdr:spPr bwMode="auto">
        <a:xfrm>
          <a:off x="0" y="48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106</xdr:row>
      <xdr:rowOff>0</xdr:rowOff>
    </xdr:from>
    <xdr:to>
      <xdr:col>10</xdr:col>
      <xdr:colOff>304800</xdr:colOff>
      <xdr:row>107</xdr:row>
      <xdr:rowOff>127000</xdr:rowOff>
    </xdr:to>
    <xdr:sp macro="" textlink="">
      <xdr:nvSpPr>
        <xdr:cNvPr id="212" name="AutoShape 213" descr="USA">
          <a:hlinkClick xmlns:r="http://schemas.openxmlformats.org/officeDocument/2006/relationships" r:id="rId210"/>
          <a:extLst>
            <a:ext uri="{FF2B5EF4-FFF2-40B4-BE49-F238E27FC236}">
              <a16:creationId xmlns:a16="http://schemas.microsoft.com/office/drawing/2014/main" id="{05356F83-ADBD-4B1A-B68B-1BD50F4AE833}"/>
            </a:ext>
          </a:extLst>
        </xdr:cNvPr>
        <xdr:cNvSpPr>
          <a:spLocks noChangeAspect="1" noChangeArrowheads="1"/>
        </xdr:cNvSpPr>
      </xdr:nvSpPr>
      <xdr:spPr bwMode="auto">
        <a:xfrm>
          <a:off x="0" y="2139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188</xdr:row>
      <xdr:rowOff>0</xdr:rowOff>
    </xdr:from>
    <xdr:to>
      <xdr:col>10</xdr:col>
      <xdr:colOff>304800</xdr:colOff>
      <xdr:row>189</xdr:row>
      <xdr:rowOff>127000</xdr:rowOff>
    </xdr:to>
    <xdr:sp macro="" textlink="">
      <xdr:nvSpPr>
        <xdr:cNvPr id="213" name="AutoShape 214" descr="AUS">
          <a:hlinkClick xmlns:r="http://schemas.openxmlformats.org/officeDocument/2006/relationships" r:id="rId211"/>
          <a:extLst>
            <a:ext uri="{FF2B5EF4-FFF2-40B4-BE49-F238E27FC236}">
              <a16:creationId xmlns:a16="http://schemas.microsoft.com/office/drawing/2014/main" id="{C0FD14B7-1A65-4497-A96B-A2E6978C0739}"/>
            </a:ext>
          </a:extLst>
        </xdr:cNvPr>
        <xdr:cNvSpPr>
          <a:spLocks noChangeAspect="1" noChangeArrowheads="1"/>
        </xdr:cNvSpPr>
      </xdr:nvSpPr>
      <xdr:spPr bwMode="auto">
        <a:xfrm>
          <a:off x="0" y="3701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159</xdr:row>
      <xdr:rowOff>0</xdr:rowOff>
    </xdr:from>
    <xdr:to>
      <xdr:col>10</xdr:col>
      <xdr:colOff>304800</xdr:colOff>
      <xdr:row>160</xdr:row>
      <xdr:rowOff>127000</xdr:rowOff>
    </xdr:to>
    <xdr:sp macro="" textlink="">
      <xdr:nvSpPr>
        <xdr:cNvPr id="214" name="AutoShape 215" descr="USA">
          <a:hlinkClick xmlns:r="http://schemas.openxmlformats.org/officeDocument/2006/relationships" r:id="rId212"/>
          <a:extLst>
            <a:ext uri="{FF2B5EF4-FFF2-40B4-BE49-F238E27FC236}">
              <a16:creationId xmlns:a16="http://schemas.microsoft.com/office/drawing/2014/main" id="{7BB368AC-FBCB-4886-B8A4-C5954349FF4C}"/>
            </a:ext>
          </a:extLst>
        </xdr:cNvPr>
        <xdr:cNvSpPr>
          <a:spLocks noChangeAspect="1" noChangeArrowheads="1"/>
        </xdr:cNvSpPr>
      </xdr:nvSpPr>
      <xdr:spPr bwMode="auto">
        <a:xfrm>
          <a:off x="0" y="3148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195</xdr:row>
      <xdr:rowOff>0</xdr:rowOff>
    </xdr:from>
    <xdr:to>
      <xdr:col>10</xdr:col>
      <xdr:colOff>304800</xdr:colOff>
      <xdr:row>196</xdr:row>
      <xdr:rowOff>127000</xdr:rowOff>
    </xdr:to>
    <xdr:sp macro="" textlink="">
      <xdr:nvSpPr>
        <xdr:cNvPr id="215" name="AutoShape 216" descr="USA">
          <a:hlinkClick xmlns:r="http://schemas.openxmlformats.org/officeDocument/2006/relationships" r:id="rId213"/>
          <a:extLst>
            <a:ext uri="{FF2B5EF4-FFF2-40B4-BE49-F238E27FC236}">
              <a16:creationId xmlns:a16="http://schemas.microsoft.com/office/drawing/2014/main" id="{FDFDFFB7-92C1-4C69-8BBD-79DF9BFE7225}"/>
            </a:ext>
          </a:extLst>
        </xdr:cNvPr>
        <xdr:cNvSpPr>
          <a:spLocks noChangeAspect="1" noChangeArrowheads="1"/>
        </xdr:cNvSpPr>
      </xdr:nvSpPr>
      <xdr:spPr bwMode="auto">
        <a:xfrm>
          <a:off x="0" y="3834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91</xdr:row>
      <xdr:rowOff>0</xdr:rowOff>
    </xdr:from>
    <xdr:to>
      <xdr:col>10</xdr:col>
      <xdr:colOff>304800</xdr:colOff>
      <xdr:row>92</xdr:row>
      <xdr:rowOff>127000</xdr:rowOff>
    </xdr:to>
    <xdr:sp macro="" textlink="">
      <xdr:nvSpPr>
        <xdr:cNvPr id="216" name="AutoShape 217" descr="TPE">
          <a:hlinkClick xmlns:r="http://schemas.openxmlformats.org/officeDocument/2006/relationships" r:id="rId214"/>
          <a:extLst>
            <a:ext uri="{FF2B5EF4-FFF2-40B4-BE49-F238E27FC236}">
              <a16:creationId xmlns:a16="http://schemas.microsoft.com/office/drawing/2014/main" id="{48B771A7-C26F-42BA-9DF1-2CEB4263662E}"/>
            </a:ext>
          </a:extLst>
        </xdr:cNvPr>
        <xdr:cNvSpPr>
          <a:spLocks noChangeAspect="1" noChangeArrowheads="1"/>
        </xdr:cNvSpPr>
      </xdr:nvSpPr>
      <xdr:spPr bwMode="auto">
        <a:xfrm>
          <a:off x="0" y="1853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226</xdr:row>
      <xdr:rowOff>0</xdr:rowOff>
    </xdr:from>
    <xdr:to>
      <xdr:col>10</xdr:col>
      <xdr:colOff>304800</xdr:colOff>
      <xdr:row>227</xdr:row>
      <xdr:rowOff>127000</xdr:rowOff>
    </xdr:to>
    <xdr:sp macro="" textlink="">
      <xdr:nvSpPr>
        <xdr:cNvPr id="217" name="AutoShape 218" descr="USA">
          <a:hlinkClick xmlns:r="http://schemas.openxmlformats.org/officeDocument/2006/relationships" r:id="rId215"/>
          <a:extLst>
            <a:ext uri="{FF2B5EF4-FFF2-40B4-BE49-F238E27FC236}">
              <a16:creationId xmlns:a16="http://schemas.microsoft.com/office/drawing/2014/main" id="{B77BA3F8-77C8-4654-BFF2-F361F87DAA44}"/>
            </a:ext>
          </a:extLst>
        </xdr:cNvPr>
        <xdr:cNvSpPr>
          <a:spLocks noChangeAspect="1" noChangeArrowheads="1"/>
        </xdr:cNvSpPr>
      </xdr:nvSpPr>
      <xdr:spPr bwMode="auto">
        <a:xfrm>
          <a:off x="0" y="446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109</xdr:row>
      <xdr:rowOff>0</xdr:rowOff>
    </xdr:from>
    <xdr:to>
      <xdr:col>10</xdr:col>
      <xdr:colOff>304800</xdr:colOff>
      <xdr:row>110</xdr:row>
      <xdr:rowOff>127000</xdr:rowOff>
    </xdr:to>
    <xdr:sp macro="" textlink="">
      <xdr:nvSpPr>
        <xdr:cNvPr id="218" name="AutoShape 219" descr="COL">
          <a:hlinkClick xmlns:r="http://schemas.openxmlformats.org/officeDocument/2006/relationships" r:id="rId216"/>
          <a:extLst>
            <a:ext uri="{FF2B5EF4-FFF2-40B4-BE49-F238E27FC236}">
              <a16:creationId xmlns:a16="http://schemas.microsoft.com/office/drawing/2014/main" id="{87153CFE-DD60-4C08-8994-FD03BF3B4E5C}"/>
            </a:ext>
          </a:extLst>
        </xdr:cNvPr>
        <xdr:cNvSpPr>
          <a:spLocks noChangeAspect="1" noChangeArrowheads="1"/>
        </xdr:cNvSpPr>
      </xdr:nvSpPr>
      <xdr:spPr bwMode="auto">
        <a:xfrm>
          <a:off x="0" y="2196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xdr:row>
      <xdr:rowOff>0</xdr:rowOff>
    </xdr:from>
    <xdr:to>
      <xdr:col>10</xdr:col>
      <xdr:colOff>304800</xdr:colOff>
      <xdr:row>17</xdr:row>
      <xdr:rowOff>127000</xdr:rowOff>
    </xdr:to>
    <xdr:sp macro="" textlink="">
      <xdr:nvSpPr>
        <xdr:cNvPr id="219" name="AutoShape 220" descr="USA">
          <a:hlinkClick xmlns:r="http://schemas.openxmlformats.org/officeDocument/2006/relationships" r:id="rId217"/>
          <a:extLst>
            <a:ext uri="{FF2B5EF4-FFF2-40B4-BE49-F238E27FC236}">
              <a16:creationId xmlns:a16="http://schemas.microsoft.com/office/drawing/2014/main" id="{B6B67F75-D089-4B9D-8115-FE6E665E116B}"/>
            </a:ext>
          </a:extLst>
        </xdr:cNvPr>
        <xdr:cNvSpPr>
          <a:spLocks noChangeAspect="1" noChangeArrowheads="1"/>
        </xdr:cNvSpPr>
      </xdr:nvSpPr>
      <xdr:spPr bwMode="auto">
        <a:xfrm>
          <a:off x="0" y="42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74</xdr:row>
      <xdr:rowOff>0</xdr:rowOff>
    </xdr:from>
    <xdr:to>
      <xdr:col>10</xdr:col>
      <xdr:colOff>304800</xdr:colOff>
      <xdr:row>75</xdr:row>
      <xdr:rowOff>127000</xdr:rowOff>
    </xdr:to>
    <xdr:sp macro="" textlink="">
      <xdr:nvSpPr>
        <xdr:cNvPr id="220" name="AutoShape 221" descr="USA">
          <a:hlinkClick xmlns:r="http://schemas.openxmlformats.org/officeDocument/2006/relationships" r:id="rId218"/>
          <a:extLst>
            <a:ext uri="{FF2B5EF4-FFF2-40B4-BE49-F238E27FC236}">
              <a16:creationId xmlns:a16="http://schemas.microsoft.com/office/drawing/2014/main" id="{B33FF95E-2C95-4BA0-BF3A-B3632486972F}"/>
            </a:ext>
          </a:extLst>
        </xdr:cNvPr>
        <xdr:cNvSpPr>
          <a:spLocks noChangeAspect="1" noChangeArrowheads="1"/>
        </xdr:cNvSpPr>
      </xdr:nvSpPr>
      <xdr:spPr bwMode="auto">
        <a:xfrm>
          <a:off x="0" y="1529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125</xdr:row>
      <xdr:rowOff>0</xdr:rowOff>
    </xdr:from>
    <xdr:to>
      <xdr:col>10</xdr:col>
      <xdr:colOff>304800</xdr:colOff>
      <xdr:row>126</xdr:row>
      <xdr:rowOff>127000</xdr:rowOff>
    </xdr:to>
    <xdr:sp macro="" textlink="">
      <xdr:nvSpPr>
        <xdr:cNvPr id="221" name="AutoShape 222" descr="USA">
          <a:hlinkClick xmlns:r="http://schemas.openxmlformats.org/officeDocument/2006/relationships" r:id="rId219"/>
          <a:extLst>
            <a:ext uri="{FF2B5EF4-FFF2-40B4-BE49-F238E27FC236}">
              <a16:creationId xmlns:a16="http://schemas.microsoft.com/office/drawing/2014/main" id="{D84118AB-09F8-44D6-9C49-6276FED2A77B}"/>
            </a:ext>
          </a:extLst>
        </xdr:cNvPr>
        <xdr:cNvSpPr>
          <a:spLocks noChangeAspect="1" noChangeArrowheads="1"/>
        </xdr:cNvSpPr>
      </xdr:nvSpPr>
      <xdr:spPr bwMode="auto">
        <a:xfrm>
          <a:off x="0" y="2501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136</xdr:row>
      <xdr:rowOff>0</xdr:rowOff>
    </xdr:from>
    <xdr:to>
      <xdr:col>10</xdr:col>
      <xdr:colOff>304800</xdr:colOff>
      <xdr:row>137</xdr:row>
      <xdr:rowOff>127000</xdr:rowOff>
    </xdr:to>
    <xdr:sp macro="" textlink="">
      <xdr:nvSpPr>
        <xdr:cNvPr id="222" name="AutoShape 223" descr="USA">
          <a:hlinkClick xmlns:r="http://schemas.openxmlformats.org/officeDocument/2006/relationships" r:id="rId220"/>
          <a:extLst>
            <a:ext uri="{FF2B5EF4-FFF2-40B4-BE49-F238E27FC236}">
              <a16:creationId xmlns:a16="http://schemas.microsoft.com/office/drawing/2014/main" id="{53DDD165-CDCA-41B1-9063-1646B35920D5}"/>
            </a:ext>
          </a:extLst>
        </xdr:cNvPr>
        <xdr:cNvSpPr>
          <a:spLocks noChangeAspect="1" noChangeArrowheads="1"/>
        </xdr:cNvSpPr>
      </xdr:nvSpPr>
      <xdr:spPr bwMode="auto">
        <a:xfrm>
          <a:off x="0" y="2710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60</xdr:row>
      <xdr:rowOff>0</xdr:rowOff>
    </xdr:from>
    <xdr:to>
      <xdr:col>10</xdr:col>
      <xdr:colOff>304800</xdr:colOff>
      <xdr:row>61</xdr:row>
      <xdr:rowOff>127000</xdr:rowOff>
    </xdr:to>
    <xdr:sp macro="" textlink="">
      <xdr:nvSpPr>
        <xdr:cNvPr id="223" name="AutoShape 224" descr="USA">
          <a:hlinkClick xmlns:r="http://schemas.openxmlformats.org/officeDocument/2006/relationships" r:id="rId221"/>
          <a:extLst>
            <a:ext uri="{FF2B5EF4-FFF2-40B4-BE49-F238E27FC236}">
              <a16:creationId xmlns:a16="http://schemas.microsoft.com/office/drawing/2014/main" id="{BC867455-88CF-4074-8C8E-E0BA50C637DF}"/>
            </a:ext>
          </a:extLst>
        </xdr:cNvPr>
        <xdr:cNvSpPr>
          <a:spLocks noChangeAspect="1" noChangeArrowheads="1"/>
        </xdr:cNvSpPr>
      </xdr:nvSpPr>
      <xdr:spPr bwMode="auto">
        <a:xfrm>
          <a:off x="0" y="1263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103</xdr:row>
      <xdr:rowOff>0</xdr:rowOff>
    </xdr:from>
    <xdr:to>
      <xdr:col>10</xdr:col>
      <xdr:colOff>304800</xdr:colOff>
      <xdr:row>104</xdr:row>
      <xdr:rowOff>127000</xdr:rowOff>
    </xdr:to>
    <xdr:sp macro="" textlink="">
      <xdr:nvSpPr>
        <xdr:cNvPr id="224" name="AutoShape 225" descr="IND">
          <a:hlinkClick xmlns:r="http://schemas.openxmlformats.org/officeDocument/2006/relationships" r:id="rId222"/>
          <a:extLst>
            <a:ext uri="{FF2B5EF4-FFF2-40B4-BE49-F238E27FC236}">
              <a16:creationId xmlns:a16="http://schemas.microsoft.com/office/drawing/2014/main" id="{1940325C-E156-4508-A2B7-0AF1F1C652EF}"/>
            </a:ext>
          </a:extLst>
        </xdr:cNvPr>
        <xdr:cNvSpPr>
          <a:spLocks noChangeAspect="1" noChangeArrowheads="1"/>
        </xdr:cNvSpPr>
      </xdr:nvSpPr>
      <xdr:spPr bwMode="auto">
        <a:xfrm>
          <a:off x="0" y="2082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152</xdr:row>
      <xdr:rowOff>0</xdr:rowOff>
    </xdr:from>
    <xdr:to>
      <xdr:col>10</xdr:col>
      <xdr:colOff>304800</xdr:colOff>
      <xdr:row>153</xdr:row>
      <xdr:rowOff>127000</xdr:rowOff>
    </xdr:to>
    <xdr:sp macro="" textlink="">
      <xdr:nvSpPr>
        <xdr:cNvPr id="225" name="AutoShape 226" descr="USA">
          <a:hlinkClick xmlns:r="http://schemas.openxmlformats.org/officeDocument/2006/relationships" r:id="rId223"/>
          <a:extLst>
            <a:ext uri="{FF2B5EF4-FFF2-40B4-BE49-F238E27FC236}">
              <a16:creationId xmlns:a16="http://schemas.microsoft.com/office/drawing/2014/main" id="{EAC2FD7B-785A-43BF-B839-D9AFAC4DF525}"/>
            </a:ext>
          </a:extLst>
        </xdr:cNvPr>
        <xdr:cNvSpPr>
          <a:spLocks noChangeAspect="1" noChangeArrowheads="1"/>
        </xdr:cNvSpPr>
      </xdr:nvSpPr>
      <xdr:spPr bwMode="auto">
        <a:xfrm>
          <a:off x="0" y="3015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59</xdr:row>
      <xdr:rowOff>0</xdr:rowOff>
    </xdr:from>
    <xdr:to>
      <xdr:col>10</xdr:col>
      <xdr:colOff>304800</xdr:colOff>
      <xdr:row>60</xdr:row>
      <xdr:rowOff>127000</xdr:rowOff>
    </xdr:to>
    <xdr:sp macro="" textlink="">
      <xdr:nvSpPr>
        <xdr:cNvPr id="226" name="AutoShape 227" descr="USA">
          <a:hlinkClick xmlns:r="http://schemas.openxmlformats.org/officeDocument/2006/relationships" r:id="rId224"/>
          <a:extLst>
            <a:ext uri="{FF2B5EF4-FFF2-40B4-BE49-F238E27FC236}">
              <a16:creationId xmlns:a16="http://schemas.microsoft.com/office/drawing/2014/main" id="{181CCBD6-66BF-4DF6-8AB6-8095F966F7A1}"/>
            </a:ext>
          </a:extLst>
        </xdr:cNvPr>
        <xdr:cNvSpPr>
          <a:spLocks noChangeAspect="1" noChangeArrowheads="1"/>
        </xdr:cNvSpPr>
      </xdr:nvSpPr>
      <xdr:spPr bwMode="auto">
        <a:xfrm>
          <a:off x="0" y="1243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81</xdr:row>
      <xdr:rowOff>0</xdr:rowOff>
    </xdr:from>
    <xdr:to>
      <xdr:col>10</xdr:col>
      <xdr:colOff>304800</xdr:colOff>
      <xdr:row>82</xdr:row>
      <xdr:rowOff>127000</xdr:rowOff>
    </xdr:to>
    <xdr:sp macro="" textlink="">
      <xdr:nvSpPr>
        <xdr:cNvPr id="227" name="AutoShape 228" descr="USA">
          <a:hlinkClick xmlns:r="http://schemas.openxmlformats.org/officeDocument/2006/relationships" r:id="rId225"/>
          <a:extLst>
            <a:ext uri="{FF2B5EF4-FFF2-40B4-BE49-F238E27FC236}">
              <a16:creationId xmlns:a16="http://schemas.microsoft.com/office/drawing/2014/main" id="{24C46FE2-D0CB-495A-B3D8-0F36989A49BD}"/>
            </a:ext>
          </a:extLst>
        </xdr:cNvPr>
        <xdr:cNvSpPr>
          <a:spLocks noChangeAspect="1" noChangeArrowheads="1"/>
        </xdr:cNvSpPr>
      </xdr:nvSpPr>
      <xdr:spPr bwMode="auto">
        <a:xfrm>
          <a:off x="0" y="1663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229</xdr:row>
      <xdr:rowOff>0</xdr:rowOff>
    </xdr:from>
    <xdr:to>
      <xdr:col>10</xdr:col>
      <xdr:colOff>304800</xdr:colOff>
      <xdr:row>230</xdr:row>
      <xdr:rowOff>114300</xdr:rowOff>
    </xdr:to>
    <xdr:sp macro="" textlink="">
      <xdr:nvSpPr>
        <xdr:cNvPr id="228" name="AutoShape 229" descr="USA">
          <a:hlinkClick xmlns:r="http://schemas.openxmlformats.org/officeDocument/2006/relationships" r:id="rId226"/>
          <a:extLst>
            <a:ext uri="{FF2B5EF4-FFF2-40B4-BE49-F238E27FC236}">
              <a16:creationId xmlns:a16="http://schemas.microsoft.com/office/drawing/2014/main" id="{742EECCB-1B7C-4316-9F92-CB08B0B9B244}"/>
            </a:ext>
          </a:extLst>
        </xdr:cNvPr>
        <xdr:cNvSpPr>
          <a:spLocks noChangeAspect="1" noChangeArrowheads="1"/>
        </xdr:cNvSpPr>
      </xdr:nvSpPr>
      <xdr:spPr bwMode="auto">
        <a:xfrm>
          <a:off x="0" y="45205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0</xdr:rowOff>
    </xdr:from>
    <xdr:to>
      <xdr:col>10</xdr:col>
      <xdr:colOff>304800</xdr:colOff>
      <xdr:row>7</xdr:row>
      <xdr:rowOff>127000</xdr:rowOff>
    </xdr:to>
    <xdr:sp macro="" textlink="">
      <xdr:nvSpPr>
        <xdr:cNvPr id="229" name="AutoShape 230" descr="RSA">
          <a:hlinkClick xmlns:r="http://schemas.openxmlformats.org/officeDocument/2006/relationships" r:id="rId227"/>
          <a:extLst>
            <a:ext uri="{FF2B5EF4-FFF2-40B4-BE49-F238E27FC236}">
              <a16:creationId xmlns:a16="http://schemas.microsoft.com/office/drawing/2014/main" id="{84DDEFB1-E97E-4DD6-8DBE-AC61C586A256}"/>
            </a:ext>
          </a:extLst>
        </xdr:cNvPr>
        <xdr:cNvSpPr>
          <a:spLocks noChangeAspect="1" noChangeArrowheads="1"/>
        </xdr:cNvSpPr>
      </xdr:nvSpPr>
      <xdr:spPr bwMode="auto">
        <a:xfrm>
          <a:off x="0" y="23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34</xdr:row>
      <xdr:rowOff>0</xdr:rowOff>
    </xdr:from>
    <xdr:to>
      <xdr:col>10</xdr:col>
      <xdr:colOff>304800</xdr:colOff>
      <xdr:row>35</xdr:row>
      <xdr:rowOff>127000</xdr:rowOff>
    </xdr:to>
    <xdr:sp macro="" textlink="">
      <xdr:nvSpPr>
        <xdr:cNvPr id="230" name="AutoShape 231" descr="USA">
          <a:hlinkClick xmlns:r="http://schemas.openxmlformats.org/officeDocument/2006/relationships" r:id="rId228"/>
          <a:extLst>
            <a:ext uri="{FF2B5EF4-FFF2-40B4-BE49-F238E27FC236}">
              <a16:creationId xmlns:a16="http://schemas.microsoft.com/office/drawing/2014/main" id="{1AF51AC8-23BA-449B-96C3-A7580835BE10}"/>
            </a:ext>
          </a:extLst>
        </xdr:cNvPr>
        <xdr:cNvSpPr>
          <a:spLocks noChangeAspect="1" noChangeArrowheads="1"/>
        </xdr:cNvSpPr>
      </xdr:nvSpPr>
      <xdr:spPr bwMode="auto">
        <a:xfrm>
          <a:off x="0" y="767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xdr:row>
      <xdr:rowOff>0</xdr:rowOff>
    </xdr:from>
    <xdr:to>
      <xdr:col>10</xdr:col>
      <xdr:colOff>304800</xdr:colOff>
      <xdr:row>13</xdr:row>
      <xdr:rowOff>127000</xdr:rowOff>
    </xdr:to>
    <xdr:sp macro="" textlink="">
      <xdr:nvSpPr>
        <xdr:cNvPr id="231" name="AutoShape 232" descr="USA">
          <a:hlinkClick xmlns:r="http://schemas.openxmlformats.org/officeDocument/2006/relationships" r:id="rId229"/>
          <a:extLst>
            <a:ext uri="{FF2B5EF4-FFF2-40B4-BE49-F238E27FC236}">
              <a16:creationId xmlns:a16="http://schemas.microsoft.com/office/drawing/2014/main" id="{4BD165E3-9C81-4C01-A0C9-33C631D00B2B}"/>
            </a:ext>
          </a:extLst>
        </xdr:cNvPr>
        <xdr:cNvSpPr>
          <a:spLocks noChangeAspect="1" noChangeArrowheads="1"/>
        </xdr:cNvSpPr>
      </xdr:nvSpPr>
      <xdr:spPr bwMode="auto">
        <a:xfrm>
          <a:off x="0" y="34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180</xdr:row>
      <xdr:rowOff>0</xdr:rowOff>
    </xdr:from>
    <xdr:to>
      <xdr:col>10</xdr:col>
      <xdr:colOff>304800</xdr:colOff>
      <xdr:row>181</xdr:row>
      <xdr:rowOff>127000</xdr:rowOff>
    </xdr:to>
    <xdr:sp macro="" textlink="">
      <xdr:nvSpPr>
        <xdr:cNvPr id="232" name="AutoShape 233" descr="USA">
          <a:hlinkClick xmlns:r="http://schemas.openxmlformats.org/officeDocument/2006/relationships" r:id="rId230"/>
          <a:extLst>
            <a:ext uri="{FF2B5EF4-FFF2-40B4-BE49-F238E27FC236}">
              <a16:creationId xmlns:a16="http://schemas.microsoft.com/office/drawing/2014/main" id="{8D47EC58-14A4-4A20-AC24-28C7C315CF59}"/>
            </a:ext>
          </a:extLst>
        </xdr:cNvPr>
        <xdr:cNvSpPr>
          <a:spLocks noChangeAspect="1" noChangeArrowheads="1"/>
        </xdr:cNvSpPr>
      </xdr:nvSpPr>
      <xdr:spPr bwMode="auto">
        <a:xfrm>
          <a:off x="0" y="3549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44</xdr:row>
      <xdr:rowOff>0</xdr:rowOff>
    </xdr:from>
    <xdr:to>
      <xdr:col>10</xdr:col>
      <xdr:colOff>304800</xdr:colOff>
      <xdr:row>45</xdr:row>
      <xdr:rowOff>127000</xdr:rowOff>
    </xdr:to>
    <xdr:sp macro="" textlink="">
      <xdr:nvSpPr>
        <xdr:cNvPr id="233" name="AutoShape 234" descr="USA">
          <a:hlinkClick xmlns:r="http://schemas.openxmlformats.org/officeDocument/2006/relationships" r:id="rId231"/>
          <a:extLst>
            <a:ext uri="{FF2B5EF4-FFF2-40B4-BE49-F238E27FC236}">
              <a16:creationId xmlns:a16="http://schemas.microsoft.com/office/drawing/2014/main" id="{06AB7EFD-9729-4877-AE47-4DC230013C3A}"/>
            </a:ext>
          </a:extLst>
        </xdr:cNvPr>
        <xdr:cNvSpPr>
          <a:spLocks noChangeAspect="1" noChangeArrowheads="1"/>
        </xdr:cNvSpPr>
      </xdr:nvSpPr>
      <xdr:spPr bwMode="auto">
        <a:xfrm>
          <a:off x="0" y="958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182</xdr:row>
      <xdr:rowOff>0</xdr:rowOff>
    </xdr:from>
    <xdr:to>
      <xdr:col>10</xdr:col>
      <xdr:colOff>304800</xdr:colOff>
      <xdr:row>183</xdr:row>
      <xdr:rowOff>127000</xdr:rowOff>
    </xdr:to>
    <xdr:sp macro="" textlink="">
      <xdr:nvSpPr>
        <xdr:cNvPr id="234" name="AutoShape 235" descr="SWE">
          <a:hlinkClick xmlns:r="http://schemas.openxmlformats.org/officeDocument/2006/relationships" r:id="rId232"/>
          <a:extLst>
            <a:ext uri="{FF2B5EF4-FFF2-40B4-BE49-F238E27FC236}">
              <a16:creationId xmlns:a16="http://schemas.microsoft.com/office/drawing/2014/main" id="{5C5BF654-5EE9-4B99-802E-25BF6302064B}"/>
            </a:ext>
          </a:extLst>
        </xdr:cNvPr>
        <xdr:cNvSpPr>
          <a:spLocks noChangeAspect="1" noChangeArrowheads="1"/>
        </xdr:cNvSpPr>
      </xdr:nvSpPr>
      <xdr:spPr bwMode="auto">
        <a:xfrm>
          <a:off x="0" y="3587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65</xdr:row>
      <xdr:rowOff>0</xdr:rowOff>
    </xdr:from>
    <xdr:to>
      <xdr:col>10</xdr:col>
      <xdr:colOff>304800</xdr:colOff>
      <xdr:row>66</xdr:row>
      <xdr:rowOff>127000</xdr:rowOff>
    </xdr:to>
    <xdr:sp macro="" textlink="">
      <xdr:nvSpPr>
        <xdr:cNvPr id="235" name="AutoShape 236" descr="KOR">
          <a:hlinkClick xmlns:r="http://schemas.openxmlformats.org/officeDocument/2006/relationships" r:id="rId233"/>
          <a:extLst>
            <a:ext uri="{FF2B5EF4-FFF2-40B4-BE49-F238E27FC236}">
              <a16:creationId xmlns:a16="http://schemas.microsoft.com/office/drawing/2014/main" id="{F201C23C-A895-4A65-80B2-B938F54BD89F}"/>
            </a:ext>
          </a:extLst>
        </xdr:cNvPr>
        <xdr:cNvSpPr>
          <a:spLocks noChangeAspect="1" noChangeArrowheads="1"/>
        </xdr:cNvSpPr>
      </xdr:nvSpPr>
      <xdr:spPr bwMode="auto">
        <a:xfrm>
          <a:off x="0" y="1358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0</xdr:rowOff>
    </xdr:from>
    <xdr:to>
      <xdr:col>10</xdr:col>
      <xdr:colOff>304800</xdr:colOff>
      <xdr:row>32</xdr:row>
      <xdr:rowOff>127000</xdr:rowOff>
    </xdr:to>
    <xdr:sp macro="" textlink="">
      <xdr:nvSpPr>
        <xdr:cNvPr id="236" name="AutoShape 1" descr="ESP">
          <a:hlinkClick xmlns:r="http://schemas.openxmlformats.org/officeDocument/2006/relationships" r:id="rId1"/>
          <a:extLst>
            <a:ext uri="{FF2B5EF4-FFF2-40B4-BE49-F238E27FC236}">
              <a16:creationId xmlns:a16="http://schemas.microsoft.com/office/drawing/2014/main" id="{DF7BADCB-633C-4A1B-985A-AB2135766F3D}"/>
            </a:ext>
          </a:extLst>
        </xdr:cNvPr>
        <xdr:cNvSpPr>
          <a:spLocks noChangeAspect="1" noChangeArrowheads="1"/>
        </xdr:cNvSpPr>
      </xdr:nvSpPr>
      <xdr:spPr bwMode="auto">
        <a:xfrm>
          <a:off x="1219200" y="729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167</xdr:row>
      <xdr:rowOff>0</xdr:rowOff>
    </xdr:from>
    <xdr:to>
      <xdr:col>10</xdr:col>
      <xdr:colOff>304800</xdr:colOff>
      <xdr:row>168</xdr:row>
      <xdr:rowOff>127000</xdr:rowOff>
    </xdr:to>
    <xdr:sp macro="" textlink="">
      <xdr:nvSpPr>
        <xdr:cNvPr id="237" name="AutoShape 2" descr="USA">
          <a:hlinkClick xmlns:r="http://schemas.openxmlformats.org/officeDocument/2006/relationships" r:id="rId234"/>
          <a:extLst>
            <a:ext uri="{FF2B5EF4-FFF2-40B4-BE49-F238E27FC236}">
              <a16:creationId xmlns:a16="http://schemas.microsoft.com/office/drawing/2014/main" id="{70864893-9767-4FA1-9468-4FBD1D891465}"/>
            </a:ext>
          </a:extLst>
        </xdr:cNvPr>
        <xdr:cNvSpPr>
          <a:spLocks noChangeAspect="1" noChangeArrowheads="1"/>
        </xdr:cNvSpPr>
      </xdr:nvSpPr>
      <xdr:spPr bwMode="auto">
        <a:xfrm>
          <a:off x="1219200" y="3320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212</xdr:row>
      <xdr:rowOff>0</xdr:rowOff>
    </xdr:from>
    <xdr:to>
      <xdr:col>10</xdr:col>
      <xdr:colOff>304800</xdr:colOff>
      <xdr:row>213</xdr:row>
      <xdr:rowOff>127000</xdr:rowOff>
    </xdr:to>
    <xdr:sp macro="" textlink="">
      <xdr:nvSpPr>
        <xdr:cNvPr id="238" name="AutoShape 3" descr="USA">
          <a:hlinkClick xmlns:r="http://schemas.openxmlformats.org/officeDocument/2006/relationships" r:id="rId2"/>
          <a:extLst>
            <a:ext uri="{FF2B5EF4-FFF2-40B4-BE49-F238E27FC236}">
              <a16:creationId xmlns:a16="http://schemas.microsoft.com/office/drawing/2014/main" id="{E4E9386F-D877-49AB-988C-6E41217BD69A}"/>
            </a:ext>
          </a:extLst>
        </xdr:cNvPr>
        <xdr:cNvSpPr>
          <a:spLocks noChangeAspect="1" noChangeArrowheads="1"/>
        </xdr:cNvSpPr>
      </xdr:nvSpPr>
      <xdr:spPr bwMode="auto">
        <a:xfrm>
          <a:off x="1219200" y="421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182</xdr:row>
      <xdr:rowOff>0</xdr:rowOff>
    </xdr:from>
    <xdr:to>
      <xdr:col>10</xdr:col>
      <xdr:colOff>304800</xdr:colOff>
      <xdr:row>183</xdr:row>
      <xdr:rowOff>127000</xdr:rowOff>
    </xdr:to>
    <xdr:sp macro="" textlink="">
      <xdr:nvSpPr>
        <xdr:cNvPr id="239" name="AutoShape 4" descr="USA">
          <a:hlinkClick xmlns:r="http://schemas.openxmlformats.org/officeDocument/2006/relationships" r:id="rId10"/>
          <a:extLst>
            <a:ext uri="{FF2B5EF4-FFF2-40B4-BE49-F238E27FC236}">
              <a16:creationId xmlns:a16="http://schemas.microsoft.com/office/drawing/2014/main" id="{19685664-F1F6-411C-8CA9-F3D9F2C58814}"/>
            </a:ext>
          </a:extLst>
        </xdr:cNvPr>
        <xdr:cNvSpPr>
          <a:spLocks noChangeAspect="1" noChangeArrowheads="1"/>
        </xdr:cNvSpPr>
      </xdr:nvSpPr>
      <xdr:spPr bwMode="auto">
        <a:xfrm>
          <a:off x="1219200" y="3606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60</xdr:row>
      <xdr:rowOff>0</xdr:rowOff>
    </xdr:from>
    <xdr:to>
      <xdr:col>10</xdr:col>
      <xdr:colOff>304800</xdr:colOff>
      <xdr:row>61</xdr:row>
      <xdr:rowOff>127000</xdr:rowOff>
    </xdr:to>
    <xdr:sp macro="" textlink="">
      <xdr:nvSpPr>
        <xdr:cNvPr id="240" name="AutoShape 5" descr="USA">
          <a:hlinkClick xmlns:r="http://schemas.openxmlformats.org/officeDocument/2006/relationships" r:id="rId3"/>
          <a:extLst>
            <a:ext uri="{FF2B5EF4-FFF2-40B4-BE49-F238E27FC236}">
              <a16:creationId xmlns:a16="http://schemas.microsoft.com/office/drawing/2014/main" id="{60F58EF8-1AA6-4ED5-994A-73A17C64D702}"/>
            </a:ext>
          </a:extLst>
        </xdr:cNvPr>
        <xdr:cNvSpPr>
          <a:spLocks noChangeAspect="1" noChangeArrowheads="1"/>
        </xdr:cNvSpPr>
      </xdr:nvSpPr>
      <xdr:spPr bwMode="auto">
        <a:xfrm>
          <a:off x="1219200" y="1282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209</xdr:row>
      <xdr:rowOff>0</xdr:rowOff>
    </xdr:from>
    <xdr:to>
      <xdr:col>10</xdr:col>
      <xdr:colOff>304800</xdr:colOff>
      <xdr:row>210</xdr:row>
      <xdr:rowOff>127000</xdr:rowOff>
    </xdr:to>
    <xdr:sp macro="" textlink="">
      <xdr:nvSpPr>
        <xdr:cNvPr id="241" name="AutoShape 6" descr="USA">
          <a:hlinkClick xmlns:r="http://schemas.openxmlformats.org/officeDocument/2006/relationships" r:id="rId4"/>
          <a:extLst>
            <a:ext uri="{FF2B5EF4-FFF2-40B4-BE49-F238E27FC236}">
              <a16:creationId xmlns:a16="http://schemas.microsoft.com/office/drawing/2014/main" id="{716BA82B-3457-4584-A614-5855E8351B4D}"/>
            </a:ext>
          </a:extLst>
        </xdr:cNvPr>
        <xdr:cNvSpPr>
          <a:spLocks noChangeAspect="1" noChangeArrowheads="1"/>
        </xdr:cNvSpPr>
      </xdr:nvSpPr>
      <xdr:spPr bwMode="auto">
        <a:xfrm>
          <a:off x="1219200" y="415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xdr:row>
      <xdr:rowOff>0</xdr:rowOff>
    </xdr:from>
    <xdr:to>
      <xdr:col>10</xdr:col>
      <xdr:colOff>304800</xdr:colOff>
      <xdr:row>17</xdr:row>
      <xdr:rowOff>127000</xdr:rowOff>
    </xdr:to>
    <xdr:sp macro="" textlink="">
      <xdr:nvSpPr>
        <xdr:cNvPr id="242" name="AutoShape 7" descr="USA">
          <a:hlinkClick xmlns:r="http://schemas.openxmlformats.org/officeDocument/2006/relationships" r:id="rId5"/>
          <a:extLst>
            <a:ext uri="{FF2B5EF4-FFF2-40B4-BE49-F238E27FC236}">
              <a16:creationId xmlns:a16="http://schemas.microsoft.com/office/drawing/2014/main" id="{54A02957-E725-4CE8-9F05-D1682BF56024}"/>
            </a:ext>
          </a:extLst>
        </xdr:cNvPr>
        <xdr:cNvSpPr>
          <a:spLocks noChangeAspect="1" noChangeArrowheads="1"/>
        </xdr:cNvSpPr>
      </xdr:nvSpPr>
      <xdr:spPr bwMode="auto">
        <a:xfrm>
          <a:off x="1219200" y="44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51</xdr:row>
      <xdr:rowOff>0</xdr:rowOff>
    </xdr:from>
    <xdr:to>
      <xdr:col>10</xdr:col>
      <xdr:colOff>304800</xdr:colOff>
      <xdr:row>52</xdr:row>
      <xdr:rowOff>127000</xdr:rowOff>
    </xdr:to>
    <xdr:sp macro="" textlink="">
      <xdr:nvSpPr>
        <xdr:cNvPr id="243" name="AutoShape 8" descr="USA">
          <a:hlinkClick xmlns:r="http://schemas.openxmlformats.org/officeDocument/2006/relationships" r:id="rId6"/>
          <a:extLst>
            <a:ext uri="{FF2B5EF4-FFF2-40B4-BE49-F238E27FC236}">
              <a16:creationId xmlns:a16="http://schemas.microsoft.com/office/drawing/2014/main" id="{5B6E31B8-EDED-4458-964B-BDB82E837127}"/>
            </a:ext>
          </a:extLst>
        </xdr:cNvPr>
        <xdr:cNvSpPr>
          <a:spLocks noChangeAspect="1" noChangeArrowheads="1"/>
        </xdr:cNvSpPr>
      </xdr:nvSpPr>
      <xdr:spPr bwMode="auto">
        <a:xfrm>
          <a:off x="1219200" y="1110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xdr:row>
      <xdr:rowOff>0</xdr:rowOff>
    </xdr:from>
    <xdr:to>
      <xdr:col>10</xdr:col>
      <xdr:colOff>304800</xdr:colOff>
      <xdr:row>11</xdr:row>
      <xdr:rowOff>74083</xdr:rowOff>
    </xdr:to>
    <xdr:sp macro="" textlink="">
      <xdr:nvSpPr>
        <xdr:cNvPr id="244" name="AutoShape 9" descr="USA">
          <a:hlinkClick xmlns:r="http://schemas.openxmlformats.org/officeDocument/2006/relationships" r:id="rId7"/>
          <a:extLst>
            <a:ext uri="{FF2B5EF4-FFF2-40B4-BE49-F238E27FC236}">
              <a16:creationId xmlns:a16="http://schemas.microsoft.com/office/drawing/2014/main" id="{40D4B0D6-8538-4ECA-AAE0-9B93EA9155FE}"/>
            </a:ext>
          </a:extLst>
        </xdr:cNvPr>
        <xdr:cNvSpPr>
          <a:spLocks noChangeAspect="1" noChangeArrowheads="1"/>
        </xdr:cNvSpPr>
      </xdr:nvSpPr>
      <xdr:spPr bwMode="auto">
        <a:xfrm>
          <a:off x="1219200" y="32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186</xdr:row>
      <xdr:rowOff>0</xdr:rowOff>
    </xdr:from>
    <xdr:to>
      <xdr:col>10</xdr:col>
      <xdr:colOff>304800</xdr:colOff>
      <xdr:row>187</xdr:row>
      <xdr:rowOff>127000</xdr:rowOff>
    </xdr:to>
    <xdr:sp macro="" textlink="">
      <xdr:nvSpPr>
        <xdr:cNvPr id="245" name="AutoShape 10" descr="USA">
          <a:hlinkClick xmlns:r="http://schemas.openxmlformats.org/officeDocument/2006/relationships" r:id="rId8"/>
          <a:extLst>
            <a:ext uri="{FF2B5EF4-FFF2-40B4-BE49-F238E27FC236}">
              <a16:creationId xmlns:a16="http://schemas.microsoft.com/office/drawing/2014/main" id="{29652A3D-10F3-4F0A-8F5E-8FDE812AC010}"/>
            </a:ext>
          </a:extLst>
        </xdr:cNvPr>
        <xdr:cNvSpPr>
          <a:spLocks noChangeAspect="1" noChangeArrowheads="1"/>
        </xdr:cNvSpPr>
      </xdr:nvSpPr>
      <xdr:spPr bwMode="auto">
        <a:xfrm>
          <a:off x="1219200" y="3682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246" name="AutoShape 11" descr="Top 10 - Comcast Business Top 10">
          <a:extLst>
            <a:ext uri="{FF2B5EF4-FFF2-40B4-BE49-F238E27FC236}">
              <a16:creationId xmlns:a16="http://schemas.microsoft.com/office/drawing/2014/main" id="{9F15A081-5FD7-4BF7-BD1E-8F95C5E6C45F}"/>
            </a:ext>
          </a:extLst>
        </xdr:cNvPr>
        <xdr:cNvSpPr>
          <a:spLocks noChangeAspect="1" noChangeArrowheads="1"/>
        </xdr:cNvSpPr>
      </xdr:nvSpPr>
      <xdr:spPr bwMode="auto">
        <a:xfrm>
          <a:off x="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147</xdr:row>
      <xdr:rowOff>0</xdr:rowOff>
    </xdr:from>
    <xdr:to>
      <xdr:col>10</xdr:col>
      <xdr:colOff>304800</xdr:colOff>
      <xdr:row>148</xdr:row>
      <xdr:rowOff>127000</xdr:rowOff>
    </xdr:to>
    <xdr:sp macro="" textlink="">
      <xdr:nvSpPr>
        <xdr:cNvPr id="247" name="AutoShape 12" descr="NIR">
          <a:hlinkClick xmlns:r="http://schemas.openxmlformats.org/officeDocument/2006/relationships" r:id="rId9"/>
          <a:extLst>
            <a:ext uri="{FF2B5EF4-FFF2-40B4-BE49-F238E27FC236}">
              <a16:creationId xmlns:a16="http://schemas.microsoft.com/office/drawing/2014/main" id="{2D6A8472-76D1-4010-AC07-DB67228FB2F5}"/>
            </a:ext>
          </a:extLst>
        </xdr:cNvPr>
        <xdr:cNvSpPr>
          <a:spLocks noChangeAspect="1" noChangeArrowheads="1"/>
        </xdr:cNvSpPr>
      </xdr:nvSpPr>
      <xdr:spPr bwMode="auto">
        <a:xfrm>
          <a:off x="1219200" y="2939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153</xdr:row>
      <xdr:rowOff>0</xdr:rowOff>
    </xdr:from>
    <xdr:to>
      <xdr:col>10</xdr:col>
      <xdr:colOff>304800</xdr:colOff>
      <xdr:row>154</xdr:row>
      <xdr:rowOff>127000</xdr:rowOff>
    </xdr:to>
    <xdr:sp macro="" textlink="">
      <xdr:nvSpPr>
        <xdr:cNvPr id="248" name="AutoShape 13" descr="USA">
          <a:hlinkClick xmlns:r="http://schemas.openxmlformats.org/officeDocument/2006/relationships" r:id="rId11"/>
          <a:extLst>
            <a:ext uri="{FF2B5EF4-FFF2-40B4-BE49-F238E27FC236}">
              <a16:creationId xmlns:a16="http://schemas.microsoft.com/office/drawing/2014/main" id="{493EF182-59B4-4121-8970-2342378B2EA8}"/>
            </a:ext>
          </a:extLst>
        </xdr:cNvPr>
        <xdr:cNvSpPr>
          <a:spLocks noChangeAspect="1" noChangeArrowheads="1"/>
        </xdr:cNvSpPr>
      </xdr:nvSpPr>
      <xdr:spPr bwMode="auto">
        <a:xfrm>
          <a:off x="1219200" y="3053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52</xdr:row>
      <xdr:rowOff>0</xdr:rowOff>
    </xdr:from>
    <xdr:to>
      <xdr:col>10</xdr:col>
      <xdr:colOff>304800</xdr:colOff>
      <xdr:row>53</xdr:row>
      <xdr:rowOff>127000</xdr:rowOff>
    </xdr:to>
    <xdr:sp macro="" textlink="">
      <xdr:nvSpPr>
        <xdr:cNvPr id="249" name="AutoShape 14" descr="KOR">
          <a:hlinkClick xmlns:r="http://schemas.openxmlformats.org/officeDocument/2006/relationships" r:id="rId12"/>
          <a:extLst>
            <a:ext uri="{FF2B5EF4-FFF2-40B4-BE49-F238E27FC236}">
              <a16:creationId xmlns:a16="http://schemas.microsoft.com/office/drawing/2014/main" id="{D6271AD6-A778-41CA-A1EA-BE35DD7B6F54}"/>
            </a:ext>
          </a:extLst>
        </xdr:cNvPr>
        <xdr:cNvSpPr>
          <a:spLocks noChangeAspect="1" noChangeArrowheads="1"/>
        </xdr:cNvSpPr>
      </xdr:nvSpPr>
      <xdr:spPr bwMode="auto">
        <a:xfrm>
          <a:off x="1219200" y="1129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148</xdr:row>
      <xdr:rowOff>0</xdr:rowOff>
    </xdr:from>
    <xdr:to>
      <xdr:col>10</xdr:col>
      <xdr:colOff>304800</xdr:colOff>
      <xdr:row>149</xdr:row>
      <xdr:rowOff>127000</xdr:rowOff>
    </xdr:to>
    <xdr:sp macro="" textlink="">
      <xdr:nvSpPr>
        <xdr:cNvPr id="250" name="AutoShape 15" descr="IRL">
          <a:hlinkClick xmlns:r="http://schemas.openxmlformats.org/officeDocument/2006/relationships" r:id="rId13"/>
          <a:extLst>
            <a:ext uri="{FF2B5EF4-FFF2-40B4-BE49-F238E27FC236}">
              <a16:creationId xmlns:a16="http://schemas.microsoft.com/office/drawing/2014/main" id="{2CC8C4D2-7718-4510-8EB8-EB4BABF603CC}"/>
            </a:ext>
          </a:extLst>
        </xdr:cNvPr>
        <xdr:cNvSpPr>
          <a:spLocks noChangeAspect="1" noChangeArrowheads="1"/>
        </xdr:cNvSpPr>
      </xdr:nvSpPr>
      <xdr:spPr bwMode="auto">
        <a:xfrm>
          <a:off x="1219200" y="2958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165</xdr:row>
      <xdr:rowOff>0</xdr:rowOff>
    </xdr:from>
    <xdr:to>
      <xdr:col>10</xdr:col>
      <xdr:colOff>304800</xdr:colOff>
      <xdr:row>166</xdr:row>
      <xdr:rowOff>127000</xdr:rowOff>
    </xdr:to>
    <xdr:sp macro="" textlink="">
      <xdr:nvSpPr>
        <xdr:cNvPr id="251" name="AutoShape 16" descr="USA">
          <a:hlinkClick xmlns:r="http://schemas.openxmlformats.org/officeDocument/2006/relationships" r:id="rId14"/>
          <a:extLst>
            <a:ext uri="{FF2B5EF4-FFF2-40B4-BE49-F238E27FC236}">
              <a16:creationId xmlns:a16="http://schemas.microsoft.com/office/drawing/2014/main" id="{110690B4-F839-4591-B07F-F8EC1642C82D}"/>
            </a:ext>
          </a:extLst>
        </xdr:cNvPr>
        <xdr:cNvSpPr>
          <a:spLocks noChangeAspect="1" noChangeArrowheads="1"/>
        </xdr:cNvSpPr>
      </xdr:nvSpPr>
      <xdr:spPr bwMode="auto">
        <a:xfrm>
          <a:off x="1219200" y="3282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37</xdr:row>
      <xdr:rowOff>0</xdr:rowOff>
    </xdr:from>
    <xdr:to>
      <xdr:col>10</xdr:col>
      <xdr:colOff>304800</xdr:colOff>
      <xdr:row>38</xdr:row>
      <xdr:rowOff>127000</xdr:rowOff>
    </xdr:to>
    <xdr:sp macro="" textlink="">
      <xdr:nvSpPr>
        <xdr:cNvPr id="252" name="AutoShape 17" descr="CAN">
          <a:hlinkClick xmlns:r="http://schemas.openxmlformats.org/officeDocument/2006/relationships" r:id="rId15"/>
          <a:extLst>
            <a:ext uri="{FF2B5EF4-FFF2-40B4-BE49-F238E27FC236}">
              <a16:creationId xmlns:a16="http://schemas.microsoft.com/office/drawing/2014/main" id="{9BAACF94-DBF9-4FF6-A912-DCAF0F055E09}"/>
            </a:ext>
          </a:extLst>
        </xdr:cNvPr>
        <xdr:cNvSpPr>
          <a:spLocks noChangeAspect="1" noChangeArrowheads="1"/>
        </xdr:cNvSpPr>
      </xdr:nvSpPr>
      <xdr:spPr bwMode="auto">
        <a:xfrm>
          <a:off x="1219200" y="843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253" name="AutoShape 18" descr="KOR">
          <a:hlinkClick xmlns:r="http://schemas.openxmlformats.org/officeDocument/2006/relationships" r:id="rId16"/>
          <a:extLst>
            <a:ext uri="{FF2B5EF4-FFF2-40B4-BE49-F238E27FC236}">
              <a16:creationId xmlns:a16="http://schemas.microsoft.com/office/drawing/2014/main" id="{10CBA936-DD36-4EB5-A0B6-5C955BD092C7}"/>
            </a:ext>
          </a:extLst>
        </xdr:cNvPr>
        <xdr:cNvSpPr>
          <a:spLocks noChangeAspect="1" noChangeArrowheads="1"/>
        </xdr:cNvSpPr>
      </xdr:nvSpPr>
      <xdr:spPr bwMode="auto">
        <a:xfrm>
          <a:off x="1219200" y="762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130</xdr:row>
      <xdr:rowOff>0</xdr:rowOff>
    </xdr:from>
    <xdr:to>
      <xdr:col>10</xdr:col>
      <xdr:colOff>304800</xdr:colOff>
      <xdr:row>131</xdr:row>
      <xdr:rowOff>127000</xdr:rowOff>
    </xdr:to>
    <xdr:sp macro="" textlink="">
      <xdr:nvSpPr>
        <xdr:cNvPr id="254" name="AutoShape 19" descr="USA">
          <a:hlinkClick xmlns:r="http://schemas.openxmlformats.org/officeDocument/2006/relationships" r:id="rId17"/>
          <a:extLst>
            <a:ext uri="{FF2B5EF4-FFF2-40B4-BE49-F238E27FC236}">
              <a16:creationId xmlns:a16="http://schemas.microsoft.com/office/drawing/2014/main" id="{462D6CDE-96F8-4611-BC92-0E37ACA64C69}"/>
            </a:ext>
          </a:extLst>
        </xdr:cNvPr>
        <xdr:cNvSpPr>
          <a:spLocks noChangeAspect="1" noChangeArrowheads="1"/>
        </xdr:cNvSpPr>
      </xdr:nvSpPr>
      <xdr:spPr bwMode="auto">
        <a:xfrm>
          <a:off x="1219200" y="2615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53</xdr:row>
      <xdr:rowOff>0</xdr:rowOff>
    </xdr:from>
    <xdr:to>
      <xdr:col>10</xdr:col>
      <xdr:colOff>304800</xdr:colOff>
      <xdr:row>54</xdr:row>
      <xdr:rowOff>127000</xdr:rowOff>
    </xdr:to>
    <xdr:sp macro="" textlink="">
      <xdr:nvSpPr>
        <xdr:cNvPr id="255" name="AutoShape 20" descr="ENG">
          <a:hlinkClick xmlns:r="http://schemas.openxmlformats.org/officeDocument/2006/relationships" r:id="rId18"/>
          <a:extLst>
            <a:ext uri="{FF2B5EF4-FFF2-40B4-BE49-F238E27FC236}">
              <a16:creationId xmlns:a16="http://schemas.microsoft.com/office/drawing/2014/main" id="{B7DB69C9-B680-4C00-96AE-8293AA289C43}"/>
            </a:ext>
          </a:extLst>
        </xdr:cNvPr>
        <xdr:cNvSpPr>
          <a:spLocks noChangeAspect="1" noChangeArrowheads="1"/>
        </xdr:cNvSpPr>
      </xdr:nvSpPr>
      <xdr:spPr bwMode="auto">
        <a:xfrm>
          <a:off x="1219200" y="1148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75</xdr:row>
      <xdr:rowOff>0</xdr:rowOff>
    </xdr:from>
    <xdr:to>
      <xdr:col>10</xdr:col>
      <xdr:colOff>304800</xdr:colOff>
      <xdr:row>76</xdr:row>
      <xdr:rowOff>127000</xdr:rowOff>
    </xdr:to>
    <xdr:sp macro="" textlink="">
      <xdr:nvSpPr>
        <xdr:cNvPr id="256" name="AutoShape 21" descr="KOR">
          <a:hlinkClick xmlns:r="http://schemas.openxmlformats.org/officeDocument/2006/relationships" r:id="rId19"/>
          <a:extLst>
            <a:ext uri="{FF2B5EF4-FFF2-40B4-BE49-F238E27FC236}">
              <a16:creationId xmlns:a16="http://schemas.microsoft.com/office/drawing/2014/main" id="{5C9D4769-7ED2-48F9-AA05-6958FCBC9445}"/>
            </a:ext>
          </a:extLst>
        </xdr:cNvPr>
        <xdr:cNvSpPr>
          <a:spLocks noChangeAspect="1" noChangeArrowheads="1"/>
        </xdr:cNvSpPr>
      </xdr:nvSpPr>
      <xdr:spPr bwMode="auto">
        <a:xfrm>
          <a:off x="1219200" y="1567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77</xdr:row>
      <xdr:rowOff>0</xdr:rowOff>
    </xdr:from>
    <xdr:to>
      <xdr:col>10</xdr:col>
      <xdr:colOff>304800</xdr:colOff>
      <xdr:row>78</xdr:row>
      <xdr:rowOff>127000</xdr:rowOff>
    </xdr:to>
    <xdr:sp macro="" textlink="">
      <xdr:nvSpPr>
        <xdr:cNvPr id="257" name="AutoShape 22" descr="USA">
          <a:hlinkClick xmlns:r="http://schemas.openxmlformats.org/officeDocument/2006/relationships" r:id="rId20"/>
          <a:extLst>
            <a:ext uri="{FF2B5EF4-FFF2-40B4-BE49-F238E27FC236}">
              <a16:creationId xmlns:a16="http://schemas.microsoft.com/office/drawing/2014/main" id="{64FED10E-D8BC-4051-971C-22F496BF5220}"/>
            </a:ext>
          </a:extLst>
        </xdr:cNvPr>
        <xdr:cNvSpPr>
          <a:spLocks noChangeAspect="1" noChangeArrowheads="1"/>
        </xdr:cNvSpPr>
      </xdr:nvSpPr>
      <xdr:spPr bwMode="auto">
        <a:xfrm>
          <a:off x="1219200" y="1605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71</xdr:row>
      <xdr:rowOff>0</xdr:rowOff>
    </xdr:from>
    <xdr:to>
      <xdr:col>10</xdr:col>
      <xdr:colOff>304800</xdr:colOff>
      <xdr:row>72</xdr:row>
      <xdr:rowOff>127000</xdr:rowOff>
    </xdr:to>
    <xdr:sp macro="" textlink="">
      <xdr:nvSpPr>
        <xdr:cNvPr id="258" name="AutoShape 23" descr="ENG">
          <a:hlinkClick xmlns:r="http://schemas.openxmlformats.org/officeDocument/2006/relationships" r:id="rId21"/>
          <a:extLst>
            <a:ext uri="{FF2B5EF4-FFF2-40B4-BE49-F238E27FC236}">
              <a16:creationId xmlns:a16="http://schemas.microsoft.com/office/drawing/2014/main" id="{2A45A783-0DF1-4B1B-A8A7-5DD5DA939474}"/>
            </a:ext>
          </a:extLst>
        </xdr:cNvPr>
        <xdr:cNvSpPr>
          <a:spLocks noChangeAspect="1" noChangeArrowheads="1"/>
        </xdr:cNvSpPr>
      </xdr:nvSpPr>
      <xdr:spPr bwMode="auto">
        <a:xfrm>
          <a:off x="1219200" y="1491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115</xdr:row>
      <xdr:rowOff>0</xdr:rowOff>
    </xdr:from>
    <xdr:to>
      <xdr:col>10</xdr:col>
      <xdr:colOff>304800</xdr:colOff>
      <xdr:row>116</xdr:row>
      <xdr:rowOff>127000</xdr:rowOff>
    </xdr:to>
    <xdr:sp macro="" textlink="">
      <xdr:nvSpPr>
        <xdr:cNvPr id="259" name="AutoShape 24" descr="USA">
          <a:hlinkClick xmlns:r="http://schemas.openxmlformats.org/officeDocument/2006/relationships" r:id="rId22"/>
          <a:extLst>
            <a:ext uri="{FF2B5EF4-FFF2-40B4-BE49-F238E27FC236}">
              <a16:creationId xmlns:a16="http://schemas.microsoft.com/office/drawing/2014/main" id="{6178F847-97DE-4636-BB0D-8BE6AEE48C9A}"/>
            </a:ext>
          </a:extLst>
        </xdr:cNvPr>
        <xdr:cNvSpPr>
          <a:spLocks noChangeAspect="1" noChangeArrowheads="1"/>
        </xdr:cNvSpPr>
      </xdr:nvSpPr>
      <xdr:spPr bwMode="auto">
        <a:xfrm>
          <a:off x="1219200" y="2329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97</xdr:row>
      <xdr:rowOff>0</xdr:rowOff>
    </xdr:from>
    <xdr:to>
      <xdr:col>10</xdr:col>
      <xdr:colOff>304800</xdr:colOff>
      <xdr:row>98</xdr:row>
      <xdr:rowOff>127000</xdr:rowOff>
    </xdr:to>
    <xdr:sp macro="" textlink="">
      <xdr:nvSpPr>
        <xdr:cNvPr id="260" name="AutoShape 25" descr="USA">
          <a:hlinkClick xmlns:r="http://schemas.openxmlformats.org/officeDocument/2006/relationships" r:id="rId23"/>
          <a:extLst>
            <a:ext uri="{FF2B5EF4-FFF2-40B4-BE49-F238E27FC236}">
              <a16:creationId xmlns:a16="http://schemas.microsoft.com/office/drawing/2014/main" id="{9D700E10-926A-41E9-BAC1-8ACEDB3690C7}"/>
            </a:ext>
          </a:extLst>
        </xdr:cNvPr>
        <xdr:cNvSpPr>
          <a:spLocks noChangeAspect="1" noChangeArrowheads="1"/>
        </xdr:cNvSpPr>
      </xdr:nvSpPr>
      <xdr:spPr bwMode="auto">
        <a:xfrm>
          <a:off x="1219200" y="1986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216</xdr:row>
      <xdr:rowOff>0</xdr:rowOff>
    </xdr:from>
    <xdr:to>
      <xdr:col>10</xdr:col>
      <xdr:colOff>304800</xdr:colOff>
      <xdr:row>217</xdr:row>
      <xdr:rowOff>127000</xdr:rowOff>
    </xdr:to>
    <xdr:sp macro="" textlink="">
      <xdr:nvSpPr>
        <xdr:cNvPr id="261" name="AutoShape 26" descr="CAN">
          <a:hlinkClick xmlns:r="http://schemas.openxmlformats.org/officeDocument/2006/relationships" r:id="rId24"/>
          <a:extLst>
            <a:ext uri="{FF2B5EF4-FFF2-40B4-BE49-F238E27FC236}">
              <a16:creationId xmlns:a16="http://schemas.microsoft.com/office/drawing/2014/main" id="{2438BE60-1C18-4181-9F1A-5FB37F2F6CAD}"/>
            </a:ext>
          </a:extLst>
        </xdr:cNvPr>
        <xdr:cNvSpPr>
          <a:spLocks noChangeAspect="1" noChangeArrowheads="1"/>
        </xdr:cNvSpPr>
      </xdr:nvSpPr>
      <xdr:spPr bwMode="auto">
        <a:xfrm>
          <a:off x="1219200" y="429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89</xdr:row>
      <xdr:rowOff>0</xdr:rowOff>
    </xdr:from>
    <xdr:to>
      <xdr:col>10</xdr:col>
      <xdr:colOff>304800</xdr:colOff>
      <xdr:row>90</xdr:row>
      <xdr:rowOff>127000</xdr:rowOff>
    </xdr:to>
    <xdr:sp macro="" textlink="">
      <xdr:nvSpPr>
        <xdr:cNvPr id="262" name="AutoShape 27" descr="CAN">
          <a:hlinkClick xmlns:r="http://schemas.openxmlformats.org/officeDocument/2006/relationships" r:id="rId25"/>
          <a:extLst>
            <a:ext uri="{FF2B5EF4-FFF2-40B4-BE49-F238E27FC236}">
              <a16:creationId xmlns:a16="http://schemas.microsoft.com/office/drawing/2014/main" id="{9A8BC9A7-56C3-4581-8E11-9A17CEAAB64F}"/>
            </a:ext>
          </a:extLst>
        </xdr:cNvPr>
        <xdr:cNvSpPr>
          <a:spLocks noChangeAspect="1" noChangeArrowheads="1"/>
        </xdr:cNvSpPr>
      </xdr:nvSpPr>
      <xdr:spPr bwMode="auto">
        <a:xfrm>
          <a:off x="1219200" y="1834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137</xdr:row>
      <xdr:rowOff>0</xdr:rowOff>
    </xdr:from>
    <xdr:to>
      <xdr:col>10</xdr:col>
      <xdr:colOff>304800</xdr:colOff>
      <xdr:row>138</xdr:row>
      <xdr:rowOff>127000</xdr:rowOff>
    </xdr:to>
    <xdr:sp macro="" textlink="">
      <xdr:nvSpPr>
        <xdr:cNvPr id="263" name="AutoShape 28" descr="CAN">
          <a:hlinkClick xmlns:r="http://schemas.openxmlformats.org/officeDocument/2006/relationships" r:id="rId26"/>
          <a:extLst>
            <a:ext uri="{FF2B5EF4-FFF2-40B4-BE49-F238E27FC236}">
              <a16:creationId xmlns:a16="http://schemas.microsoft.com/office/drawing/2014/main" id="{48D30E15-32E2-4883-9564-BA9C761A0FDB}"/>
            </a:ext>
          </a:extLst>
        </xdr:cNvPr>
        <xdr:cNvSpPr>
          <a:spLocks noChangeAspect="1" noChangeArrowheads="1"/>
        </xdr:cNvSpPr>
      </xdr:nvSpPr>
      <xdr:spPr bwMode="auto">
        <a:xfrm>
          <a:off x="1219200" y="2748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0</xdr:rowOff>
    </xdr:from>
    <xdr:to>
      <xdr:col>10</xdr:col>
      <xdr:colOff>304800</xdr:colOff>
      <xdr:row>31</xdr:row>
      <xdr:rowOff>127000</xdr:rowOff>
    </xdr:to>
    <xdr:sp macro="" textlink="">
      <xdr:nvSpPr>
        <xdr:cNvPr id="264" name="AutoShape 29" descr="USA">
          <a:hlinkClick xmlns:r="http://schemas.openxmlformats.org/officeDocument/2006/relationships" r:id="rId27"/>
          <a:extLst>
            <a:ext uri="{FF2B5EF4-FFF2-40B4-BE49-F238E27FC236}">
              <a16:creationId xmlns:a16="http://schemas.microsoft.com/office/drawing/2014/main" id="{A505FA9D-01EB-4C92-8696-288D623071DD}"/>
            </a:ext>
          </a:extLst>
        </xdr:cNvPr>
        <xdr:cNvSpPr>
          <a:spLocks noChangeAspect="1" noChangeArrowheads="1"/>
        </xdr:cNvSpPr>
      </xdr:nvSpPr>
      <xdr:spPr bwMode="auto">
        <a:xfrm>
          <a:off x="1219200" y="710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191</xdr:row>
      <xdr:rowOff>0</xdr:rowOff>
    </xdr:from>
    <xdr:to>
      <xdr:col>10</xdr:col>
      <xdr:colOff>304800</xdr:colOff>
      <xdr:row>192</xdr:row>
      <xdr:rowOff>127000</xdr:rowOff>
    </xdr:to>
    <xdr:sp macro="" textlink="">
      <xdr:nvSpPr>
        <xdr:cNvPr id="265" name="AutoShape 30" descr="USA">
          <a:hlinkClick xmlns:r="http://schemas.openxmlformats.org/officeDocument/2006/relationships" r:id="rId28"/>
          <a:extLst>
            <a:ext uri="{FF2B5EF4-FFF2-40B4-BE49-F238E27FC236}">
              <a16:creationId xmlns:a16="http://schemas.microsoft.com/office/drawing/2014/main" id="{0C7BB56D-38D9-412E-B3FC-224A1E0DB865}"/>
            </a:ext>
          </a:extLst>
        </xdr:cNvPr>
        <xdr:cNvSpPr>
          <a:spLocks noChangeAspect="1" noChangeArrowheads="1"/>
        </xdr:cNvSpPr>
      </xdr:nvSpPr>
      <xdr:spPr bwMode="auto">
        <a:xfrm>
          <a:off x="1219200" y="3777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171</xdr:row>
      <xdr:rowOff>0</xdr:rowOff>
    </xdr:from>
    <xdr:to>
      <xdr:col>10</xdr:col>
      <xdr:colOff>304800</xdr:colOff>
      <xdr:row>172</xdr:row>
      <xdr:rowOff>127000</xdr:rowOff>
    </xdr:to>
    <xdr:sp macro="" textlink="">
      <xdr:nvSpPr>
        <xdr:cNvPr id="266" name="AutoShape 31" descr="AUS">
          <a:hlinkClick xmlns:r="http://schemas.openxmlformats.org/officeDocument/2006/relationships" r:id="rId29"/>
          <a:extLst>
            <a:ext uri="{FF2B5EF4-FFF2-40B4-BE49-F238E27FC236}">
              <a16:creationId xmlns:a16="http://schemas.microsoft.com/office/drawing/2014/main" id="{FC941F60-78F2-4887-BDAD-558FD1B6DF0E}"/>
            </a:ext>
          </a:extLst>
        </xdr:cNvPr>
        <xdr:cNvSpPr>
          <a:spLocks noChangeAspect="1" noChangeArrowheads="1"/>
        </xdr:cNvSpPr>
      </xdr:nvSpPr>
      <xdr:spPr bwMode="auto">
        <a:xfrm>
          <a:off x="1219200" y="3396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210</xdr:row>
      <xdr:rowOff>0</xdr:rowOff>
    </xdr:from>
    <xdr:to>
      <xdr:col>10</xdr:col>
      <xdr:colOff>304800</xdr:colOff>
      <xdr:row>211</xdr:row>
      <xdr:rowOff>127000</xdr:rowOff>
    </xdr:to>
    <xdr:sp macro="" textlink="">
      <xdr:nvSpPr>
        <xdr:cNvPr id="267" name="AutoShape 32" descr="USA">
          <a:hlinkClick xmlns:r="http://schemas.openxmlformats.org/officeDocument/2006/relationships" r:id="rId30"/>
          <a:extLst>
            <a:ext uri="{FF2B5EF4-FFF2-40B4-BE49-F238E27FC236}">
              <a16:creationId xmlns:a16="http://schemas.microsoft.com/office/drawing/2014/main" id="{A9C50EC4-01FC-4197-82A1-64F086E163F8}"/>
            </a:ext>
          </a:extLst>
        </xdr:cNvPr>
        <xdr:cNvSpPr>
          <a:spLocks noChangeAspect="1" noChangeArrowheads="1"/>
        </xdr:cNvSpPr>
      </xdr:nvSpPr>
      <xdr:spPr bwMode="auto">
        <a:xfrm>
          <a:off x="1219200" y="417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219</xdr:row>
      <xdr:rowOff>0</xdr:rowOff>
    </xdr:from>
    <xdr:to>
      <xdr:col>10</xdr:col>
      <xdr:colOff>304800</xdr:colOff>
      <xdr:row>220</xdr:row>
      <xdr:rowOff>127000</xdr:rowOff>
    </xdr:to>
    <xdr:sp macro="" textlink="">
      <xdr:nvSpPr>
        <xdr:cNvPr id="268" name="AutoShape 33" descr="NOR">
          <a:hlinkClick xmlns:r="http://schemas.openxmlformats.org/officeDocument/2006/relationships" r:id="rId31"/>
          <a:extLst>
            <a:ext uri="{FF2B5EF4-FFF2-40B4-BE49-F238E27FC236}">
              <a16:creationId xmlns:a16="http://schemas.microsoft.com/office/drawing/2014/main" id="{CED3CF62-2C27-4B7E-80BE-429CD1B2D30C}"/>
            </a:ext>
          </a:extLst>
        </xdr:cNvPr>
        <xdr:cNvSpPr>
          <a:spLocks noChangeAspect="1" noChangeArrowheads="1"/>
        </xdr:cNvSpPr>
      </xdr:nvSpPr>
      <xdr:spPr bwMode="auto">
        <a:xfrm>
          <a:off x="1219200" y="434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208</xdr:row>
      <xdr:rowOff>0</xdr:rowOff>
    </xdr:from>
    <xdr:to>
      <xdr:col>10</xdr:col>
      <xdr:colOff>304800</xdr:colOff>
      <xdr:row>209</xdr:row>
      <xdr:rowOff>127000</xdr:rowOff>
    </xdr:to>
    <xdr:sp macro="" textlink="">
      <xdr:nvSpPr>
        <xdr:cNvPr id="269" name="AutoShape 34" descr="USA">
          <a:hlinkClick xmlns:r="http://schemas.openxmlformats.org/officeDocument/2006/relationships" r:id="rId34"/>
          <a:extLst>
            <a:ext uri="{FF2B5EF4-FFF2-40B4-BE49-F238E27FC236}">
              <a16:creationId xmlns:a16="http://schemas.microsoft.com/office/drawing/2014/main" id="{20B3C29D-A32D-4AED-A82D-360E36F80070}"/>
            </a:ext>
          </a:extLst>
        </xdr:cNvPr>
        <xdr:cNvSpPr>
          <a:spLocks noChangeAspect="1" noChangeArrowheads="1"/>
        </xdr:cNvSpPr>
      </xdr:nvSpPr>
      <xdr:spPr bwMode="auto">
        <a:xfrm>
          <a:off x="1219200" y="4139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118</xdr:row>
      <xdr:rowOff>0</xdr:rowOff>
    </xdr:from>
    <xdr:to>
      <xdr:col>10</xdr:col>
      <xdr:colOff>304800</xdr:colOff>
      <xdr:row>119</xdr:row>
      <xdr:rowOff>127000</xdr:rowOff>
    </xdr:to>
    <xdr:sp macro="" textlink="">
      <xdr:nvSpPr>
        <xdr:cNvPr id="270" name="AutoShape 35" descr="USA">
          <a:hlinkClick xmlns:r="http://schemas.openxmlformats.org/officeDocument/2006/relationships" r:id="rId32"/>
          <a:extLst>
            <a:ext uri="{FF2B5EF4-FFF2-40B4-BE49-F238E27FC236}">
              <a16:creationId xmlns:a16="http://schemas.microsoft.com/office/drawing/2014/main" id="{20082139-9639-453C-A59D-9728C4BCECF5}"/>
            </a:ext>
          </a:extLst>
        </xdr:cNvPr>
        <xdr:cNvSpPr>
          <a:spLocks noChangeAspect="1" noChangeArrowheads="1"/>
        </xdr:cNvSpPr>
      </xdr:nvSpPr>
      <xdr:spPr bwMode="auto">
        <a:xfrm>
          <a:off x="1219200" y="2386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214</xdr:row>
      <xdr:rowOff>0</xdr:rowOff>
    </xdr:from>
    <xdr:to>
      <xdr:col>10</xdr:col>
      <xdr:colOff>304800</xdr:colOff>
      <xdr:row>215</xdr:row>
      <xdr:rowOff>127000</xdr:rowOff>
    </xdr:to>
    <xdr:sp macro="" textlink="">
      <xdr:nvSpPr>
        <xdr:cNvPr id="271" name="AutoShape 36" descr="USA">
          <a:hlinkClick xmlns:r="http://schemas.openxmlformats.org/officeDocument/2006/relationships" r:id="rId33"/>
          <a:extLst>
            <a:ext uri="{FF2B5EF4-FFF2-40B4-BE49-F238E27FC236}">
              <a16:creationId xmlns:a16="http://schemas.microsoft.com/office/drawing/2014/main" id="{DFAECA38-2655-459C-9FAA-836E960C4B74}"/>
            </a:ext>
          </a:extLst>
        </xdr:cNvPr>
        <xdr:cNvSpPr>
          <a:spLocks noChangeAspect="1" noChangeArrowheads="1"/>
        </xdr:cNvSpPr>
      </xdr:nvSpPr>
      <xdr:spPr bwMode="auto">
        <a:xfrm>
          <a:off x="1219200" y="4253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198</xdr:row>
      <xdr:rowOff>0</xdr:rowOff>
    </xdr:from>
    <xdr:to>
      <xdr:col>10</xdr:col>
      <xdr:colOff>304800</xdr:colOff>
      <xdr:row>199</xdr:row>
      <xdr:rowOff>127000</xdr:rowOff>
    </xdr:to>
    <xdr:sp macro="" textlink="">
      <xdr:nvSpPr>
        <xdr:cNvPr id="272" name="AutoShape 37" descr="USA">
          <a:hlinkClick xmlns:r="http://schemas.openxmlformats.org/officeDocument/2006/relationships" r:id="rId39"/>
          <a:extLst>
            <a:ext uri="{FF2B5EF4-FFF2-40B4-BE49-F238E27FC236}">
              <a16:creationId xmlns:a16="http://schemas.microsoft.com/office/drawing/2014/main" id="{CDD4A9A2-66DB-429A-BA01-B4A0A0ACAA25}"/>
            </a:ext>
          </a:extLst>
        </xdr:cNvPr>
        <xdr:cNvSpPr>
          <a:spLocks noChangeAspect="1" noChangeArrowheads="1"/>
        </xdr:cNvSpPr>
      </xdr:nvSpPr>
      <xdr:spPr bwMode="auto">
        <a:xfrm>
          <a:off x="1219200" y="3910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169</xdr:row>
      <xdr:rowOff>0</xdr:rowOff>
    </xdr:from>
    <xdr:to>
      <xdr:col>10</xdr:col>
      <xdr:colOff>304800</xdr:colOff>
      <xdr:row>170</xdr:row>
      <xdr:rowOff>127000</xdr:rowOff>
    </xdr:to>
    <xdr:sp macro="" textlink="">
      <xdr:nvSpPr>
        <xdr:cNvPr id="273" name="AutoShape 38" descr="ENG">
          <a:hlinkClick xmlns:r="http://schemas.openxmlformats.org/officeDocument/2006/relationships" r:id="rId35"/>
          <a:extLst>
            <a:ext uri="{FF2B5EF4-FFF2-40B4-BE49-F238E27FC236}">
              <a16:creationId xmlns:a16="http://schemas.microsoft.com/office/drawing/2014/main" id="{F6C98522-3D5B-4FC6-9FA0-49D5EA4A458B}"/>
            </a:ext>
          </a:extLst>
        </xdr:cNvPr>
        <xdr:cNvSpPr>
          <a:spLocks noChangeAspect="1" noChangeArrowheads="1"/>
        </xdr:cNvSpPr>
      </xdr:nvSpPr>
      <xdr:spPr bwMode="auto">
        <a:xfrm>
          <a:off x="1219200" y="3358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xdr:row>
      <xdr:rowOff>0</xdr:rowOff>
    </xdr:from>
    <xdr:to>
      <xdr:col>10</xdr:col>
      <xdr:colOff>304800</xdr:colOff>
      <xdr:row>5</xdr:row>
      <xdr:rowOff>127000</xdr:rowOff>
    </xdr:to>
    <xdr:sp macro="" textlink="">
      <xdr:nvSpPr>
        <xdr:cNvPr id="274" name="AutoShape 39" descr="USA">
          <a:hlinkClick xmlns:r="http://schemas.openxmlformats.org/officeDocument/2006/relationships" r:id="rId36"/>
          <a:extLst>
            <a:ext uri="{FF2B5EF4-FFF2-40B4-BE49-F238E27FC236}">
              <a16:creationId xmlns:a16="http://schemas.microsoft.com/office/drawing/2014/main" id="{8437F82E-18E3-4C98-B225-7FEA625D4EAF}"/>
            </a:ext>
          </a:extLst>
        </xdr:cNvPr>
        <xdr:cNvSpPr>
          <a:spLocks noChangeAspect="1" noChangeArrowheads="1"/>
        </xdr:cNvSpPr>
      </xdr:nvSpPr>
      <xdr:spPr bwMode="auto">
        <a:xfrm>
          <a:off x="1219200" y="21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141</xdr:row>
      <xdr:rowOff>0</xdr:rowOff>
    </xdr:from>
    <xdr:to>
      <xdr:col>10</xdr:col>
      <xdr:colOff>304800</xdr:colOff>
      <xdr:row>142</xdr:row>
      <xdr:rowOff>127000</xdr:rowOff>
    </xdr:to>
    <xdr:sp macro="" textlink="">
      <xdr:nvSpPr>
        <xdr:cNvPr id="275" name="AutoShape 40" descr="BEL">
          <a:hlinkClick xmlns:r="http://schemas.openxmlformats.org/officeDocument/2006/relationships" r:id="rId37"/>
          <a:extLst>
            <a:ext uri="{FF2B5EF4-FFF2-40B4-BE49-F238E27FC236}">
              <a16:creationId xmlns:a16="http://schemas.microsoft.com/office/drawing/2014/main" id="{ADA0BA9B-A328-46D5-AE83-D97F834D4EE9}"/>
            </a:ext>
          </a:extLst>
        </xdr:cNvPr>
        <xdr:cNvSpPr>
          <a:spLocks noChangeAspect="1" noChangeArrowheads="1"/>
        </xdr:cNvSpPr>
      </xdr:nvSpPr>
      <xdr:spPr bwMode="auto">
        <a:xfrm>
          <a:off x="1219200" y="2825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74</xdr:row>
      <xdr:rowOff>0</xdr:rowOff>
    </xdr:from>
    <xdr:to>
      <xdr:col>10</xdr:col>
      <xdr:colOff>304800</xdr:colOff>
      <xdr:row>75</xdr:row>
      <xdr:rowOff>127000</xdr:rowOff>
    </xdr:to>
    <xdr:sp macro="" textlink="">
      <xdr:nvSpPr>
        <xdr:cNvPr id="276" name="AutoShape 41" descr="USA">
          <a:hlinkClick xmlns:r="http://schemas.openxmlformats.org/officeDocument/2006/relationships" r:id="rId38"/>
          <a:extLst>
            <a:ext uri="{FF2B5EF4-FFF2-40B4-BE49-F238E27FC236}">
              <a16:creationId xmlns:a16="http://schemas.microsoft.com/office/drawing/2014/main" id="{B39AF5F3-143B-433B-B05D-F35BFDDBBE7B}"/>
            </a:ext>
          </a:extLst>
        </xdr:cNvPr>
        <xdr:cNvSpPr>
          <a:spLocks noChangeAspect="1" noChangeArrowheads="1"/>
        </xdr:cNvSpPr>
      </xdr:nvSpPr>
      <xdr:spPr bwMode="auto">
        <a:xfrm>
          <a:off x="1219200" y="1548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101</xdr:row>
      <xdr:rowOff>0</xdr:rowOff>
    </xdr:from>
    <xdr:to>
      <xdr:col>10</xdr:col>
      <xdr:colOff>304800</xdr:colOff>
      <xdr:row>102</xdr:row>
      <xdr:rowOff>127000</xdr:rowOff>
    </xdr:to>
    <xdr:sp macro="" textlink="">
      <xdr:nvSpPr>
        <xdr:cNvPr id="277" name="AutoShape 42" descr="USA">
          <a:hlinkClick xmlns:r="http://schemas.openxmlformats.org/officeDocument/2006/relationships" r:id="rId41"/>
          <a:extLst>
            <a:ext uri="{FF2B5EF4-FFF2-40B4-BE49-F238E27FC236}">
              <a16:creationId xmlns:a16="http://schemas.microsoft.com/office/drawing/2014/main" id="{EE894DB3-D51F-490E-948E-B193B4F1B509}"/>
            </a:ext>
          </a:extLst>
        </xdr:cNvPr>
        <xdr:cNvSpPr>
          <a:spLocks noChangeAspect="1" noChangeArrowheads="1"/>
        </xdr:cNvSpPr>
      </xdr:nvSpPr>
      <xdr:spPr bwMode="auto">
        <a:xfrm>
          <a:off x="1219200" y="2063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180</xdr:row>
      <xdr:rowOff>0</xdr:rowOff>
    </xdr:from>
    <xdr:to>
      <xdr:col>10</xdr:col>
      <xdr:colOff>304800</xdr:colOff>
      <xdr:row>181</xdr:row>
      <xdr:rowOff>127000</xdr:rowOff>
    </xdr:to>
    <xdr:sp macro="" textlink="">
      <xdr:nvSpPr>
        <xdr:cNvPr id="278" name="AutoShape 43" descr="USA">
          <a:hlinkClick xmlns:r="http://schemas.openxmlformats.org/officeDocument/2006/relationships" r:id="rId64"/>
          <a:extLst>
            <a:ext uri="{FF2B5EF4-FFF2-40B4-BE49-F238E27FC236}">
              <a16:creationId xmlns:a16="http://schemas.microsoft.com/office/drawing/2014/main" id="{6BD0A743-162B-4E85-A824-FD6ADB028E61}"/>
            </a:ext>
          </a:extLst>
        </xdr:cNvPr>
        <xdr:cNvSpPr>
          <a:spLocks noChangeAspect="1" noChangeArrowheads="1"/>
        </xdr:cNvSpPr>
      </xdr:nvSpPr>
      <xdr:spPr bwMode="auto">
        <a:xfrm>
          <a:off x="1219200" y="3568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57</xdr:row>
      <xdr:rowOff>0</xdr:rowOff>
    </xdr:from>
    <xdr:to>
      <xdr:col>10</xdr:col>
      <xdr:colOff>304800</xdr:colOff>
      <xdr:row>58</xdr:row>
      <xdr:rowOff>127000</xdr:rowOff>
    </xdr:to>
    <xdr:sp macro="" textlink="">
      <xdr:nvSpPr>
        <xdr:cNvPr id="279" name="AutoShape 44" descr="USA">
          <a:hlinkClick xmlns:r="http://schemas.openxmlformats.org/officeDocument/2006/relationships" r:id="rId40"/>
          <a:extLst>
            <a:ext uri="{FF2B5EF4-FFF2-40B4-BE49-F238E27FC236}">
              <a16:creationId xmlns:a16="http://schemas.microsoft.com/office/drawing/2014/main" id="{A1A847E6-D9CD-4FBC-B58A-ED5FCFC310EC}"/>
            </a:ext>
          </a:extLst>
        </xdr:cNvPr>
        <xdr:cNvSpPr>
          <a:spLocks noChangeAspect="1" noChangeArrowheads="1"/>
        </xdr:cNvSpPr>
      </xdr:nvSpPr>
      <xdr:spPr bwMode="auto">
        <a:xfrm>
          <a:off x="1219200" y="1224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23</xdr:row>
      <xdr:rowOff>0</xdr:rowOff>
    </xdr:from>
    <xdr:to>
      <xdr:col>10</xdr:col>
      <xdr:colOff>304800</xdr:colOff>
      <xdr:row>24</xdr:row>
      <xdr:rowOff>127000</xdr:rowOff>
    </xdr:to>
    <xdr:sp macro="" textlink="">
      <xdr:nvSpPr>
        <xdr:cNvPr id="280" name="AutoShape 45" descr="ENG">
          <a:hlinkClick xmlns:r="http://schemas.openxmlformats.org/officeDocument/2006/relationships" r:id="rId54"/>
          <a:extLst>
            <a:ext uri="{FF2B5EF4-FFF2-40B4-BE49-F238E27FC236}">
              <a16:creationId xmlns:a16="http://schemas.microsoft.com/office/drawing/2014/main" id="{BA6CB1E0-7C4B-44B2-A1EA-DFBE66CA7E45}"/>
            </a:ext>
          </a:extLst>
        </xdr:cNvPr>
        <xdr:cNvSpPr>
          <a:spLocks noChangeAspect="1" noChangeArrowheads="1"/>
        </xdr:cNvSpPr>
      </xdr:nvSpPr>
      <xdr:spPr bwMode="auto">
        <a:xfrm>
          <a:off x="1219200" y="57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220</xdr:row>
      <xdr:rowOff>0</xdr:rowOff>
    </xdr:from>
    <xdr:to>
      <xdr:col>10</xdr:col>
      <xdr:colOff>304800</xdr:colOff>
      <xdr:row>221</xdr:row>
      <xdr:rowOff>127000</xdr:rowOff>
    </xdr:to>
    <xdr:sp macro="" textlink="">
      <xdr:nvSpPr>
        <xdr:cNvPr id="281" name="AutoShape 46" descr="USA">
          <a:hlinkClick xmlns:r="http://schemas.openxmlformats.org/officeDocument/2006/relationships" r:id="rId58"/>
          <a:extLst>
            <a:ext uri="{FF2B5EF4-FFF2-40B4-BE49-F238E27FC236}">
              <a16:creationId xmlns:a16="http://schemas.microsoft.com/office/drawing/2014/main" id="{9B8F4438-C147-4ACD-98BB-585A49C0697F}"/>
            </a:ext>
          </a:extLst>
        </xdr:cNvPr>
        <xdr:cNvSpPr>
          <a:spLocks noChangeAspect="1" noChangeArrowheads="1"/>
        </xdr:cNvSpPr>
      </xdr:nvSpPr>
      <xdr:spPr bwMode="auto">
        <a:xfrm>
          <a:off x="1219200" y="436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133</xdr:row>
      <xdr:rowOff>0</xdr:rowOff>
    </xdr:from>
    <xdr:to>
      <xdr:col>10</xdr:col>
      <xdr:colOff>304800</xdr:colOff>
      <xdr:row>134</xdr:row>
      <xdr:rowOff>127000</xdr:rowOff>
    </xdr:to>
    <xdr:sp macro="" textlink="">
      <xdr:nvSpPr>
        <xdr:cNvPr id="282" name="AutoShape 47" descr="USA">
          <a:hlinkClick xmlns:r="http://schemas.openxmlformats.org/officeDocument/2006/relationships" r:id="rId42"/>
          <a:extLst>
            <a:ext uri="{FF2B5EF4-FFF2-40B4-BE49-F238E27FC236}">
              <a16:creationId xmlns:a16="http://schemas.microsoft.com/office/drawing/2014/main" id="{D8B80351-8B53-42A4-8B2A-829BACFB705E}"/>
            </a:ext>
          </a:extLst>
        </xdr:cNvPr>
        <xdr:cNvSpPr>
          <a:spLocks noChangeAspect="1" noChangeArrowheads="1"/>
        </xdr:cNvSpPr>
      </xdr:nvSpPr>
      <xdr:spPr bwMode="auto">
        <a:xfrm>
          <a:off x="1219200" y="2672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xdr:row>
      <xdr:rowOff>0</xdr:rowOff>
    </xdr:from>
    <xdr:to>
      <xdr:col>10</xdr:col>
      <xdr:colOff>304800</xdr:colOff>
      <xdr:row>22</xdr:row>
      <xdr:rowOff>127000</xdr:rowOff>
    </xdr:to>
    <xdr:sp macro="" textlink="">
      <xdr:nvSpPr>
        <xdr:cNvPr id="283" name="AutoShape 48" descr="CAN">
          <a:hlinkClick xmlns:r="http://schemas.openxmlformats.org/officeDocument/2006/relationships" r:id="rId43"/>
          <a:extLst>
            <a:ext uri="{FF2B5EF4-FFF2-40B4-BE49-F238E27FC236}">
              <a16:creationId xmlns:a16="http://schemas.microsoft.com/office/drawing/2014/main" id="{E816DECC-8844-4F89-A826-D9E8AF3C8338}"/>
            </a:ext>
          </a:extLst>
        </xdr:cNvPr>
        <xdr:cNvSpPr>
          <a:spLocks noChangeAspect="1" noChangeArrowheads="1"/>
        </xdr:cNvSpPr>
      </xdr:nvSpPr>
      <xdr:spPr bwMode="auto">
        <a:xfrm>
          <a:off x="1219200" y="539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201</xdr:row>
      <xdr:rowOff>0</xdr:rowOff>
    </xdr:from>
    <xdr:to>
      <xdr:col>10</xdr:col>
      <xdr:colOff>304800</xdr:colOff>
      <xdr:row>202</xdr:row>
      <xdr:rowOff>127000</xdr:rowOff>
    </xdr:to>
    <xdr:sp macro="" textlink="">
      <xdr:nvSpPr>
        <xdr:cNvPr id="284" name="AutoShape 49" descr="USA">
          <a:hlinkClick xmlns:r="http://schemas.openxmlformats.org/officeDocument/2006/relationships" r:id="rId44"/>
          <a:extLst>
            <a:ext uri="{FF2B5EF4-FFF2-40B4-BE49-F238E27FC236}">
              <a16:creationId xmlns:a16="http://schemas.microsoft.com/office/drawing/2014/main" id="{2DA32259-F559-4B05-8343-057074EA02BF}"/>
            </a:ext>
          </a:extLst>
        </xdr:cNvPr>
        <xdr:cNvSpPr>
          <a:spLocks noChangeAspect="1" noChangeArrowheads="1"/>
        </xdr:cNvSpPr>
      </xdr:nvSpPr>
      <xdr:spPr bwMode="auto">
        <a:xfrm>
          <a:off x="1219200" y="3968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63</xdr:row>
      <xdr:rowOff>0</xdr:rowOff>
    </xdr:from>
    <xdr:to>
      <xdr:col>10</xdr:col>
      <xdr:colOff>304800</xdr:colOff>
      <xdr:row>64</xdr:row>
      <xdr:rowOff>127000</xdr:rowOff>
    </xdr:to>
    <xdr:sp macro="" textlink="">
      <xdr:nvSpPr>
        <xdr:cNvPr id="285" name="AutoShape 50" descr="USA">
          <a:hlinkClick xmlns:r="http://schemas.openxmlformats.org/officeDocument/2006/relationships" r:id="rId45"/>
          <a:extLst>
            <a:ext uri="{FF2B5EF4-FFF2-40B4-BE49-F238E27FC236}">
              <a16:creationId xmlns:a16="http://schemas.microsoft.com/office/drawing/2014/main" id="{29E1BFA5-0AE0-4FBA-AC0B-68D591E10323}"/>
            </a:ext>
          </a:extLst>
        </xdr:cNvPr>
        <xdr:cNvSpPr>
          <a:spLocks noChangeAspect="1" noChangeArrowheads="1"/>
        </xdr:cNvSpPr>
      </xdr:nvSpPr>
      <xdr:spPr bwMode="auto">
        <a:xfrm>
          <a:off x="1219200" y="1339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286" name="AutoShape 51" descr="USA">
          <a:hlinkClick xmlns:r="http://schemas.openxmlformats.org/officeDocument/2006/relationships" r:id="rId46"/>
          <a:extLst>
            <a:ext uri="{FF2B5EF4-FFF2-40B4-BE49-F238E27FC236}">
              <a16:creationId xmlns:a16="http://schemas.microsoft.com/office/drawing/2014/main" id="{948965EA-9B1F-45B7-8170-4A4D9C8CBB95}"/>
            </a:ext>
          </a:extLst>
        </xdr:cNvPr>
        <xdr:cNvSpPr>
          <a:spLocks noChangeAspect="1" noChangeArrowheads="1"/>
        </xdr:cNvSpPr>
      </xdr:nvSpPr>
      <xdr:spPr bwMode="auto">
        <a:xfrm>
          <a:off x="1219200" y="410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203</xdr:row>
      <xdr:rowOff>0</xdr:rowOff>
    </xdr:from>
    <xdr:to>
      <xdr:col>10</xdr:col>
      <xdr:colOff>304800</xdr:colOff>
      <xdr:row>204</xdr:row>
      <xdr:rowOff>127000</xdr:rowOff>
    </xdr:to>
    <xdr:sp macro="" textlink="">
      <xdr:nvSpPr>
        <xdr:cNvPr id="287" name="AutoShape 52" descr="USA">
          <a:hlinkClick xmlns:r="http://schemas.openxmlformats.org/officeDocument/2006/relationships" r:id="rId47"/>
          <a:extLst>
            <a:ext uri="{FF2B5EF4-FFF2-40B4-BE49-F238E27FC236}">
              <a16:creationId xmlns:a16="http://schemas.microsoft.com/office/drawing/2014/main" id="{E6A4F3CA-0FE7-4BAB-9144-E5225D80193C}"/>
            </a:ext>
          </a:extLst>
        </xdr:cNvPr>
        <xdr:cNvSpPr>
          <a:spLocks noChangeAspect="1" noChangeArrowheads="1"/>
        </xdr:cNvSpPr>
      </xdr:nvSpPr>
      <xdr:spPr bwMode="auto">
        <a:xfrm>
          <a:off x="1219200" y="4006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131</xdr:row>
      <xdr:rowOff>0</xdr:rowOff>
    </xdr:from>
    <xdr:to>
      <xdr:col>10</xdr:col>
      <xdr:colOff>304800</xdr:colOff>
      <xdr:row>132</xdr:row>
      <xdr:rowOff>127000</xdr:rowOff>
    </xdr:to>
    <xdr:sp macro="" textlink="">
      <xdr:nvSpPr>
        <xdr:cNvPr id="288" name="AutoShape 53" descr="USA">
          <a:hlinkClick xmlns:r="http://schemas.openxmlformats.org/officeDocument/2006/relationships" r:id="rId48"/>
          <a:extLst>
            <a:ext uri="{FF2B5EF4-FFF2-40B4-BE49-F238E27FC236}">
              <a16:creationId xmlns:a16="http://schemas.microsoft.com/office/drawing/2014/main" id="{313825AA-C8CF-4B80-B325-67F9B0036623}"/>
            </a:ext>
          </a:extLst>
        </xdr:cNvPr>
        <xdr:cNvSpPr>
          <a:spLocks noChangeAspect="1" noChangeArrowheads="1"/>
        </xdr:cNvSpPr>
      </xdr:nvSpPr>
      <xdr:spPr bwMode="auto">
        <a:xfrm>
          <a:off x="1219200" y="2634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42</xdr:row>
      <xdr:rowOff>0</xdr:rowOff>
    </xdr:from>
    <xdr:to>
      <xdr:col>10</xdr:col>
      <xdr:colOff>304800</xdr:colOff>
      <xdr:row>43</xdr:row>
      <xdr:rowOff>127000</xdr:rowOff>
    </xdr:to>
    <xdr:sp macro="" textlink="">
      <xdr:nvSpPr>
        <xdr:cNvPr id="289" name="AutoShape 54" descr="AUT">
          <a:hlinkClick xmlns:r="http://schemas.openxmlformats.org/officeDocument/2006/relationships" r:id="rId49"/>
          <a:extLst>
            <a:ext uri="{FF2B5EF4-FFF2-40B4-BE49-F238E27FC236}">
              <a16:creationId xmlns:a16="http://schemas.microsoft.com/office/drawing/2014/main" id="{699CA85A-EFB2-4DC7-82C1-1E3047BE2D81}"/>
            </a:ext>
          </a:extLst>
        </xdr:cNvPr>
        <xdr:cNvSpPr>
          <a:spLocks noChangeAspect="1" noChangeArrowheads="1"/>
        </xdr:cNvSpPr>
      </xdr:nvSpPr>
      <xdr:spPr bwMode="auto">
        <a:xfrm>
          <a:off x="1219200" y="939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224</xdr:row>
      <xdr:rowOff>0</xdr:rowOff>
    </xdr:from>
    <xdr:to>
      <xdr:col>10</xdr:col>
      <xdr:colOff>304800</xdr:colOff>
      <xdr:row>225</xdr:row>
      <xdr:rowOff>127000</xdr:rowOff>
    </xdr:to>
    <xdr:sp macro="" textlink="">
      <xdr:nvSpPr>
        <xdr:cNvPr id="290" name="AutoShape 55" descr="USA">
          <a:hlinkClick xmlns:r="http://schemas.openxmlformats.org/officeDocument/2006/relationships" r:id="rId50"/>
          <a:extLst>
            <a:ext uri="{FF2B5EF4-FFF2-40B4-BE49-F238E27FC236}">
              <a16:creationId xmlns:a16="http://schemas.microsoft.com/office/drawing/2014/main" id="{5FA38331-C8F2-4290-9439-7058C221E777}"/>
            </a:ext>
          </a:extLst>
        </xdr:cNvPr>
        <xdr:cNvSpPr>
          <a:spLocks noChangeAspect="1" noChangeArrowheads="1"/>
        </xdr:cNvSpPr>
      </xdr:nvSpPr>
      <xdr:spPr bwMode="auto">
        <a:xfrm>
          <a:off x="1219200" y="444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44</xdr:row>
      <xdr:rowOff>0</xdr:rowOff>
    </xdr:from>
    <xdr:to>
      <xdr:col>10</xdr:col>
      <xdr:colOff>304800</xdr:colOff>
      <xdr:row>45</xdr:row>
      <xdr:rowOff>127000</xdr:rowOff>
    </xdr:to>
    <xdr:sp macro="" textlink="">
      <xdr:nvSpPr>
        <xdr:cNvPr id="291" name="AutoShape 56" descr="USA">
          <a:hlinkClick xmlns:r="http://schemas.openxmlformats.org/officeDocument/2006/relationships" r:id="rId51"/>
          <a:extLst>
            <a:ext uri="{FF2B5EF4-FFF2-40B4-BE49-F238E27FC236}">
              <a16:creationId xmlns:a16="http://schemas.microsoft.com/office/drawing/2014/main" id="{7AA0F408-A679-474C-8FB9-560E35D37668}"/>
            </a:ext>
          </a:extLst>
        </xdr:cNvPr>
        <xdr:cNvSpPr>
          <a:spLocks noChangeAspect="1" noChangeArrowheads="1"/>
        </xdr:cNvSpPr>
      </xdr:nvSpPr>
      <xdr:spPr bwMode="auto">
        <a:xfrm>
          <a:off x="1219200" y="977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96</xdr:row>
      <xdr:rowOff>0</xdr:rowOff>
    </xdr:from>
    <xdr:to>
      <xdr:col>10</xdr:col>
      <xdr:colOff>304800</xdr:colOff>
      <xdr:row>97</xdr:row>
      <xdr:rowOff>127000</xdr:rowOff>
    </xdr:to>
    <xdr:sp macro="" textlink="">
      <xdr:nvSpPr>
        <xdr:cNvPr id="292" name="AutoShape 57" descr="USA">
          <a:hlinkClick xmlns:r="http://schemas.openxmlformats.org/officeDocument/2006/relationships" r:id="rId52"/>
          <a:extLst>
            <a:ext uri="{FF2B5EF4-FFF2-40B4-BE49-F238E27FC236}">
              <a16:creationId xmlns:a16="http://schemas.microsoft.com/office/drawing/2014/main" id="{5EA92235-010D-4772-A09A-D9A264716F67}"/>
            </a:ext>
          </a:extLst>
        </xdr:cNvPr>
        <xdr:cNvSpPr>
          <a:spLocks noChangeAspect="1" noChangeArrowheads="1"/>
        </xdr:cNvSpPr>
      </xdr:nvSpPr>
      <xdr:spPr bwMode="auto">
        <a:xfrm>
          <a:off x="1219200" y="1967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32</xdr:row>
      <xdr:rowOff>0</xdr:rowOff>
    </xdr:from>
    <xdr:to>
      <xdr:col>10</xdr:col>
      <xdr:colOff>304800</xdr:colOff>
      <xdr:row>33</xdr:row>
      <xdr:rowOff>127000</xdr:rowOff>
    </xdr:to>
    <xdr:sp macro="" textlink="">
      <xdr:nvSpPr>
        <xdr:cNvPr id="293" name="AutoShape 58" descr="ARG">
          <a:hlinkClick xmlns:r="http://schemas.openxmlformats.org/officeDocument/2006/relationships" r:id="rId73"/>
          <a:extLst>
            <a:ext uri="{FF2B5EF4-FFF2-40B4-BE49-F238E27FC236}">
              <a16:creationId xmlns:a16="http://schemas.microsoft.com/office/drawing/2014/main" id="{AB057164-96B3-4D0A-9296-99983A4E03CA}"/>
            </a:ext>
          </a:extLst>
        </xdr:cNvPr>
        <xdr:cNvSpPr>
          <a:spLocks noChangeAspect="1" noChangeArrowheads="1"/>
        </xdr:cNvSpPr>
      </xdr:nvSpPr>
      <xdr:spPr bwMode="auto">
        <a:xfrm>
          <a:off x="1219200" y="748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82</xdr:row>
      <xdr:rowOff>0</xdr:rowOff>
    </xdr:from>
    <xdr:to>
      <xdr:col>10</xdr:col>
      <xdr:colOff>304800</xdr:colOff>
      <xdr:row>83</xdr:row>
      <xdr:rowOff>127000</xdr:rowOff>
    </xdr:to>
    <xdr:sp macro="" textlink="">
      <xdr:nvSpPr>
        <xdr:cNvPr id="294" name="AutoShape 59" descr="ENG">
          <a:hlinkClick xmlns:r="http://schemas.openxmlformats.org/officeDocument/2006/relationships" r:id="rId53"/>
          <a:extLst>
            <a:ext uri="{FF2B5EF4-FFF2-40B4-BE49-F238E27FC236}">
              <a16:creationId xmlns:a16="http://schemas.microsoft.com/office/drawing/2014/main" id="{7BD78352-D7D8-4F43-AAE9-F15C34EB80D2}"/>
            </a:ext>
          </a:extLst>
        </xdr:cNvPr>
        <xdr:cNvSpPr>
          <a:spLocks noChangeAspect="1" noChangeArrowheads="1"/>
        </xdr:cNvSpPr>
      </xdr:nvSpPr>
      <xdr:spPr bwMode="auto">
        <a:xfrm>
          <a:off x="1219200" y="1701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91</xdr:row>
      <xdr:rowOff>0</xdr:rowOff>
    </xdr:from>
    <xdr:to>
      <xdr:col>10</xdr:col>
      <xdr:colOff>304800</xdr:colOff>
      <xdr:row>92</xdr:row>
      <xdr:rowOff>127000</xdr:rowOff>
    </xdr:to>
    <xdr:sp macro="" textlink="">
      <xdr:nvSpPr>
        <xdr:cNvPr id="295" name="AutoShape 60" descr="ENG">
          <a:hlinkClick xmlns:r="http://schemas.openxmlformats.org/officeDocument/2006/relationships" r:id="rId55"/>
          <a:extLst>
            <a:ext uri="{FF2B5EF4-FFF2-40B4-BE49-F238E27FC236}">
              <a16:creationId xmlns:a16="http://schemas.microsoft.com/office/drawing/2014/main" id="{41626BF3-C1C6-49FC-A9B8-CD7F595AD568}"/>
            </a:ext>
          </a:extLst>
        </xdr:cNvPr>
        <xdr:cNvSpPr>
          <a:spLocks noChangeAspect="1" noChangeArrowheads="1"/>
        </xdr:cNvSpPr>
      </xdr:nvSpPr>
      <xdr:spPr bwMode="auto">
        <a:xfrm>
          <a:off x="1219200" y="1872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46</xdr:row>
      <xdr:rowOff>0</xdr:rowOff>
    </xdr:from>
    <xdr:to>
      <xdr:col>10</xdr:col>
      <xdr:colOff>304800</xdr:colOff>
      <xdr:row>47</xdr:row>
      <xdr:rowOff>127000</xdr:rowOff>
    </xdr:to>
    <xdr:sp macro="" textlink="">
      <xdr:nvSpPr>
        <xdr:cNvPr id="296" name="AutoShape 61" descr="USA">
          <a:hlinkClick xmlns:r="http://schemas.openxmlformats.org/officeDocument/2006/relationships" r:id="rId56"/>
          <a:extLst>
            <a:ext uri="{FF2B5EF4-FFF2-40B4-BE49-F238E27FC236}">
              <a16:creationId xmlns:a16="http://schemas.microsoft.com/office/drawing/2014/main" id="{9929D58C-22C0-4EDD-ACD1-2AD18E4DD17C}"/>
            </a:ext>
          </a:extLst>
        </xdr:cNvPr>
        <xdr:cNvSpPr>
          <a:spLocks noChangeAspect="1" noChangeArrowheads="1"/>
        </xdr:cNvSpPr>
      </xdr:nvSpPr>
      <xdr:spPr bwMode="auto">
        <a:xfrm>
          <a:off x="1219200" y="1015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218</xdr:row>
      <xdr:rowOff>0</xdr:rowOff>
    </xdr:from>
    <xdr:to>
      <xdr:col>10</xdr:col>
      <xdr:colOff>304800</xdr:colOff>
      <xdr:row>219</xdr:row>
      <xdr:rowOff>127000</xdr:rowOff>
    </xdr:to>
    <xdr:sp macro="" textlink="">
      <xdr:nvSpPr>
        <xdr:cNvPr id="297" name="AutoShape 62" descr="USA">
          <a:hlinkClick xmlns:r="http://schemas.openxmlformats.org/officeDocument/2006/relationships" r:id="rId57"/>
          <a:extLst>
            <a:ext uri="{FF2B5EF4-FFF2-40B4-BE49-F238E27FC236}">
              <a16:creationId xmlns:a16="http://schemas.microsoft.com/office/drawing/2014/main" id="{D77D4B85-102D-47B5-9EE6-D71B6F9431F7}"/>
            </a:ext>
          </a:extLst>
        </xdr:cNvPr>
        <xdr:cNvSpPr>
          <a:spLocks noChangeAspect="1" noChangeArrowheads="1"/>
        </xdr:cNvSpPr>
      </xdr:nvSpPr>
      <xdr:spPr bwMode="auto">
        <a:xfrm>
          <a:off x="1219200" y="433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106</xdr:row>
      <xdr:rowOff>0</xdr:rowOff>
    </xdr:from>
    <xdr:to>
      <xdr:col>10</xdr:col>
      <xdr:colOff>304800</xdr:colOff>
      <xdr:row>107</xdr:row>
      <xdr:rowOff>127000</xdr:rowOff>
    </xdr:to>
    <xdr:sp macro="" textlink="">
      <xdr:nvSpPr>
        <xdr:cNvPr id="298" name="AutoShape 63" descr="KOR">
          <a:hlinkClick xmlns:r="http://schemas.openxmlformats.org/officeDocument/2006/relationships" r:id="rId61"/>
          <a:extLst>
            <a:ext uri="{FF2B5EF4-FFF2-40B4-BE49-F238E27FC236}">
              <a16:creationId xmlns:a16="http://schemas.microsoft.com/office/drawing/2014/main" id="{6AA3CEAF-6012-4C58-96AD-A73DCB15CE4E}"/>
            </a:ext>
          </a:extLst>
        </xdr:cNvPr>
        <xdr:cNvSpPr>
          <a:spLocks noChangeAspect="1" noChangeArrowheads="1"/>
        </xdr:cNvSpPr>
      </xdr:nvSpPr>
      <xdr:spPr bwMode="auto">
        <a:xfrm>
          <a:off x="1219200" y="2158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65</xdr:row>
      <xdr:rowOff>0</xdr:rowOff>
    </xdr:from>
    <xdr:to>
      <xdr:col>10</xdr:col>
      <xdr:colOff>304800</xdr:colOff>
      <xdr:row>66</xdr:row>
      <xdr:rowOff>127000</xdr:rowOff>
    </xdr:to>
    <xdr:sp macro="" textlink="">
      <xdr:nvSpPr>
        <xdr:cNvPr id="299" name="AutoShape 64" descr="USA">
          <a:hlinkClick xmlns:r="http://schemas.openxmlformats.org/officeDocument/2006/relationships" r:id="rId59"/>
          <a:extLst>
            <a:ext uri="{FF2B5EF4-FFF2-40B4-BE49-F238E27FC236}">
              <a16:creationId xmlns:a16="http://schemas.microsoft.com/office/drawing/2014/main" id="{455FA31F-C37D-44E2-A21F-711B7A2D3319}"/>
            </a:ext>
          </a:extLst>
        </xdr:cNvPr>
        <xdr:cNvSpPr>
          <a:spLocks noChangeAspect="1" noChangeArrowheads="1"/>
        </xdr:cNvSpPr>
      </xdr:nvSpPr>
      <xdr:spPr bwMode="auto">
        <a:xfrm>
          <a:off x="1219200" y="1377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00" name="AutoShape 65" descr="KOR">
          <a:hlinkClick xmlns:r="http://schemas.openxmlformats.org/officeDocument/2006/relationships" r:id="rId66"/>
          <a:extLst>
            <a:ext uri="{FF2B5EF4-FFF2-40B4-BE49-F238E27FC236}">
              <a16:creationId xmlns:a16="http://schemas.microsoft.com/office/drawing/2014/main" id="{EEF4BF28-16B4-457E-9A7B-9A7E2D304CE1}"/>
            </a:ext>
          </a:extLst>
        </xdr:cNvPr>
        <xdr:cNvSpPr>
          <a:spLocks noChangeAspect="1" noChangeArrowheads="1"/>
        </xdr:cNvSpPr>
      </xdr:nvSpPr>
      <xdr:spPr bwMode="auto">
        <a:xfrm>
          <a:off x="1219200" y="952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156</xdr:row>
      <xdr:rowOff>0</xdr:rowOff>
    </xdr:from>
    <xdr:to>
      <xdr:col>10</xdr:col>
      <xdr:colOff>304800</xdr:colOff>
      <xdr:row>157</xdr:row>
      <xdr:rowOff>127000</xdr:rowOff>
    </xdr:to>
    <xdr:sp macro="" textlink="">
      <xdr:nvSpPr>
        <xdr:cNvPr id="301" name="AutoShape 66" descr="JPN">
          <a:hlinkClick xmlns:r="http://schemas.openxmlformats.org/officeDocument/2006/relationships" r:id="rId60"/>
          <a:extLst>
            <a:ext uri="{FF2B5EF4-FFF2-40B4-BE49-F238E27FC236}">
              <a16:creationId xmlns:a16="http://schemas.microsoft.com/office/drawing/2014/main" id="{D151672A-8DBD-42B8-8B0A-DB9321668E89}"/>
            </a:ext>
          </a:extLst>
        </xdr:cNvPr>
        <xdr:cNvSpPr>
          <a:spLocks noChangeAspect="1" noChangeArrowheads="1"/>
        </xdr:cNvSpPr>
      </xdr:nvSpPr>
      <xdr:spPr bwMode="auto">
        <a:xfrm>
          <a:off x="1219200" y="3110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132</xdr:row>
      <xdr:rowOff>0</xdr:rowOff>
    </xdr:from>
    <xdr:to>
      <xdr:col>10</xdr:col>
      <xdr:colOff>304800</xdr:colOff>
      <xdr:row>133</xdr:row>
      <xdr:rowOff>127000</xdr:rowOff>
    </xdr:to>
    <xdr:sp macro="" textlink="">
      <xdr:nvSpPr>
        <xdr:cNvPr id="302" name="AutoShape 67" descr="USA">
          <a:hlinkClick xmlns:r="http://schemas.openxmlformats.org/officeDocument/2006/relationships" r:id="rId74"/>
          <a:extLst>
            <a:ext uri="{FF2B5EF4-FFF2-40B4-BE49-F238E27FC236}">
              <a16:creationId xmlns:a16="http://schemas.microsoft.com/office/drawing/2014/main" id="{C31C7C52-B966-4E7E-9857-1090E4EC203B}"/>
            </a:ext>
          </a:extLst>
        </xdr:cNvPr>
        <xdr:cNvSpPr>
          <a:spLocks noChangeAspect="1" noChangeArrowheads="1"/>
        </xdr:cNvSpPr>
      </xdr:nvSpPr>
      <xdr:spPr bwMode="auto">
        <a:xfrm>
          <a:off x="1219200" y="2653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03" name="AutoShape 68" descr="ENG">
          <a:hlinkClick xmlns:r="http://schemas.openxmlformats.org/officeDocument/2006/relationships" r:id="rId62"/>
          <a:extLst>
            <a:ext uri="{FF2B5EF4-FFF2-40B4-BE49-F238E27FC236}">
              <a16:creationId xmlns:a16="http://schemas.microsoft.com/office/drawing/2014/main" id="{5BDAB054-A7D5-4826-9E95-777C4746837F}"/>
            </a:ext>
          </a:extLst>
        </xdr:cNvPr>
        <xdr:cNvSpPr>
          <a:spLocks noChangeAspect="1" noChangeArrowheads="1"/>
        </xdr:cNvSpPr>
      </xdr:nvSpPr>
      <xdr:spPr bwMode="auto">
        <a:xfrm>
          <a:off x="1219200" y="381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117</xdr:row>
      <xdr:rowOff>0</xdr:rowOff>
    </xdr:from>
    <xdr:to>
      <xdr:col>10</xdr:col>
      <xdr:colOff>304800</xdr:colOff>
      <xdr:row>118</xdr:row>
      <xdr:rowOff>127000</xdr:rowOff>
    </xdr:to>
    <xdr:sp macro="" textlink="">
      <xdr:nvSpPr>
        <xdr:cNvPr id="304" name="AutoShape 69" descr="KOR">
          <a:hlinkClick xmlns:r="http://schemas.openxmlformats.org/officeDocument/2006/relationships" r:id="rId63"/>
          <a:extLst>
            <a:ext uri="{FF2B5EF4-FFF2-40B4-BE49-F238E27FC236}">
              <a16:creationId xmlns:a16="http://schemas.microsoft.com/office/drawing/2014/main" id="{67DA2D0B-2945-481D-9364-2F6B304E2CD9}"/>
            </a:ext>
          </a:extLst>
        </xdr:cNvPr>
        <xdr:cNvSpPr>
          <a:spLocks noChangeAspect="1" noChangeArrowheads="1"/>
        </xdr:cNvSpPr>
      </xdr:nvSpPr>
      <xdr:spPr bwMode="auto">
        <a:xfrm>
          <a:off x="1219200" y="2367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120</xdr:row>
      <xdr:rowOff>0</xdr:rowOff>
    </xdr:from>
    <xdr:to>
      <xdr:col>10</xdr:col>
      <xdr:colOff>304800</xdr:colOff>
      <xdr:row>121</xdr:row>
      <xdr:rowOff>127000</xdr:rowOff>
    </xdr:to>
    <xdr:sp macro="" textlink="">
      <xdr:nvSpPr>
        <xdr:cNvPr id="305" name="AutoShape 70" descr="USA">
          <a:hlinkClick xmlns:r="http://schemas.openxmlformats.org/officeDocument/2006/relationships" r:id="rId65"/>
          <a:extLst>
            <a:ext uri="{FF2B5EF4-FFF2-40B4-BE49-F238E27FC236}">
              <a16:creationId xmlns:a16="http://schemas.microsoft.com/office/drawing/2014/main" id="{CC27BFB1-D238-4B10-8FCF-0FB7D9A7A147}"/>
            </a:ext>
          </a:extLst>
        </xdr:cNvPr>
        <xdr:cNvSpPr>
          <a:spLocks noChangeAspect="1" noChangeArrowheads="1"/>
        </xdr:cNvSpPr>
      </xdr:nvSpPr>
      <xdr:spPr bwMode="auto">
        <a:xfrm>
          <a:off x="1219200" y="2425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160</xdr:row>
      <xdr:rowOff>0</xdr:rowOff>
    </xdr:from>
    <xdr:to>
      <xdr:col>10</xdr:col>
      <xdr:colOff>304800</xdr:colOff>
      <xdr:row>161</xdr:row>
      <xdr:rowOff>127000</xdr:rowOff>
    </xdr:to>
    <xdr:sp macro="" textlink="">
      <xdr:nvSpPr>
        <xdr:cNvPr id="306" name="AutoShape 71" descr="COL">
          <a:hlinkClick xmlns:r="http://schemas.openxmlformats.org/officeDocument/2006/relationships" r:id="rId67"/>
          <a:extLst>
            <a:ext uri="{FF2B5EF4-FFF2-40B4-BE49-F238E27FC236}">
              <a16:creationId xmlns:a16="http://schemas.microsoft.com/office/drawing/2014/main" id="{BB28BDB5-83B5-42E2-8268-33FD7F61B580}"/>
            </a:ext>
          </a:extLst>
        </xdr:cNvPr>
        <xdr:cNvSpPr>
          <a:spLocks noChangeAspect="1" noChangeArrowheads="1"/>
        </xdr:cNvSpPr>
      </xdr:nvSpPr>
      <xdr:spPr bwMode="auto">
        <a:xfrm>
          <a:off x="1219200" y="3187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197</xdr:row>
      <xdr:rowOff>0</xdr:rowOff>
    </xdr:from>
    <xdr:to>
      <xdr:col>10</xdr:col>
      <xdr:colOff>304800</xdr:colOff>
      <xdr:row>198</xdr:row>
      <xdr:rowOff>127000</xdr:rowOff>
    </xdr:to>
    <xdr:sp macro="" textlink="">
      <xdr:nvSpPr>
        <xdr:cNvPr id="307" name="AutoShape 72" descr="USA">
          <a:hlinkClick xmlns:r="http://schemas.openxmlformats.org/officeDocument/2006/relationships" r:id="rId68"/>
          <a:extLst>
            <a:ext uri="{FF2B5EF4-FFF2-40B4-BE49-F238E27FC236}">
              <a16:creationId xmlns:a16="http://schemas.microsoft.com/office/drawing/2014/main" id="{6D7AE05E-4ADE-4D26-A0FE-97D3F103CF75}"/>
            </a:ext>
          </a:extLst>
        </xdr:cNvPr>
        <xdr:cNvSpPr>
          <a:spLocks noChangeAspect="1" noChangeArrowheads="1"/>
        </xdr:cNvSpPr>
      </xdr:nvSpPr>
      <xdr:spPr bwMode="auto">
        <a:xfrm>
          <a:off x="1219200" y="3891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213</xdr:row>
      <xdr:rowOff>0</xdr:rowOff>
    </xdr:from>
    <xdr:to>
      <xdr:col>10</xdr:col>
      <xdr:colOff>304800</xdr:colOff>
      <xdr:row>214</xdr:row>
      <xdr:rowOff>127000</xdr:rowOff>
    </xdr:to>
    <xdr:sp macro="" textlink="">
      <xdr:nvSpPr>
        <xdr:cNvPr id="308" name="AutoShape 73" descr="USA">
          <a:hlinkClick xmlns:r="http://schemas.openxmlformats.org/officeDocument/2006/relationships" r:id="rId72"/>
          <a:extLst>
            <a:ext uri="{FF2B5EF4-FFF2-40B4-BE49-F238E27FC236}">
              <a16:creationId xmlns:a16="http://schemas.microsoft.com/office/drawing/2014/main" id="{03B502D6-27DF-45F0-80DD-D039E56593E4}"/>
            </a:ext>
          </a:extLst>
        </xdr:cNvPr>
        <xdr:cNvSpPr>
          <a:spLocks noChangeAspect="1" noChangeArrowheads="1"/>
        </xdr:cNvSpPr>
      </xdr:nvSpPr>
      <xdr:spPr bwMode="auto">
        <a:xfrm>
          <a:off x="1219200" y="423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309" name="AutoShape 74" descr="USA">
          <a:hlinkClick xmlns:r="http://schemas.openxmlformats.org/officeDocument/2006/relationships" r:id="rId69"/>
          <a:extLst>
            <a:ext uri="{FF2B5EF4-FFF2-40B4-BE49-F238E27FC236}">
              <a16:creationId xmlns:a16="http://schemas.microsoft.com/office/drawing/2014/main" id="{5CEA7A3A-EE79-4CBD-99EC-0FD9411F9AE5}"/>
            </a:ext>
          </a:extLst>
        </xdr:cNvPr>
        <xdr:cNvSpPr>
          <a:spLocks noChangeAspect="1" noChangeArrowheads="1"/>
        </xdr:cNvSpPr>
      </xdr:nvSpPr>
      <xdr:spPr bwMode="auto">
        <a:xfrm>
          <a:off x="1219200" y="408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223</xdr:row>
      <xdr:rowOff>0</xdr:rowOff>
    </xdr:from>
    <xdr:to>
      <xdr:col>10</xdr:col>
      <xdr:colOff>304800</xdr:colOff>
      <xdr:row>224</xdr:row>
      <xdr:rowOff>127000</xdr:rowOff>
    </xdr:to>
    <xdr:sp macro="" textlink="">
      <xdr:nvSpPr>
        <xdr:cNvPr id="310" name="AutoShape 75" descr="USA">
          <a:hlinkClick xmlns:r="http://schemas.openxmlformats.org/officeDocument/2006/relationships" r:id="rId70"/>
          <a:extLst>
            <a:ext uri="{FF2B5EF4-FFF2-40B4-BE49-F238E27FC236}">
              <a16:creationId xmlns:a16="http://schemas.microsoft.com/office/drawing/2014/main" id="{250F3AFA-E168-4C80-9BCB-663100BB1B8B}"/>
            </a:ext>
          </a:extLst>
        </xdr:cNvPr>
        <xdr:cNvSpPr>
          <a:spLocks noChangeAspect="1" noChangeArrowheads="1"/>
        </xdr:cNvSpPr>
      </xdr:nvSpPr>
      <xdr:spPr bwMode="auto">
        <a:xfrm>
          <a:off x="1219200" y="442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211</xdr:row>
      <xdr:rowOff>0</xdr:rowOff>
    </xdr:from>
    <xdr:to>
      <xdr:col>10</xdr:col>
      <xdr:colOff>304800</xdr:colOff>
      <xdr:row>212</xdr:row>
      <xdr:rowOff>127000</xdr:rowOff>
    </xdr:to>
    <xdr:sp macro="" textlink="">
      <xdr:nvSpPr>
        <xdr:cNvPr id="311" name="AutoShape 76" descr="SWE">
          <a:hlinkClick xmlns:r="http://schemas.openxmlformats.org/officeDocument/2006/relationships" r:id="rId71"/>
          <a:extLst>
            <a:ext uri="{FF2B5EF4-FFF2-40B4-BE49-F238E27FC236}">
              <a16:creationId xmlns:a16="http://schemas.microsoft.com/office/drawing/2014/main" id="{FF850E2F-3CE3-4A67-84BF-8FC90B8B29AE}"/>
            </a:ext>
          </a:extLst>
        </xdr:cNvPr>
        <xdr:cNvSpPr>
          <a:spLocks noChangeAspect="1" noChangeArrowheads="1"/>
        </xdr:cNvSpPr>
      </xdr:nvSpPr>
      <xdr:spPr bwMode="auto">
        <a:xfrm>
          <a:off x="1219200" y="419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226</xdr:row>
      <xdr:rowOff>0</xdr:rowOff>
    </xdr:from>
    <xdr:to>
      <xdr:col>10</xdr:col>
      <xdr:colOff>304800</xdr:colOff>
      <xdr:row>227</xdr:row>
      <xdr:rowOff>127000</xdr:rowOff>
    </xdr:to>
    <xdr:sp macro="" textlink="">
      <xdr:nvSpPr>
        <xdr:cNvPr id="312" name="AutoShape 77" descr="USA">
          <a:hlinkClick xmlns:r="http://schemas.openxmlformats.org/officeDocument/2006/relationships" r:id="rId75"/>
          <a:extLst>
            <a:ext uri="{FF2B5EF4-FFF2-40B4-BE49-F238E27FC236}">
              <a16:creationId xmlns:a16="http://schemas.microsoft.com/office/drawing/2014/main" id="{166C9C2B-5A26-4D99-83AA-9779E826ACB3}"/>
            </a:ext>
          </a:extLst>
        </xdr:cNvPr>
        <xdr:cNvSpPr>
          <a:spLocks noChangeAspect="1" noChangeArrowheads="1"/>
        </xdr:cNvSpPr>
      </xdr:nvSpPr>
      <xdr:spPr bwMode="auto">
        <a:xfrm>
          <a:off x="1219200" y="448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86</xdr:row>
      <xdr:rowOff>0</xdr:rowOff>
    </xdr:from>
    <xdr:to>
      <xdr:col>10</xdr:col>
      <xdr:colOff>304800</xdr:colOff>
      <xdr:row>87</xdr:row>
      <xdr:rowOff>127000</xdr:rowOff>
    </xdr:to>
    <xdr:sp macro="" textlink="">
      <xdr:nvSpPr>
        <xdr:cNvPr id="313" name="AutoShape 78" descr="USA">
          <a:hlinkClick xmlns:r="http://schemas.openxmlformats.org/officeDocument/2006/relationships" r:id="rId86"/>
          <a:extLst>
            <a:ext uri="{FF2B5EF4-FFF2-40B4-BE49-F238E27FC236}">
              <a16:creationId xmlns:a16="http://schemas.microsoft.com/office/drawing/2014/main" id="{B508242E-81D9-45F9-841B-4D142D24C79F}"/>
            </a:ext>
          </a:extLst>
        </xdr:cNvPr>
        <xdr:cNvSpPr>
          <a:spLocks noChangeAspect="1" noChangeArrowheads="1"/>
        </xdr:cNvSpPr>
      </xdr:nvSpPr>
      <xdr:spPr bwMode="auto">
        <a:xfrm>
          <a:off x="1219200" y="1777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200</xdr:row>
      <xdr:rowOff>0</xdr:rowOff>
    </xdr:from>
    <xdr:to>
      <xdr:col>10</xdr:col>
      <xdr:colOff>304800</xdr:colOff>
      <xdr:row>201</xdr:row>
      <xdr:rowOff>127000</xdr:rowOff>
    </xdr:to>
    <xdr:sp macro="" textlink="">
      <xdr:nvSpPr>
        <xdr:cNvPr id="314" name="AutoShape 79" descr="USA">
          <a:hlinkClick xmlns:r="http://schemas.openxmlformats.org/officeDocument/2006/relationships" r:id="rId78"/>
          <a:extLst>
            <a:ext uri="{FF2B5EF4-FFF2-40B4-BE49-F238E27FC236}">
              <a16:creationId xmlns:a16="http://schemas.microsoft.com/office/drawing/2014/main" id="{C055C35A-D643-4F13-BA05-9BAAA2117F82}"/>
            </a:ext>
          </a:extLst>
        </xdr:cNvPr>
        <xdr:cNvSpPr>
          <a:spLocks noChangeAspect="1" noChangeArrowheads="1"/>
        </xdr:cNvSpPr>
      </xdr:nvSpPr>
      <xdr:spPr bwMode="auto">
        <a:xfrm>
          <a:off x="1219200" y="3949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61</xdr:row>
      <xdr:rowOff>0</xdr:rowOff>
    </xdr:from>
    <xdr:to>
      <xdr:col>10</xdr:col>
      <xdr:colOff>304800</xdr:colOff>
      <xdr:row>62</xdr:row>
      <xdr:rowOff>127000</xdr:rowOff>
    </xdr:to>
    <xdr:sp macro="" textlink="">
      <xdr:nvSpPr>
        <xdr:cNvPr id="315" name="AutoShape 80" descr="USA">
          <a:hlinkClick xmlns:r="http://schemas.openxmlformats.org/officeDocument/2006/relationships" r:id="rId76"/>
          <a:extLst>
            <a:ext uri="{FF2B5EF4-FFF2-40B4-BE49-F238E27FC236}">
              <a16:creationId xmlns:a16="http://schemas.microsoft.com/office/drawing/2014/main" id="{10D91CF3-5A4A-4CE4-B4AF-D317F239ADE0}"/>
            </a:ext>
          </a:extLst>
        </xdr:cNvPr>
        <xdr:cNvSpPr>
          <a:spLocks noChangeAspect="1" noChangeArrowheads="1"/>
        </xdr:cNvSpPr>
      </xdr:nvSpPr>
      <xdr:spPr bwMode="auto">
        <a:xfrm>
          <a:off x="1219200" y="1301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168</xdr:row>
      <xdr:rowOff>0</xdr:rowOff>
    </xdr:from>
    <xdr:to>
      <xdr:col>10</xdr:col>
      <xdr:colOff>304800</xdr:colOff>
      <xdr:row>169</xdr:row>
      <xdr:rowOff>127000</xdr:rowOff>
    </xdr:to>
    <xdr:sp macro="" textlink="">
      <xdr:nvSpPr>
        <xdr:cNvPr id="316" name="AutoShape 81" descr="RSA">
          <a:hlinkClick xmlns:r="http://schemas.openxmlformats.org/officeDocument/2006/relationships" r:id="rId77"/>
          <a:extLst>
            <a:ext uri="{FF2B5EF4-FFF2-40B4-BE49-F238E27FC236}">
              <a16:creationId xmlns:a16="http://schemas.microsoft.com/office/drawing/2014/main" id="{217F0B20-EE0C-4CF1-B9FA-2B7D0519873D}"/>
            </a:ext>
          </a:extLst>
        </xdr:cNvPr>
        <xdr:cNvSpPr>
          <a:spLocks noChangeAspect="1" noChangeArrowheads="1"/>
        </xdr:cNvSpPr>
      </xdr:nvSpPr>
      <xdr:spPr bwMode="auto">
        <a:xfrm>
          <a:off x="1219200" y="3339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0</xdr:rowOff>
    </xdr:from>
    <xdr:to>
      <xdr:col>10</xdr:col>
      <xdr:colOff>304800</xdr:colOff>
      <xdr:row>7</xdr:row>
      <xdr:rowOff>127000</xdr:rowOff>
    </xdr:to>
    <xdr:sp macro="" textlink="">
      <xdr:nvSpPr>
        <xdr:cNvPr id="317" name="AutoShape 82" descr="USA">
          <a:hlinkClick xmlns:r="http://schemas.openxmlformats.org/officeDocument/2006/relationships" r:id="rId79"/>
          <a:extLst>
            <a:ext uri="{FF2B5EF4-FFF2-40B4-BE49-F238E27FC236}">
              <a16:creationId xmlns:a16="http://schemas.microsoft.com/office/drawing/2014/main" id="{C4DFAFCA-FAA8-49E5-973B-F6CE478428F0}"/>
            </a:ext>
          </a:extLst>
        </xdr:cNvPr>
        <xdr:cNvSpPr>
          <a:spLocks noChangeAspect="1" noChangeArrowheads="1"/>
        </xdr:cNvSpPr>
      </xdr:nvSpPr>
      <xdr:spPr bwMode="auto">
        <a:xfrm>
          <a:off x="1219200" y="25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172</xdr:row>
      <xdr:rowOff>0</xdr:rowOff>
    </xdr:from>
    <xdr:to>
      <xdr:col>10</xdr:col>
      <xdr:colOff>304800</xdr:colOff>
      <xdr:row>173</xdr:row>
      <xdr:rowOff>127000</xdr:rowOff>
    </xdr:to>
    <xdr:sp macro="" textlink="">
      <xdr:nvSpPr>
        <xdr:cNvPr id="318" name="AutoShape 83" descr="USA">
          <a:hlinkClick xmlns:r="http://schemas.openxmlformats.org/officeDocument/2006/relationships" r:id="rId87"/>
          <a:extLst>
            <a:ext uri="{FF2B5EF4-FFF2-40B4-BE49-F238E27FC236}">
              <a16:creationId xmlns:a16="http://schemas.microsoft.com/office/drawing/2014/main" id="{72FB9B1B-4452-4785-B823-6CCEE4EE1501}"/>
            </a:ext>
          </a:extLst>
        </xdr:cNvPr>
        <xdr:cNvSpPr>
          <a:spLocks noChangeAspect="1" noChangeArrowheads="1"/>
        </xdr:cNvSpPr>
      </xdr:nvSpPr>
      <xdr:spPr bwMode="auto">
        <a:xfrm>
          <a:off x="1219200" y="3415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98</xdr:row>
      <xdr:rowOff>0</xdr:rowOff>
    </xdr:from>
    <xdr:to>
      <xdr:col>10</xdr:col>
      <xdr:colOff>304800</xdr:colOff>
      <xdr:row>99</xdr:row>
      <xdr:rowOff>127000</xdr:rowOff>
    </xdr:to>
    <xdr:sp macro="" textlink="">
      <xdr:nvSpPr>
        <xdr:cNvPr id="319" name="AutoShape 84" descr="USA">
          <a:hlinkClick xmlns:r="http://schemas.openxmlformats.org/officeDocument/2006/relationships" r:id="rId85"/>
          <a:extLst>
            <a:ext uri="{FF2B5EF4-FFF2-40B4-BE49-F238E27FC236}">
              <a16:creationId xmlns:a16="http://schemas.microsoft.com/office/drawing/2014/main" id="{6CC43F25-A523-4ADB-9F7F-EDE341A712B8}"/>
            </a:ext>
          </a:extLst>
        </xdr:cNvPr>
        <xdr:cNvSpPr>
          <a:spLocks noChangeAspect="1" noChangeArrowheads="1"/>
        </xdr:cNvSpPr>
      </xdr:nvSpPr>
      <xdr:spPr bwMode="auto">
        <a:xfrm>
          <a:off x="1219200" y="2005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xdr:row>
      <xdr:rowOff>0</xdr:rowOff>
    </xdr:from>
    <xdr:to>
      <xdr:col>10</xdr:col>
      <xdr:colOff>304800</xdr:colOff>
      <xdr:row>10</xdr:row>
      <xdr:rowOff>127000</xdr:rowOff>
    </xdr:to>
    <xdr:sp macro="" textlink="">
      <xdr:nvSpPr>
        <xdr:cNvPr id="320" name="AutoShape 85" descr="TPE">
          <a:hlinkClick xmlns:r="http://schemas.openxmlformats.org/officeDocument/2006/relationships" r:id="rId80"/>
          <a:extLst>
            <a:ext uri="{FF2B5EF4-FFF2-40B4-BE49-F238E27FC236}">
              <a16:creationId xmlns:a16="http://schemas.microsoft.com/office/drawing/2014/main" id="{D6E6A022-0D37-4FBA-83B4-D3AB1B49D44E}"/>
            </a:ext>
          </a:extLst>
        </xdr:cNvPr>
        <xdr:cNvSpPr>
          <a:spLocks noChangeAspect="1" noChangeArrowheads="1"/>
        </xdr:cNvSpPr>
      </xdr:nvSpPr>
      <xdr:spPr bwMode="auto">
        <a:xfrm>
          <a:off x="1219200" y="31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227</xdr:row>
      <xdr:rowOff>0</xdr:rowOff>
    </xdr:from>
    <xdr:to>
      <xdr:col>10</xdr:col>
      <xdr:colOff>304800</xdr:colOff>
      <xdr:row>228</xdr:row>
      <xdr:rowOff>127000</xdr:rowOff>
    </xdr:to>
    <xdr:sp macro="" textlink="">
      <xdr:nvSpPr>
        <xdr:cNvPr id="321" name="AutoShape 86" descr="USA">
          <a:hlinkClick xmlns:r="http://schemas.openxmlformats.org/officeDocument/2006/relationships" r:id="rId81"/>
          <a:extLst>
            <a:ext uri="{FF2B5EF4-FFF2-40B4-BE49-F238E27FC236}">
              <a16:creationId xmlns:a16="http://schemas.microsoft.com/office/drawing/2014/main" id="{A3F36C4E-D517-402C-8E93-EC8EA8CB6650}"/>
            </a:ext>
          </a:extLst>
        </xdr:cNvPr>
        <xdr:cNvSpPr>
          <a:spLocks noChangeAspect="1" noChangeArrowheads="1"/>
        </xdr:cNvSpPr>
      </xdr:nvSpPr>
      <xdr:spPr bwMode="auto">
        <a:xfrm>
          <a:off x="1219200" y="450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111</xdr:row>
      <xdr:rowOff>0</xdr:rowOff>
    </xdr:from>
    <xdr:to>
      <xdr:col>10</xdr:col>
      <xdr:colOff>304800</xdr:colOff>
      <xdr:row>112</xdr:row>
      <xdr:rowOff>127000</xdr:rowOff>
    </xdr:to>
    <xdr:sp macro="" textlink="">
      <xdr:nvSpPr>
        <xdr:cNvPr id="322" name="AutoShape 87" descr="AUS">
          <a:hlinkClick xmlns:r="http://schemas.openxmlformats.org/officeDocument/2006/relationships" r:id="rId82"/>
          <a:extLst>
            <a:ext uri="{FF2B5EF4-FFF2-40B4-BE49-F238E27FC236}">
              <a16:creationId xmlns:a16="http://schemas.microsoft.com/office/drawing/2014/main" id="{C9D96833-C27B-4B6C-B227-5EED5D93C5E5}"/>
            </a:ext>
          </a:extLst>
        </xdr:cNvPr>
        <xdr:cNvSpPr>
          <a:spLocks noChangeAspect="1" noChangeArrowheads="1"/>
        </xdr:cNvSpPr>
      </xdr:nvSpPr>
      <xdr:spPr bwMode="auto">
        <a:xfrm>
          <a:off x="1219200" y="2253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109</xdr:row>
      <xdr:rowOff>0</xdr:rowOff>
    </xdr:from>
    <xdr:to>
      <xdr:col>10</xdr:col>
      <xdr:colOff>304800</xdr:colOff>
      <xdr:row>110</xdr:row>
      <xdr:rowOff>127000</xdr:rowOff>
    </xdr:to>
    <xdr:sp macro="" textlink="">
      <xdr:nvSpPr>
        <xdr:cNvPr id="323" name="AutoShape 88" descr="GER">
          <a:hlinkClick xmlns:r="http://schemas.openxmlformats.org/officeDocument/2006/relationships" r:id="rId90"/>
          <a:extLst>
            <a:ext uri="{FF2B5EF4-FFF2-40B4-BE49-F238E27FC236}">
              <a16:creationId xmlns:a16="http://schemas.microsoft.com/office/drawing/2014/main" id="{1887B8F0-5B82-4F3E-89E6-3174A0705BD0}"/>
            </a:ext>
          </a:extLst>
        </xdr:cNvPr>
        <xdr:cNvSpPr>
          <a:spLocks noChangeAspect="1" noChangeArrowheads="1"/>
        </xdr:cNvSpPr>
      </xdr:nvSpPr>
      <xdr:spPr bwMode="auto">
        <a:xfrm>
          <a:off x="1219200" y="2215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128</xdr:row>
      <xdr:rowOff>0</xdr:rowOff>
    </xdr:from>
    <xdr:to>
      <xdr:col>10</xdr:col>
      <xdr:colOff>304800</xdr:colOff>
      <xdr:row>129</xdr:row>
      <xdr:rowOff>127000</xdr:rowOff>
    </xdr:to>
    <xdr:sp macro="" textlink="">
      <xdr:nvSpPr>
        <xdr:cNvPr id="324" name="AutoShape 89" descr="ENG">
          <a:hlinkClick xmlns:r="http://schemas.openxmlformats.org/officeDocument/2006/relationships" r:id="rId83"/>
          <a:extLst>
            <a:ext uri="{FF2B5EF4-FFF2-40B4-BE49-F238E27FC236}">
              <a16:creationId xmlns:a16="http://schemas.microsoft.com/office/drawing/2014/main" id="{330D3EEB-4AC4-401A-A57B-722F23974808}"/>
            </a:ext>
          </a:extLst>
        </xdr:cNvPr>
        <xdr:cNvSpPr>
          <a:spLocks noChangeAspect="1" noChangeArrowheads="1"/>
        </xdr:cNvSpPr>
      </xdr:nvSpPr>
      <xdr:spPr bwMode="auto">
        <a:xfrm>
          <a:off x="1219200" y="2577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0</xdr:rowOff>
    </xdr:from>
    <xdr:to>
      <xdr:col>10</xdr:col>
      <xdr:colOff>304800</xdr:colOff>
      <xdr:row>25</xdr:row>
      <xdr:rowOff>127000</xdr:rowOff>
    </xdr:to>
    <xdr:sp macro="" textlink="">
      <xdr:nvSpPr>
        <xdr:cNvPr id="325" name="AutoShape 90" descr="ENG">
          <a:hlinkClick xmlns:r="http://schemas.openxmlformats.org/officeDocument/2006/relationships" r:id="rId84"/>
          <a:extLst>
            <a:ext uri="{FF2B5EF4-FFF2-40B4-BE49-F238E27FC236}">
              <a16:creationId xmlns:a16="http://schemas.microsoft.com/office/drawing/2014/main" id="{C96FCEAB-1C58-4514-B085-0AD159D6C747}"/>
            </a:ext>
          </a:extLst>
        </xdr:cNvPr>
        <xdr:cNvSpPr>
          <a:spLocks noChangeAspect="1" noChangeArrowheads="1"/>
        </xdr:cNvSpPr>
      </xdr:nvSpPr>
      <xdr:spPr bwMode="auto">
        <a:xfrm>
          <a:off x="1219200" y="59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188</xdr:row>
      <xdr:rowOff>0</xdr:rowOff>
    </xdr:from>
    <xdr:to>
      <xdr:col>10</xdr:col>
      <xdr:colOff>304800</xdr:colOff>
      <xdr:row>189</xdr:row>
      <xdr:rowOff>127000</xdr:rowOff>
    </xdr:to>
    <xdr:sp macro="" textlink="">
      <xdr:nvSpPr>
        <xdr:cNvPr id="326" name="AutoShape 91" descr="ENG">
          <a:hlinkClick xmlns:r="http://schemas.openxmlformats.org/officeDocument/2006/relationships" r:id="rId105"/>
          <a:extLst>
            <a:ext uri="{FF2B5EF4-FFF2-40B4-BE49-F238E27FC236}">
              <a16:creationId xmlns:a16="http://schemas.microsoft.com/office/drawing/2014/main" id="{C80E3317-4222-467A-83BE-637D58FA0A90}"/>
            </a:ext>
          </a:extLst>
        </xdr:cNvPr>
        <xdr:cNvSpPr>
          <a:spLocks noChangeAspect="1" noChangeArrowheads="1"/>
        </xdr:cNvSpPr>
      </xdr:nvSpPr>
      <xdr:spPr bwMode="auto">
        <a:xfrm>
          <a:off x="1219200" y="3720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xdr:row>
      <xdr:rowOff>0</xdr:rowOff>
    </xdr:from>
    <xdr:to>
      <xdr:col>10</xdr:col>
      <xdr:colOff>304800</xdr:colOff>
      <xdr:row>15</xdr:row>
      <xdr:rowOff>127000</xdr:rowOff>
    </xdr:to>
    <xdr:sp macro="" textlink="">
      <xdr:nvSpPr>
        <xdr:cNvPr id="327" name="AutoShape 92" descr="USA">
          <a:hlinkClick xmlns:r="http://schemas.openxmlformats.org/officeDocument/2006/relationships" r:id="rId88"/>
          <a:extLst>
            <a:ext uri="{FF2B5EF4-FFF2-40B4-BE49-F238E27FC236}">
              <a16:creationId xmlns:a16="http://schemas.microsoft.com/office/drawing/2014/main" id="{73E0B19B-9BD9-4DBE-B082-96025DAEE031}"/>
            </a:ext>
          </a:extLst>
        </xdr:cNvPr>
        <xdr:cNvSpPr>
          <a:spLocks noChangeAspect="1" noChangeArrowheads="1"/>
        </xdr:cNvSpPr>
      </xdr:nvSpPr>
      <xdr:spPr bwMode="auto">
        <a:xfrm>
          <a:off x="1219200" y="405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189</xdr:row>
      <xdr:rowOff>0</xdr:rowOff>
    </xdr:from>
    <xdr:to>
      <xdr:col>10</xdr:col>
      <xdr:colOff>304800</xdr:colOff>
      <xdr:row>190</xdr:row>
      <xdr:rowOff>127000</xdr:rowOff>
    </xdr:to>
    <xdr:sp macro="" textlink="">
      <xdr:nvSpPr>
        <xdr:cNvPr id="328" name="AutoShape 93" descr="RSA">
          <a:hlinkClick xmlns:r="http://schemas.openxmlformats.org/officeDocument/2006/relationships" r:id="rId89"/>
          <a:extLst>
            <a:ext uri="{FF2B5EF4-FFF2-40B4-BE49-F238E27FC236}">
              <a16:creationId xmlns:a16="http://schemas.microsoft.com/office/drawing/2014/main" id="{08660841-820B-4E71-B091-4352C6FBF366}"/>
            </a:ext>
          </a:extLst>
        </xdr:cNvPr>
        <xdr:cNvSpPr>
          <a:spLocks noChangeAspect="1" noChangeArrowheads="1"/>
        </xdr:cNvSpPr>
      </xdr:nvSpPr>
      <xdr:spPr bwMode="auto">
        <a:xfrm>
          <a:off x="1219200" y="3739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195</xdr:row>
      <xdr:rowOff>0</xdr:rowOff>
    </xdr:from>
    <xdr:to>
      <xdr:col>10</xdr:col>
      <xdr:colOff>304800</xdr:colOff>
      <xdr:row>196</xdr:row>
      <xdr:rowOff>127000</xdr:rowOff>
    </xdr:to>
    <xdr:sp macro="" textlink="">
      <xdr:nvSpPr>
        <xdr:cNvPr id="329" name="AutoShape 94" descr="USA">
          <a:hlinkClick xmlns:r="http://schemas.openxmlformats.org/officeDocument/2006/relationships" r:id="rId94"/>
          <a:extLst>
            <a:ext uri="{FF2B5EF4-FFF2-40B4-BE49-F238E27FC236}">
              <a16:creationId xmlns:a16="http://schemas.microsoft.com/office/drawing/2014/main" id="{DBD3A477-10C1-4CB4-A969-CA05DCB93063}"/>
            </a:ext>
          </a:extLst>
        </xdr:cNvPr>
        <xdr:cNvSpPr>
          <a:spLocks noChangeAspect="1" noChangeArrowheads="1"/>
        </xdr:cNvSpPr>
      </xdr:nvSpPr>
      <xdr:spPr bwMode="auto">
        <a:xfrm>
          <a:off x="1219200" y="3853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66</xdr:row>
      <xdr:rowOff>0</xdr:rowOff>
    </xdr:from>
    <xdr:to>
      <xdr:col>10</xdr:col>
      <xdr:colOff>304800</xdr:colOff>
      <xdr:row>67</xdr:row>
      <xdr:rowOff>127000</xdr:rowOff>
    </xdr:to>
    <xdr:sp macro="" textlink="">
      <xdr:nvSpPr>
        <xdr:cNvPr id="330" name="AutoShape 95" descr="USA">
          <a:hlinkClick xmlns:r="http://schemas.openxmlformats.org/officeDocument/2006/relationships" r:id="rId95"/>
          <a:extLst>
            <a:ext uri="{FF2B5EF4-FFF2-40B4-BE49-F238E27FC236}">
              <a16:creationId xmlns:a16="http://schemas.microsoft.com/office/drawing/2014/main" id="{C06430B7-8588-410C-8F41-46B8CBBBB534}"/>
            </a:ext>
          </a:extLst>
        </xdr:cNvPr>
        <xdr:cNvSpPr>
          <a:spLocks noChangeAspect="1" noChangeArrowheads="1"/>
        </xdr:cNvSpPr>
      </xdr:nvSpPr>
      <xdr:spPr bwMode="auto">
        <a:xfrm>
          <a:off x="1219200" y="1396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217</xdr:row>
      <xdr:rowOff>0</xdr:rowOff>
    </xdr:from>
    <xdr:to>
      <xdr:col>10</xdr:col>
      <xdr:colOff>304800</xdr:colOff>
      <xdr:row>218</xdr:row>
      <xdr:rowOff>127000</xdr:rowOff>
    </xdr:to>
    <xdr:sp macro="" textlink="">
      <xdr:nvSpPr>
        <xdr:cNvPr id="331" name="AutoShape 96" descr="USA">
          <a:hlinkClick xmlns:r="http://schemas.openxmlformats.org/officeDocument/2006/relationships" r:id="rId104"/>
          <a:extLst>
            <a:ext uri="{FF2B5EF4-FFF2-40B4-BE49-F238E27FC236}">
              <a16:creationId xmlns:a16="http://schemas.microsoft.com/office/drawing/2014/main" id="{B63DC18F-C4BF-405C-BCEF-F300F51CFB1E}"/>
            </a:ext>
          </a:extLst>
        </xdr:cNvPr>
        <xdr:cNvSpPr>
          <a:spLocks noChangeAspect="1" noChangeArrowheads="1"/>
        </xdr:cNvSpPr>
      </xdr:nvSpPr>
      <xdr:spPr bwMode="auto">
        <a:xfrm>
          <a:off x="1219200" y="431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100</xdr:row>
      <xdr:rowOff>0</xdr:rowOff>
    </xdr:from>
    <xdr:to>
      <xdr:col>10</xdr:col>
      <xdr:colOff>304800</xdr:colOff>
      <xdr:row>101</xdr:row>
      <xdr:rowOff>127000</xdr:rowOff>
    </xdr:to>
    <xdr:sp macro="" textlink="">
      <xdr:nvSpPr>
        <xdr:cNvPr id="332" name="AutoShape 97" descr="IRL">
          <a:hlinkClick xmlns:r="http://schemas.openxmlformats.org/officeDocument/2006/relationships" r:id="rId91"/>
          <a:extLst>
            <a:ext uri="{FF2B5EF4-FFF2-40B4-BE49-F238E27FC236}">
              <a16:creationId xmlns:a16="http://schemas.microsoft.com/office/drawing/2014/main" id="{6892CF4B-F74E-42E6-BE37-A42F4EF9D838}"/>
            </a:ext>
          </a:extLst>
        </xdr:cNvPr>
        <xdr:cNvSpPr>
          <a:spLocks noChangeAspect="1" noChangeArrowheads="1"/>
        </xdr:cNvSpPr>
      </xdr:nvSpPr>
      <xdr:spPr bwMode="auto">
        <a:xfrm>
          <a:off x="1219200" y="2044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67</xdr:row>
      <xdr:rowOff>0</xdr:rowOff>
    </xdr:from>
    <xdr:to>
      <xdr:col>10</xdr:col>
      <xdr:colOff>304800</xdr:colOff>
      <xdr:row>68</xdr:row>
      <xdr:rowOff>127000</xdr:rowOff>
    </xdr:to>
    <xdr:sp macro="" textlink="">
      <xdr:nvSpPr>
        <xdr:cNvPr id="333" name="AutoShape 98" descr="USA">
          <a:hlinkClick xmlns:r="http://schemas.openxmlformats.org/officeDocument/2006/relationships" r:id="rId92"/>
          <a:extLst>
            <a:ext uri="{FF2B5EF4-FFF2-40B4-BE49-F238E27FC236}">
              <a16:creationId xmlns:a16="http://schemas.microsoft.com/office/drawing/2014/main" id="{46931248-3726-4D13-867D-C933995BB10F}"/>
            </a:ext>
          </a:extLst>
        </xdr:cNvPr>
        <xdr:cNvSpPr>
          <a:spLocks noChangeAspect="1" noChangeArrowheads="1"/>
        </xdr:cNvSpPr>
      </xdr:nvSpPr>
      <xdr:spPr bwMode="auto">
        <a:xfrm>
          <a:off x="1219200" y="1415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159</xdr:row>
      <xdr:rowOff>0</xdr:rowOff>
    </xdr:from>
    <xdr:to>
      <xdr:col>10</xdr:col>
      <xdr:colOff>304800</xdr:colOff>
      <xdr:row>160</xdr:row>
      <xdr:rowOff>127000</xdr:rowOff>
    </xdr:to>
    <xdr:sp macro="" textlink="">
      <xdr:nvSpPr>
        <xdr:cNvPr id="334" name="AutoShape 99" descr="USA">
          <a:hlinkClick xmlns:r="http://schemas.openxmlformats.org/officeDocument/2006/relationships" r:id="rId93"/>
          <a:extLst>
            <a:ext uri="{FF2B5EF4-FFF2-40B4-BE49-F238E27FC236}">
              <a16:creationId xmlns:a16="http://schemas.microsoft.com/office/drawing/2014/main" id="{662EBD0D-B452-44DE-87F2-C6DB04621F8F}"/>
            </a:ext>
          </a:extLst>
        </xdr:cNvPr>
        <xdr:cNvSpPr>
          <a:spLocks noChangeAspect="1" noChangeArrowheads="1"/>
        </xdr:cNvSpPr>
      </xdr:nvSpPr>
      <xdr:spPr bwMode="auto">
        <a:xfrm>
          <a:off x="1219200" y="3168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161</xdr:row>
      <xdr:rowOff>0</xdr:rowOff>
    </xdr:from>
    <xdr:to>
      <xdr:col>10</xdr:col>
      <xdr:colOff>304800</xdr:colOff>
      <xdr:row>162</xdr:row>
      <xdr:rowOff>127000</xdr:rowOff>
    </xdr:to>
    <xdr:sp macro="" textlink="">
      <xdr:nvSpPr>
        <xdr:cNvPr id="335" name="AutoShape 100" descr="USA">
          <a:hlinkClick xmlns:r="http://schemas.openxmlformats.org/officeDocument/2006/relationships" r:id="rId99"/>
          <a:extLst>
            <a:ext uri="{FF2B5EF4-FFF2-40B4-BE49-F238E27FC236}">
              <a16:creationId xmlns:a16="http://schemas.microsoft.com/office/drawing/2014/main" id="{68DBA7DA-8709-47C5-9CEB-779569FEB940}"/>
            </a:ext>
          </a:extLst>
        </xdr:cNvPr>
        <xdr:cNvSpPr>
          <a:spLocks noChangeAspect="1" noChangeArrowheads="1"/>
        </xdr:cNvSpPr>
      </xdr:nvSpPr>
      <xdr:spPr bwMode="auto">
        <a:xfrm>
          <a:off x="1219200" y="3206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157</xdr:row>
      <xdr:rowOff>0</xdr:rowOff>
    </xdr:from>
    <xdr:to>
      <xdr:col>10</xdr:col>
      <xdr:colOff>304800</xdr:colOff>
      <xdr:row>158</xdr:row>
      <xdr:rowOff>127000</xdr:rowOff>
    </xdr:to>
    <xdr:sp macro="" textlink="">
      <xdr:nvSpPr>
        <xdr:cNvPr id="336" name="AutoShape 101" descr="AUS">
          <a:hlinkClick xmlns:r="http://schemas.openxmlformats.org/officeDocument/2006/relationships" r:id="rId100"/>
          <a:extLst>
            <a:ext uri="{FF2B5EF4-FFF2-40B4-BE49-F238E27FC236}">
              <a16:creationId xmlns:a16="http://schemas.microsoft.com/office/drawing/2014/main" id="{FB422AA8-6B32-49D6-960E-4DEAFAD82416}"/>
            </a:ext>
          </a:extLst>
        </xdr:cNvPr>
        <xdr:cNvSpPr>
          <a:spLocks noChangeAspect="1" noChangeArrowheads="1"/>
        </xdr:cNvSpPr>
      </xdr:nvSpPr>
      <xdr:spPr bwMode="auto">
        <a:xfrm>
          <a:off x="1219200" y="3129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176</xdr:row>
      <xdr:rowOff>0</xdr:rowOff>
    </xdr:from>
    <xdr:to>
      <xdr:col>10</xdr:col>
      <xdr:colOff>304800</xdr:colOff>
      <xdr:row>177</xdr:row>
      <xdr:rowOff>127000</xdr:rowOff>
    </xdr:to>
    <xdr:sp macro="" textlink="">
      <xdr:nvSpPr>
        <xdr:cNvPr id="337" name="AutoShape 102" descr="USA">
          <a:hlinkClick xmlns:r="http://schemas.openxmlformats.org/officeDocument/2006/relationships" r:id="rId96"/>
          <a:extLst>
            <a:ext uri="{FF2B5EF4-FFF2-40B4-BE49-F238E27FC236}">
              <a16:creationId xmlns:a16="http://schemas.microsoft.com/office/drawing/2014/main" id="{9C6309EC-14AD-4B89-9CA0-D34A00ADB989}"/>
            </a:ext>
          </a:extLst>
        </xdr:cNvPr>
        <xdr:cNvSpPr>
          <a:spLocks noChangeAspect="1" noChangeArrowheads="1"/>
        </xdr:cNvSpPr>
      </xdr:nvSpPr>
      <xdr:spPr bwMode="auto">
        <a:xfrm>
          <a:off x="1219200" y="3491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92</xdr:row>
      <xdr:rowOff>0</xdr:rowOff>
    </xdr:from>
    <xdr:to>
      <xdr:col>10</xdr:col>
      <xdr:colOff>304800</xdr:colOff>
      <xdr:row>93</xdr:row>
      <xdr:rowOff>127000</xdr:rowOff>
    </xdr:to>
    <xdr:sp macro="" textlink="">
      <xdr:nvSpPr>
        <xdr:cNvPr id="338" name="AutoShape 103" descr="USA">
          <a:hlinkClick xmlns:r="http://schemas.openxmlformats.org/officeDocument/2006/relationships" r:id="rId97"/>
          <a:extLst>
            <a:ext uri="{FF2B5EF4-FFF2-40B4-BE49-F238E27FC236}">
              <a16:creationId xmlns:a16="http://schemas.microsoft.com/office/drawing/2014/main" id="{B0992E9A-A1AD-46BF-89FD-C1AC1F735220}"/>
            </a:ext>
          </a:extLst>
        </xdr:cNvPr>
        <xdr:cNvSpPr>
          <a:spLocks noChangeAspect="1" noChangeArrowheads="1"/>
        </xdr:cNvSpPr>
      </xdr:nvSpPr>
      <xdr:spPr bwMode="auto">
        <a:xfrm>
          <a:off x="1219200" y="1891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39" name="AutoShape 104" descr="USA">
          <a:hlinkClick xmlns:r="http://schemas.openxmlformats.org/officeDocument/2006/relationships" r:id="rId108"/>
          <a:extLst>
            <a:ext uri="{FF2B5EF4-FFF2-40B4-BE49-F238E27FC236}">
              <a16:creationId xmlns:a16="http://schemas.microsoft.com/office/drawing/2014/main" id="{7BF99BB8-8F3A-4108-9526-367D972D6ED5}"/>
            </a:ext>
          </a:extLst>
        </xdr:cNvPr>
        <xdr:cNvSpPr>
          <a:spLocks noChangeAspect="1" noChangeArrowheads="1"/>
        </xdr:cNvSpPr>
      </xdr:nvSpPr>
      <xdr:spPr bwMode="auto">
        <a:xfrm>
          <a:off x="1219200" y="571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142</xdr:row>
      <xdr:rowOff>0</xdr:rowOff>
    </xdr:from>
    <xdr:to>
      <xdr:col>10</xdr:col>
      <xdr:colOff>304800</xdr:colOff>
      <xdr:row>143</xdr:row>
      <xdr:rowOff>127000</xdr:rowOff>
    </xdr:to>
    <xdr:sp macro="" textlink="">
      <xdr:nvSpPr>
        <xdr:cNvPr id="340" name="AutoShape 105" descr="USA">
          <a:hlinkClick xmlns:r="http://schemas.openxmlformats.org/officeDocument/2006/relationships" r:id="rId98"/>
          <a:extLst>
            <a:ext uri="{FF2B5EF4-FFF2-40B4-BE49-F238E27FC236}">
              <a16:creationId xmlns:a16="http://schemas.microsoft.com/office/drawing/2014/main" id="{20E825C7-5260-435E-8A79-436EAD83FF64}"/>
            </a:ext>
          </a:extLst>
        </xdr:cNvPr>
        <xdr:cNvSpPr>
          <a:spLocks noChangeAspect="1" noChangeArrowheads="1"/>
        </xdr:cNvSpPr>
      </xdr:nvSpPr>
      <xdr:spPr bwMode="auto">
        <a:xfrm>
          <a:off x="1219200" y="2844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154</xdr:row>
      <xdr:rowOff>0</xdr:rowOff>
    </xdr:from>
    <xdr:to>
      <xdr:col>10</xdr:col>
      <xdr:colOff>304800</xdr:colOff>
      <xdr:row>155</xdr:row>
      <xdr:rowOff>127000</xdr:rowOff>
    </xdr:to>
    <xdr:sp macro="" textlink="">
      <xdr:nvSpPr>
        <xdr:cNvPr id="341" name="AutoShape 106" descr="USA">
          <a:hlinkClick xmlns:r="http://schemas.openxmlformats.org/officeDocument/2006/relationships" r:id="rId107"/>
          <a:extLst>
            <a:ext uri="{FF2B5EF4-FFF2-40B4-BE49-F238E27FC236}">
              <a16:creationId xmlns:a16="http://schemas.microsoft.com/office/drawing/2014/main" id="{DBFB0B0F-68C7-4152-93B3-DDFF9AAE32E1}"/>
            </a:ext>
          </a:extLst>
        </xdr:cNvPr>
        <xdr:cNvSpPr>
          <a:spLocks noChangeAspect="1" noChangeArrowheads="1"/>
        </xdr:cNvSpPr>
      </xdr:nvSpPr>
      <xdr:spPr bwMode="auto">
        <a:xfrm>
          <a:off x="1219200" y="3072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199</xdr:row>
      <xdr:rowOff>0</xdr:rowOff>
    </xdr:from>
    <xdr:to>
      <xdr:col>10</xdr:col>
      <xdr:colOff>304800</xdr:colOff>
      <xdr:row>200</xdr:row>
      <xdr:rowOff>127000</xdr:rowOff>
    </xdr:to>
    <xdr:sp macro="" textlink="">
      <xdr:nvSpPr>
        <xdr:cNvPr id="342" name="AutoShape 107" descr="USA">
          <a:hlinkClick xmlns:r="http://schemas.openxmlformats.org/officeDocument/2006/relationships" r:id="rId101"/>
          <a:extLst>
            <a:ext uri="{FF2B5EF4-FFF2-40B4-BE49-F238E27FC236}">
              <a16:creationId xmlns:a16="http://schemas.microsoft.com/office/drawing/2014/main" id="{9D8ACC05-B835-4247-923D-621011F39680}"/>
            </a:ext>
          </a:extLst>
        </xdr:cNvPr>
        <xdr:cNvSpPr>
          <a:spLocks noChangeAspect="1" noChangeArrowheads="1"/>
        </xdr:cNvSpPr>
      </xdr:nvSpPr>
      <xdr:spPr bwMode="auto">
        <a:xfrm>
          <a:off x="1219200" y="3930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79</xdr:row>
      <xdr:rowOff>0</xdr:rowOff>
    </xdr:from>
    <xdr:to>
      <xdr:col>10</xdr:col>
      <xdr:colOff>304800</xdr:colOff>
      <xdr:row>80</xdr:row>
      <xdr:rowOff>127000</xdr:rowOff>
    </xdr:to>
    <xdr:sp macro="" textlink="">
      <xdr:nvSpPr>
        <xdr:cNvPr id="343" name="AutoShape 108" descr="USA">
          <a:hlinkClick xmlns:r="http://schemas.openxmlformats.org/officeDocument/2006/relationships" r:id="rId102"/>
          <a:extLst>
            <a:ext uri="{FF2B5EF4-FFF2-40B4-BE49-F238E27FC236}">
              <a16:creationId xmlns:a16="http://schemas.microsoft.com/office/drawing/2014/main" id="{86DBC515-739C-488B-B371-8CF667526FA3}"/>
            </a:ext>
          </a:extLst>
        </xdr:cNvPr>
        <xdr:cNvSpPr>
          <a:spLocks noChangeAspect="1" noChangeArrowheads="1"/>
        </xdr:cNvSpPr>
      </xdr:nvSpPr>
      <xdr:spPr bwMode="auto">
        <a:xfrm>
          <a:off x="1219200" y="1644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103</xdr:row>
      <xdr:rowOff>0</xdr:rowOff>
    </xdr:from>
    <xdr:to>
      <xdr:col>10</xdr:col>
      <xdr:colOff>304800</xdr:colOff>
      <xdr:row>104</xdr:row>
      <xdr:rowOff>127000</xdr:rowOff>
    </xdr:to>
    <xdr:sp macro="" textlink="">
      <xdr:nvSpPr>
        <xdr:cNvPr id="344" name="AutoShape 109" descr="USA">
          <a:hlinkClick xmlns:r="http://schemas.openxmlformats.org/officeDocument/2006/relationships" r:id="rId103"/>
          <a:extLst>
            <a:ext uri="{FF2B5EF4-FFF2-40B4-BE49-F238E27FC236}">
              <a16:creationId xmlns:a16="http://schemas.microsoft.com/office/drawing/2014/main" id="{58D793A6-D388-4E0B-8328-E268B553451C}"/>
            </a:ext>
          </a:extLst>
        </xdr:cNvPr>
        <xdr:cNvSpPr>
          <a:spLocks noChangeAspect="1" noChangeArrowheads="1"/>
        </xdr:cNvSpPr>
      </xdr:nvSpPr>
      <xdr:spPr bwMode="auto">
        <a:xfrm>
          <a:off x="1219200" y="2101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xdr:row>
      <xdr:rowOff>0</xdr:rowOff>
    </xdr:from>
    <xdr:to>
      <xdr:col>10</xdr:col>
      <xdr:colOff>304800</xdr:colOff>
      <xdr:row>13</xdr:row>
      <xdr:rowOff>127000</xdr:rowOff>
    </xdr:to>
    <xdr:sp macro="" textlink="">
      <xdr:nvSpPr>
        <xdr:cNvPr id="345" name="AutoShape 110" descr="SWE">
          <a:hlinkClick xmlns:r="http://schemas.openxmlformats.org/officeDocument/2006/relationships" r:id="rId106"/>
          <a:extLst>
            <a:ext uri="{FF2B5EF4-FFF2-40B4-BE49-F238E27FC236}">
              <a16:creationId xmlns:a16="http://schemas.microsoft.com/office/drawing/2014/main" id="{8C2520EC-6B98-4F28-85D7-3D9766759095}"/>
            </a:ext>
          </a:extLst>
        </xdr:cNvPr>
        <xdr:cNvSpPr>
          <a:spLocks noChangeAspect="1" noChangeArrowheads="1"/>
        </xdr:cNvSpPr>
      </xdr:nvSpPr>
      <xdr:spPr bwMode="auto">
        <a:xfrm>
          <a:off x="1219200" y="367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xdr:row>
      <xdr:rowOff>0</xdr:rowOff>
    </xdr:from>
    <xdr:to>
      <xdr:col>10</xdr:col>
      <xdr:colOff>304800</xdr:colOff>
      <xdr:row>23</xdr:row>
      <xdr:rowOff>127000</xdr:rowOff>
    </xdr:to>
    <xdr:sp macro="" textlink="">
      <xdr:nvSpPr>
        <xdr:cNvPr id="346" name="AutoShape 111" descr="CAN">
          <a:hlinkClick xmlns:r="http://schemas.openxmlformats.org/officeDocument/2006/relationships" r:id="rId112"/>
          <a:extLst>
            <a:ext uri="{FF2B5EF4-FFF2-40B4-BE49-F238E27FC236}">
              <a16:creationId xmlns:a16="http://schemas.microsoft.com/office/drawing/2014/main" id="{83DBA2AE-4559-48AB-A21D-78AD3E79B7F3}"/>
            </a:ext>
          </a:extLst>
        </xdr:cNvPr>
        <xdr:cNvSpPr>
          <a:spLocks noChangeAspect="1" noChangeArrowheads="1"/>
        </xdr:cNvSpPr>
      </xdr:nvSpPr>
      <xdr:spPr bwMode="auto">
        <a:xfrm>
          <a:off x="1219200" y="558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127</xdr:row>
      <xdr:rowOff>0</xdr:rowOff>
    </xdr:from>
    <xdr:to>
      <xdr:col>10</xdr:col>
      <xdr:colOff>304800</xdr:colOff>
      <xdr:row>128</xdr:row>
      <xdr:rowOff>127000</xdr:rowOff>
    </xdr:to>
    <xdr:sp macro="" textlink="">
      <xdr:nvSpPr>
        <xdr:cNvPr id="347" name="AutoShape 112" descr="USA">
          <a:hlinkClick xmlns:r="http://schemas.openxmlformats.org/officeDocument/2006/relationships" r:id="rId122"/>
          <a:extLst>
            <a:ext uri="{FF2B5EF4-FFF2-40B4-BE49-F238E27FC236}">
              <a16:creationId xmlns:a16="http://schemas.microsoft.com/office/drawing/2014/main" id="{14753098-B6DA-4FE8-97F6-BC011F147E90}"/>
            </a:ext>
          </a:extLst>
        </xdr:cNvPr>
        <xdr:cNvSpPr>
          <a:spLocks noChangeAspect="1" noChangeArrowheads="1"/>
        </xdr:cNvSpPr>
      </xdr:nvSpPr>
      <xdr:spPr bwMode="auto">
        <a:xfrm>
          <a:off x="1219200" y="2558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113</xdr:row>
      <xdr:rowOff>0</xdr:rowOff>
    </xdr:from>
    <xdr:to>
      <xdr:col>10</xdr:col>
      <xdr:colOff>304800</xdr:colOff>
      <xdr:row>114</xdr:row>
      <xdr:rowOff>127000</xdr:rowOff>
    </xdr:to>
    <xdr:sp macro="" textlink="">
      <xdr:nvSpPr>
        <xdr:cNvPr id="348" name="AutoShape 113" descr="RSA">
          <a:hlinkClick xmlns:r="http://schemas.openxmlformats.org/officeDocument/2006/relationships" r:id="rId114"/>
          <a:extLst>
            <a:ext uri="{FF2B5EF4-FFF2-40B4-BE49-F238E27FC236}">
              <a16:creationId xmlns:a16="http://schemas.microsoft.com/office/drawing/2014/main" id="{21472A47-7572-4AB5-AD22-F5153FA81E68}"/>
            </a:ext>
          </a:extLst>
        </xdr:cNvPr>
        <xdr:cNvSpPr>
          <a:spLocks noChangeAspect="1" noChangeArrowheads="1"/>
        </xdr:cNvSpPr>
      </xdr:nvSpPr>
      <xdr:spPr bwMode="auto">
        <a:xfrm>
          <a:off x="1219200" y="2291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205</xdr:row>
      <xdr:rowOff>0</xdr:rowOff>
    </xdr:from>
    <xdr:to>
      <xdr:col>10</xdr:col>
      <xdr:colOff>304800</xdr:colOff>
      <xdr:row>206</xdr:row>
      <xdr:rowOff>127000</xdr:rowOff>
    </xdr:to>
    <xdr:sp macro="" textlink="">
      <xdr:nvSpPr>
        <xdr:cNvPr id="349" name="AutoShape 114" descr="USA">
          <a:hlinkClick xmlns:r="http://schemas.openxmlformats.org/officeDocument/2006/relationships" r:id="rId128"/>
          <a:extLst>
            <a:ext uri="{FF2B5EF4-FFF2-40B4-BE49-F238E27FC236}">
              <a16:creationId xmlns:a16="http://schemas.microsoft.com/office/drawing/2014/main" id="{28669F1E-02BB-453B-9D45-7386817F5CD4}"/>
            </a:ext>
          </a:extLst>
        </xdr:cNvPr>
        <xdr:cNvSpPr>
          <a:spLocks noChangeAspect="1" noChangeArrowheads="1"/>
        </xdr:cNvSpPr>
      </xdr:nvSpPr>
      <xdr:spPr bwMode="auto">
        <a:xfrm>
          <a:off x="1219200" y="404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114</xdr:row>
      <xdr:rowOff>0</xdr:rowOff>
    </xdr:from>
    <xdr:to>
      <xdr:col>10</xdr:col>
      <xdr:colOff>304800</xdr:colOff>
      <xdr:row>115</xdr:row>
      <xdr:rowOff>127000</xdr:rowOff>
    </xdr:to>
    <xdr:sp macro="" textlink="">
      <xdr:nvSpPr>
        <xdr:cNvPr id="350" name="AutoShape 115" descr="USA">
          <a:hlinkClick xmlns:r="http://schemas.openxmlformats.org/officeDocument/2006/relationships" r:id="rId159"/>
          <a:extLst>
            <a:ext uri="{FF2B5EF4-FFF2-40B4-BE49-F238E27FC236}">
              <a16:creationId xmlns:a16="http://schemas.microsoft.com/office/drawing/2014/main" id="{4699CD19-BA28-4477-B610-832A1EAFE1E1}"/>
            </a:ext>
          </a:extLst>
        </xdr:cNvPr>
        <xdr:cNvSpPr>
          <a:spLocks noChangeAspect="1" noChangeArrowheads="1"/>
        </xdr:cNvSpPr>
      </xdr:nvSpPr>
      <xdr:spPr bwMode="auto">
        <a:xfrm>
          <a:off x="1219200" y="2310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28</xdr:row>
      <xdr:rowOff>0</xdr:rowOff>
    </xdr:from>
    <xdr:to>
      <xdr:col>10</xdr:col>
      <xdr:colOff>304800</xdr:colOff>
      <xdr:row>29</xdr:row>
      <xdr:rowOff>127000</xdr:rowOff>
    </xdr:to>
    <xdr:sp macro="" textlink="">
      <xdr:nvSpPr>
        <xdr:cNvPr id="351" name="AutoShape 116" descr="USA">
          <a:hlinkClick xmlns:r="http://schemas.openxmlformats.org/officeDocument/2006/relationships" r:id="rId113"/>
          <a:extLst>
            <a:ext uri="{FF2B5EF4-FFF2-40B4-BE49-F238E27FC236}">
              <a16:creationId xmlns:a16="http://schemas.microsoft.com/office/drawing/2014/main" id="{5D6273EA-1A38-467F-B09B-FECFDF69CB13}"/>
            </a:ext>
          </a:extLst>
        </xdr:cNvPr>
        <xdr:cNvSpPr>
          <a:spLocks noChangeAspect="1" noChangeArrowheads="1"/>
        </xdr:cNvSpPr>
      </xdr:nvSpPr>
      <xdr:spPr bwMode="auto">
        <a:xfrm>
          <a:off x="1219200" y="672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152</xdr:row>
      <xdr:rowOff>0</xdr:rowOff>
    </xdr:from>
    <xdr:to>
      <xdr:col>10</xdr:col>
      <xdr:colOff>304800</xdr:colOff>
      <xdr:row>153</xdr:row>
      <xdr:rowOff>127000</xdr:rowOff>
    </xdr:to>
    <xdr:sp macro="" textlink="">
      <xdr:nvSpPr>
        <xdr:cNvPr id="352" name="AutoShape 117" descr="AUS">
          <a:hlinkClick xmlns:r="http://schemas.openxmlformats.org/officeDocument/2006/relationships" r:id="rId109"/>
          <a:extLst>
            <a:ext uri="{FF2B5EF4-FFF2-40B4-BE49-F238E27FC236}">
              <a16:creationId xmlns:a16="http://schemas.microsoft.com/office/drawing/2014/main" id="{4A7834F9-8763-47D8-ABC7-85FC1B407B2C}"/>
            </a:ext>
          </a:extLst>
        </xdr:cNvPr>
        <xdr:cNvSpPr>
          <a:spLocks noChangeAspect="1" noChangeArrowheads="1"/>
        </xdr:cNvSpPr>
      </xdr:nvSpPr>
      <xdr:spPr bwMode="auto">
        <a:xfrm>
          <a:off x="1219200" y="3034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144</xdr:row>
      <xdr:rowOff>0</xdr:rowOff>
    </xdr:from>
    <xdr:to>
      <xdr:col>10</xdr:col>
      <xdr:colOff>304800</xdr:colOff>
      <xdr:row>145</xdr:row>
      <xdr:rowOff>127000</xdr:rowOff>
    </xdr:to>
    <xdr:sp macro="" textlink="">
      <xdr:nvSpPr>
        <xdr:cNvPr id="353" name="AutoShape 118" descr="USA">
          <a:hlinkClick xmlns:r="http://schemas.openxmlformats.org/officeDocument/2006/relationships" r:id="rId117"/>
          <a:extLst>
            <a:ext uri="{FF2B5EF4-FFF2-40B4-BE49-F238E27FC236}">
              <a16:creationId xmlns:a16="http://schemas.microsoft.com/office/drawing/2014/main" id="{BD833935-629B-4032-B129-67E9E6E02DEA}"/>
            </a:ext>
          </a:extLst>
        </xdr:cNvPr>
        <xdr:cNvSpPr>
          <a:spLocks noChangeAspect="1" noChangeArrowheads="1"/>
        </xdr:cNvSpPr>
      </xdr:nvSpPr>
      <xdr:spPr bwMode="auto">
        <a:xfrm>
          <a:off x="1219200" y="2882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27</xdr:row>
      <xdr:rowOff>0</xdr:rowOff>
    </xdr:from>
    <xdr:to>
      <xdr:col>10</xdr:col>
      <xdr:colOff>304800</xdr:colOff>
      <xdr:row>28</xdr:row>
      <xdr:rowOff>127000</xdr:rowOff>
    </xdr:to>
    <xdr:sp macro="" textlink="">
      <xdr:nvSpPr>
        <xdr:cNvPr id="354" name="AutoShape 119" descr="USA">
          <a:hlinkClick xmlns:r="http://schemas.openxmlformats.org/officeDocument/2006/relationships" r:id="rId110"/>
          <a:extLst>
            <a:ext uri="{FF2B5EF4-FFF2-40B4-BE49-F238E27FC236}">
              <a16:creationId xmlns:a16="http://schemas.microsoft.com/office/drawing/2014/main" id="{8897CAE0-7CF1-4241-9CA6-5726082DD326}"/>
            </a:ext>
          </a:extLst>
        </xdr:cNvPr>
        <xdr:cNvSpPr>
          <a:spLocks noChangeAspect="1" noChangeArrowheads="1"/>
        </xdr:cNvSpPr>
      </xdr:nvSpPr>
      <xdr:spPr bwMode="auto">
        <a:xfrm>
          <a:off x="1219200" y="65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38</xdr:row>
      <xdr:rowOff>0</xdr:rowOff>
    </xdr:from>
    <xdr:to>
      <xdr:col>10</xdr:col>
      <xdr:colOff>304800</xdr:colOff>
      <xdr:row>39</xdr:row>
      <xdr:rowOff>127000</xdr:rowOff>
    </xdr:to>
    <xdr:sp macro="" textlink="">
      <xdr:nvSpPr>
        <xdr:cNvPr id="355" name="AutoShape 120" descr="RSA">
          <a:hlinkClick xmlns:r="http://schemas.openxmlformats.org/officeDocument/2006/relationships" r:id="rId111"/>
          <a:extLst>
            <a:ext uri="{FF2B5EF4-FFF2-40B4-BE49-F238E27FC236}">
              <a16:creationId xmlns:a16="http://schemas.microsoft.com/office/drawing/2014/main" id="{505812C2-E442-4020-9AA3-D2360D741615}"/>
            </a:ext>
          </a:extLst>
        </xdr:cNvPr>
        <xdr:cNvSpPr>
          <a:spLocks noChangeAspect="1" noChangeArrowheads="1"/>
        </xdr:cNvSpPr>
      </xdr:nvSpPr>
      <xdr:spPr bwMode="auto">
        <a:xfrm>
          <a:off x="1219200" y="862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56</xdr:row>
      <xdr:rowOff>0</xdr:rowOff>
    </xdr:from>
    <xdr:to>
      <xdr:col>10</xdr:col>
      <xdr:colOff>304800</xdr:colOff>
      <xdr:row>57</xdr:row>
      <xdr:rowOff>127000</xdr:rowOff>
    </xdr:to>
    <xdr:sp macro="" textlink="">
      <xdr:nvSpPr>
        <xdr:cNvPr id="356" name="AutoShape 121" descr="USA">
          <a:hlinkClick xmlns:r="http://schemas.openxmlformats.org/officeDocument/2006/relationships" r:id="rId115"/>
          <a:extLst>
            <a:ext uri="{FF2B5EF4-FFF2-40B4-BE49-F238E27FC236}">
              <a16:creationId xmlns:a16="http://schemas.microsoft.com/office/drawing/2014/main" id="{45E888FC-7E7D-47D7-B35E-CD7C7EFACC01}"/>
            </a:ext>
          </a:extLst>
        </xdr:cNvPr>
        <xdr:cNvSpPr>
          <a:spLocks noChangeAspect="1" noChangeArrowheads="1"/>
        </xdr:cNvSpPr>
      </xdr:nvSpPr>
      <xdr:spPr bwMode="auto">
        <a:xfrm>
          <a:off x="1219200" y="1205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xdr:row>
      <xdr:rowOff>0</xdr:rowOff>
    </xdr:from>
    <xdr:to>
      <xdr:col>10</xdr:col>
      <xdr:colOff>304800</xdr:colOff>
      <xdr:row>9</xdr:row>
      <xdr:rowOff>127000</xdr:rowOff>
    </xdr:to>
    <xdr:sp macro="" textlink="">
      <xdr:nvSpPr>
        <xdr:cNvPr id="357" name="AutoShape 122" descr="AUT">
          <a:hlinkClick xmlns:r="http://schemas.openxmlformats.org/officeDocument/2006/relationships" r:id="rId116"/>
          <a:extLst>
            <a:ext uri="{FF2B5EF4-FFF2-40B4-BE49-F238E27FC236}">
              <a16:creationId xmlns:a16="http://schemas.microsoft.com/office/drawing/2014/main" id="{234EC943-0A0F-4D6E-BDF8-7244BA7769CF}"/>
            </a:ext>
          </a:extLst>
        </xdr:cNvPr>
        <xdr:cNvSpPr>
          <a:spLocks noChangeAspect="1" noChangeArrowheads="1"/>
        </xdr:cNvSpPr>
      </xdr:nvSpPr>
      <xdr:spPr bwMode="auto">
        <a:xfrm>
          <a:off x="1219200" y="291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136</xdr:row>
      <xdr:rowOff>0</xdr:rowOff>
    </xdr:from>
    <xdr:to>
      <xdr:col>10</xdr:col>
      <xdr:colOff>304800</xdr:colOff>
      <xdr:row>137</xdr:row>
      <xdr:rowOff>127000</xdr:rowOff>
    </xdr:to>
    <xdr:sp macro="" textlink="">
      <xdr:nvSpPr>
        <xdr:cNvPr id="358" name="AutoShape 123" descr="CHI">
          <a:hlinkClick xmlns:r="http://schemas.openxmlformats.org/officeDocument/2006/relationships" r:id="rId118"/>
          <a:extLst>
            <a:ext uri="{FF2B5EF4-FFF2-40B4-BE49-F238E27FC236}">
              <a16:creationId xmlns:a16="http://schemas.microsoft.com/office/drawing/2014/main" id="{08B52387-9E64-4EAE-8DE3-A54725416DB0}"/>
            </a:ext>
          </a:extLst>
        </xdr:cNvPr>
        <xdr:cNvSpPr>
          <a:spLocks noChangeAspect="1" noChangeArrowheads="1"/>
        </xdr:cNvSpPr>
      </xdr:nvSpPr>
      <xdr:spPr bwMode="auto">
        <a:xfrm>
          <a:off x="1219200" y="2729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45</xdr:row>
      <xdr:rowOff>0</xdr:rowOff>
    </xdr:from>
    <xdr:to>
      <xdr:col>10</xdr:col>
      <xdr:colOff>304800</xdr:colOff>
      <xdr:row>46</xdr:row>
      <xdr:rowOff>127000</xdr:rowOff>
    </xdr:to>
    <xdr:sp macro="" textlink="">
      <xdr:nvSpPr>
        <xdr:cNvPr id="359" name="AutoShape 124" descr="RSA">
          <a:hlinkClick xmlns:r="http://schemas.openxmlformats.org/officeDocument/2006/relationships" r:id="rId119"/>
          <a:extLst>
            <a:ext uri="{FF2B5EF4-FFF2-40B4-BE49-F238E27FC236}">
              <a16:creationId xmlns:a16="http://schemas.microsoft.com/office/drawing/2014/main" id="{F3D4C21D-9D1B-48CC-97A7-640A6C1240C5}"/>
            </a:ext>
          </a:extLst>
        </xdr:cNvPr>
        <xdr:cNvSpPr>
          <a:spLocks noChangeAspect="1" noChangeArrowheads="1"/>
        </xdr:cNvSpPr>
      </xdr:nvSpPr>
      <xdr:spPr bwMode="auto">
        <a:xfrm>
          <a:off x="1219200" y="996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69</xdr:row>
      <xdr:rowOff>0</xdr:rowOff>
    </xdr:from>
    <xdr:to>
      <xdr:col>10</xdr:col>
      <xdr:colOff>304800</xdr:colOff>
      <xdr:row>70</xdr:row>
      <xdr:rowOff>127000</xdr:rowOff>
    </xdr:to>
    <xdr:sp macro="" textlink="">
      <xdr:nvSpPr>
        <xdr:cNvPr id="360" name="AutoShape 125" descr="SWE">
          <a:hlinkClick xmlns:r="http://schemas.openxmlformats.org/officeDocument/2006/relationships" r:id="rId143"/>
          <a:extLst>
            <a:ext uri="{FF2B5EF4-FFF2-40B4-BE49-F238E27FC236}">
              <a16:creationId xmlns:a16="http://schemas.microsoft.com/office/drawing/2014/main" id="{AA36FC4D-3106-405B-A90A-3F3D69F7AD65}"/>
            </a:ext>
          </a:extLst>
        </xdr:cNvPr>
        <xdr:cNvSpPr>
          <a:spLocks noChangeAspect="1" noChangeArrowheads="1"/>
        </xdr:cNvSpPr>
      </xdr:nvSpPr>
      <xdr:spPr bwMode="auto">
        <a:xfrm>
          <a:off x="1219200" y="1453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54</xdr:row>
      <xdr:rowOff>0</xdr:rowOff>
    </xdr:from>
    <xdr:to>
      <xdr:col>10</xdr:col>
      <xdr:colOff>304800</xdr:colOff>
      <xdr:row>55</xdr:row>
      <xdr:rowOff>127000</xdr:rowOff>
    </xdr:to>
    <xdr:sp macro="" textlink="">
      <xdr:nvSpPr>
        <xdr:cNvPr id="361" name="AutoShape 126" descr="USA">
          <a:hlinkClick xmlns:r="http://schemas.openxmlformats.org/officeDocument/2006/relationships" r:id="rId120"/>
          <a:extLst>
            <a:ext uri="{FF2B5EF4-FFF2-40B4-BE49-F238E27FC236}">
              <a16:creationId xmlns:a16="http://schemas.microsoft.com/office/drawing/2014/main" id="{5954EAE9-97B2-48C9-8C79-DDC1F1282999}"/>
            </a:ext>
          </a:extLst>
        </xdr:cNvPr>
        <xdr:cNvSpPr>
          <a:spLocks noChangeAspect="1" noChangeArrowheads="1"/>
        </xdr:cNvSpPr>
      </xdr:nvSpPr>
      <xdr:spPr bwMode="auto">
        <a:xfrm>
          <a:off x="1219200" y="1167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125</xdr:row>
      <xdr:rowOff>0</xdr:rowOff>
    </xdr:from>
    <xdr:to>
      <xdr:col>10</xdr:col>
      <xdr:colOff>304800</xdr:colOff>
      <xdr:row>126</xdr:row>
      <xdr:rowOff>127000</xdr:rowOff>
    </xdr:to>
    <xdr:sp macro="" textlink="">
      <xdr:nvSpPr>
        <xdr:cNvPr id="362" name="AutoShape 127" descr="SWE">
          <a:hlinkClick xmlns:r="http://schemas.openxmlformats.org/officeDocument/2006/relationships" r:id="rId121"/>
          <a:extLst>
            <a:ext uri="{FF2B5EF4-FFF2-40B4-BE49-F238E27FC236}">
              <a16:creationId xmlns:a16="http://schemas.microsoft.com/office/drawing/2014/main" id="{547C23B6-5FEF-40E3-BDAD-E3E56D0916AC}"/>
            </a:ext>
          </a:extLst>
        </xdr:cNvPr>
        <xdr:cNvSpPr>
          <a:spLocks noChangeAspect="1" noChangeArrowheads="1"/>
        </xdr:cNvSpPr>
      </xdr:nvSpPr>
      <xdr:spPr bwMode="auto">
        <a:xfrm>
          <a:off x="1219200" y="2520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25</xdr:row>
      <xdr:rowOff>0</xdr:rowOff>
    </xdr:from>
    <xdr:to>
      <xdr:col>10</xdr:col>
      <xdr:colOff>304800</xdr:colOff>
      <xdr:row>26</xdr:row>
      <xdr:rowOff>127000</xdr:rowOff>
    </xdr:to>
    <xdr:sp macro="" textlink="">
      <xdr:nvSpPr>
        <xdr:cNvPr id="363" name="AutoShape 128" descr="USA">
          <a:hlinkClick xmlns:r="http://schemas.openxmlformats.org/officeDocument/2006/relationships" r:id="rId168"/>
          <a:extLst>
            <a:ext uri="{FF2B5EF4-FFF2-40B4-BE49-F238E27FC236}">
              <a16:creationId xmlns:a16="http://schemas.microsoft.com/office/drawing/2014/main" id="{F7B54F51-4036-420E-9D2C-ED04858F0251}"/>
            </a:ext>
          </a:extLst>
        </xdr:cNvPr>
        <xdr:cNvSpPr>
          <a:spLocks noChangeAspect="1" noChangeArrowheads="1"/>
        </xdr:cNvSpPr>
      </xdr:nvSpPr>
      <xdr:spPr bwMode="auto">
        <a:xfrm>
          <a:off x="1219200" y="615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221</xdr:row>
      <xdr:rowOff>0</xdr:rowOff>
    </xdr:from>
    <xdr:to>
      <xdr:col>10</xdr:col>
      <xdr:colOff>304800</xdr:colOff>
      <xdr:row>222</xdr:row>
      <xdr:rowOff>127000</xdr:rowOff>
    </xdr:to>
    <xdr:sp macro="" textlink="">
      <xdr:nvSpPr>
        <xdr:cNvPr id="364" name="AutoShape 129" descr="USA">
          <a:hlinkClick xmlns:r="http://schemas.openxmlformats.org/officeDocument/2006/relationships" r:id="rId125"/>
          <a:extLst>
            <a:ext uri="{FF2B5EF4-FFF2-40B4-BE49-F238E27FC236}">
              <a16:creationId xmlns:a16="http://schemas.microsoft.com/office/drawing/2014/main" id="{1E6D45D5-93A4-4BC2-8B0E-B190F44250E4}"/>
            </a:ext>
          </a:extLst>
        </xdr:cNvPr>
        <xdr:cNvSpPr>
          <a:spLocks noChangeAspect="1" noChangeArrowheads="1"/>
        </xdr:cNvSpPr>
      </xdr:nvSpPr>
      <xdr:spPr bwMode="auto">
        <a:xfrm>
          <a:off x="1219200" y="4387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150</xdr:row>
      <xdr:rowOff>0</xdr:rowOff>
    </xdr:from>
    <xdr:to>
      <xdr:col>10</xdr:col>
      <xdr:colOff>304800</xdr:colOff>
      <xdr:row>151</xdr:row>
      <xdr:rowOff>127000</xdr:rowOff>
    </xdr:to>
    <xdr:sp macro="" textlink="">
      <xdr:nvSpPr>
        <xdr:cNvPr id="365" name="AutoShape 130" descr="SCO">
          <a:hlinkClick xmlns:r="http://schemas.openxmlformats.org/officeDocument/2006/relationships" r:id="rId123"/>
          <a:extLst>
            <a:ext uri="{FF2B5EF4-FFF2-40B4-BE49-F238E27FC236}">
              <a16:creationId xmlns:a16="http://schemas.microsoft.com/office/drawing/2014/main" id="{7A0DA685-E7CE-4EFA-971A-7833797EBEC7}"/>
            </a:ext>
          </a:extLst>
        </xdr:cNvPr>
        <xdr:cNvSpPr>
          <a:spLocks noChangeAspect="1" noChangeArrowheads="1"/>
        </xdr:cNvSpPr>
      </xdr:nvSpPr>
      <xdr:spPr bwMode="auto">
        <a:xfrm>
          <a:off x="1219200" y="2996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175</xdr:row>
      <xdr:rowOff>0</xdr:rowOff>
    </xdr:from>
    <xdr:to>
      <xdr:col>10</xdr:col>
      <xdr:colOff>304800</xdr:colOff>
      <xdr:row>176</xdr:row>
      <xdr:rowOff>127000</xdr:rowOff>
    </xdr:to>
    <xdr:sp macro="" textlink="">
      <xdr:nvSpPr>
        <xdr:cNvPr id="366" name="AutoShape 131" descr="USA">
          <a:hlinkClick xmlns:r="http://schemas.openxmlformats.org/officeDocument/2006/relationships" r:id="rId124"/>
          <a:extLst>
            <a:ext uri="{FF2B5EF4-FFF2-40B4-BE49-F238E27FC236}">
              <a16:creationId xmlns:a16="http://schemas.microsoft.com/office/drawing/2014/main" id="{327C2911-4862-439F-9741-79796F9FD101}"/>
            </a:ext>
          </a:extLst>
        </xdr:cNvPr>
        <xdr:cNvSpPr>
          <a:spLocks noChangeAspect="1" noChangeArrowheads="1"/>
        </xdr:cNvSpPr>
      </xdr:nvSpPr>
      <xdr:spPr bwMode="auto">
        <a:xfrm>
          <a:off x="1219200" y="3472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140</xdr:row>
      <xdr:rowOff>0</xdr:rowOff>
    </xdr:from>
    <xdr:to>
      <xdr:col>10</xdr:col>
      <xdr:colOff>304800</xdr:colOff>
      <xdr:row>141</xdr:row>
      <xdr:rowOff>127000</xdr:rowOff>
    </xdr:to>
    <xdr:sp macro="" textlink="">
      <xdr:nvSpPr>
        <xdr:cNvPr id="367" name="AutoShape 132" descr="USA">
          <a:hlinkClick xmlns:r="http://schemas.openxmlformats.org/officeDocument/2006/relationships" r:id="rId151"/>
          <a:extLst>
            <a:ext uri="{FF2B5EF4-FFF2-40B4-BE49-F238E27FC236}">
              <a16:creationId xmlns:a16="http://schemas.microsoft.com/office/drawing/2014/main" id="{6771488C-A1B6-467D-9E4A-0BE6E710375D}"/>
            </a:ext>
          </a:extLst>
        </xdr:cNvPr>
        <xdr:cNvSpPr>
          <a:spLocks noChangeAspect="1" noChangeArrowheads="1"/>
        </xdr:cNvSpPr>
      </xdr:nvSpPr>
      <xdr:spPr bwMode="auto">
        <a:xfrm>
          <a:off x="1219200" y="2806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222</xdr:row>
      <xdr:rowOff>0</xdr:rowOff>
    </xdr:from>
    <xdr:to>
      <xdr:col>10</xdr:col>
      <xdr:colOff>304800</xdr:colOff>
      <xdr:row>223</xdr:row>
      <xdr:rowOff>127000</xdr:rowOff>
    </xdr:to>
    <xdr:sp macro="" textlink="">
      <xdr:nvSpPr>
        <xdr:cNvPr id="368" name="AutoShape 133" descr="AUS">
          <a:hlinkClick xmlns:r="http://schemas.openxmlformats.org/officeDocument/2006/relationships" r:id="rId129"/>
          <a:extLst>
            <a:ext uri="{FF2B5EF4-FFF2-40B4-BE49-F238E27FC236}">
              <a16:creationId xmlns:a16="http://schemas.microsoft.com/office/drawing/2014/main" id="{4D790D2D-6180-4BCD-AE16-0E8738B0FBC0}"/>
            </a:ext>
          </a:extLst>
        </xdr:cNvPr>
        <xdr:cNvSpPr>
          <a:spLocks noChangeAspect="1" noChangeArrowheads="1"/>
        </xdr:cNvSpPr>
      </xdr:nvSpPr>
      <xdr:spPr bwMode="auto">
        <a:xfrm>
          <a:off x="1219200" y="4406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62</xdr:row>
      <xdr:rowOff>0</xdr:rowOff>
    </xdr:from>
    <xdr:to>
      <xdr:col>10</xdr:col>
      <xdr:colOff>304800</xdr:colOff>
      <xdr:row>63</xdr:row>
      <xdr:rowOff>127000</xdr:rowOff>
    </xdr:to>
    <xdr:sp macro="" textlink="">
      <xdr:nvSpPr>
        <xdr:cNvPr id="369" name="AutoShape 134" descr="AUS">
          <a:hlinkClick xmlns:r="http://schemas.openxmlformats.org/officeDocument/2006/relationships" r:id="rId126"/>
          <a:extLst>
            <a:ext uri="{FF2B5EF4-FFF2-40B4-BE49-F238E27FC236}">
              <a16:creationId xmlns:a16="http://schemas.microsoft.com/office/drawing/2014/main" id="{B9B2CFD6-8C73-4044-A4D1-D8489E6E020B}"/>
            </a:ext>
          </a:extLst>
        </xdr:cNvPr>
        <xdr:cNvSpPr>
          <a:spLocks noChangeAspect="1" noChangeArrowheads="1"/>
        </xdr:cNvSpPr>
      </xdr:nvSpPr>
      <xdr:spPr bwMode="auto">
        <a:xfrm>
          <a:off x="1219200" y="1320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26</xdr:row>
      <xdr:rowOff>0</xdr:rowOff>
    </xdr:from>
    <xdr:to>
      <xdr:col>10</xdr:col>
      <xdr:colOff>304800</xdr:colOff>
      <xdr:row>27</xdr:row>
      <xdr:rowOff>127000</xdr:rowOff>
    </xdr:to>
    <xdr:sp macro="" textlink="">
      <xdr:nvSpPr>
        <xdr:cNvPr id="370" name="AutoShape 135" descr="USA">
          <a:hlinkClick xmlns:r="http://schemas.openxmlformats.org/officeDocument/2006/relationships" r:id="rId127"/>
          <a:extLst>
            <a:ext uri="{FF2B5EF4-FFF2-40B4-BE49-F238E27FC236}">
              <a16:creationId xmlns:a16="http://schemas.microsoft.com/office/drawing/2014/main" id="{CBC698E4-F416-4FB4-BECB-6FB26AA5C9DC}"/>
            </a:ext>
          </a:extLst>
        </xdr:cNvPr>
        <xdr:cNvSpPr>
          <a:spLocks noChangeAspect="1" noChangeArrowheads="1"/>
        </xdr:cNvSpPr>
      </xdr:nvSpPr>
      <xdr:spPr bwMode="auto">
        <a:xfrm>
          <a:off x="1219200" y="634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206</xdr:row>
      <xdr:rowOff>0</xdr:rowOff>
    </xdr:from>
    <xdr:to>
      <xdr:col>10</xdr:col>
      <xdr:colOff>304800</xdr:colOff>
      <xdr:row>207</xdr:row>
      <xdr:rowOff>127000</xdr:rowOff>
    </xdr:to>
    <xdr:sp macro="" textlink="">
      <xdr:nvSpPr>
        <xdr:cNvPr id="371" name="AutoShape 136" descr="USA">
          <a:hlinkClick xmlns:r="http://schemas.openxmlformats.org/officeDocument/2006/relationships" r:id="rId130"/>
          <a:extLst>
            <a:ext uri="{FF2B5EF4-FFF2-40B4-BE49-F238E27FC236}">
              <a16:creationId xmlns:a16="http://schemas.microsoft.com/office/drawing/2014/main" id="{3A8A37CF-01CF-4779-83F5-38A1C1BE471B}"/>
            </a:ext>
          </a:extLst>
        </xdr:cNvPr>
        <xdr:cNvSpPr>
          <a:spLocks noChangeAspect="1" noChangeArrowheads="1"/>
        </xdr:cNvSpPr>
      </xdr:nvSpPr>
      <xdr:spPr bwMode="auto">
        <a:xfrm>
          <a:off x="1219200" y="4063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138</xdr:row>
      <xdr:rowOff>0</xdr:rowOff>
    </xdr:from>
    <xdr:to>
      <xdr:col>10</xdr:col>
      <xdr:colOff>304800</xdr:colOff>
      <xdr:row>139</xdr:row>
      <xdr:rowOff>127000</xdr:rowOff>
    </xdr:to>
    <xdr:sp macro="" textlink="">
      <xdr:nvSpPr>
        <xdr:cNvPr id="372" name="AutoShape 137" descr="USA">
          <a:hlinkClick xmlns:r="http://schemas.openxmlformats.org/officeDocument/2006/relationships" r:id="rId131"/>
          <a:extLst>
            <a:ext uri="{FF2B5EF4-FFF2-40B4-BE49-F238E27FC236}">
              <a16:creationId xmlns:a16="http://schemas.microsoft.com/office/drawing/2014/main" id="{0022B050-3979-4BD5-8764-A596D0512DDB}"/>
            </a:ext>
          </a:extLst>
        </xdr:cNvPr>
        <xdr:cNvSpPr>
          <a:spLocks noChangeAspect="1" noChangeArrowheads="1"/>
        </xdr:cNvSpPr>
      </xdr:nvSpPr>
      <xdr:spPr bwMode="auto">
        <a:xfrm>
          <a:off x="1219200" y="2767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xdr:row>
      <xdr:rowOff>0</xdr:rowOff>
    </xdr:from>
    <xdr:to>
      <xdr:col>10</xdr:col>
      <xdr:colOff>304800</xdr:colOff>
      <xdr:row>4</xdr:row>
      <xdr:rowOff>112788</xdr:rowOff>
    </xdr:to>
    <xdr:sp macro="" textlink="">
      <xdr:nvSpPr>
        <xdr:cNvPr id="373" name="AutoShape 138" descr="USA">
          <a:hlinkClick xmlns:r="http://schemas.openxmlformats.org/officeDocument/2006/relationships" r:id="rId134"/>
          <a:extLst>
            <a:ext uri="{FF2B5EF4-FFF2-40B4-BE49-F238E27FC236}">
              <a16:creationId xmlns:a16="http://schemas.microsoft.com/office/drawing/2014/main" id="{2EC81CB1-91BF-4F5C-997D-A0A5B82C06AF}"/>
            </a:ext>
          </a:extLst>
        </xdr:cNvPr>
        <xdr:cNvSpPr>
          <a:spLocks noChangeAspect="1" noChangeArrowheads="1"/>
        </xdr:cNvSpPr>
      </xdr:nvSpPr>
      <xdr:spPr bwMode="auto">
        <a:xfrm>
          <a:off x="1219200" y="1905000"/>
          <a:ext cx="304800" cy="30752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110</xdr:row>
      <xdr:rowOff>0</xdr:rowOff>
    </xdr:from>
    <xdr:to>
      <xdr:col>10</xdr:col>
      <xdr:colOff>304800</xdr:colOff>
      <xdr:row>111</xdr:row>
      <xdr:rowOff>127000</xdr:rowOff>
    </xdr:to>
    <xdr:sp macro="" textlink="">
      <xdr:nvSpPr>
        <xdr:cNvPr id="374" name="AutoShape 139" descr="USA">
          <a:hlinkClick xmlns:r="http://schemas.openxmlformats.org/officeDocument/2006/relationships" r:id="rId133"/>
          <a:extLst>
            <a:ext uri="{FF2B5EF4-FFF2-40B4-BE49-F238E27FC236}">
              <a16:creationId xmlns:a16="http://schemas.microsoft.com/office/drawing/2014/main" id="{DDA4AAAE-EB79-4124-90EF-C98BD8D564C0}"/>
            </a:ext>
          </a:extLst>
        </xdr:cNvPr>
        <xdr:cNvSpPr>
          <a:spLocks noChangeAspect="1" noChangeArrowheads="1"/>
        </xdr:cNvSpPr>
      </xdr:nvSpPr>
      <xdr:spPr bwMode="auto">
        <a:xfrm>
          <a:off x="1219200" y="2234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143</xdr:row>
      <xdr:rowOff>0</xdr:rowOff>
    </xdr:from>
    <xdr:to>
      <xdr:col>10</xdr:col>
      <xdr:colOff>304800</xdr:colOff>
      <xdr:row>144</xdr:row>
      <xdr:rowOff>127000</xdr:rowOff>
    </xdr:to>
    <xdr:sp macro="" textlink="">
      <xdr:nvSpPr>
        <xdr:cNvPr id="375" name="AutoShape 140" descr="USA">
          <a:hlinkClick xmlns:r="http://schemas.openxmlformats.org/officeDocument/2006/relationships" r:id="rId132"/>
          <a:extLst>
            <a:ext uri="{FF2B5EF4-FFF2-40B4-BE49-F238E27FC236}">
              <a16:creationId xmlns:a16="http://schemas.microsoft.com/office/drawing/2014/main" id="{B96D7060-99A7-4CCD-B929-6EE5A18BC480}"/>
            </a:ext>
          </a:extLst>
        </xdr:cNvPr>
        <xdr:cNvSpPr>
          <a:spLocks noChangeAspect="1" noChangeArrowheads="1"/>
        </xdr:cNvSpPr>
      </xdr:nvSpPr>
      <xdr:spPr bwMode="auto">
        <a:xfrm>
          <a:off x="1219200" y="2863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207</xdr:row>
      <xdr:rowOff>0</xdr:rowOff>
    </xdr:from>
    <xdr:to>
      <xdr:col>10</xdr:col>
      <xdr:colOff>304800</xdr:colOff>
      <xdr:row>208</xdr:row>
      <xdr:rowOff>127000</xdr:rowOff>
    </xdr:to>
    <xdr:sp macro="" textlink="">
      <xdr:nvSpPr>
        <xdr:cNvPr id="376" name="AutoShape 141" descr="USA">
          <a:hlinkClick xmlns:r="http://schemas.openxmlformats.org/officeDocument/2006/relationships" r:id="rId135"/>
          <a:extLst>
            <a:ext uri="{FF2B5EF4-FFF2-40B4-BE49-F238E27FC236}">
              <a16:creationId xmlns:a16="http://schemas.microsoft.com/office/drawing/2014/main" id="{5224D030-EEF8-4C7A-BE14-6A18764FD920}"/>
            </a:ext>
          </a:extLst>
        </xdr:cNvPr>
        <xdr:cNvSpPr>
          <a:spLocks noChangeAspect="1" noChangeArrowheads="1"/>
        </xdr:cNvSpPr>
      </xdr:nvSpPr>
      <xdr:spPr bwMode="auto">
        <a:xfrm>
          <a:off x="1219200" y="4120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94</xdr:row>
      <xdr:rowOff>0</xdr:rowOff>
    </xdr:from>
    <xdr:to>
      <xdr:col>10</xdr:col>
      <xdr:colOff>304800</xdr:colOff>
      <xdr:row>95</xdr:row>
      <xdr:rowOff>127000</xdr:rowOff>
    </xdr:to>
    <xdr:sp macro="" textlink="">
      <xdr:nvSpPr>
        <xdr:cNvPr id="377" name="AutoShape 142" descr="USA">
          <a:hlinkClick xmlns:r="http://schemas.openxmlformats.org/officeDocument/2006/relationships" r:id="rId136"/>
          <a:extLst>
            <a:ext uri="{FF2B5EF4-FFF2-40B4-BE49-F238E27FC236}">
              <a16:creationId xmlns:a16="http://schemas.microsoft.com/office/drawing/2014/main" id="{AD37CD28-1AE3-4045-AFCA-BF639EC55172}"/>
            </a:ext>
          </a:extLst>
        </xdr:cNvPr>
        <xdr:cNvSpPr>
          <a:spLocks noChangeAspect="1" noChangeArrowheads="1"/>
        </xdr:cNvSpPr>
      </xdr:nvSpPr>
      <xdr:spPr bwMode="auto">
        <a:xfrm>
          <a:off x="1219200" y="1929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85</xdr:row>
      <xdr:rowOff>0</xdr:rowOff>
    </xdr:from>
    <xdr:to>
      <xdr:col>10</xdr:col>
      <xdr:colOff>304800</xdr:colOff>
      <xdr:row>86</xdr:row>
      <xdr:rowOff>127000</xdr:rowOff>
    </xdr:to>
    <xdr:sp macro="" textlink="">
      <xdr:nvSpPr>
        <xdr:cNvPr id="378" name="AutoShape 143" descr="USA">
          <a:hlinkClick xmlns:r="http://schemas.openxmlformats.org/officeDocument/2006/relationships" r:id="rId137"/>
          <a:extLst>
            <a:ext uri="{FF2B5EF4-FFF2-40B4-BE49-F238E27FC236}">
              <a16:creationId xmlns:a16="http://schemas.microsoft.com/office/drawing/2014/main" id="{EB27FD23-3FA2-4E0A-BB45-ADE130DE9F22}"/>
            </a:ext>
          </a:extLst>
        </xdr:cNvPr>
        <xdr:cNvSpPr>
          <a:spLocks noChangeAspect="1" noChangeArrowheads="1"/>
        </xdr:cNvSpPr>
      </xdr:nvSpPr>
      <xdr:spPr bwMode="auto">
        <a:xfrm>
          <a:off x="1219200" y="1758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196</xdr:row>
      <xdr:rowOff>0</xdr:rowOff>
    </xdr:from>
    <xdr:to>
      <xdr:col>10</xdr:col>
      <xdr:colOff>304800</xdr:colOff>
      <xdr:row>197</xdr:row>
      <xdr:rowOff>127000</xdr:rowOff>
    </xdr:to>
    <xdr:sp macro="" textlink="">
      <xdr:nvSpPr>
        <xdr:cNvPr id="379" name="AutoShape 144" descr="USA">
          <a:hlinkClick xmlns:r="http://schemas.openxmlformats.org/officeDocument/2006/relationships" r:id="rId156"/>
          <a:extLst>
            <a:ext uri="{FF2B5EF4-FFF2-40B4-BE49-F238E27FC236}">
              <a16:creationId xmlns:a16="http://schemas.microsoft.com/office/drawing/2014/main" id="{EBD41370-BFB4-4D44-980D-75F56F95D06C}"/>
            </a:ext>
          </a:extLst>
        </xdr:cNvPr>
        <xdr:cNvSpPr>
          <a:spLocks noChangeAspect="1" noChangeArrowheads="1"/>
        </xdr:cNvSpPr>
      </xdr:nvSpPr>
      <xdr:spPr bwMode="auto">
        <a:xfrm>
          <a:off x="1219200" y="3872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380" name="AutoShape 145" descr="USA">
          <a:hlinkClick xmlns:r="http://schemas.openxmlformats.org/officeDocument/2006/relationships" r:id="rId138"/>
          <a:extLst>
            <a:ext uri="{FF2B5EF4-FFF2-40B4-BE49-F238E27FC236}">
              <a16:creationId xmlns:a16="http://schemas.microsoft.com/office/drawing/2014/main" id="{A4ED25F7-DCF5-4C73-9141-99AABF21167D}"/>
            </a:ext>
          </a:extLst>
        </xdr:cNvPr>
        <xdr:cNvSpPr>
          <a:spLocks noChangeAspect="1" noChangeArrowheads="1"/>
        </xdr:cNvSpPr>
      </xdr:nvSpPr>
      <xdr:spPr bwMode="auto">
        <a:xfrm>
          <a:off x="1219200" y="1524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36</xdr:row>
      <xdr:rowOff>0</xdr:rowOff>
    </xdr:from>
    <xdr:to>
      <xdr:col>10</xdr:col>
      <xdr:colOff>304800</xdr:colOff>
      <xdr:row>37</xdr:row>
      <xdr:rowOff>127000</xdr:rowOff>
    </xdr:to>
    <xdr:sp macro="" textlink="">
      <xdr:nvSpPr>
        <xdr:cNvPr id="381" name="AutoShape 146" descr="USA">
          <a:hlinkClick xmlns:r="http://schemas.openxmlformats.org/officeDocument/2006/relationships" r:id="rId139"/>
          <a:extLst>
            <a:ext uri="{FF2B5EF4-FFF2-40B4-BE49-F238E27FC236}">
              <a16:creationId xmlns:a16="http://schemas.microsoft.com/office/drawing/2014/main" id="{2407A496-73B6-423A-B4D5-F2229A1F6F2E}"/>
            </a:ext>
          </a:extLst>
        </xdr:cNvPr>
        <xdr:cNvSpPr>
          <a:spLocks noChangeAspect="1" noChangeArrowheads="1"/>
        </xdr:cNvSpPr>
      </xdr:nvSpPr>
      <xdr:spPr bwMode="auto">
        <a:xfrm>
          <a:off x="1219200" y="824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xdr:row>
      <xdr:rowOff>0</xdr:rowOff>
    </xdr:from>
    <xdr:to>
      <xdr:col>10</xdr:col>
      <xdr:colOff>304800</xdr:colOff>
      <xdr:row>21</xdr:row>
      <xdr:rowOff>127000</xdr:rowOff>
    </xdr:to>
    <xdr:sp macro="" textlink="">
      <xdr:nvSpPr>
        <xdr:cNvPr id="382" name="AutoShape 147" descr="USA">
          <a:hlinkClick xmlns:r="http://schemas.openxmlformats.org/officeDocument/2006/relationships" r:id="rId140"/>
          <a:extLst>
            <a:ext uri="{FF2B5EF4-FFF2-40B4-BE49-F238E27FC236}">
              <a16:creationId xmlns:a16="http://schemas.microsoft.com/office/drawing/2014/main" id="{CC528E00-8776-4A06-BA90-8E438A0213B8}"/>
            </a:ext>
          </a:extLst>
        </xdr:cNvPr>
        <xdr:cNvSpPr>
          <a:spLocks noChangeAspect="1" noChangeArrowheads="1"/>
        </xdr:cNvSpPr>
      </xdr:nvSpPr>
      <xdr:spPr bwMode="auto">
        <a:xfrm>
          <a:off x="1219200" y="520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87</xdr:row>
      <xdr:rowOff>0</xdr:rowOff>
    </xdr:from>
    <xdr:to>
      <xdr:col>10</xdr:col>
      <xdr:colOff>304800</xdr:colOff>
      <xdr:row>88</xdr:row>
      <xdr:rowOff>127000</xdr:rowOff>
    </xdr:to>
    <xdr:sp macro="" textlink="">
      <xdr:nvSpPr>
        <xdr:cNvPr id="383" name="AutoShape 148" descr="USA">
          <a:hlinkClick xmlns:r="http://schemas.openxmlformats.org/officeDocument/2006/relationships" r:id="rId158"/>
          <a:extLst>
            <a:ext uri="{FF2B5EF4-FFF2-40B4-BE49-F238E27FC236}">
              <a16:creationId xmlns:a16="http://schemas.microsoft.com/office/drawing/2014/main" id="{3DFA33B0-B0B4-4420-B840-527C7A4EC131}"/>
            </a:ext>
          </a:extLst>
        </xdr:cNvPr>
        <xdr:cNvSpPr>
          <a:spLocks noChangeAspect="1" noChangeArrowheads="1"/>
        </xdr:cNvSpPr>
      </xdr:nvSpPr>
      <xdr:spPr bwMode="auto">
        <a:xfrm>
          <a:off x="1219200" y="1796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193</xdr:row>
      <xdr:rowOff>0</xdr:rowOff>
    </xdr:from>
    <xdr:to>
      <xdr:col>10</xdr:col>
      <xdr:colOff>304800</xdr:colOff>
      <xdr:row>194</xdr:row>
      <xdr:rowOff>127000</xdr:rowOff>
    </xdr:to>
    <xdr:sp macro="" textlink="">
      <xdr:nvSpPr>
        <xdr:cNvPr id="384" name="AutoShape 149" descr="USA">
          <a:hlinkClick xmlns:r="http://schemas.openxmlformats.org/officeDocument/2006/relationships" r:id="rId150"/>
          <a:extLst>
            <a:ext uri="{FF2B5EF4-FFF2-40B4-BE49-F238E27FC236}">
              <a16:creationId xmlns:a16="http://schemas.microsoft.com/office/drawing/2014/main" id="{56367F2F-01B9-4FDA-B334-F8767ED3B9EB}"/>
            </a:ext>
          </a:extLst>
        </xdr:cNvPr>
        <xdr:cNvSpPr>
          <a:spLocks noChangeAspect="1" noChangeArrowheads="1"/>
        </xdr:cNvSpPr>
      </xdr:nvSpPr>
      <xdr:spPr bwMode="auto">
        <a:xfrm>
          <a:off x="1219200" y="3815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190</xdr:row>
      <xdr:rowOff>0</xdr:rowOff>
    </xdr:from>
    <xdr:to>
      <xdr:col>10</xdr:col>
      <xdr:colOff>304800</xdr:colOff>
      <xdr:row>191</xdr:row>
      <xdr:rowOff>127000</xdr:rowOff>
    </xdr:to>
    <xdr:sp macro="" textlink="">
      <xdr:nvSpPr>
        <xdr:cNvPr id="385" name="AutoShape 150" descr="KOR">
          <a:hlinkClick xmlns:r="http://schemas.openxmlformats.org/officeDocument/2006/relationships" r:id="rId148"/>
          <a:extLst>
            <a:ext uri="{FF2B5EF4-FFF2-40B4-BE49-F238E27FC236}">
              <a16:creationId xmlns:a16="http://schemas.microsoft.com/office/drawing/2014/main" id="{B779A636-097C-43B6-BE96-006302C51DA7}"/>
            </a:ext>
          </a:extLst>
        </xdr:cNvPr>
        <xdr:cNvSpPr>
          <a:spLocks noChangeAspect="1" noChangeArrowheads="1"/>
        </xdr:cNvSpPr>
      </xdr:nvSpPr>
      <xdr:spPr bwMode="auto">
        <a:xfrm>
          <a:off x="1219200" y="3758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xdr:row>
      <xdr:rowOff>0</xdr:rowOff>
    </xdr:from>
    <xdr:to>
      <xdr:col>10</xdr:col>
      <xdr:colOff>304800</xdr:colOff>
      <xdr:row>14</xdr:row>
      <xdr:rowOff>127000</xdr:rowOff>
    </xdr:to>
    <xdr:sp macro="" textlink="">
      <xdr:nvSpPr>
        <xdr:cNvPr id="386" name="AutoShape 151" descr="USA">
          <a:hlinkClick xmlns:r="http://schemas.openxmlformats.org/officeDocument/2006/relationships" r:id="rId141"/>
          <a:extLst>
            <a:ext uri="{FF2B5EF4-FFF2-40B4-BE49-F238E27FC236}">
              <a16:creationId xmlns:a16="http://schemas.microsoft.com/office/drawing/2014/main" id="{4B87A229-D66E-4CB7-99F3-702CE3D21A6C}"/>
            </a:ext>
          </a:extLst>
        </xdr:cNvPr>
        <xdr:cNvSpPr>
          <a:spLocks noChangeAspect="1" noChangeArrowheads="1"/>
        </xdr:cNvSpPr>
      </xdr:nvSpPr>
      <xdr:spPr bwMode="auto">
        <a:xfrm>
          <a:off x="1219200" y="386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48</xdr:row>
      <xdr:rowOff>0</xdr:rowOff>
    </xdr:from>
    <xdr:to>
      <xdr:col>10</xdr:col>
      <xdr:colOff>304800</xdr:colOff>
      <xdr:row>49</xdr:row>
      <xdr:rowOff>127000</xdr:rowOff>
    </xdr:to>
    <xdr:sp macro="" textlink="">
      <xdr:nvSpPr>
        <xdr:cNvPr id="387" name="AutoShape 152" descr="USA">
          <a:hlinkClick xmlns:r="http://schemas.openxmlformats.org/officeDocument/2006/relationships" r:id="rId142"/>
          <a:extLst>
            <a:ext uri="{FF2B5EF4-FFF2-40B4-BE49-F238E27FC236}">
              <a16:creationId xmlns:a16="http://schemas.microsoft.com/office/drawing/2014/main" id="{35EED88C-1EC5-490B-8697-7C61EE001069}"/>
            </a:ext>
          </a:extLst>
        </xdr:cNvPr>
        <xdr:cNvSpPr>
          <a:spLocks noChangeAspect="1" noChangeArrowheads="1"/>
        </xdr:cNvSpPr>
      </xdr:nvSpPr>
      <xdr:spPr bwMode="auto">
        <a:xfrm>
          <a:off x="1219200" y="1053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139</xdr:row>
      <xdr:rowOff>0</xdr:rowOff>
    </xdr:from>
    <xdr:to>
      <xdr:col>10</xdr:col>
      <xdr:colOff>304800</xdr:colOff>
      <xdr:row>140</xdr:row>
      <xdr:rowOff>127000</xdr:rowOff>
    </xdr:to>
    <xdr:sp macro="" textlink="">
      <xdr:nvSpPr>
        <xdr:cNvPr id="388" name="AutoShape 153" descr="USA">
          <a:hlinkClick xmlns:r="http://schemas.openxmlformats.org/officeDocument/2006/relationships" r:id="rId144"/>
          <a:extLst>
            <a:ext uri="{FF2B5EF4-FFF2-40B4-BE49-F238E27FC236}">
              <a16:creationId xmlns:a16="http://schemas.microsoft.com/office/drawing/2014/main" id="{39D76A4A-8ECE-4879-A70D-D05A780C82C0}"/>
            </a:ext>
          </a:extLst>
        </xdr:cNvPr>
        <xdr:cNvSpPr>
          <a:spLocks noChangeAspect="1" noChangeArrowheads="1"/>
        </xdr:cNvSpPr>
      </xdr:nvSpPr>
      <xdr:spPr bwMode="auto">
        <a:xfrm>
          <a:off x="1219200" y="2787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0</xdr:rowOff>
    </xdr:from>
    <xdr:to>
      <xdr:col>10</xdr:col>
      <xdr:colOff>304800</xdr:colOff>
      <xdr:row>8</xdr:row>
      <xdr:rowOff>127000</xdr:rowOff>
    </xdr:to>
    <xdr:sp macro="" textlink="">
      <xdr:nvSpPr>
        <xdr:cNvPr id="389" name="AutoShape 154" descr="USA">
          <a:hlinkClick xmlns:r="http://schemas.openxmlformats.org/officeDocument/2006/relationships" r:id="rId145"/>
          <a:extLst>
            <a:ext uri="{FF2B5EF4-FFF2-40B4-BE49-F238E27FC236}">
              <a16:creationId xmlns:a16="http://schemas.microsoft.com/office/drawing/2014/main" id="{66E16FA4-4A83-434B-A2C9-55E983B33DB0}"/>
            </a:ext>
          </a:extLst>
        </xdr:cNvPr>
        <xdr:cNvSpPr>
          <a:spLocks noChangeAspect="1" noChangeArrowheads="1"/>
        </xdr:cNvSpPr>
      </xdr:nvSpPr>
      <xdr:spPr bwMode="auto">
        <a:xfrm>
          <a:off x="1219200" y="272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121</xdr:row>
      <xdr:rowOff>0</xdr:rowOff>
    </xdr:from>
    <xdr:to>
      <xdr:col>10</xdr:col>
      <xdr:colOff>304800</xdr:colOff>
      <xdr:row>122</xdr:row>
      <xdr:rowOff>127000</xdr:rowOff>
    </xdr:to>
    <xdr:sp macro="" textlink="">
      <xdr:nvSpPr>
        <xdr:cNvPr id="390" name="AutoShape 155" descr="USA">
          <a:hlinkClick xmlns:r="http://schemas.openxmlformats.org/officeDocument/2006/relationships" r:id="rId152"/>
          <a:extLst>
            <a:ext uri="{FF2B5EF4-FFF2-40B4-BE49-F238E27FC236}">
              <a16:creationId xmlns:a16="http://schemas.microsoft.com/office/drawing/2014/main" id="{8F341D1D-7FCF-42AD-84F6-206897ACC9A8}"/>
            </a:ext>
          </a:extLst>
        </xdr:cNvPr>
        <xdr:cNvSpPr>
          <a:spLocks noChangeAspect="1" noChangeArrowheads="1"/>
        </xdr:cNvSpPr>
      </xdr:nvSpPr>
      <xdr:spPr bwMode="auto">
        <a:xfrm>
          <a:off x="1219200" y="2444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76</xdr:row>
      <xdr:rowOff>0</xdr:rowOff>
    </xdr:from>
    <xdr:to>
      <xdr:col>10</xdr:col>
      <xdr:colOff>304800</xdr:colOff>
      <xdr:row>77</xdr:row>
      <xdr:rowOff>127000</xdr:rowOff>
    </xdr:to>
    <xdr:sp macro="" textlink="">
      <xdr:nvSpPr>
        <xdr:cNvPr id="391" name="AutoShape 156" descr="SCO">
          <a:hlinkClick xmlns:r="http://schemas.openxmlformats.org/officeDocument/2006/relationships" r:id="rId146"/>
          <a:extLst>
            <a:ext uri="{FF2B5EF4-FFF2-40B4-BE49-F238E27FC236}">
              <a16:creationId xmlns:a16="http://schemas.microsoft.com/office/drawing/2014/main" id="{F4E64D77-9492-4073-A2C9-4D676629EB89}"/>
            </a:ext>
          </a:extLst>
        </xdr:cNvPr>
        <xdr:cNvSpPr>
          <a:spLocks noChangeAspect="1" noChangeArrowheads="1"/>
        </xdr:cNvSpPr>
      </xdr:nvSpPr>
      <xdr:spPr bwMode="auto">
        <a:xfrm>
          <a:off x="1219200" y="15868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72</xdr:row>
      <xdr:rowOff>0</xdr:rowOff>
    </xdr:from>
    <xdr:to>
      <xdr:col>10</xdr:col>
      <xdr:colOff>304800</xdr:colOff>
      <xdr:row>73</xdr:row>
      <xdr:rowOff>127000</xdr:rowOff>
    </xdr:to>
    <xdr:sp macro="" textlink="">
      <xdr:nvSpPr>
        <xdr:cNvPr id="392" name="AutoShape 157" descr="AUS">
          <a:hlinkClick xmlns:r="http://schemas.openxmlformats.org/officeDocument/2006/relationships" r:id="rId147"/>
          <a:extLst>
            <a:ext uri="{FF2B5EF4-FFF2-40B4-BE49-F238E27FC236}">
              <a16:creationId xmlns:a16="http://schemas.microsoft.com/office/drawing/2014/main" id="{BDF44260-E7A7-480B-963C-3F37BFCE288E}"/>
            </a:ext>
          </a:extLst>
        </xdr:cNvPr>
        <xdr:cNvSpPr>
          <a:spLocks noChangeAspect="1" noChangeArrowheads="1"/>
        </xdr:cNvSpPr>
      </xdr:nvSpPr>
      <xdr:spPr bwMode="auto">
        <a:xfrm>
          <a:off x="1219200" y="1510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177</xdr:row>
      <xdr:rowOff>0</xdr:rowOff>
    </xdr:from>
    <xdr:to>
      <xdr:col>10</xdr:col>
      <xdr:colOff>304800</xdr:colOff>
      <xdr:row>178</xdr:row>
      <xdr:rowOff>127000</xdr:rowOff>
    </xdr:to>
    <xdr:sp macro="" textlink="">
      <xdr:nvSpPr>
        <xdr:cNvPr id="393" name="AutoShape 158" descr="USA">
          <a:hlinkClick xmlns:r="http://schemas.openxmlformats.org/officeDocument/2006/relationships" r:id="rId166"/>
          <a:extLst>
            <a:ext uri="{FF2B5EF4-FFF2-40B4-BE49-F238E27FC236}">
              <a16:creationId xmlns:a16="http://schemas.microsoft.com/office/drawing/2014/main" id="{B7AFD504-1890-4F96-B98C-2233E91564FA}"/>
            </a:ext>
          </a:extLst>
        </xdr:cNvPr>
        <xdr:cNvSpPr>
          <a:spLocks noChangeAspect="1" noChangeArrowheads="1"/>
        </xdr:cNvSpPr>
      </xdr:nvSpPr>
      <xdr:spPr bwMode="auto">
        <a:xfrm>
          <a:off x="1219200" y="3510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173</xdr:row>
      <xdr:rowOff>0</xdr:rowOff>
    </xdr:from>
    <xdr:to>
      <xdr:col>10</xdr:col>
      <xdr:colOff>304800</xdr:colOff>
      <xdr:row>174</xdr:row>
      <xdr:rowOff>127000</xdr:rowOff>
    </xdr:to>
    <xdr:sp macro="" textlink="">
      <xdr:nvSpPr>
        <xdr:cNvPr id="394" name="AutoShape 159" descr="ARG">
          <a:hlinkClick xmlns:r="http://schemas.openxmlformats.org/officeDocument/2006/relationships" r:id="rId153"/>
          <a:extLst>
            <a:ext uri="{FF2B5EF4-FFF2-40B4-BE49-F238E27FC236}">
              <a16:creationId xmlns:a16="http://schemas.microsoft.com/office/drawing/2014/main" id="{18369CA8-99AB-4F57-91CF-363346943732}"/>
            </a:ext>
          </a:extLst>
        </xdr:cNvPr>
        <xdr:cNvSpPr>
          <a:spLocks noChangeAspect="1" noChangeArrowheads="1"/>
        </xdr:cNvSpPr>
      </xdr:nvSpPr>
      <xdr:spPr bwMode="auto">
        <a:xfrm>
          <a:off x="1219200" y="3434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185</xdr:row>
      <xdr:rowOff>0</xdr:rowOff>
    </xdr:from>
    <xdr:to>
      <xdr:col>10</xdr:col>
      <xdr:colOff>304800</xdr:colOff>
      <xdr:row>186</xdr:row>
      <xdr:rowOff>127000</xdr:rowOff>
    </xdr:to>
    <xdr:sp macro="" textlink="">
      <xdr:nvSpPr>
        <xdr:cNvPr id="395" name="AutoShape 160" descr="ARG">
          <a:hlinkClick xmlns:r="http://schemas.openxmlformats.org/officeDocument/2006/relationships" r:id="rId154"/>
          <a:extLst>
            <a:ext uri="{FF2B5EF4-FFF2-40B4-BE49-F238E27FC236}">
              <a16:creationId xmlns:a16="http://schemas.microsoft.com/office/drawing/2014/main" id="{A44053D2-47A3-4263-B887-8CBE35F81ED3}"/>
            </a:ext>
          </a:extLst>
        </xdr:cNvPr>
        <xdr:cNvSpPr>
          <a:spLocks noChangeAspect="1" noChangeArrowheads="1"/>
        </xdr:cNvSpPr>
      </xdr:nvSpPr>
      <xdr:spPr bwMode="auto">
        <a:xfrm>
          <a:off x="1219200" y="3663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164</xdr:row>
      <xdr:rowOff>0</xdr:rowOff>
    </xdr:from>
    <xdr:to>
      <xdr:col>10</xdr:col>
      <xdr:colOff>304800</xdr:colOff>
      <xdr:row>165</xdr:row>
      <xdr:rowOff>127000</xdr:rowOff>
    </xdr:to>
    <xdr:sp macro="" textlink="">
      <xdr:nvSpPr>
        <xdr:cNvPr id="396" name="AutoShape 161" descr="GER">
          <a:hlinkClick xmlns:r="http://schemas.openxmlformats.org/officeDocument/2006/relationships" r:id="rId149"/>
          <a:extLst>
            <a:ext uri="{FF2B5EF4-FFF2-40B4-BE49-F238E27FC236}">
              <a16:creationId xmlns:a16="http://schemas.microsoft.com/office/drawing/2014/main" id="{DCE3B067-9771-418E-9272-9642451A323C}"/>
            </a:ext>
          </a:extLst>
        </xdr:cNvPr>
        <xdr:cNvSpPr>
          <a:spLocks noChangeAspect="1" noChangeArrowheads="1"/>
        </xdr:cNvSpPr>
      </xdr:nvSpPr>
      <xdr:spPr bwMode="auto">
        <a:xfrm>
          <a:off x="1219200" y="3263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192</xdr:row>
      <xdr:rowOff>0</xdr:rowOff>
    </xdr:from>
    <xdr:to>
      <xdr:col>10</xdr:col>
      <xdr:colOff>304800</xdr:colOff>
      <xdr:row>193</xdr:row>
      <xdr:rowOff>127000</xdr:rowOff>
    </xdr:to>
    <xdr:sp macro="" textlink="">
      <xdr:nvSpPr>
        <xdr:cNvPr id="397" name="AutoShape 162" descr="USA">
          <a:hlinkClick xmlns:r="http://schemas.openxmlformats.org/officeDocument/2006/relationships" r:id="rId155"/>
          <a:extLst>
            <a:ext uri="{FF2B5EF4-FFF2-40B4-BE49-F238E27FC236}">
              <a16:creationId xmlns:a16="http://schemas.microsoft.com/office/drawing/2014/main" id="{8FA9C312-A9F5-464D-96E5-4AC508E98BFB}"/>
            </a:ext>
          </a:extLst>
        </xdr:cNvPr>
        <xdr:cNvSpPr>
          <a:spLocks noChangeAspect="1" noChangeArrowheads="1"/>
        </xdr:cNvSpPr>
      </xdr:nvSpPr>
      <xdr:spPr bwMode="auto">
        <a:xfrm>
          <a:off x="1219200" y="3796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170</xdr:row>
      <xdr:rowOff>0</xdr:rowOff>
    </xdr:from>
    <xdr:to>
      <xdr:col>10</xdr:col>
      <xdr:colOff>304800</xdr:colOff>
      <xdr:row>171</xdr:row>
      <xdr:rowOff>127000</xdr:rowOff>
    </xdr:to>
    <xdr:sp macro="" textlink="">
      <xdr:nvSpPr>
        <xdr:cNvPr id="398" name="AutoShape 163" descr="FRA">
          <a:hlinkClick xmlns:r="http://schemas.openxmlformats.org/officeDocument/2006/relationships" r:id="rId157"/>
          <a:extLst>
            <a:ext uri="{FF2B5EF4-FFF2-40B4-BE49-F238E27FC236}">
              <a16:creationId xmlns:a16="http://schemas.microsoft.com/office/drawing/2014/main" id="{36C9A251-D270-413B-841C-5D4CE211B9CD}"/>
            </a:ext>
          </a:extLst>
        </xdr:cNvPr>
        <xdr:cNvSpPr>
          <a:spLocks noChangeAspect="1" noChangeArrowheads="1"/>
        </xdr:cNvSpPr>
      </xdr:nvSpPr>
      <xdr:spPr bwMode="auto">
        <a:xfrm>
          <a:off x="1219200" y="3377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70</xdr:row>
      <xdr:rowOff>0</xdr:rowOff>
    </xdr:from>
    <xdr:to>
      <xdr:col>10</xdr:col>
      <xdr:colOff>304800</xdr:colOff>
      <xdr:row>71</xdr:row>
      <xdr:rowOff>127000</xdr:rowOff>
    </xdr:to>
    <xdr:sp macro="" textlink="">
      <xdr:nvSpPr>
        <xdr:cNvPr id="399" name="AutoShape 164" descr="CHN">
          <a:hlinkClick xmlns:r="http://schemas.openxmlformats.org/officeDocument/2006/relationships" r:id="rId162"/>
          <a:extLst>
            <a:ext uri="{FF2B5EF4-FFF2-40B4-BE49-F238E27FC236}">
              <a16:creationId xmlns:a16="http://schemas.microsoft.com/office/drawing/2014/main" id="{B4777766-C4B0-49C7-A468-B5B3DD837EF2}"/>
            </a:ext>
          </a:extLst>
        </xdr:cNvPr>
        <xdr:cNvSpPr>
          <a:spLocks noChangeAspect="1" noChangeArrowheads="1"/>
        </xdr:cNvSpPr>
      </xdr:nvSpPr>
      <xdr:spPr bwMode="auto">
        <a:xfrm>
          <a:off x="1219200" y="1472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202</xdr:row>
      <xdr:rowOff>0</xdr:rowOff>
    </xdr:from>
    <xdr:to>
      <xdr:col>10</xdr:col>
      <xdr:colOff>304800</xdr:colOff>
      <xdr:row>203</xdr:row>
      <xdr:rowOff>127000</xdr:rowOff>
    </xdr:to>
    <xdr:sp macro="" textlink="">
      <xdr:nvSpPr>
        <xdr:cNvPr id="400" name="AutoShape 165" descr="NZL">
          <a:hlinkClick xmlns:r="http://schemas.openxmlformats.org/officeDocument/2006/relationships" r:id="rId160"/>
          <a:extLst>
            <a:ext uri="{FF2B5EF4-FFF2-40B4-BE49-F238E27FC236}">
              <a16:creationId xmlns:a16="http://schemas.microsoft.com/office/drawing/2014/main" id="{7DE014A2-A006-426A-AB1A-0235575E4B9D}"/>
            </a:ext>
          </a:extLst>
        </xdr:cNvPr>
        <xdr:cNvSpPr>
          <a:spLocks noChangeAspect="1" noChangeArrowheads="1"/>
        </xdr:cNvSpPr>
      </xdr:nvSpPr>
      <xdr:spPr bwMode="auto">
        <a:xfrm>
          <a:off x="1219200" y="3987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35</xdr:row>
      <xdr:rowOff>0</xdr:rowOff>
    </xdr:from>
    <xdr:to>
      <xdr:col>10</xdr:col>
      <xdr:colOff>304800</xdr:colOff>
      <xdr:row>36</xdr:row>
      <xdr:rowOff>127000</xdr:rowOff>
    </xdr:to>
    <xdr:sp macro="" textlink="">
      <xdr:nvSpPr>
        <xdr:cNvPr id="401" name="AutoShape 166" descr="VEN">
          <a:hlinkClick xmlns:r="http://schemas.openxmlformats.org/officeDocument/2006/relationships" r:id="rId161"/>
          <a:extLst>
            <a:ext uri="{FF2B5EF4-FFF2-40B4-BE49-F238E27FC236}">
              <a16:creationId xmlns:a16="http://schemas.microsoft.com/office/drawing/2014/main" id="{BE7F78D3-C4B6-4ACA-A7CD-410DA30E9BAD}"/>
            </a:ext>
          </a:extLst>
        </xdr:cNvPr>
        <xdr:cNvSpPr>
          <a:spLocks noChangeAspect="1" noChangeArrowheads="1"/>
        </xdr:cNvSpPr>
      </xdr:nvSpPr>
      <xdr:spPr bwMode="auto">
        <a:xfrm>
          <a:off x="1219200" y="805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104</xdr:row>
      <xdr:rowOff>0</xdr:rowOff>
    </xdr:from>
    <xdr:to>
      <xdr:col>10</xdr:col>
      <xdr:colOff>304800</xdr:colOff>
      <xdr:row>105</xdr:row>
      <xdr:rowOff>127000</xdr:rowOff>
    </xdr:to>
    <xdr:sp macro="" textlink="">
      <xdr:nvSpPr>
        <xdr:cNvPr id="402" name="AutoShape 167" descr="USA">
          <a:hlinkClick xmlns:r="http://schemas.openxmlformats.org/officeDocument/2006/relationships" r:id="rId174"/>
          <a:extLst>
            <a:ext uri="{FF2B5EF4-FFF2-40B4-BE49-F238E27FC236}">
              <a16:creationId xmlns:a16="http://schemas.microsoft.com/office/drawing/2014/main" id="{7373AA4C-DEB7-4335-863F-4A23F2D28245}"/>
            </a:ext>
          </a:extLst>
        </xdr:cNvPr>
        <xdr:cNvSpPr>
          <a:spLocks noChangeAspect="1" noChangeArrowheads="1"/>
        </xdr:cNvSpPr>
      </xdr:nvSpPr>
      <xdr:spPr bwMode="auto">
        <a:xfrm>
          <a:off x="1219200" y="2120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107</xdr:row>
      <xdr:rowOff>0</xdr:rowOff>
    </xdr:from>
    <xdr:to>
      <xdr:col>10</xdr:col>
      <xdr:colOff>304800</xdr:colOff>
      <xdr:row>108</xdr:row>
      <xdr:rowOff>127000</xdr:rowOff>
    </xdr:to>
    <xdr:sp macro="" textlink="">
      <xdr:nvSpPr>
        <xdr:cNvPr id="403" name="AutoShape 168" descr="USA">
          <a:hlinkClick xmlns:r="http://schemas.openxmlformats.org/officeDocument/2006/relationships" r:id="rId163"/>
          <a:extLst>
            <a:ext uri="{FF2B5EF4-FFF2-40B4-BE49-F238E27FC236}">
              <a16:creationId xmlns:a16="http://schemas.microsoft.com/office/drawing/2014/main" id="{137143D7-23A1-4106-92D2-1C507C208760}"/>
            </a:ext>
          </a:extLst>
        </xdr:cNvPr>
        <xdr:cNvSpPr>
          <a:spLocks noChangeAspect="1" noChangeArrowheads="1"/>
        </xdr:cNvSpPr>
      </xdr:nvSpPr>
      <xdr:spPr bwMode="auto">
        <a:xfrm>
          <a:off x="1219200" y="2177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34</xdr:row>
      <xdr:rowOff>0</xdr:rowOff>
    </xdr:from>
    <xdr:to>
      <xdr:col>10</xdr:col>
      <xdr:colOff>304800</xdr:colOff>
      <xdr:row>35</xdr:row>
      <xdr:rowOff>127000</xdr:rowOff>
    </xdr:to>
    <xdr:sp macro="" textlink="">
      <xdr:nvSpPr>
        <xdr:cNvPr id="404" name="AutoShape 169" descr="ITA">
          <a:hlinkClick xmlns:r="http://schemas.openxmlformats.org/officeDocument/2006/relationships" r:id="rId181"/>
          <a:extLst>
            <a:ext uri="{FF2B5EF4-FFF2-40B4-BE49-F238E27FC236}">
              <a16:creationId xmlns:a16="http://schemas.microsoft.com/office/drawing/2014/main" id="{D6F5724D-DEE0-46F2-81E5-9AC7A8329FD9}"/>
            </a:ext>
          </a:extLst>
        </xdr:cNvPr>
        <xdr:cNvSpPr>
          <a:spLocks noChangeAspect="1" noChangeArrowheads="1"/>
        </xdr:cNvSpPr>
      </xdr:nvSpPr>
      <xdr:spPr bwMode="auto">
        <a:xfrm>
          <a:off x="1219200" y="786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xdr:row>
      <xdr:rowOff>0</xdr:rowOff>
    </xdr:from>
    <xdr:to>
      <xdr:col>10</xdr:col>
      <xdr:colOff>304800</xdr:colOff>
      <xdr:row>18</xdr:row>
      <xdr:rowOff>127000</xdr:rowOff>
    </xdr:to>
    <xdr:sp macro="" textlink="">
      <xdr:nvSpPr>
        <xdr:cNvPr id="405" name="AutoShape 170" descr="USA">
          <a:hlinkClick xmlns:r="http://schemas.openxmlformats.org/officeDocument/2006/relationships" r:id="rId164"/>
          <a:extLst>
            <a:ext uri="{FF2B5EF4-FFF2-40B4-BE49-F238E27FC236}">
              <a16:creationId xmlns:a16="http://schemas.microsoft.com/office/drawing/2014/main" id="{03A5A2A1-BC72-4020-8B01-2E7A1D0C7F7A}"/>
            </a:ext>
          </a:extLst>
        </xdr:cNvPr>
        <xdr:cNvSpPr>
          <a:spLocks noChangeAspect="1" noChangeArrowheads="1"/>
        </xdr:cNvSpPr>
      </xdr:nvSpPr>
      <xdr:spPr bwMode="auto">
        <a:xfrm>
          <a:off x="1219200" y="46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406" name="AutoShape 171" descr="USA">
          <a:hlinkClick xmlns:r="http://schemas.openxmlformats.org/officeDocument/2006/relationships" r:id="rId165"/>
          <a:extLst>
            <a:ext uri="{FF2B5EF4-FFF2-40B4-BE49-F238E27FC236}">
              <a16:creationId xmlns:a16="http://schemas.microsoft.com/office/drawing/2014/main" id="{1E3C7105-C0CB-4D1C-85DD-8CB19214C784}"/>
            </a:ext>
          </a:extLst>
        </xdr:cNvPr>
        <xdr:cNvSpPr>
          <a:spLocks noChangeAspect="1" noChangeArrowheads="1"/>
        </xdr:cNvSpPr>
      </xdr:nvSpPr>
      <xdr:spPr bwMode="auto">
        <a:xfrm>
          <a:off x="12192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78</xdr:row>
      <xdr:rowOff>0</xdr:rowOff>
    </xdr:from>
    <xdr:to>
      <xdr:col>10</xdr:col>
      <xdr:colOff>304800</xdr:colOff>
      <xdr:row>79</xdr:row>
      <xdr:rowOff>127000</xdr:rowOff>
    </xdr:to>
    <xdr:sp macro="" textlink="">
      <xdr:nvSpPr>
        <xdr:cNvPr id="407" name="AutoShape 172" descr="USA">
          <a:hlinkClick xmlns:r="http://schemas.openxmlformats.org/officeDocument/2006/relationships" r:id="rId198"/>
          <a:extLst>
            <a:ext uri="{FF2B5EF4-FFF2-40B4-BE49-F238E27FC236}">
              <a16:creationId xmlns:a16="http://schemas.microsoft.com/office/drawing/2014/main" id="{F3A3CC89-DC6B-45B6-ABE8-68281F946AE2}"/>
            </a:ext>
          </a:extLst>
        </xdr:cNvPr>
        <xdr:cNvSpPr>
          <a:spLocks noChangeAspect="1" noChangeArrowheads="1"/>
        </xdr:cNvSpPr>
      </xdr:nvSpPr>
      <xdr:spPr bwMode="auto">
        <a:xfrm>
          <a:off x="1219200" y="1624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174</xdr:row>
      <xdr:rowOff>0</xdr:rowOff>
    </xdr:from>
    <xdr:to>
      <xdr:col>10</xdr:col>
      <xdr:colOff>304800</xdr:colOff>
      <xdr:row>175</xdr:row>
      <xdr:rowOff>127000</xdr:rowOff>
    </xdr:to>
    <xdr:sp macro="" textlink="">
      <xdr:nvSpPr>
        <xdr:cNvPr id="408" name="AutoShape 173" descr="USA">
          <a:hlinkClick xmlns:r="http://schemas.openxmlformats.org/officeDocument/2006/relationships" r:id="rId167"/>
          <a:extLst>
            <a:ext uri="{FF2B5EF4-FFF2-40B4-BE49-F238E27FC236}">
              <a16:creationId xmlns:a16="http://schemas.microsoft.com/office/drawing/2014/main" id="{859754DB-5F23-44C7-94B3-98199141898A}"/>
            </a:ext>
          </a:extLst>
        </xdr:cNvPr>
        <xdr:cNvSpPr>
          <a:spLocks noChangeAspect="1" noChangeArrowheads="1"/>
        </xdr:cNvSpPr>
      </xdr:nvSpPr>
      <xdr:spPr bwMode="auto">
        <a:xfrm>
          <a:off x="1219200" y="3453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93</xdr:row>
      <xdr:rowOff>0</xdr:rowOff>
    </xdr:from>
    <xdr:to>
      <xdr:col>10</xdr:col>
      <xdr:colOff>304800</xdr:colOff>
      <xdr:row>94</xdr:row>
      <xdr:rowOff>127000</xdr:rowOff>
    </xdr:to>
    <xdr:sp macro="" textlink="">
      <xdr:nvSpPr>
        <xdr:cNvPr id="409" name="AutoShape 174" descr="JPN">
          <a:hlinkClick xmlns:r="http://schemas.openxmlformats.org/officeDocument/2006/relationships" r:id="rId172"/>
          <a:extLst>
            <a:ext uri="{FF2B5EF4-FFF2-40B4-BE49-F238E27FC236}">
              <a16:creationId xmlns:a16="http://schemas.microsoft.com/office/drawing/2014/main" id="{B63C2403-9D38-4BFA-BB85-161356FAE6D5}"/>
            </a:ext>
          </a:extLst>
        </xdr:cNvPr>
        <xdr:cNvSpPr>
          <a:spLocks noChangeAspect="1" noChangeArrowheads="1"/>
        </xdr:cNvSpPr>
      </xdr:nvSpPr>
      <xdr:spPr bwMode="auto">
        <a:xfrm>
          <a:off x="1219200" y="1910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129</xdr:row>
      <xdr:rowOff>0</xdr:rowOff>
    </xdr:from>
    <xdr:to>
      <xdr:col>10</xdr:col>
      <xdr:colOff>304800</xdr:colOff>
      <xdr:row>130</xdr:row>
      <xdr:rowOff>127000</xdr:rowOff>
    </xdr:to>
    <xdr:sp macro="" textlink="">
      <xdr:nvSpPr>
        <xdr:cNvPr id="410" name="AutoShape 175" descr="USA">
          <a:hlinkClick xmlns:r="http://schemas.openxmlformats.org/officeDocument/2006/relationships" r:id="rId169"/>
          <a:extLst>
            <a:ext uri="{FF2B5EF4-FFF2-40B4-BE49-F238E27FC236}">
              <a16:creationId xmlns:a16="http://schemas.microsoft.com/office/drawing/2014/main" id="{D482A455-1152-4566-9D02-C6384490EA66}"/>
            </a:ext>
          </a:extLst>
        </xdr:cNvPr>
        <xdr:cNvSpPr>
          <a:spLocks noChangeAspect="1" noChangeArrowheads="1"/>
        </xdr:cNvSpPr>
      </xdr:nvSpPr>
      <xdr:spPr bwMode="auto">
        <a:xfrm>
          <a:off x="1219200" y="2596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123</xdr:row>
      <xdr:rowOff>0</xdr:rowOff>
    </xdr:from>
    <xdr:to>
      <xdr:col>10</xdr:col>
      <xdr:colOff>304800</xdr:colOff>
      <xdr:row>124</xdr:row>
      <xdr:rowOff>127000</xdr:rowOff>
    </xdr:to>
    <xdr:sp macro="" textlink="">
      <xdr:nvSpPr>
        <xdr:cNvPr id="411" name="AutoShape 176" descr="USA">
          <a:hlinkClick xmlns:r="http://schemas.openxmlformats.org/officeDocument/2006/relationships" r:id="rId170"/>
          <a:extLst>
            <a:ext uri="{FF2B5EF4-FFF2-40B4-BE49-F238E27FC236}">
              <a16:creationId xmlns:a16="http://schemas.microsoft.com/office/drawing/2014/main" id="{B4308ED2-27D5-4C9C-8886-A59C5F33EFFA}"/>
            </a:ext>
          </a:extLst>
        </xdr:cNvPr>
        <xdr:cNvSpPr>
          <a:spLocks noChangeAspect="1" noChangeArrowheads="1"/>
        </xdr:cNvSpPr>
      </xdr:nvSpPr>
      <xdr:spPr bwMode="auto">
        <a:xfrm>
          <a:off x="1219200" y="2482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49</xdr:row>
      <xdr:rowOff>0</xdr:rowOff>
    </xdr:from>
    <xdr:to>
      <xdr:col>10</xdr:col>
      <xdr:colOff>304800</xdr:colOff>
      <xdr:row>50</xdr:row>
      <xdr:rowOff>127000</xdr:rowOff>
    </xdr:to>
    <xdr:sp macro="" textlink="">
      <xdr:nvSpPr>
        <xdr:cNvPr id="412" name="AutoShape 177" descr="USA">
          <a:hlinkClick xmlns:r="http://schemas.openxmlformats.org/officeDocument/2006/relationships" r:id="rId171"/>
          <a:extLst>
            <a:ext uri="{FF2B5EF4-FFF2-40B4-BE49-F238E27FC236}">
              <a16:creationId xmlns:a16="http://schemas.microsoft.com/office/drawing/2014/main" id="{874C960C-2ECE-4C16-B275-6B90CF3FB5FF}"/>
            </a:ext>
          </a:extLst>
        </xdr:cNvPr>
        <xdr:cNvSpPr>
          <a:spLocks noChangeAspect="1" noChangeArrowheads="1"/>
        </xdr:cNvSpPr>
      </xdr:nvSpPr>
      <xdr:spPr bwMode="auto">
        <a:xfrm>
          <a:off x="1219200" y="1072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183</xdr:row>
      <xdr:rowOff>0</xdr:rowOff>
    </xdr:from>
    <xdr:to>
      <xdr:col>10</xdr:col>
      <xdr:colOff>304800</xdr:colOff>
      <xdr:row>184</xdr:row>
      <xdr:rowOff>127000</xdr:rowOff>
    </xdr:to>
    <xdr:sp macro="" textlink="">
      <xdr:nvSpPr>
        <xdr:cNvPr id="413" name="AutoShape 178" descr="USA">
          <a:hlinkClick xmlns:r="http://schemas.openxmlformats.org/officeDocument/2006/relationships" r:id="rId173"/>
          <a:extLst>
            <a:ext uri="{FF2B5EF4-FFF2-40B4-BE49-F238E27FC236}">
              <a16:creationId xmlns:a16="http://schemas.microsoft.com/office/drawing/2014/main" id="{062684F2-4FD6-4864-9454-F9431C5E8512}"/>
            </a:ext>
          </a:extLst>
        </xdr:cNvPr>
        <xdr:cNvSpPr>
          <a:spLocks noChangeAspect="1" noChangeArrowheads="1"/>
        </xdr:cNvSpPr>
      </xdr:nvSpPr>
      <xdr:spPr bwMode="auto">
        <a:xfrm>
          <a:off x="1219200" y="3625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84</xdr:row>
      <xdr:rowOff>0</xdr:rowOff>
    </xdr:from>
    <xdr:to>
      <xdr:col>10</xdr:col>
      <xdr:colOff>304800</xdr:colOff>
      <xdr:row>85</xdr:row>
      <xdr:rowOff>127000</xdr:rowOff>
    </xdr:to>
    <xdr:sp macro="" textlink="">
      <xdr:nvSpPr>
        <xdr:cNvPr id="414" name="AutoShape 179" descr="CHN">
          <a:hlinkClick xmlns:r="http://schemas.openxmlformats.org/officeDocument/2006/relationships" r:id="rId179"/>
          <a:extLst>
            <a:ext uri="{FF2B5EF4-FFF2-40B4-BE49-F238E27FC236}">
              <a16:creationId xmlns:a16="http://schemas.microsoft.com/office/drawing/2014/main" id="{73F16397-ED4D-4E4B-9AF5-AF5DC8DCDEF4}"/>
            </a:ext>
          </a:extLst>
        </xdr:cNvPr>
        <xdr:cNvSpPr>
          <a:spLocks noChangeAspect="1" noChangeArrowheads="1"/>
        </xdr:cNvSpPr>
      </xdr:nvSpPr>
      <xdr:spPr bwMode="auto">
        <a:xfrm>
          <a:off x="1219200" y="1739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29</xdr:row>
      <xdr:rowOff>0</xdr:rowOff>
    </xdr:from>
    <xdr:to>
      <xdr:col>10</xdr:col>
      <xdr:colOff>304800</xdr:colOff>
      <xdr:row>30</xdr:row>
      <xdr:rowOff>127000</xdr:rowOff>
    </xdr:to>
    <xdr:sp macro="" textlink="">
      <xdr:nvSpPr>
        <xdr:cNvPr id="415" name="AutoShape 180" descr="USA">
          <a:hlinkClick xmlns:r="http://schemas.openxmlformats.org/officeDocument/2006/relationships" r:id="rId175"/>
          <a:extLst>
            <a:ext uri="{FF2B5EF4-FFF2-40B4-BE49-F238E27FC236}">
              <a16:creationId xmlns:a16="http://schemas.microsoft.com/office/drawing/2014/main" id="{0681C472-3415-4EC2-9488-F7538FD66F80}"/>
            </a:ext>
          </a:extLst>
        </xdr:cNvPr>
        <xdr:cNvSpPr>
          <a:spLocks noChangeAspect="1" noChangeArrowheads="1"/>
        </xdr:cNvSpPr>
      </xdr:nvSpPr>
      <xdr:spPr bwMode="auto">
        <a:xfrm>
          <a:off x="1219200" y="691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112</xdr:row>
      <xdr:rowOff>0</xdr:rowOff>
    </xdr:from>
    <xdr:to>
      <xdr:col>10</xdr:col>
      <xdr:colOff>304800</xdr:colOff>
      <xdr:row>113</xdr:row>
      <xdr:rowOff>127000</xdr:rowOff>
    </xdr:to>
    <xdr:sp macro="" textlink="">
      <xdr:nvSpPr>
        <xdr:cNvPr id="416" name="AutoShape 181" descr="USA">
          <a:hlinkClick xmlns:r="http://schemas.openxmlformats.org/officeDocument/2006/relationships" r:id="rId182"/>
          <a:extLst>
            <a:ext uri="{FF2B5EF4-FFF2-40B4-BE49-F238E27FC236}">
              <a16:creationId xmlns:a16="http://schemas.microsoft.com/office/drawing/2014/main" id="{4AD057DA-5F30-4D5D-9623-F9339E235AC7}"/>
            </a:ext>
          </a:extLst>
        </xdr:cNvPr>
        <xdr:cNvSpPr>
          <a:spLocks noChangeAspect="1" noChangeArrowheads="1"/>
        </xdr:cNvSpPr>
      </xdr:nvSpPr>
      <xdr:spPr bwMode="auto">
        <a:xfrm>
          <a:off x="1219200" y="22726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146</xdr:row>
      <xdr:rowOff>0</xdr:rowOff>
    </xdr:from>
    <xdr:to>
      <xdr:col>10</xdr:col>
      <xdr:colOff>304800</xdr:colOff>
      <xdr:row>147</xdr:row>
      <xdr:rowOff>127000</xdr:rowOff>
    </xdr:to>
    <xdr:sp macro="" textlink="">
      <xdr:nvSpPr>
        <xdr:cNvPr id="417" name="AutoShape 182" descr="USA">
          <a:hlinkClick xmlns:r="http://schemas.openxmlformats.org/officeDocument/2006/relationships" r:id="rId176"/>
          <a:extLst>
            <a:ext uri="{FF2B5EF4-FFF2-40B4-BE49-F238E27FC236}">
              <a16:creationId xmlns:a16="http://schemas.microsoft.com/office/drawing/2014/main" id="{4991B3A1-939D-4562-A4B5-0B4024C316F1}"/>
            </a:ext>
          </a:extLst>
        </xdr:cNvPr>
        <xdr:cNvSpPr>
          <a:spLocks noChangeAspect="1" noChangeArrowheads="1"/>
        </xdr:cNvSpPr>
      </xdr:nvSpPr>
      <xdr:spPr bwMode="auto">
        <a:xfrm>
          <a:off x="1219200" y="2920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119</xdr:row>
      <xdr:rowOff>0</xdr:rowOff>
    </xdr:from>
    <xdr:to>
      <xdr:col>10</xdr:col>
      <xdr:colOff>304800</xdr:colOff>
      <xdr:row>120</xdr:row>
      <xdr:rowOff>127000</xdr:rowOff>
    </xdr:to>
    <xdr:sp macro="" textlink="">
      <xdr:nvSpPr>
        <xdr:cNvPr id="418" name="AutoShape 183" descr="IRL">
          <a:hlinkClick xmlns:r="http://schemas.openxmlformats.org/officeDocument/2006/relationships" r:id="rId177"/>
          <a:extLst>
            <a:ext uri="{FF2B5EF4-FFF2-40B4-BE49-F238E27FC236}">
              <a16:creationId xmlns:a16="http://schemas.microsoft.com/office/drawing/2014/main" id="{CC77F184-D2F0-40CE-99AA-D0B08DE08B06}"/>
            </a:ext>
          </a:extLst>
        </xdr:cNvPr>
        <xdr:cNvSpPr>
          <a:spLocks noChangeAspect="1" noChangeArrowheads="1"/>
        </xdr:cNvSpPr>
      </xdr:nvSpPr>
      <xdr:spPr bwMode="auto">
        <a:xfrm>
          <a:off x="1219200" y="2406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55</xdr:row>
      <xdr:rowOff>0</xdr:rowOff>
    </xdr:from>
    <xdr:to>
      <xdr:col>10</xdr:col>
      <xdr:colOff>304800</xdr:colOff>
      <xdr:row>56</xdr:row>
      <xdr:rowOff>127000</xdr:rowOff>
    </xdr:to>
    <xdr:sp macro="" textlink="">
      <xdr:nvSpPr>
        <xdr:cNvPr id="419" name="AutoShape 184" descr="USA">
          <a:hlinkClick xmlns:r="http://schemas.openxmlformats.org/officeDocument/2006/relationships" r:id="rId178"/>
          <a:extLst>
            <a:ext uri="{FF2B5EF4-FFF2-40B4-BE49-F238E27FC236}">
              <a16:creationId xmlns:a16="http://schemas.microsoft.com/office/drawing/2014/main" id="{C30CAEE1-5647-4D12-ABEB-1662CA290589}"/>
            </a:ext>
          </a:extLst>
        </xdr:cNvPr>
        <xdr:cNvSpPr>
          <a:spLocks noChangeAspect="1" noChangeArrowheads="1"/>
        </xdr:cNvSpPr>
      </xdr:nvSpPr>
      <xdr:spPr bwMode="auto">
        <a:xfrm>
          <a:off x="1219200" y="1186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39</xdr:row>
      <xdr:rowOff>0</xdr:rowOff>
    </xdr:from>
    <xdr:to>
      <xdr:col>10</xdr:col>
      <xdr:colOff>304800</xdr:colOff>
      <xdr:row>40</xdr:row>
      <xdr:rowOff>127000</xdr:rowOff>
    </xdr:to>
    <xdr:sp macro="" textlink="">
      <xdr:nvSpPr>
        <xdr:cNvPr id="420" name="AutoShape 185" descr="USA">
          <a:hlinkClick xmlns:r="http://schemas.openxmlformats.org/officeDocument/2006/relationships" r:id="rId180"/>
          <a:extLst>
            <a:ext uri="{FF2B5EF4-FFF2-40B4-BE49-F238E27FC236}">
              <a16:creationId xmlns:a16="http://schemas.microsoft.com/office/drawing/2014/main" id="{08F3DF27-91F5-4303-88FE-0BA64D499902}"/>
            </a:ext>
          </a:extLst>
        </xdr:cNvPr>
        <xdr:cNvSpPr>
          <a:spLocks noChangeAspect="1" noChangeArrowheads="1"/>
        </xdr:cNvSpPr>
      </xdr:nvSpPr>
      <xdr:spPr bwMode="auto">
        <a:xfrm>
          <a:off x="1219200" y="882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163</xdr:row>
      <xdr:rowOff>0</xdr:rowOff>
    </xdr:from>
    <xdr:to>
      <xdr:col>10</xdr:col>
      <xdr:colOff>304800</xdr:colOff>
      <xdr:row>164</xdr:row>
      <xdr:rowOff>127000</xdr:rowOff>
    </xdr:to>
    <xdr:sp macro="" textlink="">
      <xdr:nvSpPr>
        <xdr:cNvPr id="421" name="AutoShape 186" descr="USA">
          <a:hlinkClick xmlns:r="http://schemas.openxmlformats.org/officeDocument/2006/relationships" r:id="rId185"/>
          <a:extLst>
            <a:ext uri="{FF2B5EF4-FFF2-40B4-BE49-F238E27FC236}">
              <a16:creationId xmlns:a16="http://schemas.microsoft.com/office/drawing/2014/main" id="{CD5FB99D-B1D5-4001-9796-300B527E368A}"/>
            </a:ext>
          </a:extLst>
        </xdr:cNvPr>
        <xdr:cNvSpPr>
          <a:spLocks noChangeAspect="1" noChangeArrowheads="1"/>
        </xdr:cNvSpPr>
      </xdr:nvSpPr>
      <xdr:spPr bwMode="auto">
        <a:xfrm>
          <a:off x="1219200" y="3244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47</xdr:row>
      <xdr:rowOff>0</xdr:rowOff>
    </xdr:from>
    <xdr:to>
      <xdr:col>10</xdr:col>
      <xdr:colOff>304800</xdr:colOff>
      <xdr:row>48</xdr:row>
      <xdr:rowOff>127000</xdr:rowOff>
    </xdr:to>
    <xdr:sp macro="" textlink="">
      <xdr:nvSpPr>
        <xdr:cNvPr id="422" name="AutoShape 187" descr="USA">
          <a:hlinkClick xmlns:r="http://schemas.openxmlformats.org/officeDocument/2006/relationships" r:id="rId183"/>
          <a:extLst>
            <a:ext uri="{FF2B5EF4-FFF2-40B4-BE49-F238E27FC236}">
              <a16:creationId xmlns:a16="http://schemas.microsoft.com/office/drawing/2014/main" id="{48C39206-384F-4CC5-A13C-5AB4E461014D}"/>
            </a:ext>
          </a:extLst>
        </xdr:cNvPr>
        <xdr:cNvSpPr>
          <a:spLocks noChangeAspect="1" noChangeArrowheads="1"/>
        </xdr:cNvSpPr>
      </xdr:nvSpPr>
      <xdr:spPr bwMode="auto">
        <a:xfrm>
          <a:off x="1219200" y="1034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204</xdr:row>
      <xdr:rowOff>0</xdr:rowOff>
    </xdr:from>
    <xdr:to>
      <xdr:col>10</xdr:col>
      <xdr:colOff>304800</xdr:colOff>
      <xdr:row>205</xdr:row>
      <xdr:rowOff>127000</xdr:rowOff>
    </xdr:to>
    <xdr:sp macro="" textlink="">
      <xdr:nvSpPr>
        <xdr:cNvPr id="423" name="AutoShape 188" descr="USA">
          <a:hlinkClick xmlns:r="http://schemas.openxmlformats.org/officeDocument/2006/relationships" r:id="rId184"/>
          <a:extLst>
            <a:ext uri="{FF2B5EF4-FFF2-40B4-BE49-F238E27FC236}">
              <a16:creationId xmlns:a16="http://schemas.microsoft.com/office/drawing/2014/main" id="{8135FFD7-6466-4602-998C-7FD61267A5ED}"/>
            </a:ext>
          </a:extLst>
        </xdr:cNvPr>
        <xdr:cNvSpPr>
          <a:spLocks noChangeAspect="1" noChangeArrowheads="1"/>
        </xdr:cNvSpPr>
      </xdr:nvSpPr>
      <xdr:spPr bwMode="auto">
        <a:xfrm>
          <a:off x="1219200" y="4025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68</xdr:row>
      <xdr:rowOff>0</xdr:rowOff>
    </xdr:from>
    <xdr:to>
      <xdr:col>10</xdr:col>
      <xdr:colOff>304800</xdr:colOff>
      <xdr:row>69</xdr:row>
      <xdr:rowOff>127000</xdr:rowOff>
    </xdr:to>
    <xdr:sp macro="" textlink="">
      <xdr:nvSpPr>
        <xdr:cNvPr id="424" name="AutoShape 189" descr="USA">
          <a:hlinkClick xmlns:r="http://schemas.openxmlformats.org/officeDocument/2006/relationships" r:id="rId186"/>
          <a:extLst>
            <a:ext uri="{FF2B5EF4-FFF2-40B4-BE49-F238E27FC236}">
              <a16:creationId xmlns:a16="http://schemas.microsoft.com/office/drawing/2014/main" id="{42B02786-4476-4FA2-AA79-2B247A186C5D}"/>
            </a:ext>
          </a:extLst>
        </xdr:cNvPr>
        <xdr:cNvSpPr>
          <a:spLocks noChangeAspect="1" noChangeArrowheads="1"/>
        </xdr:cNvSpPr>
      </xdr:nvSpPr>
      <xdr:spPr bwMode="auto">
        <a:xfrm>
          <a:off x="1219200" y="1434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149</xdr:row>
      <xdr:rowOff>0</xdr:rowOff>
    </xdr:from>
    <xdr:to>
      <xdr:col>10</xdr:col>
      <xdr:colOff>304800</xdr:colOff>
      <xdr:row>150</xdr:row>
      <xdr:rowOff>127000</xdr:rowOff>
    </xdr:to>
    <xdr:sp macro="" textlink="">
      <xdr:nvSpPr>
        <xdr:cNvPr id="425" name="AutoShape 190" descr="USA">
          <a:hlinkClick xmlns:r="http://schemas.openxmlformats.org/officeDocument/2006/relationships" r:id="rId187"/>
          <a:extLst>
            <a:ext uri="{FF2B5EF4-FFF2-40B4-BE49-F238E27FC236}">
              <a16:creationId xmlns:a16="http://schemas.microsoft.com/office/drawing/2014/main" id="{EC735071-5ABE-4D8D-A149-D31DE696B1D6}"/>
            </a:ext>
          </a:extLst>
        </xdr:cNvPr>
        <xdr:cNvSpPr>
          <a:spLocks noChangeAspect="1" noChangeArrowheads="1"/>
        </xdr:cNvSpPr>
      </xdr:nvSpPr>
      <xdr:spPr bwMode="auto">
        <a:xfrm>
          <a:off x="1219200" y="29775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81</xdr:row>
      <xdr:rowOff>0</xdr:rowOff>
    </xdr:from>
    <xdr:to>
      <xdr:col>10</xdr:col>
      <xdr:colOff>304800</xdr:colOff>
      <xdr:row>82</xdr:row>
      <xdr:rowOff>127000</xdr:rowOff>
    </xdr:to>
    <xdr:sp macro="" textlink="">
      <xdr:nvSpPr>
        <xdr:cNvPr id="426" name="AutoShape 191" descr="USA">
          <a:hlinkClick xmlns:r="http://schemas.openxmlformats.org/officeDocument/2006/relationships" r:id="rId188"/>
          <a:extLst>
            <a:ext uri="{FF2B5EF4-FFF2-40B4-BE49-F238E27FC236}">
              <a16:creationId xmlns:a16="http://schemas.microsoft.com/office/drawing/2014/main" id="{0C7E0D28-96DC-481B-984A-172B7543B817}"/>
            </a:ext>
          </a:extLst>
        </xdr:cNvPr>
        <xdr:cNvSpPr>
          <a:spLocks noChangeAspect="1" noChangeArrowheads="1"/>
        </xdr:cNvSpPr>
      </xdr:nvSpPr>
      <xdr:spPr bwMode="auto">
        <a:xfrm>
          <a:off x="1219200" y="1682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0</xdr:rowOff>
    </xdr:from>
    <xdr:to>
      <xdr:col>10</xdr:col>
      <xdr:colOff>304800</xdr:colOff>
      <xdr:row>3</xdr:row>
      <xdr:rowOff>127000</xdr:rowOff>
    </xdr:to>
    <xdr:sp macro="" textlink="">
      <xdr:nvSpPr>
        <xdr:cNvPr id="427" name="AutoShape 192" descr="USA">
          <a:hlinkClick xmlns:r="http://schemas.openxmlformats.org/officeDocument/2006/relationships" r:id="rId190"/>
          <a:extLst>
            <a:ext uri="{FF2B5EF4-FFF2-40B4-BE49-F238E27FC236}">
              <a16:creationId xmlns:a16="http://schemas.microsoft.com/office/drawing/2014/main" id="{B3199169-532F-4FBC-89C9-053B5C02E8A9}"/>
            </a:ext>
          </a:extLst>
        </xdr:cNvPr>
        <xdr:cNvSpPr>
          <a:spLocks noChangeAspect="1" noChangeArrowheads="1"/>
        </xdr:cNvSpPr>
      </xdr:nvSpPr>
      <xdr:spPr bwMode="auto">
        <a:xfrm>
          <a:off x="1219200" y="1714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155</xdr:row>
      <xdr:rowOff>0</xdr:rowOff>
    </xdr:from>
    <xdr:to>
      <xdr:col>10</xdr:col>
      <xdr:colOff>304800</xdr:colOff>
      <xdr:row>156</xdr:row>
      <xdr:rowOff>127000</xdr:rowOff>
    </xdr:to>
    <xdr:sp macro="" textlink="">
      <xdr:nvSpPr>
        <xdr:cNvPr id="428" name="AutoShape 193" descr="USA">
          <a:hlinkClick xmlns:r="http://schemas.openxmlformats.org/officeDocument/2006/relationships" r:id="rId189"/>
          <a:extLst>
            <a:ext uri="{FF2B5EF4-FFF2-40B4-BE49-F238E27FC236}">
              <a16:creationId xmlns:a16="http://schemas.microsoft.com/office/drawing/2014/main" id="{16C530B0-0301-4156-98D9-C588C37D6B55}"/>
            </a:ext>
          </a:extLst>
        </xdr:cNvPr>
        <xdr:cNvSpPr>
          <a:spLocks noChangeAspect="1" noChangeArrowheads="1"/>
        </xdr:cNvSpPr>
      </xdr:nvSpPr>
      <xdr:spPr bwMode="auto">
        <a:xfrm>
          <a:off x="1219200" y="3091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134</xdr:row>
      <xdr:rowOff>0</xdr:rowOff>
    </xdr:from>
    <xdr:to>
      <xdr:col>10</xdr:col>
      <xdr:colOff>304800</xdr:colOff>
      <xdr:row>135</xdr:row>
      <xdr:rowOff>127000</xdr:rowOff>
    </xdr:to>
    <xdr:sp macro="" textlink="">
      <xdr:nvSpPr>
        <xdr:cNvPr id="429" name="AutoShape 194" descr="USA">
          <a:hlinkClick xmlns:r="http://schemas.openxmlformats.org/officeDocument/2006/relationships" r:id="rId191"/>
          <a:extLst>
            <a:ext uri="{FF2B5EF4-FFF2-40B4-BE49-F238E27FC236}">
              <a16:creationId xmlns:a16="http://schemas.microsoft.com/office/drawing/2014/main" id="{7DC2705B-CFD1-4C39-A03E-7CA7751495A9}"/>
            </a:ext>
          </a:extLst>
        </xdr:cNvPr>
        <xdr:cNvSpPr>
          <a:spLocks noChangeAspect="1" noChangeArrowheads="1"/>
        </xdr:cNvSpPr>
      </xdr:nvSpPr>
      <xdr:spPr bwMode="auto">
        <a:xfrm>
          <a:off x="1219200" y="2691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xdr:row>
      <xdr:rowOff>0</xdr:rowOff>
    </xdr:from>
    <xdr:to>
      <xdr:col>10</xdr:col>
      <xdr:colOff>304800</xdr:colOff>
      <xdr:row>20</xdr:row>
      <xdr:rowOff>127000</xdr:rowOff>
    </xdr:to>
    <xdr:sp macro="" textlink="">
      <xdr:nvSpPr>
        <xdr:cNvPr id="430" name="AutoShape 195" descr="USA">
          <a:hlinkClick xmlns:r="http://schemas.openxmlformats.org/officeDocument/2006/relationships" r:id="rId197"/>
          <a:extLst>
            <a:ext uri="{FF2B5EF4-FFF2-40B4-BE49-F238E27FC236}">
              <a16:creationId xmlns:a16="http://schemas.microsoft.com/office/drawing/2014/main" id="{11E35D80-A6DA-430F-9B1B-3D08E4F0103A}"/>
            </a:ext>
          </a:extLst>
        </xdr:cNvPr>
        <xdr:cNvSpPr>
          <a:spLocks noChangeAspect="1" noChangeArrowheads="1"/>
        </xdr:cNvSpPr>
      </xdr:nvSpPr>
      <xdr:spPr bwMode="auto">
        <a:xfrm>
          <a:off x="1219200" y="501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178</xdr:row>
      <xdr:rowOff>0</xdr:rowOff>
    </xdr:from>
    <xdr:to>
      <xdr:col>10</xdr:col>
      <xdr:colOff>304800</xdr:colOff>
      <xdr:row>179</xdr:row>
      <xdr:rowOff>127000</xdr:rowOff>
    </xdr:to>
    <xdr:sp macro="" textlink="">
      <xdr:nvSpPr>
        <xdr:cNvPr id="431" name="AutoShape 196" descr="SVK">
          <a:hlinkClick xmlns:r="http://schemas.openxmlformats.org/officeDocument/2006/relationships" r:id="rId192"/>
          <a:extLst>
            <a:ext uri="{FF2B5EF4-FFF2-40B4-BE49-F238E27FC236}">
              <a16:creationId xmlns:a16="http://schemas.microsoft.com/office/drawing/2014/main" id="{52387135-3E8A-446D-9148-E2FDC9C064C9}"/>
            </a:ext>
          </a:extLst>
        </xdr:cNvPr>
        <xdr:cNvSpPr>
          <a:spLocks noChangeAspect="1" noChangeArrowheads="1"/>
        </xdr:cNvSpPr>
      </xdr:nvSpPr>
      <xdr:spPr bwMode="auto">
        <a:xfrm>
          <a:off x="1219200" y="3529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50</xdr:row>
      <xdr:rowOff>0</xdr:rowOff>
    </xdr:from>
    <xdr:to>
      <xdr:col>10</xdr:col>
      <xdr:colOff>304800</xdr:colOff>
      <xdr:row>51</xdr:row>
      <xdr:rowOff>127000</xdr:rowOff>
    </xdr:to>
    <xdr:sp macro="" textlink="">
      <xdr:nvSpPr>
        <xdr:cNvPr id="432" name="AutoShape 197" descr="USA">
          <a:hlinkClick xmlns:r="http://schemas.openxmlformats.org/officeDocument/2006/relationships" r:id="rId193"/>
          <a:extLst>
            <a:ext uri="{FF2B5EF4-FFF2-40B4-BE49-F238E27FC236}">
              <a16:creationId xmlns:a16="http://schemas.microsoft.com/office/drawing/2014/main" id="{4F9C9B9B-A70A-4026-A359-F9893BF180BE}"/>
            </a:ext>
          </a:extLst>
        </xdr:cNvPr>
        <xdr:cNvSpPr>
          <a:spLocks noChangeAspect="1" noChangeArrowheads="1"/>
        </xdr:cNvSpPr>
      </xdr:nvSpPr>
      <xdr:spPr bwMode="auto">
        <a:xfrm>
          <a:off x="1219200" y="1091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88</xdr:row>
      <xdr:rowOff>0</xdr:rowOff>
    </xdr:from>
    <xdr:to>
      <xdr:col>10</xdr:col>
      <xdr:colOff>304800</xdr:colOff>
      <xdr:row>89</xdr:row>
      <xdr:rowOff>127000</xdr:rowOff>
    </xdr:to>
    <xdr:sp macro="" textlink="">
      <xdr:nvSpPr>
        <xdr:cNvPr id="433" name="AutoShape 198" descr="ARG">
          <a:hlinkClick xmlns:r="http://schemas.openxmlformats.org/officeDocument/2006/relationships" r:id="rId194"/>
          <a:extLst>
            <a:ext uri="{FF2B5EF4-FFF2-40B4-BE49-F238E27FC236}">
              <a16:creationId xmlns:a16="http://schemas.microsoft.com/office/drawing/2014/main" id="{619B3FE4-F436-4FA1-88BA-D30B54AA4366}"/>
            </a:ext>
          </a:extLst>
        </xdr:cNvPr>
        <xdr:cNvSpPr>
          <a:spLocks noChangeAspect="1" noChangeArrowheads="1"/>
        </xdr:cNvSpPr>
      </xdr:nvSpPr>
      <xdr:spPr bwMode="auto">
        <a:xfrm>
          <a:off x="1219200" y="1815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434" name="AutoShape 199" descr="AUS">
          <a:hlinkClick xmlns:r="http://schemas.openxmlformats.org/officeDocument/2006/relationships" r:id="rId203"/>
          <a:extLst>
            <a:ext uri="{FF2B5EF4-FFF2-40B4-BE49-F238E27FC236}">
              <a16:creationId xmlns:a16="http://schemas.microsoft.com/office/drawing/2014/main" id="{54621654-B61F-4A08-A7F9-1F903B27E393}"/>
            </a:ext>
          </a:extLst>
        </xdr:cNvPr>
        <xdr:cNvSpPr>
          <a:spLocks noChangeAspect="1" noChangeArrowheads="1"/>
        </xdr:cNvSpPr>
      </xdr:nvSpPr>
      <xdr:spPr bwMode="auto">
        <a:xfrm>
          <a:off x="1219200" y="11430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184</xdr:row>
      <xdr:rowOff>0</xdr:rowOff>
    </xdr:from>
    <xdr:to>
      <xdr:col>10</xdr:col>
      <xdr:colOff>304800</xdr:colOff>
      <xdr:row>185</xdr:row>
      <xdr:rowOff>127000</xdr:rowOff>
    </xdr:to>
    <xdr:sp macro="" textlink="">
      <xdr:nvSpPr>
        <xdr:cNvPr id="435" name="AutoShape 200" descr="CAN">
          <a:hlinkClick xmlns:r="http://schemas.openxmlformats.org/officeDocument/2006/relationships" r:id="rId204"/>
          <a:extLst>
            <a:ext uri="{FF2B5EF4-FFF2-40B4-BE49-F238E27FC236}">
              <a16:creationId xmlns:a16="http://schemas.microsoft.com/office/drawing/2014/main" id="{A5A557DD-F7F1-40E9-83BE-400D6D1F7D31}"/>
            </a:ext>
          </a:extLst>
        </xdr:cNvPr>
        <xdr:cNvSpPr>
          <a:spLocks noChangeAspect="1" noChangeArrowheads="1"/>
        </xdr:cNvSpPr>
      </xdr:nvSpPr>
      <xdr:spPr bwMode="auto">
        <a:xfrm>
          <a:off x="1219200" y="3644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83</xdr:row>
      <xdr:rowOff>0</xdr:rowOff>
    </xdr:from>
    <xdr:to>
      <xdr:col>10</xdr:col>
      <xdr:colOff>304800</xdr:colOff>
      <xdr:row>84</xdr:row>
      <xdr:rowOff>127000</xdr:rowOff>
    </xdr:to>
    <xdr:sp macro="" textlink="">
      <xdr:nvSpPr>
        <xdr:cNvPr id="436" name="AutoShape 201" descr="USA">
          <a:hlinkClick xmlns:r="http://schemas.openxmlformats.org/officeDocument/2006/relationships" r:id="rId195"/>
          <a:extLst>
            <a:ext uri="{FF2B5EF4-FFF2-40B4-BE49-F238E27FC236}">
              <a16:creationId xmlns:a16="http://schemas.microsoft.com/office/drawing/2014/main" id="{96026DF6-023F-451F-B056-0242B196A375}"/>
            </a:ext>
          </a:extLst>
        </xdr:cNvPr>
        <xdr:cNvSpPr>
          <a:spLocks noChangeAspect="1" noChangeArrowheads="1"/>
        </xdr:cNvSpPr>
      </xdr:nvSpPr>
      <xdr:spPr bwMode="auto">
        <a:xfrm>
          <a:off x="1219200" y="1720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95</xdr:row>
      <xdr:rowOff>0</xdr:rowOff>
    </xdr:from>
    <xdr:to>
      <xdr:col>10</xdr:col>
      <xdr:colOff>304800</xdr:colOff>
      <xdr:row>96</xdr:row>
      <xdr:rowOff>127000</xdr:rowOff>
    </xdr:to>
    <xdr:sp macro="" textlink="">
      <xdr:nvSpPr>
        <xdr:cNvPr id="437" name="AutoShape 202" descr="ENG">
          <a:hlinkClick xmlns:r="http://schemas.openxmlformats.org/officeDocument/2006/relationships" r:id="rId196"/>
          <a:extLst>
            <a:ext uri="{FF2B5EF4-FFF2-40B4-BE49-F238E27FC236}">
              <a16:creationId xmlns:a16="http://schemas.microsoft.com/office/drawing/2014/main" id="{F63425E5-1570-4ABD-9072-83ABFC99E328}"/>
            </a:ext>
          </a:extLst>
        </xdr:cNvPr>
        <xdr:cNvSpPr>
          <a:spLocks noChangeAspect="1" noChangeArrowheads="1"/>
        </xdr:cNvSpPr>
      </xdr:nvSpPr>
      <xdr:spPr bwMode="auto">
        <a:xfrm>
          <a:off x="1219200" y="1948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215</xdr:row>
      <xdr:rowOff>0</xdr:rowOff>
    </xdr:from>
    <xdr:to>
      <xdr:col>10</xdr:col>
      <xdr:colOff>304800</xdr:colOff>
      <xdr:row>216</xdr:row>
      <xdr:rowOff>127000</xdr:rowOff>
    </xdr:to>
    <xdr:sp macro="" textlink="">
      <xdr:nvSpPr>
        <xdr:cNvPr id="438" name="AutoShape 203" descr="COL">
          <a:hlinkClick xmlns:r="http://schemas.openxmlformats.org/officeDocument/2006/relationships" r:id="rId199"/>
          <a:extLst>
            <a:ext uri="{FF2B5EF4-FFF2-40B4-BE49-F238E27FC236}">
              <a16:creationId xmlns:a16="http://schemas.microsoft.com/office/drawing/2014/main" id="{25D23DB9-3999-4226-86B6-8918894435C6}"/>
            </a:ext>
          </a:extLst>
        </xdr:cNvPr>
        <xdr:cNvSpPr>
          <a:spLocks noChangeAspect="1" noChangeArrowheads="1"/>
        </xdr:cNvSpPr>
      </xdr:nvSpPr>
      <xdr:spPr bwMode="auto">
        <a:xfrm>
          <a:off x="1219200" y="42729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166</xdr:row>
      <xdr:rowOff>0</xdr:rowOff>
    </xdr:from>
    <xdr:to>
      <xdr:col>10</xdr:col>
      <xdr:colOff>304800</xdr:colOff>
      <xdr:row>167</xdr:row>
      <xdr:rowOff>127000</xdr:rowOff>
    </xdr:to>
    <xdr:sp macro="" textlink="">
      <xdr:nvSpPr>
        <xdr:cNvPr id="439" name="AutoShape 204" descr="USA">
          <a:hlinkClick xmlns:r="http://schemas.openxmlformats.org/officeDocument/2006/relationships" r:id="rId200"/>
          <a:extLst>
            <a:ext uri="{FF2B5EF4-FFF2-40B4-BE49-F238E27FC236}">
              <a16:creationId xmlns:a16="http://schemas.microsoft.com/office/drawing/2014/main" id="{4FE8A2C6-FD12-42B6-8613-CF93127948B1}"/>
            </a:ext>
          </a:extLst>
        </xdr:cNvPr>
        <xdr:cNvSpPr>
          <a:spLocks noChangeAspect="1" noChangeArrowheads="1"/>
        </xdr:cNvSpPr>
      </xdr:nvSpPr>
      <xdr:spPr bwMode="auto">
        <a:xfrm>
          <a:off x="1219200" y="33013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41</xdr:row>
      <xdr:rowOff>0</xdr:rowOff>
    </xdr:from>
    <xdr:to>
      <xdr:col>10</xdr:col>
      <xdr:colOff>304800</xdr:colOff>
      <xdr:row>42</xdr:row>
      <xdr:rowOff>127000</xdr:rowOff>
    </xdr:to>
    <xdr:sp macro="" textlink="">
      <xdr:nvSpPr>
        <xdr:cNvPr id="440" name="AutoShape 205" descr="USA">
          <a:hlinkClick xmlns:r="http://schemas.openxmlformats.org/officeDocument/2006/relationships" r:id="rId201"/>
          <a:extLst>
            <a:ext uri="{FF2B5EF4-FFF2-40B4-BE49-F238E27FC236}">
              <a16:creationId xmlns:a16="http://schemas.microsoft.com/office/drawing/2014/main" id="{48E85751-3E7D-4EA2-93ED-18723313649F}"/>
            </a:ext>
          </a:extLst>
        </xdr:cNvPr>
        <xdr:cNvSpPr>
          <a:spLocks noChangeAspect="1" noChangeArrowheads="1"/>
        </xdr:cNvSpPr>
      </xdr:nvSpPr>
      <xdr:spPr bwMode="auto">
        <a:xfrm>
          <a:off x="1219200" y="920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xdr:row>
      <xdr:rowOff>0</xdr:rowOff>
    </xdr:from>
    <xdr:to>
      <xdr:col>10</xdr:col>
      <xdr:colOff>304800</xdr:colOff>
      <xdr:row>19</xdr:row>
      <xdr:rowOff>127000</xdr:rowOff>
    </xdr:to>
    <xdr:sp macro="" textlink="">
      <xdr:nvSpPr>
        <xdr:cNvPr id="441" name="AutoShape 206" descr="SWE">
          <a:hlinkClick xmlns:r="http://schemas.openxmlformats.org/officeDocument/2006/relationships" r:id="rId202"/>
          <a:extLst>
            <a:ext uri="{FF2B5EF4-FFF2-40B4-BE49-F238E27FC236}">
              <a16:creationId xmlns:a16="http://schemas.microsoft.com/office/drawing/2014/main" id="{1D6619D7-3330-4BAA-8AA9-2AE134BDB2C2}"/>
            </a:ext>
          </a:extLst>
        </xdr:cNvPr>
        <xdr:cNvSpPr>
          <a:spLocks noChangeAspect="1" noChangeArrowheads="1"/>
        </xdr:cNvSpPr>
      </xdr:nvSpPr>
      <xdr:spPr bwMode="auto">
        <a:xfrm>
          <a:off x="1219200" y="481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105</xdr:row>
      <xdr:rowOff>0</xdr:rowOff>
    </xdr:from>
    <xdr:to>
      <xdr:col>10</xdr:col>
      <xdr:colOff>304800</xdr:colOff>
      <xdr:row>106</xdr:row>
      <xdr:rowOff>127000</xdr:rowOff>
    </xdr:to>
    <xdr:sp macro="" textlink="">
      <xdr:nvSpPr>
        <xdr:cNvPr id="442" name="AutoShape 207" descr="KOR">
          <a:hlinkClick xmlns:r="http://schemas.openxmlformats.org/officeDocument/2006/relationships" r:id="rId205"/>
          <a:extLst>
            <a:ext uri="{FF2B5EF4-FFF2-40B4-BE49-F238E27FC236}">
              <a16:creationId xmlns:a16="http://schemas.microsoft.com/office/drawing/2014/main" id="{B70CBCBB-F6AD-4649-A25D-F7E013F13529}"/>
            </a:ext>
          </a:extLst>
        </xdr:cNvPr>
        <xdr:cNvSpPr>
          <a:spLocks noChangeAspect="1" noChangeArrowheads="1"/>
        </xdr:cNvSpPr>
      </xdr:nvSpPr>
      <xdr:spPr bwMode="auto">
        <a:xfrm>
          <a:off x="1219200" y="2139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187</xdr:row>
      <xdr:rowOff>0</xdr:rowOff>
    </xdr:from>
    <xdr:to>
      <xdr:col>10</xdr:col>
      <xdr:colOff>304800</xdr:colOff>
      <xdr:row>188</xdr:row>
      <xdr:rowOff>127000</xdr:rowOff>
    </xdr:to>
    <xdr:sp macro="" textlink="">
      <xdr:nvSpPr>
        <xdr:cNvPr id="443" name="AutoShape 208" descr="USA">
          <a:hlinkClick xmlns:r="http://schemas.openxmlformats.org/officeDocument/2006/relationships" r:id="rId206"/>
          <a:extLst>
            <a:ext uri="{FF2B5EF4-FFF2-40B4-BE49-F238E27FC236}">
              <a16:creationId xmlns:a16="http://schemas.microsoft.com/office/drawing/2014/main" id="{B8BA0B7E-440F-435F-853C-7B3D70FAB529}"/>
            </a:ext>
          </a:extLst>
        </xdr:cNvPr>
        <xdr:cNvSpPr>
          <a:spLocks noChangeAspect="1" noChangeArrowheads="1"/>
        </xdr:cNvSpPr>
      </xdr:nvSpPr>
      <xdr:spPr bwMode="auto">
        <a:xfrm>
          <a:off x="1219200" y="3701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158</xdr:row>
      <xdr:rowOff>0</xdr:rowOff>
    </xdr:from>
    <xdr:to>
      <xdr:col>10</xdr:col>
      <xdr:colOff>304800</xdr:colOff>
      <xdr:row>159</xdr:row>
      <xdr:rowOff>127000</xdr:rowOff>
    </xdr:to>
    <xdr:sp macro="" textlink="">
      <xdr:nvSpPr>
        <xdr:cNvPr id="444" name="AutoShape 209" descr="USA">
          <a:hlinkClick xmlns:r="http://schemas.openxmlformats.org/officeDocument/2006/relationships" r:id="rId207"/>
          <a:extLst>
            <a:ext uri="{FF2B5EF4-FFF2-40B4-BE49-F238E27FC236}">
              <a16:creationId xmlns:a16="http://schemas.microsoft.com/office/drawing/2014/main" id="{E177FC53-4A51-4F02-8953-96D81A6E5F6D}"/>
            </a:ext>
          </a:extLst>
        </xdr:cNvPr>
        <xdr:cNvSpPr>
          <a:spLocks noChangeAspect="1" noChangeArrowheads="1"/>
        </xdr:cNvSpPr>
      </xdr:nvSpPr>
      <xdr:spPr bwMode="auto">
        <a:xfrm>
          <a:off x="1219200" y="3148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194</xdr:row>
      <xdr:rowOff>0</xdr:rowOff>
    </xdr:from>
    <xdr:to>
      <xdr:col>10</xdr:col>
      <xdr:colOff>304800</xdr:colOff>
      <xdr:row>195</xdr:row>
      <xdr:rowOff>127000</xdr:rowOff>
    </xdr:to>
    <xdr:sp macro="" textlink="">
      <xdr:nvSpPr>
        <xdr:cNvPr id="445" name="AutoShape 210" descr="USA">
          <a:hlinkClick xmlns:r="http://schemas.openxmlformats.org/officeDocument/2006/relationships" r:id="rId208"/>
          <a:extLst>
            <a:ext uri="{FF2B5EF4-FFF2-40B4-BE49-F238E27FC236}">
              <a16:creationId xmlns:a16="http://schemas.microsoft.com/office/drawing/2014/main" id="{3DFD6F9A-990A-4B27-B0AD-264F63F20A24}"/>
            </a:ext>
          </a:extLst>
        </xdr:cNvPr>
        <xdr:cNvSpPr>
          <a:spLocks noChangeAspect="1" noChangeArrowheads="1"/>
        </xdr:cNvSpPr>
      </xdr:nvSpPr>
      <xdr:spPr bwMode="auto">
        <a:xfrm>
          <a:off x="1219200" y="38347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90</xdr:row>
      <xdr:rowOff>0</xdr:rowOff>
    </xdr:from>
    <xdr:to>
      <xdr:col>10</xdr:col>
      <xdr:colOff>304800</xdr:colOff>
      <xdr:row>91</xdr:row>
      <xdr:rowOff>127000</xdr:rowOff>
    </xdr:to>
    <xdr:sp macro="" textlink="">
      <xdr:nvSpPr>
        <xdr:cNvPr id="446" name="AutoShape 211" descr="USA">
          <a:hlinkClick xmlns:r="http://schemas.openxmlformats.org/officeDocument/2006/relationships" r:id="rId209"/>
          <a:extLst>
            <a:ext uri="{FF2B5EF4-FFF2-40B4-BE49-F238E27FC236}">
              <a16:creationId xmlns:a16="http://schemas.microsoft.com/office/drawing/2014/main" id="{C81234E6-2C06-41BB-A706-D4FEB4F3E85F}"/>
            </a:ext>
          </a:extLst>
        </xdr:cNvPr>
        <xdr:cNvSpPr>
          <a:spLocks noChangeAspect="1" noChangeArrowheads="1"/>
        </xdr:cNvSpPr>
      </xdr:nvSpPr>
      <xdr:spPr bwMode="auto">
        <a:xfrm>
          <a:off x="1219200" y="18535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225</xdr:row>
      <xdr:rowOff>0</xdr:rowOff>
    </xdr:from>
    <xdr:to>
      <xdr:col>10</xdr:col>
      <xdr:colOff>304800</xdr:colOff>
      <xdr:row>226</xdr:row>
      <xdr:rowOff>127000</xdr:rowOff>
    </xdr:to>
    <xdr:sp macro="" textlink="">
      <xdr:nvSpPr>
        <xdr:cNvPr id="447" name="AutoShape 212" descr="USA">
          <a:hlinkClick xmlns:r="http://schemas.openxmlformats.org/officeDocument/2006/relationships" r:id="rId210"/>
          <a:extLst>
            <a:ext uri="{FF2B5EF4-FFF2-40B4-BE49-F238E27FC236}">
              <a16:creationId xmlns:a16="http://schemas.microsoft.com/office/drawing/2014/main" id="{FFCEF6EA-1122-4030-ABC9-651D54253B37}"/>
            </a:ext>
          </a:extLst>
        </xdr:cNvPr>
        <xdr:cNvSpPr>
          <a:spLocks noChangeAspect="1" noChangeArrowheads="1"/>
        </xdr:cNvSpPr>
      </xdr:nvSpPr>
      <xdr:spPr bwMode="auto">
        <a:xfrm>
          <a:off x="1219200" y="44634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108</xdr:row>
      <xdr:rowOff>0</xdr:rowOff>
    </xdr:from>
    <xdr:to>
      <xdr:col>10</xdr:col>
      <xdr:colOff>304800</xdr:colOff>
      <xdr:row>109</xdr:row>
      <xdr:rowOff>127000</xdr:rowOff>
    </xdr:to>
    <xdr:sp macro="" textlink="">
      <xdr:nvSpPr>
        <xdr:cNvPr id="448" name="AutoShape 213" descr="USA">
          <a:hlinkClick xmlns:r="http://schemas.openxmlformats.org/officeDocument/2006/relationships" r:id="rId212"/>
          <a:extLst>
            <a:ext uri="{FF2B5EF4-FFF2-40B4-BE49-F238E27FC236}">
              <a16:creationId xmlns:a16="http://schemas.microsoft.com/office/drawing/2014/main" id="{CD40051A-3913-425B-B3C8-74F441D6B8FE}"/>
            </a:ext>
          </a:extLst>
        </xdr:cNvPr>
        <xdr:cNvSpPr>
          <a:spLocks noChangeAspect="1" noChangeArrowheads="1"/>
        </xdr:cNvSpPr>
      </xdr:nvSpPr>
      <xdr:spPr bwMode="auto">
        <a:xfrm>
          <a:off x="1219200" y="21964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xdr:row>
      <xdr:rowOff>0</xdr:rowOff>
    </xdr:from>
    <xdr:to>
      <xdr:col>10</xdr:col>
      <xdr:colOff>304800</xdr:colOff>
      <xdr:row>16</xdr:row>
      <xdr:rowOff>127000</xdr:rowOff>
    </xdr:to>
    <xdr:sp macro="" textlink="">
      <xdr:nvSpPr>
        <xdr:cNvPr id="449" name="AutoShape 214" descr="AUS">
          <a:hlinkClick xmlns:r="http://schemas.openxmlformats.org/officeDocument/2006/relationships" r:id="rId211"/>
          <a:extLst>
            <a:ext uri="{FF2B5EF4-FFF2-40B4-BE49-F238E27FC236}">
              <a16:creationId xmlns:a16="http://schemas.microsoft.com/office/drawing/2014/main" id="{CFAE9318-D509-469A-98F9-DE9CB916B2B5}"/>
            </a:ext>
          </a:extLst>
        </xdr:cNvPr>
        <xdr:cNvSpPr>
          <a:spLocks noChangeAspect="1" noChangeArrowheads="1"/>
        </xdr:cNvSpPr>
      </xdr:nvSpPr>
      <xdr:spPr bwMode="auto">
        <a:xfrm>
          <a:off x="1219200" y="424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73</xdr:row>
      <xdr:rowOff>0</xdr:rowOff>
    </xdr:from>
    <xdr:to>
      <xdr:col>10</xdr:col>
      <xdr:colOff>304800</xdr:colOff>
      <xdr:row>74</xdr:row>
      <xdr:rowOff>127000</xdr:rowOff>
    </xdr:to>
    <xdr:sp macro="" textlink="">
      <xdr:nvSpPr>
        <xdr:cNvPr id="450" name="AutoShape 215" descr="USA">
          <a:hlinkClick xmlns:r="http://schemas.openxmlformats.org/officeDocument/2006/relationships" r:id="rId213"/>
          <a:extLst>
            <a:ext uri="{FF2B5EF4-FFF2-40B4-BE49-F238E27FC236}">
              <a16:creationId xmlns:a16="http://schemas.microsoft.com/office/drawing/2014/main" id="{00987406-AAC7-41B8-A588-F64522492594}"/>
            </a:ext>
          </a:extLst>
        </xdr:cNvPr>
        <xdr:cNvSpPr>
          <a:spLocks noChangeAspect="1" noChangeArrowheads="1"/>
        </xdr:cNvSpPr>
      </xdr:nvSpPr>
      <xdr:spPr bwMode="auto">
        <a:xfrm>
          <a:off x="1219200" y="1529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124</xdr:row>
      <xdr:rowOff>0</xdr:rowOff>
    </xdr:from>
    <xdr:to>
      <xdr:col>10</xdr:col>
      <xdr:colOff>304800</xdr:colOff>
      <xdr:row>125</xdr:row>
      <xdr:rowOff>127000</xdr:rowOff>
    </xdr:to>
    <xdr:sp macro="" textlink="">
      <xdr:nvSpPr>
        <xdr:cNvPr id="451" name="AutoShape 216" descr="TPE">
          <a:hlinkClick xmlns:r="http://schemas.openxmlformats.org/officeDocument/2006/relationships" r:id="rId214"/>
          <a:extLst>
            <a:ext uri="{FF2B5EF4-FFF2-40B4-BE49-F238E27FC236}">
              <a16:creationId xmlns:a16="http://schemas.microsoft.com/office/drawing/2014/main" id="{68819FB9-6A25-42A6-A7EC-3BCBCF9B0BED}"/>
            </a:ext>
          </a:extLst>
        </xdr:cNvPr>
        <xdr:cNvSpPr>
          <a:spLocks noChangeAspect="1" noChangeArrowheads="1"/>
        </xdr:cNvSpPr>
      </xdr:nvSpPr>
      <xdr:spPr bwMode="auto">
        <a:xfrm>
          <a:off x="1219200" y="2501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135</xdr:row>
      <xdr:rowOff>0</xdr:rowOff>
    </xdr:from>
    <xdr:to>
      <xdr:col>10</xdr:col>
      <xdr:colOff>304800</xdr:colOff>
      <xdr:row>136</xdr:row>
      <xdr:rowOff>127000</xdr:rowOff>
    </xdr:to>
    <xdr:sp macro="" textlink="">
      <xdr:nvSpPr>
        <xdr:cNvPr id="452" name="AutoShape 217" descr="USA">
          <a:hlinkClick xmlns:r="http://schemas.openxmlformats.org/officeDocument/2006/relationships" r:id="rId215"/>
          <a:extLst>
            <a:ext uri="{FF2B5EF4-FFF2-40B4-BE49-F238E27FC236}">
              <a16:creationId xmlns:a16="http://schemas.microsoft.com/office/drawing/2014/main" id="{A4C4F43E-4AAC-4CBE-8576-7580933A629D}"/>
            </a:ext>
          </a:extLst>
        </xdr:cNvPr>
        <xdr:cNvSpPr>
          <a:spLocks noChangeAspect="1" noChangeArrowheads="1"/>
        </xdr:cNvSpPr>
      </xdr:nvSpPr>
      <xdr:spPr bwMode="auto">
        <a:xfrm>
          <a:off x="1219200" y="27108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59</xdr:row>
      <xdr:rowOff>0</xdr:rowOff>
    </xdr:from>
    <xdr:to>
      <xdr:col>10</xdr:col>
      <xdr:colOff>304800</xdr:colOff>
      <xdr:row>60</xdr:row>
      <xdr:rowOff>127000</xdr:rowOff>
    </xdr:to>
    <xdr:sp macro="" textlink="">
      <xdr:nvSpPr>
        <xdr:cNvPr id="453" name="AutoShape 218" descr="COL">
          <a:hlinkClick xmlns:r="http://schemas.openxmlformats.org/officeDocument/2006/relationships" r:id="rId216"/>
          <a:extLst>
            <a:ext uri="{FF2B5EF4-FFF2-40B4-BE49-F238E27FC236}">
              <a16:creationId xmlns:a16="http://schemas.microsoft.com/office/drawing/2014/main" id="{D34978C2-4363-4C01-A630-6F3CFBFDA435}"/>
            </a:ext>
          </a:extLst>
        </xdr:cNvPr>
        <xdr:cNvSpPr>
          <a:spLocks noChangeAspect="1" noChangeArrowheads="1"/>
        </xdr:cNvSpPr>
      </xdr:nvSpPr>
      <xdr:spPr bwMode="auto">
        <a:xfrm>
          <a:off x="1219200" y="1263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102</xdr:row>
      <xdr:rowOff>0</xdr:rowOff>
    </xdr:from>
    <xdr:to>
      <xdr:col>10</xdr:col>
      <xdr:colOff>304800</xdr:colOff>
      <xdr:row>103</xdr:row>
      <xdr:rowOff>127000</xdr:rowOff>
    </xdr:to>
    <xdr:sp macro="" textlink="">
      <xdr:nvSpPr>
        <xdr:cNvPr id="454" name="AutoShape 219" descr="USA">
          <a:hlinkClick xmlns:r="http://schemas.openxmlformats.org/officeDocument/2006/relationships" r:id="rId217"/>
          <a:extLst>
            <a:ext uri="{FF2B5EF4-FFF2-40B4-BE49-F238E27FC236}">
              <a16:creationId xmlns:a16="http://schemas.microsoft.com/office/drawing/2014/main" id="{D5A37EC0-8A2D-4199-88D1-8A57F5B4ED23}"/>
            </a:ext>
          </a:extLst>
        </xdr:cNvPr>
        <xdr:cNvSpPr>
          <a:spLocks noChangeAspect="1" noChangeArrowheads="1"/>
        </xdr:cNvSpPr>
      </xdr:nvSpPr>
      <xdr:spPr bwMode="auto">
        <a:xfrm>
          <a:off x="1219200" y="2082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151</xdr:row>
      <xdr:rowOff>0</xdr:rowOff>
    </xdr:from>
    <xdr:to>
      <xdr:col>10</xdr:col>
      <xdr:colOff>304800</xdr:colOff>
      <xdr:row>152</xdr:row>
      <xdr:rowOff>127000</xdr:rowOff>
    </xdr:to>
    <xdr:sp macro="" textlink="">
      <xdr:nvSpPr>
        <xdr:cNvPr id="455" name="AutoShape 220" descr="USA">
          <a:hlinkClick xmlns:r="http://schemas.openxmlformats.org/officeDocument/2006/relationships" r:id="rId218"/>
          <a:extLst>
            <a:ext uri="{FF2B5EF4-FFF2-40B4-BE49-F238E27FC236}">
              <a16:creationId xmlns:a16="http://schemas.microsoft.com/office/drawing/2014/main" id="{5EA1BF42-B7B8-4334-A0CB-6C32A6AB1A30}"/>
            </a:ext>
          </a:extLst>
        </xdr:cNvPr>
        <xdr:cNvSpPr>
          <a:spLocks noChangeAspect="1" noChangeArrowheads="1"/>
        </xdr:cNvSpPr>
      </xdr:nvSpPr>
      <xdr:spPr bwMode="auto">
        <a:xfrm>
          <a:off x="1219200" y="3015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58</xdr:row>
      <xdr:rowOff>0</xdr:rowOff>
    </xdr:from>
    <xdr:to>
      <xdr:col>10</xdr:col>
      <xdr:colOff>304800</xdr:colOff>
      <xdr:row>59</xdr:row>
      <xdr:rowOff>127000</xdr:rowOff>
    </xdr:to>
    <xdr:sp macro="" textlink="">
      <xdr:nvSpPr>
        <xdr:cNvPr id="456" name="AutoShape 221" descr="USA">
          <a:hlinkClick xmlns:r="http://schemas.openxmlformats.org/officeDocument/2006/relationships" r:id="rId219"/>
          <a:extLst>
            <a:ext uri="{FF2B5EF4-FFF2-40B4-BE49-F238E27FC236}">
              <a16:creationId xmlns:a16="http://schemas.microsoft.com/office/drawing/2014/main" id="{15B0BA57-C492-4E8F-890A-22CC60681080}"/>
            </a:ext>
          </a:extLst>
        </xdr:cNvPr>
        <xdr:cNvSpPr>
          <a:spLocks noChangeAspect="1" noChangeArrowheads="1"/>
        </xdr:cNvSpPr>
      </xdr:nvSpPr>
      <xdr:spPr bwMode="auto">
        <a:xfrm>
          <a:off x="1219200" y="12439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80</xdr:row>
      <xdr:rowOff>0</xdr:rowOff>
    </xdr:from>
    <xdr:to>
      <xdr:col>10</xdr:col>
      <xdr:colOff>304800</xdr:colOff>
      <xdr:row>81</xdr:row>
      <xdr:rowOff>127000</xdr:rowOff>
    </xdr:to>
    <xdr:sp macro="" textlink="">
      <xdr:nvSpPr>
        <xdr:cNvPr id="457" name="AutoShape 222" descr="USA">
          <a:hlinkClick xmlns:r="http://schemas.openxmlformats.org/officeDocument/2006/relationships" r:id="rId220"/>
          <a:extLst>
            <a:ext uri="{FF2B5EF4-FFF2-40B4-BE49-F238E27FC236}">
              <a16:creationId xmlns:a16="http://schemas.microsoft.com/office/drawing/2014/main" id="{4C734BE2-D61A-4E54-9F15-3F769902C8FC}"/>
            </a:ext>
          </a:extLst>
        </xdr:cNvPr>
        <xdr:cNvSpPr>
          <a:spLocks noChangeAspect="1" noChangeArrowheads="1"/>
        </xdr:cNvSpPr>
      </xdr:nvSpPr>
      <xdr:spPr bwMode="auto">
        <a:xfrm>
          <a:off x="1219200" y="1663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228</xdr:row>
      <xdr:rowOff>0</xdr:rowOff>
    </xdr:from>
    <xdr:to>
      <xdr:col>10</xdr:col>
      <xdr:colOff>304800</xdr:colOff>
      <xdr:row>229</xdr:row>
      <xdr:rowOff>114300</xdr:rowOff>
    </xdr:to>
    <xdr:sp macro="" textlink="">
      <xdr:nvSpPr>
        <xdr:cNvPr id="458" name="AutoShape 223" descr="USA">
          <a:hlinkClick xmlns:r="http://schemas.openxmlformats.org/officeDocument/2006/relationships" r:id="rId221"/>
          <a:extLst>
            <a:ext uri="{FF2B5EF4-FFF2-40B4-BE49-F238E27FC236}">
              <a16:creationId xmlns:a16="http://schemas.microsoft.com/office/drawing/2014/main" id="{EE019596-9E04-4E13-9F89-7AF4DD425C50}"/>
            </a:ext>
          </a:extLst>
        </xdr:cNvPr>
        <xdr:cNvSpPr>
          <a:spLocks noChangeAspect="1" noChangeArrowheads="1"/>
        </xdr:cNvSpPr>
      </xdr:nvSpPr>
      <xdr:spPr bwMode="auto">
        <a:xfrm>
          <a:off x="1219200" y="45205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0</xdr:rowOff>
    </xdr:from>
    <xdr:to>
      <xdr:col>10</xdr:col>
      <xdr:colOff>304800</xdr:colOff>
      <xdr:row>6</xdr:row>
      <xdr:rowOff>127000</xdr:rowOff>
    </xdr:to>
    <xdr:sp macro="" textlink="">
      <xdr:nvSpPr>
        <xdr:cNvPr id="459" name="AutoShape 224" descr="IND">
          <a:hlinkClick xmlns:r="http://schemas.openxmlformats.org/officeDocument/2006/relationships" r:id="rId222"/>
          <a:extLst>
            <a:ext uri="{FF2B5EF4-FFF2-40B4-BE49-F238E27FC236}">
              <a16:creationId xmlns:a16="http://schemas.microsoft.com/office/drawing/2014/main" id="{BD3573B0-6BDB-4BE4-8069-B3BEE3F9F928}"/>
            </a:ext>
          </a:extLst>
        </xdr:cNvPr>
        <xdr:cNvSpPr>
          <a:spLocks noChangeAspect="1" noChangeArrowheads="1"/>
        </xdr:cNvSpPr>
      </xdr:nvSpPr>
      <xdr:spPr bwMode="auto">
        <a:xfrm>
          <a:off x="1219200" y="234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33</xdr:row>
      <xdr:rowOff>0</xdr:rowOff>
    </xdr:from>
    <xdr:to>
      <xdr:col>10</xdr:col>
      <xdr:colOff>304800</xdr:colOff>
      <xdr:row>34</xdr:row>
      <xdr:rowOff>127000</xdr:rowOff>
    </xdr:to>
    <xdr:sp macro="" textlink="">
      <xdr:nvSpPr>
        <xdr:cNvPr id="460" name="AutoShape 225" descr="USA">
          <a:hlinkClick xmlns:r="http://schemas.openxmlformats.org/officeDocument/2006/relationships" r:id="rId223"/>
          <a:extLst>
            <a:ext uri="{FF2B5EF4-FFF2-40B4-BE49-F238E27FC236}">
              <a16:creationId xmlns:a16="http://schemas.microsoft.com/office/drawing/2014/main" id="{D065AD12-3435-4EE9-BDBC-BFA589BADD07}"/>
            </a:ext>
          </a:extLst>
        </xdr:cNvPr>
        <xdr:cNvSpPr>
          <a:spLocks noChangeAspect="1" noChangeArrowheads="1"/>
        </xdr:cNvSpPr>
      </xdr:nvSpPr>
      <xdr:spPr bwMode="auto">
        <a:xfrm>
          <a:off x="1219200" y="7677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xdr:row>
      <xdr:rowOff>0</xdr:rowOff>
    </xdr:from>
    <xdr:to>
      <xdr:col>10</xdr:col>
      <xdr:colOff>304800</xdr:colOff>
      <xdr:row>12</xdr:row>
      <xdr:rowOff>127000</xdr:rowOff>
    </xdr:to>
    <xdr:sp macro="" textlink="">
      <xdr:nvSpPr>
        <xdr:cNvPr id="461" name="AutoShape 226" descr="USA">
          <a:hlinkClick xmlns:r="http://schemas.openxmlformats.org/officeDocument/2006/relationships" r:id="rId224"/>
          <a:extLst>
            <a:ext uri="{FF2B5EF4-FFF2-40B4-BE49-F238E27FC236}">
              <a16:creationId xmlns:a16="http://schemas.microsoft.com/office/drawing/2014/main" id="{604021BA-F7F7-4E88-9CA0-7AF8E93F0BA8}"/>
            </a:ext>
          </a:extLst>
        </xdr:cNvPr>
        <xdr:cNvSpPr>
          <a:spLocks noChangeAspect="1" noChangeArrowheads="1"/>
        </xdr:cNvSpPr>
      </xdr:nvSpPr>
      <xdr:spPr bwMode="auto">
        <a:xfrm>
          <a:off x="1219200" y="3486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179</xdr:row>
      <xdr:rowOff>0</xdr:rowOff>
    </xdr:from>
    <xdr:to>
      <xdr:col>10</xdr:col>
      <xdr:colOff>304800</xdr:colOff>
      <xdr:row>180</xdr:row>
      <xdr:rowOff>127000</xdr:rowOff>
    </xdr:to>
    <xdr:sp macro="" textlink="">
      <xdr:nvSpPr>
        <xdr:cNvPr id="462" name="AutoShape 227" descr="USA">
          <a:hlinkClick xmlns:r="http://schemas.openxmlformats.org/officeDocument/2006/relationships" r:id="rId225"/>
          <a:extLst>
            <a:ext uri="{FF2B5EF4-FFF2-40B4-BE49-F238E27FC236}">
              <a16:creationId xmlns:a16="http://schemas.microsoft.com/office/drawing/2014/main" id="{241CCDC5-B24A-47A2-AC36-6B728419BBF4}"/>
            </a:ext>
          </a:extLst>
        </xdr:cNvPr>
        <xdr:cNvSpPr>
          <a:spLocks noChangeAspect="1" noChangeArrowheads="1"/>
        </xdr:cNvSpPr>
      </xdr:nvSpPr>
      <xdr:spPr bwMode="auto">
        <a:xfrm>
          <a:off x="1219200" y="3549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43</xdr:row>
      <xdr:rowOff>0</xdr:rowOff>
    </xdr:from>
    <xdr:to>
      <xdr:col>10</xdr:col>
      <xdr:colOff>304800</xdr:colOff>
      <xdr:row>44</xdr:row>
      <xdr:rowOff>127000</xdr:rowOff>
    </xdr:to>
    <xdr:sp macro="" textlink="">
      <xdr:nvSpPr>
        <xdr:cNvPr id="463" name="AutoShape 228" descr="USA">
          <a:hlinkClick xmlns:r="http://schemas.openxmlformats.org/officeDocument/2006/relationships" r:id="rId226"/>
          <a:extLst>
            <a:ext uri="{FF2B5EF4-FFF2-40B4-BE49-F238E27FC236}">
              <a16:creationId xmlns:a16="http://schemas.microsoft.com/office/drawing/2014/main" id="{5521021F-AF66-4DC3-B8D6-0C5A154BBAAA}"/>
            </a:ext>
          </a:extLst>
        </xdr:cNvPr>
        <xdr:cNvSpPr>
          <a:spLocks noChangeAspect="1" noChangeArrowheads="1"/>
        </xdr:cNvSpPr>
      </xdr:nvSpPr>
      <xdr:spPr bwMode="auto">
        <a:xfrm>
          <a:off x="1219200" y="9582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181</xdr:row>
      <xdr:rowOff>0</xdr:rowOff>
    </xdr:from>
    <xdr:to>
      <xdr:col>10</xdr:col>
      <xdr:colOff>304800</xdr:colOff>
      <xdr:row>182</xdr:row>
      <xdr:rowOff>127000</xdr:rowOff>
    </xdr:to>
    <xdr:sp macro="" textlink="">
      <xdr:nvSpPr>
        <xdr:cNvPr id="464" name="AutoShape 229" descr="RSA">
          <a:hlinkClick xmlns:r="http://schemas.openxmlformats.org/officeDocument/2006/relationships" r:id="rId227"/>
          <a:extLst>
            <a:ext uri="{FF2B5EF4-FFF2-40B4-BE49-F238E27FC236}">
              <a16:creationId xmlns:a16="http://schemas.microsoft.com/office/drawing/2014/main" id="{9411E7DB-7295-4E58-8C7D-DA1D59C20815}"/>
            </a:ext>
          </a:extLst>
        </xdr:cNvPr>
        <xdr:cNvSpPr>
          <a:spLocks noChangeAspect="1" noChangeArrowheads="1"/>
        </xdr:cNvSpPr>
      </xdr:nvSpPr>
      <xdr:spPr bwMode="auto">
        <a:xfrm>
          <a:off x="1219200" y="35871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64</xdr:row>
      <xdr:rowOff>0</xdr:rowOff>
    </xdr:from>
    <xdr:to>
      <xdr:col>10</xdr:col>
      <xdr:colOff>304800</xdr:colOff>
      <xdr:row>65</xdr:row>
      <xdr:rowOff>127000</xdr:rowOff>
    </xdr:to>
    <xdr:sp macro="" textlink="">
      <xdr:nvSpPr>
        <xdr:cNvPr id="465" name="AutoShape 230" descr="USA">
          <a:hlinkClick xmlns:r="http://schemas.openxmlformats.org/officeDocument/2006/relationships" r:id="rId228"/>
          <a:extLst>
            <a:ext uri="{FF2B5EF4-FFF2-40B4-BE49-F238E27FC236}">
              <a16:creationId xmlns:a16="http://schemas.microsoft.com/office/drawing/2014/main" id="{CD423577-6B5F-4EBC-9643-68EACA6DB091}"/>
            </a:ext>
          </a:extLst>
        </xdr:cNvPr>
        <xdr:cNvSpPr>
          <a:spLocks noChangeAspect="1" noChangeArrowheads="1"/>
        </xdr:cNvSpPr>
      </xdr:nvSpPr>
      <xdr:spPr bwMode="auto">
        <a:xfrm>
          <a:off x="1219200" y="13582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122</xdr:row>
      <xdr:rowOff>0</xdr:rowOff>
    </xdr:from>
    <xdr:to>
      <xdr:col>10</xdr:col>
      <xdr:colOff>304800</xdr:colOff>
      <xdr:row>123</xdr:row>
      <xdr:rowOff>127000</xdr:rowOff>
    </xdr:to>
    <xdr:sp macro="" textlink="">
      <xdr:nvSpPr>
        <xdr:cNvPr id="466" name="AutoShape 231" descr="USA">
          <a:hlinkClick xmlns:r="http://schemas.openxmlformats.org/officeDocument/2006/relationships" r:id="rId229"/>
          <a:extLst>
            <a:ext uri="{FF2B5EF4-FFF2-40B4-BE49-F238E27FC236}">
              <a16:creationId xmlns:a16="http://schemas.microsoft.com/office/drawing/2014/main" id="{2057135B-00AB-4864-8D75-D93E14F928B9}"/>
            </a:ext>
          </a:extLst>
        </xdr:cNvPr>
        <xdr:cNvSpPr>
          <a:spLocks noChangeAspect="1" noChangeArrowheads="1"/>
        </xdr:cNvSpPr>
      </xdr:nvSpPr>
      <xdr:spPr bwMode="auto">
        <a:xfrm>
          <a:off x="1219200" y="24631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145</xdr:row>
      <xdr:rowOff>0</xdr:rowOff>
    </xdr:from>
    <xdr:to>
      <xdr:col>10</xdr:col>
      <xdr:colOff>304800</xdr:colOff>
      <xdr:row>146</xdr:row>
      <xdr:rowOff>127000</xdr:rowOff>
    </xdr:to>
    <xdr:sp macro="" textlink="">
      <xdr:nvSpPr>
        <xdr:cNvPr id="467" name="AutoShape 232" descr="USA">
          <a:hlinkClick xmlns:r="http://schemas.openxmlformats.org/officeDocument/2006/relationships" r:id="rId230"/>
          <a:extLst>
            <a:ext uri="{FF2B5EF4-FFF2-40B4-BE49-F238E27FC236}">
              <a16:creationId xmlns:a16="http://schemas.microsoft.com/office/drawing/2014/main" id="{DFA813BE-53CE-4D38-A790-4D69B49C853F}"/>
            </a:ext>
          </a:extLst>
        </xdr:cNvPr>
        <xdr:cNvSpPr>
          <a:spLocks noChangeAspect="1" noChangeArrowheads="1"/>
        </xdr:cNvSpPr>
      </xdr:nvSpPr>
      <xdr:spPr bwMode="auto">
        <a:xfrm>
          <a:off x="1219200" y="29013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0</xdr:rowOff>
    </xdr:from>
    <xdr:to>
      <xdr:col>10</xdr:col>
      <xdr:colOff>304800</xdr:colOff>
      <xdr:row>2</xdr:row>
      <xdr:rowOff>127000</xdr:rowOff>
    </xdr:to>
    <xdr:sp macro="" textlink="">
      <xdr:nvSpPr>
        <xdr:cNvPr id="468" name="AutoShape 233" descr="USA">
          <a:hlinkClick xmlns:r="http://schemas.openxmlformats.org/officeDocument/2006/relationships" r:id="rId231"/>
          <a:extLst>
            <a:ext uri="{FF2B5EF4-FFF2-40B4-BE49-F238E27FC236}">
              <a16:creationId xmlns:a16="http://schemas.microsoft.com/office/drawing/2014/main" id="{8653D791-192A-468D-9F7C-777609A3FCD4}"/>
            </a:ext>
          </a:extLst>
        </xdr:cNvPr>
        <xdr:cNvSpPr>
          <a:spLocks noChangeAspect="1" noChangeArrowheads="1"/>
        </xdr:cNvSpPr>
      </xdr:nvSpPr>
      <xdr:spPr bwMode="auto">
        <a:xfrm>
          <a:off x="1219200" y="1333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40</xdr:row>
      <xdr:rowOff>0</xdr:rowOff>
    </xdr:from>
    <xdr:to>
      <xdr:col>10</xdr:col>
      <xdr:colOff>304800</xdr:colOff>
      <xdr:row>41</xdr:row>
      <xdr:rowOff>127000</xdr:rowOff>
    </xdr:to>
    <xdr:sp macro="" textlink="">
      <xdr:nvSpPr>
        <xdr:cNvPr id="469" name="AutoShape 234" descr="SWE">
          <a:hlinkClick xmlns:r="http://schemas.openxmlformats.org/officeDocument/2006/relationships" r:id="rId232"/>
          <a:extLst>
            <a:ext uri="{FF2B5EF4-FFF2-40B4-BE49-F238E27FC236}">
              <a16:creationId xmlns:a16="http://schemas.microsoft.com/office/drawing/2014/main" id="{1C533540-1F32-4604-831B-7A5138BEC97E}"/>
            </a:ext>
          </a:extLst>
        </xdr:cNvPr>
        <xdr:cNvSpPr>
          <a:spLocks noChangeAspect="1" noChangeArrowheads="1"/>
        </xdr:cNvSpPr>
      </xdr:nvSpPr>
      <xdr:spPr bwMode="auto">
        <a:xfrm>
          <a:off x="1219200" y="90106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99</xdr:row>
      <xdr:rowOff>0</xdr:rowOff>
    </xdr:from>
    <xdr:to>
      <xdr:col>10</xdr:col>
      <xdr:colOff>304800</xdr:colOff>
      <xdr:row>100</xdr:row>
      <xdr:rowOff>127000</xdr:rowOff>
    </xdr:to>
    <xdr:sp macro="" textlink="">
      <xdr:nvSpPr>
        <xdr:cNvPr id="470" name="AutoShape 235" descr="KOR">
          <a:hlinkClick xmlns:r="http://schemas.openxmlformats.org/officeDocument/2006/relationships" r:id="rId233"/>
          <a:extLst>
            <a:ext uri="{FF2B5EF4-FFF2-40B4-BE49-F238E27FC236}">
              <a16:creationId xmlns:a16="http://schemas.microsoft.com/office/drawing/2014/main" id="{3BFF0E20-665A-4ACB-B381-59730A76B148}"/>
            </a:ext>
          </a:extLst>
        </xdr:cNvPr>
        <xdr:cNvSpPr>
          <a:spLocks noChangeAspect="1" noChangeArrowheads="1"/>
        </xdr:cNvSpPr>
      </xdr:nvSpPr>
      <xdr:spPr bwMode="auto">
        <a:xfrm>
          <a:off x="1219200" y="202501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10</xdr:col>
      <xdr:colOff>0</xdr:colOff>
      <xdr:row>1</xdr:row>
      <xdr:rowOff>0</xdr:rowOff>
    </xdr:from>
    <xdr:ext cx="304800" cy="317500"/>
    <xdr:sp macro="" textlink="">
      <xdr:nvSpPr>
        <xdr:cNvPr id="471" name="AutoShape 177" descr="USA">
          <a:hlinkClick xmlns:r="http://schemas.openxmlformats.org/officeDocument/2006/relationships" r:id="rId174"/>
          <a:extLst>
            <a:ext uri="{FF2B5EF4-FFF2-40B4-BE49-F238E27FC236}">
              <a16:creationId xmlns:a16="http://schemas.microsoft.com/office/drawing/2014/main" id="{98F9A302-E815-48F7-B884-63B88C05372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2" name="AutoShape 177" descr="USA">
          <a:hlinkClick xmlns:r="http://schemas.openxmlformats.org/officeDocument/2006/relationships" r:id="rId174"/>
          <a:extLst>
            <a:ext uri="{FF2B5EF4-FFF2-40B4-BE49-F238E27FC236}">
              <a16:creationId xmlns:a16="http://schemas.microsoft.com/office/drawing/2014/main" id="{8CEFCAD0-3C2B-496E-838E-DC3027A8701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3" name="AutoShape 177" descr="USA">
          <a:hlinkClick xmlns:r="http://schemas.openxmlformats.org/officeDocument/2006/relationships" r:id="rId174"/>
          <a:extLst>
            <a:ext uri="{FF2B5EF4-FFF2-40B4-BE49-F238E27FC236}">
              <a16:creationId xmlns:a16="http://schemas.microsoft.com/office/drawing/2014/main" id="{7C132522-6F54-4A3B-AA4D-AC30A788F55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4" name="AutoShape 177" descr="USA">
          <a:hlinkClick xmlns:r="http://schemas.openxmlformats.org/officeDocument/2006/relationships" r:id="rId174"/>
          <a:extLst>
            <a:ext uri="{FF2B5EF4-FFF2-40B4-BE49-F238E27FC236}">
              <a16:creationId xmlns:a16="http://schemas.microsoft.com/office/drawing/2014/main" id="{D4034C4B-AACF-4CD1-BCAE-7F8A236D392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5" name="AutoShape 177" descr="USA">
          <a:hlinkClick xmlns:r="http://schemas.openxmlformats.org/officeDocument/2006/relationships" r:id="rId174"/>
          <a:extLst>
            <a:ext uri="{FF2B5EF4-FFF2-40B4-BE49-F238E27FC236}">
              <a16:creationId xmlns:a16="http://schemas.microsoft.com/office/drawing/2014/main" id="{1E134357-DB9E-4447-8A05-20926C27B92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6" name="AutoShape 177" descr="USA">
          <a:hlinkClick xmlns:r="http://schemas.openxmlformats.org/officeDocument/2006/relationships" r:id="rId174"/>
          <a:extLst>
            <a:ext uri="{FF2B5EF4-FFF2-40B4-BE49-F238E27FC236}">
              <a16:creationId xmlns:a16="http://schemas.microsoft.com/office/drawing/2014/main" id="{163ECD9B-FA85-4C9E-BFB2-6322C120373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7" name="AutoShape 177" descr="USA">
          <a:hlinkClick xmlns:r="http://schemas.openxmlformats.org/officeDocument/2006/relationships" r:id="rId174"/>
          <a:extLst>
            <a:ext uri="{FF2B5EF4-FFF2-40B4-BE49-F238E27FC236}">
              <a16:creationId xmlns:a16="http://schemas.microsoft.com/office/drawing/2014/main" id="{3BBFCEFB-E58E-40AA-9591-3449E57CB7B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478" name="AutoShape 177" descr="USA">
          <a:hlinkClick xmlns:r="http://schemas.openxmlformats.org/officeDocument/2006/relationships" r:id="rId174"/>
          <a:extLst>
            <a:ext uri="{FF2B5EF4-FFF2-40B4-BE49-F238E27FC236}">
              <a16:creationId xmlns:a16="http://schemas.microsoft.com/office/drawing/2014/main" id="{498BEB59-E04E-4FA2-BB7F-DAAE13A292D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79" name="AutoShape 171" descr="USA">
          <a:hlinkClick xmlns:r="http://schemas.openxmlformats.org/officeDocument/2006/relationships" r:id="rId165"/>
          <a:extLst>
            <a:ext uri="{FF2B5EF4-FFF2-40B4-BE49-F238E27FC236}">
              <a16:creationId xmlns:a16="http://schemas.microsoft.com/office/drawing/2014/main" id="{14CE4089-7315-4156-987E-6E6D0E33698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0" name="AutoShape 177" descr="USA">
          <a:hlinkClick xmlns:r="http://schemas.openxmlformats.org/officeDocument/2006/relationships" r:id="rId174"/>
          <a:extLst>
            <a:ext uri="{FF2B5EF4-FFF2-40B4-BE49-F238E27FC236}">
              <a16:creationId xmlns:a16="http://schemas.microsoft.com/office/drawing/2014/main" id="{E867993C-E9B5-4E68-9EFC-E6AE288E07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1" name="AutoShape 177" descr="USA">
          <a:hlinkClick xmlns:r="http://schemas.openxmlformats.org/officeDocument/2006/relationships" r:id="rId174"/>
          <a:extLst>
            <a:ext uri="{FF2B5EF4-FFF2-40B4-BE49-F238E27FC236}">
              <a16:creationId xmlns:a16="http://schemas.microsoft.com/office/drawing/2014/main" id="{E23A43B1-405A-40A8-BF7D-AC0F5AC49D4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2" name="AutoShape 177" descr="USA">
          <a:hlinkClick xmlns:r="http://schemas.openxmlformats.org/officeDocument/2006/relationships" r:id="rId174"/>
          <a:extLst>
            <a:ext uri="{FF2B5EF4-FFF2-40B4-BE49-F238E27FC236}">
              <a16:creationId xmlns:a16="http://schemas.microsoft.com/office/drawing/2014/main" id="{92F544FC-0288-4A2B-BD90-DA60518FACC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3" name="AutoShape 177" descr="USA">
          <a:hlinkClick xmlns:r="http://schemas.openxmlformats.org/officeDocument/2006/relationships" r:id="rId174"/>
          <a:extLst>
            <a:ext uri="{FF2B5EF4-FFF2-40B4-BE49-F238E27FC236}">
              <a16:creationId xmlns:a16="http://schemas.microsoft.com/office/drawing/2014/main" id="{1F8B7159-B142-4F3E-846E-220A4AE3EA4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4" name="AutoShape 177" descr="USA">
          <a:hlinkClick xmlns:r="http://schemas.openxmlformats.org/officeDocument/2006/relationships" r:id="rId174"/>
          <a:extLst>
            <a:ext uri="{FF2B5EF4-FFF2-40B4-BE49-F238E27FC236}">
              <a16:creationId xmlns:a16="http://schemas.microsoft.com/office/drawing/2014/main" id="{9B6F4181-38F9-4C95-ABA8-17C20625EA6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5" name="AutoShape 177" descr="USA">
          <a:hlinkClick xmlns:r="http://schemas.openxmlformats.org/officeDocument/2006/relationships" r:id="rId174"/>
          <a:extLst>
            <a:ext uri="{FF2B5EF4-FFF2-40B4-BE49-F238E27FC236}">
              <a16:creationId xmlns:a16="http://schemas.microsoft.com/office/drawing/2014/main" id="{86C24658-9F5F-482B-A990-03FE5FC6CE8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6" name="AutoShape 177" descr="USA">
          <a:hlinkClick xmlns:r="http://schemas.openxmlformats.org/officeDocument/2006/relationships" r:id="rId174"/>
          <a:extLst>
            <a:ext uri="{FF2B5EF4-FFF2-40B4-BE49-F238E27FC236}">
              <a16:creationId xmlns:a16="http://schemas.microsoft.com/office/drawing/2014/main" id="{91195066-54B6-40C9-8249-FC6141AAD57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487" name="AutoShape 177" descr="USA">
          <a:hlinkClick xmlns:r="http://schemas.openxmlformats.org/officeDocument/2006/relationships" r:id="rId174"/>
          <a:extLst>
            <a:ext uri="{FF2B5EF4-FFF2-40B4-BE49-F238E27FC236}">
              <a16:creationId xmlns:a16="http://schemas.microsoft.com/office/drawing/2014/main" id="{5D766CC9-4649-463F-831D-310E54BF87E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8" name="AutoShape 171" descr="USA">
          <a:hlinkClick xmlns:r="http://schemas.openxmlformats.org/officeDocument/2006/relationships" r:id="rId165"/>
          <a:extLst>
            <a:ext uri="{FF2B5EF4-FFF2-40B4-BE49-F238E27FC236}">
              <a16:creationId xmlns:a16="http://schemas.microsoft.com/office/drawing/2014/main" id="{00690449-7177-43A7-98E8-8589C989114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89" name="AutoShape 177" descr="USA">
          <a:hlinkClick xmlns:r="http://schemas.openxmlformats.org/officeDocument/2006/relationships" r:id="rId174"/>
          <a:extLst>
            <a:ext uri="{FF2B5EF4-FFF2-40B4-BE49-F238E27FC236}">
              <a16:creationId xmlns:a16="http://schemas.microsoft.com/office/drawing/2014/main" id="{1E4988F2-7F5E-4435-A8A7-B18B33548D4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0" name="AutoShape 177" descr="USA">
          <a:hlinkClick xmlns:r="http://schemas.openxmlformats.org/officeDocument/2006/relationships" r:id="rId174"/>
          <a:extLst>
            <a:ext uri="{FF2B5EF4-FFF2-40B4-BE49-F238E27FC236}">
              <a16:creationId xmlns:a16="http://schemas.microsoft.com/office/drawing/2014/main" id="{8EACB6A5-18B3-42A3-8BB5-CE9CC5707B0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1" name="AutoShape 177" descr="USA">
          <a:hlinkClick xmlns:r="http://schemas.openxmlformats.org/officeDocument/2006/relationships" r:id="rId174"/>
          <a:extLst>
            <a:ext uri="{FF2B5EF4-FFF2-40B4-BE49-F238E27FC236}">
              <a16:creationId xmlns:a16="http://schemas.microsoft.com/office/drawing/2014/main" id="{7B6BB464-6DC0-4DF8-B339-EE74068D31A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2" name="AutoShape 177" descr="USA">
          <a:hlinkClick xmlns:r="http://schemas.openxmlformats.org/officeDocument/2006/relationships" r:id="rId174"/>
          <a:extLst>
            <a:ext uri="{FF2B5EF4-FFF2-40B4-BE49-F238E27FC236}">
              <a16:creationId xmlns:a16="http://schemas.microsoft.com/office/drawing/2014/main" id="{ED9D9E40-3A8B-4807-ADEB-A3B0CDE1551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3" name="AutoShape 177" descr="USA">
          <a:hlinkClick xmlns:r="http://schemas.openxmlformats.org/officeDocument/2006/relationships" r:id="rId174"/>
          <a:extLst>
            <a:ext uri="{FF2B5EF4-FFF2-40B4-BE49-F238E27FC236}">
              <a16:creationId xmlns:a16="http://schemas.microsoft.com/office/drawing/2014/main" id="{B1D1187D-D762-4D72-A2A6-AE54A436596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4" name="AutoShape 177" descr="USA">
          <a:hlinkClick xmlns:r="http://schemas.openxmlformats.org/officeDocument/2006/relationships" r:id="rId174"/>
          <a:extLst>
            <a:ext uri="{FF2B5EF4-FFF2-40B4-BE49-F238E27FC236}">
              <a16:creationId xmlns:a16="http://schemas.microsoft.com/office/drawing/2014/main" id="{28617FF8-0BBE-4D68-B4E4-830BF82A9BD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5" name="AutoShape 177" descr="USA">
          <a:hlinkClick xmlns:r="http://schemas.openxmlformats.org/officeDocument/2006/relationships" r:id="rId174"/>
          <a:extLst>
            <a:ext uri="{FF2B5EF4-FFF2-40B4-BE49-F238E27FC236}">
              <a16:creationId xmlns:a16="http://schemas.microsoft.com/office/drawing/2014/main" id="{60D1FEDB-6C09-4F0F-ADB0-6699E88FDDC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496" name="AutoShape 177" descr="USA">
          <a:hlinkClick xmlns:r="http://schemas.openxmlformats.org/officeDocument/2006/relationships" r:id="rId174"/>
          <a:extLst>
            <a:ext uri="{FF2B5EF4-FFF2-40B4-BE49-F238E27FC236}">
              <a16:creationId xmlns:a16="http://schemas.microsoft.com/office/drawing/2014/main" id="{C7E9D70A-3A0F-4298-B30A-25DDE9C5F1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7" name="AutoShape 171" descr="USA">
          <a:hlinkClick xmlns:r="http://schemas.openxmlformats.org/officeDocument/2006/relationships" r:id="rId165"/>
          <a:extLst>
            <a:ext uri="{FF2B5EF4-FFF2-40B4-BE49-F238E27FC236}">
              <a16:creationId xmlns:a16="http://schemas.microsoft.com/office/drawing/2014/main" id="{1E2E60FD-4316-4DAA-A2EB-0C7D69976A0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8" name="AutoShape 177" descr="USA">
          <a:hlinkClick xmlns:r="http://schemas.openxmlformats.org/officeDocument/2006/relationships" r:id="rId174"/>
          <a:extLst>
            <a:ext uri="{FF2B5EF4-FFF2-40B4-BE49-F238E27FC236}">
              <a16:creationId xmlns:a16="http://schemas.microsoft.com/office/drawing/2014/main" id="{4A6C155C-625B-487D-827D-66944B7C7FB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499" name="AutoShape 177" descr="USA">
          <a:hlinkClick xmlns:r="http://schemas.openxmlformats.org/officeDocument/2006/relationships" r:id="rId174"/>
          <a:extLst>
            <a:ext uri="{FF2B5EF4-FFF2-40B4-BE49-F238E27FC236}">
              <a16:creationId xmlns:a16="http://schemas.microsoft.com/office/drawing/2014/main" id="{B2515309-D0FE-4F03-92FE-61BBF94137E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0" name="AutoShape 177" descr="USA">
          <a:hlinkClick xmlns:r="http://schemas.openxmlformats.org/officeDocument/2006/relationships" r:id="rId174"/>
          <a:extLst>
            <a:ext uri="{FF2B5EF4-FFF2-40B4-BE49-F238E27FC236}">
              <a16:creationId xmlns:a16="http://schemas.microsoft.com/office/drawing/2014/main" id="{02C9BAD6-1CB6-411A-A58B-AA6D6084DD4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1" name="AutoShape 177" descr="USA">
          <a:hlinkClick xmlns:r="http://schemas.openxmlformats.org/officeDocument/2006/relationships" r:id="rId174"/>
          <a:extLst>
            <a:ext uri="{FF2B5EF4-FFF2-40B4-BE49-F238E27FC236}">
              <a16:creationId xmlns:a16="http://schemas.microsoft.com/office/drawing/2014/main" id="{9589820D-B309-47C7-9B00-BB602077510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2" name="AutoShape 177" descr="USA">
          <a:hlinkClick xmlns:r="http://schemas.openxmlformats.org/officeDocument/2006/relationships" r:id="rId174"/>
          <a:extLst>
            <a:ext uri="{FF2B5EF4-FFF2-40B4-BE49-F238E27FC236}">
              <a16:creationId xmlns:a16="http://schemas.microsoft.com/office/drawing/2014/main" id="{7B45519B-4423-45DD-BA23-BFD3810EC2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3" name="AutoShape 177" descr="USA">
          <a:hlinkClick xmlns:r="http://schemas.openxmlformats.org/officeDocument/2006/relationships" r:id="rId174"/>
          <a:extLst>
            <a:ext uri="{FF2B5EF4-FFF2-40B4-BE49-F238E27FC236}">
              <a16:creationId xmlns:a16="http://schemas.microsoft.com/office/drawing/2014/main" id="{E1C829B1-9E36-4F03-AD74-DEE4220D17D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4" name="AutoShape 177" descr="USA">
          <a:hlinkClick xmlns:r="http://schemas.openxmlformats.org/officeDocument/2006/relationships" r:id="rId174"/>
          <a:extLst>
            <a:ext uri="{FF2B5EF4-FFF2-40B4-BE49-F238E27FC236}">
              <a16:creationId xmlns:a16="http://schemas.microsoft.com/office/drawing/2014/main" id="{307CCFDD-E82C-48DA-99FA-E5657CE1D6D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05" name="AutoShape 177" descr="USA">
          <a:hlinkClick xmlns:r="http://schemas.openxmlformats.org/officeDocument/2006/relationships" r:id="rId174"/>
          <a:extLst>
            <a:ext uri="{FF2B5EF4-FFF2-40B4-BE49-F238E27FC236}">
              <a16:creationId xmlns:a16="http://schemas.microsoft.com/office/drawing/2014/main" id="{B6E1BFD1-CFF8-4C82-A045-E9962BC1D01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6" name="AutoShape 171" descr="USA">
          <a:hlinkClick xmlns:r="http://schemas.openxmlformats.org/officeDocument/2006/relationships" r:id="rId165"/>
          <a:extLst>
            <a:ext uri="{FF2B5EF4-FFF2-40B4-BE49-F238E27FC236}">
              <a16:creationId xmlns:a16="http://schemas.microsoft.com/office/drawing/2014/main" id="{E21DA31E-57AE-41CF-9FAF-CF0073EE66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7" name="AutoShape 177" descr="USA">
          <a:hlinkClick xmlns:r="http://schemas.openxmlformats.org/officeDocument/2006/relationships" r:id="rId174"/>
          <a:extLst>
            <a:ext uri="{FF2B5EF4-FFF2-40B4-BE49-F238E27FC236}">
              <a16:creationId xmlns:a16="http://schemas.microsoft.com/office/drawing/2014/main" id="{37E0ED9A-A08A-4812-BABE-17B47438AE3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8" name="AutoShape 177" descr="USA">
          <a:hlinkClick xmlns:r="http://schemas.openxmlformats.org/officeDocument/2006/relationships" r:id="rId174"/>
          <a:extLst>
            <a:ext uri="{FF2B5EF4-FFF2-40B4-BE49-F238E27FC236}">
              <a16:creationId xmlns:a16="http://schemas.microsoft.com/office/drawing/2014/main" id="{BA811C08-8923-4D57-A1FE-D257E69515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09" name="AutoShape 177" descr="USA">
          <a:hlinkClick xmlns:r="http://schemas.openxmlformats.org/officeDocument/2006/relationships" r:id="rId174"/>
          <a:extLst>
            <a:ext uri="{FF2B5EF4-FFF2-40B4-BE49-F238E27FC236}">
              <a16:creationId xmlns:a16="http://schemas.microsoft.com/office/drawing/2014/main" id="{C41F9491-8B96-4D33-9C3D-1C57EF1E5A0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0" name="AutoShape 177" descr="USA">
          <a:hlinkClick xmlns:r="http://schemas.openxmlformats.org/officeDocument/2006/relationships" r:id="rId174"/>
          <a:extLst>
            <a:ext uri="{FF2B5EF4-FFF2-40B4-BE49-F238E27FC236}">
              <a16:creationId xmlns:a16="http://schemas.microsoft.com/office/drawing/2014/main" id="{5B57F038-B603-479A-94DA-D8AD34D138B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1" name="AutoShape 177" descr="USA">
          <a:hlinkClick xmlns:r="http://schemas.openxmlformats.org/officeDocument/2006/relationships" r:id="rId174"/>
          <a:extLst>
            <a:ext uri="{FF2B5EF4-FFF2-40B4-BE49-F238E27FC236}">
              <a16:creationId xmlns:a16="http://schemas.microsoft.com/office/drawing/2014/main" id="{EC532273-1096-4122-9AA3-D67F0ECA723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2" name="AutoShape 177" descr="USA">
          <a:hlinkClick xmlns:r="http://schemas.openxmlformats.org/officeDocument/2006/relationships" r:id="rId174"/>
          <a:extLst>
            <a:ext uri="{FF2B5EF4-FFF2-40B4-BE49-F238E27FC236}">
              <a16:creationId xmlns:a16="http://schemas.microsoft.com/office/drawing/2014/main" id="{9AD4C69E-4E98-4C46-9001-2AF3BA36D4C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3" name="AutoShape 177" descr="USA">
          <a:hlinkClick xmlns:r="http://schemas.openxmlformats.org/officeDocument/2006/relationships" r:id="rId174"/>
          <a:extLst>
            <a:ext uri="{FF2B5EF4-FFF2-40B4-BE49-F238E27FC236}">
              <a16:creationId xmlns:a16="http://schemas.microsoft.com/office/drawing/2014/main" id="{365873B8-EA37-40F0-B3A6-295FDAD3BE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14" name="AutoShape 177" descr="USA">
          <a:hlinkClick xmlns:r="http://schemas.openxmlformats.org/officeDocument/2006/relationships" r:id="rId174"/>
          <a:extLst>
            <a:ext uri="{FF2B5EF4-FFF2-40B4-BE49-F238E27FC236}">
              <a16:creationId xmlns:a16="http://schemas.microsoft.com/office/drawing/2014/main" id="{0A3CE2D4-AFE6-44C9-A5E6-3FB107AFA77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5" name="AutoShape 171" descr="USA">
          <a:hlinkClick xmlns:r="http://schemas.openxmlformats.org/officeDocument/2006/relationships" r:id="rId165"/>
          <a:extLst>
            <a:ext uri="{FF2B5EF4-FFF2-40B4-BE49-F238E27FC236}">
              <a16:creationId xmlns:a16="http://schemas.microsoft.com/office/drawing/2014/main" id="{22710A62-9089-4539-B519-F5B3E5D5455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6" name="AutoShape 177" descr="USA">
          <a:hlinkClick xmlns:r="http://schemas.openxmlformats.org/officeDocument/2006/relationships" r:id="rId174"/>
          <a:extLst>
            <a:ext uri="{FF2B5EF4-FFF2-40B4-BE49-F238E27FC236}">
              <a16:creationId xmlns:a16="http://schemas.microsoft.com/office/drawing/2014/main" id="{F5A2F10D-4CE4-4B34-9EF4-1064DAA81C5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7" name="AutoShape 177" descr="USA">
          <a:hlinkClick xmlns:r="http://schemas.openxmlformats.org/officeDocument/2006/relationships" r:id="rId174"/>
          <a:extLst>
            <a:ext uri="{FF2B5EF4-FFF2-40B4-BE49-F238E27FC236}">
              <a16:creationId xmlns:a16="http://schemas.microsoft.com/office/drawing/2014/main" id="{C4C4DDBE-9042-4E69-ADE1-574024A9AD9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8" name="AutoShape 177" descr="USA">
          <a:hlinkClick xmlns:r="http://schemas.openxmlformats.org/officeDocument/2006/relationships" r:id="rId174"/>
          <a:extLst>
            <a:ext uri="{FF2B5EF4-FFF2-40B4-BE49-F238E27FC236}">
              <a16:creationId xmlns:a16="http://schemas.microsoft.com/office/drawing/2014/main" id="{92D032F7-E6C2-4AF1-A587-B68D445D8CC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19" name="AutoShape 177" descr="USA">
          <a:hlinkClick xmlns:r="http://schemas.openxmlformats.org/officeDocument/2006/relationships" r:id="rId174"/>
          <a:extLst>
            <a:ext uri="{FF2B5EF4-FFF2-40B4-BE49-F238E27FC236}">
              <a16:creationId xmlns:a16="http://schemas.microsoft.com/office/drawing/2014/main" id="{52423E17-9802-4BAE-A6F6-CCF9D299D0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0" name="AutoShape 177" descr="USA">
          <a:hlinkClick xmlns:r="http://schemas.openxmlformats.org/officeDocument/2006/relationships" r:id="rId174"/>
          <a:extLst>
            <a:ext uri="{FF2B5EF4-FFF2-40B4-BE49-F238E27FC236}">
              <a16:creationId xmlns:a16="http://schemas.microsoft.com/office/drawing/2014/main" id="{88D41695-2786-46E2-9B63-738C5173912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1" name="AutoShape 177" descr="USA">
          <a:hlinkClick xmlns:r="http://schemas.openxmlformats.org/officeDocument/2006/relationships" r:id="rId174"/>
          <a:extLst>
            <a:ext uri="{FF2B5EF4-FFF2-40B4-BE49-F238E27FC236}">
              <a16:creationId xmlns:a16="http://schemas.microsoft.com/office/drawing/2014/main" id="{2F71FA94-349A-4839-A351-3CA83AAE1A6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2" name="AutoShape 177" descr="USA">
          <a:hlinkClick xmlns:r="http://schemas.openxmlformats.org/officeDocument/2006/relationships" r:id="rId174"/>
          <a:extLst>
            <a:ext uri="{FF2B5EF4-FFF2-40B4-BE49-F238E27FC236}">
              <a16:creationId xmlns:a16="http://schemas.microsoft.com/office/drawing/2014/main" id="{3827D032-7FCC-40A0-AEFB-A34CA51DAB6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23" name="AutoShape 177" descr="USA">
          <a:hlinkClick xmlns:r="http://schemas.openxmlformats.org/officeDocument/2006/relationships" r:id="rId174"/>
          <a:extLst>
            <a:ext uri="{FF2B5EF4-FFF2-40B4-BE49-F238E27FC236}">
              <a16:creationId xmlns:a16="http://schemas.microsoft.com/office/drawing/2014/main" id="{AB1628AC-F391-4D97-82E1-66CCDB34B1F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4" name="AutoShape 171" descr="USA">
          <a:hlinkClick xmlns:r="http://schemas.openxmlformats.org/officeDocument/2006/relationships" r:id="rId165"/>
          <a:extLst>
            <a:ext uri="{FF2B5EF4-FFF2-40B4-BE49-F238E27FC236}">
              <a16:creationId xmlns:a16="http://schemas.microsoft.com/office/drawing/2014/main" id="{A307ED64-4C63-480B-A52E-A60CD02C495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5" name="AutoShape 177" descr="USA">
          <a:hlinkClick xmlns:r="http://schemas.openxmlformats.org/officeDocument/2006/relationships" r:id="rId174"/>
          <a:extLst>
            <a:ext uri="{FF2B5EF4-FFF2-40B4-BE49-F238E27FC236}">
              <a16:creationId xmlns:a16="http://schemas.microsoft.com/office/drawing/2014/main" id="{34EB3BBA-B112-4DC8-A5A9-66A504E6B62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6" name="AutoShape 177" descr="USA">
          <a:hlinkClick xmlns:r="http://schemas.openxmlformats.org/officeDocument/2006/relationships" r:id="rId174"/>
          <a:extLst>
            <a:ext uri="{FF2B5EF4-FFF2-40B4-BE49-F238E27FC236}">
              <a16:creationId xmlns:a16="http://schemas.microsoft.com/office/drawing/2014/main" id="{B16127CA-FDF2-4BCF-AA57-0CCC892692B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7" name="AutoShape 177" descr="USA">
          <a:hlinkClick xmlns:r="http://schemas.openxmlformats.org/officeDocument/2006/relationships" r:id="rId174"/>
          <a:extLst>
            <a:ext uri="{FF2B5EF4-FFF2-40B4-BE49-F238E27FC236}">
              <a16:creationId xmlns:a16="http://schemas.microsoft.com/office/drawing/2014/main" id="{6FD445C2-91D9-4B5C-BCC8-B832633AD16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8" name="AutoShape 177" descr="USA">
          <a:hlinkClick xmlns:r="http://schemas.openxmlformats.org/officeDocument/2006/relationships" r:id="rId174"/>
          <a:extLst>
            <a:ext uri="{FF2B5EF4-FFF2-40B4-BE49-F238E27FC236}">
              <a16:creationId xmlns:a16="http://schemas.microsoft.com/office/drawing/2014/main" id="{E0FF654D-02D0-415F-B422-82D65649640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29" name="AutoShape 177" descr="USA">
          <a:hlinkClick xmlns:r="http://schemas.openxmlformats.org/officeDocument/2006/relationships" r:id="rId174"/>
          <a:extLst>
            <a:ext uri="{FF2B5EF4-FFF2-40B4-BE49-F238E27FC236}">
              <a16:creationId xmlns:a16="http://schemas.microsoft.com/office/drawing/2014/main" id="{ECA1A9B8-7AD3-4C4F-ACFE-0D6C76F3B70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0" name="AutoShape 177" descr="USA">
          <a:hlinkClick xmlns:r="http://schemas.openxmlformats.org/officeDocument/2006/relationships" r:id="rId174"/>
          <a:extLst>
            <a:ext uri="{FF2B5EF4-FFF2-40B4-BE49-F238E27FC236}">
              <a16:creationId xmlns:a16="http://schemas.microsoft.com/office/drawing/2014/main" id="{898106A9-8190-4E4D-BF81-55C97FFD40C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1" name="AutoShape 177" descr="USA">
          <a:hlinkClick xmlns:r="http://schemas.openxmlformats.org/officeDocument/2006/relationships" r:id="rId174"/>
          <a:extLst>
            <a:ext uri="{FF2B5EF4-FFF2-40B4-BE49-F238E27FC236}">
              <a16:creationId xmlns:a16="http://schemas.microsoft.com/office/drawing/2014/main" id="{27043B39-5F9F-4BD5-A542-E3CEB3AC921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32" name="AutoShape 177" descr="USA">
          <a:hlinkClick xmlns:r="http://schemas.openxmlformats.org/officeDocument/2006/relationships" r:id="rId174"/>
          <a:extLst>
            <a:ext uri="{FF2B5EF4-FFF2-40B4-BE49-F238E27FC236}">
              <a16:creationId xmlns:a16="http://schemas.microsoft.com/office/drawing/2014/main" id="{5C0651FA-6E24-4A7E-AAB8-302994CC400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3" name="AutoShape 171" descr="USA">
          <a:hlinkClick xmlns:r="http://schemas.openxmlformats.org/officeDocument/2006/relationships" r:id="rId165"/>
          <a:extLst>
            <a:ext uri="{FF2B5EF4-FFF2-40B4-BE49-F238E27FC236}">
              <a16:creationId xmlns:a16="http://schemas.microsoft.com/office/drawing/2014/main" id="{C8F78BD5-E508-4C05-9DE4-C08A45F9C0B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xdr:row>
      <xdr:rowOff>0</xdr:rowOff>
    </xdr:from>
    <xdr:ext cx="304800" cy="317500"/>
    <xdr:sp macro="" textlink="">
      <xdr:nvSpPr>
        <xdr:cNvPr id="534" name="AutoShape 177" descr="USA">
          <a:hlinkClick xmlns:r="http://schemas.openxmlformats.org/officeDocument/2006/relationships" r:id="rId174"/>
          <a:extLst>
            <a:ext uri="{FF2B5EF4-FFF2-40B4-BE49-F238E27FC236}">
              <a16:creationId xmlns:a16="http://schemas.microsoft.com/office/drawing/2014/main" id="{626BB716-413C-4482-AD7D-41B4D017756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9</xdr:col>
      <xdr:colOff>133350</xdr:colOff>
      <xdr:row>0</xdr:row>
      <xdr:rowOff>66675</xdr:rowOff>
    </xdr:from>
    <xdr:ext cx="304800" cy="317500"/>
    <xdr:sp macro="" textlink="">
      <xdr:nvSpPr>
        <xdr:cNvPr id="539" name="AutoShape 177" descr="USA">
          <a:extLst>
            <a:ext uri="{FF2B5EF4-FFF2-40B4-BE49-F238E27FC236}">
              <a16:creationId xmlns:a16="http://schemas.microsoft.com/office/drawing/2014/main" id="{F6AC361E-0820-488E-8187-B43E04FD0114}"/>
            </a:ext>
          </a:extLst>
        </xdr:cNvPr>
        <xdr:cNvSpPr>
          <a:spLocks noChangeAspect="1" noChangeArrowheads="1"/>
        </xdr:cNvSpPr>
      </xdr:nvSpPr>
      <xdr:spPr bwMode="auto">
        <a:xfrm>
          <a:off x="6562725" y="666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41" name="AutoShape 177" descr="USA">
          <a:hlinkClick xmlns:r="http://schemas.openxmlformats.org/officeDocument/2006/relationships" r:id="rId174"/>
          <a:extLst>
            <a:ext uri="{FF2B5EF4-FFF2-40B4-BE49-F238E27FC236}">
              <a16:creationId xmlns:a16="http://schemas.microsoft.com/office/drawing/2014/main" id="{6BDAD323-7D4F-4AEA-AADF-C3F35AAF281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2" name="AutoShape 171" descr="USA">
          <a:hlinkClick xmlns:r="http://schemas.openxmlformats.org/officeDocument/2006/relationships" r:id="rId165"/>
          <a:extLst>
            <a:ext uri="{FF2B5EF4-FFF2-40B4-BE49-F238E27FC236}">
              <a16:creationId xmlns:a16="http://schemas.microsoft.com/office/drawing/2014/main" id="{08F8A2B2-08D7-46E9-95B8-DB2885ED5B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3" name="AutoShape 177" descr="USA">
          <a:hlinkClick xmlns:r="http://schemas.openxmlformats.org/officeDocument/2006/relationships" r:id="rId174"/>
          <a:extLst>
            <a:ext uri="{FF2B5EF4-FFF2-40B4-BE49-F238E27FC236}">
              <a16:creationId xmlns:a16="http://schemas.microsoft.com/office/drawing/2014/main" id="{C205F2EF-D339-4199-AC1A-F195EDC2C68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4" name="AutoShape 177" descr="USA">
          <a:hlinkClick xmlns:r="http://schemas.openxmlformats.org/officeDocument/2006/relationships" r:id="rId174"/>
          <a:extLst>
            <a:ext uri="{FF2B5EF4-FFF2-40B4-BE49-F238E27FC236}">
              <a16:creationId xmlns:a16="http://schemas.microsoft.com/office/drawing/2014/main" id="{5C683C88-559B-47B7-ADC8-117B61566BC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5" name="AutoShape 177" descr="USA">
          <a:hlinkClick xmlns:r="http://schemas.openxmlformats.org/officeDocument/2006/relationships" r:id="rId174"/>
          <a:extLst>
            <a:ext uri="{FF2B5EF4-FFF2-40B4-BE49-F238E27FC236}">
              <a16:creationId xmlns:a16="http://schemas.microsoft.com/office/drawing/2014/main" id="{C7B3D164-2152-4889-BA72-77F8E6955E6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6" name="AutoShape 177" descr="USA">
          <a:hlinkClick xmlns:r="http://schemas.openxmlformats.org/officeDocument/2006/relationships" r:id="rId174"/>
          <a:extLst>
            <a:ext uri="{FF2B5EF4-FFF2-40B4-BE49-F238E27FC236}">
              <a16:creationId xmlns:a16="http://schemas.microsoft.com/office/drawing/2014/main" id="{E43AB1A9-1881-49CD-B7ED-06A92A0C656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xdr:row>
      <xdr:rowOff>0</xdr:rowOff>
    </xdr:from>
    <xdr:ext cx="304800" cy="317500"/>
    <xdr:sp macro="" textlink="">
      <xdr:nvSpPr>
        <xdr:cNvPr id="547" name="AutoShape 177" descr="USA">
          <a:hlinkClick xmlns:r="http://schemas.openxmlformats.org/officeDocument/2006/relationships" r:id="rId174"/>
          <a:extLst>
            <a:ext uri="{FF2B5EF4-FFF2-40B4-BE49-F238E27FC236}">
              <a16:creationId xmlns:a16="http://schemas.microsoft.com/office/drawing/2014/main" id="{2556166D-D500-4D93-B47C-FF09917AD9D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50" name="AutoShape 177" descr="USA">
          <a:hlinkClick xmlns:r="http://schemas.openxmlformats.org/officeDocument/2006/relationships" r:id="rId174"/>
          <a:extLst>
            <a:ext uri="{FF2B5EF4-FFF2-40B4-BE49-F238E27FC236}">
              <a16:creationId xmlns:a16="http://schemas.microsoft.com/office/drawing/2014/main" id="{66D797F5-7201-4E36-A0A0-8CBF4C1B9A4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1" name="AutoShape 171" descr="USA">
          <a:hlinkClick xmlns:r="http://schemas.openxmlformats.org/officeDocument/2006/relationships" r:id="rId165"/>
          <a:extLst>
            <a:ext uri="{FF2B5EF4-FFF2-40B4-BE49-F238E27FC236}">
              <a16:creationId xmlns:a16="http://schemas.microsoft.com/office/drawing/2014/main" id="{02F55D2F-8FF0-46FF-83C7-55CFF45D400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2" name="AutoShape 177" descr="USA">
          <a:hlinkClick xmlns:r="http://schemas.openxmlformats.org/officeDocument/2006/relationships" r:id="rId174"/>
          <a:extLst>
            <a:ext uri="{FF2B5EF4-FFF2-40B4-BE49-F238E27FC236}">
              <a16:creationId xmlns:a16="http://schemas.microsoft.com/office/drawing/2014/main" id="{15F256A4-0A6B-4ED6-93BE-EBB6B6844A5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3" name="AutoShape 177" descr="USA">
          <a:hlinkClick xmlns:r="http://schemas.openxmlformats.org/officeDocument/2006/relationships" r:id="rId174"/>
          <a:extLst>
            <a:ext uri="{FF2B5EF4-FFF2-40B4-BE49-F238E27FC236}">
              <a16:creationId xmlns:a16="http://schemas.microsoft.com/office/drawing/2014/main" id="{7C770A2C-0D34-4F62-A548-4C60DDA55B0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4" name="AutoShape 177" descr="USA">
          <a:hlinkClick xmlns:r="http://schemas.openxmlformats.org/officeDocument/2006/relationships" r:id="rId174"/>
          <a:extLst>
            <a:ext uri="{FF2B5EF4-FFF2-40B4-BE49-F238E27FC236}">
              <a16:creationId xmlns:a16="http://schemas.microsoft.com/office/drawing/2014/main" id="{98C64B99-818A-4C0F-A71F-E0188A22643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5" name="AutoShape 177" descr="USA">
          <a:hlinkClick xmlns:r="http://schemas.openxmlformats.org/officeDocument/2006/relationships" r:id="rId174"/>
          <a:extLst>
            <a:ext uri="{FF2B5EF4-FFF2-40B4-BE49-F238E27FC236}">
              <a16:creationId xmlns:a16="http://schemas.microsoft.com/office/drawing/2014/main" id="{314FFEAE-F9C0-47D0-A0E9-14AFF397875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6" name="AutoShape 177" descr="USA">
          <a:hlinkClick xmlns:r="http://schemas.openxmlformats.org/officeDocument/2006/relationships" r:id="rId174"/>
          <a:extLst>
            <a:ext uri="{FF2B5EF4-FFF2-40B4-BE49-F238E27FC236}">
              <a16:creationId xmlns:a16="http://schemas.microsoft.com/office/drawing/2014/main" id="{8FA23110-DC46-40E5-B29F-7A2491A765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7" name="AutoShape 177" descr="USA">
          <a:hlinkClick xmlns:r="http://schemas.openxmlformats.org/officeDocument/2006/relationships" r:id="rId174"/>
          <a:extLst>
            <a:ext uri="{FF2B5EF4-FFF2-40B4-BE49-F238E27FC236}">
              <a16:creationId xmlns:a16="http://schemas.microsoft.com/office/drawing/2014/main" id="{7413E0F0-3D9B-4651-A098-F1E1DFF4F3B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xdr:row>
      <xdr:rowOff>0</xdr:rowOff>
    </xdr:from>
    <xdr:ext cx="304800" cy="317500"/>
    <xdr:sp macro="" textlink="">
      <xdr:nvSpPr>
        <xdr:cNvPr id="558" name="AutoShape 177" descr="USA">
          <a:hlinkClick xmlns:r="http://schemas.openxmlformats.org/officeDocument/2006/relationships" r:id="rId174"/>
          <a:extLst>
            <a:ext uri="{FF2B5EF4-FFF2-40B4-BE49-F238E27FC236}">
              <a16:creationId xmlns:a16="http://schemas.microsoft.com/office/drawing/2014/main" id="{18EFD7AD-B965-473B-A2B3-42A19F9C169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59" name="AutoShape 177" descr="USA">
          <a:hlinkClick xmlns:r="http://schemas.openxmlformats.org/officeDocument/2006/relationships" r:id="rId174"/>
          <a:extLst>
            <a:ext uri="{FF2B5EF4-FFF2-40B4-BE49-F238E27FC236}">
              <a16:creationId xmlns:a16="http://schemas.microsoft.com/office/drawing/2014/main" id="{D51478C8-F909-466E-A3E0-94CE380B765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0" name="AutoShape 171" descr="USA">
          <a:hlinkClick xmlns:r="http://schemas.openxmlformats.org/officeDocument/2006/relationships" r:id="rId165"/>
          <a:extLst>
            <a:ext uri="{FF2B5EF4-FFF2-40B4-BE49-F238E27FC236}">
              <a16:creationId xmlns:a16="http://schemas.microsoft.com/office/drawing/2014/main" id="{95A45612-AFD2-478F-90BD-7228F7D74F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1" name="AutoShape 177" descr="USA">
          <a:hlinkClick xmlns:r="http://schemas.openxmlformats.org/officeDocument/2006/relationships" r:id="rId174"/>
          <a:extLst>
            <a:ext uri="{FF2B5EF4-FFF2-40B4-BE49-F238E27FC236}">
              <a16:creationId xmlns:a16="http://schemas.microsoft.com/office/drawing/2014/main" id="{D2977939-2F36-4786-83EF-700F95D6C83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2" name="AutoShape 177" descr="USA">
          <a:hlinkClick xmlns:r="http://schemas.openxmlformats.org/officeDocument/2006/relationships" r:id="rId174"/>
          <a:extLst>
            <a:ext uri="{FF2B5EF4-FFF2-40B4-BE49-F238E27FC236}">
              <a16:creationId xmlns:a16="http://schemas.microsoft.com/office/drawing/2014/main" id="{9B85C55D-C3CF-4BF8-A8F0-7322D8BE58C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3" name="AutoShape 177" descr="USA">
          <a:hlinkClick xmlns:r="http://schemas.openxmlformats.org/officeDocument/2006/relationships" r:id="rId174"/>
          <a:extLst>
            <a:ext uri="{FF2B5EF4-FFF2-40B4-BE49-F238E27FC236}">
              <a16:creationId xmlns:a16="http://schemas.microsoft.com/office/drawing/2014/main" id="{C87A2379-8E1F-4A8A-8D23-D491943A04D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4" name="AutoShape 177" descr="USA">
          <a:hlinkClick xmlns:r="http://schemas.openxmlformats.org/officeDocument/2006/relationships" r:id="rId174"/>
          <a:extLst>
            <a:ext uri="{FF2B5EF4-FFF2-40B4-BE49-F238E27FC236}">
              <a16:creationId xmlns:a16="http://schemas.microsoft.com/office/drawing/2014/main" id="{2EA953E5-C599-4131-A479-11B152FD391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5" name="AutoShape 177" descr="USA">
          <a:hlinkClick xmlns:r="http://schemas.openxmlformats.org/officeDocument/2006/relationships" r:id="rId174"/>
          <a:extLst>
            <a:ext uri="{FF2B5EF4-FFF2-40B4-BE49-F238E27FC236}">
              <a16:creationId xmlns:a16="http://schemas.microsoft.com/office/drawing/2014/main" id="{DF99E1B7-4C2C-4E12-9E40-DDF594BEB46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6" name="AutoShape 177" descr="USA">
          <a:hlinkClick xmlns:r="http://schemas.openxmlformats.org/officeDocument/2006/relationships" r:id="rId174"/>
          <a:extLst>
            <a:ext uri="{FF2B5EF4-FFF2-40B4-BE49-F238E27FC236}">
              <a16:creationId xmlns:a16="http://schemas.microsoft.com/office/drawing/2014/main" id="{B4578AD9-D8CE-448B-9126-5F07B6CBCDC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xdr:row>
      <xdr:rowOff>0</xdr:rowOff>
    </xdr:from>
    <xdr:ext cx="304800" cy="317500"/>
    <xdr:sp macro="" textlink="">
      <xdr:nvSpPr>
        <xdr:cNvPr id="567" name="AutoShape 177" descr="USA">
          <a:hlinkClick xmlns:r="http://schemas.openxmlformats.org/officeDocument/2006/relationships" r:id="rId174"/>
          <a:extLst>
            <a:ext uri="{FF2B5EF4-FFF2-40B4-BE49-F238E27FC236}">
              <a16:creationId xmlns:a16="http://schemas.microsoft.com/office/drawing/2014/main" id="{8983BFDE-10F5-43DD-968D-D3D95833FEF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68" name="AutoShape 177" descr="USA">
          <a:hlinkClick xmlns:r="http://schemas.openxmlformats.org/officeDocument/2006/relationships" r:id="rId174"/>
          <a:extLst>
            <a:ext uri="{FF2B5EF4-FFF2-40B4-BE49-F238E27FC236}">
              <a16:creationId xmlns:a16="http://schemas.microsoft.com/office/drawing/2014/main" id="{2941C6A2-DB7D-4E9B-8254-75263D81C84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69" name="AutoShape 171" descr="USA">
          <a:hlinkClick xmlns:r="http://schemas.openxmlformats.org/officeDocument/2006/relationships" r:id="rId165"/>
          <a:extLst>
            <a:ext uri="{FF2B5EF4-FFF2-40B4-BE49-F238E27FC236}">
              <a16:creationId xmlns:a16="http://schemas.microsoft.com/office/drawing/2014/main" id="{4C69291B-ED5D-4D95-BC5A-6B6BAB0B161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0" name="AutoShape 177" descr="USA">
          <a:hlinkClick xmlns:r="http://schemas.openxmlformats.org/officeDocument/2006/relationships" r:id="rId174"/>
          <a:extLst>
            <a:ext uri="{FF2B5EF4-FFF2-40B4-BE49-F238E27FC236}">
              <a16:creationId xmlns:a16="http://schemas.microsoft.com/office/drawing/2014/main" id="{975811C7-9B6A-4048-9D0F-FB15FD388AC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1" name="AutoShape 177" descr="USA">
          <a:hlinkClick xmlns:r="http://schemas.openxmlformats.org/officeDocument/2006/relationships" r:id="rId174"/>
          <a:extLst>
            <a:ext uri="{FF2B5EF4-FFF2-40B4-BE49-F238E27FC236}">
              <a16:creationId xmlns:a16="http://schemas.microsoft.com/office/drawing/2014/main" id="{B73F48B8-25D8-4957-AE9A-45A0B5AD5DE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2" name="AutoShape 177" descr="USA">
          <a:hlinkClick xmlns:r="http://schemas.openxmlformats.org/officeDocument/2006/relationships" r:id="rId174"/>
          <a:extLst>
            <a:ext uri="{FF2B5EF4-FFF2-40B4-BE49-F238E27FC236}">
              <a16:creationId xmlns:a16="http://schemas.microsoft.com/office/drawing/2014/main" id="{945429E6-D3BD-4D66-8C43-A91FCA7F8DD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3" name="AutoShape 177" descr="USA">
          <a:hlinkClick xmlns:r="http://schemas.openxmlformats.org/officeDocument/2006/relationships" r:id="rId174"/>
          <a:extLst>
            <a:ext uri="{FF2B5EF4-FFF2-40B4-BE49-F238E27FC236}">
              <a16:creationId xmlns:a16="http://schemas.microsoft.com/office/drawing/2014/main" id="{0B885660-2298-4432-BA34-26F363844A4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4" name="AutoShape 177" descr="USA">
          <a:hlinkClick xmlns:r="http://schemas.openxmlformats.org/officeDocument/2006/relationships" r:id="rId174"/>
          <a:extLst>
            <a:ext uri="{FF2B5EF4-FFF2-40B4-BE49-F238E27FC236}">
              <a16:creationId xmlns:a16="http://schemas.microsoft.com/office/drawing/2014/main" id="{B8E3A929-B8AA-4C79-8383-1E46D031D2B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5" name="AutoShape 177" descr="USA">
          <a:hlinkClick xmlns:r="http://schemas.openxmlformats.org/officeDocument/2006/relationships" r:id="rId174"/>
          <a:extLst>
            <a:ext uri="{FF2B5EF4-FFF2-40B4-BE49-F238E27FC236}">
              <a16:creationId xmlns:a16="http://schemas.microsoft.com/office/drawing/2014/main" id="{07DAE089-6780-40CA-A0A8-820B1419BB7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xdr:row>
      <xdr:rowOff>0</xdr:rowOff>
    </xdr:from>
    <xdr:ext cx="304800" cy="317500"/>
    <xdr:sp macro="" textlink="">
      <xdr:nvSpPr>
        <xdr:cNvPr id="576" name="AutoShape 177" descr="USA">
          <a:hlinkClick xmlns:r="http://schemas.openxmlformats.org/officeDocument/2006/relationships" r:id="rId174"/>
          <a:extLst>
            <a:ext uri="{FF2B5EF4-FFF2-40B4-BE49-F238E27FC236}">
              <a16:creationId xmlns:a16="http://schemas.microsoft.com/office/drawing/2014/main" id="{723AE142-277F-42AC-8750-AC04CDF4E28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77" name="AutoShape 177" descr="USA">
          <a:hlinkClick xmlns:r="http://schemas.openxmlformats.org/officeDocument/2006/relationships" r:id="rId174"/>
          <a:extLst>
            <a:ext uri="{FF2B5EF4-FFF2-40B4-BE49-F238E27FC236}">
              <a16:creationId xmlns:a16="http://schemas.microsoft.com/office/drawing/2014/main" id="{2FA50009-6DF0-4ABD-88A8-C824675A90F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78" name="AutoShape 171" descr="USA">
          <a:hlinkClick xmlns:r="http://schemas.openxmlformats.org/officeDocument/2006/relationships" r:id="rId165"/>
          <a:extLst>
            <a:ext uri="{FF2B5EF4-FFF2-40B4-BE49-F238E27FC236}">
              <a16:creationId xmlns:a16="http://schemas.microsoft.com/office/drawing/2014/main" id="{A6EC8BD5-C036-4177-A539-2E4D1AF558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79" name="AutoShape 177" descr="USA">
          <a:hlinkClick xmlns:r="http://schemas.openxmlformats.org/officeDocument/2006/relationships" r:id="rId174"/>
          <a:extLst>
            <a:ext uri="{FF2B5EF4-FFF2-40B4-BE49-F238E27FC236}">
              <a16:creationId xmlns:a16="http://schemas.microsoft.com/office/drawing/2014/main" id="{052408E7-6926-4696-A976-81BD407D37A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0" name="AutoShape 177" descr="USA">
          <a:hlinkClick xmlns:r="http://schemas.openxmlformats.org/officeDocument/2006/relationships" r:id="rId174"/>
          <a:extLst>
            <a:ext uri="{FF2B5EF4-FFF2-40B4-BE49-F238E27FC236}">
              <a16:creationId xmlns:a16="http://schemas.microsoft.com/office/drawing/2014/main" id="{C4F6C3C4-F83D-4458-B3F3-44F5F385F6A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1" name="AutoShape 177" descr="USA">
          <a:hlinkClick xmlns:r="http://schemas.openxmlformats.org/officeDocument/2006/relationships" r:id="rId174"/>
          <a:extLst>
            <a:ext uri="{FF2B5EF4-FFF2-40B4-BE49-F238E27FC236}">
              <a16:creationId xmlns:a16="http://schemas.microsoft.com/office/drawing/2014/main" id="{2B0B68C6-2E80-4351-BE07-0B4B6CE8982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2" name="AutoShape 177" descr="USA">
          <a:hlinkClick xmlns:r="http://schemas.openxmlformats.org/officeDocument/2006/relationships" r:id="rId174"/>
          <a:extLst>
            <a:ext uri="{FF2B5EF4-FFF2-40B4-BE49-F238E27FC236}">
              <a16:creationId xmlns:a16="http://schemas.microsoft.com/office/drawing/2014/main" id="{380742EA-1AB0-4B0B-BC34-6F5B43E157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3" name="AutoShape 177" descr="USA">
          <a:hlinkClick xmlns:r="http://schemas.openxmlformats.org/officeDocument/2006/relationships" r:id="rId174"/>
          <a:extLst>
            <a:ext uri="{FF2B5EF4-FFF2-40B4-BE49-F238E27FC236}">
              <a16:creationId xmlns:a16="http://schemas.microsoft.com/office/drawing/2014/main" id="{3A5DC931-65DF-4310-A6DE-D3ECFE800E0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4" name="AutoShape 177" descr="USA">
          <a:hlinkClick xmlns:r="http://schemas.openxmlformats.org/officeDocument/2006/relationships" r:id="rId174"/>
          <a:extLst>
            <a:ext uri="{FF2B5EF4-FFF2-40B4-BE49-F238E27FC236}">
              <a16:creationId xmlns:a16="http://schemas.microsoft.com/office/drawing/2014/main" id="{1123017D-2A41-42AA-BFE1-26828B1C663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xdr:row>
      <xdr:rowOff>0</xdr:rowOff>
    </xdr:from>
    <xdr:ext cx="304800" cy="317500"/>
    <xdr:sp macro="" textlink="">
      <xdr:nvSpPr>
        <xdr:cNvPr id="585" name="AutoShape 177" descr="USA">
          <a:hlinkClick xmlns:r="http://schemas.openxmlformats.org/officeDocument/2006/relationships" r:id="rId174"/>
          <a:extLst>
            <a:ext uri="{FF2B5EF4-FFF2-40B4-BE49-F238E27FC236}">
              <a16:creationId xmlns:a16="http://schemas.microsoft.com/office/drawing/2014/main" id="{2125DB7F-42FC-4DD5-99CA-E01C4F4F0B2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86" name="AutoShape 177" descr="USA">
          <a:hlinkClick xmlns:r="http://schemas.openxmlformats.org/officeDocument/2006/relationships" r:id="rId174"/>
          <a:extLst>
            <a:ext uri="{FF2B5EF4-FFF2-40B4-BE49-F238E27FC236}">
              <a16:creationId xmlns:a16="http://schemas.microsoft.com/office/drawing/2014/main" id="{71558DBD-F967-437D-A203-26419FD8297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87" name="AutoShape 171" descr="USA">
          <a:hlinkClick xmlns:r="http://schemas.openxmlformats.org/officeDocument/2006/relationships" r:id="rId165"/>
          <a:extLst>
            <a:ext uri="{FF2B5EF4-FFF2-40B4-BE49-F238E27FC236}">
              <a16:creationId xmlns:a16="http://schemas.microsoft.com/office/drawing/2014/main" id="{F363128E-CCFC-4DBE-BA5F-D4FECBF77C1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88" name="AutoShape 177" descr="USA">
          <a:hlinkClick xmlns:r="http://schemas.openxmlformats.org/officeDocument/2006/relationships" r:id="rId174"/>
          <a:extLst>
            <a:ext uri="{FF2B5EF4-FFF2-40B4-BE49-F238E27FC236}">
              <a16:creationId xmlns:a16="http://schemas.microsoft.com/office/drawing/2014/main" id="{211FEB20-0A97-4020-85E6-2402926558C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89" name="AutoShape 177" descr="USA">
          <a:hlinkClick xmlns:r="http://schemas.openxmlformats.org/officeDocument/2006/relationships" r:id="rId174"/>
          <a:extLst>
            <a:ext uri="{FF2B5EF4-FFF2-40B4-BE49-F238E27FC236}">
              <a16:creationId xmlns:a16="http://schemas.microsoft.com/office/drawing/2014/main" id="{B196254D-50E1-4A7A-A987-60176FCAEC8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0" name="AutoShape 177" descr="USA">
          <a:hlinkClick xmlns:r="http://schemas.openxmlformats.org/officeDocument/2006/relationships" r:id="rId174"/>
          <a:extLst>
            <a:ext uri="{FF2B5EF4-FFF2-40B4-BE49-F238E27FC236}">
              <a16:creationId xmlns:a16="http://schemas.microsoft.com/office/drawing/2014/main" id="{AF33F736-E13D-4C40-BE93-4EC7C4A3071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1" name="AutoShape 177" descr="USA">
          <a:hlinkClick xmlns:r="http://schemas.openxmlformats.org/officeDocument/2006/relationships" r:id="rId174"/>
          <a:extLst>
            <a:ext uri="{FF2B5EF4-FFF2-40B4-BE49-F238E27FC236}">
              <a16:creationId xmlns:a16="http://schemas.microsoft.com/office/drawing/2014/main" id="{1F6DD3C3-4679-4317-84C0-F7CBDC07570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2" name="AutoShape 177" descr="USA">
          <a:hlinkClick xmlns:r="http://schemas.openxmlformats.org/officeDocument/2006/relationships" r:id="rId174"/>
          <a:extLst>
            <a:ext uri="{FF2B5EF4-FFF2-40B4-BE49-F238E27FC236}">
              <a16:creationId xmlns:a16="http://schemas.microsoft.com/office/drawing/2014/main" id="{98E5DE1B-E776-4412-BC54-A4FE29F73EE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3" name="AutoShape 177" descr="USA">
          <a:hlinkClick xmlns:r="http://schemas.openxmlformats.org/officeDocument/2006/relationships" r:id="rId174"/>
          <a:extLst>
            <a:ext uri="{FF2B5EF4-FFF2-40B4-BE49-F238E27FC236}">
              <a16:creationId xmlns:a16="http://schemas.microsoft.com/office/drawing/2014/main" id="{CC38999B-70A7-47E9-BAF1-772ABDDF0BB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xdr:row>
      <xdr:rowOff>0</xdr:rowOff>
    </xdr:from>
    <xdr:ext cx="304800" cy="317500"/>
    <xdr:sp macro="" textlink="">
      <xdr:nvSpPr>
        <xdr:cNvPr id="594" name="AutoShape 177" descr="USA">
          <a:hlinkClick xmlns:r="http://schemas.openxmlformats.org/officeDocument/2006/relationships" r:id="rId174"/>
          <a:extLst>
            <a:ext uri="{FF2B5EF4-FFF2-40B4-BE49-F238E27FC236}">
              <a16:creationId xmlns:a16="http://schemas.microsoft.com/office/drawing/2014/main" id="{24E0BC1C-EFA2-4701-97EE-24EBC64B864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595" name="AutoShape 177" descr="USA">
          <a:hlinkClick xmlns:r="http://schemas.openxmlformats.org/officeDocument/2006/relationships" r:id="rId174"/>
          <a:extLst>
            <a:ext uri="{FF2B5EF4-FFF2-40B4-BE49-F238E27FC236}">
              <a16:creationId xmlns:a16="http://schemas.microsoft.com/office/drawing/2014/main" id="{91E966D3-0CA4-489A-85D8-F3A0300362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6" name="AutoShape 171" descr="USA">
          <a:hlinkClick xmlns:r="http://schemas.openxmlformats.org/officeDocument/2006/relationships" r:id="rId165"/>
          <a:extLst>
            <a:ext uri="{FF2B5EF4-FFF2-40B4-BE49-F238E27FC236}">
              <a16:creationId xmlns:a16="http://schemas.microsoft.com/office/drawing/2014/main" id="{CC235767-CF8D-4C01-B4C1-F8A49AF0713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7" name="AutoShape 177" descr="USA">
          <a:hlinkClick xmlns:r="http://schemas.openxmlformats.org/officeDocument/2006/relationships" r:id="rId174"/>
          <a:extLst>
            <a:ext uri="{FF2B5EF4-FFF2-40B4-BE49-F238E27FC236}">
              <a16:creationId xmlns:a16="http://schemas.microsoft.com/office/drawing/2014/main" id="{1A3C586A-DBDC-41C8-AC97-D63C5BE49DC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8" name="AutoShape 177" descr="USA">
          <a:hlinkClick xmlns:r="http://schemas.openxmlformats.org/officeDocument/2006/relationships" r:id="rId174"/>
          <a:extLst>
            <a:ext uri="{FF2B5EF4-FFF2-40B4-BE49-F238E27FC236}">
              <a16:creationId xmlns:a16="http://schemas.microsoft.com/office/drawing/2014/main" id="{18BA9F91-B117-434B-B378-993D7074F5F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599" name="AutoShape 177" descr="USA">
          <a:hlinkClick xmlns:r="http://schemas.openxmlformats.org/officeDocument/2006/relationships" r:id="rId174"/>
          <a:extLst>
            <a:ext uri="{FF2B5EF4-FFF2-40B4-BE49-F238E27FC236}">
              <a16:creationId xmlns:a16="http://schemas.microsoft.com/office/drawing/2014/main" id="{0082AC78-3258-4AA0-933F-447080DB346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0" name="AutoShape 177" descr="USA">
          <a:hlinkClick xmlns:r="http://schemas.openxmlformats.org/officeDocument/2006/relationships" r:id="rId174"/>
          <a:extLst>
            <a:ext uri="{FF2B5EF4-FFF2-40B4-BE49-F238E27FC236}">
              <a16:creationId xmlns:a16="http://schemas.microsoft.com/office/drawing/2014/main" id="{BF990C6C-342E-4C1A-9E19-0C5B317FB18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1" name="AutoShape 177" descr="USA">
          <a:hlinkClick xmlns:r="http://schemas.openxmlformats.org/officeDocument/2006/relationships" r:id="rId174"/>
          <a:extLst>
            <a:ext uri="{FF2B5EF4-FFF2-40B4-BE49-F238E27FC236}">
              <a16:creationId xmlns:a16="http://schemas.microsoft.com/office/drawing/2014/main" id="{E75213FE-FB06-446B-88FA-02952D6CC72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2" name="AutoShape 177" descr="USA">
          <a:hlinkClick xmlns:r="http://schemas.openxmlformats.org/officeDocument/2006/relationships" r:id="rId174"/>
          <a:extLst>
            <a:ext uri="{FF2B5EF4-FFF2-40B4-BE49-F238E27FC236}">
              <a16:creationId xmlns:a16="http://schemas.microsoft.com/office/drawing/2014/main" id="{AE2AC5B2-D0DE-492F-BD1B-9D59DEA74F9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xdr:row>
      <xdr:rowOff>0</xdr:rowOff>
    </xdr:from>
    <xdr:ext cx="304800" cy="317500"/>
    <xdr:sp macro="" textlink="">
      <xdr:nvSpPr>
        <xdr:cNvPr id="603" name="AutoShape 177" descr="USA">
          <a:hlinkClick xmlns:r="http://schemas.openxmlformats.org/officeDocument/2006/relationships" r:id="rId174"/>
          <a:extLst>
            <a:ext uri="{FF2B5EF4-FFF2-40B4-BE49-F238E27FC236}">
              <a16:creationId xmlns:a16="http://schemas.microsoft.com/office/drawing/2014/main" id="{75A2DF16-A6A2-428E-820D-EFD9A0D4490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04" name="AutoShape 177" descr="USA">
          <a:hlinkClick xmlns:r="http://schemas.openxmlformats.org/officeDocument/2006/relationships" r:id="rId174"/>
          <a:extLst>
            <a:ext uri="{FF2B5EF4-FFF2-40B4-BE49-F238E27FC236}">
              <a16:creationId xmlns:a16="http://schemas.microsoft.com/office/drawing/2014/main" id="{BD3BCF0B-5DC4-4658-87EA-50A20F9B430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5" name="AutoShape 171" descr="USA">
          <a:hlinkClick xmlns:r="http://schemas.openxmlformats.org/officeDocument/2006/relationships" r:id="rId165"/>
          <a:extLst>
            <a:ext uri="{FF2B5EF4-FFF2-40B4-BE49-F238E27FC236}">
              <a16:creationId xmlns:a16="http://schemas.microsoft.com/office/drawing/2014/main" id="{91DDD8B4-D0C1-4FE1-9275-E504C68F5AA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6" name="AutoShape 177" descr="USA">
          <a:hlinkClick xmlns:r="http://schemas.openxmlformats.org/officeDocument/2006/relationships" r:id="rId174"/>
          <a:extLst>
            <a:ext uri="{FF2B5EF4-FFF2-40B4-BE49-F238E27FC236}">
              <a16:creationId xmlns:a16="http://schemas.microsoft.com/office/drawing/2014/main" id="{BBEF7F34-8D15-42A1-9BC6-19F49662FE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7" name="AutoShape 177" descr="USA">
          <a:hlinkClick xmlns:r="http://schemas.openxmlformats.org/officeDocument/2006/relationships" r:id="rId174"/>
          <a:extLst>
            <a:ext uri="{FF2B5EF4-FFF2-40B4-BE49-F238E27FC236}">
              <a16:creationId xmlns:a16="http://schemas.microsoft.com/office/drawing/2014/main" id="{5B26ACE6-042A-4674-AEEE-0E5E6B86A76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8" name="AutoShape 177" descr="USA">
          <a:hlinkClick xmlns:r="http://schemas.openxmlformats.org/officeDocument/2006/relationships" r:id="rId174"/>
          <a:extLst>
            <a:ext uri="{FF2B5EF4-FFF2-40B4-BE49-F238E27FC236}">
              <a16:creationId xmlns:a16="http://schemas.microsoft.com/office/drawing/2014/main" id="{4561B455-8C2E-4DEC-B76B-550A6AD26C6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09" name="AutoShape 177" descr="USA">
          <a:hlinkClick xmlns:r="http://schemas.openxmlformats.org/officeDocument/2006/relationships" r:id="rId174"/>
          <a:extLst>
            <a:ext uri="{FF2B5EF4-FFF2-40B4-BE49-F238E27FC236}">
              <a16:creationId xmlns:a16="http://schemas.microsoft.com/office/drawing/2014/main" id="{3B59A805-2186-49C4-B61A-C9D36F69F8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10" name="AutoShape 177" descr="USA">
          <a:hlinkClick xmlns:r="http://schemas.openxmlformats.org/officeDocument/2006/relationships" r:id="rId174"/>
          <a:extLst>
            <a:ext uri="{FF2B5EF4-FFF2-40B4-BE49-F238E27FC236}">
              <a16:creationId xmlns:a16="http://schemas.microsoft.com/office/drawing/2014/main" id="{D05C5854-3141-4D02-8162-9B2FF6F9DE8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11" name="AutoShape 177" descr="USA">
          <a:hlinkClick xmlns:r="http://schemas.openxmlformats.org/officeDocument/2006/relationships" r:id="rId174"/>
          <a:extLst>
            <a:ext uri="{FF2B5EF4-FFF2-40B4-BE49-F238E27FC236}">
              <a16:creationId xmlns:a16="http://schemas.microsoft.com/office/drawing/2014/main" id="{4D3EE3C2-E81F-4E45-AAEC-B649BB6D100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xdr:row>
      <xdr:rowOff>0</xdr:rowOff>
    </xdr:from>
    <xdr:ext cx="304800" cy="317500"/>
    <xdr:sp macro="" textlink="">
      <xdr:nvSpPr>
        <xdr:cNvPr id="612" name="AutoShape 177" descr="USA">
          <a:hlinkClick xmlns:r="http://schemas.openxmlformats.org/officeDocument/2006/relationships" r:id="rId174"/>
          <a:extLst>
            <a:ext uri="{FF2B5EF4-FFF2-40B4-BE49-F238E27FC236}">
              <a16:creationId xmlns:a16="http://schemas.microsoft.com/office/drawing/2014/main" id="{62DB1A6A-FB0A-4729-963A-287AF82D492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13" name="AutoShape 177" descr="USA">
          <a:hlinkClick xmlns:r="http://schemas.openxmlformats.org/officeDocument/2006/relationships" r:id="rId174"/>
          <a:extLst>
            <a:ext uri="{FF2B5EF4-FFF2-40B4-BE49-F238E27FC236}">
              <a16:creationId xmlns:a16="http://schemas.microsoft.com/office/drawing/2014/main" id="{5FC8F5E6-8975-47F9-90A9-612435E0C39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4" name="AutoShape 171" descr="USA">
          <a:hlinkClick xmlns:r="http://schemas.openxmlformats.org/officeDocument/2006/relationships" r:id="rId165"/>
          <a:extLst>
            <a:ext uri="{FF2B5EF4-FFF2-40B4-BE49-F238E27FC236}">
              <a16:creationId xmlns:a16="http://schemas.microsoft.com/office/drawing/2014/main" id="{2AE99697-9E38-4DA7-8FC8-A9CC7B2B8FB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5" name="AutoShape 177" descr="USA">
          <a:hlinkClick xmlns:r="http://schemas.openxmlformats.org/officeDocument/2006/relationships" r:id="rId174"/>
          <a:extLst>
            <a:ext uri="{FF2B5EF4-FFF2-40B4-BE49-F238E27FC236}">
              <a16:creationId xmlns:a16="http://schemas.microsoft.com/office/drawing/2014/main" id="{3E59EF58-97D8-4246-9029-546C978B25F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6" name="AutoShape 177" descr="USA">
          <a:hlinkClick xmlns:r="http://schemas.openxmlformats.org/officeDocument/2006/relationships" r:id="rId174"/>
          <a:extLst>
            <a:ext uri="{FF2B5EF4-FFF2-40B4-BE49-F238E27FC236}">
              <a16:creationId xmlns:a16="http://schemas.microsoft.com/office/drawing/2014/main" id="{07E05D97-00DC-4607-B97C-A8B692A75E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7" name="AutoShape 177" descr="USA">
          <a:hlinkClick xmlns:r="http://schemas.openxmlformats.org/officeDocument/2006/relationships" r:id="rId174"/>
          <a:extLst>
            <a:ext uri="{FF2B5EF4-FFF2-40B4-BE49-F238E27FC236}">
              <a16:creationId xmlns:a16="http://schemas.microsoft.com/office/drawing/2014/main" id="{A0C817E8-D6D9-4FD4-8FBC-F45D80E870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8" name="AutoShape 177" descr="USA">
          <a:hlinkClick xmlns:r="http://schemas.openxmlformats.org/officeDocument/2006/relationships" r:id="rId174"/>
          <a:extLst>
            <a:ext uri="{FF2B5EF4-FFF2-40B4-BE49-F238E27FC236}">
              <a16:creationId xmlns:a16="http://schemas.microsoft.com/office/drawing/2014/main" id="{31827D64-A2BA-4EA0-8FC2-55989864B68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19" name="AutoShape 177" descr="USA">
          <a:hlinkClick xmlns:r="http://schemas.openxmlformats.org/officeDocument/2006/relationships" r:id="rId174"/>
          <a:extLst>
            <a:ext uri="{FF2B5EF4-FFF2-40B4-BE49-F238E27FC236}">
              <a16:creationId xmlns:a16="http://schemas.microsoft.com/office/drawing/2014/main" id="{EBD7E2CD-0545-44B7-91C0-C58130BB106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20" name="AutoShape 177" descr="USA">
          <a:hlinkClick xmlns:r="http://schemas.openxmlformats.org/officeDocument/2006/relationships" r:id="rId174"/>
          <a:extLst>
            <a:ext uri="{FF2B5EF4-FFF2-40B4-BE49-F238E27FC236}">
              <a16:creationId xmlns:a16="http://schemas.microsoft.com/office/drawing/2014/main" id="{F81DE29B-9D0D-4C95-BDD6-D83B9194678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xdr:row>
      <xdr:rowOff>0</xdr:rowOff>
    </xdr:from>
    <xdr:ext cx="304800" cy="317500"/>
    <xdr:sp macro="" textlink="">
      <xdr:nvSpPr>
        <xdr:cNvPr id="621" name="AutoShape 177" descr="USA">
          <a:hlinkClick xmlns:r="http://schemas.openxmlformats.org/officeDocument/2006/relationships" r:id="rId174"/>
          <a:extLst>
            <a:ext uri="{FF2B5EF4-FFF2-40B4-BE49-F238E27FC236}">
              <a16:creationId xmlns:a16="http://schemas.microsoft.com/office/drawing/2014/main" id="{430F7CE0-64B2-489B-8313-2EFEE4A6E03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22" name="AutoShape 177" descr="USA">
          <a:hlinkClick xmlns:r="http://schemas.openxmlformats.org/officeDocument/2006/relationships" r:id="rId174"/>
          <a:extLst>
            <a:ext uri="{FF2B5EF4-FFF2-40B4-BE49-F238E27FC236}">
              <a16:creationId xmlns:a16="http://schemas.microsoft.com/office/drawing/2014/main" id="{867E18F6-C7C6-48BD-8E69-DDE4C009915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3" name="AutoShape 171" descr="USA">
          <a:hlinkClick xmlns:r="http://schemas.openxmlformats.org/officeDocument/2006/relationships" r:id="rId165"/>
          <a:extLst>
            <a:ext uri="{FF2B5EF4-FFF2-40B4-BE49-F238E27FC236}">
              <a16:creationId xmlns:a16="http://schemas.microsoft.com/office/drawing/2014/main" id="{72CC5BB5-EF4B-4F74-88D2-21832DDA1D9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4" name="AutoShape 177" descr="USA">
          <a:hlinkClick xmlns:r="http://schemas.openxmlformats.org/officeDocument/2006/relationships" r:id="rId174"/>
          <a:extLst>
            <a:ext uri="{FF2B5EF4-FFF2-40B4-BE49-F238E27FC236}">
              <a16:creationId xmlns:a16="http://schemas.microsoft.com/office/drawing/2014/main" id="{E32A9F38-F17B-41BF-9223-4A5A361D97D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5" name="AutoShape 177" descr="USA">
          <a:hlinkClick xmlns:r="http://schemas.openxmlformats.org/officeDocument/2006/relationships" r:id="rId174"/>
          <a:extLst>
            <a:ext uri="{FF2B5EF4-FFF2-40B4-BE49-F238E27FC236}">
              <a16:creationId xmlns:a16="http://schemas.microsoft.com/office/drawing/2014/main" id="{748AB864-1352-41BA-87F9-E05B815D5C8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6" name="AutoShape 177" descr="USA">
          <a:hlinkClick xmlns:r="http://schemas.openxmlformats.org/officeDocument/2006/relationships" r:id="rId174"/>
          <a:extLst>
            <a:ext uri="{FF2B5EF4-FFF2-40B4-BE49-F238E27FC236}">
              <a16:creationId xmlns:a16="http://schemas.microsoft.com/office/drawing/2014/main" id="{41330A6B-AD2E-40CA-B521-720724EFD1F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7" name="AutoShape 177" descr="USA">
          <a:hlinkClick xmlns:r="http://schemas.openxmlformats.org/officeDocument/2006/relationships" r:id="rId174"/>
          <a:extLst>
            <a:ext uri="{FF2B5EF4-FFF2-40B4-BE49-F238E27FC236}">
              <a16:creationId xmlns:a16="http://schemas.microsoft.com/office/drawing/2014/main" id="{F743F530-8B93-4B42-8130-37E02E3822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8" name="AutoShape 177" descr="USA">
          <a:hlinkClick xmlns:r="http://schemas.openxmlformats.org/officeDocument/2006/relationships" r:id="rId174"/>
          <a:extLst>
            <a:ext uri="{FF2B5EF4-FFF2-40B4-BE49-F238E27FC236}">
              <a16:creationId xmlns:a16="http://schemas.microsoft.com/office/drawing/2014/main" id="{7270848D-0A81-40B5-9833-B155B16E6CD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29" name="AutoShape 177" descr="USA">
          <a:hlinkClick xmlns:r="http://schemas.openxmlformats.org/officeDocument/2006/relationships" r:id="rId174"/>
          <a:extLst>
            <a:ext uri="{FF2B5EF4-FFF2-40B4-BE49-F238E27FC236}">
              <a16:creationId xmlns:a16="http://schemas.microsoft.com/office/drawing/2014/main" id="{62226104-F2CA-409F-8F43-7843D9926EF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xdr:row>
      <xdr:rowOff>0</xdr:rowOff>
    </xdr:from>
    <xdr:ext cx="304800" cy="317500"/>
    <xdr:sp macro="" textlink="">
      <xdr:nvSpPr>
        <xdr:cNvPr id="630" name="AutoShape 177" descr="USA">
          <a:hlinkClick xmlns:r="http://schemas.openxmlformats.org/officeDocument/2006/relationships" r:id="rId174"/>
          <a:extLst>
            <a:ext uri="{FF2B5EF4-FFF2-40B4-BE49-F238E27FC236}">
              <a16:creationId xmlns:a16="http://schemas.microsoft.com/office/drawing/2014/main" id="{FEBC651E-E2BD-498B-B91E-3C65FEED7BE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31" name="AutoShape 177" descr="USA">
          <a:hlinkClick xmlns:r="http://schemas.openxmlformats.org/officeDocument/2006/relationships" r:id="rId174"/>
          <a:extLst>
            <a:ext uri="{FF2B5EF4-FFF2-40B4-BE49-F238E27FC236}">
              <a16:creationId xmlns:a16="http://schemas.microsoft.com/office/drawing/2014/main" id="{A415063A-DCD4-4D8F-9F11-3E80C7C6A87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2" name="AutoShape 171" descr="USA">
          <a:hlinkClick xmlns:r="http://schemas.openxmlformats.org/officeDocument/2006/relationships" r:id="rId165"/>
          <a:extLst>
            <a:ext uri="{FF2B5EF4-FFF2-40B4-BE49-F238E27FC236}">
              <a16:creationId xmlns:a16="http://schemas.microsoft.com/office/drawing/2014/main" id="{8E2FAC3A-D0FC-4BA6-BF52-8511F4B2704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3" name="AutoShape 177" descr="USA">
          <a:hlinkClick xmlns:r="http://schemas.openxmlformats.org/officeDocument/2006/relationships" r:id="rId174"/>
          <a:extLst>
            <a:ext uri="{FF2B5EF4-FFF2-40B4-BE49-F238E27FC236}">
              <a16:creationId xmlns:a16="http://schemas.microsoft.com/office/drawing/2014/main" id="{10F33533-20A1-4DCE-8EBF-73B6FDA2D93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4" name="AutoShape 177" descr="USA">
          <a:hlinkClick xmlns:r="http://schemas.openxmlformats.org/officeDocument/2006/relationships" r:id="rId174"/>
          <a:extLst>
            <a:ext uri="{FF2B5EF4-FFF2-40B4-BE49-F238E27FC236}">
              <a16:creationId xmlns:a16="http://schemas.microsoft.com/office/drawing/2014/main" id="{9C256D16-12E3-4429-9CC8-FB600F0710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5" name="AutoShape 177" descr="USA">
          <a:hlinkClick xmlns:r="http://schemas.openxmlformats.org/officeDocument/2006/relationships" r:id="rId174"/>
          <a:extLst>
            <a:ext uri="{FF2B5EF4-FFF2-40B4-BE49-F238E27FC236}">
              <a16:creationId xmlns:a16="http://schemas.microsoft.com/office/drawing/2014/main" id="{387C777F-32DB-45F3-B00B-6DA5FC0A881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6" name="AutoShape 177" descr="USA">
          <a:hlinkClick xmlns:r="http://schemas.openxmlformats.org/officeDocument/2006/relationships" r:id="rId174"/>
          <a:extLst>
            <a:ext uri="{FF2B5EF4-FFF2-40B4-BE49-F238E27FC236}">
              <a16:creationId xmlns:a16="http://schemas.microsoft.com/office/drawing/2014/main" id="{18DD9F76-C278-481E-953E-CEAF37F12AD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7" name="AutoShape 177" descr="USA">
          <a:hlinkClick xmlns:r="http://schemas.openxmlformats.org/officeDocument/2006/relationships" r:id="rId174"/>
          <a:extLst>
            <a:ext uri="{FF2B5EF4-FFF2-40B4-BE49-F238E27FC236}">
              <a16:creationId xmlns:a16="http://schemas.microsoft.com/office/drawing/2014/main" id="{2F5D9B5E-81EE-4384-975B-E7380134D2A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8" name="AutoShape 177" descr="USA">
          <a:hlinkClick xmlns:r="http://schemas.openxmlformats.org/officeDocument/2006/relationships" r:id="rId174"/>
          <a:extLst>
            <a:ext uri="{FF2B5EF4-FFF2-40B4-BE49-F238E27FC236}">
              <a16:creationId xmlns:a16="http://schemas.microsoft.com/office/drawing/2014/main" id="{86EC875D-AC77-47C7-A513-C41C2B12EE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xdr:row>
      <xdr:rowOff>0</xdr:rowOff>
    </xdr:from>
    <xdr:ext cx="304800" cy="317500"/>
    <xdr:sp macro="" textlink="">
      <xdr:nvSpPr>
        <xdr:cNvPr id="639" name="AutoShape 177" descr="USA">
          <a:hlinkClick xmlns:r="http://schemas.openxmlformats.org/officeDocument/2006/relationships" r:id="rId174"/>
          <a:extLst>
            <a:ext uri="{FF2B5EF4-FFF2-40B4-BE49-F238E27FC236}">
              <a16:creationId xmlns:a16="http://schemas.microsoft.com/office/drawing/2014/main" id="{87C0EA97-AF02-4FA2-A6BA-F3A592E667F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40" name="AutoShape 177" descr="USA">
          <a:hlinkClick xmlns:r="http://schemas.openxmlformats.org/officeDocument/2006/relationships" r:id="rId174"/>
          <a:extLst>
            <a:ext uri="{FF2B5EF4-FFF2-40B4-BE49-F238E27FC236}">
              <a16:creationId xmlns:a16="http://schemas.microsoft.com/office/drawing/2014/main" id="{0A19FCEE-352B-4D83-ACDE-B74FB3C2E88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1" name="AutoShape 171" descr="USA">
          <a:hlinkClick xmlns:r="http://schemas.openxmlformats.org/officeDocument/2006/relationships" r:id="rId165"/>
          <a:extLst>
            <a:ext uri="{FF2B5EF4-FFF2-40B4-BE49-F238E27FC236}">
              <a16:creationId xmlns:a16="http://schemas.microsoft.com/office/drawing/2014/main" id="{6C11E847-29F5-48B9-AB1D-06153F902FB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2" name="AutoShape 177" descr="USA">
          <a:hlinkClick xmlns:r="http://schemas.openxmlformats.org/officeDocument/2006/relationships" r:id="rId174"/>
          <a:extLst>
            <a:ext uri="{FF2B5EF4-FFF2-40B4-BE49-F238E27FC236}">
              <a16:creationId xmlns:a16="http://schemas.microsoft.com/office/drawing/2014/main" id="{332C524B-478D-4239-AD71-F2CEA8C58EE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3" name="AutoShape 177" descr="USA">
          <a:hlinkClick xmlns:r="http://schemas.openxmlformats.org/officeDocument/2006/relationships" r:id="rId174"/>
          <a:extLst>
            <a:ext uri="{FF2B5EF4-FFF2-40B4-BE49-F238E27FC236}">
              <a16:creationId xmlns:a16="http://schemas.microsoft.com/office/drawing/2014/main" id="{468DD77B-C71C-4341-BB83-34D64E079C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4" name="AutoShape 177" descr="USA">
          <a:hlinkClick xmlns:r="http://schemas.openxmlformats.org/officeDocument/2006/relationships" r:id="rId174"/>
          <a:extLst>
            <a:ext uri="{FF2B5EF4-FFF2-40B4-BE49-F238E27FC236}">
              <a16:creationId xmlns:a16="http://schemas.microsoft.com/office/drawing/2014/main" id="{C2DB5738-996A-43B5-B363-F1CAA35A552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5" name="AutoShape 177" descr="USA">
          <a:hlinkClick xmlns:r="http://schemas.openxmlformats.org/officeDocument/2006/relationships" r:id="rId174"/>
          <a:extLst>
            <a:ext uri="{FF2B5EF4-FFF2-40B4-BE49-F238E27FC236}">
              <a16:creationId xmlns:a16="http://schemas.microsoft.com/office/drawing/2014/main" id="{EA7DACA3-0279-4DDB-82DC-F2395D0A341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6" name="AutoShape 177" descr="USA">
          <a:hlinkClick xmlns:r="http://schemas.openxmlformats.org/officeDocument/2006/relationships" r:id="rId174"/>
          <a:extLst>
            <a:ext uri="{FF2B5EF4-FFF2-40B4-BE49-F238E27FC236}">
              <a16:creationId xmlns:a16="http://schemas.microsoft.com/office/drawing/2014/main" id="{2FFE7371-A9BB-426D-A955-41AE0541683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7" name="AutoShape 177" descr="USA">
          <a:hlinkClick xmlns:r="http://schemas.openxmlformats.org/officeDocument/2006/relationships" r:id="rId174"/>
          <a:extLst>
            <a:ext uri="{FF2B5EF4-FFF2-40B4-BE49-F238E27FC236}">
              <a16:creationId xmlns:a16="http://schemas.microsoft.com/office/drawing/2014/main" id="{A7613549-8989-4A15-9F67-CF987EAB2A7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xdr:row>
      <xdr:rowOff>0</xdr:rowOff>
    </xdr:from>
    <xdr:ext cx="304800" cy="317500"/>
    <xdr:sp macro="" textlink="">
      <xdr:nvSpPr>
        <xdr:cNvPr id="648" name="AutoShape 177" descr="USA">
          <a:hlinkClick xmlns:r="http://schemas.openxmlformats.org/officeDocument/2006/relationships" r:id="rId174"/>
          <a:extLst>
            <a:ext uri="{FF2B5EF4-FFF2-40B4-BE49-F238E27FC236}">
              <a16:creationId xmlns:a16="http://schemas.microsoft.com/office/drawing/2014/main" id="{0A357C6C-A054-47BC-9E7D-6001B74DE1E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49" name="AutoShape 177" descr="USA">
          <a:hlinkClick xmlns:r="http://schemas.openxmlformats.org/officeDocument/2006/relationships" r:id="rId174"/>
          <a:extLst>
            <a:ext uri="{FF2B5EF4-FFF2-40B4-BE49-F238E27FC236}">
              <a16:creationId xmlns:a16="http://schemas.microsoft.com/office/drawing/2014/main" id="{FD8E8F65-5A1F-45FB-9E3C-9E967582B08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0" name="AutoShape 171" descr="USA">
          <a:hlinkClick xmlns:r="http://schemas.openxmlformats.org/officeDocument/2006/relationships" r:id="rId165"/>
          <a:extLst>
            <a:ext uri="{FF2B5EF4-FFF2-40B4-BE49-F238E27FC236}">
              <a16:creationId xmlns:a16="http://schemas.microsoft.com/office/drawing/2014/main" id="{3C4B48EC-4FBE-4C02-BE19-4F6537FF61C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1" name="AutoShape 177" descr="USA">
          <a:hlinkClick xmlns:r="http://schemas.openxmlformats.org/officeDocument/2006/relationships" r:id="rId174"/>
          <a:extLst>
            <a:ext uri="{FF2B5EF4-FFF2-40B4-BE49-F238E27FC236}">
              <a16:creationId xmlns:a16="http://schemas.microsoft.com/office/drawing/2014/main" id="{CF8EE6C0-1E34-4D3A-96E0-449B7E107C2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2" name="AutoShape 177" descr="USA">
          <a:hlinkClick xmlns:r="http://schemas.openxmlformats.org/officeDocument/2006/relationships" r:id="rId174"/>
          <a:extLst>
            <a:ext uri="{FF2B5EF4-FFF2-40B4-BE49-F238E27FC236}">
              <a16:creationId xmlns:a16="http://schemas.microsoft.com/office/drawing/2014/main" id="{8EAD4B48-C4A9-4780-BC31-5FC9C496260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3" name="AutoShape 177" descr="USA">
          <a:hlinkClick xmlns:r="http://schemas.openxmlformats.org/officeDocument/2006/relationships" r:id="rId174"/>
          <a:extLst>
            <a:ext uri="{FF2B5EF4-FFF2-40B4-BE49-F238E27FC236}">
              <a16:creationId xmlns:a16="http://schemas.microsoft.com/office/drawing/2014/main" id="{5BF1D491-0AD4-42B1-8F22-5138ED852BF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4" name="AutoShape 177" descr="USA">
          <a:hlinkClick xmlns:r="http://schemas.openxmlformats.org/officeDocument/2006/relationships" r:id="rId174"/>
          <a:extLst>
            <a:ext uri="{FF2B5EF4-FFF2-40B4-BE49-F238E27FC236}">
              <a16:creationId xmlns:a16="http://schemas.microsoft.com/office/drawing/2014/main" id="{F5786094-3AAC-4ECE-9E1D-397513F5A77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5" name="AutoShape 177" descr="USA">
          <a:hlinkClick xmlns:r="http://schemas.openxmlformats.org/officeDocument/2006/relationships" r:id="rId174"/>
          <a:extLst>
            <a:ext uri="{FF2B5EF4-FFF2-40B4-BE49-F238E27FC236}">
              <a16:creationId xmlns:a16="http://schemas.microsoft.com/office/drawing/2014/main" id="{CFE53D3B-4E7D-4EC9-8E9F-F0EEEF13C5C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6" name="AutoShape 177" descr="USA">
          <a:hlinkClick xmlns:r="http://schemas.openxmlformats.org/officeDocument/2006/relationships" r:id="rId174"/>
          <a:extLst>
            <a:ext uri="{FF2B5EF4-FFF2-40B4-BE49-F238E27FC236}">
              <a16:creationId xmlns:a16="http://schemas.microsoft.com/office/drawing/2014/main" id="{3B699F41-6A82-42D6-A8BA-F1187761952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xdr:row>
      <xdr:rowOff>0</xdr:rowOff>
    </xdr:from>
    <xdr:ext cx="304800" cy="317500"/>
    <xdr:sp macro="" textlink="">
      <xdr:nvSpPr>
        <xdr:cNvPr id="657" name="AutoShape 177" descr="USA">
          <a:hlinkClick xmlns:r="http://schemas.openxmlformats.org/officeDocument/2006/relationships" r:id="rId174"/>
          <a:extLst>
            <a:ext uri="{FF2B5EF4-FFF2-40B4-BE49-F238E27FC236}">
              <a16:creationId xmlns:a16="http://schemas.microsoft.com/office/drawing/2014/main" id="{143E254B-8598-4F34-94F4-0F3AEDABFB1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58" name="AutoShape 177" descr="USA">
          <a:hlinkClick xmlns:r="http://schemas.openxmlformats.org/officeDocument/2006/relationships" r:id="rId174"/>
          <a:extLst>
            <a:ext uri="{FF2B5EF4-FFF2-40B4-BE49-F238E27FC236}">
              <a16:creationId xmlns:a16="http://schemas.microsoft.com/office/drawing/2014/main" id="{8F56C641-D65A-4E6C-82D2-D728C8D8232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59" name="AutoShape 171" descr="USA">
          <a:hlinkClick xmlns:r="http://schemas.openxmlformats.org/officeDocument/2006/relationships" r:id="rId165"/>
          <a:extLst>
            <a:ext uri="{FF2B5EF4-FFF2-40B4-BE49-F238E27FC236}">
              <a16:creationId xmlns:a16="http://schemas.microsoft.com/office/drawing/2014/main" id="{7049BE43-3ABD-4A44-B95F-E1681398D51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0" name="AutoShape 177" descr="USA">
          <a:hlinkClick xmlns:r="http://schemas.openxmlformats.org/officeDocument/2006/relationships" r:id="rId174"/>
          <a:extLst>
            <a:ext uri="{FF2B5EF4-FFF2-40B4-BE49-F238E27FC236}">
              <a16:creationId xmlns:a16="http://schemas.microsoft.com/office/drawing/2014/main" id="{EDFDFC2A-C34D-4CD5-BAAB-26D64D30F63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1" name="AutoShape 177" descr="USA">
          <a:hlinkClick xmlns:r="http://schemas.openxmlformats.org/officeDocument/2006/relationships" r:id="rId174"/>
          <a:extLst>
            <a:ext uri="{FF2B5EF4-FFF2-40B4-BE49-F238E27FC236}">
              <a16:creationId xmlns:a16="http://schemas.microsoft.com/office/drawing/2014/main" id="{352FF27C-FD9F-4A4D-8ABB-75C9CB5EB9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2" name="AutoShape 177" descr="USA">
          <a:hlinkClick xmlns:r="http://schemas.openxmlformats.org/officeDocument/2006/relationships" r:id="rId174"/>
          <a:extLst>
            <a:ext uri="{FF2B5EF4-FFF2-40B4-BE49-F238E27FC236}">
              <a16:creationId xmlns:a16="http://schemas.microsoft.com/office/drawing/2014/main" id="{CF2BB35B-77EA-4C04-8586-2368DA91152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3" name="AutoShape 177" descr="USA">
          <a:hlinkClick xmlns:r="http://schemas.openxmlformats.org/officeDocument/2006/relationships" r:id="rId174"/>
          <a:extLst>
            <a:ext uri="{FF2B5EF4-FFF2-40B4-BE49-F238E27FC236}">
              <a16:creationId xmlns:a16="http://schemas.microsoft.com/office/drawing/2014/main" id="{DCD4F356-1FD4-4EAF-99AE-BBCF5FC9624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4" name="AutoShape 177" descr="USA">
          <a:hlinkClick xmlns:r="http://schemas.openxmlformats.org/officeDocument/2006/relationships" r:id="rId174"/>
          <a:extLst>
            <a:ext uri="{FF2B5EF4-FFF2-40B4-BE49-F238E27FC236}">
              <a16:creationId xmlns:a16="http://schemas.microsoft.com/office/drawing/2014/main" id="{8BEB0308-E6CC-4AA7-949E-7ADD373DACA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5" name="AutoShape 177" descr="USA">
          <a:hlinkClick xmlns:r="http://schemas.openxmlformats.org/officeDocument/2006/relationships" r:id="rId174"/>
          <a:extLst>
            <a:ext uri="{FF2B5EF4-FFF2-40B4-BE49-F238E27FC236}">
              <a16:creationId xmlns:a16="http://schemas.microsoft.com/office/drawing/2014/main" id="{78371F8E-584C-431C-911C-582132E66E3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xdr:row>
      <xdr:rowOff>0</xdr:rowOff>
    </xdr:from>
    <xdr:ext cx="304800" cy="317500"/>
    <xdr:sp macro="" textlink="">
      <xdr:nvSpPr>
        <xdr:cNvPr id="666" name="AutoShape 177" descr="USA">
          <a:hlinkClick xmlns:r="http://schemas.openxmlformats.org/officeDocument/2006/relationships" r:id="rId174"/>
          <a:extLst>
            <a:ext uri="{FF2B5EF4-FFF2-40B4-BE49-F238E27FC236}">
              <a16:creationId xmlns:a16="http://schemas.microsoft.com/office/drawing/2014/main" id="{31498AB5-C5C6-413E-B198-D99D2CF8F55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67" name="AutoShape 177" descr="USA">
          <a:hlinkClick xmlns:r="http://schemas.openxmlformats.org/officeDocument/2006/relationships" r:id="rId174"/>
          <a:extLst>
            <a:ext uri="{FF2B5EF4-FFF2-40B4-BE49-F238E27FC236}">
              <a16:creationId xmlns:a16="http://schemas.microsoft.com/office/drawing/2014/main" id="{5DBD88A5-5626-4CF4-A06A-520785DBFD8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68" name="AutoShape 171" descr="USA">
          <a:hlinkClick xmlns:r="http://schemas.openxmlformats.org/officeDocument/2006/relationships" r:id="rId165"/>
          <a:extLst>
            <a:ext uri="{FF2B5EF4-FFF2-40B4-BE49-F238E27FC236}">
              <a16:creationId xmlns:a16="http://schemas.microsoft.com/office/drawing/2014/main" id="{99A2EF77-0CB5-4E27-AAC8-A74D3C0F91A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69" name="AutoShape 177" descr="USA">
          <a:hlinkClick xmlns:r="http://schemas.openxmlformats.org/officeDocument/2006/relationships" r:id="rId174"/>
          <a:extLst>
            <a:ext uri="{FF2B5EF4-FFF2-40B4-BE49-F238E27FC236}">
              <a16:creationId xmlns:a16="http://schemas.microsoft.com/office/drawing/2014/main" id="{843B7B68-D480-4106-9F2D-A97156D09A5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0" name="AutoShape 177" descr="USA">
          <a:hlinkClick xmlns:r="http://schemas.openxmlformats.org/officeDocument/2006/relationships" r:id="rId174"/>
          <a:extLst>
            <a:ext uri="{FF2B5EF4-FFF2-40B4-BE49-F238E27FC236}">
              <a16:creationId xmlns:a16="http://schemas.microsoft.com/office/drawing/2014/main" id="{F1E7508C-717E-49D0-967F-0E52526C4B2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1" name="AutoShape 177" descr="USA">
          <a:hlinkClick xmlns:r="http://schemas.openxmlformats.org/officeDocument/2006/relationships" r:id="rId174"/>
          <a:extLst>
            <a:ext uri="{FF2B5EF4-FFF2-40B4-BE49-F238E27FC236}">
              <a16:creationId xmlns:a16="http://schemas.microsoft.com/office/drawing/2014/main" id="{BCFD3E28-143A-4A40-A1E3-9C4492C28CF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2" name="AutoShape 177" descr="USA">
          <a:hlinkClick xmlns:r="http://schemas.openxmlformats.org/officeDocument/2006/relationships" r:id="rId174"/>
          <a:extLst>
            <a:ext uri="{FF2B5EF4-FFF2-40B4-BE49-F238E27FC236}">
              <a16:creationId xmlns:a16="http://schemas.microsoft.com/office/drawing/2014/main" id="{F2324D36-DAE0-4032-8B32-F522539469E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3" name="AutoShape 177" descr="USA">
          <a:hlinkClick xmlns:r="http://schemas.openxmlformats.org/officeDocument/2006/relationships" r:id="rId174"/>
          <a:extLst>
            <a:ext uri="{FF2B5EF4-FFF2-40B4-BE49-F238E27FC236}">
              <a16:creationId xmlns:a16="http://schemas.microsoft.com/office/drawing/2014/main" id="{5DFBBA07-4C71-4463-81DD-574BA6E83CB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4" name="AutoShape 177" descr="USA">
          <a:hlinkClick xmlns:r="http://schemas.openxmlformats.org/officeDocument/2006/relationships" r:id="rId174"/>
          <a:extLst>
            <a:ext uri="{FF2B5EF4-FFF2-40B4-BE49-F238E27FC236}">
              <a16:creationId xmlns:a16="http://schemas.microsoft.com/office/drawing/2014/main" id="{16C1E632-74A9-443B-AEAD-A9AC0367863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xdr:row>
      <xdr:rowOff>0</xdr:rowOff>
    </xdr:from>
    <xdr:ext cx="304800" cy="317500"/>
    <xdr:sp macro="" textlink="">
      <xdr:nvSpPr>
        <xdr:cNvPr id="675" name="AutoShape 177" descr="USA">
          <a:hlinkClick xmlns:r="http://schemas.openxmlformats.org/officeDocument/2006/relationships" r:id="rId174"/>
          <a:extLst>
            <a:ext uri="{FF2B5EF4-FFF2-40B4-BE49-F238E27FC236}">
              <a16:creationId xmlns:a16="http://schemas.microsoft.com/office/drawing/2014/main" id="{0D0AE1BF-A2AF-40CE-95AF-AF6C5820EF6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76" name="AutoShape 177" descr="USA">
          <a:hlinkClick xmlns:r="http://schemas.openxmlformats.org/officeDocument/2006/relationships" r:id="rId174"/>
          <a:extLst>
            <a:ext uri="{FF2B5EF4-FFF2-40B4-BE49-F238E27FC236}">
              <a16:creationId xmlns:a16="http://schemas.microsoft.com/office/drawing/2014/main" id="{E2D47AF3-74C0-4221-BE9A-6A3AD986BB6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77" name="AutoShape 171" descr="USA">
          <a:hlinkClick xmlns:r="http://schemas.openxmlformats.org/officeDocument/2006/relationships" r:id="rId165"/>
          <a:extLst>
            <a:ext uri="{FF2B5EF4-FFF2-40B4-BE49-F238E27FC236}">
              <a16:creationId xmlns:a16="http://schemas.microsoft.com/office/drawing/2014/main" id="{3F1BF95F-9398-4945-B8F8-04585B597E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78" name="AutoShape 177" descr="USA">
          <a:hlinkClick xmlns:r="http://schemas.openxmlformats.org/officeDocument/2006/relationships" r:id="rId174"/>
          <a:extLst>
            <a:ext uri="{FF2B5EF4-FFF2-40B4-BE49-F238E27FC236}">
              <a16:creationId xmlns:a16="http://schemas.microsoft.com/office/drawing/2014/main" id="{B5577005-14A8-4434-A4E0-2EF3480BC86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79" name="AutoShape 177" descr="USA">
          <a:hlinkClick xmlns:r="http://schemas.openxmlformats.org/officeDocument/2006/relationships" r:id="rId174"/>
          <a:extLst>
            <a:ext uri="{FF2B5EF4-FFF2-40B4-BE49-F238E27FC236}">
              <a16:creationId xmlns:a16="http://schemas.microsoft.com/office/drawing/2014/main" id="{10AE8EEE-DF2B-4CF4-B8C9-1FBD41149C0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0" name="AutoShape 177" descr="USA">
          <a:hlinkClick xmlns:r="http://schemas.openxmlformats.org/officeDocument/2006/relationships" r:id="rId174"/>
          <a:extLst>
            <a:ext uri="{FF2B5EF4-FFF2-40B4-BE49-F238E27FC236}">
              <a16:creationId xmlns:a16="http://schemas.microsoft.com/office/drawing/2014/main" id="{DE6EE11E-8A29-450E-BC63-0A1C75A204D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1" name="AutoShape 177" descr="USA">
          <a:hlinkClick xmlns:r="http://schemas.openxmlformats.org/officeDocument/2006/relationships" r:id="rId174"/>
          <a:extLst>
            <a:ext uri="{FF2B5EF4-FFF2-40B4-BE49-F238E27FC236}">
              <a16:creationId xmlns:a16="http://schemas.microsoft.com/office/drawing/2014/main" id="{D3E462EA-10F6-4C5D-B133-21A5BA67CC3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2" name="AutoShape 177" descr="USA">
          <a:hlinkClick xmlns:r="http://schemas.openxmlformats.org/officeDocument/2006/relationships" r:id="rId174"/>
          <a:extLst>
            <a:ext uri="{FF2B5EF4-FFF2-40B4-BE49-F238E27FC236}">
              <a16:creationId xmlns:a16="http://schemas.microsoft.com/office/drawing/2014/main" id="{AFB6BACA-2ECA-4B93-B66C-4500071D49A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3" name="AutoShape 177" descr="USA">
          <a:hlinkClick xmlns:r="http://schemas.openxmlformats.org/officeDocument/2006/relationships" r:id="rId174"/>
          <a:extLst>
            <a:ext uri="{FF2B5EF4-FFF2-40B4-BE49-F238E27FC236}">
              <a16:creationId xmlns:a16="http://schemas.microsoft.com/office/drawing/2014/main" id="{8EC94B78-601A-4A9C-9FBF-704AE0B417C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xdr:row>
      <xdr:rowOff>0</xdr:rowOff>
    </xdr:from>
    <xdr:ext cx="304800" cy="317500"/>
    <xdr:sp macro="" textlink="">
      <xdr:nvSpPr>
        <xdr:cNvPr id="684" name="AutoShape 177" descr="USA">
          <a:hlinkClick xmlns:r="http://schemas.openxmlformats.org/officeDocument/2006/relationships" r:id="rId174"/>
          <a:extLst>
            <a:ext uri="{FF2B5EF4-FFF2-40B4-BE49-F238E27FC236}">
              <a16:creationId xmlns:a16="http://schemas.microsoft.com/office/drawing/2014/main" id="{4C6D7573-5529-4776-B5CA-F3EE16860E3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85" name="AutoShape 177" descr="USA">
          <a:hlinkClick xmlns:r="http://schemas.openxmlformats.org/officeDocument/2006/relationships" r:id="rId174"/>
          <a:extLst>
            <a:ext uri="{FF2B5EF4-FFF2-40B4-BE49-F238E27FC236}">
              <a16:creationId xmlns:a16="http://schemas.microsoft.com/office/drawing/2014/main" id="{104B3417-CCB0-4F6B-88A4-D0D9BDD9E09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6" name="AutoShape 171" descr="USA">
          <a:hlinkClick xmlns:r="http://schemas.openxmlformats.org/officeDocument/2006/relationships" r:id="rId165"/>
          <a:extLst>
            <a:ext uri="{FF2B5EF4-FFF2-40B4-BE49-F238E27FC236}">
              <a16:creationId xmlns:a16="http://schemas.microsoft.com/office/drawing/2014/main" id="{53605B6E-DA61-4634-A842-7CFA989A73D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7" name="AutoShape 177" descr="USA">
          <a:hlinkClick xmlns:r="http://schemas.openxmlformats.org/officeDocument/2006/relationships" r:id="rId174"/>
          <a:extLst>
            <a:ext uri="{FF2B5EF4-FFF2-40B4-BE49-F238E27FC236}">
              <a16:creationId xmlns:a16="http://schemas.microsoft.com/office/drawing/2014/main" id="{1574AE50-4818-41F6-969F-AB5EDE05D50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8" name="AutoShape 177" descr="USA">
          <a:hlinkClick xmlns:r="http://schemas.openxmlformats.org/officeDocument/2006/relationships" r:id="rId174"/>
          <a:extLst>
            <a:ext uri="{FF2B5EF4-FFF2-40B4-BE49-F238E27FC236}">
              <a16:creationId xmlns:a16="http://schemas.microsoft.com/office/drawing/2014/main" id="{3976C91F-B044-4450-A3B0-73FD94D805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89" name="AutoShape 177" descr="USA">
          <a:hlinkClick xmlns:r="http://schemas.openxmlformats.org/officeDocument/2006/relationships" r:id="rId174"/>
          <a:extLst>
            <a:ext uri="{FF2B5EF4-FFF2-40B4-BE49-F238E27FC236}">
              <a16:creationId xmlns:a16="http://schemas.microsoft.com/office/drawing/2014/main" id="{530E88F4-59E3-4F02-93D7-AC49491E756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0" name="AutoShape 177" descr="USA">
          <a:hlinkClick xmlns:r="http://schemas.openxmlformats.org/officeDocument/2006/relationships" r:id="rId174"/>
          <a:extLst>
            <a:ext uri="{FF2B5EF4-FFF2-40B4-BE49-F238E27FC236}">
              <a16:creationId xmlns:a16="http://schemas.microsoft.com/office/drawing/2014/main" id="{7E89A484-9460-4965-9461-47050DB9542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1" name="AutoShape 177" descr="USA">
          <a:hlinkClick xmlns:r="http://schemas.openxmlformats.org/officeDocument/2006/relationships" r:id="rId174"/>
          <a:extLst>
            <a:ext uri="{FF2B5EF4-FFF2-40B4-BE49-F238E27FC236}">
              <a16:creationId xmlns:a16="http://schemas.microsoft.com/office/drawing/2014/main" id="{59BD7B89-BE80-470B-AC32-76D2DE4950F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2" name="AutoShape 177" descr="USA">
          <a:hlinkClick xmlns:r="http://schemas.openxmlformats.org/officeDocument/2006/relationships" r:id="rId174"/>
          <a:extLst>
            <a:ext uri="{FF2B5EF4-FFF2-40B4-BE49-F238E27FC236}">
              <a16:creationId xmlns:a16="http://schemas.microsoft.com/office/drawing/2014/main" id="{006B064B-AF24-4940-A1FD-135C6233386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xdr:row>
      <xdr:rowOff>0</xdr:rowOff>
    </xdr:from>
    <xdr:ext cx="304800" cy="317500"/>
    <xdr:sp macro="" textlink="">
      <xdr:nvSpPr>
        <xdr:cNvPr id="693" name="AutoShape 177" descr="USA">
          <a:hlinkClick xmlns:r="http://schemas.openxmlformats.org/officeDocument/2006/relationships" r:id="rId174"/>
          <a:extLst>
            <a:ext uri="{FF2B5EF4-FFF2-40B4-BE49-F238E27FC236}">
              <a16:creationId xmlns:a16="http://schemas.microsoft.com/office/drawing/2014/main" id="{D93EAF6F-E0FB-436C-85AE-C8F86DA1FB5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694" name="AutoShape 177" descr="USA">
          <a:hlinkClick xmlns:r="http://schemas.openxmlformats.org/officeDocument/2006/relationships" r:id="rId174"/>
          <a:extLst>
            <a:ext uri="{FF2B5EF4-FFF2-40B4-BE49-F238E27FC236}">
              <a16:creationId xmlns:a16="http://schemas.microsoft.com/office/drawing/2014/main" id="{3CEC201E-372F-4655-9B64-938EA772E1E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5" name="AutoShape 171" descr="USA">
          <a:hlinkClick xmlns:r="http://schemas.openxmlformats.org/officeDocument/2006/relationships" r:id="rId165"/>
          <a:extLst>
            <a:ext uri="{FF2B5EF4-FFF2-40B4-BE49-F238E27FC236}">
              <a16:creationId xmlns:a16="http://schemas.microsoft.com/office/drawing/2014/main" id="{16990CC7-00A5-4F07-8812-5393034EBC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6" name="AutoShape 177" descr="USA">
          <a:hlinkClick xmlns:r="http://schemas.openxmlformats.org/officeDocument/2006/relationships" r:id="rId174"/>
          <a:extLst>
            <a:ext uri="{FF2B5EF4-FFF2-40B4-BE49-F238E27FC236}">
              <a16:creationId xmlns:a16="http://schemas.microsoft.com/office/drawing/2014/main" id="{30525E37-234E-4748-831C-DAD7D61C462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7" name="AutoShape 177" descr="USA">
          <a:hlinkClick xmlns:r="http://schemas.openxmlformats.org/officeDocument/2006/relationships" r:id="rId174"/>
          <a:extLst>
            <a:ext uri="{FF2B5EF4-FFF2-40B4-BE49-F238E27FC236}">
              <a16:creationId xmlns:a16="http://schemas.microsoft.com/office/drawing/2014/main" id="{40A14AA6-181E-4010-90E9-925B5D62D05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8" name="AutoShape 177" descr="USA">
          <a:hlinkClick xmlns:r="http://schemas.openxmlformats.org/officeDocument/2006/relationships" r:id="rId174"/>
          <a:extLst>
            <a:ext uri="{FF2B5EF4-FFF2-40B4-BE49-F238E27FC236}">
              <a16:creationId xmlns:a16="http://schemas.microsoft.com/office/drawing/2014/main" id="{DAE77B12-EBF0-46B1-B91D-C7035AFDD3F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699" name="AutoShape 177" descr="USA">
          <a:hlinkClick xmlns:r="http://schemas.openxmlformats.org/officeDocument/2006/relationships" r:id="rId174"/>
          <a:extLst>
            <a:ext uri="{FF2B5EF4-FFF2-40B4-BE49-F238E27FC236}">
              <a16:creationId xmlns:a16="http://schemas.microsoft.com/office/drawing/2014/main" id="{41418FEE-5983-4AF6-884D-239774C3B8B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700" name="AutoShape 177" descr="USA">
          <a:hlinkClick xmlns:r="http://schemas.openxmlformats.org/officeDocument/2006/relationships" r:id="rId174"/>
          <a:extLst>
            <a:ext uri="{FF2B5EF4-FFF2-40B4-BE49-F238E27FC236}">
              <a16:creationId xmlns:a16="http://schemas.microsoft.com/office/drawing/2014/main" id="{FBFB6DDF-32AF-47EB-8E2E-4B8582A2AE0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701" name="AutoShape 177" descr="USA">
          <a:hlinkClick xmlns:r="http://schemas.openxmlformats.org/officeDocument/2006/relationships" r:id="rId174"/>
          <a:extLst>
            <a:ext uri="{FF2B5EF4-FFF2-40B4-BE49-F238E27FC236}">
              <a16:creationId xmlns:a16="http://schemas.microsoft.com/office/drawing/2014/main" id="{264BAE7C-8E3F-4EE6-B92D-8E65F4F8B9F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xdr:row>
      <xdr:rowOff>0</xdr:rowOff>
    </xdr:from>
    <xdr:ext cx="304800" cy="317500"/>
    <xdr:sp macro="" textlink="">
      <xdr:nvSpPr>
        <xdr:cNvPr id="702" name="AutoShape 177" descr="USA">
          <a:hlinkClick xmlns:r="http://schemas.openxmlformats.org/officeDocument/2006/relationships" r:id="rId174"/>
          <a:extLst>
            <a:ext uri="{FF2B5EF4-FFF2-40B4-BE49-F238E27FC236}">
              <a16:creationId xmlns:a16="http://schemas.microsoft.com/office/drawing/2014/main" id="{79271A8C-46EF-450D-97E4-4DBE0E2ED31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03" name="AutoShape 177" descr="USA">
          <a:hlinkClick xmlns:r="http://schemas.openxmlformats.org/officeDocument/2006/relationships" r:id="rId174"/>
          <a:extLst>
            <a:ext uri="{FF2B5EF4-FFF2-40B4-BE49-F238E27FC236}">
              <a16:creationId xmlns:a16="http://schemas.microsoft.com/office/drawing/2014/main" id="{5D4FBE3F-7D69-4EAF-9563-E0D19C0988C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4" name="AutoShape 171" descr="USA">
          <a:hlinkClick xmlns:r="http://schemas.openxmlformats.org/officeDocument/2006/relationships" r:id="rId165"/>
          <a:extLst>
            <a:ext uri="{FF2B5EF4-FFF2-40B4-BE49-F238E27FC236}">
              <a16:creationId xmlns:a16="http://schemas.microsoft.com/office/drawing/2014/main" id="{0B74EC72-9369-4540-B175-EBD372A790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5" name="AutoShape 177" descr="USA">
          <a:hlinkClick xmlns:r="http://schemas.openxmlformats.org/officeDocument/2006/relationships" r:id="rId174"/>
          <a:extLst>
            <a:ext uri="{FF2B5EF4-FFF2-40B4-BE49-F238E27FC236}">
              <a16:creationId xmlns:a16="http://schemas.microsoft.com/office/drawing/2014/main" id="{DB482105-1843-4BB4-958A-884C62787C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6" name="AutoShape 177" descr="USA">
          <a:hlinkClick xmlns:r="http://schemas.openxmlformats.org/officeDocument/2006/relationships" r:id="rId174"/>
          <a:extLst>
            <a:ext uri="{FF2B5EF4-FFF2-40B4-BE49-F238E27FC236}">
              <a16:creationId xmlns:a16="http://schemas.microsoft.com/office/drawing/2014/main" id="{63922872-62A7-4F46-B059-A13F7F020DC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7" name="AutoShape 177" descr="USA">
          <a:hlinkClick xmlns:r="http://schemas.openxmlformats.org/officeDocument/2006/relationships" r:id="rId174"/>
          <a:extLst>
            <a:ext uri="{FF2B5EF4-FFF2-40B4-BE49-F238E27FC236}">
              <a16:creationId xmlns:a16="http://schemas.microsoft.com/office/drawing/2014/main" id="{D1EA499D-2144-4A91-AE67-AEB18BDAC2F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8" name="AutoShape 177" descr="USA">
          <a:hlinkClick xmlns:r="http://schemas.openxmlformats.org/officeDocument/2006/relationships" r:id="rId174"/>
          <a:extLst>
            <a:ext uri="{FF2B5EF4-FFF2-40B4-BE49-F238E27FC236}">
              <a16:creationId xmlns:a16="http://schemas.microsoft.com/office/drawing/2014/main" id="{BC8EC92D-79AC-4CA5-BFFF-2E88FE67176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09" name="AutoShape 177" descr="USA">
          <a:hlinkClick xmlns:r="http://schemas.openxmlformats.org/officeDocument/2006/relationships" r:id="rId174"/>
          <a:extLst>
            <a:ext uri="{FF2B5EF4-FFF2-40B4-BE49-F238E27FC236}">
              <a16:creationId xmlns:a16="http://schemas.microsoft.com/office/drawing/2014/main" id="{89CA5F7B-01CA-40E0-80BC-D7C0589F445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10" name="AutoShape 177" descr="USA">
          <a:hlinkClick xmlns:r="http://schemas.openxmlformats.org/officeDocument/2006/relationships" r:id="rId174"/>
          <a:extLst>
            <a:ext uri="{FF2B5EF4-FFF2-40B4-BE49-F238E27FC236}">
              <a16:creationId xmlns:a16="http://schemas.microsoft.com/office/drawing/2014/main" id="{9E4A6284-B507-42CD-8FD8-28B443AF9BF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xdr:row>
      <xdr:rowOff>0</xdr:rowOff>
    </xdr:from>
    <xdr:ext cx="304800" cy="317500"/>
    <xdr:sp macro="" textlink="">
      <xdr:nvSpPr>
        <xdr:cNvPr id="711" name="AutoShape 177" descr="USA">
          <a:hlinkClick xmlns:r="http://schemas.openxmlformats.org/officeDocument/2006/relationships" r:id="rId174"/>
          <a:extLst>
            <a:ext uri="{FF2B5EF4-FFF2-40B4-BE49-F238E27FC236}">
              <a16:creationId xmlns:a16="http://schemas.microsoft.com/office/drawing/2014/main" id="{92A8EA1F-F84F-4530-A9D8-795AAB7D292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12" name="AutoShape 177" descr="USA">
          <a:hlinkClick xmlns:r="http://schemas.openxmlformats.org/officeDocument/2006/relationships" r:id="rId174"/>
          <a:extLst>
            <a:ext uri="{FF2B5EF4-FFF2-40B4-BE49-F238E27FC236}">
              <a16:creationId xmlns:a16="http://schemas.microsoft.com/office/drawing/2014/main" id="{9B52016C-7262-441B-AC22-EA79810EEB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3" name="AutoShape 171" descr="USA">
          <a:hlinkClick xmlns:r="http://schemas.openxmlformats.org/officeDocument/2006/relationships" r:id="rId165"/>
          <a:extLst>
            <a:ext uri="{FF2B5EF4-FFF2-40B4-BE49-F238E27FC236}">
              <a16:creationId xmlns:a16="http://schemas.microsoft.com/office/drawing/2014/main" id="{FC2742AC-408E-40C3-B2A9-39C5CA4FBDF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4" name="AutoShape 177" descr="USA">
          <a:hlinkClick xmlns:r="http://schemas.openxmlformats.org/officeDocument/2006/relationships" r:id="rId174"/>
          <a:extLst>
            <a:ext uri="{FF2B5EF4-FFF2-40B4-BE49-F238E27FC236}">
              <a16:creationId xmlns:a16="http://schemas.microsoft.com/office/drawing/2014/main" id="{CAE1B641-0560-4395-A0EC-E982EFF92DE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5" name="AutoShape 177" descr="USA">
          <a:hlinkClick xmlns:r="http://schemas.openxmlformats.org/officeDocument/2006/relationships" r:id="rId174"/>
          <a:extLst>
            <a:ext uri="{FF2B5EF4-FFF2-40B4-BE49-F238E27FC236}">
              <a16:creationId xmlns:a16="http://schemas.microsoft.com/office/drawing/2014/main" id="{B1EBD165-ABD2-447C-8F2E-19B5229AA0C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6" name="AutoShape 177" descr="USA">
          <a:hlinkClick xmlns:r="http://schemas.openxmlformats.org/officeDocument/2006/relationships" r:id="rId174"/>
          <a:extLst>
            <a:ext uri="{FF2B5EF4-FFF2-40B4-BE49-F238E27FC236}">
              <a16:creationId xmlns:a16="http://schemas.microsoft.com/office/drawing/2014/main" id="{55E851A3-D5F3-4883-B65E-D85A12521E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7" name="AutoShape 177" descr="USA">
          <a:hlinkClick xmlns:r="http://schemas.openxmlformats.org/officeDocument/2006/relationships" r:id="rId174"/>
          <a:extLst>
            <a:ext uri="{FF2B5EF4-FFF2-40B4-BE49-F238E27FC236}">
              <a16:creationId xmlns:a16="http://schemas.microsoft.com/office/drawing/2014/main" id="{83E5B445-4B70-40D9-8A5C-2205360F06A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8" name="AutoShape 177" descr="USA">
          <a:hlinkClick xmlns:r="http://schemas.openxmlformats.org/officeDocument/2006/relationships" r:id="rId174"/>
          <a:extLst>
            <a:ext uri="{FF2B5EF4-FFF2-40B4-BE49-F238E27FC236}">
              <a16:creationId xmlns:a16="http://schemas.microsoft.com/office/drawing/2014/main" id="{4BB22378-E51B-4AFF-9814-670C8EA031E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19" name="AutoShape 177" descr="USA">
          <a:hlinkClick xmlns:r="http://schemas.openxmlformats.org/officeDocument/2006/relationships" r:id="rId174"/>
          <a:extLst>
            <a:ext uri="{FF2B5EF4-FFF2-40B4-BE49-F238E27FC236}">
              <a16:creationId xmlns:a16="http://schemas.microsoft.com/office/drawing/2014/main" id="{1E358401-807B-4F68-AB41-4BAE12B36C2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xdr:row>
      <xdr:rowOff>0</xdr:rowOff>
    </xdr:from>
    <xdr:ext cx="304800" cy="317500"/>
    <xdr:sp macro="" textlink="">
      <xdr:nvSpPr>
        <xdr:cNvPr id="720" name="AutoShape 177" descr="USA">
          <a:hlinkClick xmlns:r="http://schemas.openxmlformats.org/officeDocument/2006/relationships" r:id="rId174"/>
          <a:extLst>
            <a:ext uri="{FF2B5EF4-FFF2-40B4-BE49-F238E27FC236}">
              <a16:creationId xmlns:a16="http://schemas.microsoft.com/office/drawing/2014/main" id="{973BB638-4D06-4380-B111-2BFF4E6E0F0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21" name="AutoShape 177" descr="USA">
          <a:hlinkClick xmlns:r="http://schemas.openxmlformats.org/officeDocument/2006/relationships" r:id="rId174"/>
          <a:extLst>
            <a:ext uri="{FF2B5EF4-FFF2-40B4-BE49-F238E27FC236}">
              <a16:creationId xmlns:a16="http://schemas.microsoft.com/office/drawing/2014/main" id="{DB973913-193D-4A04-A467-EFD80F82762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2" name="AutoShape 171" descr="USA">
          <a:hlinkClick xmlns:r="http://schemas.openxmlformats.org/officeDocument/2006/relationships" r:id="rId165"/>
          <a:extLst>
            <a:ext uri="{FF2B5EF4-FFF2-40B4-BE49-F238E27FC236}">
              <a16:creationId xmlns:a16="http://schemas.microsoft.com/office/drawing/2014/main" id="{61365166-6D99-43F3-8D6F-A2E1A90DE7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3" name="AutoShape 177" descr="USA">
          <a:hlinkClick xmlns:r="http://schemas.openxmlformats.org/officeDocument/2006/relationships" r:id="rId174"/>
          <a:extLst>
            <a:ext uri="{FF2B5EF4-FFF2-40B4-BE49-F238E27FC236}">
              <a16:creationId xmlns:a16="http://schemas.microsoft.com/office/drawing/2014/main" id="{424A19F9-A156-4BD1-B94B-5D968FEC321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4" name="AutoShape 177" descr="USA">
          <a:hlinkClick xmlns:r="http://schemas.openxmlformats.org/officeDocument/2006/relationships" r:id="rId174"/>
          <a:extLst>
            <a:ext uri="{FF2B5EF4-FFF2-40B4-BE49-F238E27FC236}">
              <a16:creationId xmlns:a16="http://schemas.microsoft.com/office/drawing/2014/main" id="{E7EC82A1-B65B-4CB8-BB78-E35FC80452A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5" name="AutoShape 177" descr="USA">
          <a:hlinkClick xmlns:r="http://schemas.openxmlformats.org/officeDocument/2006/relationships" r:id="rId174"/>
          <a:extLst>
            <a:ext uri="{FF2B5EF4-FFF2-40B4-BE49-F238E27FC236}">
              <a16:creationId xmlns:a16="http://schemas.microsoft.com/office/drawing/2014/main" id="{D906411C-1C58-4E8E-A34E-E140BC4E99A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6" name="AutoShape 177" descr="USA">
          <a:hlinkClick xmlns:r="http://schemas.openxmlformats.org/officeDocument/2006/relationships" r:id="rId174"/>
          <a:extLst>
            <a:ext uri="{FF2B5EF4-FFF2-40B4-BE49-F238E27FC236}">
              <a16:creationId xmlns:a16="http://schemas.microsoft.com/office/drawing/2014/main" id="{9E4F7199-0549-4898-A7D7-67A8073DD4F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7" name="AutoShape 177" descr="USA">
          <a:hlinkClick xmlns:r="http://schemas.openxmlformats.org/officeDocument/2006/relationships" r:id="rId174"/>
          <a:extLst>
            <a:ext uri="{FF2B5EF4-FFF2-40B4-BE49-F238E27FC236}">
              <a16:creationId xmlns:a16="http://schemas.microsoft.com/office/drawing/2014/main" id="{72F69CD8-9C01-41A0-AE74-74399DABCFD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8" name="AutoShape 177" descr="USA">
          <a:hlinkClick xmlns:r="http://schemas.openxmlformats.org/officeDocument/2006/relationships" r:id="rId174"/>
          <a:extLst>
            <a:ext uri="{FF2B5EF4-FFF2-40B4-BE49-F238E27FC236}">
              <a16:creationId xmlns:a16="http://schemas.microsoft.com/office/drawing/2014/main" id="{AD767F72-1127-4B4D-BAEB-99CF121DE7D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xdr:row>
      <xdr:rowOff>0</xdr:rowOff>
    </xdr:from>
    <xdr:ext cx="304800" cy="317500"/>
    <xdr:sp macro="" textlink="">
      <xdr:nvSpPr>
        <xdr:cNvPr id="729" name="AutoShape 177" descr="USA">
          <a:hlinkClick xmlns:r="http://schemas.openxmlformats.org/officeDocument/2006/relationships" r:id="rId174"/>
          <a:extLst>
            <a:ext uri="{FF2B5EF4-FFF2-40B4-BE49-F238E27FC236}">
              <a16:creationId xmlns:a16="http://schemas.microsoft.com/office/drawing/2014/main" id="{42E989A1-93B1-470C-B6BD-8E6AA1DA71E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30" name="AutoShape 177" descr="USA">
          <a:hlinkClick xmlns:r="http://schemas.openxmlformats.org/officeDocument/2006/relationships" r:id="rId174"/>
          <a:extLst>
            <a:ext uri="{FF2B5EF4-FFF2-40B4-BE49-F238E27FC236}">
              <a16:creationId xmlns:a16="http://schemas.microsoft.com/office/drawing/2014/main" id="{9C14198D-94EF-4440-8FD3-4E0963F74A7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1" name="AutoShape 171" descr="USA">
          <a:hlinkClick xmlns:r="http://schemas.openxmlformats.org/officeDocument/2006/relationships" r:id="rId165"/>
          <a:extLst>
            <a:ext uri="{FF2B5EF4-FFF2-40B4-BE49-F238E27FC236}">
              <a16:creationId xmlns:a16="http://schemas.microsoft.com/office/drawing/2014/main" id="{DCC118BC-D49C-4A96-9D80-D0A1BC39D1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2" name="AutoShape 177" descr="USA">
          <a:hlinkClick xmlns:r="http://schemas.openxmlformats.org/officeDocument/2006/relationships" r:id="rId174"/>
          <a:extLst>
            <a:ext uri="{FF2B5EF4-FFF2-40B4-BE49-F238E27FC236}">
              <a16:creationId xmlns:a16="http://schemas.microsoft.com/office/drawing/2014/main" id="{1F4F70AD-653F-4B79-B93C-93FFF421DE5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3" name="AutoShape 177" descr="USA">
          <a:hlinkClick xmlns:r="http://schemas.openxmlformats.org/officeDocument/2006/relationships" r:id="rId174"/>
          <a:extLst>
            <a:ext uri="{FF2B5EF4-FFF2-40B4-BE49-F238E27FC236}">
              <a16:creationId xmlns:a16="http://schemas.microsoft.com/office/drawing/2014/main" id="{A865CBEF-8E50-4D95-8A5D-065D23AF03B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4" name="AutoShape 177" descr="USA">
          <a:hlinkClick xmlns:r="http://schemas.openxmlformats.org/officeDocument/2006/relationships" r:id="rId174"/>
          <a:extLst>
            <a:ext uri="{FF2B5EF4-FFF2-40B4-BE49-F238E27FC236}">
              <a16:creationId xmlns:a16="http://schemas.microsoft.com/office/drawing/2014/main" id="{1AA7F549-5D55-4BC8-82D8-F8F171E6D00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5" name="AutoShape 177" descr="USA">
          <a:hlinkClick xmlns:r="http://schemas.openxmlformats.org/officeDocument/2006/relationships" r:id="rId174"/>
          <a:extLst>
            <a:ext uri="{FF2B5EF4-FFF2-40B4-BE49-F238E27FC236}">
              <a16:creationId xmlns:a16="http://schemas.microsoft.com/office/drawing/2014/main" id="{0910C2D8-E861-468A-AAE3-20C3A462BFD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6" name="AutoShape 177" descr="USA">
          <a:hlinkClick xmlns:r="http://schemas.openxmlformats.org/officeDocument/2006/relationships" r:id="rId174"/>
          <a:extLst>
            <a:ext uri="{FF2B5EF4-FFF2-40B4-BE49-F238E27FC236}">
              <a16:creationId xmlns:a16="http://schemas.microsoft.com/office/drawing/2014/main" id="{A7559079-0123-44E0-830B-AED19355CF1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7" name="AutoShape 177" descr="USA">
          <a:hlinkClick xmlns:r="http://schemas.openxmlformats.org/officeDocument/2006/relationships" r:id="rId174"/>
          <a:extLst>
            <a:ext uri="{FF2B5EF4-FFF2-40B4-BE49-F238E27FC236}">
              <a16:creationId xmlns:a16="http://schemas.microsoft.com/office/drawing/2014/main" id="{BE698037-BD9E-4A6D-910C-E2046B849C4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xdr:row>
      <xdr:rowOff>0</xdr:rowOff>
    </xdr:from>
    <xdr:ext cx="304800" cy="317500"/>
    <xdr:sp macro="" textlink="">
      <xdr:nvSpPr>
        <xdr:cNvPr id="738" name="AutoShape 177" descr="USA">
          <a:hlinkClick xmlns:r="http://schemas.openxmlformats.org/officeDocument/2006/relationships" r:id="rId174"/>
          <a:extLst>
            <a:ext uri="{FF2B5EF4-FFF2-40B4-BE49-F238E27FC236}">
              <a16:creationId xmlns:a16="http://schemas.microsoft.com/office/drawing/2014/main" id="{6FEBCFBC-63F0-451B-9A2E-61D4BCBC73F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39" name="AutoShape 177" descr="USA">
          <a:hlinkClick xmlns:r="http://schemas.openxmlformats.org/officeDocument/2006/relationships" r:id="rId174"/>
          <a:extLst>
            <a:ext uri="{FF2B5EF4-FFF2-40B4-BE49-F238E27FC236}">
              <a16:creationId xmlns:a16="http://schemas.microsoft.com/office/drawing/2014/main" id="{32B36D23-C387-446A-B8DF-BBFCC25A367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0" name="AutoShape 171" descr="USA">
          <a:hlinkClick xmlns:r="http://schemas.openxmlformats.org/officeDocument/2006/relationships" r:id="rId165"/>
          <a:extLst>
            <a:ext uri="{FF2B5EF4-FFF2-40B4-BE49-F238E27FC236}">
              <a16:creationId xmlns:a16="http://schemas.microsoft.com/office/drawing/2014/main" id="{BF0AFEA4-3F76-49BB-BF59-41864C08614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1" name="AutoShape 177" descr="USA">
          <a:hlinkClick xmlns:r="http://schemas.openxmlformats.org/officeDocument/2006/relationships" r:id="rId174"/>
          <a:extLst>
            <a:ext uri="{FF2B5EF4-FFF2-40B4-BE49-F238E27FC236}">
              <a16:creationId xmlns:a16="http://schemas.microsoft.com/office/drawing/2014/main" id="{1A82A23E-6D3B-451C-9D98-9577B2C6FAB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2" name="AutoShape 177" descr="USA">
          <a:hlinkClick xmlns:r="http://schemas.openxmlformats.org/officeDocument/2006/relationships" r:id="rId174"/>
          <a:extLst>
            <a:ext uri="{FF2B5EF4-FFF2-40B4-BE49-F238E27FC236}">
              <a16:creationId xmlns:a16="http://schemas.microsoft.com/office/drawing/2014/main" id="{02FABF18-9B59-47EB-8840-42E8FFA8301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3" name="AutoShape 177" descr="USA">
          <a:hlinkClick xmlns:r="http://schemas.openxmlformats.org/officeDocument/2006/relationships" r:id="rId174"/>
          <a:extLst>
            <a:ext uri="{FF2B5EF4-FFF2-40B4-BE49-F238E27FC236}">
              <a16:creationId xmlns:a16="http://schemas.microsoft.com/office/drawing/2014/main" id="{54A47FF0-D9A0-4CF0-B21B-93D420C56A7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4" name="AutoShape 177" descr="USA">
          <a:hlinkClick xmlns:r="http://schemas.openxmlformats.org/officeDocument/2006/relationships" r:id="rId174"/>
          <a:extLst>
            <a:ext uri="{FF2B5EF4-FFF2-40B4-BE49-F238E27FC236}">
              <a16:creationId xmlns:a16="http://schemas.microsoft.com/office/drawing/2014/main" id="{2C9BBEC9-9BC7-477B-BCC2-AC8DB6E0CBE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5" name="AutoShape 177" descr="USA">
          <a:hlinkClick xmlns:r="http://schemas.openxmlformats.org/officeDocument/2006/relationships" r:id="rId174"/>
          <a:extLst>
            <a:ext uri="{FF2B5EF4-FFF2-40B4-BE49-F238E27FC236}">
              <a16:creationId xmlns:a16="http://schemas.microsoft.com/office/drawing/2014/main" id="{2B270F2F-33DF-4CA5-8FF8-65806B1B51F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6" name="AutoShape 177" descr="USA">
          <a:hlinkClick xmlns:r="http://schemas.openxmlformats.org/officeDocument/2006/relationships" r:id="rId174"/>
          <a:extLst>
            <a:ext uri="{FF2B5EF4-FFF2-40B4-BE49-F238E27FC236}">
              <a16:creationId xmlns:a16="http://schemas.microsoft.com/office/drawing/2014/main" id="{98350877-737B-4F2C-9DE8-7E110CC122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24</xdr:row>
      <xdr:rowOff>0</xdr:rowOff>
    </xdr:from>
    <xdr:ext cx="304800" cy="317500"/>
    <xdr:sp macro="" textlink="">
      <xdr:nvSpPr>
        <xdr:cNvPr id="747" name="AutoShape 177" descr="USA">
          <a:hlinkClick xmlns:r="http://schemas.openxmlformats.org/officeDocument/2006/relationships" r:id="rId174"/>
          <a:extLst>
            <a:ext uri="{FF2B5EF4-FFF2-40B4-BE49-F238E27FC236}">
              <a16:creationId xmlns:a16="http://schemas.microsoft.com/office/drawing/2014/main" id="{79519AE3-DC1E-48C2-B720-6C8620EA073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48" name="AutoShape 177" descr="USA">
          <a:hlinkClick xmlns:r="http://schemas.openxmlformats.org/officeDocument/2006/relationships" r:id="rId174"/>
          <a:extLst>
            <a:ext uri="{FF2B5EF4-FFF2-40B4-BE49-F238E27FC236}">
              <a16:creationId xmlns:a16="http://schemas.microsoft.com/office/drawing/2014/main" id="{3E40B24A-448B-4CD9-B09F-2742D111BC3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49" name="AutoShape 171" descr="USA">
          <a:hlinkClick xmlns:r="http://schemas.openxmlformats.org/officeDocument/2006/relationships" r:id="rId165"/>
          <a:extLst>
            <a:ext uri="{FF2B5EF4-FFF2-40B4-BE49-F238E27FC236}">
              <a16:creationId xmlns:a16="http://schemas.microsoft.com/office/drawing/2014/main" id="{A9AEDFC6-50AE-487D-A6B3-2279264CEB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0" name="AutoShape 177" descr="USA">
          <a:hlinkClick xmlns:r="http://schemas.openxmlformats.org/officeDocument/2006/relationships" r:id="rId174"/>
          <a:extLst>
            <a:ext uri="{FF2B5EF4-FFF2-40B4-BE49-F238E27FC236}">
              <a16:creationId xmlns:a16="http://schemas.microsoft.com/office/drawing/2014/main" id="{BA5CAD3D-EAA0-4D09-A039-5CB886644FC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1" name="AutoShape 177" descr="USA">
          <a:hlinkClick xmlns:r="http://schemas.openxmlformats.org/officeDocument/2006/relationships" r:id="rId174"/>
          <a:extLst>
            <a:ext uri="{FF2B5EF4-FFF2-40B4-BE49-F238E27FC236}">
              <a16:creationId xmlns:a16="http://schemas.microsoft.com/office/drawing/2014/main" id="{AAE05740-7532-49FE-925C-C9BE639B1E0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2" name="AutoShape 177" descr="USA">
          <a:hlinkClick xmlns:r="http://schemas.openxmlformats.org/officeDocument/2006/relationships" r:id="rId174"/>
          <a:extLst>
            <a:ext uri="{FF2B5EF4-FFF2-40B4-BE49-F238E27FC236}">
              <a16:creationId xmlns:a16="http://schemas.microsoft.com/office/drawing/2014/main" id="{92F92770-BBD4-46F0-90C7-52F4FBC9579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3" name="AutoShape 177" descr="USA">
          <a:hlinkClick xmlns:r="http://schemas.openxmlformats.org/officeDocument/2006/relationships" r:id="rId174"/>
          <a:extLst>
            <a:ext uri="{FF2B5EF4-FFF2-40B4-BE49-F238E27FC236}">
              <a16:creationId xmlns:a16="http://schemas.microsoft.com/office/drawing/2014/main" id="{926C4F76-7851-4ADB-ABC0-926C306E9D8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4" name="AutoShape 177" descr="USA">
          <a:hlinkClick xmlns:r="http://schemas.openxmlformats.org/officeDocument/2006/relationships" r:id="rId174"/>
          <a:extLst>
            <a:ext uri="{FF2B5EF4-FFF2-40B4-BE49-F238E27FC236}">
              <a16:creationId xmlns:a16="http://schemas.microsoft.com/office/drawing/2014/main" id="{AF0501A7-BC80-4F35-BF25-9CA1D6FAE4E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5" name="AutoShape 177" descr="USA">
          <a:hlinkClick xmlns:r="http://schemas.openxmlformats.org/officeDocument/2006/relationships" r:id="rId174"/>
          <a:extLst>
            <a:ext uri="{FF2B5EF4-FFF2-40B4-BE49-F238E27FC236}">
              <a16:creationId xmlns:a16="http://schemas.microsoft.com/office/drawing/2014/main" id="{C3582F36-6B09-44B2-9FB9-061301CE899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25</xdr:row>
      <xdr:rowOff>0</xdr:rowOff>
    </xdr:from>
    <xdr:ext cx="304800" cy="317500"/>
    <xdr:sp macro="" textlink="">
      <xdr:nvSpPr>
        <xdr:cNvPr id="756" name="AutoShape 177" descr="USA">
          <a:hlinkClick xmlns:r="http://schemas.openxmlformats.org/officeDocument/2006/relationships" r:id="rId174"/>
          <a:extLst>
            <a:ext uri="{FF2B5EF4-FFF2-40B4-BE49-F238E27FC236}">
              <a16:creationId xmlns:a16="http://schemas.microsoft.com/office/drawing/2014/main" id="{01D5AEB8-D4E4-4CCE-A2D1-E7836523441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57" name="AutoShape 177" descr="USA">
          <a:hlinkClick xmlns:r="http://schemas.openxmlformats.org/officeDocument/2006/relationships" r:id="rId174"/>
          <a:extLst>
            <a:ext uri="{FF2B5EF4-FFF2-40B4-BE49-F238E27FC236}">
              <a16:creationId xmlns:a16="http://schemas.microsoft.com/office/drawing/2014/main" id="{DF4B60AF-8E9F-42D8-A2F9-EF5C0011CD6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58" name="AutoShape 171" descr="USA">
          <a:hlinkClick xmlns:r="http://schemas.openxmlformats.org/officeDocument/2006/relationships" r:id="rId165"/>
          <a:extLst>
            <a:ext uri="{FF2B5EF4-FFF2-40B4-BE49-F238E27FC236}">
              <a16:creationId xmlns:a16="http://schemas.microsoft.com/office/drawing/2014/main" id="{9DA74586-7FC8-43FC-9D9D-B74E72EB82F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59" name="AutoShape 177" descr="USA">
          <a:hlinkClick xmlns:r="http://schemas.openxmlformats.org/officeDocument/2006/relationships" r:id="rId174"/>
          <a:extLst>
            <a:ext uri="{FF2B5EF4-FFF2-40B4-BE49-F238E27FC236}">
              <a16:creationId xmlns:a16="http://schemas.microsoft.com/office/drawing/2014/main" id="{6FF53FA6-C284-4FF3-B576-43755F91B4A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0" name="AutoShape 177" descr="USA">
          <a:hlinkClick xmlns:r="http://schemas.openxmlformats.org/officeDocument/2006/relationships" r:id="rId174"/>
          <a:extLst>
            <a:ext uri="{FF2B5EF4-FFF2-40B4-BE49-F238E27FC236}">
              <a16:creationId xmlns:a16="http://schemas.microsoft.com/office/drawing/2014/main" id="{66A26645-F42B-45BE-96E9-7CA9CFB8B6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1" name="AutoShape 177" descr="USA">
          <a:hlinkClick xmlns:r="http://schemas.openxmlformats.org/officeDocument/2006/relationships" r:id="rId174"/>
          <a:extLst>
            <a:ext uri="{FF2B5EF4-FFF2-40B4-BE49-F238E27FC236}">
              <a16:creationId xmlns:a16="http://schemas.microsoft.com/office/drawing/2014/main" id="{9EFD5A14-2D26-442D-A89E-154D3EA95FA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2" name="AutoShape 177" descr="USA">
          <a:hlinkClick xmlns:r="http://schemas.openxmlformats.org/officeDocument/2006/relationships" r:id="rId174"/>
          <a:extLst>
            <a:ext uri="{FF2B5EF4-FFF2-40B4-BE49-F238E27FC236}">
              <a16:creationId xmlns:a16="http://schemas.microsoft.com/office/drawing/2014/main" id="{B612A814-1FC0-4412-94EC-5D7E0FEF127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3" name="AutoShape 177" descr="USA">
          <a:hlinkClick xmlns:r="http://schemas.openxmlformats.org/officeDocument/2006/relationships" r:id="rId174"/>
          <a:extLst>
            <a:ext uri="{FF2B5EF4-FFF2-40B4-BE49-F238E27FC236}">
              <a16:creationId xmlns:a16="http://schemas.microsoft.com/office/drawing/2014/main" id="{045611AA-2DE8-4B6F-9E28-9E770414B02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4" name="AutoShape 177" descr="USA">
          <a:hlinkClick xmlns:r="http://schemas.openxmlformats.org/officeDocument/2006/relationships" r:id="rId174"/>
          <a:extLst>
            <a:ext uri="{FF2B5EF4-FFF2-40B4-BE49-F238E27FC236}">
              <a16:creationId xmlns:a16="http://schemas.microsoft.com/office/drawing/2014/main" id="{C8868FEA-06B4-4DA8-B450-5AF71BF39B7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26</xdr:row>
      <xdr:rowOff>0</xdr:rowOff>
    </xdr:from>
    <xdr:ext cx="304800" cy="317500"/>
    <xdr:sp macro="" textlink="">
      <xdr:nvSpPr>
        <xdr:cNvPr id="765" name="AutoShape 177" descr="USA">
          <a:hlinkClick xmlns:r="http://schemas.openxmlformats.org/officeDocument/2006/relationships" r:id="rId174"/>
          <a:extLst>
            <a:ext uri="{FF2B5EF4-FFF2-40B4-BE49-F238E27FC236}">
              <a16:creationId xmlns:a16="http://schemas.microsoft.com/office/drawing/2014/main" id="{5F342350-4788-4EAC-B56C-92B0061FB49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66" name="AutoShape 177" descr="USA">
          <a:hlinkClick xmlns:r="http://schemas.openxmlformats.org/officeDocument/2006/relationships" r:id="rId174"/>
          <a:extLst>
            <a:ext uri="{FF2B5EF4-FFF2-40B4-BE49-F238E27FC236}">
              <a16:creationId xmlns:a16="http://schemas.microsoft.com/office/drawing/2014/main" id="{B59B711A-492F-4B04-AAC0-C94CEEBA5C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67" name="AutoShape 171" descr="USA">
          <a:hlinkClick xmlns:r="http://schemas.openxmlformats.org/officeDocument/2006/relationships" r:id="rId165"/>
          <a:extLst>
            <a:ext uri="{FF2B5EF4-FFF2-40B4-BE49-F238E27FC236}">
              <a16:creationId xmlns:a16="http://schemas.microsoft.com/office/drawing/2014/main" id="{F198B9FE-903C-40A4-B4BE-EFA98B464BC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68" name="AutoShape 177" descr="USA">
          <a:hlinkClick xmlns:r="http://schemas.openxmlformats.org/officeDocument/2006/relationships" r:id="rId174"/>
          <a:extLst>
            <a:ext uri="{FF2B5EF4-FFF2-40B4-BE49-F238E27FC236}">
              <a16:creationId xmlns:a16="http://schemas.microsoft.com/office/drawing/2014/main" id="{B22DFDDB-AA25-4AB6-A059-287CE8035B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69" name="AutoShape 177" descr="USA">
          <a:hlinkClick xmlns:r="http://schemas.openxmlformats.org/officeDocument/2006/relationships" r:id="rId174"/>
          <a:extLst>
            <a:ext uri="{FF2B5EF4-FFF2-40B4-BE49-F238E27FC236}">
              <a16:creationId xmlns:a16="http://schemas.microsoft.com/office/drawing/2014/main" id="{4BA1F523-C0D9-4941-849D-D9C34FD9788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0" name="AutoShape 177" descr="USA">
          <a:hlinkClick xmlns:r="http://schemas.openxmlformats.org/officeDocument/2006/relationships" r:id="rId174"/>
          <a:extLst>
            <a:ext uri="{FF2B5EF4-FFF2-40B4-BE49-F238E27FC236}">
              <a16:creationId xmlns:a16="http://schemas.microsoft.com/office/drawing/2014/main" id="{BEC222F0-A5FE-48C8-AE86-435085FEED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1" name="AutoShape 177" descr="USA">
          <a:hlinkClick xmlns:r="http://schemas.openxmlformats.org/officeDocument/2006/relationships" r:id="rId174"/>
          <a:extLst>
            <a:ext uri="{FF2B5EF4-FFF2-40B4-BE49-F238E27FC236}">
              <a16:creationId xmlns:a16="http://schemas.microsoft.com/office/drawing/2014/main" id="{6C9211C4-B8FE-46BB-9059-5F36F82EA49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2" name="AutoShape 177" descr="USA">
          <a:hlinkClick xmlns:r="http://schemas.openxmlformats.org/officeDocument/2006/relationships" r:id="rId174"/>
          <a:extLst>
            <a:ext uri="{FF2B5EF4-FFF2-40B4-BE49-F238E27FC236}">
              <a16:creationId xmlns:a16="http://schemas.microsoft.com/office/drawing/2014/main" id="{3DCCBC37-C8E4-46E8-A9AB-DBF6F471A5D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3" name="AutoShape 177" descr="USA">
          <a:hlinkClick xmlns:r="http://schemas.openxmlformats.org/officeDocument/2006/relationships" r:id="rId174"/>
          <a:extLst>
            <a:ext uri="{FF2B5EF4-FFF2-40B4-BE49-F238E27FC236}">
              <a16:creationId xmlns:a16="http://schemas.microsoft.com/office/drawing/2014/main" id="{1D37A5C6-38E2-494E-8100-3891490DABA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27</xdr:row>
      <xdr:rowOff>0</xdr:rowOff>
    </xdr:from>
    <xdr:ext cx="304800" cy="317500"/>
    <xdr:sp macro="" textlink="">
      <xdr:nvSpPr>
        <xdr:cNvPr id="774" name="AutoShape 177" descr="USA">
          <a:hlinkClick xmlns:r="http://schemas.openxmlformats.org/officeDocument/2006/relationships" r:id="rId174"/>
          <a:extLst>
            <a:ext uri="{FF2B5EF4-FFF2-40B4-BE49-F238E27FC236}">
              <a16:creationId xmlns:a16="http://schemas.microsoft.com/office/drawing/2014/main" id="{029D8445-903B-45E4-8B04-C2C86F13AAC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75" name="AutoShape 177" descr="USA">
          <a:hlinkClick xmlns:r="http://schemas.openxmlformats.org/officeDocument/2006/relationships" r:id="rId174"/>
          <a:extLst>
            <a:ext uri="{FF2B5EF4-FFF2-40B4-BE49-F238E27FC236}">
              <a16:creationId xmlns:a16="http://schemas.microsoft.com/office/drawing/2014/main" id="{C57621D2-908A-475F-85CE-52710D01A6E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6" name="AutoShape 171" descr="USA">
          <a:hlinkClick xmlns:r="http://schemas.openxmlformats.org/officeDocument/2006/relationships" r:id="rId165"/>
          <a:extLst>
            <a:ext uri="{FF2B5EF4-FFF2-40B4-BE49-F238E27FC236}">
              <a16:creationId xmlns:a16="http://schemas.microsoft.com/office/drawing/2014/main" id="{96004DD2-9CDE-4F67-A1A2-8E735B40A34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7" name="AutoShape 177" descr="USA">
          <a:hlinkClick xmlns:r="http://schemas.openxmlformats.org/officeDocument/2006/relationships" r:id="rId174"/>
          <a:extLst>
            <a:ext uri="{FF2B5EF4-FFF2-40B4-BE49-F238E27FC236}">
              <a16:creationId xmlns:a16="http://schemas.microsoft.com/office/drawing/2014/main" id="{A062FC7C-CCDF-4B8C-9F28-2D269FDC25A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8" name="AutoShape 177" descr="USA">
          <a:hlinkClick xmlns:r="http://schemas.openxmlformats.org/officeDocument/2006/relationships" r:id="rId174"/>
          <a:extLst>
            <a:ext uri="{FF2B5EF4-FFF2-40B4-BE49-F238E27FC236}">
              <a16:creationId xmlns:a16="http://schemas.microsoft.com/office/drawing/2014/main" id="{EE9B5881-87FB-4F0A-B365-8C9EDC5A229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79" name="AutoShape 177" descr="USA">
          <a:hlinkClick xmlns:r="http://schemas.openxmlformats.org/officeDocument/2006/relationships" r:id="rId174"/>
          <a:extLst>
            <a:ext uri="{FF2B5EF4-FFF2-40B4-BE49-F238E27FC236}">
              <a16:creationId xmlns:a16="http://schemas.microsoft.com/office/drawing/2014/main" id="{CA7ACAA2-392D-44A6-B1D2-228CADD96C5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0" name="AutoShape 177" descr="USA">
          <a:hlinkClick xmlns:r="http://schemas.openxmlformats.org/officeDocument/2006/relationships" r:id="rId174"/>
          <a:extLst>
            <a:ext uri="{FF2B5EF4-FFF2-40B4-BE49-F238E27FC236}">
              <a16:creationId xmlns:a16="http://schemas.microsoft.com/office/drawing/2014/main" id="{58C7C84F-6975-4114-B530-6D32896F53D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1" name="AutoShape 177" descr="USA">
          <a:hlinkClick xmlns:r="http://schemas.openxmlformats.org/officeDocument/2006/relationships" r:id="rId174"/>
          <a:extLst>
            <a:ext uri="{FF2B5EF4-FFF2-40B4-BE49-F238E27FC236}">
              <a16:creationId xmlns:a16="http://schemas.microsoft.com/office/drawing/2014/main" id="{4E35BE6B-8A22-4DA6-B540-D2661AE1487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2" name="AutoShape 177" descr="USA">
          <a:hlinkClick xmlns:r="http://schemas.openxmlformats.org/officeDocument/2006/relationships" r:id="rId174"/>
          <a:extLst>
            <a:ext uri="{FF2B5EF4-FFF2-40B4-BE49-F238E27FC236}">
              <a16:creationId xmlns:a16="http://schemas.microsoft.com/office/drawing/2014/main" id="{958F7736-8C0E-4D74-992A-8BB4AE04790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28</xdr:row>
      <xdr:rowOff>0</xdr:rowOff>
    </xdr:from>
    <xdr:ext cx="304800" cy="317500"/>
    <xdr:sp macro="" textlink="">
      <xdr:nvSpPr>
        <xdr:cNvPr id="783" name="AutoShape 177" descr="USA">
          <a:hlinkClick xmlns:r="http://schemas.openxmlformats.org/officeDocument/2006/relationships" r:id="rId174"/>
          <a:extLst>
            <a:ext uri="{FF2B5EF4-FFF2-40B4-BE49-F238E27FC236}">
              <a16:creationId xmlns:a16="http://schemas.microsoft.com/office/drawing/2014/main" id="{914DDECA-963B-4D26-B4FC-E926123B370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84" name="AutoShape 177" descr="USA">
          <a:hlinkClick xmlns:r="http://schemas.openxmlformats.org/officeDocument/2006/relationships" r:id="rId174"/>
          <a:extLst>
            <a:ext uri="{FF2B5EF4-FFF2-40B4-BE49-F238E27FC236}">
              <a16:creationId xmlns:a16="http://schemas.microsoft.com/office/drawing/2014/main" id="{FDBCB644-6503-49C1-B54B-0478A587603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5" name="AutoShape 171" descr="USA">
          <a:hlinkClick xmlns:r="http://schemas.openxmlformats.org/officeDocument/2006/relationships" r:id="rId165"/>
          <a:extLst>
            <a:ext uri="{FF2B5EF4-FFF2-40B4-BE49-F238E27FC236}">
              <a16:creationId xmlns:a16="http://schemas.microsoft.com/office/drawing/2014/main" id="{03C1FC3B-95DC-4EBF-870F-EFBCFE19EF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6" name="AutoShape 177" descr="USA">
          <a:hlinkClick xmlns:r="http://schemas.openxmlformats.org/officeDocument/2006/relationships" r:id="rId174"/>
          <a:extLst>
            <a:ext uri="{FF2B5EF4-FFF2-40B4-BE49-F238E27FC236}">
              <a16:creationId xmlns:a16="http://schemas.microsoft.com/office/drawing/2014/main" id="{CF6B8CE4-CA8A-4387-BE24-068BE08492B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7" name="AutoShape 177" descr="USA">
          <a:hlinkClick xmlns:r="http://schemas.openxmlformats.org/officeDocument/2006/relationships" r:id="rId174"/>
          <a:extLst>
            <a:ext uri="{FF2B5EF4-FFF2-40B4-BE49-F238E27FC236}">
              <a16:creationId xmlns:a16="http://schemas.microsoft.com/office/drawing/2014/main" id="{A12B0ECC-D9B4-44F6-9E4E-CC41F2FD930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8" name="AutoShape 177" descr="USA">
          <a:hlinkClick xmlns:r="http://schemas.openxmlformats.org/officeDocument/2006/relationships" r:id="rId174"/>
          <a:extLst>
            <a:ext uri="{FF2B5EF4-FFF2-40B4-BE49-F238E27FC236}">
              <a16:creationId xmlns:a16="http://schemas.microsoft.com/office/drawing/2014/main" id="{CC27955E-2540-4C70-B889-343F50D4C44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89" name="AutoShape 177" descr="USA">
          <a:hlinkClick xmlns:r="http://schemas.openxmlformats.org/officeDocument/2006/relationships" r:id="rId174"/>
          <a:extLst>
            <a:ext uri="{FF2B5EF4-FFF2-40B4-BE49-F238E27FC236}">
              <a16:creationId xmlns:a16="http://schemas.microsoft.com/office/drawing/2014/main" id="{B6FFEC9D-7E43-4036-8DFE-733C4B9E248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90" name="AutoShape 177" descr="USA">
          <a:hlinkClick xmlns:r="http://schemas.openxmlformats.org/officeDocument/2006/relationships" r:id="rId174"/>
          <a:extLst>
            <a:ext uri="{FF2B5EF4-FFF2-40B4-BE49-F238E27FC236}">
              <a16:creationId xmlns:a16="http://schemas.microsoft.com/office/drawing/2014/main" id="{668304E2-11CC-4210-BF3D-73762F5A65B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91" name="AutoShape 177" descr="USA">
          <a:hlinkClick xmlns:r="http://schemas.openxmlformats.org/officeDocument/2006/relationships" r:id="rId174"/>
          <a:extLst>
            <a:ext uri="{FF2B5EF4-FFF2-40B4-BE49-F238E27FC236}">
              <a16:creationId xmlns:a16="http://schemas.microsoft.com/office/drawing/2014/main" id="{BF26BAAC-35F6-4028-A661-60C647E968A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29</xdr:row>
      <xdr:rowOff>0</xdr:rowOff>
    </xdr:from>
    <xdr:ext cx="304800" cy="317500"/>
    <xdr:sp macro="" textlink="">
      <xdr:nvSpPr>
        <xdr:cNvPr id="792" name="AutoShape 177" descr="USA">
          <a:hlinkClick xmlns:r="http://schemas.openxmlformats.org/officeDocument/2006/relationships" r:id="rId174"/>
          <a:extLst>
            <a:ext uri="{FF2B5EF4-FFF2-40B4-BE49-F238E27FC236}">
              <a16:creationId xmlns:a16="http://schemas.microsoft.com/office/drawing/2014/main" id="{398F658F-0D78-457E-8B61-CDF46F7D3C4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793" name="AutoShape 177" descr="USA">
          <a:hlinkClick xmlns:r="http://schemas.openxmlformats.org/officeDocument/2006/relationships" r:id="rId174"/>
          <a:extLst>
            <a:ext uri="{FF2B5EF4-FFF2-40B4-BE49-F238E27FC236}">
              <a16:creationId xmlns:a16="http://schemas.microsoft.com/office/drawing/2014/main" id="{08A91F9A-2FCC-4F8B-89D9-5965E0416D5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4" name="AutoShape 171" descr="USA">
          <a:hlinkClick xmlns:r="http://schemas.openxmlformats.org/officeDocument/2006/relationships" r:id="rId165"/>
          <a:extLst>
            <a:ext uri="{FF2B5EF4-FFF2-40B4-BE49-F238E27FC236}">
              <a16:creationId xmlns:a16="http://schemas.microsoft.com/office/drawing/2014/main" id="{3D6F706B-79EC-4165-A458-8D97265CBC1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5" name="AutoShape 177" descr="USA">
          <a:hlinkClick xmlns:r="http://schemas.openxmlformats.org/officeDocument/2006/relationships" r:id="rId174"/>
          <a:extLst>
            <a:ext uri="{FF2B5EF4-FFF2-40B4-BE49-F238E27FC236}">
              <a16:creationId xmlns:a16="http://schemas.microsoft.com/office/drawing/2014/main" id="{C302ED82-E5CF-487B-8B09-ACFCD8511D3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6" name="AutoShape 177" descr="USA">
          <a:hlinkClick xmlns:r="http://schemas.openxmlformats.org/officeDocument/2006/relationships" r:id="rId174"/>
          <a:extLst>
            <a:ext uri="{FF2B5EF4-FFF2-40B4-BE49-F238E27FC236}">
              <a16:creationId xmlns:a16="http://schemas.microsoft.com/office/drawing/2014/main" id="{4F1FEE69-E8B7-4416-A747-C82497C498D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7" name="AutoShape 177" descr="USA">
          <a:hlinkClick xmlns:r="http://schemas.openxmlformats.org/officeDocument/2006/relationships" r:id="rId174"/>
          <a:extLst>
            <a:ext uri="{FF2B5EF4-FFF2-40B4-BE49-F238E27FC236}">
              <a16:creationId xmlns:a16="http://schemas.microsoft.com/office/drawing/2014/main" id="{D1981355-1BA4-4A28-A92A-9B2C92E1A6D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8" name="AutoShape 177" descr="USA">
          <a:hlinkClick xmlns:r="http://schemas.openxmlformats.org/officeDocument/2006/relationships" r:id="rId174"/>
          <a:extLst>
            <a:ext uri="{FF2B5EF4-FFF2-40B4-BE49-F238E27FC236}">
              <a16:creationId xmlns:a16="http://schemas.microsoft.com/office/drawing/2014/main" id="{E7A99A18-62E9-4AFA-9F89-A3CF4903A1E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799" name="AutoShape 177" descr="USA">
          <a:hlinkClick xmlns:r="http://schemas.openxmlformats.org/officeDocument/2006/relationships" r:id="rId174"/>
          <a:extLst>
            <a:ext uri="{FF2B5EF4-FFF2-40B4-BE49-F238E27FC236}">
              <a16:creationId xmlns:a16="http://schemas.microsoft.com/office/drawing/2014/main" id="{11FCB651-E21B-45A1-A347-592E6C8C3D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800" name="AutoShape 177" descr="USA">
          <a:hlinkClick xmlns:r="http://schemas.openxmlformats.org/officeDocument/2006/relationships" r:id="rId174"/>
          <a:extLst>
            <a:ext uri="{FF2B5EF4-FFF2-40B4-BE49-F238E27FC236}">
              <a16:creationId xmlns:a16="http://schemas.microsoft.com/office/drawing/2014/main" id="{36E31841-8132-410C-8011-16B53F5EBB1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30</xdr:row>
      <xdr:rowOff>0</xdr:rowOff>
    </xdr:from>
    <xdr:ext cx="304800" cy="317500"/>
    <xdr:sp macro="" textlink="">
      <xdr:nvSpPr>
        <xdr:cNvPr id="801" name="AutoShape 177" descr="USA">
          <a:hlinkClick xmlns:r="http://schemas.openxmlformats.org/officeDocument/2006/relationships" r:id="rId174"/>
          <a:extLst>
            <a:ext uri="{FF2B5EF4-FFF2-40B4-BE49-F238E27FC236}">
              <a16:creationId xmlns:a16="http://schemas.microsoft.com/office/drawing/2014/main" id="{5A4E6B31-F9FC-4227-8DD7-4CC1A44D17A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02" name="AutoShape 177" descr="USA">
          <a:hlinkClick xmlns:r="http://schemas.openxmlformats.org/officeDocument/2006/relationships" r:id="rId174"/>
          <a:extLst>
            <a:ext uri="{FF2B5EF4-FFF2-40B4-BE49-F238E27FC236}">
              <a16:creationId xmlns:a16="http://schemas.microsoft.com/office/drawing/2014/main" id="{07EBD300-4CD6-432D-8673-076ECF94AA7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3" name="AutoShape 171" descr="USA">
          <a:hlinkClick xmlns:r="http://schemas.openxmlformats.org/officeDocument/2006/relationships" r:id="rId165"/>
          <a:extLst>
            <a:ext uri="{FF2B5EF4-FFF2-40B4-BE49-F238E27FC236}">
              <a16:creationId xmlns:a16="http://schemas.microsoft.com/office/drawing/2014/main" id="{55484995-89DF-47CC-AF76-E2E3E7849FA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4" name="AutoShape 177" descr="USA">
          <a:hlinkClick xmlns:r="http://schemas.openxmlformats.org/officeDocument/2006/relationships" r:id="rId174"/>
          <a:extLst>
            <a:ext uri="{FF2B5EF4-FFF2-40B4-BE49-F238E27FC236}">
              <a16:creationId xmlns:a16="http://schemas.microsoft.com/office/drawing/2014/main" id="{C5C19B36-7B82-4860-85E2-360B6B1B219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5" name="AutoShape 177" descr="USA">
          <a:hlinkClick xmlns:r="http://schemas.openxmlformats.org/officeDocument/2006/relationships" r:id="rId174"/>
          <a:extLst>
            <a:ext uri="{FF2B5EF4-FFF2-40B4-BE49-F238E27FC236}">
              <a16:creationId xmlns:a16="http://schemas.microsoft.com/office/drawing/2014/main" id="{CBA4752C-D895-4EEB-9FB7-E0734862753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6" name="AutoShape 177" descr="USA">
          <a:hlinkClick xmlns:r="http://schemas.openxmlformats.org/officeDocument/2006/relationships" r:id="rId174"/>
          <a:extLst>
            <a:ext uri="{FF2B5EF4-FFF2-40B4-BE49-F238E27FC236}">
              <a16:creationId xmlns:a16="http://schemas.microsoft.com/office/drawing/2014/main" id="{9304343F-DA5D-4000-904B-BCDAD279676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7" name="AutoShape 177" descr="USA">
          <a:hlinkClick xmlns:r="http://schemas.openxmlformats.org/officeDocument/2006/relationships" r:id="rId174"/>
          <a:extLst>
            <a:ext uri="{FF2B5EF4-FFF2-40B4-BE49-F238E27FC236}">
              <a16:creationId xmlns:a16="http://schemas.microsoft.com/office/drawing/2014/main" id="{83E3EA35-2709-4DDA-811D-E9F4E1A0461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8" name="AutoShape 177" descr="USA">
          <a:hlinkClick xmlns:r="http://schemas.openxmlformats.org/officeDocument/2006/relationships" r:id="rId174"/>
          <a:extLst>
            <a:ext uri="{FF2B5EF4-FFF2-40B4-BE49-F238E27FC236}">
              <a16:creationId xmlns:a16="http://schemas.microsoft.com/office/drawing/2014/main" id="{5CD189F5-5A5D-4A20-86AF-340E7A0F7E2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09" name="AutoShape 177" descr="USA">
          <a:hlinkClick xmlns:r="http://schemas.openxmlformats.org/officeDocument/2006/relationships" r:id="rId174"/>
          <a:extLst>
            <a:ext uri="{FF2B5EF4-FFF2-40B4-BE49-F238E27FC236}">
              <a16:creationId xmlns:a16="http://schemas.microsoft.com/office/drawing/2014/main" id="{B94B6F9B-18BB-44EA-969A-992FAA25162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31</xdr:row>
      <xdr:rowOff>0</xdr:rowOff>
    </xdr:from>
    <xdr:ext cx="304800" cy="317500"/>
    <xdr:sp macro="" textlink="">
      <xdr:nvSpPr>
        <xdr:cNvPr id="810" name="AutoShape 177" descr="USA">
          <a:hlinkClick xmlns:r="http://schemas.openxmlformats.org/officeDocument/2006/relationships" r:id="rId174"/>
          <a:extLst>
            <a:ext uri="{FF2B5EF4-FFF2-40B4-BE49-F238E27FC236}">
              <a16:creationId xmlns:a16="http://schemas.microsoft.com/office/drawing/2014/main" id="{9BBE084D-836D-49B8-848F-E4EAEDA01FB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11" name="AutoShape 177" descr="USA">
          <a:hlinkClick xmlns:r="http://schemas.openxmlformats.org/officeDocument/2006/relationships" r:id="rId174"/>
          <a:extLst>
            <a:ext uri="{FF2B5EF4-FFF2-40B4-BE49-F238E27FC236}">
              <a16:creationId xmlns:a16="http://schemas.microsoft.com/office/drawing/2014/main" id="{C9772773-4D62-4027-AD65-692106F2946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2" name="AutoShape 171" descr="USA">
          <a:hlinkClick xmlns:r="http://schemas.openxmlformats.org/officeDocument/2006/relationships" r:id="rId165"/>
          <a:extLst>
            <a:ext uri="{FF2B5EF4-FFF2-40B4-BE49-F238E27FC236}">
              <a16:creationId xmlns:a16="http://schemas.microsoft.com/office/drawing/2014/main" id="{6989D374-B664-4A00-AF96-0BCD68274C2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3" name="AutoShape 177" descr="USA">
          <a:hlinkClick xmlns:r="http://schemas.openxmlformats.org/officeDocument/2006/relationships" r:id="rId174"/>
          <a:extLst>
            <a:ext uri="{FF2B5EF4-FFF2-40B4-BE49-F238E27FC236}">
              <a16:creationId xmlns:a16="http://schemas.microsoft.com/office/drawing/2014/main" id="{B5996327-6380-4FFD-9480-F98FECC5BC5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4" name="AutoShape 177" descr="USA">
          <a:hlinkClick xmlns:r="http://schemas.openxmlformats.org/officeDocument/2006/relationships" r:id="rId174"/>
          <a:extLst>
            <a:ext uri="{FF2B5EF4-FFF2-40B4-BE49-F238E27FC236}">
              <a16:creationId xmlns:a16="http://schemas.microsoft.com/office/drawing/2014/main" id="{E9732EC5-B8FE-4BBC-BDEC-E071DF8ECE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5" name="AutoShape 177" descr="USA">
          <a:hlinkClick xmlns:r="http://schemas.openxmlformats.org/officeDocument/2006/relationships" r:id="rId174"/>
          <a:extLst>
            <a:ext uri="{FF2B5EF4-FFF2-40B4-BE49-F238E27FC236}">
              <a16:creationId xmlns:a16="http://schemas.microsoft.com/office/drawing/2014/main" id="{9466A117-B382-4800-8AD2-D6AEBC8758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6" name="AutoShape 177" descr="USA">
          <a:hlinkClick xmlns:r="http://schemas.openxmlformats.org/officeDocument/2006/relationships" r:id="rId174"/>
          <a:extLst>
            <a:ext uri="{FF2B5EF4-FFF2-40B4-BE49-F238E27FC236}">
              <a16:creationId xmlns:a16="http://schemas.microsoft.com/office/drawing/2014/main" id="{11A2D435-E975-4D5C-998A-52577FB6214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7" name="AutoShape 177" descr="USA">
          <a:hlinkClick xmlns:r="http://schemas.openxmlformats.org/officeDocument/2006/relationships" r:id="rId174"/>
          <a:extLst>
            <a:ext uri="{FF2B5EF4-FFF2-40B4-BE49-F238E27FC236}">
              <a16:creationId xmlns:a16="http://schemas.microsoft.com/office/drawing/2014/main" id="{7EF5CDA4-C433-4809-9E53-2505D25FB86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8" name="AutoShape 177" descr="USA">
          <a:hlinkClick xmlns:r="http://schemas.openxmlformats.org/officeDocument/2006/relationships" r:id="rId174"/>
          <a:extLst>
            <a:ext uri="{FF2B5EF4-FFF2-40B4-BE49-F238E27FC236}">
              <a16:creationId xmlns:a16="http://schemas.microsoft.com/office/drawing/2014/main" id="{0369387F-3D6A-48FE-9F54-5AD8365EE5F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17500"/>
    <xdr:sp macro="" textlink="">
      <xdr:nvSpPr>
        <xdr:cNvPr id="819" name="AutoShape 177" descr="USA">
          <a:hlinkClick xmlns:r="http://schemas.openxmlformats.org/officeDocument/2006/relationships" r:id="rId174"/>
          <a:extLst>
            <a:ext uri="{FF2B5EF4-FFF2-40B4-BE49-F238E27FC236}">
              <a16:creationId xmlns:a16="http://schemas.microsoft.com/office/drawing/2014/main" id="{1C2CB5F7-D446-4202-BCE6-0D9398578BE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20" name="AutoShape 177" descr="USA">
          <a:hlinkClick xmlns:r="http://schemas.openxmlformats.org/officeDocument/2006/relationships" r:id="rId174"/>
          <a:extLst>
            <a:ext uri="{FF2B5EF4-FFF2-40B4-BE49-F238E27FC236}">
              <a16:creationId xmlns:a16="http://schemas.microsoft.com/office/drawing/2014/main" id="{C3099119-A445-420C-B1BC-73CE7A82CB4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1" name="AutoShape 171" descr="USA">
          <a:hlinkClick xmlns:r="http://schemas.openxmlformats.org/officeDocument/2006/relationships" r:id="rId165"/>
          <a:extLst>
            <a:ext uri="{FF2B5EF4-FFF2-40B4-BE49-F238E27FC236}">
              <a16:creationId xmlns:a16="http://schemas.microsoft.com/office/drawing/2014/main" id="{A921A135-3578-44A9-A48C-156C9D22381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2" name="AutoShape 177" descr="USA">
          <a:hlinkClick xmlns:r="http://schemas.openxmlformats.org/officeDocument/2006/relationships" r:id="rId174"/>
          <a:extLst>
            <a:ext uri="{FF2B5EF4-FFF2-40B4-BE49-F238E27FC236}">
              <a16:creationId xmlns:a16="http://schemas.microsoft.com/office/drawing/2014/main" id="{54E06428-E0FE-4CE1-B732-FFD9C9307E0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3" name="AutoShape 177" descr="USA">
          <a:hlinkClick xmlns:r="http://schemas.openxmlformats.org/officeDocument/2006/relationships" r:id="rId174"/>
          <a:extLst>
            <a:ext uri="{FF2B5EF4-FFF2-40B4-BE49-F238E27FC236}">
              <a16:creationId xmlns:a16="http://schemas.microsoft.com/office/drawing/2014/main" id="{ED001E70-0E12-4F32-B479-F718404D429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4" name="AutoShape 177" descr="USA">
          <a:hlinkClick xmlns:r="http://schemas.openxmlformats.org/officeDocument/2006/relationships" r:id="rId174"/>
          <a:extLst>
            <a:ext uri="{FF2B5EF4-FFF2-40B4-BE49-F238E27FC236}">
              <a16:creationId xmlns:a16="http://schemas.microsoft.com/office/drawing/2014/main" id="{0B971566-387B-4C78-AE60-3E17D5AB6CA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5" name="AutoShape 177" descr="USA">
          <a:hlinkClick xmlns:r="http://schemas.openxmlformats.org/officeDocument/2006/relationships" r:id="rId174"/>
          <a:extLst>
            <a:ext uri="{FF2B5EF4-FFF2-40B4-BE49-F238E27FC236}">
              <a16:creationId xmlns:a16="http://schemas.microsoft.com/office/drawing/2014/main" id="{C257BD43-9A47-4A68-82B4-28A8ED28A6A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6" name="AutoShape 177" descr="USA">
          <a:hlinkClick xmlns:r="http://schemas.openxmlformats.org/officeDocument/2006/relationships" r:id="rId174"/>
          <a:extLst>
            <a:ext uri="{FF2B5EF4-FFF2-40B4-BE49-F238E27FC236}">
              <a16:creationId xmlns:a16="http://schemas.microsoft.com/office/drawing/2014/main" id="{FEE6037E-0983-4AE0-B8CC-B246F21F00C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7" name="AutoShape 177" descr="USA">
          <a:hlinkClick xmlns:r="http://schemas.openxmlformats.org/officeDocument/2006/relationships" r:id="rId174"/>
          <a:extLst>
            <a:ext uri="{FF2B5EF4-FFF2-40B4-BE49-F238E27FC236}">
              <a16:creationId xmlns:a16="http://schemas.microsoft.com/office/drawing/2014/main" id="{D65FAA7D-0492-4F05-B56D-A0C0B2A60FE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33</xdr:row>
      <xdr:rowOff>0</xdr:rowOff>
    </xdr:from>
    <xdr:ext cx="304800" cy="317500"/>
    <xdr:sp macro="" textlink="">
      <xdr:nvSpPr>
        <xdr:cNvPr id="828" name="AutoShape 177" descr="USA">
          <a:hlinkClick xmlns:r="http://schemas.openxmlformats.org/officeDocument/2006/relationships" r:id="rId174"/>
          <a:extLst>
            <a:ext uri="{FF2B5EF4-FFF2-40B4-BE49-F238E27FC236}">
              <a16:creationId xmlns:a16="http://schemas.microsoft.com/office/drawing/2014/main" id="{D8215BAA-DD0B-4C83-A907-75571005EF0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29" name="AutoShape 177" descr="USA">
          <a:hlinkClick xmlns:r="http://schemas.openxmlformats.org/officeDocument/2006/relationships" r:id="rId174"/>
          <a:extLst>
            <a:ext uri="{FF2B5EF4-FFF2-40B4-BE49-F238E27FC236}">
              <a16:creationId xmlns:a16="http://schemas.microsoft.com/office/drawing/2014/main" id="{A0BC4E3C-5726-447E-A8C4-163FF031BE9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0" name="AutoShape 171" descr="USA">
          <a:hlinkClick xmlns:r="http://schemas.openxmlformats.org/officeDocument/2006/relationships" r:id="rId165"/>
          <a:extLst>
            <a:ext uri="{FF2B5EF4-FFF2-40B4-BE49-F238E27FC236}">
              <a16:creationId xmlns:a16="http://schemas.microsoft.com/office/drawing/2014/main" id="{6C9EC1C2-CD47-4C46-A65B-C022E91D31F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1" name="AutoShape 177" descr="USA">
          <a:hlinkClick xmlns:r="http://schemas.openxmlformats.org/officeDocument/2006/relationships" r:id="rId174"/>
          <a:extLst>
            <a:ext uri="{FF2B5EF4-FFF2-40B4-BE49-F238E27FC236}">
              <a16:creationId xmlns:a16="http://schemas.microsoft.com/office/drawing/2014/main" id="{76882F92-C855-4B39-B253-EC3A6436E34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2" name="AutoShape 177" descr="USA">
          <a:hlinkClick xmlns:r="http://schemas.openxmlformats.org/officeDocument/2006/relationships" r:id="rId174"/>
          <a:extLst>
            <a:ext uri="{FF2B5EF4-FFF2-40B4-BE49-F238E27FC236}">
              <a16:creationId xmlns:a16="http://schemas.microsoft.com/office/drawing/2014/main" id="{80456594-EACF-4854-8D2E-6382DBE30DD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3" name="AutoShape 177" descr="USA">
          <a:hlinkClick xmlns:r="http://schemas.openxmlformats.org/officeDocument/2006/relationships" r:id="rId174"/>
          <a:extLst>
            <a:ext uri="{FF2B5EF4-FFF2-40B4-BE49-F238E27FC236}">
              <a16:creationId xmlns:a16="http://schemas.microsoft.com/office/drawing/2014/main" id="{469B83F3-29D5-453F-BBAB-A6ED3DD69B4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4" name="AutoShape 177" descr="USA">
          <a:hlinkClick xmlns:r="http://schemas.openxmlformats.org/officeDocument/2006/relationships" r:id="rId174"/>
          <a:extLst>
            <a:ext uri="{FF2B5EF4-FFF2-40B4-BE49-F238E27FC236}">
              <a16:creationId xmlns:a16="http://schemas.microsoft.com/office/drawing/2014/main" id="{9AF0049E-84CA-4107-9C44-9580BF0FF3D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5" name="AutoShape 177" descr="USA">
          <a:hlinkClick xmlns:r="http://schemas.openxmlformats.org/officeDocument/2006/relationships" r:id="rId174"/>
          <a:extLst>
            <a:ext uri="{FF2B5EF4-FFF2-40B4-BE49-F238E27FC236}">
              <a16:creationId xmlns:a16="http://schemas.microsoft.com/office/drawing/2014/main" id="{8F9DF13B-4F9F-4A2A-A7FD-0CD947E37B8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6" name="AutoShape 177" descr="USA">
          <a:hlinkClick xmlns:r="http://schemas.openxmlformats.org/officeDocument/2006/relationships" r:id="rId174"/>
          <a:extLst>
            <a:ext uri="{FF2B5EF4-FFF2-40B4-BE49-F238E27FC236}">
              <a16:creationId xmlns:a16="http://schemas.microsoft.com/office/drawing/2014/main" id="{9D6D24FD-7688-4A5F-A3A7-5158EBA599F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34</xdr:row>
      <xdr:rowOff>0</xdr:rowOff>
    </xdr:from>
    <xdr:ext cx="304800" cy="317500"/>
    <xdr:sp macro="" textlink="">
      <xdr:nvSpPr>
        <xdr:cNvPr id="837" name="AutoShape 177" descr="USA">
          <a:hlinkClick xmlns:r="http://schemas.openxmlformats.org/officeDocument/2006/relationships" r:id="rId174"/>
          <a:extLst>
            <a:ext uri="{FF2B5EF4-FFF2-40B4-BE49-F238E27FC236}">
              <a16:creationId xmlns:a16="http://schemas.microsoft.com/office/drawing/2014/main" id="{28B8E4D5-A6D5-46BC-95E7-87D3100F7A0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38" name="AutoShape 177" descr="USA">
          <a:hlinkClick xmlns:r="http://schemas.openxmlformats.org/officeDocument/2006/relationships" r:id="rId174"/>
          <a:extLst>
            <a:ext uri="{FF2B5EF4-FFF2-40B4-BE49-F238E27FC236}">
              <a16:creationId xmlns:a16="http://schemas.microsoft.com/office/drawing/2014/main" id="{20B593F7-63F2-4B77-A363-CFAD54285D5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39" name="AutoShape 171" descr="USA">
          <a:hlinkClick xmlns:r="http://schemas.openxmlformats.org/officeDocument/2006/relationships" r:id="rId165"/>
          <a:extLst>
            <a:ext uri="{FF2B5EF4-FFF2-40B4-BE49-F238E27FC236}">
              <a16:creationId xmlns:a16="http://schemas.microsoft.com/office/drawing/2014/main" id="{BE512CB9-F597-4882-9E9A-63AB98856E2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0" name="AutoShape 177" descr="USA">
          <a:hlinkClick xmlns:r="http://schemas.openxmlformats.org/officeDocument/2006/relationships" r:id="rId174"/>
          <a:extLst>
            <a:ext uri="{FF2B5EF4-FFF2-40B4-BE49-F238E27FC236}">
              <a16:creationId xmlns:a16="http://schemas.microsoft.com/office/drawing/2014/main" id="{D3EDA000-1F5F-423F-BBCF-ECEEB0FA79D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1" name="AutoShape 177" descr="USA">
          <a:hlinkClick xmlns:r="http://schemas.openxmlformats.org/officeDocument/2006/relationships" r:id="rId174"/>
          <a:extLst>
            <a:ext uri="{FF2B5EF4-FFF2-40B4-BE49-F238E27FC236}">
              <a16:creationId xmlns:a16="http://schemas.microsoft.com/office/drawing/2014/main" id="{E1C9351E-E3FF-4FDB-B864-2C0505B3245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2" name="AutoShape 177" descr="USA">
          <a:hlinkClick xmlns:r="http://schemas.openxmlformats.org/officeDocument/2006/relationships" r:id="rId174"/>
          <a:extLst>
            <a:ext uri="{FF2B5EF4-FFF2-40B4-BE49-F238E27FC236}">
              <a16:creationId xmlns:a16="http://schemas.microsoft.com/office/drawing/2014/main" id="{388F7F38-1258-4BA4-BCFE-B0265DDE718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3" name="AutoShape 177" descr="USA">
          <a:hlinkClick xmlns:r="http://schemas.openxmlformats.org/officeDocument/2006/relationships" r:id="rId174"/>
          <a:extLst>
            <a:ext uri="{FF2B5EF4-FFF2-40B4-BE49-F238E27FC236}">
              <a16:creationId xmlns:a16="http://schemas.microsoft.com/office/drawing/2014/main" id="{7C110266-9CF1-4350-875B-A16AACED2C9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4" name="AutoShape 177" descr="USA">
          <a:hlinkClick xmlns:r="http://schemas.openxmlformats.org/officeDocument/2006/relationships" r:id="rId174"/>
          <a:extLst>
            <a:ext uri="{FF2B5EF4-FFF2-40B4-BE49-F238E27FC236}">
              <a16:creationId xmlns:a16="http://schemas.microsoft.com/office/drawing/2014/main" id="{579FE886-3291-441A-9C46-49CDABCE360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5" name="AutoShape 177" descr="USA">
          <a:hlinkClick xmlns:r="http://schemas.openxmlformats.org/officeDocument/2006/relationships" r:id="rId174"/>
          <a:extLst>
            <a:ext uri="{FF2B5EF4-FFF2-40B4-BE49-F238E27FC236}">
              <a16:creationId xmlns:a16="http://schemas.microsoft.com/office/drawing/2014/main" id="{A2CDA686-52B1-416C-9C2B-6AFA6805D4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35</xdr:row>
      <xdr:rowOff>0</xdr:rowOff>
    </xdr:from>
    <xdr:ext cx="304800" cy="317500"/>
    <xdr:sp macro="" textlink="">
      <xdr:nvSpPr>
        <xdr:cNvPr id="846" name="AutoShape 177" descr="USA">
          <a:hlinkClick xmlns:r="http://schemas.openxmlformats.org/officeDocument/2006/relationships" r:id="rId174"/>
          <a:extLst>
            <a:ext uri="{FF2B5EF4-FFF2-40B4-BE49-F238E27FC236}">
              <a16:creationId xmlns:a16="http://schemas.microsoft.com/office/drawing/2014/main" id="{11EC3192-F620-403B-BBF9-5C637F552E6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47" name="AutoShape 177" descr="USA">
          <a:hlinkClick xmlns:r="http://schemas.openxmlformats.org/officeDocument/2006/relationships" r:id="rId174"/>
          <a:extLst>
            <a:ext uri="{FF2B5EF4-FFF2-40B4-BE49-F238E27FC236}">
              <a16:creationId xmlns:a16="http://schemas.microsoft.com/office/drawing/2014/main" id="{98BDCAED-340A-49E9-BEC8-5352CDA5F3F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48" name="AutoShape 171" descr="USA">
          <a:hlinkClick xmlns:r="http://schemas.openxmlformats.org/officeDocument/2006/relationships" r:id="rId165"/>
          <a:extLst>
            <a:ext uri="{FF2B5EF4-FFF2-40B4-BE49-F238E27FC236}">
              <a16:creationId xmlns:a16="http://schemas.microsoft.com/office/drawing/2014/main" id="{8B88CC60-BB85-4FA0-A707-4ED5FB9CEDE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49" name="AutoShape 177" descr="USA">
          <a:hlinkClick xmlns:r="http://schemas.openxmlformats.org/officeDocument/2006/relationships" r:id="rId174"/>
          <a:extLst>
            <a:ext uri="{FF2B5EF4-FFF2-40B4-BE49-F238E27FC236}">
              <a16:creationId xmlns:a16="http://schemas.microsoft.com/office/drawing/2014/main" id="{57B5C777-728E-4A42-8A14-36F10532D19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0" name="AutoShape 177" descr="USA">
          <a:hlinkClick xmlns:r="http://schemas.openxmlformats.org/officeDocument/2006/relationships" r:id="rId174"/>
          <a:extLst>
            <a:ext uri="{FF2B5EF4-FFF2-40B4-BE49-F238E27FC236}">
              <a16:creationId xmlns:a16="http://schemas.microsoft.com/office/drawing/2014/main" id="{467F94B1-6493-4B5F-A8A1-BBE97FEF395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1" name="AutoShape 177" descr="USA">
          <a:hlinkClick xmlns:r="http://schemas.openxmlformats.org/officeDocument/2006/relationships" r:id="rId174"/>
          <a:extLst>
            <a:ext uri="{FF2B5EF4-FFF2-40B4-BE49-F238E27FC236}">
              <a16:creationId xmlns:a16="http://schemas.microsoft.com/office/drawing/2014/main" id="{27FD29A0-7E6F-4327-A6ED-41C8BC10660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2" name="AutoShape 177" descr="USA">
          <a:hlinkClick xmlns:r="http://schemas.openxmlformats.org/officeDocument/2006/relationships" r:id="rId174"/>
          <a:extLst>
            <a:ext uri="{FF2B5EF4-FFF2-40B4-BE49-F238E27FC236}">
              <a16:creationId xmlns:a16="http://schemas.microsoft.com/office/drawing/2014/main" id="{4BC548AA-8F1E-4950-BAE7-B65B0630925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3" name="AutoShape 177" descr="USA">
          <a:hlinkClick xmlns:r="http://schemas.openxmlformats.org/officeDocument/2006/relationships" r:id="rId174"/>
          <a:extLst>
            <a:ext uri="{FF2B5EF4-FFF2-40B4-BE49-F238E27FC236}">
              <a16:creationId xmlns:a16="http://schemas.microsoft.com/office/drawing/2014/main" id="{733BEDC3-EEF4-4784-96C8-18CDE0301B4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4" name="AutoShape 177" descr="USA">
          <a:hlinkClick xmlns:r="http://schemas.openxmlformats.org/officeDocument/2006/relationships" r:id="rId174"/>
          <a:extLst>
            <a:ext uri="{FF2B5EF4-FFF2-40B4-BE49-F238E27FC236}">
              <a16:creationId xmlns:a16="http://schemas.microsoft.com/office/drawing/2014/main" id="{AFB7B214-DDF9-40BD-B1C5-A6407C10802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36</xdr:row>
      <xdr:rowOff>0</xdr:rowOff>
    </xdr:from>
    <xdr:ext cx="304800" cy="317500"/>
    <xdr:sp macro="" textlink="">
      <xdr:nvSpPr>
        <xdr:cNvPr id="855" name="AutoShape 177" descr="USA">
          <a:hlinkClick xmlns:r="http://schemas.openxmlformats.org/officeDocument/2006/relationships" r:id="rId174"/>
          <a:extLst>
            <a:ext uri="{FF2B5EF4-FFF2-40B4-BE49-F238E27FC236}">
              <a16:creationId xmlns:a16="http://schemas.microsoft.com/office/drawing/2014/main" id="{E8B29EB1-F042-4377-9665-68E1F3B5BA8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56" name="AutoShape 177" descr="USA">
          <a:hlinkClick xmlns:r="http://schemas.openxmlformats.org/officeDocument/2006/relationships" r:id="rId174"/>
          <a:extLst>
            <a:ext uri="{FF2B5EF4-FFF2-40B4-BE49-F238E27FC236}">
              <a16:creationId xmlns:a16="http://schemas.microsoft.com/office/drawing/2014/main" id="{73B9E787-D9E6-445E-8B30-31661D2ABA5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57" name="AutoShape 171" descr="USA">
          <a:hlinkClick xmlns:r="http://schemas.openxmlformats.org/officeDocument/2006/relationships" r:id="rId165"/>
          <a:extLst>
            <a:ext uri="{FF2B5EF4-FFF2-40B4-BE49-F238E27FC236}">
              <a16:creationId xmlns:a16="http://schemas.microsoft.com/office/drawing/2014/main" id="{E7A866D0-7DA1-43E7-BF89-0007FE2DCBE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58" name="AutoShape 177" descr="USA">
          <a:hlinkClick xmlns:r="http://schemas.openxmlformats.org/officeDocument/2006/relationships" r:id="rId174"/>
          <a:extLst>
            <a:ext uri="{FF2B5EF4-FFF2-40B4-BE49-F238E27FC236}">
              <a16:creationId xmlns:a16="http://schemas.microsoft.com/office/drawing/2014/main" id="{BC0C3B21-55EA-449B-84F8-694777182FA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59" name="AutoShape 177" descr="USA">
          <a:hlinkClick xmlns:r="http://schemas.openxmlformats.org/officeDocument/2006/relationships" r:id="rId174"/>
          <a:extLst>
            <a:ext uri="{FF2B5EF4-FFF2-40B4-BE49-F238E27FC236}">
              <a16:creationId xmlns:a16="http://schemas.microsoft.com/office/drawing/2014/main" id="{262967A0-D07F-460A-BF24-66722B37BF1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0" name="AutoShape 177" descr="USA">
          <a:hlinkClick xmlns:r="http://schemas.openxmlformats.org/officeDocument/2006/relationships" r:id="rId174"/>
          <a:extLst>
            <a:ext uri="{FF2B5EF4-FFF2-40B4-BE49-F238E27FC236}">
              <a16:creationId xmlns:a16="http://schemas.microsoft.com/office/drawing/2014/main" id="{1E5577AE-F1C7-423F-8FF5-07572740755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1" name="AutoShape 177" descr="USA">
          <a:hlinkClick xmlns:r="http://schemas.openxmlformats.org/officeDocument/2006/relationships" r:id="rId174"/>
          <a:extLst>
            <a:ext uri="{FF2B5EF4-FFF2-40B4-BE49-F238E27FC236}">
              <a16:creationId xmlns:a16="http://schemas.microsoft.com/office/drawing/2014/main" id="{4637B8E2-6565-436E-BC06-8D10840D910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2" name="AutoShape 177" descr="USA">
          <a:hlinkClick xmlns:r="http://schemas.openxmlformats.org/officeDocument/2006/relationships" r:id="rId174"/>
          <a:extLst>
            <a:ext uri="{FF2B5EF4-FFF2-40B4-BE49-F238E27FC236}">
              <a16:creationId xmlns:a16="http://schemas.microsoft.com/office/drawing/2014/main" id="{430EB816-1071-4C44-BF8E-0ED7525F4E8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3" name="AutoShape 177" descr="USA">
          <a:hlinkClick xmlns:r="http://schemas.openxmlformats.org/officeDocument/2006/relationships" r:id="rId174"/>
          <a:extLst>
            <a:ext uri="{FF2B5EF4-FFF2-40B4-BE49-F238E27FC236}">
              <a16:creationId xmlns:a16="http://schemas.microsoft.com/office/drawing/2014/main" id="{CC11964A-F5CA-4AE5-AFBB-046847DD14A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37</xdr:row>
      <xdr:rowOff>0</xdr:rowOff>
    </xdr:from>
    <xdr:ext cx="304800" cy="317500"/>
    <xdr:sp macro="" textlink="">
      <xdr:nvSpPr>
        <xdr:cNvPr id="864" name="AutoShape 177" descr="USA">
          <a:hlinkClick xmlns:r="http://schemas.openxmlformats.org/officeDocument/2006/relationships" r:id="rId174"/>
          <a:extLst>
            <a:ext uri="{FF2B5EF4-FFF2-40B4-BE49-F238E27FC236}">
              <a16:creationId xmlns:a16="http://schemas.microsoft.com/office/drawing/2014/main" id="{5DE305C9-E3F0-4E1C-95AD-E4BCCEBE043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65" name="AutoShape 177" descr="USA">
          <a:hlinkClick xmlns:r="http://schemas.openxmlformats.org/officeDocument/2006/relationships" r:id="rId174"/>
          <a:extLst>
            <a:ext uri="{FF2B5EF4-FFF2-40B4-BE49-F238E27FC236}">
              <a16:creationId xmlns:a16="http://schemas.microsoft.com/office/drawing/2014/main" id="{9EB176FA-2746-4BC6-8DD7-D22C141B9D0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6" name="AutoShape 171" descr="USA">
          <a:hlinkClick xmlns:r="http://schemas.openxmlformats.org/officeDocument/2006/relationships" r:id="rId165"/>
          <a:extLst>
            <a:ext uri="{FF2B5EF4-FFF2-40B4-BE49-F238E27FC236}">
              <a16:creationId xmlns:a16="http://schemas.microsoft.com/office/drawing/2014/main" id="{4468E832-7ACE-4411-AAFB-196674C2667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7" name="AutoShape 177" descr="USA">
          <a:hlinkClick xmlns:r="http://schemas.openxmlformats.org/officeDocument/2006/relationships" r:id="rId174"/>
          <a:extLst>
            <a:ext uri="{FF2B5EF4-FFF2-40B4-BE49-F238E27FC236}">
              <a16:creationId xmlns:a16="http://schemas.microsoft.com/office/drawing/2014/main" id="{925733BB-1340-40D2-9F82-4D7CD7EB94D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8" name="AutoShape 177" descr="USA">
          <a:hlinkClick xmlns:r="http://schemas.openxmlformats.org/officeDocument/2006/relationships" r:id="rId174"/>
          <a:extLst>
            <a:ext uri="{FF2B5EF4-FFF2-40B4-BE49-F238E27FC236}">
              <a16:creationId xmlns:a16="http://schemas.microsoft.com/office/drawing/2014/main" id="{A2D9CDAA-E965-4F16-B7D1-2349DDF6A5F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69" name="AutoShape 177" descr="USA">
          <a:hlinkClick xmlns:r="http://schemas.openxmlformats.org/officeDocument/2006/relationships" r:id="rId174"/>
          <a:extLst>
            <a:ext uri="{FF2B5EF4-FFF2-40B4-BE49-F238E27FC236}">
              <a16:creationId xmlns:a16="http://schemas.microsoft.com/office/drawing/2014/main" id="{3C18A9C6-28EF-4357-AAB4-0E1A1E2CC0A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0" name="AutoShape 177" descr="USA">
          <a:hlinkClick xmlns:r="http://schemas.openxmlformats.org/officeDocument/2006/relationships" r:id="rId174"/>
          <a:extLst>
            <a:ext uri="{FF2B5EF4-FFF2-40B4-BE49-F238E27FC236}">
              <a16:creationId xmlns:a16="http://schemas.microsoft.com/office/drawing/2014/main" id="{38C0E96E-D023-4F5F-BDDB-42264584F50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1" name="AutoShape 177" descr="USA">
          <a:hlinkClick xmlns:r="http://schemas.openxmlformats.org/officeDocument/2006/relationships" r:id="rId174"/>
          <a:extLst>
            <a:ext uri="{FF2B5EF4-FFF2-40B4-BE49-F238E27FC236}">
              <a16:creationId xmlns:a16="http://schemas.microsoft.com/office/drawing/2014/main" id="{26FB4633-A619-43E1-841E-D94FA844F22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2" name="AutoShape 177" descr="USA">
          <a:hlinkClick xmlns:r="http://schemas.openxmlformats.org/officeDocument/2006/relationships" r:id="rId174"/>
          <a:extLst>
            <a:ext uri="{FF2B5EF4-FFF2-40B4-BE49-F238E27FC236}">
              <a16:creationId xmlns:a16="http://schemas.microsoft.com/office/drawing/2014/main" id="{825FF984-C862-423F-B0B4-D6A5D1B289B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38</xdr:row>
      <xdr:rowOff>0</xdr:rowOff>
    </xdr:from>
    <xdr:ext cx="304800" cy="317500"/>
    <xdr:sp macro="" textlink="">
      <xdr:nvSpPr>
        <xdr:cNvPr id="873" name="AutoShape 177" descr="USA">
          <a:hlinkClick xmlns:r="http://schemas.openxmlformats.org/officeDocument/2006/relationships" r:id="rId174"/>
          <a:extLst>
            <a:ext uri="{FF2B5EF4-FFF2-40B4-BE49-F238E27FC236}">
              <a16:creationId xmlns:a16="http://schemas.microsoft.com/office/drawing/2014/main" id="{C6B30EF1-7B9D-4FD3-8C36-6FBC60FF70E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74" name="AutoShape 177" descr="USA">
          <a:hlinkClick xmlns:r="http://schemas.openxmlformats.org/officeDocument/2006/relationships" r:id="rId174"/>
          <a:extLst>
            <a:ext uri="{FF2B5EF4-FFF2-40B4-BE49-F238E27FC236}">
              <a16:creationId xmlns:a16="http://schemas.microsoft.com/office/drawing/2014/main" id="{A8922BA3-582D-4D0D-8AB0-739EF248966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5" name="AutoShape 171" descr="USA">
          <a:hlinkClick xmlns:r="http://schemas.openxmlformats.org/officeDocument/2006/relationships" r:id="rId165"/>
          <a:extLst>
            <a:ext uri="{FF2B5EF4-FFF2-40B4-BE49-F238E27FC236}">
              <a16:creationId xmlns:a16="http://schemas.microsoft.com/office/drawing/2014/main" id="{ED954B11-4F01-4BC5-B733-974FC78468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6" name="AutoShape 177" descr="USA">
          <a:hlinkClick xmlns:r="http://schemas.openxmlformats.org/officeDocument/2006/relationships" r:id="rId174"/>
          <a:extLst>
            <a:ext uri="{FF2B5EF4-FFF2-40B4-BE49-F238E27FC236}">
              <a16:creationId xmlns:a16="http://schemas.microsoft.com/office/drawing/2014/main" id="{0AA473F5-5F3E-4D2C-88DE-11014900219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7" name="AutoShape 177" descr="USA">
          <a:hlinkClick xmlns:r="http://schemas.openxmlformats.org/officeDocument/2006/relationships" r:id="rId174"/>
          <a:extLst>
            <a:ext uri="{FF2B5EF4-FFF2-40B4-BE49-F238E27FC236}">
              <a16:creationId xmlns:a16="http://schemas.microsoft.com/office/drawing/2014/main" id="{D9C2E689-7559-429E-8985-E732963D1E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8" name="AutoShape 177" descr="USA">
          <a:hlinkClick xmlns:r="http://schemas.openxmlformats.org/officeDocument/2006/relationships" r:id="rId174"/>
          <a:extLst>
            <a:ext uri="{FF2B5EF4-FFF2-40B4-BE49-F238E27FC236}">
              <a16:creationId xmlns:a16="http://schemas.microsoft.com/office/drawing/2014/main" id="{DC309829-9242-4F82-B9EB-ADDC102D763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79" name="AutoShape 177" descr="USA">
          <a:hlinkClick xmlns:r="http://schemas.openxmlformats.org/officeDocument/2006/relationships" r:id="rId174"/>
          <a:extLst>
            <a:ext uri="{FF2B5EF4-FFF2-40B4-BE49-F238E27FC236}">
              <a16:creationId xmlns:a16="http://schemas.microsoft.com/office/drawing/2014/main" id="{BA723EBF-6E02-4289-A482-9E7C9D0E5BA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80" name="AutoShape 177" descr="USA">
          <a:hlinkClick xmlns:r="http://schemas.openxmlformats.org/officeDocument/2006/relationships" r:id="rId174"/>
          <a:extLst>
            <a:ext uri="{FF2B5EF4-FFF2-40B4-BE49-F238E27FC236}">
              <a16:creationId xmlns:a16="http://schemas.microsoft.com/office/drawing/2014/main" id="{D9F52789-4682-4484-9E2B-168799154D6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81" name="AutoShape 177" descr="USA">
          <a:hlinkClick xmlns:r="http://schemas.openxmlformats.org/officeDocument/2006/relationships" r:id="rId174"/>
          <a:extLst>
            <a:ext uri="{FF2B5EF4-FFF2-40B4-BE49-F238E27FC236}">
              <a16:creationId xmlns:a16="http://schemas.microsoft.com/office/drawing/2014/main" id="{F79E340F-EAA8-4457-B71F-1D1D2AB3F17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39</xdr:row>
      <xdr:rowOff>0</xdr:rowOff>
    </xdr:from>
    <xdr:ext cx="304800" cy="317500"/>
    <xdr:sp macro="" textlink="">
      <xdr:nvSpPr>
        <xdr:cNvPr id="882" name="AutoShape 177" descr="USA">
          <a:hlinkClick xmlns:r="http://schemas.openxmlformats.org/officeDocument/2006/relationships" r:id="rId174"/>
          <a:extLst>
            <a:ext uri="{FF2B5EF4-FFF2-40B4-BE49-F238E27FC236}">
              <a16:creationId xmlns:a16="http://schemas.microsoft.com/office/drawing/2014/main" id="{01966DF7-B27A-436D-8442-573A5E35EF9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83" name="AutoShape 177" descr="USA">
          <a:hlinkClick xmlns:r="http://schemas.openxmlformats.org/officeDocument/2006/relationships" r:id="rId174"/>
          <a:extLst>
            <a:ext uri="{FF2B5EF4-FFF2-40B4-BE49-F238E27FC236}">
              <a16:creationId xmlns:a16="http://schemas.microsoft.com/office/drawing/2014/main" id="{91EE63E6-BDA0-4217-8469-A70063387DC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4" name="AutoShape 171" descr="USA">
          <a:hlinkClick xmlns:r="http://schemas.openxmlformats.org/officeDocument/2006/relationships" r:id="rId165"/>
          <a:extLst>
            <a:ext uri="{FF2B5EF4-FFF2-40B4-BE49-F238E27FC236}">
              <a16:creationId xmlns:a16="http://schemas.microsoft.com/office/drawing/2014/main" id="{702FD533-1D5B-4040-B58A-B9A6AB86AC2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5" name="AutoShape 177" descr="USA">
          <a:hlinkClick xmlns:r="http://schemas.openxmlformats.org/officeDocument/2006/relationships" r:id="rId174"/>
          <a:extLst>
            <a:ext uri="{FF2B5EF4-FFF2-40B4-BE49-F238E27FC236}">
              <a16:creationId xmlns:a16="http://schemas.microsoft.com/office/drawing/2014/main" id="{3A1F13C4-732C-4FE5-94C6-E975E82B1FA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6" name="AutoShape 177" descr="USA">
          <a:hlinkClick xmlns:r="http://schemas.openxmlformats.org/officeDocument/2006/relationships" r:id="rId174"/>
          <a:extLst>
            <a:ext uri="{FF2B5EF4-FFF2-40B4-BE49-F238E27FC236}">
              <a16:creationId xmlns:a16="http://schemas.microsoft.com/office/drawing/2014/main" id="{E1708DA4-C5C9-4C9C-9548-13878601BE9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7" name="AutoShape 177" descr="USA">
          <a:hlinkClick xmlns:r="http://schemas.openxmlformats.org/officeDocument/2006/relationships" r:id="rId174"/>
          <a:extLst>
            <a:ext uri="{FF2B5EF4-FFF2-40B4-BE49-F238E27FC236}">
              <a16:creationId xmlns:a16="http://schemas.microsoft.com/office/drawing/2014/main" id="{1FE2E556-C8C2-424C-988F-89E291C1063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8" name="AutoShape 177" descr="USA">
          <a:hlinkClick xmlns:r="http://schemas.openxmlformats.org/officeDocument/2006/relationships" r:id="rId174"/>
          <a:extLst>
            <a:ext uri="{FF2B5EF4-FFF2-40B4-BE49-F238E27FC236}">
              <a16:creationId xmlns:a16="http://schemas.microsoft.com/office/drawing/2014/main" id="{15AECB5F-8812-4EA0-9C39-4258E9AD402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89" name="AutoShape 177" descr="USA">
          <a:hlinkClick xmlns:r="http://schemas.openxmlformats.org/officeDocument/2006/relationships" r:id="rId174"/>
          <a:extLst>
            <a:ext uri="{FF2B5EF4-FFF2-40B4-BE49-F238E27FC236}">
              <a16:creationId xmlns:a16="http://schemas.microsoft.com/office/drawing/2014/main" id="{CA8ADF2E-B4FD-4930-A9BF-3116AF14661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90" name="AutoShape 177" descr="USA">
          <a:hlinkClick xmlns:r="http://schemas.openxmlformats.org/officeDocument/2006/relationships" r:id="rId174"/>
          <a:extLst>
            <a:ext uri="{FF2B5EF4-FFF2-40B4-BE49-F238E27FC236}">
              <a16:creationId xmlns:a16="http://schemas.microsoft.com/office/drawing/2014/main" id="{1D843B77-299B-45C9-A0B6-D6279A166E4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40</xdr:row>
      <xdr:rowOff>0</xdr:rowOff>
    </xdr:from>
    <xdr:ext cx="304800" cy="317500"/>
    <xdr:sp macro="" textlink="">
      <xdr:nvSpPr>
        <xdr:cNvPr id="891" name="AutoShape 177" descr="USA">
          <a:hlinkClick xmlns:r="http://schemas.openxmlformats.org/officeDocument/2006/relationships" r:id="rId174"/>
          <a:extLst>
            <a:ext uri="{FF2B5EF4-FFF2-40B4-BE49-F238E27FC236}">
              <a16:creationId xmlns:a16="http://schemas.microsoft.com/office/drawing/2014/main" id="{2BA0666C-E3A2-4388-AE8E-F30A795CD3F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892" name="AutoShape 177" descr="USA">
          <a:hlinkClick xmlns:r="http://schemas.openxmlformats.org/officeDocument/2006/relationships" r:id="rId174"/>
          <a:extLst>
            <a:ext uri="{FF2B5EF4-FFF2-40B4-BE49-F238E27FC236}">
              <a16:creationId xmlns:a16="http://schemas.microsoft.com/office/drawing/2014/main" id="{69AB052D-376A-4F37-AB43-0A1BBA39EF4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3" name="AutoShape 171" descr="USA">
          <a:hlinkClick xmlns:r="http://schemas.openxmlformats.org/officeDocument/2006/relationships" r:id="rId165"/>
          <a:extLst>
            <a:ext uri="{FF2B5EF4-FFF2-40B4-BE49-F238E27FC236}">
              <a16:creationId xmlns:a16="http://schemas.microsoft.com/office/drawing/2014/main" id="{F387458A-D889-41A8-AD3E-F6660CDF15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4" name="AutoShape 177" descr="USA">
          <a:hlinkClick xmlns:r="http://schemas.openxmlformats.org/officeDocument/2006/relationships" r:id="rId174"/>
          <a:extLst>
            <a:ext uri="{FF2B5EF4-FFF2-40B4-BE49-F238E27FC236}">
              <a16:creationId xmlns:a16="http://schemas.microsoft.com/office/drawing/2014/main" id="{79367DF8-5922-400A-9431-1C575DE0C30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5" name="AutoShape 177" descr="USA">
          <a:hlinkClick xmlns:r="http://schemas.openxmlformats.org/officeDocument/2006/relationships" r:id="rId174"/>
          <a:extLst>
            <a:ext uri="{FF2B5EF4-FFF2-40B4-BE49-F238E27FC236}">
              <a16:creationId xmlns:a16="http://schemas.microsoft.com/office/drawing/2014/main" id="{69D9081E-BC48-4A56-A83A-F4D0A7753B2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6" name="AutoShape 177" descr="USA">
          <a:hlinkClick xmlns:r="http://schemas.openxmlformats.org/officeDocument/2006/relationships" r:id="rId174"/>
          <a:extLst>
            <a:ext uri="{FF2B5EF4-FFF2-40B4-BE49-F238E27FC236}">
              <a16:creationId xmlns:a16="http://schemas.microsoft.com/office/drawing/2014/main" id="{6945DD33-EB9A-49B2-AE73-D512B67A0A2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7" name="AutoShape 177" descr="USA">
          <a:hlinkClick xmlns:r="http://schemas.openxmlformats.org/officeDocument/2006/relationships" r:id="rId174"/>
          <a:extLst>
            <a:ext uri="{FF2B5EF4-FFF2-40B4-BE49-F238E27FC236}">
              <a16:creationId xmlns:a16="http://schemas.microsoft.com/office/drawing/2014/main" id="{D18A3AE1-9718-4C81-92E5-430F68E7C7C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8" name="AutoShape 177" descr="USA">
          <a:hlinkClick xmlns:r="http://schemas.openxmlformats.org/officeDocument/2006/relationships" r:id="rId174"/>
          <a:extLst>
            <a:ext uri="{FF2B5EF4-FFF2-40B4-BE49-F238E27FC236}">
              <a16:creationId xmlns:a16="http://schemas.microsoft.com/office/drawing/2014/main" id="{EF539902-7284-4EEC-A866-93F6632127D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899" name="AutoShape 177" descr="USA">
          <a:hlinkClick xmlns:r="http://schemas.openxmlformats.org/officeDocument/2006/relationships" r:id="rId174"/>
          <a:extLst>
            <a:ext uri="{FF2B5EF4-FFF2-40B4-BE49-F238E27FC236}">
              <a16:creationId xmlns:a16="http://schemas.microsoft.com/office/drawing/2014/main" id="{4E8FF8FE-982F-4B96-BAF3-F471DF63CC8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41</xdr:row>
      <xdr:rowOff>0</xdr:rowOff>
    </xdr:from>
    <xdr:ext cx="304800" cy="317500"/>
    <xdr:sp macro="" textlink="">
      <xdr:nvSpPr>
        <xdr:cNvPr id="900" name="AutoShape 177" descr="USA">
          <a:hlinkClick xmlns:r="http://schemas.openxmlformats.org/officeDocument/2006/relationships" r:id="rId174"/>
          <a:extLst>
            <a:ext uri="{FF2B5EF4-FFF2-40B4-BE49-F238E27FC236}">
              <a16:creationId xmlns:a16="http://schemas.microsoft.com/office/drawing/2014/main" id="{73F93B45-2283-40CD-92EF-1EFA837B017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01" name="AutoShape 177" descr="USA">
          <a:hlinkClick xmlns:r="http://schemas.openxmlformats.org/officeDocument/2006/relationships" r:id="rId174"/>
          <a:extLst>
            <a:ext uri="{FF2B5EF4-FFF2-40B4-BE49-F238E27FC236}">
              <a16:creationId xmlns:a16="http://schemas.microsoft.com/office/drawing/2014/main" id="{E3A0D45E-820D-43DC-9E45-3C5D4550B84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2" name="AutoShape 171" descr="USA">
          <a:hlinkClick xmlns:r="http://schemas.openxmlformats.org/officeDocument/2006/relationships" r:id="rId165"/>
          <a:extLst>
            <a:ext uri="{FF2B5EF4-FFF2-40B4-BE49-F238E27FC236}">
              <a16:creationId xmlns:a16="http://schemas.microsoft.com/office/drawing/2014/main" id="{1976EF6B-0896-4254-BB21-8B17A14B58C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3" name="AutoShape 177" descr="USA">
          <a:hlinkClick xmlns:r="http://schemas.openxmlformats.org/officeDocument/2006/relationships" r:id="rId174"/>
          <a:extLst>
            <a:ext uri="{FF2B5EF4-FFF2-40B4-BE49-F238E27FC236}">
              <a16:creationId xmlns:a16="http://schemas.microsoft.com/office/drawing/2014/main" id="{2016F0DB-77AF-4BEB-B3B9-DEEDE30824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4" name="AutoShape 177" descr="USA">
          <a:hlinkClick xmlns:r="http://schemas.openxmlformats.org/officeDocument/2006/relationships" r:id="rId174"/>
          <a:extLst>
            <a:ext uri="{FF2B5EF4-FFF2-40B4-BE49-F238E27FC236}">
              <a16:creationId xmlns:a16="http://schemas.microsoft.com/office/drawing/2014/main" id="{A87EE159-6065-463B-9AAF-942ABD29EC8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5" name="AutoShape 177" descr="USA">
          <a:hlinkClick xmlns:r="http://schemas.openxmlformats.org/officeDocument/2006/relationships" r:id="rId174"/>
          <a:extLst>
            <a:ext uri="{FF2B5EF4-FFF2-40B4-BE49-F238E27FC236}">
              <a16:creationId xmlns:a16="http://schemas.microsoft.com/office/drawing/2014/main" id="{921083EA-1131-4440-A4A4-892C105FE18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6" name="AutoShape 177" descr="USA">
          <a:hlinkClick xmlns:r="http://schemas.openxmlformats.org/officeDocument/2006/relationships" r:id="rId174"/>
          <a:extLst>
            <a:ext uri="{FF2B5EF4-FFF2-40B4-BE49-F238E27FC236}">
              <a16:creationId xmlns:a16="http://schemas.microsoft.com/office/drawing/2014/main" id="{E4DF9277-72A9-409D-88BB-BD779739B89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7" name="AutoShape 177" descr="USA">
          <a:hlinkClick xmlns:r="http://schemas.openxmlformats.org/officeDocument/2006/relationships" r:id="rId174"/>
          <a:extLst>
            <a:ext uri="{FF2B5EF4-FFF2-40B4-BE49-F238E27FC236}">
              <a16:creationId xmlns:a16="http://schemas.microsoft.com/office/drawing/2014/main" id="{5127CE0E-3F38-49C3-9A52-44194C3456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8" name="AutoShape 177" descr="USA">
          <a:hlinkClick xmlns:r="http://schemas.openxmlformats.org/officeDocument/2006/relationships" r:id="rId174"/>
          <a:extLst>
            <a:ext uri="{FF2B5EF4-FFF2-40B4-BE49-F238E27FC236}">
              <a16:creationId xmlns:a16="http://schemas.microsoft.com/office/drawing/2014/main" id="{8EF6E5BD-2236-4AA4-BF83-C4E4AAAF961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42</xdr:row>
      <xdr:rowOff>0</xdr:rowOff>
    </xdr:from>
    <xdr:ext cx="304800" cy="317500"/>
    <xdr:sp macro="" textlink="">
      <xdr:nvSpPr>
        <xdr:cNvPr id="909" name="AutoShape 177" descr="USA">
          <a:hlinkClick xmlns:r="http://schemas.openxmlformats.org/officeDocument/2006/relationships" r:id="rId174"/>
          <a:extLst>
            <a:ext uri="{FF2B5EF4-FFF2-40B4-BE49-F238E27FC236}">
              <a16:creationId xmlns:a16="http://schemas.microsoft.com/office/drawing/2014/main" id="{AE2B77B2-F949-42F2-A541-E882B457E49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10" name="AutoShape 177" descr="USA">
          <a:hlinkClick xmlns:r="http://schemas.openxmlformats.org/officeDocument/2006/relationships" r:id="rId174"/>
          <a:extLst>
            <a:ext uri="{FF2B5EF4-FFF2-40B4-BE49-F238E27FC236}">
              <a16:creationId xmlns:a16="http://schemas.microsoft.com/office/drawing/2014/main" id="{16C409E0-2950-4161-9B98-4FA0A2D127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1" name="AutoShape 171" descr="USA">
          <a:hlinkClick xmlns:r="http://schemas.openxmlformats.org/officeDocument/2006/relationships" r:id="rId165"/>
          <a:extLst>
            <a:ext uri="{FF2B5EF4-FFF2-40B4-BE49-F238E27FC236}">
              <a16:creationId xmlns:a16="http://schemas.microsoft.com/office/drawing/2014/main" id="{16E58CAA-023D-40A8-B2E6-9D46AD9AC23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2" name="AutoShape 177" descr="USA">
          <a:hlinkClick xmlns:r="http://schemas.openxmlformats.org/officeDocument/2006/relationships" r:id="rId174"/>
          <a:extLst>
            <a:ext uri="{FF2B5EF4-FFF2-40B4-BE49-F238E27FC236}">
              <a16:creationId xmlns:a16="http://schemas.microsoft.com/office/drawing/2014/main" id="{D5C27CBF-1252-4AA5-92D2-494F531653A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3" name="AutoShape 177" descr="USA">
          <a:hlinkClick xmlns:r="http://schemas.openxmlformats.org/officeDocument/2006/relationships" r:id="rId174"/>
          <a:extLst>
            <a:ext uri="{FF2B5EF4-FFF2-40B4-BE49-F238E27FC236}">
              <a16:creationId xmlns:a16="http://schemas.microsoft.com/office/drawing/2014/main" id="{343E262F-9BB4-4AAA-BBDD-B83F23BD75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4" name="AutoShape 177" descr="USA">
          <a:hlinkClick xmlns:r="http://schemas.openxmlformats.org/officeDocument/2006/relationships" r:id="rId174"/>
          <a:extLst>
            <a:ext uri="{FF2B5EF4-FFF2-40B4-BE49-F238E27FC236}">
              <a16:creationId xmlns:a16="http://schemas.microsoft.com/office/drawing/2014/main" id="{9A5230F7-3475-453B-BB63-2474B976973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5" name="AutoShape 177" descr="USA">
          <a:hlinkClick xmlns:r="http://schemas.openxmlformats.org/officeDocument/2006/relationships" r:id="rId174"/>
          <a:extLst>
            <a:ext uri="{FF2B5EF4-FFF2-40B4-BE49-F238E27FC236}">
              <a16:creationId xmlns:a16="http://schemas.microsoft.com/office/drawing/2014/main" id="{E2F7A979-207B-4047-AFC8-D526974DBF9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6" name="AutoShape 177" descr="USA">
          <a:hlinkClick xmlns:r="http://schemas.openxmlformats.org/officeDocument/2006/relationships" r:id="rId174"/>
          <a:extLst>
            <a:ext uri="{FF2B5EF4-FFF2-40B4-BE49-F238E27FC236}">
              <a16:creationId xmlns:a16="http://schemas.microsoft.com/office/drawing/2014/main" id="{684056B8-D8D6-4BC9-BA0A-167D16BCA95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7" name="AutoShape 177" descr="USA">
          <a:hlinkClick xmlns:r="http://schemas.openxmlformats.org/officeDocument/2006/relationships" r:id="rId174"/>
          <a:extLst>
            <a:ext uri="{FF2B5EF4-FFF2-40B4-BE49-F238E27FC236}">
              <a16:creationId xmlns:a16="http://schemas.microsoft.com/office/drawing/2014/main" id="{33BAFD82-94C2-431C-8FE1-CB71E5C4DBE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43</xdr:row>
      <xdr:rowOff>0</xdr:rowOff>
    </xdr:from>
    <xdr:ext cx="304800" cy="317500"/>
    <xdr:sp macro="" textlink="">
      <xdr:nvSpPr>
        <xdr:cNvPr id="918" name="AutoShape 177" descr="USA">
          <a:hlinkClick xmlns:r="http://schemas.openxmlformats.org/officeDocument/2006/relationships" r:id="rId174"/>
          <a:extLst>
            <a:ext uri="{FF2B5EF4-FFF2-40B4-BE49-F238E27FC236}">
              <a16:creationId xmlns:a16="http://schemas.microsoft.com/office/drawing/2014/main" id="{313F9E6B-3FA2-4AE2-8457-778B7662FFC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19" name="AutoShape 177" descr="USA">
          <a:hlinkClick xmlns:r="http://schemas.openxmlformats.org/officeDocument/2006/relationships" r:id="rId174"/>
          <a:extLst>
            <a:ext uri="{FF2B5EF4-FFF2-40B4-BE49-F238E27FC236}">
              <a16:creationId xmlns:a16="http://schemas.microsoft.com/office/drawing/2014/main" id="{8AF1FE8D-E949-4F2F-AE2C-49BB73E1282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0" name="AutoShape 171" descr="USA">
          <a:hlinkClick xmlns:r="http://schemas.openxmlformats.org/officeDocument/2006/relationships" r:id="rId165"/>
          <a:extLst>
            <a:ext uri="{FF2B5EF4-FFF2-40B4-BE49-F238E27FC236}">
              <a16:creationId xmlns:a16="http://schemas.microsoft.com/office/drawing/2014/main" id="{DE1C259E-03DC-4C13-AAFD-C39466E1447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1" name="AutoShape 177" descr="USA">
          <a:hlinkClick xmlns:r="http://schemas.openxmlformats.org/officeDocument/2006/relationships" r:id="rId174"/>
          <a:extLst>
            <a:ext uri="{FF2B5EF4-FFF2-40B4-BE49-F238E27FC236}">
              <a16:creationId xmlns:a16="http://schemas.microsoft.com/office/drawing/2014/main" id="{BFF91AFB-10D0-418F-B9E5-C87E5E1F21B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2" name="AutoShape 177" descr="USA">
          <a:hlinkClick xmlns:r="http://schemas.openxmlformats.org/officeDocument/2006/relationships" r:id="rId174"/>
          <a:extLst>
            <a:ext uri="{FF2B5EF4-FFF2-40B4-BE49-F238E27FC236}">
              <a16:creationId xmlns:a16="http://schemas.microsoft.com/office/drawing/2014/main" id="{1622C35E-CE47-49D8-8227-EFB7E046C68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3" name="AutoShape 177" descr="USA">
          <a:hlinkClick xmlns:r="http://schemas.openxmlformats.org/officeDocument/2006/relationships" r:id="rId174"/>
          <a:extLst>
            <a:ext uri="{FF2B5EF4-FFF2-40B4-BE49-F238E27FC236}">
              <a16:creationId xmlns:a16="http://schemas.microsoft.com/office/drawing/2014/main" id="{4129AB4E-0FE7-40B1-AE27-8211E46FC74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4" name="AutoShape 177" descr="USA">
          <a:hlinkClick xmlns:r="http://schemas.openxmlformats.org/officeDocument/2006/relationships" r:id="rId174"/>
          <a:extLst>
            <a:ext uri="{FF2B5EF4-FFF2-40B4-BE49-F238E27FC236}">
              <a16:creationId xmlns:a16="http://schemas.microsoft.com/office/drawing/2014/main" id="{03443FB4-5812-4E0C-B74F-F0919E2F31B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5" name="AutoShape 177" descr="USA">
          <a:hlinkClick xmlns:r="http://schemas.openxmlformats.org/officeDocument/2006/relationships" r:id="rId174"/>
          <a:extLst>
            <a:ext uri="{FF2B5EF4-FFF2-40B4-BE49-F238E27FC236}">
              <a16:creationId xmlns:a16="http://schemas.microsoft.com/office/drawing/2014/main" id="{57D01411-CA13-4ECB-AAC2-4B3BB573BEA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6" name="AutoShape 177" descr="USA">
          <a:hlinkClick xmlns:r="http://schemas.openxmlformats.org/officeDocument/2006/relationships" r:id="rId174"/>
          <a:extLst>
            <a:ext uri="{FF2B5EF4-FFF2-40B4-BE49-F238E27FC236}">
              <a16:creationId xmlns:a16="http://schemas.microsoft.com/office/drawing/2014/main" id="{9FF187D4-ECED-4554-BF56-B043E11ABFC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44</xdr:row>
      <xdr:rowOff>0</xdr:rowOff>
    </xdr:from>
    <xdr:ext cx="304800" cy="317500"/>
    <xdr:sp macro="" textlink="">
      <xdr:nvSpPr>
        <xdr:cNvPr id="927" name="AutoShape 177" descr="USA">
          <a:hlinkClick xmlns:r="http://schemas.openxmlformats.org/officeDocument/2006/relationships" r:id="rId174"/>
          <a:extLst>
            <a:ext uri="{FF2B5EF4-FFF2-40B4-BE49-F238E27FC236}">
              <a16:creationId xmlns:a16="http://schemas.microsoft.com/office/drawing/2014/main" id="{A6AE7150-784E-49EA-9959-C159559A5F0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28" name="AutoShape 177" descr="USA">
          <a:hlinkClick xmlns:r="http://schemas.openxmlformats.org/officeDocument/2006/relationships" r:id="rId174"/>
          <a:extLst>
            <a:ext uri="{FF2B5EF4-FFF2-40B4-BE49-F238E27FC236}">
              <a16:creationId xmlns:a16="http://schemas.microsoft.com/office/drawing/2014/main" id="{77EC18E6-AF58-4BED-8FD1-1F6F3FF78C6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29" name="AutoShape 171" descr="USA">
          <a:hlinkClick xmlns:r="http://schemas.openxmlformats.org/officeDocument/2006/relationships" r:id="rId165"/>
          <a:extLst>
            <a:ext uri="{FF2B5EF4-FFF2-40B4-BE49-F238E27FC236}">
              <a16:creationId xmlns:a16="http://schemas.microsoft.com/office/drawing/2014/main" id="{0483E765-24FD-4C44-9297-DC09CA1671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0" name="AutoShape 177" descr="USA">
          <a:hlinkClick xmlns:r="http://schemas.openxmlformats.org/officeDocument/2006/relationships" r:id="rId174"/>
          <a:extLst>
            <a:ext uri="{FF2B5EF4-FFF2-40B4-BE49-F238E27FC236}">
              <a16:creationId xmlns:a16="http://schemas.microsoft.com/office/drawing/2014/main" id="{05D6FE73-8981-491C-8940-E4196258F78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1" name="AutoShape 177" descr="USA">
          <a:hlinkClick xmlns:r="http://schemas.openxmlformats.org/officeDocument/2006/relationships" r:id="rId174"/>
          <a:extLst>
            <a:ext uri="{FF2B5EF4-FFF2-40B4-BE49-F238E27FC236}">
              <a16:creationId xmlns:a16="http://schemas.microsoft.com/office/drawing/2014/main" id="{8B94C12D-D43E-4AC6-A8E3-71FD75F2FBD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2" name="AutoShape 177" descr="USA">
          <a:hlinkClick xmlns:r="http://schemas.openxmlformats.org/officeDocument/2006/relationships" r:id="rId174"/>
          <a:extLst>
            <a:ext uri="{FF2B5EF4-FFF2-40B4-BE49-F238E27FC236}">
              <a16:creationId xmlns:a16="http://schemas.microsoft.com/office/drawing/2014/main" id="{34B6609C-FA60-45A4-9587-BA3D7A8BB8E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3" name="AutoShape 177" descr="USA">
          <a:hlinkClick xmlns:r="http://schemas.openxmlformats.org/officeDocument/2006/relationships" r:id="rId174"/>
          <a:extLst>
            <a:ext uri="{FF2B5EF4-FFF2-40B4-BE49-F238E27FC236}">
              <a16:creationId xmlns:a16="http://schemas.microsoft.com/office/drawing/2014/main" id="{FDD97F26-62D4-471A-9AD7-14C05D1A4AC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4" name="AutoShape 177" descr="USA">
          <a:hlinkClick xmlns:r="http://schemas.openxmlformats.org/officeDocument/2006/relationships" r:id="rId174"/>
          <a:extLst>
            <a:ext uri="{FF2B5EF4-FFF2-40B4-BE49-F238E27FC236}">
              <a16:creationId xmlns:a16="http://schemas.microsoft.com/office/drawing/2014/main" id="{6DCF9BF2-C4E9-4F00-AE11-944C9994209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5" name="AutoShape 177" descr="USA">
          <a:hlinkClick xmlns:r="http://schemas.openxmlformats.org/officeDocument/2006/relationships" r:id="rId174"/>
          <a:extLst>
            <a:ext uri="{FF2B5EF4-FFF2-40B4-BE49-F238E27FC236}">
              <a16:creationId xmlns:a16="http://schemas.microsoft.com/office/drawing/2014/main" id="{CC1C4194-8007-4A8D-9F48-A9E6CA238CE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45</xdr:row>
      <xdr:rowOff>0</xdr:rowOff>
    </xdr:from>
    <xdr:ext cx="304800" cy="317500"/>
    <xdr:sp macro="" textlink="">
      <xdr:nvSpPr>
        <xdr:cNvPr id="936" name="AutoShape 177" descr="USA">
          <a:hlinkClick xmlns:r="http://schemas.openxmlformats.org/officeDocument/2006/relationships" r:id="rId174"/>
          <a:extLst>
            <a:ext uri="{FF2B5EF4-FFF2-40B4-BE49-F238E27FC236}">
              <a16:creationId xmlns:a16="http://schemas.microsoft.com/office/drawing/2014/main" id="{85D35F10-B595-413A-9848-68901698CA3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37" name="AutoShape 177" descr="USA">
          <a:hlinkClick xmlns:r="http://schemas.openxmlformats.org/officeDocument/2006/relationships" r:id="rId174"/>
          <a:extLst>
            <a:ext uri="{FF2B5EF4-FFF2-40B4-BE49-F238E27FC236}">
              <a16:creationId xmlns:a16="http://schemas.microsoft.com/office/drawing/2014/main" id="{EA12A596-2262-4766-AE86-8DF5F0E5EB7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38" name="AutoShape 171" descr="USA">
          <a:hlinkClick xmlns:r="http://schemas.openxmlformats.org/officeDocument/2006/relationships" r:id="rId165"/>
          <a:extLst>
            <a:ext uri="{FF2B5EF4-FFF2-40B4-BE49-F238E27FC236}">
              <a16:creationId xmlns:a16="http://schemas.microsoft.com/office/drawing/2014/main" id="{8D1A57B8-5F28-4E9D-BA69-630D5930BB6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39" name="AutoShape 177" descr="USA">
          <a:hlinkClick xmlns:r="http://schemas.openxmlformats.org/officeDocument/2006/relationships" r:id="rId174"/>
          <a:extLst>
            <a:ext uri="{FF2B5EF4-FFF2-40B4-BE49-F238E27FC236}">
              <a16:creationId xmlns:a16="http://schemas.microsoft.com/office/drawing/2014/main" id="{F9A8991E-CBFF-4268-9434-9CA58F1C8AC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0" name="AutoShape 177" descr="USA">
          <a:hlinkClick xmlns:r="http://schemas.openxmlformats.org/officeDocument/2006/relationships" r:id="rId174"/>
          <a:extLst>
            <a:ext uri="{FF2B5EF4-FFF2-40B4-BE49-F238E27FC236}">
              <a16:creationId xmlns:a16="http://schemas.microsoft.com/office/drawing/2014/main" id="{B1A497C6-5E6D-4AC3-9B48-DB898F8E4B7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1" name="AutoShape 177" descr="USA">
          <a:hlinkClick xmlns:r="http://schemas.openxmlformats.org/officeDocument/2006/relationships" r:id="rId174"/>
          <a:extLst>
            <a:ext uri="{FF2B5EF4-FFF2-40B4-BE49-F238E27FC236}">
              <a16:creationId xmlns:a16="http://schemas.microsoft.com/office/drawing/2014/main" id="{724A5B43-3933-4B35-9A27-1F6975CCD36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2" name="AutoShape 177" descr="USA">
          <a:hlinkClick xmlns:r="http://schemas.openxmlformats.org/officeDocument/2006/relationships" r:id="rId174"/>
          <a:extLst>
            <a:ext uri="{FF2B5EF4-FFF2-40B4-BE49-F238E27FC236}">
              <a16:creationId xmlns:a16="http://schemas.microsoft.com/office/drawing/2014/main" id="{746DAB80-BECF-4829-BAE7-705170992F2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3" name="AutoShape 177" descr="USA">
          <a:hlinkClick xmlns:r="http://schemas.openxmlformats.org/officeDocument/2006/relationships" r:id="rId174"/>
          <a:extLst>
            <a:ext uri="{FF2B5EF4-FFF2-40B4-BE49-F238E27FC236}">
              <a16:creationId xmlns:a16="http://schemas.microsoft.com/office/drawing/2014/main" id="{0A530AE7-78D2-40CA-A855-2CDC193CD1E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4" name="AutoShape 177" descr="USA">
          <a:hlinkClick xmlns:r="http://schemas.openxmlformats.org/officeDocument/2006/relationships" r:id="rId174"/>
          <a:extLst>
            <a:ext uri="{FF2B5EF4-FFF2-40B4-BE49-F238E27FC236}">
              <a16:creationId xmlns:a16="http://schemas.microsoft.com/office/drawing/2014/main" id="{CECD5067-C8CB-413C-8FCB-609DE8E7265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46</xdr:row>
      <xdr:rowOff>0</xdr:rowOff>
    </xdr:from>
    <xdr:ext cx="304800" cy="317500"/>
    <xdr:sp macro="" textlink="">
      <xdr:nvSpPr>
        <xdr:cNvPr id="945" name="AutoShape 177" descr="USA">
          <a:hlinkClick xmlns:r="http://schemas.openxmlformats.org/officeDocument/2006/relationships" r:id="rId174"/>
          <a:extLst>
            <a:ext uri="{FF2B5EF4-FFF2-40B4-BE49-F238E27FC236}">
              <a16:creationId xmlns:a16="http://schemas.microsoft.com/office/drawing/2014/main" id="{E9580FD3-6C2D-47FD-B7AF-0EE488115FE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46" name="AutoShape 177" descr="USA">
          <a:hlinkClick xmlns:r="http://schemas.openxmlformats.org/officeDocument/2006/relationships" r:id="rId174"/>
          <a:extLst>
            <a:ext uri="{FF2B5EF4-FFF2-40B4-BE49-F238E27FC236}">
              <a16:creationId xmlns:a16="http://schemas.microsoft.com/office/drawing/2014/main" id="{8609EB00-682D-4D34-9FC2-55A02FFAD7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47" name="AutoShape 171" descr="USA">
          <a:hlinkClick xmlns:r="http://schemas.openxmlformats.org/officeDocument/2006/relationships" r:id="rId165"/>
          <a:extLst>
            <a:ext uri="{FF2B5EF4-FFF2-40B4-BE49-F238E27FC236}">
              <a16:creationId xmlns:a16="http://schemas.microsoft.com/office/drawing/2014/main" id="{3787E699-6B43-4B8A-AAC3-30A22E7C582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48" name="AutoShape 177" descr="USA">
          <a:hlinkClick xmlns:r="http://schemas.openxmlformats.org/officeDocument/2006/relationships" r:id="rId174"/>
          <a:extLst>
            <a:ext uri="{FF2B5EF4-FFF2-40B4-BE49-F238E27FC236}">
              <a16:creationId xmlns:a16="http://schemas.microsoft.com/office/drawing/2014/main" id="{C6CC6D60-B807-4E81-B94D-6766A44F289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49" name="AutoShape 177" descr="USA">
          <a:hlinkClick xmlns:r="http://schemas.openxmlformats.org/officeDocument/2006/relationships" r:id="rId174"/>
          <a:extLst>
            <a:ext uri="{FF2B5EF4-FFF2-40B4-BE49-F238E27FC236}">
              <a16:creationId xmlns:a16="http://schemas.microsoft.com/office/drawing/2014/main" id="{1E7B2A80-5776-4357-A384-BE3E851C0D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0" name="AutoShape 177" descr="USA">
          <a:hlinkClick xmlns:r="http://schemas.openxmlformats.org/officeDocument/2006/relationships" r:id="rId174"/>
          <a:extLst>
            <a:ext uri="{FF2B5EF4-FFF2-40B4-BE49-F238E27FC236}">
              <a16:creationId xmlns:a16="http://schemas.microsoft.com/office/drawing/2014/main" id="{590B3491-9BB2-4330-A313-E023431940D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1" name="AutoShape 177" descr="USA">
          <a:hlinkClick xmlns:r="http://schemas.openxmlformats.org/officeDocument/2006/relationships" r:id="rId174"/>
          <a:extLst>
            <a:ext uri="{FF2B5EF4-FFF2-40B4-BE49-F238E27FC236}">
              <a16:creationId xmlns:a16="http://schemas.microsoft.com/office/drawing/2014/main" id="{4E2E0397-94C2-44F6-97E1-99322699420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2" name="AutoShape 177" descr="USA">
          <a:hlinkClick xmlns:r="http://schemas.openxmlformats.org/officeDocument/2006/relationships" r:id="rId174"/>
          <a:extLst>
            <a:ext uri="{FF2B5EF4-FFF2-40B4-BE49-F238E27FC236}">
              <a16:creationId xmlns:a16="http://schemas.microsoft.com/office/drawing/2014/main" id="{317B6A7C-F680-4A38-A080-B90C9968F79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3" name="AutoShape 177" descr="USA">
          <a:hlinkClick xmlns:r="http://schemas.openxmlformats.org/officeDocument/2006/relationships" r:id="rId174"/>
          <a:extLst>
            <a:ext uri="{FF2B5EF4-FFF2-40B4-BE49-F238E27FC236}">
              <a16:creationId xmlns:a16="http://schemas.microsoft.com/office/drawing/2014/main" id="{2AFD217E-D10B-486F-9EFC-80CAA0710D1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47</xdr:row>
      <xdr:rowOff>0</xdr:rowOff>
    </xdr:from>
    <xdr:ext cx="304800" cy="317500"/>
    <xdr:sp macro="" textlink="">
      <xdr:nvSpPr>
        <xdr:cNvPr id="954" name="AutoShape 177" descr="USA">
          <a:hlinkClick xmlns:r="http://schemas.openxmlformats.org/officeDocument/2006/relationships" r:id="rId174"/>
          <a:extLst>
            <a:ext uri="{FF2B5EF4-FFF2-40B4-BE49-F238E27FC236}">
              <a16:creationId xmlns:a16="http://schemas.microsoft.com/office/drawing/2014/main" id="{2D561FAA-031F-4BCC-94D9-6FB2B3224B3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55" name="AutoShape 177" descr="USA">
          <a:hlinkClick xmlns:r="http://schemas.openxmlformats.org/officeDocument/2006/relationships" r:id="rId174"/>
          <a:extLst>
            <a:ext uri="{FF2B5EF4-FFF2-40B4-BE49-F238E27FC236}">
              <a16:creationId xmlns:a16="http://schemas.microsoft.com/office/drawing/2014/main" id="{690CB7FA-CD43-4B31-95C1-54EFE40108A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6" name="AutoShape 171" descr="USA">
          <a:hlinkClick xmlns:r="http://schemas.openxmlformats.org/officeDocument/2006/relationships" r:id="rId165"/>
          <a:extLst>
            <a:ext uri="{FF2B5EF4-FFF2-40B4-BE49-F238E27FC236}">
              <a16:creationId xmlns:a16="http://schemas.microsoft.com/office/drawing/2014/main" id="{FE8BF6A7-F429-4DB7-9319-05B03D15D6D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7" name="AutoShape 177" descr="USA">
          <a:hlinkClick xmlns:r="http://schemas.openxmlformats.org/officeDocument/2006/relationships" r:id="rId174"/>
          <a:extLst>
            <a:ext uri="{FF2B5EF4-FFF2-40B4-BE49-F238E27FC236}">
              <a16:creationId xmlns:a16="http://schemas.microsoft.com/office/drawing/2014/main" id="{7BD5E7AF-284A-4DB8-ACEB-DDFCED8EE7B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8" name="AutoShape 177" descr="USA">
          <a:hlinkClick xmlns:r="http://schemas.openxmlformats.org/officeDocument/2006/relationships" r:id="rId174"/>
          <a:extLst>
            <a:ext uri="{FF2B5EF4-FFF2-40B4-BE49-F238E27FC236}">
              <a16:creationId xmlns:a16="http://schemas.microsoft.com/office/drawing/2014/main" id="{C424DB3E-4EBE-419E-88AC-73E7A261E16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59" name="AutoShape 177" descr="USA">
          <a:hlinkClick xmlns:r="http://schemas.openxmlformats.org/officeDocument/2006/relationships" r:id="rId174"/>
          <a:extLst>
            <a:ext uri="{FF2B5EF4-FFF2-40B4-BE49-F238E27FC236}">
              <a16:creationId xmlns:a16="http://schemas.microsoft.com/office/drawing/2014/main" id="{403ED73B-0987-4EDA-A185-69FCE7C887E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0" name="AutoShape 177" descr="USA">
          <a:hlinkClick xmlns:r="http://schemas.openxmlformats.org/officeDocument/2006/relationships" r:id="rId174"/>
          <a:extLst>
            <a:ext uri="{FF2B5EF4-FFF2-40B4-BE49-F238E27FC236}">
              <a16:creationId xmlns:a16="http://schemas.microsoft.com/office/drawing/2014/main" id="{A2D345BD-05EC-457B-AC44-407BD86FC9F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1" name="AutoShape 177" descr="USA">
          <a:hlinkClick xmlns:r="http://schemas.openxmlformats.org/officeDocument/2006/relationships" r:id="rId174"/>
          <a:extLst>
            <a:ext uri="{FF2B5EF4-FFF2-40B4-BE49-F238E27FC236}">
              <a16:creationId xmlns:a16="http://schemas.microsoft.com/office/drawing/2014/main" id="{95EBF179-6794-4F8C-9A32-DBC70A7DCD5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2" name="AutoShape 177" descr="USA">
          <a:hlinkClick xmlns:r="http://schemas.openxmlformats.org/officeDocument/2006/relationships" r:id="rId174"/>
          <a:extLst>
            <a:ext uri="{FF2B5EF4-FFF2-40B4-BE49-F238E27FC236}">
              <a16:creationId xmlns:a16="http://schemas.microsoft.com/office/drawing/2014/main" id="{B2B2B607-2307-4B0C-A0BB-87B5B087DBF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48</xdr:row>
      <xdr:rowOff>0</xdr:rowOff>
    </xdr:from>
    <xdr:ext cx="304800" cy="317500"/>
    <xdr:sp macro="" textlink="">
      <xdr:nvSpPr>
        <xdr:cNvPr id="963" name="AutoShape 177" descr="USA">
          <a:hlinkClick xmlns:r="http://schemas.openxmlformats.org/officeDocument/2006/relationships" r:id="rId174"/>
          <a:extLst>
            <a:ext uri="{FF2B5EF4-FFF2-40B4-BE49-F238E27FC236}">
              <a16:creationId xmlns:a16="http://schemas.microsoft.com/office/drawing/2014/main" id="{31BD08C3-2338-4453-86AD-D46A6F13A4E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64" name="AutoShape 177" descr="USA">
          <a:hlinkClick xmlns:r="http://schemas.openxmlformats.org/officeDocument/2006/relationships" r:id="rId174"/>
          <a:extLst>
            <a:ext uri="{FF2B5EF4-FFF2-40B4-BE49-F238E27FC236}">
              <a16:creationId xmlns:a16="http://schemas.microsoft.com/office/drawing/2014/main" id="{49295252-038C-4863-9624-8D926D157A4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5" name="AutoShape 171" descr="USA">
          <a:hlinkClick xmlns:r="http://schemas.openxmlformats.org/officeDocument/2006/relationships" r:id="rId165"/>
          <a:extLst>
            <a:ext uri="{FF2B5EF4-FFF2-40B4-BE49-F238E27FC236}">
              <a16:creationId xmlns:a16="http://schemas.microsoft.com/office/drawing/2014/main" id="{383936D6-CA9C-469E-B080-DE4296E3D33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6" name="AutoShape 177" descr="USA">
          <a:hlinkClick xmlns:r="http://schemas.openxmlformats.org/officeDocument/2006/relationships" r:id="rId174"/>
          <a:extLst>
            <a:ext uri="{FF2B5EF4-FFF2-40B4-BE49-F238E27FC236}">
              <a16:creationId xmlns:a16="http://schemas.microsoft.com/office/drawing/2014/main" id="{E4BA3508-1054-4B5D-B0DD-027381F9A3D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7" name="AutoShape 177" descr="USA">
          <a:hlinkClick xmlns:r="http://schemas.openxmlformats.org/officeDocument/2006/relationships" r:id="rId174"/>
          <a:extLst>
            <a:ext uri="{FF2B5EF4-FFF2-40B4-BE49-F238E27FC236}">
              <a16:creationId xmlns:a16="http://schemas.microsoft.com/office/drawing/2014/main" id="{4EFEE486-A0DF-44FB-8D15-5D35E51FC1F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8" name="AutoShape 177" descr="USA">
          <a:hlinkClick xmlns:r="http://schemas.openxmlformats.org/officeDocument/2006/relationships" r:id="rId174"/>
          <a:extLst>
            <a:ext uri="{FF2B5EF4-FFF2-40B4-BE49-F238E27FC236}">
              <a16:creationId xmlns:a16="http://schemas.microsoft.com/office/drawing/2014/main" id="{DC7C616F-835B-46A2-9541-1B1361C3BC0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69" name="AutoShape 177" descr="USA">
          <a:hlinkClick xmlns:r="http://schemas.openxmlformats.org/officeDocument/2006/relationships" r:id="rId174"/>
          <a:extLst>
            <a:ext uri="{FF2B5EF4-FFF2-40B4-BE49-F238E27FC236}">
              <a16:creationId xmlns:a16="http://schemas.microsoft.com/office/drawing/2014/main" id="{029AFE9D-C690-4E6C-85FA-AF2926861F1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70" name="AutoShape 177" descr="USA">
          <a:hlinkClick xmlns:r="http://schemas.openxmlformats.org/officeDocument/2006/relationships" r:id="rId174"/>
          <a:extLst>
            <a:ext uri="{FF2B5EF4-FFF2-40B4-BE49-F238E27FC236}">
              <a16:creationId xmlns:a16="http://schemas.microsoft.com/office/drawing/2014/main" id="{68A70882-979D-4A15-97A8-06BFC99ED58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71" name="AutoShape 177" descr="USA">
          <a:hlinkClick xmlns:r="http://schemas.openxmlformats.org/officeDocument/2006/relationships" r:id="rId174"/>
          <a:extLst>
            <a:ext uri="{FF2B5EF4-FFF2-40B4-BE49-F238E27FC236}">
              <a16:creationId xmlns:a16="http://schemas.microsoft.com/office/drawing/2014/main" id="{853EB144-C72D-4234-ADAE-F795A30F359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49</xdr:row>
      <xdr:rowOff>0</xdr:rowOff>
    </xdr:from>
    <xdr:ext cx="304800" cy="317500"/>
    <xdr:sp macro="" textlink="">
      <xdr:nvSpPr>
        <xdr:cNvPr id="972" name="AutoShape 177" descr="USA">
          <a:hlinkClick xmlns:r="http://schemas.openxmlformats.org/officeDocument/2006/relationships" r:id="rId174"/>
          <a:extLst>
            <a:ext uri="{FF2B5EF4-FFF2-40B4-BE49-F238E27FC236}">
              <a16:creationId xmlns:a16="http://schemas.microsoft.com/office/drawing/2014/main" id="{9FA5FFEB-75AB-457B-9B0C-DBD472929C4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73" name="AutoShape 177" descr="USA">
          <a:hlinkClick xmlns:r="http://schemas.openxmlformats.org/officeDocument/2006/relationships" r:id="rId174"/>
          <a:extLst>
            <a:ext uri="{FF2B5EF4-FFF2-40B4-BE49-F238E27FC236}">
              <a16:creationId xmlns:a16="http://schemas.microsoft.com/office/drawing/2014/main" id="{8D670E7A-A796-4F68-826A-3108B82FF00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4" name="AutoShape 171" descr="USA">
          <a:hlinkClick xmlns:r="http://schemas.openxmlformats.org/officeDocument/2006/relationships" r:id="rId165"/>
          <a:extLst>
            <a:ext uri="{FF2B5EF4-FFF2-40B4-BE49-F238E27FC236}">
              <a16:creationId xmlns:a16="http://schemas.microsoft.com/office/drawing/2014/main" id="{C2E939A1-42CF-49E0-8357-4BCA3A30740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5" name="AutoShape 177" descr="USA">
          <a:hlinkClick xmlns:r="http://schemas.openxmlformats.org/officeDocument/2006/relationships" r:id="rId174"/>
          <a:extLst>
            <a:ext uri="{FF2B5EF4-FFF2-40B4-BE49-F238E27FC236}">
              <a16:creationId xmlns:a16="http://schemas.microsoft.com/office/drawing/2014/main" id="{BF1492CF-FE3E-4DF6-B9EF-B6ADECE79DE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6" name="AutoShape 177" descr="USA">
          <a:hlinkClick xmlns:r="http://schemas.openxmlformats.org/officeDocument/2006/relationships" r:id="rId174"/>
          <a:extLst>
            <a:ext uri="{FF2B5EF4-FFF2-40B4-BE49-F238E27FC236}">
              <a16:creationId xmlns:a16="http://schemas.microsoft.com/office/drawing/2014/main" id="{259F741F-E8FB-40B6-809F-766FDBF6023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7" name="AutoShape 177" descr="USA">
          <a:hlinkClick xmlns:r="http://schemas.openxmlformats.org/officeDocument/2006/relationships" r:id="rId174"/>
          <a:extLst>
            <a:ext uri="{FF2B5EF4-FFF2-40B4-BE49-F238E27FC236}">
              <a16:creationId xmlns:a16="http://schemas.microsoft.com/office/drawing/2014/main" id="{79CA6E0F-6467-4FB0-8064-948027D95D2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8" name="AutoShape 177" descr="USA">
          <a:hlinkClick xmlns:r="http://schemas.openxmlformats.org/officeDocument/2006/relationships" r:id="rId174"/>
          <a:extLst>
            <a:ext uri="{FF2B5EF4-FFF2-40B4-BE49-F238E27FC236}">
              <a16:creationId xmlns:a16="http://schemas.microsoft.com/office/drawing/2014/main" id="{27F4E7A6-FB76-43C7-B9A6-8C8086256B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79" name="AutoShape 177" descr="USA">
          <a:hlinkClick xmlns:r="http://schemas.openxmlformats.org/officeDocument/2006/relationships" r:id="rId174"/>
          <a:extLst>
            <a:ext uri="{FF2B5EF4-FFF2-40B4-BE49-F238E27FC236}">
              <a16:creationId xmlns:a16="http://schemas.microsoft.com/office/drawing/2014/main" id="{6AE1ADD6-7FEF-4E82-850F-B20CC28802B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80" name="AutoShape 177" descr="USA">
          <a:hlinkClick xmlns:r="http://schemas.openxmlformats.org/officeDocument/2006/relationships" r:id="rId174"/>
          <a:extLst>
            <a:ext uri="{FF2B5EF4-FFF2-40B4-BE49-F238E27FC236}">
              <a16:creationId xmlns:a16="http://schemas.microsoft.com/office/drawing/2014/main" id="{2043D29C-8A7B-4E62-A5B0-9CB6E112BED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50</xdr:row>
      <xdr:rowOff>0</xdr:rowOff>
    </xdr:from>
    <xdr:ext cx="304800" cy="317500"/>
    <xdr:sp macro="" textlink="">
      <xdr:nvSpPr>
        <xdr:cNvPr id="981" name="AutoShape 177" descr="USA">
          <a:hlinkClick xmlns:r="http://schemas.openxmlformats.org/officeDocument/2006/relationships" r:id="rId174"/>
          <a:extLst>
            <a:ext uri="{FF2B5EF4-FFF2-40B4-BE49-F238E27FC236}">
              <a16:creationId xmlns:a16="http://schemas.microsoft.com/office/drawing/2014/main" id="{EF0D0BC2-88C1-40CC-9A07-CB5D41C5BD7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82" name="AutoShape 177" descr="USA">
          <a:hlinkClick xmlns:r="http://schemas.openxmlformats.org/officeDocument/2006/relationships" r:id="rId174"/>
          <a:extLst>
            <a:ext uri="{FF2B5EF4-FFF2-40B4-BE49-F238E27FC236}">
              <a16:creationId xmlns:a16="http://schemas.microsoft.com/office/drawing/2014/main" id="{7FF09E27-3EF4-433A-AF4E-59A3A4EEEFF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3" name="AutoShape 171" descr="USA">
          <a:hlinkClick xmlns:r="http://schemas.openxmlformats.org/officeDocument/2006/relationships" r:id="rId165"/>
          <a:extLst>
            <a:ext uri="{FF2B5EF4-FFF2-40B4-BE49-F238E27FC236}">
              <a16:creationId xmlns:a16="http://schemas.microsoft.com/office/drawing/2014/main" id="{781B33E7-FFE5-495C-9226-13F32F6694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4" name="AutoShape 177" descr="USA">
          <a:hlinkClick xmlns:r="http://schemas.openxmlformats.org/officeDocument/2006/relationships" r:id="rId174"/>
          <a:extLst>
            <a:ext uri="{FF2B5EF4-FFF2-40B4-BE49-F238E27FC236}">
              <a16:creationId xmlns:a16="http://schemas.microsoft.com/office/drawing/2014/main" id="{574B6422-12F6-4463-A459-B2EC299B554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5" name="AutoShape 177" descr="USA">
          <a:hlinkClick xmlns:r="http://schemas.openxmlformats.org/officeDocument/2006/relationships" r:id="rId174"/>
          <a:extLst>
            <a:ext uri="{FF2B5EF4-FFF2-40B4-BE49-F238E27FC236}">
              <a16:creationId xmlns:a16="http://schemas.microsoft.com/office/drawing/2014/main" id="{D1286AB2-7D57-4D32-A374-98FB1AF529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6" name="AutoShape 177" descr="USA">
          <a:hlinkClick xmlns:r="http://schemas.openxmlformats.org/officeDocument/2006/relationships" r:id="rId174"/>
          <a:extLst>
            <a:ext uri="{FF2B5EF4-FFF2-40B4-BE49-F238E27FC236}">
              <a16:creationId xmlns:a16="http://schemas.microsoft.com/office/drawing/2014/main" id="{A5AB80D0-76A8-412D-B12E-F479178F2DC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7" name="AutoShape 177" descr="USA">
          <a:hlinkClick xmlns:r="http://schemas.openxmlformats.org/officeDocument/2006/relationships" r:id="rId174"/>
          <a:extLst>
            <a:ext uri="{FF2B5EF4-FFF2-40B4-BE49-F238E27FC236}">
              <a16:creationId xmlns:a16="http://schemas.microsoft.com/office/drawing/2014/main" id="{06F92E8C-D984-4EC5-A115-895C2692637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8" name="AutoShape 177" descr="USA">
          <a:hlinkClick xmlns:r="http://schemas.openxmlformats.org/officeDocument/2006/relationships" r:id="rId174"/>
          <a:extLst>
            <a:ext uri="{FF2B5EF4-FFF2-40B4-BE49-F238E27FC236}">
              <a16:creationId xmlns:a16="http://schemas.microsoft.com/office/drawing/2014/main" id="{58A2D3DC-9CCF-46D3-9B67-64F6B6D763A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89" name="AutoShape 177" descr="USA">
          <a:hlinkClick xmlns:r="http://schemas.openxmlformats.org/officeDocument/2006/relationships" r:id="rId174"/>
          <a:extLst>
            <a:ext uri="{FF2B5EF4-FFF2-40B4-BE49-F238E27FC236}">
              <a16:creationId xmlns:a16="http://schemas.microsoft.com/office/drawing/2014/main" id="{9A14F283-8197-4219-A8BE-77700CC4715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51</xdr:row>
      <xdr:rowOff>0</xdr:rowOff>
    </xdr:from>
    <xdr:ext cx="304800" cy="317500"/>
    <xdr:sp macro="" textlink="">
      <xdr:nvSpPr>
        <xdr:cNvPr id="990" name="AutoShape 177" descr="USA">
          <a:hlinkClick xmlns:r="http://schemas.openxmlformats.org/officeDocument/2006/relationships" r:id="rId174"/>
          <a:extLst>
            <a:ext uri="{FF2B5EF4-FFF2-40B4-BE49-F238E27FC236}">
              <a16:creationId xmlns:a16="http://schemas.microsoft.com/office/drawing/2014/main" id="{C4513A4A-467A-4E14-9312-95B7C86A0DE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991" name="AutoShape 177" descr="USA">
          <a:hlinkClick xmlns:r="http://schemas.openxmlformats.org/officeDocument/2006/relationships" r:id="rId174"/>
          <a:extLst>
            <a:ext uri="{FF2B5EF4-FFF2-40B4-BE49-F238E27FC236}">
              <a16:creationId xmlns:a16="http://schemas.microsoft.com/office/drawing/2014/main" id="{9CBE6AB1-E482-4B23-80AC-ED0616C8CAF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2" name="AutoShape 171" descr="USA">
          <a:hlinkClick xmlns:r="http://schemas.openxmlformats.org/officeDocument/2006/relationships" r:id="rId165"/>
          <a:extLst>
            <a:ext uri="{FF2B5EF4-FFF2-40B4-BE49-F238E27FC236}">
              <a16:creationId xmlns:a16="http://schemas.microsoft.com/office/drawing/2014/main" id="{899E7B6A-38B7-473E-A64E-859611B723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3" name="AutoShape 177" descr="USA">
          <a:hlinkClick xmlns:r="http://schemas.openxmlformats.org/officeDocument/2006/relationships" r:id="rId174"/>
          <a:extLst>
            <a:ext uri="{FF2B5EF4-FFF2-40B4-BE49-F238E27FC236}">
              <a16:creationId xmlns:a16="http://schemas.microsoft.com/office/drawing/2014/main" id="{9CBBC58F-210F-46D9-B67E-68CDD800793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4" name="AutoShape 177" descr="USA">
          <a:hlinkClick xmlns:r="http://schemas.openxmlformats.org/officeDocument/2006/relationships" r:id="rId174"/>
          <a:extLst>
            <a:ext uri="{FF2B5EF4-FFF2-40B4-BE49-F238E27FC236}">
              <a16:creationId xmlns:a16="http://schemas.microsoft.com/office/drawing/2014/main" id="{E6F8435B-7D8F-4145-8C7F-4F763950CEA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5" name="AutoShape 177" descr="USA">
          <a:hlinkClick xmlns:r="http://schemas.openxmlformats.org/officeDocument/2006/relationships" r:id="rId174"/>
          <a:extLst>
            <a:ext uri="{FF2B5EF4-FFF2-40B4-BE49-F238E27FC236}">
              <a16:creationId xmlns:a16="http://schemas.microsoft.com/office/drawing/2014/main" id="{E4195BB9-8844-4AFC-8C18-A47DF2266FD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6" name="AutoShape 177" descr="USA">
          <a:hlinkClick xmlns:r="http://schemas.openxmlformats.org/officeDocument/2006/relationships" r:id="rId174"/>
          <a:extLst>
            <a:ext uri="{FF2B5EF4-FFF2-40B4-BE49-F238E27FC236}">
              <a16:creationId xmlns:a16="http://schemas.microsoft.com/office/drawing/2014/main" id="{D0440943-6D27-4305-9E1D-CA81222CFAA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7" name="AutoShape 177" descr="USA">
          <a:hlinkClick xmlns:r="http://schemas.openxmlformats.org/officeDocument/2006/relationships" r:id="rId174"/>
          <a:extLst>
            <a:ext uri="{FF2B5EF4-FFF2-40B4-BE49-F238E27FC236}">
              <a16:creationId xmlns:a16="http://schemas.microsoft.com/office/drawing/2014/main" id="{9121639A-9013-44E8-A8B0-8008316557F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8" name="AutoShape 177" descr="USA">
          <a:hlinkClick xmlns:r="http://schemas.openxmlformats.org/officeDocument/2006/relationships" r:id="rId174"/>
          <a:extLst>
            <a:ext uri="{FF2B5EF4-FFF2-40B4-BE49-F238E27FC236}">
              <a16:creationId xmlns:a16="http://schemas.microsoft.com/office/drawing/2014/main" id="{F89BA0E3-D15E-47F8-9753-F4050A6506F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52</xdr:row>
      <xdr:rowOff>0</xdr:rowOff>
    </xdr:from>
    <xdr:ext cx="304800" cy="317500"/>
    <xdr:sp macro="" textlink="">
      <xdr:nvSpPr>
        <xdr:cNvPr id="999" name="AutoShape 177" descr="USA">
          <a:hlinkClick xmlns:r="http://schemas.openxmlformats.org/officeDocument/2006/relationships" r:id="rId174"/>
          <a:extLst>
            <a:ext uri="{FF2B5EF4-FFF2-40B4-BE49-F238E27FC236}">
              <a16:creationId xmlns:a16="http://schemas.microsoft.com/office/drawing/2014/main" id="{B83ED01F-1EAD-461B-8826-A4E4615E350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00" name="AutoShape 177" descr="USA">
          <a:hlinkClick xmlns:r="http://schemas.openxmlformats.org/officeDocument/2006/relationships" r:id="rId174"/>
          <a:extLst>
            <a:ext uri="{FF2B5EF4-FFF2-40B4-BE49-F238E27FC236}">
              <a16:creationId xmlns:a16="http://schemas.microsoft.com/office/drawing/2014/main" id="{9E28689F-5DB3-4329-BEB1-9E9F152E22C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1" name="AutoShape 171" descr="USA">
          <a:hlinkClick xmlns:r="http://schemas.openxmlformats.org/officeDocument/2006/relationships" r:id="rId165"/>
          <a:extLst>
            <a:ext uri="{FF2B5EF4-FFF2-40B4-BE49-F238E27FC236}">
              <a16:creationId xmlns:a16="http://schemas.microsoft.com/office/drawing/2014/main" id="{1D4A4E97-1A42-4937-8585-E92E6ABD0C1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2" name="AutoShape 177" descr="USA">
          <a:hlinkClick xmlns:r="http://schemas.openxmlformats.org/officeDocument/2006/relationships" r:id="rId174"/>
          <a:extLst>
            <a:ext uri="{FF2B5EF4-FFF2-40B4-BE49-F238E27FC236}">
              <a16:creationId xmlns:a16="http://schemas.microsoft.com/office/drawing/2014/main" id="{CA421BF0-9B0F-47DF-8F52-DB3400E611C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3" name="AutoShape 177" descr="USA">
          <a:hlinkClick xmlns:r="http://schemas.openxmlformats.org/officeDocument/2006/relationships" r:id="rId174"/>
          <a:extLst>
            <a:ext uri="{FF2B5EF4-FFF2-40B4-BE49-F238E27FC236}">
              <a16:creationId xmlns:a16="http://schemas.microsoft.com/office/drawing/2014/main" id="{A485E2FF-2C91-4CF2-885B-13A6189C562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4" name="AutoShape 177" descr="USA">
          <a:hlinkClick xmlns:r="http://schemas.openxmlformats.org/officeDocument/2006/relationships" r:id="rId174"/>
          <a:extLst>
            <a:ext uri="{FF2B5EF4-FFF2-40B4-BE49-F238E27FC236}">
              <a16:creationId xmlns:a16="http://schemas.microsoft.com/office/drawing/2014/main" id="{CF30653D-E6CD-40AF-BD9D-06896419763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5" name="AutoShape 177" descr="USA">
          <a:hlinkClick xmlns:r="http://schemas.openxmlformats.org/officeDocument/2006/relationships" r:id="rId174"/>
          <a:extLst>
            <a:ext uri="{FF2B5EF4-FFF2-40B4-BE49-F238E27FC236}">
              <a16:creationId xmlns:a16="http://schemas.microsoft.com/office/drawing/2014/main" id="{99CD8E12-E9A0-4510-94F6-CEF8D1855C6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6" name="AutoShape 177" descr="USA">
          <a:hlinkClick xmlns:r="http://schemas.openxmlformats.org/officeDocument/2006/relationships" r:id="rId174"/>
          <a:extLst>
            <a:ext uri="{FF2B5EF4-FFF2-40B4-BE49-F238E27FC236}">
              <a16:creationId xmlns:a16="http://schemas.microsoft.com/office/drawing/2014/main" id="{08EF4F83-68F2-4256-B084-CEE5DDCB1C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7" name="AutoShape 177" descr="USA">
          <a:hlinkClick xmlns:r="http://schemas.openxmlformats.org/officeDocument/2006/relationships" r:id="rId174"/>
          <a:extLst>
            <a:ext uri="{FF2B5EF4-FFF2-40B4-BE49-F238E27FC236}">
              <a16:creationId xmlns:a16="http://schemas.microsoft.com/office/drawing/2014/main" id="{773DA3A9-8349-46C0-A0AB-498E0E5988C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53</xdr:row>
      <xdr:rowOff>0</xdr:rowOff>
    </xdr:from>
    <xdr:ext cx="304800" cy="317500"/>
    <xdr:sp macro="" textlink="">
      <xdr:nvSpPr>
        <xdr:cNvPr id="1008" name="AutoShape 177" descr="USA">
          <a:hlinkClick xmlns:r="http://schemas.openxmlformats.org/officeDocument/2006/relationships" r:id="rId174"/>
          <a:extLst>
            <a:ext uri="{FF2B5EF4-FFF2-40B4-BE49-F238E27FC236}">
              <a16:creationId xmlns:a16="http://schemas.microsoft.com/office/drawing/2014/main" id="{C057C6E1-3296-4290-B13F-67CCF92F17C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09" name="AutoShape 177" descr="USA">
          <a:hlinkClick xmlns:r="http://schemas.openxmlformats.org/officeDocument/2006/relationships" r:id="rId174"/>
          <a:extLst>
            <a:ext uri="{FF2B5EF4-FFF2-40B4-BE49-F238E27FC236}">
              <a16:creationId xmlns:a16="http://schemas.microsoft.com/office/drawing/2014/main" id="{07B6475D-894B-4114-A301-BB0960347A8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0" name="AutoShape 171" descr="USA">
          <a:hlinkClick xmlns:r="http://schemas.openxmlformats.org/officeDocument/2006/relationships" r:id="rId165"/>
          <a:extLst>
            <a:ext uri="{FF2B5EF4-FFF2-40B4-BE49-F238E27FC236}">
              <a16:creationId xmlns:a16="http://schemas.microsoft.com/office/drawing/2014/main" id="{6B2ADF9B-EDEE-4E06-8FF8-7245E35BB42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1" name="AutoShape 177" descr="USA">
          <a:hlinkClick xmlns:r="http://schemas.openxmlformats.org/officeDocument/2006/relationships" r:id="rId174"/>
          <a:extLst>
            <a:ext uri="{FF2B5EF4-FFF2-40B4-BE49-F238E27FC236}">
              <a16:creationId xmlns:a16="http://schemas.microsoft.com/office/drawing/2014/main" id="{8A54DF16-984F-4265-A128-2275309FBC1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2" name="AutoShape 177" descr="USA">
          <a:hlinkClick xmlns:r="http://schemas.openxmlformats.org/officeDocument/2006/relationships" r:id="rId174"/>
          <a:extLst>
            <a:ext uri="{FF2B5EF4-FFF2-40B4-BE49-F238E27FC236}">
              <a16:creationId xmlns:a16="http://schemas.microsoft.com/office/drawing/2014/main" id="{2819AE1F-55CC-4877-91FC-D73A30DA315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3" name="AutoShape 177" descr="USA">
          <a:hlinkClick xmlns:r="http://schemas.openxmlformats.org/officeDocument/2006/relationships" r:id="rId174"/>
          <a:extLst>
            <a:ext uri="{FF2B5EF4-FFF2-40B4-BE49-F238E27FC236}">
              <a16:creationId xmlns:a16="http://schemas.microsoft.com/office/drawing/2014/main" id="{AF00B85A-DE02-4DF5-80A2-BDCAB98AA3A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4" name="AutoShape 177" descr="USA">
          <a:hlinkClick xmlns:r="http://schemas.openxmlformats.org/officeDocument/2006/relationships" r:id="rId174"/>
          <a:extLst>
            <a:ext uri="{FF2B5EF4-FFF2-40B4-BE49-F238E27FC236}">
              <a16:creationId xmlns:a16="http://schemas.microsoft.com/office/drawing/2014/main" id="{F550819C-BB2F-4CEF-A75E-C793B0977A9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5" name="AutoShape 177" descr="USA">
          <a:hlinkClick xmlns:r="http://schemas.openxmlformats.org/officeDocument/2006/relationships" r:id="rId174"/>
          <a:extLst>
            <a:ext uri="{FF2B5EF4-FFF2-40B4-BE49-F238E27FC236}">
              <a16:creationId xmlns:a16="http://schemas.microsoft.com/office/drawing/2014/main" id="{291EF1BB-3C9C-4788-89E3-094E7B83D33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6" name="AutoShape 177" descr="USA">
          <a:hlinkClick xmlns:r="http://schemas.openxmlformats.org/officeDocument/2006/relationships" r:id="rId174"/>
          <a:extLst>
            <a:ext uri="{FF2B5EF4-FFF2-40B4-BE49-F238E27FC236}">
              <a16:creationId xmlns:a16="http://schemas.microsoft.com/office/drawing/2014/main" id="{E9A1CD18-446C-4B3F-97DF-B77040A5885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54</xdr:row>
      <xdr:rowOff>0</xdr:rowOff>
    </xdr:from>
    <xdr:ext cx="304800" cy="317500"/>
    <xdr:sp macro="" textlink="">
      <xdr:nvSpPr>
        <xdr:cNvPr id="1017" name="AutoShape 177" descr="USA">
          <a:hlinkClick xmlns:r="http://schemas.openxmlformats.org/officeDocument/2006/relationships" r:id="rId174"/>
          <a:extLst>
            <a:ext uri="{FF2B5EF4-FFF2-40B4-BE49-F238E27FC236}">
              <a16:creationId xmlns:a16="http://schemas.microsoft.com/office/drawing/2014/main" id="{A7A8EA79-513A-4270-8686-E739ECAD374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18" name="AutoShape 177" descr="USA">
          <a:hlinkClick xmlns:r="http://schemas.openxmlformats.org/officeDocument/2006/relationships" r:id="rId174"/>
          <a:extLst>
            <a:ext uri="{FF2B5EF4-FFF2-40B4-BE49-F238E27FC236}">
              <a16:creationId xmlns:a16="http://schemas.microsoft.com/office/drawing/2014/main" id="{E68F7627-FF38-44D8-8D3D-714B5210644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19" name="AutoShape 171" descr="USA">
          <a:hlinkClick xmlns:r="http://schemas.openxmlformats.org/officeDocument/2006/relationships" r:id="rId165"/>
          <a:extLst>
            <a:ext uri="{FF2B5EF4-FFF2-40B4-BE49-F238E27FC236}">
              <a16:creationId xmlns:a16="http://schemas.microsoft.com/office/drawing/2014/main" id="{8512CBA2-CF84-4A4B-B2F0-550AFE8EFE2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0" name="AutoShape 177" descr="USA">
          <a:hlinkClick xmlns:r="http://schemas.openxmlformats.org/officeDocument/2006/relationships" r:id="rId174"/>
          <a:extLst>
            <a:ext uri="{FF2B5EF4-FFF2-40B4-BE49-F238E27FC236}">
              <a16:creationId xmlns:a16="http://schemas.microsoft.com/office/drawing/2014/main" id="{6A8F7D2A-0B96-4563-97F0-B16BCA26EB6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1" name="AutoShape 177" descr="USA">
          <a:hlinkClick xmlns:r="http://schemas.openxmlformats.org/officeDocument/2006/relationships" r:id="rId174"/>
          <a:extLst>
            <a:ext uri="{FF2B5EF4-FFF2-40B4-BE49-F238E27FC236}">
              <a16:creationId xmlns:a16="http://schemas.microsoft.com/office/drawing/2014/main" id="{D3A03A3C-A393-4535-989D-55D065E5C7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2" name="AutoShape 177" descr="USA">
          <a:hlinkClick xmlns:r="http://schemas.openxmlformats.org/officeDocument/2006/relationships" r:id="rId174"/>
          <a:extLst>
            <a:ext uri="{FF2B5EF4-FFF2-40B4-BE49-F238E27FC236}">
              <a16:creationId xmlns:a16="http://schemas.microsoft.com/office/drawing/2014/main" id="{300A2D1E-F852-48EC-A8E7-A5CF6BAFC37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3" name="AutoShape 177" descr="USA">
          <a:hlinkClick xmlns:r="http://schemas.openxmlformats.org/officeDocument/2006/relationships" r:id="rId174"/>
          <a:extLst>
            <a:ext uri="{FF2B5EF4-FFF2-40B4-BE49-F238E27FC236}">
              <a16:creationId xmlns:a16="http://schemas.microsoft.com/office/drawing/2014/main" id="{18A4D137-F45B-46B5-9848-B44249C3543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4" name="AutoShape 177" descr="USA">
          <a:hlinkClick xmlns:r="http://schemas.openxmlformats.org/officeDocument/2006/relationships" r:id="rId174"/>
          <a:extLst>
            <a:ext uri="{FF2B5EF4-FFF2-40B4-BE49-F238E27FC236}">
              <a16:creationId xmlns:a16="http://schemas.microsoft.com/office/drawing/2014/main" id="{1E5B0437-B699-42E8-AD4B-976B324C29E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5" name="AutoShape 177" descr="USA">
          <a:hlinkClick xmlns:r="http://schemas.openxmlformats.org/officeDocument/2006/relationships" r:id="rId174"/>
          <a:extLst>
            <a:ext uri="{FF2B5EF4-FFF2-40B4-BE49-F238E27FC236}">
              <a16:creationId xmlns:a16="http://schemas.microsoft.com/office/drawing/2014/main" id="{B4C52BC5-8F69-403C-AE7E-5766A817243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55</xdr:row>
      <xdr:rowOff>0</xdr:rowOff>
    </xdr:from>
    <xdr:ext cx="304800" cy="317500"/>
    <xdr:sp macro="" textlink="">
      <xdr:nvSpPr>
        <xdr:cNvPr id="1026" name="AutoShape 177" descr="USA">
          <a:hlinkClick xmlns:r="http://schemas.openxmlformats.org/officeDocument/2006/relationships" r:id="rId174"/>
          <a:extLst>
            <a:ext uri="{FF2B5EF4-FFF2-40B4-BE49-F238E27FC236}">
              <a16:creationId xmlns:a16="http://schemas.microsoft.com/office/drawing/2014/main" id="{AC7B2876-8D38-492A-ADBB-9B99716FA21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27" name="AutoShape 177" descr="USA">
          <a:hlinkClick xmlns:r="http://schemas.openxmlformats.org/officeDocument/2006/relationships" r:id="rId174"/>
          <a:extLst>
            <a:ext uri="{FF2B5EF4-FFF2-40B4-BE49-F238E27FC236}">
              <a16:creationId xmlns:a16="http://schemas.microsoft.com/office/drawing/2014/main" id="{96CF7930-C95C-470D-867F-7614ED4C680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28" name="AutoShape 171" descr="USA">
          <a:hlinkClick xmlns:r="http://schemas.openxmlformats.org/officeDocument/2006/relationships" r:id="rId165"/>
          <a:extLst>
            <a:ext uri="{FF2B5EF4-FFF2-40B4-BE49-F238E27FC236}">
              <a16:creationId xmlns:a16="http://schemas.microsoft.com/office/drawing/2014/main" id="{95F85441-9577-48F8-9876-CC79AA5F74E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29" name="AutoShape 177" descr="USA">
          <a:hlinkClick xmlns:r="http://schemas.openxmlformats.org/officeDocument/2006/relationships" r:id="rId174"/>
          <a:extLst>
            <a:ext uri="{FF2B5EF4-FFF2-40B4-BE49-F238E27FC236}">
              <a16:creationId xmlns:a16="http://schemas.microsoft.com/office/drawing/2014/main" id="{E0B95189-814B-472E-8DC6-1CE226C3241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0" name="AutoShape 177" descr="USA">
          <a:hlinkClick xmlns:r="http://schemas.openxmlformats.org/officeDocument/2006/relationships" r:id="rId174"/>
          <a:extLst>
            <a:ext uri="{FF2B5EF4-FFF2-40B4-BE49-F238E27FC236}">
              <a16:creationId xmlns:a16="http://schemas.microsoft.com/office/drawing/2014/main" id="{2D59B9B0-5D04-482C-A35A-F051F10CC4F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1" name="AutoShape 177" descr="USA">
          <a:hlinkClick xmlns:r="http://schemas.openxmlformats.org/officeDocument/2006/relationships" r:id="rId174"/>
          <a:extLst>
            <a:ext uri="{FF2B5EF4-FFF2-40B4-BE49-F238E27FC236}">
              <a16:creationId xmlns:a16="http://schemas.microsoft.com/office/drawing/2014/main" id="{B53DD5E5-A9FA-474E-A048-D4614B9BB2C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2" name="AutoShape 177" descr="USA">
          <a:hlinkClick xmlns:r="http://schemas.openxmlformats.org/officeDocument/2006/relationships" r:id="rId174"/>
          <a:extLst>
            <a:ext uri="{FF2B5EF4-FFF2-40B4-BE49-F238E27FC236}">
              <a16:creationId xmlns:a16="http://schemas.microsoft.com/office/drawing/2014/main" id="{85A85FA6-D8E6-4F36-8255-8E80A814988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3" name="AutoShape 177" descr="USA">
          <a:hlinkClick xmlns:r="http://schemas.openxmlformats.org/officeDocument/2006/relationships" r:id="rId174"/>
          <a:extLst>
            <a:ext uri="{FF2B5EF4-FFF2-40B4-BE49-F238E27FC236}">
              <a16:creationId xmlns:a16="http://schemas.microsoft.com/office/drawing/2014/main" id="{260B79AE-1643-4122-862B-6E283DC7950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4" name="AutoShape 177" descr="USA">
          <a:hlinkClick xmlns:r="http://schemas.openxmlformats.org/officeDocument/2006/relationships" r:id="rId174"/>
          <a:extLst>
            <a:ext uri="{FF2B5EF4-FFF2-40B4-BE49-F238E27FC236}">
              <a16:creationId xmlns:a16="http://schemas.microsoft.com/office/drawing/2014/main" id="{D0F6ACDF-444E-43A2-8ADE-82A795C0C63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56</xdr:row>
      <xdr:rowOff>0</xdr:rowOff>
    </xdr:from>
    <xdr:ext cx="304800" cy="317500"/>
    <xdr:sp macro="" textlink="">
      <xdr:nvSpPr>
        <xdr:cNvPr id="1035" name="AutoShape 177" descr="USA">
          <a:hlinkClick xmlns:r="http://schemas.openxmlformats.org/officeDocument/2006/relationships" r:id="rId174"/>
          <a:extLst>
            <a:ext uri="{FF2B5EF4-FFF2-40B4-BE49-F238E27FC236}">
              <a16:creationId xmlns:a16="http://schemas.microsoft.com/office/drawing/2014/main" id="{5EC0F3E8-4425-484A-A7F1-C0863ADE40C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36" name="AutoShape 177" descr="USA">
          <a:hlinkClick xmlns:r="http://schemas.openxmlformats.org/officeDocument/2006/relationships" r:id="rId174"/>
          <a:extLst>
            <a:ext uri="{FF2B5EF4-FFF2-40B4-BE49-F238E27FC236}">
              <a16:creationId xmlns:a16="http://schemas.microsoft.com/office/drawing/2014/main" id="{DA754BA4-11FA-4EF7-8565-67D79AF4C94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37" name="AutoShape 171" descr="USA">
          <a:hlinkClick xmlns:r="http://schemas.openxmlformats.org/officeDocument/2006/relationships" r:id="rId165"/>
          <a:extLst>
            <a:ext uri="{FF2B5EF4-FFF2-40B4-BE49-F238E27FC236}">
              <a16:creationId xmlns:a16="http://schemas.microsoft.com/office/drawing/2014/main" id="{BCB05241-C1AF-4F01-9A28-B5CFCCDFAB9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38" name="AutoShape 177" descr="USA">
          <a:hlinkClick xmlns:r="http://schemas.openxmlformats.org/officeDocument/2006/relationships" r:id="rId174"/>
          <a:extLst>
            <a:ext uri="{FF2B5EF4-FFF2-40B4-BE49-F238E27FC236}">
              <a16:creationId xmlns:a16="http://schemas.microsoft.com/office/drawing/2014/main" id="{E5445486-8BBD-4B75-ADE9-57386DA10B8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39" name="AutoShape 177" descr="USA">
          <a:hlinkClick xmlns:r="http://schemas.openxmlformats.org/officeDocument/2006/relationships" r:id="rId174"/>
          <a:extLst>
            <a:ext uri="{FF2B5EF4-FFF2-40B4-BE49-F238E27FC236}">
              <a16:creationId xmlns:a16="http://schemas.microsoft.com/office/drawing/2014/main" id="{7C2AEF46-603C-4E64-95ED-C1343E7AFB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0" name="AutoShape 177" descr="USA">
          <a:hlinkClick xmlns:r="http://schemas.openxmlformats.org/officeDocument/2006/relationships" r:id="rId174"/>
          <a:extLst>
            <a:ext uri="{FF2B5EF4-FFF2-40B4-BE49-F238E27FC236}">
              <a16:creationId xmlns:a16="http://schemas.microsoft.com/office/drawing/2014/main" id="{0E54FE15-8D86-4152-91C1-D046F093F7F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1" name="AutoShape 177" descr="USA">
          <a:hlinkClick xmlns:r="http://schemas.openxmlformats.org/officeDocument/2006/relationships" r:id="rId174"/>
          <a:extLst>
            <a:ext uri="{FF2B5EF4-FFF2-40B4-BE49-F238E27FC236}">
              <a16:creationId xmlns:a16="http://schemas.microsoft.com/office/drawing/2014/main" id="{4FFD33A6-B08B-40F4-8FBB-0F22EB363B7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2" name="AutoShape 177" descr="USA">
          <a:hlinkClick xmlns:r="http://schemas.openxmlformats.org/officeDocument/2006/relationships" r:id="rId174"/>
          <a:extLst>
            <a:ext uri="{FF2B5EF4-FFF2-40B4-BE49-F238E27FC236}">
              <a16:creationId xmlns:a16="http://schemas.microsoft.com/office/drawing/2014/main" id="{657611F8-0D2A-493A-AAE8-F9E065B427C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3" name="AutoShape 177" descr="USA">
          <a:hlinkClick xmlns:r="http://schemas.openxmlformats.org/officeDocument/2006/relationships" r:id="rId174"/>
          <a:extLst>
            <a:ext uri="{FF2B5EF4-FFF2-40B4-BE49-F238E27FC236}">
              <a16:creationId xmlns:a16="http://schemas.microsoft.com/office/drawing/2014/main" id="{EC663B7D-8101-4959-B867-ABA1FDCFFB2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57</xdr:row>
      <xdr:rowOff>0</xdr:rowOff>
    </xdr:from>
    <xdr:ext cx="304800" cy="317500"/>
    <xdr:sp macro="" textlink="">
      <xdr:nvSpPr>
        <xdr:cNvPr id="1044" name="AutoShape 177" descr="USA">
          <a:hlinkClick xmlns:r="http://schemas.openxmlformats.org/officeDocument/2006/relationships" r:id="rId174"/>
          <a:extLst>
            <a:ext uri="{FF2B5EF4-FFF2-40B4-BE49-F238E27FC236}">
              <a16:creationId xmlns:a16="http://schemas.microsoft.com/office/drawing/2014/main" id="{482F370A-00DE-4087-9629-0570B9AD0CF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45" name="AutoShape 177" descr="USA">
          <a:hlinkClick xmlns:r="http://schemas.openxmlformats.org/officeDocument/2006/relationships" r:id="rId174"/>
          <a:extLst>
            <a:ext uri="{FF2B5EF4-FFF2-40B4-BE49-F238E27FC236}">
              <a16:creationId xmlns:a16="http://schemas.microsoft.com/office/drawing/2014/main" id="{7878F4E2-68E5-4D22-A9D4-3083C219F66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6" name="AutoShape 171" descr="USA">
          <a:hlinkClick xmlns:r="http://schemas.openxmlformats.org/officeDocument/2006/relationships" r:id="rId165"/>
          <a:extLst>
            <a:ext uri="{FF2B5EF4-FFF2-40B4-BE49-F238E27FC236}">
              <a16:creationId xmlns:a16="http://schemas.microsoft.com/office/drawing/2014/main" id="{18AE6804-6DB3-4733-8B8A-57E571DC408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7" name="AutoShape 177" descr="USA">
          <a:hlinkClick xmlns:r="http://schemas.openxmlformats.org/officeDocument/2006/relationships" r:id="rId174"/>
          <a:extLst>
            <a:ext uri="{FF2B5EF4-FFF2-40B4-BE49-F238E27FC236}">
              <a16:creationId xmlns:a16="http://schemas.microsoft.com/office/drawing/2014/main" id="{59C4F767-4CB8-4D99-8BE7-F3712F38380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8" name="AutoShape 177" descr="USA">
          <a:hlinkClick xmlns:r="http://schemas.openxmlformats.org/officeDocument/2006/relationships" r:id="rId174"/>
          <a:extLst>
            <a:ext uri="{FF2B5EF4-FFF2-40B4-BE49-F238E27FC236}">
              <a16:creationId xmlns:a16="http://schemas.microsoft.com/office/drawing/2014/main" id="{E5C7D121-D7AF-4137-B56A-FC08CE7A4F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49" name="AutoShape 177" descr="USA">
          <a:hlinkClick xmlns:r="http://schemas.openxmlformats.org/officeDocument/2006/relationships" r:id="rId174"/>
          <a:extLst>
            <a:ext uri="{FF2B5EF4-FFF2-40B4-BE49-F238E27FC236}">
              <a16:creationId xmlns:a16="http://schemas.microsoft.com/office/drawing/2014/main" id="{EF0EF139-D3A5-4FBF-A4EA-6B71644F425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0" name="AutoShape 177" descr="USA">
          <a:hlinkClick xmlns:r="http://schemas.openxmlformats.org/officeDocument/2006/relationships" r:id="rId174"/>
          <a:extLst>
            <a:ext uri="{FF2B5EF4-FFF2-40B4-BE49-F238E27FC236}">
              <a16:creationId xmlns:a16="http://schemas.microsoft.com/office/drawing/2014/main" id="{B8EC9B3E-8BD5-4AC3-AA22-74A3A25B701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1" name="AutoShape 177" descr="USA">
          <a:hlinkClick xmlns:r="http://schemas.openxmlformats.org/officeDocument/2006/relationships" r:id="rId174"/>
          <a:extLst>
            <a:ext uri="{FF2B5EF4-FFF2-40B4-BE49-F238E27FC236}">
              <a16:creationId xmlns:a16="http://schemas.microsoft.com/office/drawing/2014/main" id="{2236E7F9-BDC4-4B8C-A8A4-0530454F4C0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2" name="AutoShape 177" descr="USA">
          <a:hlinkClick xmlns:r="http://schemas.openxmlformats.org/officeDocument/2006/relationships" r:id="rId174"/>
          <a:extLst>
            <a:ext uri="{FF2B5EF4-FFF2-40B4-BE49-F238E27FC236}">
              <a16:creationId xmlns:a16="http://schemas.microsoft.com/office/drawing/2014/main" id="{63C0D8BD-AF23-4FC3-9200-06B8575599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17500"/>
    <xdr:sp macro="" textlink="">
      <xdr:nvSpPr>
        <xdr:cNvPr id="1053" name="AutoShape 177" descr="USA">
          <a:hlinkClick xmlns:r="http://schemas.openxmlformats.org/officeDocument/2006/relationships" r:id="rId174"/>
          <a:extLst>
            <a:ext uri="{FF2B5EF4-FFF2-40B4-BE49-F238E27FC236}">
              <a16:creationId xmlns:a16="http://schemas.microsoft.com/office/drawing/2014/main" id="{71CD57AE-0D39-4C83-AD1F-8516A8A41AB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54" name="AutoShape 177" descr="USA">
          <a:hlinkClick xmlns:r="http://schemas.openxmlformats.org/officeDocument/2006/relationships" r:id="rId174"/>
          <a:extLst>
            <a:ext uri="{FF2B5EF4-FFF2-40B4-BE49-F238E27FC236}">
              <a16:creationId xmlns:a16="http://schemas.microsoft.com/office/drawing/2014/main" id="{D2D19A97-4C88-42A4-A044-CACB1DE8E81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5" name="AutoShape 171" descr="USA">
          <a:hlinkClick xmlns:r="http://schemas.openxmlformats.org/officeDocument/2006/relationships" r:id="rId165"/>
          <a:extLst>
            <a:ext uri="{FF2B5EF4-FFF2-40B4-BE49-F238E27FC236}">
              <a16:creationId xmlns:a16="http://schemas.microsoft.com/office/drawing/2014/main" id="{D9A48508-F97F-4A6B-A587-65E121CB4B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6" name="AutoShape 177" descr="USA">
          <a:hlinkClick xmlns:r="http://schemas.openxmlformats.org/officeDocument/2006/relationships" r:id="rId174"/>
          <a:extLst>
            <a:ext uri="{FF2B5EF4-FFF2-40B4-BE49-F238E27FC236}">
              <a16:creationId xmlns:a16="http://schemas.microsoft.com/office/drawing/2014/main" id="{11AAD925-F0CE-46A8-AD6B-4CB5E52A173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7" name="AutoShape 177" descr="USA">
          <a:hlinkClick xmlns:r="http://schemas.openxmlformats.org/officeDocument/2006/relationships" r:id="rId174"/>
          <a:extLst>
            <a:ext uri="{FF2B5EF4-FFF2-40B4-BE49-F238E27FC236}">
              <a16:creationId xmlns:a16="http://schemas.microsoft.com/office/drawing/2014/main" id="{BC4D44BD-DA95-43FA-A4AE-7C6A5A73CB8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8" name="AutoShape 177" descr="USA">
          <a:hlinkClick xmlns:r="http://schemas.openxmlformats.org/officeDocument/2006/relationships" r:id="rId174"/>
          <a:extLst>
            <a:ext uri="{FF2B5EF4-FFF2-40B4-BE49-F238E27FC236}">
              <a16:creationId xmlns:a16="http://schemas.microsoft.com/office/drawing/2014/main" id="{2BCEC7AE-C507-4DAC-BBB4-B5A3044E0FC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59" name="AutoShape 177" descr="USA">
          <a:hlinkClick xmlns:r="http://schemas.openxmlformats.org/officeDocument/2006/relationships" r:id="rId174"/>
          <a:extLst>
            <a:ext uri="{FF2B5EF4-FFF2-40B4-BE49-F238E27FC236}">
              <a16:creationId xmlns:a16="http://schemas.microsoft.com/office/drawing/2014/main" id="{0AE616D8-3C1B-45AE-8AE3-F9F65B0D933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60" name="AutoShape 177" descr="USA">
          <a:hlinkClick xmlns:r="http://schemas.openxmlformats.org/officeDocument/2006/relationships" r:id="rId174"/>
          <a:extLst>
            <a:ext uri="{FF2B5EF4-FFF2-40B4-BE49-F238E27FC236}">
              <a16:creationId xmlns:a16="http://schemas.microsoft.com/office/drawing/2014/main" id="{922BE279-E21B-4090-BDAB-E45ED8B6026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61" name="AutoShape 177" descr="USA">
          <a:hlinkClick xmlns:r="http://schemas.openxmlformats.org/officeDocument/2006/relationships" r:id="rId174"/>
          <a:extLst>
            <a:ext uri="{FF2B5EF4-FFF2-40B4-BE49-F238E27FC236}">
              <a16:creationId xmlns:a16="http://schemas.microsoft.com/office/drawing/2014/main" id="{ACD7FE69-D757-4608-B6A2-A0FBD506096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17500"/>
    <xdr:sp macro="" textlink="">
      <xdr:nvSpPr>
        <xdr:cNvPr id="1062" name="AutoShape 177" descr="USA">
          <a:hlinkClick xmlns:r="http://schemas.openxmlformats.org/officeDocument/2006/relationships" r:id="rId174"/>
          <a:extLst>
            <a:ext uri="{FF2B5EF4-FFF2-40B4-BE49-F238E27FC236}">
              <a16:creationId xmlns:a16="http://schemas.microsoft.com/office/drawing/2014/main" id="{1C9356DD-5B50-4B19-A98F-80DC9641C77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63" name="AutoShape 177" descr="USA">
          <a:hlinkClick xmlns:r="http://schemas.openxmlformats.org/officeDocument/2006/relationships" r:id="rId174"/>
          <a:extLst>
            <a:ext uri="{FF2B5EF4-FFF2-40B4-BE49-F238E27FC236}">
              <a16:creationId xmlns:a16="http://schemas.microsoft.com/office/drawing/2014/main" id="{E187F228-2EBD-45A4-869B-9CAF6B39F50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4" name="AutoShape 171" descr="USA">
          <a:hlinkClick xmlns:r="http://schemas.openxmlformats.org/officeDocument/2006/relationships" r:id="rId165"/>
          <a:extLst>
            <a:ext uri="{FF2B5EF4-FFF2-40B4-BE49-F238E27FC236}">
              <a16:creationId xmlns:a16="http://schemas.microsoft.com/office/drawing/2014/main" id="{212267A4-D1AE-4956-A2C1-E0246F41EF3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5" name="AutoShape 177" descr="USA">
          <a:hlinkClick xmlns:r="http://schemas.openxmlformats.org/officeDocument/2006/relationships" r:id="rId174"/>
          <a:extLst>
            <a:ext uri="{FF2B5EF4-FFF2-40B4-BE49-F238E27FC236}">
              <a16:creationId xmlns:a16="http://schemas.microsoft.com/office/drawing/2014/main" id="{524F98FD-18EF-4CEF-A0C4-81015E3EB28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6" name="AutoShape 177" descr="USA">
          <a:hlinkClick xmlns:r="http://schemas.openxmlformats.org/officeDocument/2006/relationships" r:id="rId174"/>
          <a:extLst>
            <a:ext uri="{FF2B5EF4-FFF2-40B4-BE49-F238E27FC236}">
              <a16:creationId xmlns:a16="http://schemas.microsoft.com/office/drawing/2014/main" id="{507EDD5A-16A9-409C-9E46-2CF088C1F99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7" name="AutoShape 177" descr="USA">
          <a:hlinkClick xmlns:r="http://schemas.openxmlformats.org/officeDocument/2006/relationships" r:id="rId174"/>
          <a:extLst>
            <a:ext uri="{FF2B5EF4-FFF2-40B4-BE49-F238E27FC236}">
              <a16:creationId xmlns:a16="http://schemas.microsoft.com/office/drawing/2014/main" id="{BE8A804D-D93D-400D-AC20-101DA071CB4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8" name="AutoShape 177" descr="USA">
          <a:hlinkClick xmlns:r="http://schemas.openxmlformats.org/officeDocument/2006/relationships" r:id="rId174"/>
          <a:extLst>
            <a:ext uri="{FF2B5EF4-FFF2-40B4-BE49-F238E27FC236}">
              <a16:creationId xmlns:a16="http://schemas.microsoft.com/office/drawing/2014/main" id="{E8C08464-411B-48DE-82F9-B86561D340D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69" name="AutoShape 177" descr="USA">
          <a:hlinkClick xmlns:r="http://schemas.openxmlformats.org/officeDocument/2006/relationships" r:id="rId174"/>
          <a:extLst>
            <a:ext uri="{FF2B5EF4-FFF2-40B4-BE49-F238E27FC236}">
              <a16:creationId xmlns:a16="http://schemas.microsoft.com/office/drawing/2014/main" id="{CCC39A33-E712-40DA-AFE5-2EFD49A3684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70" name="AutoShape 177" descr="USA">
          <a:hlinkClick xmlns:r="http://schemas.openxmlformats.org/officeDocument/2006/relationships" r:id="rId174"/>
          <a:extLst>
            <a:ext uri="{FF2B5EF4-FFF2-40B4-BE49-F238E27FC236}">
              <a16:creationId xmlns:a16="http://schemas.microsoft.com/office/drawing/2014/main" id="{0AAB5A69-7517-43F1-8196-BB0F23E5E1D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60</xdr:row>
      <xdr:rowOff>0</xdr:rowOff>
    </xdr:from>
    <xdr:ext cx="304800" cy="317500"/>
    <xdr:sp macro="" textlink="">
      <xdr:nvSpPr>
        <xdr:cNvPr id="1071" name="AutoShape 177" descr="USA">
          <a:hlinkClick xmlns:r="http://schemas.openxmlformats.org/officeDocument/2006/relationships" r:id="rId174"/>
          <a:extLst>
            <a:ext uri="{FF2B5EF4-FFF2-40B4-BE49-F238E27FC236}">
              <a16:creationId xmlns:a16="http://schemas.microsoft.com/office/drawing/2014/main" id="{99865351-211E-4652-85B3-1E392CAB71C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72" name="AutoShape 177" descr="USA">
          <a:hlinkClick xmlns:r="http://schemas.openxmlformats.org/officeDocument/2006/relationships" r:id="rId174"/>
          <a:extLst>
            <a:ext uri="{FF2B5EF4-FFF2-40B4-BE49-F238E27FC236}">
              <a16:creationId xmlns:a16="http://schemas.microsoft.com/office/drawing/2014/main" id="{C7BDEE60-664A-4F99-8941-D7F4395BBA2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3" name="AutoShape 171" descr="USA">
          <a:hlinkClick xmlns:r="http://schemas.openxmlformats.org/officeDocument/2006/relationships" r:id="rId165"/>
          <a:extLst>
            <a:ext uri="{FF2B5EF4-FFF2-40B4-BE49-F238E27FC236}">
              <a16:creationId xmlns:a16="http://schemas.microsoft.com/office/drawing/2014/main" id="{3D3DCDCD-452D-4296-B647-DECD9C7CD40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4" name="AutoShape 177" descr="USA">
          <a:hlinkClick xmlns:r="http://schemas.openxmlformats.org/officeDocument/2006/relationships" r:id="rId174"/>
          <a:extLst>
            <a:ext uri="{FF2B5EF4-FFF2-40B4-BE49-F238E27FC236}">
              <a16:creationId xmlns:a16="http://schemas.microsoft.com/office/drawing/2014/main" id="{E9F3F9C8-7041-4D07-A681-4DA637FAEAB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5" name="AutoShape 177" descr="USA">
          <a:hlinkClick xmlns:r="http://schemas.openxmlformats.org/officeDocument/2006/relationships" r:id="rId174"/>
          <a:extLst>
            <a:ext uri="{FF2B5EF4-FFF2-40B4-BE49-F238E27FC236}">
              <a16:creationId xmlns:a16="http://schemas.microsoft.com/office/drawing/2014/main" id="{3B4D7949-7F12-461F-A532-33446E71742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6" name="AutoShape 177" descr="USA">
          <a:hlinkClick xmlns:r="http://schemas.openxmlformats.org/officeDocument/2006/relationships" r:id="rId174"/>
          <a:extLst>
            <a:ext uri="{FF2B5EF4-FFF2-40B4-BE49-F238E27FC236}">
              <a16:creationId xmlns:a16="http://schemas.microsoft.com/office/drawing/2014/main" id="{DBA2BE21-2BDA-43CD-A037-0AB4376C054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7" name="AutoShape 177" descr="USA">
          <a:hlinkClick xmlns:r="http://schemas.openxmlformats.org/officeDocument/2006/relationships" r:id="rId174"/>
          <a:extLst>
            <a:ext uri="{FF2B5EF4-FFF2-40B4-BE49-F238E27FC236}">
              <a16:creationId xmlns:a16="http://schemas.microsoft.com/office/drawing/2014/main" id="{A7F65F8C-AFB2-4C6E-97FE-9FDFE4D797E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8" name="AutoShape 177" descr="USA">
          <a:hlinkClick xmlns:r="http://schemas.openxmlformats.org/officeDocument/2006/relationships" r:id="rId174"/>
          <a:extLst>
            <a:ext uri="{FF2B5EF4-FFF2-40B4-BE49-F238E27FC236}">
              <a16:creationId xmlns:a16="http://schemas.microsoft.com/office/drawing/2014/main" id="{EB744A21-4DDC-4B63-B73C-868D6C31A96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79" name="AutoShape 177" descr="USA">
          <a:hlinkClick xmlns:r="http://schemas.openxmlformats.org/officeDocument/2006/relationships" r:id="rId174"/>
          <a:extLst>
            <a:ext uri="{FF2B5EF4-FFF2-40B4-BE49-F238E27FC236}">
              <a16:creationId xmlns:a16="http://schemas.microsoft.com/office/drawing/2014/main" id="{27A98E19-1BDA-4E24-B8C6-AF0774EADD6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61</xdr:row>
      <xdr:rowOff>0</xdr:rowOff>
    </xdr:from>
    <xdr:ext cx="304800" cy="317500"/>
    <xdr:sp macro="" textlink="">
      <xdr:nvSpPr>
        <xdr:cNvPr id="1080" name="AutoShape 177" descr="USA">
          <a:hlinkClick xmlns:r="http://schemas.openxmlformats.org/officeDocument/2006/relationships" r:id="rId174"/>
          <a:extLst>
            <a:ext uri="{FF2B5EF4-FFF2-40B4-BE49-F238E27FC236}">
              <a16:creationId xmlns:a16="http://schemas.microsoft.com/office/drawing/2014/main" id="{D539DD82-DAE7-498A-B4CC-519CA92B70D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81" name="AutoShape 177" descr="USA">
          <a:hlinkClick xmlns:r="http://schemas.openxmlformats.org/officeDocument/2006/relationships" r:id="rId174"/>
          <a:extLst>
            <a:ext uri="{FF2B5EF4-FFF2-40B4-BE49-F238E27FC236}">
              <a16:creationId xmlns:a16="http://schemas.microsoft.com/office/drawing/2014/main" id="{CD2ABDBD-F444-4FAB-8430-1F13761F08C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2" name="AutoShape 171" descr="USA">
          <a:hlinkClick xmlns:r="http://schemas.openxmlformats.org/officeDocument/2006/relationships" r:id="rId165"/>
          <a:extLst>
            <a:ext uri="{FF2B5EF4-FFF2-40B4-BE49-F238E27FC236}">
              <a16:creationId xmlns:a16="http://schemas.microsoft.com/office/drawing/2014/main" id="{0712FBC5-8510-4D5D-BAB4-A79259FAD6B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3" name="AutoShape 177" descr="USA">
          <a:hlinkClick xmlns:r="http://schemas.openxmlformats.org/officeDocument/2006/relationships" r:id="rId174"/>
          <a:extLst>
            <a:ext uri="{FF2B5EF4-FFF2-40B4-BE49-F238E27FC236}">
              <a16:creationId xmlns:a16="http://schemas.microsoft.com/office/drawing/2014/main" id="{58BEA7EB-C63A-4B76-9600-560F7AA4FAB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4" name="AutoShape 177" descr="USA">
          <a:hlinkClick xmlns:r="http://schemas.openxmlformats.org/officeDocument/2006/relationships" r:id="rId174"/>
          <a:extLst>
            <a:ext uri="{FF2B5EF4-FFF2-40B4-BE49-F238E27FC236}">
              <a16:creationId xmlns:a16="http://schemas.microsoft.com/office/drawing/2014/main" id="{19970BC1-9313-4C77-876D-DAF0F9700EF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5" name="AutoShape 177" descr="USA">
          <a:hlinkClick xmlns:r="http://schemas.openxmlformats.org/officeDocument/2006/relationships" r:id="rId174"/>
          <a:extLst>
            <a:ext uri="{FF2B5EF4-FFF2-40B4-BE49-F238E27FC236}">
              <a16:creationId xmlns:a16="http://schemas.microsoft.com/office/drawing/2014/main" id="{8BA597D4-9827-43E8-B7D0-4F26E4457E2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6" name="AutoShape 177" descr="USA">
          <a:hlinkClick xmlns:r="http://schemas.openxmlformats.org/officeDocument/2006/relationships" r:id="rId174"/>
          <a:extLst>
            <a:ext uri="{FF2B5EF4-FFF2-40B4-BE49-F238E27FC236}">
              <a16:creationId xmlns:a16="http://schemas.microsoft.com/office/drawing/2014/main" id="{2AEB1300-5307-4444-9437-DD1F808F368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7" name="AutoShape 177" descr="USA">
          <a:hlinkClick xmlns:r="http://schemas.openxmlformats.org/officeDocument/2006/relationships" r:id="rId174"/>
          <a:extLst>
            <a:ext uri="{FF2B5EF4-FFF2-40B4-BE49-F238E27FC236}">
              <a16:creationId xmlns:a16="http://schemas.microsoft.com/office/drawing/2014/main" id="{A971A1C4-6E47-413F-9E6F-0FBD5DBCA8E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8" name="AutoShape 177" descr="USA">
          <a:hlinkClick xmlns:r="http://schemas.openxmlformats.org/officeDocument/2006/relationships" r:id="rId174"/>
          <a:extLst>
            <a:ext uri="{FF2B5EF4-FFF2-40B4-BE49-F238E27FC236}">
              <a16:creationId xmlns:a16="http://schemas.microsoft.com/office/drawing/2014/main" id="{899591AE-9C06-409B-9860-B4F18EC6879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62</xdr:row>
      <xdr:rowOff>0</xdr:rowOff>
    </xdr:from>
    <xdr:ext cx="304800" cy="317500"/>
    <xdr:sp macro="" textlink="">
      <xdr:nvSpPr>
        <xdr:cNvPr id="1089" name="AutoShape 177" descr="USA">
          <a:hlinkClick xmlns:r="http://schemas.openxmlformats.org/officeDocument/2006/relationships" r:id="rId174"/>
          <a:extLst>
            <a:ext uri="{FF2B5EF4-FFF2-40B4-BE49-F238E27FC236}">
              <a16:creationId xmlns:a16="http://schemas.microsoft.com/office/drawing/2014/main" id="{F4D52524-4444-40D3-9C4E-E9C05E5F869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090" name="AutoShape 177" descr="USA">
          <a:hlinkClick xmlns:r="http://schemas.openxmlformats.org/officeDocument/2006/relationships" r:id="rId174"/>
          <a:extLst>
            <a:ext uri="{FF2B5EF4-FFF2-40B4-BE49-F238E27FC236}">
              <a16:creationId xmlns:a16="http://schemas.microsoft.com/office/drawing/2014/main" id="{9D97BE35-2573-4B4D-9FB0-AC664751CA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1" name="AutoShape 171" descr="USA">
          <a:hlinkClick xmlns:r="http://schemas.openxmlformats.org/officeDocument/2006/relationships" r:id="rId165"/>
          <a:extLst>
            <a:ext uri="{FF2B5EF4-FFF2-40B4-BE49-F238E27FC236}">
              <a16:creationId xmlns:a16="http://schemas.microsoft.com/office/drawing/2014/main" id="{8A6F6803-368C-4708-9BC2-C99488FF90F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2" name="AutoShape 177" descr="USA">
          <a:hlinkClick xmlns:r="http://schemas.openxmlformats.org/officeDocument/2006/relationships" r:id="rId174"/>
          <a:extLst>
            <a:ext uri="{FF2B5EF4-FFF2-40B4-BE49-F238E27FC236}">
              <a16:creationId xmlns:a16="http://schemas.microsoft.com/office/drawing/2014/main" id="{9E233A3A-E442-478C-B755-80F6E471825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3" name="AutoShape 177" descr="USA">
          <a:hlinkClick xmlns:r="http://schemas.openxmlformats.org/officeDocument/2006/relationships" r:id="rId174"/>
          <a:extLst>
            <a:ext uri="{FF2B5EF4-FFF2-40B4-BE49-F238E27FC236}">
              <a16:creationId xmlns:a16="http://schemas.microsoft.com/office/drawing/2014/main" id="{5F81449B-86A0-4B79-BC21-AC3703D85B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4" name="AutoShape 177" descr="USA">
          <a:hlinkClick xmlns:r="http://schemas.openxmlformats.org/officeDocument/2006/relationships" r:id="rId174"/>
          <a:extLst>
            <a:ext uri="{FF2B5EF4-FFF2-40B4-BE49-F238E27FC236}">
              <a16:creationId xmlns:a16="http://schemas.microsoft.com/office/drawing/2014/main" id="{9F62BF56-522A-4EB9-A426-1AC2CD80123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5" name="AutoShape 177" descr="USA">
          <a:hlinkClick xmlns:r="http://schemas.openxmlformats.org/officeDocument/2006/relationships" r:id="rId174"/>
          <a:extLst>
            <a:ext uri="{FF2B5EF4-FFF2-40B4-BE49-F238E27FC236}">
              <a16:creationId xmlns:a16="http://schemas.microsoft.com/office/drawing/2014/main" id="{AD4DF66F-2C86-474A-8027-33D5F652914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6" name="AutoShape 177" descr="USA">
          <a:hlinkClick xmlns:r="http://schemas.openxmlformats.org/officeDocument/2006/relationships" r:id="rId174"/>
          <a:extLst>
            <a:ext uri="{FF2B5EF4-FFF2-40B4-BE49-F238E27FC236}">
              <a16:creationId xmlns:a16="http://schemas.microsoft.com/office/drawing/2014/main" id="{C67D704D-C8A7-4E27-A6DA-378090FD567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7" name="AutoShape 177" descr="USA">
          <a:hlinkClick xmlns:r="http://schemas.openxmlformats.org/officeDocument/2006/relationships" r:id="rId174"/>
          <a:extLst>
            <a:ext uri="{FF2B5EF4-FFF2-40B4-BE49-F238E27FC236}">
              <a16:creationId xmlns:a16="http://schemas.microsoft.com/office/drawing/2014/main" id="{BC076320-905A-43D5-9179-A83559518B0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63</xdr:row>
      <xdr:rowOff>0</xdr:rowOff>
    </xdr:from>
    <xdr:ext cx="304800" cy="317500"/>
    <xdr:sp macro="" textlink="">
      <xdr:nvSpPr>
        <xdr:cNvPr id="1098" name="AutoShape 177" descr="USA">
          <a:hlinkClick xmlns:r="http://schemas.openxmlformats.org/officeDocument/2006/relationships" r:id="rId174"/>
          <a:extLst>
            <a:ext uri="{FF2B5EF4-FFF2-40B4-BE49-F238E27FC236}">
              <a16:creationId xmlns:a16="http://schemas.microsoft.com/office/drawing/2014/main" id="{827C7F96-998C-4F57-BC4B-1E1EFFF169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099" name="AutoShape 177" descr="USA">
          <a:hlinkClick xmlns:r="http://schemas.openxmlformats.org/officeDocument/2006/relationships" r:id="rId174"/>
          <a:extLst>
            <a:ext uri="{FF2B5EF4-FFF2-40B4-BE49-F238E27FC236}">
              <a16:creationId xmlns:a16="http://schemas.microsoft.com/office/drawing/2014/main" id="{2CE46BF1-71C8-41A7-A4EF-E6313117044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0" name="AutoShape 171" descr="USA">
          <a:hlinkClick xmlns:r="http://schemas.openxmlformats.org/officeDocument/2006/relationships" r:id="rId165"/>
          <a:extLst>
            <a:ext uri="{FF2B5EF4-FFF2-40B4-BE49-F238E27FC236}">
              <a16:creationId xmlns:a16="http://schemas.microsoft.com/office/drawing/2014/main" id="{57CD43D6-90F9-41D9-BAE9-80222E862C5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1" name="AutoShape 177" descr="USA">
          <a:hlinkClick xmlns:r="http://schemas.openxmlformats.org/officeDocument/2006/relationships" r:id="rId174"/>
          <a:extLst>
            <a:ext uri="{FF2B5EF4-FFF2-40B4-BE49-F238E27FC236}">
              <a16:creationId xmlns:a16="http://schemas.microsoft.com/office/drawing/2014/main" id="{B9EE9BAC-6C88-484B-B38A-3873C2CADB0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2" name="AutoShape 177" descr="USA">
          <a:hlinkClick xmlns:r="http://schemas.openxmlformats.org/officeDocument/2006/relationships" r:id="rId174"/>
          <a:extLst>
            <a:ext uri="{FF2B5EF4-FFF2-40B4-BE49-F238E27FC236}">
              <a16:creationId xmlns:a16="http://schemas.microsoft.com/office/drawing/2014/main" id="{2983CC9D-33B8-40D9-8B47-F666B990963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3" name="AutoShape 177" descr="USA">
          <a:hlinkClick xmlns:r="http://schemas.openxmlformats.org/officeDocument/2006/relationships" r:id="rId174"/>
          <a:extLst>
            <a:ext uri="{FF2B5EF4-FFF2-40B4-BE49-F238E27FC236}">
              <a16:creationId xmlns:a16="http://schemas.microsoft.com/office/drawing/2014/main" id="{75CB45A2-8749-4981-8D07-F7D684D42C2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4" name="AutoShape 177" descr="USA">
          <a:hlinkClick xmlns:r="http://schemas.openxmlformats.org/officeDocument/2006/relationships" r:id="rId174"/>
          <a:extLst>
            <a:ext uri="{FF2B5EF4-FFF2-40B4-BE49-F238E27FC236}">
              <a16:creationId xmlns:a16="http://schemas.microsoft.com/office/drawing/2014/main" id="{147D3B89-B674-441B-9430-6DB3826172B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5" name="AutoShape 177" descr="USA">
          <a:hlinkClick xmlns:r="http://schemas.openxmlformats.org/officeDocument/2006/relationships" r:id="rId174"/>
          <a:extLst>
            <a:ext uri="{FF2B5EF4-FFF2-40B4-BE49-F238E27FC236}">
              <a16:creationId xmlns:a16="http://schemas.microsoft.com/office/drawing/2014/main" id="{C5D5923D-B690-4CD2-AE62-DCBBCE6CE1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6" name="AutoShape 177" descr="USA">
          <a:hlinkClick xmlns:r="http://schemas.openxmlformats.org/officeDocument/2006/relationships" r:id="rId174"/>
          <a:extLst>
            <a:ext uri="{FF2B5EF4-FFF2-40B4-BE49-F238E27FC236}">
              <a16:creationId xmlns:a16="http://schemas.microsoft.com/office/drawing/2014/main" id="{A2A9F17E-8C52-4B90-A280-22DF4696CAE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64</xdr:row>
      <xdr:rowOff>0</xdr:rowOff>
    </xdr:from>
    <xdr:ext cx="304800" cy="317500"/>
    <xdr:sp macro="" textlink="">
      <xdr:nvSpPr>
        <xdr:cNvPr id="1107" name="AutoShape 177" descr="USA">
          <a:hlinkClick xmlns:r="http://schemas.openxmlformats.org/officeDocument/2006/relationships" r:id="rId174"/>
          <a:extLst>
            <a:ext uri="{FF2B5EF4-FFF2-40B4-BE49-F238E27FC236}">
              <a16:creationId xmlns:a16="http://schemas.microsoft.com/office/drawing/2014/main" id="{76D41F64-7887-4218-B385-DE4644D880E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08" name="AutoShape 177" descr="USA">
          <a:hlinkClick xmlns:r="http://schemas.openxmlformats.org/officeDocument/2006/relationships" r:id="rId174"/>
          <a:extLst>
            <a:ext uri="{FF2B5EF4-FFF2-40B4-BE49-F238E27FC236}">
              <a16:creationId xmlns:a16="http://schemas.microsoft.com/office/drawing/2014/main" id="{3F4E91EB-A92D-4C8B-9BC9-394F8F24A45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09" name="AutoShape 171" descr="USA">
          <a:hlinkClick xmlns:r="http://schemas.openxmlformats.org/officeDocument/2006/relationships" r:id="rId165"/>
          <a:extLst>
            <a:ext uri="{FF2B5EF4-FFF2-40B4-BE49-F238E27FC236}">
              <a16:creationId xmlns:a16="http://schemas.microsoft.com/office/drawing/2014/main" id="{1D61D5CE-9FC3-405D-BBDE-238A285D808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0" name="AutoShape 177" descr="USA">
          <a:hlinkClick xmlns:r="http://schemas.openxmlformats.org/officeDocument/2006/relationships" r:id="rId174"/>
          <a:extLst>
            <a:ext uri="{FF2B5EF4-FFF2-40B4-BE49-F238E27FC236}">
              <a16:creationId xmlns:a16="http://schemas.microsoft.com/office/drawing/2014/main" id="{34E3DFD8-CCBD-408B-B7C8-7B4D1331AFC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1" name="AutoShape 177" descr="USA">
          <a:hlinkClick xmlns:r="http://schemas.openxmlformats.org/officeDocument/2006/relationships" r:id="rId174"/>
          <a:extLst>
            <a:ext uri="{FF2B5EF4-FFF2-40B4-BE49-F238E27FC236}">
              <a16:creationId xmlns:a16="http://schemas.microsoft.com/office/drawing/2014/main" id="{0173BAA8-C389-4CDC-A1A7-6F1792B18B8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2" name="AutoShape 177" descr="USA">
          <a:hlinkClick xmlns:r="http://schemas.openxmlformats.org/officeDocument/2006/relationships" r:id="rId174"/>
          <a:extLst>
            <a:ext uri="{FF2B5EF4-FFF2-40B4-BE49-F238E27FC236}">
              <a16:creationId xmlns:a16="http://schemas.microsoft.com/office/drawing/2014/main" id="{06D93E7D-55C1-4466-9D8F-9F4ACC5F97E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3" name="AutoShape 177" descr="USA">
          <a:hlinkClick xmlns:r="http://schemas.openxmlformats.org/officeDocument/2006/relationships" r:id="rId174"/>
          <a:extLst>
            <a:ext uri="{FF2B5EF4-FFF2-40B4-BE49-F238E27FC236}">
              <a16:creationId xmlns:a16="http://schemas.microsoft.com/office/drawing/2014/main" id="{300C8693-7B5E-491F-8851-2DDEDE6EE6E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4" name="AutoShape 177" descr="USA">
          <a:hlinkClick xmlns:r="http://schemas.openxmlformats.org/officeDocument/2006/relationships" r:id="rId174"/>
          <a:extLst>
            <a:ext uri="{FF2B5EF4-FFF2-40B4-BE49-F238E27FC236}">
              <a16:creationId xmlns:a16="http://schemas.microsoft.com/office/drawing/2014/main" id="{10088108-F025-4CD5-AC47-1EE199043C6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5" name="AutoShape 177" descr="USA">
          <a:hlinkClick xmlns:r="http://schemas.openxmlformats.org/officeDocument/2006/relationships" r:id="rId174"/>
          <a:extLst>
            <a:ext uri="{FF2B5EF4-FFF2-40B4-BE49-F238E27FC236}">
              <a16:creationId xmlns:a16="http://schemas.microsoft.com/office/drawing/2014/main" id="{29F494B4-6C0D-4AA7-AB3E-6D83533156F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65</xdr:row>
      <xdr:rowOff>0</xdr:rowOff>
    </xdr:from>
    <xdr:ext cx="304800" cy="317500"/>
    <xdr:sp macro="" textlink="">
      <xdr:nvSpPr>
        <xdr:cNvPr id="1116" name="AutoShape 177" descr="USA">
          <a:hlinkClick xmlns:r="http://schemas.openxmlformats.org/officeDocument/2006/relationships" r:id="rId174"/>
          <a:extLst>
            <a:ext uri="{FF2B5EF4-FFF2-40B4-BE49-F238E27FC236}">
              <a16:creationId xmlns:a16="http://schemas.microsoft.com/office/drawing/2014/main" id="{5C3EA46B-775A-4064-B698-2E5A991E548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17" name="AutoShape 177" descr="USA">
          <a:hlinkClick xmlns:r="http://schemas.openxmlformats.org/officeDocument/2006/relationships" r:id="rId174"/>
          <a:extLst>
            <a:ext uri="{FF2B5EF4-FFF2-40B4-BE49-F238E27FC236}">
              <a16:creationId xmlns:a16="http://schemas.microsoft.com/office/drawing/2014/main" id="{EDECC05E-1DE2-46CC-A90A-ABF661F7381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18" name="AutoShape 171" descr="USA">
          <a:hlinkClick xmlns:r="http://schemas.openxmlformats.org/officeDocument/2006/relationships" r:id="rId165"/>
          <a:extLst>
            <a:ext uri="{FF2B5EF4-FFF2-40B4-BE49-F238E27FC236}">
              <a16:creationId xmlns:a16="http://schemas.microsoft.com/office/drawing/2014/main" id="{C67C31B2-7FF5-4853-A4B2-935F27CF05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19" name="AutoShape 177" descr="USA">
          <a:hlinkClick xmlns:r="http://schemas.openxmlformats.org/officeDocument/2006/relationships" r:id="rId174"/>
          <a:extLst>
            <a:ext uri="{FF2B5EF4-FFF2-40B4-BE49-F238E27FC236}">
              <a16:creationId xmlns:a16="http://schemas.microsoft.com/office/drawing/2014/main" id="{43413B61-BEF2-4854-9AB6-1A1AC3E1674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0" name="AutoShape 177" descr="USA">
          <a:hlinkClick xmlns:r="http://schemas.openxmlformats.org/officeDocument/2006/relationships" r:id="rId174"/>
          <a:extLst>
            <a:ext uri="{FF2B5EF4-FFF2-40B4-BE49-F238E27FC236}">
              <a16:creationId xmlns:a16="http://schemas.microsoft.com/office/drawing/2014/main" id="{58C3BD58-118C-49A2-88DF-533B419EF7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1" name="AutoShape 177" descr="USA">
          <a:hlinkClick xmlns:r="http://schemas.openxmlformats.org/officeDocument/2006/relationships" r:id="rId174"/>
          <a:extLst>
            <a:ext uri="{FF2B5EF4-FFF2-40B4-BE49-F238E27FC236}">
              <a16:creationId xmlns:a16="http://schemas.microsoft.com/office/drawing/2014/main" id="{29B3A008-F82C-4084-9827-86FAB195B14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2" name="AutoShape 177" descr="USA">
          <a:hlinkClick xmlns:r="http://schemas.openxmlformats.org/officeDocument/2006/relationships" r:id="rId174"/>
          <a:extLst>
            <a:ext uri="{FF2B5EF4-FFF2-40B4-BE49-F238E27FC236}">
              <a16:creationId xmlns:a16="http://schemas.microsoft.com/office/drawing/2014/main" id="{C8D697CA-7358-40EA-A6B8-491F064A262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3" name="AutoShape 177" descr="USA">
          <a:hlinkClick xmlns:r="http://schemas.openxmlformats.org/officeDocument/2006/relationships" r:id="rId174"/>
          <a:extLst>
            <a:ext uri="{FF2B5EF4-FFF2-40B4-BE49-F238E27FC236}">
              <a16:creationId xmlns:a16="http://schemas.microsoft.com/office/drawing/2014/main" id="{6B06842F-EE93-438C-AB5E-A5D4BDCCFAE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4" name="AutoShape 177" descr="USA">
          <a:hlinkClick xmlns:r="http://schemas.openxmlformats.org/officeDocument/2006/relationships" r:id="rId174"/>
          <a:extLst>
            <a:ext uri="{FF2B5EF4-FFF2-40B4-BE49-F238E27FC236}">
              <a16:creationId xmlns:a16="http://schemas.microsoft.com/office/drawing/2014/main" id="{BB60E0D2-4575-432F-86EC-AA6E804F876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66</xdr:row>
      <xdr:rowOff>0</xdr:rowOff>
    </xdr:from>
    <xdr:ext cx="304800" cy="317500"/>
    <xdr:sp macro="" textlink="">
      <xdr:nvSpPr>
        <xdr:cNvPr id="1125" name="AutoShape 177" descr="USA">
          <a:hlinkClick xmlns:r="http://schemas.openxmlformats.org/officeDocument/2006/relationships" r:id="rId174"/>
          <a:extLst>
            <a:ext uri="{FF2B5EF4-FFF2-40B4-BE49-F238E27FC236}">
              <a16:creationId xmlns:a16="http://schemas.microsoft.com/office/drawing/2014/main" id="{8CBA8772-4FBA-41BE-9FCA-FCE48B5BC18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26" name="AutoShape 177" descr="USA">
          <a:hlinkClick xmlns:r="http://schemas.openxmlformats.org/officeDocument/2006/relationships" r:id="rId174"/>
          <a:extLst>
            <a:ext uri="{FF2B5EF4-FFF2-40B4-BE49-F238E27FC236}">
              <a16:creationId xmlns:a16="http://schemas.microsoft.com/office/drawing/2014/main" id="{DF30D20A-55DD-48A4-A204-540B12B64CD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27" name="AutoShape 171" descr="USA">
          <a:hlinkClick xmlns:r="http://schemas.openxmlformats.org/officeDocument/2006/relationships" r:id="rId165"/>
          <a:extLst>
            <a:ext uri="{FF2B5EF4-FFF2-40B4-BE49-F238E27FC236}">
              <a16:creationId xmlns:a16="http://schemas.microsoft.com/office/drawing/2014/main" id="{15A978B0-EF5E-4532-9556-100145E5936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28" name="AutoShape 177" descr="USA">
          <a:hlinkClick xmlns:r="http://schemas.openxmlformats.org/officeDocument/2006/relationships" r:id="rId174"/>
          <a:extLst>
            <a:ext uri="{FF2B5EF4-FFF2-40B4-BE49-F238E27FC236}">
              <a16:creationId xmlns:a16="http://schemas.microsoft.com/office/drawing/2014/main" id="{85EC7742-8A34-4F21-A61D-E45BE6A49DA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29" name="AutoShape 177" descr="USA">
          <a:hlinkClick xmlns:r="http://schemas.openxmlformats.org/officeDocument/2006/relationships" r:id="rId174"/>
          <a:extLst>
            <a:ext uri="{FF2B5EF4-FFF2-40B4-BE49-F238E27FC236}">
              <a16:creationId xmlns:a16="http://schemas.microsoft.com/office/drawing/2014/main" id="{60D8F40A-C547-40AB-9CD7-8AD16B589B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0" name="AutoShape 177" descr="USA">
          <a:hlinkClick xmlns:r="http://schemas.openxmlformats.org/officeDocument/2006/relationships" r:id="rId174"/>
          <a:extLst>
            <a:ext uri="{FF2B5EF4-FFF2-40B4-BE49-F238E27FC236}">
              <a16:creationId xmlns:a16="http://schemas.microsoft.com/office/drawing/2014/main" id="{A694C61A-B7C8-4B77-87FA-EDA14FAE998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1" name="AutoShape 177" descr="USA">
          <a:hlinkClick xmlns:r="http://schemas.openxmlformats.org/officeDocument/2006/relationships" r:id="rId174"/>
          <a:extLst>
            <a:ext uri="{FF2B5EF4-FFF2-40B4-BE49-F238E27FC236}">
              <a16:creationId xmlns:a16="http://schemas.microsoft.com/office/drawing/2014/main" id="{760BA42A-A0B9-48BF-8EA7-EA382F63495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2" name="AutoShape 177" descr="USA">
          <a:hlinkClick xmlns:r="http://schemas.openxmlformats.org/officeDocument/2006/relationships" r:id="rId174"/>
          <a:extLst>
            <a:ext uri="{FF2B5EF4-FFF2-40B4-BE49-F238E27FC236}">
              <a16:creationId xmlns:a16="http://schemas.microsoft.com/office/drawing/2014/main" id="{7A68484D-F987-4BE3-B35E-55D40F3FE1C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3" name="AutoShape 177" descr="USA">
          <a:hlinkClick xmlns:r="http://schemas.openxmlformats.org/officeDocument/2006/relationships" r:id="rId174"/>
          <a:extLst>
            <a:ext uri="{FF2B5EF4-FFF2-40B4-BE49-F238E27FC236}">
              <a16:creationId xmlns:a16="http://schemas.microsoft.com/office/drawing/2014/main" id="{6499E566-8B35-4422-AE93-744C636E5D7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67</xdr:row>
      <xdr:rowOff>0</xdr:rowOff>
    </xdr:from>
    <xdr:ext cx="304800" cy="317500"/>
    <xdr:sp macro="" textlink="">
      <xdr:nvSpPr>
        <xdr:cNvPr id="1134" name="AutoShape 177" descr="USA">
          <a:hlinkClick xmlns:r="http://schemas.openxmlformats.org/officeDocument/2006/relationships" r:id="rId174"/>
          <a:extLst>
            <a:ext uri="{FF2B5EF4-FFF2-40B4-BE49-F238E27FC236}">
              <a16:creationId xmlns:a16="http://schemas.microsoft.com/office/drawing/2014/main" id="{6C084FD6-77BE-42B0-B728-D0B31A155F7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35" name="AutoShape 177" descr="USA">
          <a:hlinkClick xmlns:r="http://schemas.openxmlformats.org/officeDocument/2006/relationships" r:id="rId174"/>
          <a:extLst>
            <a:ext uri="{FF2B5EF4-FFF2-40B4-BE49-F238E27FC236}">
              <a16:creationId xmlns:a16="http://schemas.microsoft.com/office/drawing/2014/main" id="{0A3353CA-713B-4A32-B15F-5BD2022780A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6" name="AutoShape 171" descr="USA">
          <a:hlinkClick xmlns:r="http://schemas.openxmlformats.org/officeDocument/2006/relationships" r:id="rId165"/>
          <a:extLst>
            <a:ext uri="{FF2B5EF4-FFF2-40B4-BE49-F238E27FC236}">
              <a16:creationId xmlns:a16="http://schemas.microsoft.com/office/drawing/2014/main" id="{B8FD86C6-328F-40DC-A613-0891CF6C176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7" name="AutoShape 177" descr="USA">
          <a:hlinkClick xmlns:r="http://schemas.openxmlformats.org/officeDocument/2006/relationships" r:id="rId174"/>
          <a:extLst>
            <a:ext uri="{FF2B5EF4-FFF2-40B4-BE49-F238E27FC236}">
              <a16:creationId xmlns:a16="http://schemas.microsoft.com/office/drawing/2014/main" id="{BA993FF5-DA9D-4E14-81AE-05CC35DE4F0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8" name="AutoShape 177" descr="USA">
          <a:hlinkClick xmlns:r="http://schemas.openxmlformats.org/officeDocument/2006/relationships" r:id="rId174"/>
          <a:extLst>
            <a:ext uri="{FF2B5EF4-FFF2-40B4-BE49-F238E27FC236}">
              <a16:creationId xmlns:a16="http://schemas.microsoft.com/office/drawing/2014/main" id="{FF96325C-05CD-4594-B12B-DF32C33AF90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39" name="AutoShape 177" descr="USA">
          <a:hlinkClick xmlns:r="http://schemas.openxmlformats.org/officeDocument/2006/relationships" r:id="rId174"/>
          <a:extLst>
            <a:ext uri="{FF2B5EF4-FFF2-40B4-BE49-F238E27FC236}">
              <a16:creationId xmlns:a16="http://schemas.microsoft.com/office/drawing/2014/main" id="{0D031868-0206-4A8B-A873-F6F0B0B7782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0" name="AutoShape 177" descr="USA">
          <a:hlinkClick xmlns:r="http://schemas.openxmlformats.org/officeDocument/2006/relationships" r:id="rId174"/>
          <a:extLst>
            <a:ext uri="{FF2B5EF4-FFF2-40B4-BE49-F238E27FC236}">
              <a16:creationId xmlns:a16="http://schemas.microsoft.com/office/drawing/2014/main" id="{AAF7E571-2D1C-44BE-BD55-18723DEA9A6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1" name="AutoShape 177" descr="USA">
          <a:hlinkClick xmlns:r="http://schemas.openxmlformats.org/officeDocument/2006/relationships" r:id="rId174"/>
          <a:extLst>
            <a:ext uri="{FF2B5EF4-FFF2-40B4-BE49-F238E27FC236}">
              <a16:creationId xmlns:a16="http://schemas.microsoft.com/office/drawing/2014/main" id="{0858A9BB-2752-4C7C-925F-E16CF07EFCA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2" name="AutoShape 177" descr="USA">
          <a:hlinkClick xmlns:r="http://schemas.openxmlformats.org/officeDocument/2006/relationships" r:id="rId174"/>
          <a:extLst>
            <a:ext uri="{FF2B5EF4-FFF2-40B4-BE49-F238E27FC236}">
              <a16:creationId xmlns:a16="http://schemas.microsoft.com/office/drawing/2014/main" id="{86C5B491-2ADB-4F14-A862-2797C226DF1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68</xdr:row>
      <xdr:rowOff>0</xdr:rowOff>
    </xdr:from>
    <xdr:ext cx="304800" cy="317500"/>
    <xdr:sp macro="" textlink="">
      <xdr:nvSpPr>
        <xdr:cNvPr id="1143" name="AutoShape 177" descr="USA">
          <a:hlinkClick xmlns:r="http://schemas.openxmlformats.org/officeDocument/2006/relationships" r:id="rId174"/>
          <a:extLst>
            <a:ext uri="{FF2B5EF4-FFF2-40B4-BE49-F238E27FC236}">
              <a16:creationId xmlns:a16="http://schemas.microsoft.com/office/drawing/2014/main" id="{E2FE45F5-0BB1-48D7-A087-94F9F2B502F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44" name="AutoShape 177" descr="USA">
          <a:hlinkClick xmlns:r="http://schemas.openxmlformats.org/officeDocument/2006/relationships" r:id="rId174"/>
          <a:extLst>
            <a:ext uri="{FF2B5EF4-FFF2-40B4-BE49-F238E27FC236}">
              <a16:creationId xmlns:a16="http://schemas.microsoft.com/office/drawing/2014/main" id="{A307109C-28F1-491E-B600-B5AE2F29EE8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5" name="AutoShape 171" descr="USA">
          <a:hlinkClick xmlns:r="http://schemas.openxmlformats.org/officeDocument/2006/relationships" r:id="rId165"/>
          <a:extLst>
            <a:ext uri="{FF2B5EF4-FFF2-40B4-BE49-F238E27FC236}">
              <a16:creationId xmlns:a16="http://schemas.microsoft.com/office/drawing/2014/main" id="{2ED1781D-4382-4780-9F5F-8AAA03C396C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6" name="AutoShape 177" descr="USA">
          <a:hlinkClick xmlns:r="http://schemas.openxmlformats.org/officeDocument/2006/relationships" r:id="rId174"/>
          <a:extLst>
            <a:ext uri="{FF2B5EF4-FFF2-40B4-BE49-F238E27FC236}">
              <a16:creationId xmlns:a16="http://schemas.microsoft.com/office/drawing/2014/main" id="{090B37C3-1DDC-4A1B-A916-EDB1327FEA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7" name="AutoShape 177" descr="USA">
          <a:hlinkClick xmlns:r="http://schemas.openxmlformats.org/officeDocument/2006/relationships" r:id="rId174"/>
          <a:extLst>
            <a:ext uri="{FF2B5EF4-FFF2-40B4-BE49-F238E27FC236}">
              <a16:creationId xmlns:a16="http://schemas.microsoft.com/office/drawing/2014/main" id="{0AB46EEA-D69A-489E-9290-4A130907CC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8" name="AutoShape 177" descr="USA">
          <a:hlinkClick xmlns:r="http://schemas.openxmlformats.org/officeDocument/2006/relationships" r:id="rId174"/>
          <a:extLst>
            <a:ext uri="{FF2B5EF4-FFF2-40B4-BE49-F238E27FC236}">
              <a16:creationId xmlns:a16="http://schemas.microsoft.com/office/drawing/2014/main" id="{9FE00175-2D7E-4A14-8358-049660973A3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49" name="AutoShape 177" descr="USA">
          <a:hlinkClick xmlns:r="http://schemas.openxmlformats.org/officeDocument/2006/relationships" r:id="rId174"/>
          <a:extLst>
            <a:ext uri="{FF2B5EF4-FFF2-40B4-BE49-F238E27FC236}">
              <a16:creationId xmlns:a16="http://schemas.microsoft.com/office/drawing/2014/main" id="{0517FF59-D1F2-4C3A-A71D-8ACE39029C6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50" name="AutoShape 177" descr="USA">
          <a:hlinkClick xmlns:r="http://schemas.openxmlformats.org/officeDocument/2006/relationships" r:id="rId174"/>
          <a:extLst>
            <a:ext uri="{FF2B5EF4-FFF2-40B4-BE49-F238E27FC236}">
              <a16:creationId xmlns:a16="http://schemas.microsoft.com/office/drawing/2014/main" id="{7DA7549B-9D9F-4185-8E14-4C0E56491ED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51" name="AutoShape 177" descr="USA">
          <a:hlinkClick xmlns:r="http://schemas.openxmlformats.org/officeDocument/2006/relationships" r:id="rId174"/>
          <a:extLst>
            <a:ext uri="{FF2B5EF4-FFF2-40B4-BE49-F238E27FC236}">
              <a16:creationId xmlns:a16="http://schemas.microsoft.com/office/drawing/2014/main" id="{FB9976B4-E85C-46E6-9AED-BF0981AEE47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69</xdr:row>
      <xdr:rowOff>0</xdr:rowOff>
    </xdr:from>
    <xdr:ext cx="304800" cy="317500"/>
    <xdr:sp macro="" textlink="">
      <xdr:nvSpPr>
        <xdr:cNvPr id="1152" name="AutoShape 177" descr="USA">
          <a:hlinkClick xmlns:r="http://schemas.openxmlformats.org/officeDocument/2006/relationships" r:id="rId174"/>
          <a:extLst>
            <a:ext uri="{FF2B5EF4-FFF2-40B4-BE49-F238E27FC236}">
              <a16:creationId xmlns:a16="http://schemas.microsoft.com/office/drawing/2014/main" id="{BDC27537-3165-46B8-A241-052F49953D8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53" name="AutoShape 177" descr="USA">
          <a:hlinkClick xmlns:r="http://schemas.openxmlformats.org/officeDocument/2006/relationships" r:id="rId174"/>
          <a:extLst>
            <a:ext uri="{FF2B5EF4-FFF2-40B4-BE49-F238E27FC236}">
              <a16:creationId xmlns:a16="http://schemas.microsoft.com/office/drawing/2014/main" id="{BA4DB8E4-F6E9-4542-B0BC-CD9E9924AB1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4" name="AutoShape 171" descr="USA">
          <a:hlinkClick xmlns:r="http://schemas.openxmlformats.org/officeDocument/2006/relationships" r:id="rId165"/>
          <a:extLst>
            <a:ext uri="{FF2B5EF4-FFF2-40B4-BE49-F238E27FC236}">
              <a16:creationId xmlns:a16="http://schemas.microsoft.com/office/drawing/2014/main" id="{E8411ACE-7709-43DD-8DC9-AA04CBC9BFB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5" name="AutoShape 177" descr="USA">
          <a:hlinkClick xmlns:r="http://schemas.openxmlformats.org/officeDocument/2006/relationships" r:id="rId174"/>
          <a:extLst>
            <a:ext uri="{FF2B5EF4-FFF2-40B4-BE49-F238E27FC236}">
              <a16:creationId xmlns:a16="http://schemas.microsoft.com/office/drawing/2014/main" id="{EB38AFA3-3E16-4773-9943-E4F11963E4E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6" name="AutoShape 177" descr="USA">
          <a:hlinkClick xmlns:r="http://schemas.openxmlformats.org/officeDocument/2006/relationships" r:id="rId174"/>
          <a:extLst>
            <a:ext uri="{FF2B5EF4-FFF2-40B4-BE49-F238E27FC236}">
              <a16:creationId xmlns:a16="http://schemas.microsoft.com/office/drawing/2014/main" id="{532AC839-17A6-4A38-8966-07516FF0F41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7" name="AutoShape 177" descr="USA">
          <a:hlinkClick xmlns:r="http://schemas.openxmlformats.org/officeDocument/2006/relationships" r:id="rId174"/>
          <a:extLst>
            <a:ext uri="{FF2B5EF4-FFF2-40B4-BE49-F238E27FC236}">
              <a16:creationId xmlns:a16="http://schemas.microsoft.com/office/drawing/2014/main" id="{5BB95CA5-8C7C-4EB7-8681-0BD9F9F9DD8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8" name="AutoShape 177" descr="USA">
          <a:hlinkClick xmlns:r="http://schemas.openxmlformats.org/officeDocument/2006/relationships" r:id="rId174"/>
          <a:extLst>
            <a:ext uri="{FF2B5EF4-FFF2-40B4-BE49-F238E27FC236}">
              <a16:creationId xmlns:a16="http://schemas.microsoft.com/office/drawing/2014/main" id="{0C801B54-531F-4663-B3DF-DEC59B0E65B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59" name="AutoShape 177" descr="USA">
          <a:hlinkClick xmlns:r="http://schemas.openxmlformats.org/officeDocument/2006/relationships" r:id="rId174"/>
          <a:extLst>
            <a:ext uri="{FF2B5EF4-FFF2-40B4-BE49-F238E27FC236}">
              <a16:creationId xmlns:a16="http://schemas.microsoft.com/office/drawing/2014/main" id="{2EBFA8C2-F44A-41BB-B45B-6C5243400F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60" name="AutoShape 177" descr="USA">
          <a:hlinkClick xmlns:r="http://schemas.openxmlformats.org/officeDocument/2006/relationships" r:id="rId174"/>
          <a:extLst>
            <a:ext uri="{FF2B5EF4-FFF2-40B4-BE49-F238E27FC236}">
              <a16:creationId xmlns:a16="http://schemas.microsoft.com/office/drawing/2014/main" id="{CF723D25-6947-4C6B-AD9C-1D96E5F08C4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70</xdr:row>
      <xdr:rowOff>0</xdr:rowOff>
    </xdr:from>
    <xdr:ext cx="304800" cy="317500"/>
    <xdr:sp macro="" textlink="">
      <xdr:nvSpPr>
        <xdr:cNvPr id="1161" name="AutoShape 177" descr="USA">
          <a:hlinkClick xmlns:r="http://schemas.openxmlformats.org/officeDocument/2006/relationships" r:id="rId174"/>
          <a:extLst>
            <a:ext uri="{FF2B5EF4-FFF2-40B4-BE49-F238E27FC236}">
              <a16:creationId xmlns:a16="http://schemas.microsoft.com/office/drawing/2014/main" id="{EED8E58A-3711-450A-894B-546FE912BC5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62" name="AutoShape 177" descr="USA">
          <a:hlinkClick xmlns:r="http://schemas.openxmlformats.org/officeDocument/2006/relationships" r:id="rId174"/>
          <a:extLst>
            <a:ext uri="{FF2B5EF4-FFF2-40B4-BE49-F238E27FC236}">
              <a16:creationId xmlns:a16="http://schemas.microsoft.com/office/drawing/2014/main" id="{1B95FED0-A9E3-4184-A45C-1EF0F63C497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3" name="AutoShape 171" descr="USA">
          <a:hlinkClick xmlns:r="http://schemas.openxmlformats.org/officeDocument/2006/relationships" r:id="rId165"/>
          <a:extLst>
            <a:ext uri="{FF2B5EF4-FFF2-40B4-BE49-F238E27FC236}">
              <a16:creationId xmlns:a16="http://schemas.microsoft.com/office/drawing/2014/main" id="{D2D27780-7E3A-47FC-9B00-C473C948E5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4" name="AutoShape 177" descr="USA">
          <a:hlinkClick xmlns:r="http://schemas.openxmlformats.org/officeDocument/2006/relationships" r:id="rId174"/>
          <a:extLst>
            <a:ext uri="{FF2B5EF4-FFF2-40B4-BE49-F238E27FC236}">
              <a16:creationId xmlns:a16="http://schemas.microsoft.com/office/drawing/2014/main" id="{C6AD2328-154E-438D-A61D-CA9004DA2AF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5" name="AutoShape 177" descr="USA">
          <a:hlinkClick xmlns:r="http://schemas.openxmlformats.org/officeDocument/2006/relationships" r:id="rId174"/>
          <a:extLst>
            <a:ext uri="{FF2B5EF4-FFF2-40B4-BE49-F238E27FC236}">
              <a16:creationId xmlns:a16="http://schemas.microsoft.com/office/drawing/2014/main" id="{79245B73-DE50-464C-A396-94B6DDBF89D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6" name="AutoShape 177" descr="USA">
          <a:hlinkClick xmlns:r="http://schemas.openxmlformats.org/officeDocument/2006/relationships" r:id="rId174"/>
          <a:extLst>
            <a:ext uri="{FF2B5EF4-FFF2-40B4-BE49-F238E27FC236}">
              <a16:creationId xmlns:a16="http://schemas.microsoft.com/office/drawing/2014/main" id="{612D7EA6-C90B-4DC3-8753-48CBE21C280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7" name="AutoShape 177" descr="USA">
          <a:hlinkClick xmlns:r="http://schemas.openxmlformats.org/officeDocument/2006/relationships" r:id="rId174"/>
          <a:extLst>
            <a:ext uri="{FF2B5EF4-FFF2-40B4-BE49-F238E27FC236}">
              <a16:creationId xmlns:a16="http://schemas.microsoft.com/office/drawing/2014/main" id="{999368EF-00E7-49CD-90E9-C85CB7BBEDC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8" name="AutoShape 177" descr="USA">
          <a:hlinkClick xmlns:r="http://schemas.openxmlformats.org/officeDocument/2006/relationships" r:id="rId174"/>
          <a:extLst>
            <a:ext uri="{FF2B5EF4-FFF2-40B4-BE49-F238E27FC236}">
              <a16:creationId xmlns:a16="http://schemas.microsoft.com/office/drawing/2014/main" id="{2E63135B-C72D-412D-926F-2B5EE85E195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69" name="AutoShape 177" descr="USA">
          <a:hlinkClick xmlns:r="http://schemas.openxmlformats.org/officeDocument/2006/relationships" r:id="rId174"/>
          <a:extLst>
            <a:ext uri="{FF2B5EF4-FFF2-40B4-BE49-F238E27FC236}">
              <a16:creationId xmlns:a16="http://schemas.microsoft.com/office/drawing/2014/main" id="{9BBCE2A9-FCAB-44F2-BD94-9E77400C6CC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71</xdr:row>
      <xdr:rowOff>0</xdr:rowOff>
    </xdr:from>
    <xdr:ext cx="304800" cy="317500"/>
    <xdr:sp macro="" textlink="">
      <xdr:nvSpPr>
        <xdr:cNvPr id="1170" name="AutoShape 177" descr="USA">
          <a:hlinkClick xmlns:r="http://schemas.openxmlformats.org/officeDocument/2006/relationships" r:id="rId174"/>
          <a:extLst>
            <a:ext uri="{FF2B5EF4-FFF2-40B4-BE49-F238E27FC236}">
              <a16:creationId xmlns:a16="http://schemas.microsoft.com/office/drawing/2014/main" id="{E5048174-042A-4172-B2EE-38D953F8A95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71" name="AutoShape 177" descr="USA">
          <a:hlinkClick xmlns:r="http://schemas.openxmlformats.org/officeDocument/2006/relationships" r:id="rId174"/>
          <a:extLst>
            <a:ext uri="{FF2B5EF4-FFF2-40B4-BE49-F238E27FC236}">
              <a16:creationId xmlns:a16="http://schemas.microsoft.com/office/drawing/2014/main" id="{ACD6A5E6-9C0B-4469-B1C7-2553813FDAB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2" name="AutoShape 171" descr="USA">
          <a:hlinkClick xmlns:r="http://schemas.openxmlformats.org/officeDocument/2006/relationships" r:id="rId165"/>
          <a:extLst>
            <a:ext uri="{FF2B5EF4-FFF2-40B4-BE49-F238E27FC236}">
              <a16:creationId xmlns:a16="http://schemas.microsoft.com/office/drawing/2014/main" id="{B9E705E5-7CA5-4779-BCDA-39CC6017EC8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3" name="AutoShape 177" descr="USA">
          <a:hlinkClick xmlns:r="http://schemas.openxmlformats.org/officeDocument/2006/relationships" r:id="rId174"/>
          <a:extLst>
            <a:ext uri="{FF2B5EF4-FFF2-40B4-BE49-F238E27FC236}">
              <a16:creationId xmlns:a16="http://schemas.microsoft.com/office/drawing/2014/main" id="{E4AD04BD-B677-4614-8A77-B3D7BD89BD5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4" name="AutoShape 177" descr="USA">
          <a:hlinkClick xmlns:r="http://schemas.openxmlformats.org/officeDocument/2006/relationships" r:id="rId174"/>
          <a:extLst>
            <a:ext uri="{FF2B5EF4-FFF2-40B4-BE49-F238E27FC236}">
              <a16:creationId xmlns:a16="http://schemas.microsoft.com/office/drawing/2014/main" id="{F17F2BDD-544A-4010-AC94-642EA9CEC74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5" name="AutoShape 177" descr="USA">
          <a:hlinkClick xmlns:r="http://schemas.openxmlformats.org/officeDocument/2006/relationships" r:id="rId174"/>
          <a:extLst>
            <a:ext uri="{FF2B5EF4-FFF2-40B4-BE49-F238E27FC236}">
              <a16:creationId xmlns:a16="http://schemas.microsoft.com/office/drawing/2014/main" id="{EA0B2249-D0A6-409F-9B53-63C670B2228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6" name="AutoShape 177" descr="USA">
          <a:hlinkClick xmlns:r="http://schemas.openxmlformats.org/officeDocument/2006/relationships" r:id="rId174"/>
          <a:extLst>
            <a:ext uri="{FF2B5EF4-FFF2-40B4-BE49-F238E27FC236}">
              <a16:creationId xmlns:a16="http://schemas.microsoft.com/office/drawing/2014/main" id="{EFD73314-E463-4E14-8EFC-A051A6F2C25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7" name="AutoShape 177" descr="USA">
          <a:hlinkClick xmlns:r="http://schemas.openxmlformats.org/officeDocument/2006/relationships" r:id="rId174"/>
          <a:extLst>
            <a:ext uri="{FF2B5EF4-FFF2-40B4-BE49-F238E27FC236}">
              <a16:creationId xmlns:a16="http://schemas.microsoft.com/office/drawing/2014/main" id="{CBB4F7AC-45E5-43C4-A8C2-DE9742E6BA2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8" name="AutoShape 177" descr="USA">
          <a:hlinkClick xmlns:r="http://schemas.openxmlformats.org/officeDocument/2006/relationships" r:id="rId174"/>
          <a:extLst>
            <a:ext uri="{FF2B5EF4-FFF2-40B4-BE49-F238E27FC236}">
              <a16:creationId xmlns:a16="http://schemas.microsoft.com/office/drawing/2014/main" id="{EE223FC4-EA20-4BD9-8157-DFAC63B237E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72</xdr:row>
      <xdr:rowOff>0</xdr:rowOff>
    </xdr:from>
    <xdr:ext cx="304800" cy="317500"/>
    <xdr:sp macro="" textlink="">
      <xdr:nvSpPr>
        <xdr:cNvPr id="1179" name="AutoShape 177" descr="USA">
          <a:hlinkClick xmlns:r="http://schemas.openxmlformats.org/officeDocument/2006/relationships" r:id="rId174"/>
          <a:extLst>
            <a:ext uri="{FF2B5EF4-FFF2-40B4-BE49-F238E27FC236}">
              <a16:creationId xmlns:a16="http://schemas.microsoft.com/office/drawing/2014/main" id="{151BB581-83A6-45AB-B699-DAEBB1E8B16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80" name="AutoShape 177" descr="USA">
          <a:hlinkClick xmlns:r="http://schemas.openxmlformats.org/officeDocument/2006/relationships" r:id="rId174"/>
          <a:extLst>
            <a:ext uri="{FF2B5EF4-FFF2-40B4-BE49-F238E27FC236}">
              <a16:creationId xmlns:a16="http://schemas.microsoft.com/office/drawing/2014/main" id="{6299C847-0BF7-4FB2-B021-2353B74002C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1" name="AutoShape 171" descr="USA">
          <a:hlinkClick xmlns:r="http://schemas.openxmlformats.org/officeDocument/2006/relationships" r:id="rId165"/>
          <a:extLst>
            <a:ext uri="{FF2B5EF4-FFF2-40B4-BE49-F238E27FC236}">
              <a16:creationId xmlns:a16="http://schemas.microsoft.com/office/drawing/2014/main" id="{7306994A-F485-47C4-B6C7-77657686E66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2" name="AutoShape 177" descr="USA">
          <a:hlinkClick xmlns:r="http://schemas.openxmlformats.org/officeDocument/2006/relationships" r:id="rId174"/>
          <a:extLst>
            <a:ext uri="{FF2B5EF4-FFF2-40B4-BE49-F238E27FC236}">
              <a16:creationId xmlns:a16="http://schemas.microsoft.com/office/drawing/2014/main" id="{C29F1F9E-12FC-4DF7-B354-8CB1B37206F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3" name="AutoShape 177" descr="USA">
          <a:hlinkClick xmlns:r="http://schemas.openxmlformats.org/officeDocument/2006/relationships" r:id="rId174"/>
          <a:extLst>
            <a:ext uri="{FF2B5EF4-FFF2-40B4-BE49-F238E27FC236}">
              <a16:creationId xmlns:a16="http://schemas.microsoft.com/office/drawing/2014/main" id="{1CF6CFF1-27EE-4749-86D7-F652AD1102B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4" name="AutoShape 177" descr="USA">
          <a:hlinkClick xmlns:r="http://schemas.openxmlformats.org/officeDocument/2006/relationships" r:id="rId174"/>
          <a:extLst>
            <a:ext uri="{FF2B5EF4-FFF2-40B4-BE49-F238E27FC236}">
              <a16:creationId xmlns:a16="http://schemas.microsoft.com/office/drawing/2014/main" id="{B855C1DA-08A0-4656-9BD1-AF1492540ED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5" name="AutoShape 177" descr="USA">
          <a:hlinkClick xmlns:r="http://schemas.openxmlformats.org/officeDocument/2006/relationships" r:id="rId174"/>
          <a:extLst>
            <a:ext uri="{FF2B5EF4-FFF2-40B4-BE49-F238E27FC236}">
              <a16:creationId xmlns:a16="http://schemas.microsoft.com/office/drawing/2014/main" id="{F58316C4-FDFE-4928-A156-6446B6A66BF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6" name="AutoShape 177" descr="USA">
          <a:hlinkClick xmlns:r="http://schemas.openxmlformats.org/officeDocument/2006/relationships" r:id="rId174"/>
          <a:extLst>
            <a:ext uri="{FF2B5EF4-FFF2-40B4-BE49-F238E27FC236}">
              <a16:creationId xmlns:a16="http://schemas.microsoft.com/office/drawing/2014/main" id="{669CE555-8CD6-41B7-999B-3D31AFCE29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7" name="AutoShape 177" descr="USA">
          <a:hlinkClick xmlns:r="http://schemas.openxmlformats.org/officeDocument/2006/relationships" r:id="rId174"/>
          <a:extLst>
            <a:ext uri="{FF2B5EF4-FFF2-40B4-BE49-F238E27FC236}">
              <a16:creationId xmlns:a16="http://schemas.microsoft.com/office/drawing/2014/main" id="{38765A85-1992-4E69-8CF1-B23BD429AE0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73</xdr:row>
      <xdr:rowOff>0</xdr:rowOff>
    </xdr:from>
    <xdr:ext cx="304800" cy="317500"/>
    <xdr:sp macro="" textlink="">
      <xdr:nvSpPr>
        <xdr:cNvPr id="1188" name="AutoShape 177" descr="USA">
          <a:hlinkClick xmlns:r="http://schemas.openxmlformats.org/officeDocument/2006/relationships" r:id="rId174"/>
          <a:extLst>
            <a:ext uri="{FF2B5EF4-FFF2-40B4-BE49-F238E27FC236}">
              <a16:creationId xmlns:a16="http://schemas.microsoft.com/office/drawing/2014/main" id="{0ED62995-249D-4B4A-A8AA-9ABEE557DA5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189" name="AutoShape 177" descr="USA">
          <a:hlinkClick xmlns:r="http://schemas.openxmlformats.org/officeDocument/2006/relationships" r:id="rId174"/>
          <a:extLst>
            <a:ext uri="{FF2B5EF4-FFF2-40B4-BE49-F238E27FC236}">
              <a16:creationId xmlns:a16="http://schemas.microsoft.com/office/drawing/2014/main" id="{AE648901-0BA9-47E6-B9C1-9F862481B0A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0" name="AutoShape 171" descr="USA">
          <a:hlinkClick xmlns:r="http://schemas.openxmlformats.org/officeDocument/2006/relationships" r:id="rId165"/>
          <a:extLst>
            <a:ext uri="{FF2B5EF4-FFF2-40B4-BE49-F238E27FC236}">
              <a16:creationId xmlns:a16="http://schemas.microsoft.com/office/drawing/2014/main" id="{FBA1B946-9C0B-4C90-B025-716961E2154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1" name="AutoShape 177" descr="USA">
          <a:hlinkClick xmlns:r="http://schemas.openxmlformats.org/officeDocument/2006/relationships" r:id="rId174"/>
          <a:extLst>
            <a:ext uri="{FF2B5EF4-FFF2-40B4-BE49-F238E27FC236}">
              <a16:creationId xmlns:a16="http://schemas.microsoft.com/office/drawing/2014/main" id="{3B5A6379-A90E-4569-A652-C2E377EDBAD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2" name="AutoShape 177" descr="USA">
          <a:hlinkClick xmlns:r="http://schemas.openxmlformats.org/officeDocument/2006/relationships" r:id="rId174"/>
          <a:extLst>
            <a:ext uri="{FF2B5EF4-FFF2-40B4-BE49-F238E27FC236}">
              <a16:creationId xmlns:a16="http://schemas.microsoft.com/office/drawing/2014/main" id="{4EE82EA6-9EC0-487E-AAC6-04AD64BB51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3" name="AutoShape 177" descr="USA">
          <a:hlinkClick xmlns:r="http://schemas.openxmlformats.org/officeDocument/2006/relationships" r:id="rId174"/>
          <a:extLst>
            <a:ext uri="{FF2B5EF4-FFF2-40B4-BE49-F238E27FC236}">
              <a16:creationId xmlns:a16="http://schemas.microsoft.com/office/drawing/2014/main" id="{2876F6B8-25C9-4EE7-91D8-99808AA0387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4" name="AutoShape 177" descr="USA">
          <a:hlinkClick xmlns:r="http://schemas.openxmlformats.org/officeDocument/2006/relationships" r:id="rId174"/>
          <a:extLst>
            <a:ext uri="{FF2B5EF4-FFF2-40B4-BE49-F238E27FC236}">
              <a16:creationId xmlns:a16="http://schemas.microsoft.com/office/drawing/2014/main" id="{075A1A39-F83A-4583-9AEB-C0849BD25AA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5" name="AutoShape 177" descr="USA">
          <a:hlinkClick xmlns:r="http://schemas.openxmlformats.org/officeDocument/2006/relationships" r:id="rId174"/>
          <a:extLst>
            <a:ext uri="{FF2B5EF4-FFF2-40B4-BE49-F238E27FC236}">
              <a16:creationId xmlns:a16="http://schemas.microsoft.com/office/drawing/2014/main" id="{F22A1BF8-D380-4A28-AEDC-63D67824F61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6" name="AutoShape 177" descr="USA">
          <a:hlinkClick xmlns:r="http://schemas.openxmlformats.org/officeDocument/2006/relationships" r:id="rId174"/>
          <a:extLst>
            <a:ext uri="{FF2B5EF4-FFF2-40B4-BE49-F238E27FC236}">
              <a16:creationId xmlns:a16="http://schemas.microsoft.com/office/drawing/2014/main" id="{713B232B-0C7A-42E6-B860-DE0FCD202ED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74</xdr:row>
      <xdr:rowOff>0</xdr:rowOff>
    </xdr:from>
    <xdr:ext cx="304800" cy="317500"/>
    <xdr:sp macro="" textlink="">
      <xdr:nvSpPr>
        <xdr:cNvPr id="1197" name="AutoShape 177" descr="USA">
          <a:hlinkClick xmlns:r="http://schemas.openxmlformats.org/officeDocument/2006/relationships" r:id="rId174"/>
          <a:extLst>
            <a:ext uri="{FF2B5EF4-FFF2-40B4-BE49-F238E27FC236}">
              <a16:creationId xmlns:a16="http://schemas.microsoft.com/office/drawing/2014/main" id="{3C34922E-D429-4F2E-AE10-F5866F9F8E7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198" name="AutoShape 177" descr="USA">
          <a:hlinkClick xmlns:r="http://schemas.openxmlformats.org/officeDocument/2006/relationships" r:id="rId174"/>
          <a:extLst>
            <a:ext uri="{FF2B5EF4-FFF2-40B4-BE49-F238E27FC236}">
              <a16:creationId xmlns:a16="http://schemas.microsoft.com/office/drawing/2014/main" id="{3EFCC2ED-0132-41AD-B6FF-86E73393C5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199" name="AutoShape 171" descr="USA">
          <a:hlinkClick xmlns:r="http://schemas.openxmlformats.org/officeDocument/2006/relationships" r:id="rId165"/>
          <a:extLst>
            <a:ext uri="{FF2B5EF4-FFF2-40B4-BE49-F238E27FC236}">
              <a16:creationId xmlns:a16="http://schemas.microsoft.com/office/drawing/2014/main" id="{BDEC5E38-B39E-49C5-B272-6B3149CF78A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0" name="AutoShape 177" descr="USA">
          <a:hlinkClick xmlns:r="http://schemas.openxmlformats.org/officeDocument/2006/relationships" r:id="rId174"/>
          <a:extLst>
            <a:ext uri="{FF2B5EF4-FFF2-40B4-BE49-F238E27FC236}">
              <a16:creationId xmlns:a16="http://schemas.microsoft.com/office/drawing/2014/main" id="{95A30ED3-5D90-4EF8-8C48-BF543E37801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1" name="AutoShape 177" descr="USA">
          <a:hlinkClick xmlns:r="http://schemas.openxmlformats.org/officeDocument/2006/relationships" r:id="rId174"/>
          <a:extLst>
            <a:ext uri="{FF2B5EF4-FFF2-40B4-BE49-F238E27FC236}">
              <a16:creationId xmlns:a16="http://schemas.microsoft.com/office/drawing/2014/main" id="{C5BF3525-D51D-47DE-B70A-A50BFF5089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2" name="AutoShape 177" descr="USA">
          <a:hlinkClick xmlns:r="http://schemas.openxmlformats.org/officeDocument/2006/relationships" r:id="rId174"/>
          <a:extLst>
            <a:ext uri="{FF2B5EF4-FFF2-40B4-BE49-F238E27FC236}">
              <a16:creationId xmlns:a16="http://schemas.microsoft.com/office/drawing/2014/main" id="{7E8B2DCD-DE1E-4411-A8A3-FE1DA963922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3" name="AutoShape 177" descr="USA">
          <a:hlinkClick xmlns:r="http://schemas.openxmlformats.org/officeDocument/2006/relationships" r:id="rId174"/>
          <a:extLst>
            <a:ext uri="{FF2B5EF4-FFF2-40B4-BE49-F238E27FC236}">
              <a16:creationId xmlns:a16="http://schemas.microsoft.com/office/drawing/2014/main" id="{442FB6A4-66BF-4266-AD60-692F891DE4A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4" name="AutoShape 177" descr="USA">
          <a:hlinkClick xmlns:r="http://schemas.openxmlformats.org/officeDocument/2006/relationships" r:id="rId174"/>
          <a:extLst>
            <a:ext uri="{FF2B5EF4-FFF2-40B4-BE49-F238E27FC236}">
              <a16:creationId xmlns:a16="http://schemas.microsoft.com/office/drawing/2014/main" id="{FE3E14A2-8E1C-42CD-832B-A335CC3FEF6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5" name="AutoShape 177" descr="USA">
          <a:hlinkClick xmlns:r="http://schemas.openxmlformats.org/officeDocument/2006/relationships" r:id="rId174"/>
          <a:extLst>
            <a:ext uri="{FF2B5EF4-FFF2-40B4-BE49-F238E27FC236}">
              <a16:creationId xmlns:a16="http://schemas.microsoft.com/office/drawing/2014/main" id="{6344C996-3650-4471-BB4F-ADECA96A52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75</xdr:row>
      <xdr:rowOff>0</xdr:rowOff>
    </xdr:from>
    <xdr:ext cx="304800" cy="317500"/>
    <xdr:sp macro="" textlink="">
      <xdr:nvSpPr>
        <xdr:cNvPr id="1206" name="AutoShape 177" descr="USA">
          <a:hlinkClick xmlns:r="http://schemas.openxmlformats.org/officeDocument/2006/relationships" r:id="rId174"/>
          <a:extLst>
            <a:ext uri="{FF2B5EF4-FFF2-40B4-BE49-F238E27FC236}">
              <a16:creationId xmlns:a16="http://schemas.microsoft.com/office/drawing/2014/main" id="{C105F762-2A75-4114-A9D4-2D1E3F3F0AA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07" name="AutoShape 177" descr="USA">
          <a:hlinkClick xmlns:r="http://schemas.openxmlformats.org/officeDocument/2006/relationships" r:id="rId174"/>
          <a:extLst>
            <a:ext uri="{FF2B5EF4-FFF2-40B4-BE49-F238E27FC236}">
              <a16:creationId xmlns:a16="http://schemas.microsoft.com/office/drawing/2014/main" id="{CD0FA934-EAB9-414E-8666-191418D8583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08" name="AutoShape 171" descr="USA">
          <a:hlinkClick xmlns:r="http://schemas.openxmlformats.org/officeDocument/2006/relationships" r:id="rId165"/>
          <a:extLst>
            <a:ext uri="{FF2B5EF4-FFF2-40B4-BE49-F238E27FC236}">
              <a16:creationId xmlns:a16="http://schemas.microsoft.com/office/drawing/2014/main" id="{F19E9369-ECFD-42F9-A145-C6791F2ECE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09" name="AutoShape 177" descr="USA">
          <a:hlinkClick xmlns:r="http://schemas.openxmlformats.org/officeDocument/2006/relationships" r:id="rId174"/>
          <a:extLst>
            <a:ext uri="{FF2B5EF4-FFF2-40B4-BE49-F238E27FC236}">
              <a16:creationId xmlns:a16="http://schemas.microsoft.com/office/drawing/2014/main" id="{CFE44F1A-3F65-4940-8EF5-E0F4349715A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0" name="AutoShape 177" descr="USA">
          <a:hlinkClick xmlns:r="http://schemas.openxmlformats.org/officeDocument/2006/relationships" r:id="rId174"/>
          <a:extLst>
            <a:ext uri="{FF2B5EF4-FFF2-40B4-BE49-F238E27FC236}">
              <a16:creationId xmlns:a16="http://schemas.microsoft.com/office/drawing/2014/main" id="{59FE6046-FACA-4A24-ACB3-ECCC5C542CA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1" name="AutoShape 177" descr="USA">
          <a:hlinkClick xmlns:r="http://schemas.openxmlformats.org/officeDocument/2006/relationships" r:id="rId174"/>
          <a:extLst>
            <a:ext uri="{FF2B5EF4-FFF2-40B4-BE49-F238E27FC236}">
              <a16:creationId xmlns:a16="http://schemas.microsoft.com/office/drawing/2014/main" id="{C6013673-1B72-41F3-A44C-2B75C76D2AC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2" name="AutoShape 177" descr="USA">
          <a:hlinkClick xmlns:r="http://schemas.openxmlformats.org/officeDocument/2006/relationships" r:id="rId174"/>
          <a:extLst>
            <a:ext uri="{FF2B5EF4-FFF2-40B4-BE49-F238E27FC236}">
              <a16:creationId xmlns:a16="http://schemas.microsoft.com/office/drawing/2014/main" id="{F9D791D5-F24A-4823-99B9-EEE064164EB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3" name="AutoShape 177" descr="USA">
          <a:hlinkClick xmlns:r="http://schemas.openxmlformats.org/officeDocument/2006/relationships" r:id="rId174"/>
          <a:extLst>
            <a:ext uri="{FF2B5EF4-FFF2-40B4-BE49-F238E27FC236}">
              <a16:creationId xmlns:a16="http://schemas.microsoft.com/office/drawing/2014/main" id="{11113448-0F75-4ED0-A48C-6AAE0CEAF8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4" name="AutoShape 177" descr="USA">
          <a:hlinkClick xmlns:r="http://schemas.openxmlformats.org/officeDocument/2006/relationships" r:id="rId174"/>
          <a:extLst>
            <a:ext uri="{FF2B5EF4-FFF2-40B4-BE49-F238E27FC236}">
              <a16:creationId xmlns:a16="http://schemas.microsoft.com/office/drawing/2014/main" id="{CF70BFB4-57AF-4C54-94BB-60A3B4C384B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76</xdr:row>
      <xdr:rowOff>0</xdr:rowOff>
    </xdr:from>
    <xdr:ext cx="304800" cy="317500"/>
    <xdr:sp macro="" textlink="">
      <xdr:nvSpPr>
        <xdr:cNvPr id="1215" name="AutoShape 177" descr="USA">
          <a:hlinkClick xmlns:r="http://schemas.openxmlformats.org/officeDocument/2006/relationships" r:id="rId174"/>
          <a:extLst>
            <a:ext uri="{FF2B5EF4-FFF2-40B4-BE49-F238E27FC236}">
              <a16:creationId xmlns:a16="http://schemas.microsoft.com/office/drawing/2014/main" id="{52D51FA1-E1BA-4F22-AF7D-C9B91E7F038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16" name="AutoShape 177" descr="USA">
          <a:hlinkClick xmlns:r="http://schemas.openxmlformats.org/officeDocument/2006/relationships" r:id="rId174"/>
          <a:extLst>
            <a:ext uri="{FF2B5EF4-FFF2-40B4-BE49-F238E27FC236}">
              <a16:creationId xmlns:a16="http://schemas.microsoft.com/office/drawing/2014/main" id="{72E4EA0E-561E-4005-9C9A-F3508A4E4A5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17" name="AutoShape 171" descr="USA">
          <a:hlinkClick xmlns:r="http://schemas.openxmlformats.org/officeDocument/2006/relationships" r:id="rId165"/>
          <a:extLst>
            <a:ext uri="{FF2B5EF4-FFF2-40B4-BE49-F238E27FC236}">
              <a16:creationId xmlns:a16="http://schemas.microsoft.com/office/drawing/2014/main" id="{3782E2E0-DA73-4E7D-9021-2071A1AAED9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18" name="AutoShape 177" descr="USA">
          <a:hlinkClick xmlns:r="http://schemas.openxmlformats.org/officeDocument/2006/relationships" r:id="rId174"/>
          <a:extLst>
            <a:ext uri="{FF2B5EF4-FFF2-40B4-BE49-F238E27FC236}">
              <a16:creationId xmlns:a16="http://schemas.microsoft.com/office/drawing/2014/main" id="{73B78983-0560-4124-B9CA-D229A7BB738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19" name="AutoShape 177" descr="USA">
          <a:hlinkClick xmlns:r="http://schemas.openxmlformats.org/officeDocument/2006/relationships" r:id="rId174"/>
          <a:extLst>
            <a:ext uri="{FF2B5EF4-FFF2-40B4-BE49-F238E27FC236}">
              <a16:creationId xmlns:a16="http://schemas.microsoft.com/office/drawing/2014/main" id="{65B932C2-1128-4A9E-AB47-8A3BD90EB17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0" name="AutoShape 177" descr="USA">
          <a:hlinkClick xmlns:r="http://schemas.openxmlformats.org/officeDocument/2006/relationships" r:id="rId174"/>
          <a:extLst>
            <a:ext uri="{FF2B5EF4-FFF2-40B4-BE49-F238E27FC236}">
              <a16:creationId xmlns:a16="http://schemas.microsoft.com/office/drawing/2014/main" id="{1F27A91B-6817-494F-B5A1-FD19731887A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1" name="AutoShape 177" descr="USA">
          <a:hlinkClick xmlns:r="http://schemas.openxmlformats.org/officeDocument/2006/relationships" r:id="rId174"/>
          <a:extLst>
            <a:ext uri="{FF2B5EF4-FFF2-40B4-BE49-F238E27FC236}">
              <a16:creationId xmlns:a16="http://schemas.microsoft.com/office/drawing/2014/main" id="{7B7B8129-88F2-448D-B7CC-AD7F6500D2E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2" name="AutoShape 177" descr="USA">
          <a:hlinkClick xmlns:r="http://schemas.openxmlformats.org/officeDocument/2006/relationships" r:id="rId174"/>
          <a:extLst>
            <a:ext uri="{FF2B5EF4-FFF2-40B4-BE49-F238E27FC236}">
              <a16:creationId xmlns:a16="http://schemas.microsoft.com/office/drawing/2014/main" id="{5AE0DA61-0D2C-46D7-B6CA-6E78B70C447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3" name="AutoShape 177" descr="USA">
          <a:hlinkClick xmlns:r="http://schemas.openxmlformats.org/officeDocument/2006/relationships" r:id="rId174"/>
          <a:extLst>
            <a:ext uri="{FF2B5EF4-FFF2-40B4-BE49-F238E27FC236}">
              <a16:creationId xmlns:a16="http://schemas.microsoft.com/office/drawing/2014/main" id="{653F5099-A09C-48CB-9071-DE09C758123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77</xdr:row>
      <xdr:rowOff>0</xdr:rowOff>
    </xdr:from>
    <xdr:ext cx="304800" cy="317500"/>
    <xdr:sp macro="" textlink="">
      <xdr:nvSpPr>
        <xdr:cNvPr id="1224" name="AutoShape 177" descr="USA">
          <a:hlinkClick xmlns:r="http://schemas.openxmlformats.org/officeDocument/2006/relationships" r:id="rId174"/>
          <a:extLst>
            <a:ext uri="{FF2B5EF4-FFF2-40B4-BE49-F238E27FC236}">
              <a16:creationId xmlns:a16="http://schemas.microsoft.com/office/drawing/2014/main" id="{349E1DE8-C280-4024-9C8E-06E06F0B8E3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25" name="AutoShape 177" descr="USA">
          <a:hlinkClick xmlns:r="http://schemas.openxmlformats.org/officeDocument/2006/relationships" r:id="rId174"/>
          <a:extLst>
            <a:ext uri="{FF2B5EF4-FFF2-40B4-BE49-F238E27FC236}">
              <a16:creationId xmlns:a16="http://schemas.microsoft.com/office/drawing/2014/main" id="{742B836B-3128-4198-8A57-0CDA71B6D8E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6" name="AutoShape 171" descr="USA">
          <a:hlinkClick xmlns:r="http://schemas.openxmlformats.org/officeDocument/2006/relationships" r:id="rId165"/>
          <a:extLst>
            <a:ext uri="{FF2B5EF4-FFF2-40B4-BE49-F238E27FC236}">
              <a16:creationId xmlns:a16="http://schemas.microsoft.com/office/drawing/2014/main" id="{B8B0E436-81EB-48E8-B864-3C3BAAF32E0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7" name="AutoShape 177" descr="USA">
          <a:hlinkClick xmlns:r="http://schemas.openxmlformats.org/officeDocument/2006/relationships" r:id="rId174"/>
          <a:extLst>
            <a:ext uri="{FF2B5EF4-FFF2-40B4-BE49-F238E27FC236}">
              <a16:creationId xmlns:a16="http://schemas.microsoft.com/office/drawing/2014/main" id="{644490BD-542A-45C5-88A6-E94C243E476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8" name="AutoShape 177" descr="USA">
          <a:hlinkClick xmlns:r="http://schemas.openxmlformats.org/officeDocument/2006/relationships" r:id="rId174"/>
          <a:extLst>
            <a:ext uri="{FF2B5EF4-FFF2-40B4-BE49-F238E27FC236}">
              <a16:creationId xmlns:a16="http://schemas.microsoft.com/office/drawing/2014/main" id="{C2CA08EE-52BC-4413-96B8-04A296AE9F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29" name="AutoShape 177" descr="USA">
          <a:hlinkClick xmlns:r="http://schemas.openxmlformats.org/officeDocument/2006/relationships" r:id="rId174"/>
          <a:extLst>
            <a:ext uri="{FF2B5EF4-FFF2-40B4-BE49-F238E27FC236}">
              <a16:creationId xmlns:a16="http://schemas.microsoft.com/office/drawing/2014/main" id="{D275AE01-8FB3-4462-AB1F-B3EFFC5C3F4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0" name="AutoShape 177" descr="USA">
          <a:hlinkClick xmlns:r="http://schemas.openxmlformats.org/officeDocument/2006/relationships" r:id="rId174"/>
          <a:extLst>
            <a:ext uri="{FF2B5EF4-FFF2-40B4-BE49-F238E27FC236}">
              <a16:creationId xmlns:a16="http://schemas.microsoft.com/office/drawing/2014/main" id="{92DE9528-1173-4531-AD6C-FCB7363BF74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1" name="AutoShape 177" descr="USA">
          <a:hlinkClick xmlns:r="http://schemas.openxmlformats.org/officeDocument/2006/relationships" r:id="rId174"/>
          <a:extLst>
            <a:ext uri="{FF2B5EF4-FFF2-40B4-BE49-F238E27FC236}">
              <a16:creationId xmlns:a16="http://schemas.microsoft.com/office/drawing/2014/main" id="{97F728C4-084F-41CD-91F6-90313DEEB19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2" name="AutoShape 177" descr="USA">
          <a:hlinkClick xmlns:r="http://schemas.openxmlformats.org/officeDocument/2006/relationships" r:id="rId174"/>
          <a:extLst>
            <a:ext uri="{FF2B5EF4-FFF2-40B4-BE49-F238E27FC236}">
              <a16:creationId xmlns:a16="http://schemas.microsoft.com/office/drawing/2014/main" id="{589777E4-27CC-4348-870F-F84FA025B1E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78</xdr:row>
      <xdr:rowOff>0</xdr:rowOff>
    </xdr:from>
    <xdr:ext cx="304800" cy="317500"/>
    <xdr:sp macro="" textlink="">
      <xdr:nvSpPr>
        <xdr:cNvPr id="1233" name="AutoShape 177" descr="USA">
          <a:hlinkClick xmlns:r="http://schemas.openxmlformats.org/officeDocument/2006/relationships" r:id="rId174"/>
          <a:extLst>
            <a:ext uri="{FF2B5EF4-FFF2-40B4-BE49-F238E27FC236}">
              <a16:creationId xmlns:a16="http://schemas.microsoft.com/office/drawing/2014/main" id="{D71F729F-27EA-4238-81EB-39DD1941CD8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34" name="AutoShape 177" descr="USA">
          <a:hlinkClick xmlns:r="http://schemas.openxmlformats.org/officeDocument/2006/relationships" r:id="rId174"/>
          <a:extLst>
            <a:ext uri="{FF2B5EF4-FFF2-40B4-BE49-F238E27FC236}">
              <a16:creationId xmlns:a16="http://schemas.microsoft.com/office/drawing/2014/main" id="{90439EFD-2F09-4AE2-9383-54B913C835E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5" name="AutoShape 171" descr="USA">
          <a:hlinkClick xmlns:r="http://schemas.openxmlformats.org/officeDocument/2006/relationships" r:id="rId165"/>
          <a:extLst>
            <a:ext uri="{FF2B5EF4-FFF2-40B4-BE49-F238E27FC236}">
              <a16:creationId xmlns:a16="http://schemas.microsoft.com/office/drawing/2014/main" id="{6B116CF8-C9A7-4E9F-BE95-91676F79936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6" name="AutoShape 177" descr="USA">
          <a:hlinkClick xmlns:r="http://schemas.openxmlformats.org/officeDocument/2006/relationships" r:id="rId174"/>
          <a:extLst>
            <a:ext uri="{FF2B5EF4-FFF2-40B4-BE49-F238E27FC236}">
              <a16:creationId xmlns:a16="http://schemas.microsoft.com/office/drawing/2014/main" id="{E4E61C90-C4EA-4F66-B442-58B510D8A1B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7" name="AutoShape 177" descr="USA">
          <a:hlinkClick xmlns:r="http://schemas.openxmlformats.org/officeDocument/2006/relationships" r:id="rId174"/>
          <a:extLst>
            <a:ext uri="{FF2B5EF4-FFF2-40B4-BE49-F238E27FC236}">
              <a16:creationId xmlns:a16="http://schemas.microsoft.com/office/drawing/2014/main" id="{674080BF-1A98-4A34-B639-A2096273A8C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8" name="AutoShape 177" descr="USA">
          <a:hlinkClick xmlns:r="http://schemas.openxmlformats.org/officeDocument/2006/relationships" r:id="rId174"/>
          <a:extLst>
            <a:ext uri="{FF2B5EF4-FFF2-40B4-BE49-F238E27FC236}">
              <a16:creationId xmlns:a16="http://schemas.microsoft.com/office/drawing/2014/main" id="{11C8EB3A-6F40-420C-BA9F-16A35CA7BE8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39" name="AutoShape 177" descr="USA">
          <a:hlinkClick xmlns:r="http://schemas.openxmlformats.org/officeDocument/2006/relationships" r:id="rId174"/>
          <a:extLst>
            <a:ext uri="{FF2B5EF4-FFF2-40B4-BE49-F238E27FC236}">
              <a16:creationId xmlns:a16="http://schemas.microsoft.com/office/drawing/2014/main" id="{63C6F33E-0F98-4F1B-966C-DD02D0EC170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40" name="AutoShape 177" descr="USA">
          <a:hlinkClick xmlns:r="http://schemas.openxmlformats.org/officeDocument/2006/relationships" r:id="rId174"/>
          <a:extLst>
            <a:ext uri="{FF2B5EF4-FFF2-40B4-BE49-F238E27FC236}">
              <a16:creationId xmlns:a16="http://schemas.microsoft.com/office/drawing/2014/main" id="{7828AFCF-8BD6-4E43-B2A6-3E048097DDE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41" name="AutoShape 177" descr="USA">
          <a:hlinkClick xmlns:r="http://schemas.openxmlformats.org/officeDocument/2006/relationships" r:id="rId174"/>
          <a:extLst>
            <a:ext uri="{FF2B5EF4-FFF2-40B4-BE49-F238E27FC236}">
              <a16:creationId xmlns:a16="http://schemas.microsoft.com/office/drawing/2014/main" id="{34C19D5E-BEBE-42D8-92B7-20F38EDF5F4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79</xdr:row>
      <xdr:rowOff>0</xdr:rowOff>
    </xdr:from>
    <xdr:ext cx="304800" cy="317500"/>
    <xdr:sp macro="" textlink="">
      <xdr:nvSpPr>
        <xdr:cNvPr id="1242" name="AutoShape 177" descr="USA">
          <a:hlinkClick xmlns:r="http://schemas.openxmlformats.org/officeDocument/2006/relationships" r:id="rId174"/>
          <a:extLst>
            <a:ext uri="{FF2B5EF4-FFF2-40B4-BE49-F238E27FC236}">
              <a16:creationId xmlns:a16="http://schemas.microsoft.com/office/drawing/2014/main" id="{DC1E31E5-F929-47BE-8367-9152C22CEEF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43" name="AutoShape 177" descr="USA">
          <a:hlinkClick xmlns:r="http://schemas.openxmlformats.org/officeDocument/2006/relationships" r:id="rId174"/>
          <a:extLst>
            <a:ext uri="{FF2B5EF4-FFF2-40B4-BE49-F238E27FC236}">
              <a16:creationId xmlns:a16="http://schemas.microsoft.com/office/drawing/2014/main" id="{B94F00E8-F709-4FA1-AC06-10D753878FF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4" name="AutoShape 171" descr="USA">
          <a:hlinkClick xmlns:r="http://schemas.openxmlformats.org/officeDocument/2006/relationships" r:id="rId165"/>
          <a:extLst>
            <a:ext uri="{FF2B5EF4-FFF2-40B4-BE49-F238E27FC236}">
              <a16:creationId xmlns:a16="http://schemas.microsoft.com/office/drawing/2014/main" id="{45FFA5AD-243C-454E-BBEA-1B2921CDE61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5" name="AutoShape 177" descr="USA">
          <a:hlinkClick xmlns:r="http://schemas.openxmlformats.org/officeDocument/2006/relationships" r:id="rId174"/>
          <a:extLst>
            <a:ext uri="{FF2B5EF4-FFF2-40B4-BE49-F238E27FC236}">
              <a16:creationId xmlns:a16="http://schemas.microsoft.com/office/drawing/2014/main" id="{97B7CAF2-03BC-47C5-A39F-54E64BA9A5F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6" name="AutoShape 177" descr="USA">
          <a:hlinkClick xmlns:r="http://schemas.openxmlformats.org/officeDocument/2006/relationships" r:id="rId174"/>
          <a:extLst>
            <a:ext uri="{FF2B5EF4-FFF2-40B4-BE49-F238E27FC236}">
              <a16:creationId xmlns:a16="http://schemas.microsoft.com/office/drawing/2014/main" id="{497AEA75-08A1-4950-9E3F-8720421FB3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7" name="AutoShape 177" descr="USA">
          <a:hlinkClick xmlns:r="http://schemas.openxmlformats.org/officeDocument/2006/relationships" r:id="rId174"/>
          <a:extLst>
            <a:ext uri="{FF2B5EF4-FFF2-40B4-BE49-F238E27FC236}">
              <a16:creationId xmlns:a16="http://schemas.microsoft.com/office/drawing/2014/main" id="{5BE21B51-2AFB-4AD3-AD1C-A3D92F70096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8" name="AutoShape 177" descr="USA">
          <a:hlinkClick xmlns:r="http://schemas.openxmlformats.org/officeDocument/2006/relationships" r:id="rId174"/>
          <a:extLst>
            <a:ext uri="{FF2B5EF4-FFF2-40B4-BE49-F238E27FC236}">
              <a16:creationId xmlns:a16="http://schemas.microsoft.com/office/drawing/2014/main" id="{27AE40ED-7FB9-4013-87C3-A20B3E6A23B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49" name="AutoShape 177" descr="USA">
          <a:hlinkClick xmlns:r="http://schemas.openxmlformats.org/officeDocument/2006/relationships" r:id="rId174"/>
          <a:extLst>
            <a:ext uri="{FF2B5EF4-FFF2-40B4-BE49-F238E27FC236}">
              <a16:creationId xmlns:a16="http://schemas.microsoft.com/office/drawing/2014/main" id="{05D453F5-41D8-4235-9E90-1AEBA1ED2B0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50" name="AutoShape 177" descr="USA">
          <a:hlinkClick xmlns:r="http://schemas.openxmlformats.org/officeDocument/2006/relationships" r:id="rId174"/>
          <a:extLst>
            <a:ext uri="{FF2B5EF4-FFF2-40B4-BE49-F238E27FC236}">
              <a16:creationId xmlns:a16="http://schemas.microsoft.com/office/drawing/2014/main" id="{43435BC5-6B46-4811-AE8D-BA0BB95938C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80</xdr:row>
      <xdr:rowOff>0</xdr:rowOff>
    </xdr:from>
    <xdr:ext cx="304800" cy="317500"/>
    <xdr:sp macro="" textlink="">
      <xdr:nvSpPr>
        <xdr:cNvPr id="1251" name="AutoShape 177" descr="USA">
          <a:hlinkClick xmlns:r="http://schemas.openxmlformats.org/officeDocument/2006/relationships" r:id="rId174"/>
          <a:extLst>
            <a:ext uri="{FF2B5EF4-FFF2-40B4-BE49-F238E27FC236}">
              <a16:creationId xmlns:a16="http://schemas.microsoft.com/office/drawing/2014/main" id="{980C5D72-F0B7-41FC-8590-9210BEFF0E9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52" name="AutoShape 177" descr="USA">
          <a:hlinkClick xmlns:r="http://schemas.openxmlformats.org/officeDocument/2006/relationships" r:id="rId174"/>
          <a:extLst>
            <a:ext uri="{FF2B5EF4-FFF2-40B4-BE49-F238E27FC236}">
              <a16:creationId xmlns:a16="http://schemas.microsoft.com/office/drawing/2014/main" id="{BED0A4F8-06BF-43D4-97B5-3FCDF76E087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3" name="AutoShape 171" descr="USA">
          <a:hlinkClick xmlns:r="http://schemas.openxmlformats.org/officeDocument/2006/relationships" r:id="rId165"/>
          <a:extLst>
            <a:ext uri="{FF2B5EF4-FFF2-40B4-BE49-F238E27FC236}">
              <a16:creationId xmlns:a16="http://schemas.microsoft.com/office/drawing/2014/main" id="{DDDDF378-F74C-4E6B-92E9-171BFCD214D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4" name="AutoShape 177" descr="USA">
          <a:hlinkClick xmlns:r="http://schemas.openxmlformats.org/officeDocument/2006/relationships" r:id="rId174"/>
          <a:extLst>
            <a:ext uri="{FF2B5EF4-FFF2-40B4-BE49-F238E27FC236}">
              <a16:creationId xmlns:a16="http://schemas.microsoft.com/office/drawing/2014/main" id="{AD5DB379-EC73-4DF5-BE9C-5063FEDEE2F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5" name="AutoShape 177" descr="USA">
          <a:hlinkClick xmlns:r="http://schemas.openxmlformats.org/officeDocument/2006/relationships" r:id="rId174"/>
          <a:extLst>
            <a:ext uri="{FF2B5EF4-FFF2-40B4-BE49-F238E27FC236}">
              <a16:creationId xmlns:a16="http://schemas.microsoft.com/office/drawing/2014/main" id="{61AACCC2-3F0A-4D06-88A2-10E671E6F73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6" name="AutoShape 177" descr="USA">
          <a:hlinkClick xmlns:r="http://schemas.openxmlformats.org/officeDocument/2006/relationships" r:id="rId174"/>
          <a:extLst>
            <a:ext uri="{FF2B5EF4-FFF2-40B4-BE49-F238E27FC236}">
              <a16:creationId xmlns:a16="http://schemas.microsoft.com/office/drawing/2014/main" id="{2B5BF91D-0ABA-4D07-AB04-FB5267A35D4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7" name="AutoShape 177" descr="USA">
          <a:hlinkClick xmlns:r="http://schemas.openxmlformats.org/officeDocument/2006/relationships" r:id="rId174"/>
          <a:extLst>
            <a:ext uri="{FF2B5EF4-FFF2-40B4-BE49-F238E27FC236}">
              <a16:creationId xmlns:a16="http://schemas.microsoft.com/office/drawing/2014/main" id="{0DD97BA3-1ED1-404E-82B5-E97E9E32E78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8" name="AutoShape 177" descr="USA">
          <a:hlinkClick xmlns:r="http://schemas.openxmlformats.org/officeDocument/2006/relationships" r:id="rId174"/>
          <a:extLst>
            <a:ext uri="{FF2B5EF4-FFF2-40B4-BE49-F238E27FC236}">
              <a16:creationId xmlns:a16="http://schemas.microsoft.com/office/drawing/2014/main" id="{08D69025-5A81-41E5-81A3-E1FD36B5F9A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59" name="AutoShape 177" descr="USA">
          <a:hlinkClick xmlns:r="http://schemas.openxmlformats.org/officeDocument/2006/relationships" r:id="rId174"/>
          <a:extLst>
            <a:ext uri="{FF2B5EF4-FFF2-40B4-BE49-F238E27FC236}">
              <a16:creationId xmlns:a16="http://schemas.microsoft.com/office/drawing/2014/main" id="{11055B98-4CBA-44D5-99A4-471BC75F24A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81</xdr:row>
      <xdr:rowOff>0</xdr:rowOff>
    </xdr:from>
    <xdr:ext cx="304800" cy="317500"/>
    <xdr:sp macro="" textlink="">
      <xdr:nvSpPr>
        <xdr:cNvPr id="1260" name="AutoShape 177" descr="USA">
          <a:hlinkClick xmlns:r="http://schemas.openxmlformats.org/officeDocument/2006/relationships" r:id="rId174"/>
          <a:extLst>
            <a:ext uri="{FF2B5EF4-FFF2-40B4-BE49-F238E27FC236}">
              <a16:creationId xmlns:a16="http://schemas.microsoft.com/office/drawing/2014/main" id="{B50B6D54-499A-47F7-86D8-56622E990CF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61" name="AutoShape 177" descr="USA">
          <a:hlinkClick xmlns:r="http://schemas.openxmlformats.org/officeDocument/2006/relationships" r:id="rId174"/>
          <a:extLst>
            <a:ext uri="{FF2B5EF4-FFF2-40B4-BE49-F238E27FC236}">
              <a16:creationId xmlns:a16="http://schemas.microsoft.com/office/drawing/2014/main" id="{EB8B0EAA-9D10-4C83-B897-EF160288CC5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2" name="AutoShape 171" descr="USA">
          <a:hlinkClick xmlns:r="http://schemas.openxmlformats.org/officeDocument/2006/relationships" r:id="rId165"/>
          <a:extLst>
            <a:ext uri="{FF2B5EF4-FFF2-40B4-BE49-F238E27FC236}">
              <a16:creationId xmlns:a16="http://schemas.microsoft.com/office/drawing/2014/main" id="{53643F1F-FF73-4583-8B2D-913B7994EC4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3" name="AutoShape 177" descr="USA">
          <a:hlinkClick xmlns:r="http://schemas.openxmlformats.org/officeDocument/2006/relationships" r:id="rId174"/>
          <a:extLst>
            <a:ext uri="{FF2B5EF4-FFF2-40B4-BE49-F238E27FC236}">
              <a16:creationId xmlns:a16="http://schemas.microsoft.com/office/drawing/2014/main" id="{0305342E-BBBA-4268-B82D-DFA3208334A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4" name="AutoShape 177" descr="USA">
          <a:hlinkClick xmlns:r="http://schemas.openxmlformats.org/officeDocument/2006/relationships" r:id="rId174"/>
          <a:extLst>
            <a:ext uri="{FF2B5EF4-FFF2-40B4-BE49-F238E27FC236}">
              <a16:creationId xmlns:a16="http://schemas.microsoft.com/office/drawing/2014/main" id="{816BE96A-8729-4BB0-9420-EF92D612FF8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5" name="AutoShape 177" descr="USA">
          <a:hlinkClick xmlns:r="http://schemas.openxmlformats.org/officeDocument/2006/relationships" r:id="rId174"/>
          <a:extLst>
            <a:ext uri="{FF2B5EF4-FFF2-40B4-BE49-F238E27FC236}">
              <a16:creationId xmlns:a16="http://schemas.microsoft.com/office/drawing/2014/main" id="{3AA16897-8928-4570-A4B1-CA134454AED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6" name="AutoShape 177" descr="USA">
          <a:hlinkClick xmlns:r="http://schemas.openxmlformats.org/officeDocument/2006/relationships" r:id="rId174"/>
          <a:extLst>
            <a:ext uri="{FF2B5EF4-FFF2-40B4-BE49-F238E27FC236}">
              <a16:creationId xmlns:a16="http://schemas.microsoft.com/office/drawing/2014/main" id="{BF67BAA3-73ED-4E81-89AF-DE88979925D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7" name="AutoShape 177" descr="USA">
          <a:hlinkClick xmlns:r="http://schemas.openxmlformats.org/officeDocument/2006/relationships" r:id="rId174"/>
          <a:extLst>
            <a:ext uri="{FF2B5EF4-FFF2-40B4-BE49-F238E27FC236}">
              <a16:creationId xmlns:a16="http://schemas.microsoft.com/office/drawing/2014/main" id="{3C3B3E49-3F49-4D9D-9236-EA8F41CF11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8" name="AutoShape 177" descr="USA">
          <a:hlinkClick xmlns:r="http://schemas.openxmlformats.org/officeDocument/2006/relationships" r:id="rId174"/>
          <a:extLst>
            <a:ext uri="{FF2B5EF4-FFF2-40B4-BE49-F238E27FC236}">
              <a16:creationId xmlns:a16="http://schemas.microsoft.com/office/drawing/2014/main" id="{7AAD0B5F-4515-416D-B1A7-6A5E82EB053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82</xdr:row>
      <xdr:rowOff>0</xdr:rowOff>
    </xdr:from>
    <xdr:ext cx="304800" cy="317500"/>
    <xdr:sp macro="" textlink="">
      <xdr:nvSpPr>
        <xdr:cNvPr id="1269" name="AutoShape 177" descr="USA">
          <a:hlinkClick xmlns:r="http://schemas.openxmlformats.org/officeDocument/2006/relationships" r:id="rId174"/>
          <a:extLst>
            <a:ext uri="{FF2B5EF4-FFF2-40B4-BE49-F238E27FC236}">
              <a16:creationId xmlns:a16="http://schemas.microsoft.com/office/drawing/2014/main" id="{0617A7E9-A03A-4312-9020-0CA7E96068F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70" name="AutoShape 177" descr="USA">
          <a:hlinkClick xmlns:r="http://schemas.openxmlformats.org/officeDocument/2006/relationships" r:id="rId174"/>
          <a:extLst>
            <a:ext uri="{FF2B5EF4-FFF2-40B4-BE49-F238E27FC236}">
              <a16:creationId xmlns:a16="http://schemas.microsoft.com/office/drawing/2014/main" id="{4A54C590-DA90-4358-9BFB-912AEB79A50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1" name="AutoShape 171" descr="USA">
          <a:hlinkClick xmlns:r="http://schemas.openxmlformats.org/officeDocument/2006/relationships" r:id="rId165"/>
          <a:extLst>
            <a:ext uri="{FF2B5EF4-FFF2-40B4-BE49-F238E27FC236}">
              <a16:creationId xmlns:a16="http://schemas.microsoft.com/office/drawing/2014/main" id="{A24540C7-3390-4A1B-BE42-68EF24B2C13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2" name="AutoShape 177" descr="USA">
          <a:hlinkClick xmlns:r="http://schemas.openxmlformats.org/officeDocument/2006/relationships" r:id="rId174"/>
          <a:extLst>
            <a:ext uri="{FF2B5EF4-FFF2-40B4-BE49-F238E27FC236}">
              <a16:creationId xmlns:a16="http://schemas.microsoft.com/office/drawing/2014/main" id="{67B54C4A-C074-438D-894D-DBD7D3D8774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3" name="AutoShape 177" descr="USA">
          <a:hlinkClick xmlns:r="http://schemas.openxmlformats.org/officeDocument/2006/relationships" r:id="rId174"/>
          <a:extLst>
            <a:ext uri="{FF2B5EF4-FFF2-40B4-BE49-F238E27FC236}">
              <a16:creationId xmlns:a16="http://schemas.microsoft.com/office/drawing/2014/main" id="{564E33C2-7D70-4A22-ABCD-4FDDA12CE0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4" name="AutoShape 177" descr="USA">
          <a:hlinkClick xmlns:r="http://schemas.openxmlformats.org/officeDocument/2006/relationships" r:id="rId174"/>
          <a:extLst>
            <a:ext uri="{FF2B5EF4-FFF2-40B4-BE49-F238E27FC236}">
              <a16:creationId xmlns:a16="http://schemas.microsoft.com/office/drawing/2014/main" id="{218554FE-4A3B-4A32-8E22-DFC640E7502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5" name="AutoShape 177" descr="USA">
          <a:hlinkClick xmlns:r="http://schemas.openxmlformats.org/officeDocument/2006/relationships" r:id="rId174"/>
          <a:extLst>
            <a:ext uri="{FF2B5EF4-FFF2-40B4-BE49-F238E27FC236}">
              <a16:creationId xmlns:a16="http://schemas.microsoft.com/office/drawing/2014/main" id="{4A570115-C510-4D6A-8EA4-D38A226EDB0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6" name="AutoShape 177" descr="USA">
          <a:hlinkClick xmlns:r="http://schemas.openxmlformats.org/officeDocument/2006/relationships" r:id="rId174"/>
          <a:extLst>
            <a:ext uri="{FF2B5EF4-FFF2-40B4-BE49-F238E27FC236}">
              <a16:creationId xmlns:a16="http://schemas.microsoft.com/office/drawing/2014/main" id="{AF7D660A-3F73-4E09-8D0F-72FA8B60F80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7" name="AutoShape 177" descr="USA">
          <a:hlinkClick xmlns:r="http://schemas.openxmlformats.org/officeDocument/2006/relationships" r:id="rId174"/>
          <a:extLst>
            <a:ext uri="{FF2B5EF4-FFF2-40B4-BE49-F238E27FC236}">
              <a16:creationId xmlns:a16="http://schemas.microsoft.com/office/drawing/2014/main" id="{C89F0C62-47B6-456A-996F-20266EC9649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83</xdr:row>
      <xdr:rowOff>0</xdr:rowOff>
    </xdr:from>
    <xdr:ext cx="304800" cy="317500"/>
    <xdr:sp macro="" textlink="">
      <xdr:nvSpPr>
        <xdr:cNvPr id="1278" name="AutoShape 177" descr="USA">
          <a:hlinkClick xmlns:r="http://schemas.openxmlformats.org/officeDocument/2006/relationships" r:id="rId174"/>
          <a:extLst>
            <a:ext uri="{FF2B5EF4-FFF2-40B4-BE49-F238E27FC236}">
              <a16:creationId xmlns:a16="http://schemas.microsoft.com/office/drawing/2014/main" id="{DC15D108-3330-4FD2-8709-B70392D0665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79" name="AutoShape 177" descr="USA">
          <a:hlinkClick xmlns:r="http://schemas.openxmlformats.org/officeDocument/2006/relationships" r:id="rId174"/>
          <a:extLst>
            <a:ext uri="{FF2B5EF4-FFF2-40B4-BE49-F238E27FC236}">
              <a16:creationId xmlns:a16="http://schemas.microsoft.com/office/drawing/2014/main" id="{10BE4F99-E6BB-404A-B3AA-C80BBA5F0F4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0" name="AutoShape 171" descr="USA">
          <a:hlinkClick xmlns:r="http://schemas.openxmlformats.org/officeDocument/2006/relationships" r:id="rId165"/>
          <a:extLst>
            <a:ext uri="{FF2B5EF4-FFF2-40B4-BE49-F238E27FC236}">
              <a16:creationId xmlns:a16="http://schemas.microsoft.com/office/drawing/2014/main" id="{C7DBCBB4-E04C-4EE6-A954-EB70B89A5E6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1" name="AutoShape 177" descr="USA">
          <a:hlinkClick xmlns:r="http://schemas.openxmlformats.org/officeDocument/2006/relationships" r:id="rId174"/>
          <a:extLst>
            <a:ext uri="{FF2B5EF4-FFF2-40B4-BE49-F238E27FC236}">
              <a16:creationId xmlns:a16="http://schemas.microsoft.com/office/drawing/2014/main" id="{077CB708-A6E9-4DA1-86A0-7EC7A4A0290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2" name="AutoShape 177" descr="USA">
          <a:hlinkClick xmlns:r="http://schemas.openxmlformats.org/officeDocument/2006/relationships" r:id="rId174"/>
          <a:extLst>
            <a:ext uri="{FF2B5EF4-FFF2-40B4-BE49-F238E27FC236}">
              <a16:creationId xmlns:a16="http://schemas.microsoft.com/office/drawing/2014/main" id="{A8CC5B82-C05A-4905-BFB4-A6CF2DE3D9D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3" name="AutoShape 177" descr="USA">
          <a:hlinkClick xmlns:r="http://schemas.openxmlformats.org/officeDocument/2006/relationships" r:id="rId174"/>
          <a:extLst>
            <a:ext uri="{FF2B5EF4-FFF2-40B4-BE49-F238E27FC236}">
              <a16:creationId xmlns:a16="http://schemas.microsoft.com/office/drawing/2014/main" id="{0BB76E39-B260-4E10-97C4-37A50C9CB87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4" name="AutoShape 177" descr="USA">
          <a:hlinkClick xmlns:r="http://schemas.openxmlformats.org/officeDocument/2006/relationships" r:id="rId174"/>
          <a:extLst>
            <a:ext uri="{FF2B5EF4-FFF2-40B4-BE49-F238E27FC236}">
              <a16:creationId xmlns:a16="http://schemas.microsoft.com/office/drawing/2014/main" id="{65508B3F-D960-4BFA-8831-00D710796A3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5" name="AutoShape 177" descr="USA">
          <a:hlinkClick xmlns:r="http://schemas.openxmlformats.org/officeDocument/2006/relationships" r:id="rId174"/>
          <a:extLst>
            <a:ext uri="{FF2B5EF4-FFF2-40B4-BE49-F238E27FC236}">
              <a16:creationId xmlns:a16="http://schemas.microsoft.com/office/drawing/2014/main" id="{1AF2E86C-F85C-4E50-962F-977B3E83E1D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6" name="AutoShape 177" descr="USA">
          <a:hlinkClick xmlns:r="http://schemas.openxmlformats.org/officeDocument/2006/relationships" r:id="rId174"/>
          <a:extLst>
            <a:ext uri="{FF2B5EF4-FFF2-40B4-BE49-F238E27FC236}">
              <a16:creationId xmlns:a16="http://schemas.microsoft.com/office/drawing/2014/main" id="{E6A32D86-C5B2-425D-875E-B368EBA5C5F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84</xdr:row>
      <xdr:rowOff>0</xdr:rowOff>
    </xdr:from>
    <xdr:ext cx="304800" cy="317500"/>
    <xdr:sp macro="" textlink="">
      <xdr:nvSpPr>
        <xdr:cNvPr id="1287" name="AutoShape 177" descr="USA">
          <a:hlinkClick xmlns:r="http://schemas.openxmlformats.org/officeDocument/2006/relationships" r:id="rId174"/>
          <a:extLst>
            <a:ext uri="{FF2B5EF4-FFF2-40B4-BE49-F238E27FC236}">
              <a16:creationId xmlns:a16="http://schemas.microsoft.com/office/drawing/2014/main" id="{39D00718-0DA6-4255-A068-B4F0B39C7FE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288" name="AutoShape 177" descr="USA">
          <a:hlinkClick xmlns:r="http://schemas.openxmlformats.org/officeDocument/2006/relationships" r:id="rId174"/>
          <a:extLst>
            <a:ext uri="{FF2B5EF4-FFF2-40B4-BE49-F238E27FC236}">
              <a16:creationId xmlns:a16="http://schemas.microsoft.com/office/drawing/2014/main" id="{D4FF0827-2251-4EB0-B198-703B86003E5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89" name="AutoShape 171" descr="USA">
          <a:hlinkClick xmlns:r="http://schemas.openxmlformats.org/officeDocument/2006/relationships" r:id="rId165"/>
          <a:extLst>
            <a:ext uri="{FF2B5EF4-FFF2-40B4-BE49-F238E27FC236}">
              <a16:creationId xmlns:a16="http://schemas.microsoft.com/office/drawing/2014/main" id="{732FDE0B-5B8B-4814-9EEF-91B9C1D8049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0" name="AutoShape 177" descr="USA">
          <a:hlinkClick xmlns:r="http://schemas.openxmlformats.org/officeDocument/2006/relationships" r:id="rId174"/>
          <a:extLst>
            <a:ext uri="{FF2B5EF4-FFF2-40B4-BE49-F238E27FC236}">
              <a16:creationId xmlns:a16="http://schemas.microsoft.com/office/drawing/2014/main" id="{CA66E529-98E8-41D6-9E9A-28AFBAB5E64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1" name="AutoShape 177" descr="USA">
          <a:hlinkClick xmlns:r="http://schemas.openxmlformats.org/officeDocument/2006/relationships" r:id="rId174"/>
          <a:extLst>
            <a:ext uri="{FF2B5EF4-FFF2-40B4-BE49-F238E27FC236}">
              <a16:creationId xmlns:a16="http://schemas.microsoft.com/office/drawing/2014/main" id="{0364EB7D-8345-4D02-9EE9-EEE97D9A823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2" name="AutoShape 177" descr="USA">
          <a:hlinkClick xmlns:r="http://schemas.openxmlformats.org/officeDocument/2006/relationships" r:id="rId174"/>
          <a:extLst>
            <a:ext uri="{FF2B5EF4-FFF2-40B4-BE49-F238E27FC236}">
              <a16:creationId xmlns:a16="http://schemas.microsoft.com/office/drawing/2014/main" id="{0E4DDE1C-5208-4084-9F34-0E871946265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3" name="AutoShape 177" descr="USA">
          <a:hlinkClick xmlns:r="http://schemas.openxmlformats.org/officeDocument/2006/relationships" r:id="rId174"/>
          <a:extLst>
            <a:ext uri="{FF2B5EF4-FFF2-40B4-BE49-F238E27FC236}">
              <a16:creationId xmlns:a16="http://schemas.microsoft.com/office/drawing/2014/main" id="{02DA5370-8160-41E1-A212-0E8888A133D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4" name="AutoShape 177" descr="USA">
          <a:hlinkClick xmlns:r="http://schemas.openxmlformats.org/officeDocument/2006/relationships" r:id="rId174"/>
          <a:extLst>
            <a:ext uri="{FF2B5EF4-FFF2-40B4-BE49-F238E27FC236}">
              <a16:creationId xmlns:a16="http://schemas.microsoft.com/office/drawing/2014/main" id="{19732F8D-ACA6-4352-A507-AAFBDD38A46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5" name="AutoShape 177" descr="USA">
          <a:hlinkClick xmlns:r="http://schemas.openxmlformats.org/officeDocument/2006/relationships" r:id="rId174"/>
          <a:extLst>
            <a:ext uri="{FF2B5EF4-FFF2-40B4-BE49-F238E27FC236}">
              <a16:creationId xmlns:a16="http://schemas.microsoft.com/office/drawing/2014/main" id="{FA74F319-065C-4AFA-8466-6ABA0C9A2DB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85</xdr:row>
      <xdr:rowOff>0</xdr:rowOff>
    </xdr:from>
    <xdr:ext cx="304800" cy="317500"/>
    <xdr:sp macro="" textlink="">
      <xdr:nvSpPr>
        <xdr:cNvPr id="1296" name="AutoShape 177" descr="USA">
          <a:hlinkClick xmlns:r="http://schemas.openxmlformats.org/officeDocument/2006/relationships" r:id="rId174"/>
          <a:extLst>
            <a:ext uri="{FF2B5EF4-FFF2-40B4-BE49-F238E27FC236}">
              <a16:creationId xmlns:a16="http://schemas.microsoft.com/office/drawing/2014/main" id="{BA045DE4-6635-4487-953E-33025FE94AF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297" name="AutoShape 177" descr="USA">
          <a:hlinkClick xmlns:r="http://schemas.openxmlformats.org/officeDocument/2006/relationships" r:id="rId174"/>
          <a:extLst>
            <a:ext uri="{FF2B5EF4-FFF2-40B4-BE49-F238E27FC236}">
              <a16:creationId xmlns:a16="http://schemas.microsoft.com/office/drawing/2014/main" id="{1CFA3D32-C6BC-4DB6-B1D1-248AB7D2918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298" name="AutoShape 171" descr="USA">
          <a:hlinkClick xmlns:r="http://schemas.openxmlformats.org/officeDocument/2006/relationships" r:id="rId165"/>
          <a:extLst>
            <a:ext uri="{FF2B5EF4-FFF2-40B4-BE49-F238E27FC236}">
              <a16:creationId xmlns:a16="http://schemas.microsoft.com/office/drawing/2014/main" id="{6AF4205F-186C-46FF-A15F-A8CDE9875D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299" name="AutoShape 177" descr="USA">
          <a:hlinkClick xmlns:r="http://schemas.openxmlformats.org/officeDocument/2006/relationships" r:id="rId174"/>
          <a:extLst>
            <a:ext uri="{FF2B5EF4-FFF2-40B4-BE49-F238E27FC236}">
              <a16:creationId xmlns:a16="http://schemas.microsoft.com/office/drawing/2014/main" id="{0806DDF7-B309-466D-8AF6-C572610889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0" name="AutoShape 177" descr="USA">
          <a:hlinkClick xmlns:r="http://schemas.openxmlformats.org/officeDocument/2006/relationships" r:id="rId174"/>
          <a:extLst>
            <a:ext uri="{FF2B5EF4-FFF2-40B4-BE49-F238E27FC236}">
              <a16:creationId xmlns:a16="http://schemas.microsoft.com/office/drawing/2014/main" id="{5229EB5F-7F09-417E-977E-4A99769FF35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1" name="AutoShape 177" descr="USA">
          <a:hlinkClick xmlns:r="http://schemas.openxmlformats.org/officeDocument/2006/relationships" r:id="rId174"/>
          <a:extLst>
            <a:ext uri="{FF2B5EF4-FFF2-40B4-BE49-F238E27FC236}">
              <a16:creationId xmlns:a16="http://schemas.microsoft.com/office/drawing/2014/main" id="{BBF19B78-0F0D-4570-9A8C-53288492576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2" name="AutoShape 177" descr="USA">
          <a:hlinkClick xmlns:r="http://schemas.openxmlformats.org/officeDocument/2006/relationships" r:id="rId174"/>
          <a:extLst>
            <a:ext uri="{FF2B5EF4-FFF2-40B4-BE49-F238E27FC236}">
              <a16:creationId xmlns:a16="http://schemas.microsoft.com/office/drawing/2014/main" id="{27B97E42-43BD-40F7-AA7C-31F872AF43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3" name="AutoShape 177" descr="USA">
          <a:hlinkClick xmlns:r="http://schemas.openxmlformats.org/officeDocument/2006/relationships" r:id="rId174"/>
          <a:extLst>
            <a:ext uri="{FF2B5EF4-FFF2-40B4-BE49-F238E27FC236}">
              <a16:creationId xmlns:a16="http://schemas.microsoft.com/office/drawing/2014/main" id="{8422D80E-331D-4954-BBBF-7D503B48806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4" name="AutoShape 177" descr="USA">
          <a:hlinkClick xmlns:r="http://schemas.openxmlformats.org/officeDocument/2006/relationships" r:id="rId174"/>
          <a:extLst>
            <a:ext uri="{FF2B5EF4-FFF2-40B4-BE49-F238E27FC236}">
              <a16:creationId xmlns:a16="http://schemas.microsoft.com/office/drawing/2014/main" id="{A2C65B7A-F94F-4CF3-87B6-D290439E280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86</xdr:row>
      <xdr:rowOff>0</xdr:rowOff>
    </xdr:from>
    <xdr:ext cx="304800" cy="317500"/>
    <xdr:sp macro="" textlink="">
      <xdr:nvSpPr>
        <xdr:cNvPr id="1305" name="AutoShape 177" descr="USA">
          <a:hlinkClick xmlns:r="http://schemas.openxmlformats.org/officeDocument/2006/relationships" r:id="rId174"/>
          <a:extLst>
            <a:ext uri="{FF2B5EF4-FFF2-40B4-BE49-F238E27FC236}">
              <a16:creationId xmlns:a16="http://schemas.microsoft.com/office/drawing/2014/main" id="{8029A9A6-BB87-47F4-AD90-47940230BED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06" name="AutoShape 177" descr="USA">
          <a:hlinkClick xmlns:r="http://schemas.openxmlformats.org/officeDocument/2006/relationships" r:id="rId174"/>
          <a:extLst>
            <a:ext uri="{FF2B5EF4-FFF2-40B4-BE49-F238E27FC236}">
              <a16:creationId xmlns:a16="http://schemas.microsoft.com/office/drawing/2014/main" id="{E0DDA1CD-738B-4F24-BBB7-0BDEF66B0FA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07" name="AutoShape 171" descr="USA">
          <a:hlinkClick xmlns:r="http://schemas.openxmlformats.org/officeDocument/2006/relationships" r:id="rId165"/>
          <a:extLst>
            <a:ext uri="{FF2B5EF4-FFF2-40B4-BE49-F238E27FC236}">
              <a16:creationId xmlns:a16="http://schemas.microsoft.com/office/drawing/2014/main" id="{720514AD-7F1B-4315-AA12-CBA0F30BCE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08" name="AutoShape 177" descr="USA">
          <a:hlinkClick xmlns:r="http://schemas.openxmlformats.org/officeDocument/2006/relationships" r:id="rId174"/>
          <a:extLst>
            <a:ext uri="{FF2B5EF4-FFF2-40B4-BE49-F238E27FC236}">
              <a16:creationId xmlns:a16="http://schemas.microsoft.com/office/drawing/2014/main" id="{C839B0B0-852A-4D88-94C3-56D13A3A11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09" name="AutoShape 177" descr="USA">
          <a:hlinkClick xmlns:r="http://schemas.openxmlformats.org/officeDocument/2006/relationships" r:id="rId174"/>
          <a:extLst>
            <a:ext uri="{FF2B5EF4-FFF2-40B4-BE49-F238E27FC236}">
              <a16:creationId xmlns:a16="http://schemas.microsoft.com/office/drawing/2014/main" id="{EAA71925-6B19-4C4E-AC7A-117586EB3B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0" name="AutoShape 177" descr="USA">
          <a:hlinkClick xmlns:r="http://schemas.openxmlformats.org/officeDocument/2006/relationships" r:id="rId174"/>
          <a:extLst>
            <a:ext uri="{FF2B5EF4-FFF2-40B4-BE49-F238E27FC236}">
              <a16:creationId xmlns:a16="http://schemas.microsoft.com/office/drawing/2014/main" id="{AA10A3A5-D441-46EC-AE52-5CDAB18C4E5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1" name="AutoShape 177" descr="USA">
          <a:hlinkClick xmlns:r="http://schemas.openxmlformats.org/officeDocument/2006/relationships" r:id="rId174"/>
          <a:extLst>
            <a:ext uri="{FF2B5EF4-FFF2-40B4-BE49-F238E27FC236}">
              <a16:creationId xmlns:a16="http://schemas.microsoft.com/office/drawing/2014/main" id="{8AA270AB-B3EC-40F7-8CBD-E71C51D14FE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2" name="AutoShape 177" descr="USA">
          <a:hlinkClick xmlns:r="http://schemas.openxmlformats.org/officeDocument/2006/relationships" r:id="rId174"/>
          <a:extLst>
            <a:ext uri="{FF2B5EF4-FFF2-40B4-BE49-F238E27FC236}">
              <a16:creationId xmlns:a16="http://schemas.microsoft.com/office/drawing/2014/main" id="{11F1E8B6-13AC-49B6-BD17-0AA036D7700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3" name="AutoShape 177" descr="USA">
          <a:hlinkClick xmlns:r="http://schemas.openxmlformats.org/officeDocument/2006/relationships" r:id="rId174"/>
          <a:extLst>
            <a:ext uri="{FF2B5EF4-FFF2-40B4-BE49-F238E27FC236}">
              <a16:creationId xmlns:a16="http://schemas.microsoft.com/office/drawing/2014/main" id="{803317EB-CF37-4709-AFAE-55CE4140DAB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87</xdr:row>
      <xdr:rowOff>0</xdr:rowOff>
    </xdr:from>
    <xdr:ext cx="304800" cy="317500"/>
    <xdr:sp macro="" textlink="">
      <xdr:nvSpPr>
        <xdr:cNvPr id="1314" name="AutoShape 177" descr="USA">
          <a:hlinkClick xmlns:r="http://schemas.openxmlformats.org/officeDocument/2006/relationships" r:id="rId174"/>
          <a:extLst>
            <a:ext uri="{FF2B5EF4-FFF2-40B4-BE49-F238E27FC236}">
              <a16:creationId xmlns:a16="http://schemas.microsoft.com/office/drawing/2014/main" id="{F704F7DA-8F4A-460D-84D4-CE1B8E02356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15" name="AutoShape 177" descr="USA">
          <a:hlinkClick xmlns:r="http://schemas.openxmlformats.org/officeDocument/2006/relationships" r:id="rId174"/>
          <a:extLst>
            <a:ext uri="{FF2B5EF4-FFF2-40B4-BE49-F238E27FC236}">
              <a16:creationId xmlns:a16="http://schemas.microsoft.com/office/drawing/2014/main" id="{468946D9-D2FF-464A-9F0F-06D70BEDA69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6" name="AutoShape 171" descr="USA">
          <a:hlinkClick xmlns:r="http://schemas.openxmlformats.org/officeDocument/2006/relationships" r:id="rId165"/>
          <a:extLst>
            <a:ext uri="{FF2B5EF4-FFF2-40B4-BE49-F238E27FC236}">
              <a16:creationId xmlns:a16="http://schemas.microsoft.com/office/drawing/2014/main" id="{8488E93C-DCF2-4FA9-B842-1B3A7CE358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7" name="AutoShape 177" descr="USA">
          <a:hlinkClick xmlns:r="http://schemas.openxmlformats.org/officeDocument/2006/relationships" r:id="rId174"/>
          <a:extLst>
            <a:ext uri="{FF2B5EF4-FFF2-40B4-BE49-F238E27FC236}">
              <a16:creationId xmlns:a16="http://schemas.microsoft.com/office/drawing/2014/main" id="{11901538-F980-4BE4-8144-DCD2DB95DE5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8" name="AutoShape 177" descr="USA">
          <a:hlinkClick xmlns:r="http://schemas.openxmlformats.org/officeDocument/2006/relationships" r:id="rId174"/>
          <a:extLst>
            <a:ext uri="{FF2B5EF4-FFF2-40B4-BE49-F238E27FC236}">
              <a16:creationId xmlns:a16="http://schemas.microsoft.com/office/drawing/2014/main" id="{227D0E32-F409-4B8C-ACC9-9DDC26C4660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19" name="AutoShape 177" descr="USA">
          <a:hlinkClick xmlns:r="http://schemas.openxmlformats.org/officeDocument/2006/relationships" r:id="rId174"/>
          <a:extLst>
            <a:ext uri="{FF2B5EF4-FFF2-40B4-BE49-F238E27FC236}">
              <a16:creationId xmlns:a16="http://schemas.microsoft.com/office/drawing/2014/main" id="{B66BAA6D-61F4-4FEE-8217-9AA9E520389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0" name="AutoShape 177" descr="USA">
          <a:hlinkClick xmlns:r="http://schemas.openxmlformats.org/officeDocument/2006/relationships" r:id="rId174"/>
          <a:extLst>
            <a:ext uri="{FF2B5EF4-FFF2-40B4-BE49-F238E27FC236}">
              <a16:creationId xmlns:a16="http://schemas.microsoft.com/office/drawing/2014/main" id="{6F905F5D-453D-4E45-B7FF-97B3F528D5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1" name="AutoShape 177" descr="USA">
          <a:hlinkClick xmlns:r="http://schemas.openxmlformats.org/officeDocument/2006/relationships" r:id="rId174"/>
          <a:extLst>
            <a:ext uri="{FF2B5EF4-FFF2-40B4-BE49-F238E27FC236}">
              <a16:creationId xmlns:a16="http://schemas.microsoft.com/office/drawing/2014/main" id="{F1F0BDC8-9F91-415A-B5EB-B49E1F96ADF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2" name="AutoShape 177" descr="USA">
          <a:hlinkClick xmlns:r="http://schemas.openxmlformats.org/officeDocument/2006/relationships" r:id="rId174"/>
          <a:extLst>
            <a:ext uri="{FF2B5EF4-FFF2-40B4-BE49-F238E27FC236}">
              <a16:creationId xmlns:a16="http://schemas.microsoft.com/office/drawing/2014/main" id="{B608B985-4098-4983-A12F-5D3F1EEC112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88</xdr:row>
      <xdr:rowOff>0</xdr:rowOff>
    </xdr:from>
    <xdr:ext cx="304800" cy="317500"/>
    <xdr:sp macro="" textlink="">
      <xdr:nvSpPr>
        <xdr:cNvPr id="1323" name="AutoShape 177" descr="USA">
          <a:hlinkClick xmlns:r="http://schemas.openxmlformats.org/officeDocument/2006/relationships" r:id="rId174"/>
          <a:extLst>
            <a:ext uri="{FF2B5EF4-FFF2-40B4-BE49-F238E27FC236}">
              <a16:creationId xmlns:a16="http://schemas.microsoft.com/office/drawing/2014/main" id="{A4B467E8-175E-48D8-BC91-0607641E832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24" name="AutoShape 177" descr="USA">
          <a:hlinkClick xmlns:r="http://schemas.openxmlformats.org/officeDocument/2006/relationships" r:id="rId174"/>
          <a:extLst>
            <a:ext uri="{FF2B5EF4-FFF2-40B4-BE49-F238E27FC236}">
              <a16:creationId xmlns:a16="http://schemas.microsoft.com/office/drawing/2014/main" id="{17BA0BAD-3078-4FC2-BE5E-DE3E7F805F9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5" name="AutoShape 171" descr="USA">
          <a:hlinkClick xmlns:r="http://schemas.openxmlformats.org/officeDocument/2006/relationships" r:id="rId165"/>
          <a:extLst>
            <a:ext uri="{FF2B5EF4-FFF2-40B4-BE49-F238E27FC236}">
              <a16:creationId xmlns:a16="http://schemas.microsoft.com/office/drawing/2014/main" id="{FB89C3C4-38E8-4D68-85AD-78FF28A51A8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6" name="AutoShape 177" descr="USA">
          <a:hlinkClick xmlns:r="http://schemas.openxmlformats.org/officeDocument/2006/relationships" r:id="rId174"/>
          <a:extLst>
            <a:ext uri="{FF2B5EF4-FFF2-40B4-BE49-F238E27FC236}">
              <a16:creationId xmlns:a16="http://schemas.microsoft.com/office/drawing/2014/main" id="{605D867A-84FA-4202-8F29-9166A0E67B5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7" name="AutoShape 177" descr="USA">
          <a:hlinkClick xmlns:r="http://schemas.openxmlformats.org/officeDocument/2006/relationships" r:id="rId174"/>
          <a:extLst>
            <a:ext uri="{FF2B5EF4-FFF2-40B4-BE49-F238E27FC236}">
              <a16:creationId xmlns:a16="http://schemas.microsoft.com/office/drawing/2014/main" id="{961AA09A-C2D9-455F-9DFA-562C73B2FCA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8" name="AutoShape 177" descr="USA">
          <a:hlinkClick xmlns:r="http://schemas.openxmlformats.org/officeDocument/2006/relationships" r:id="rId174"/>
          <a:extLst>
            <a:ext uri="{FF2B5EF4-FFF2-40B4-BE49-F238E27FC236}">
              <a16:creationId xmlns:a16="http://schemas.microsoft.com/office/drawing/2014/main" id="{BC58A796-2320-4425-8F17-FC8AAB689A4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29" name="AutoShape 177" descr="USA">
          <a:hlinkClick xmlns:r="http://schemas.openxmlformats.org/officeDocument/2006/relationships" r:id="rId174"/>
          <a:extLst>
            <a:ext uri="{FF2B5EF4-FFF2-40B4-BE49-F238E27FC236}">
              <a16:creationId xmlns:a16="http://schemas.microsoft.com/office/drawing/2014/main" id="{6ACF136B-A214-476E-BABB-378ADF8D26E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30" name="AutoShape 177" descr="USA">
          <a:hlinkClick xmlns:r="http://schemas.openxmlformats.org/officeDocument/2006/relationships" r:id="rId174"/>
          <a:extLst>
            <a:ext uri="{FF2B5EF4-FFF2-40B4-BE49-F238E27FC236}">
              <a16:creationId xmlns:a16="http://schemas.microsoft.com/office/drawing/2014/main" id="{CA05C184-9B32-4629-9E80-7FDFD0546F2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31" name="AutoShape 177" descr="USA">
          <a:hlinkClick xmlns:r="http://schemas.openxmlformats.org/officeDocument/2006/relationships" r:id="rId174"/>
          <a:extLst>
            <a:ext uri="{FF2B5EF4-FFF2-40B4-BE49-F238E27FC236}">
              <a16:creationId xmlns:a16="http://schemas.microsoft.com/office/drawing/2014/main" id="{EF642CC1-51E1-45F5-ABE3-6583F1DC099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89</xdr:row>
      <xdr:rowOff>0</xdr:rowOff>
    </xdr:from>
    <xdr:ext cx="304800" cy="317500"/>
    <xdr:sp macro="" textlink="">
      <xdr:nvSpPr>
        <xdr:cNvPr id="1332" name="AutoShape 177" descr="USA">
          <a:hlinkClick xmlns:r="http://schemas.openxmlformats.org/officeDocument/2006/relationships" r:id="rId174"/>
          <a:extLst>
            <a:ext uri="{FF2B5EF4-FFF2-40B4-BE49-F238E27FC236}">
              <a16:creationId xmlns:a16="http://schemas.microsoft.com/office/drawing/2014/main" id="{727C08CB-B062-4D84-980B-FD8A5D1B9FC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33" name="AutoShape 177" descr="USA">
          <a:hlinkClick xmlns:r="http://schemas.openxmlformats.org/officeDocument/2006/relationships" r:id="rId174"/>
          <a:extLst>
            <a:ext uri="{FF2B5EF4-FFF2-40B4-BE49-F238E27FC236}">
              <a16:creationId xmlns:a16="http://schemas.microsoft.com/office/drawing/2014/main" id="{883815D4-718D-42EB-9138-1A52A8DEE91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4" name="AutoShape 171" descr="USA">
          <a:hlinkClick xmlns:r="http://schemas.openxmlformats.org/officeDocument/2006/relationships" r:id="rId165"/>
          <a:extLst>
            <a:ext uri="{FF2B5EF4-FFF2-40B4-BE49-F238E27FC236}">
              <a16:creationId xmlns:a16="http://schemas.microsoft.com/office/drawing/2014/main" id="{AB7F5440-9201-4195-9FAF-D32AE28EA91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5" name="AutoShape 177" descr="USA">
          <a:hlinkClick xmlns:r="http://schemas.openxmlformats.org/officeDocument/2006/relationships" r:id="rId174"/>
          <a:extLst>
            <a:ext uri="{FF2B5EF4-FFF2-40B4-BE49-F238E27FC236}">
              <a16:creationId xmlns:a16="http://schemas.microsoft.com/office/drawing/2014/main" id="{530905D4-58F2-424B-A72B-91429B17F57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6" name="AutoShape 177" descr="USA">
          <a:hlinkClick xmlns:r="http://schemas.openxmlformats.org/officeDocument/2006/relationships" r:id="rId174"/>
          <a:extLst>
            <a:ext uri="{FF2B5EF4-FFF2-40B4-BE49-F238E27FC236}">
              <a16:creationId xmlns:a16="http://schemas.microsoft.com/office/drawing/2014/main" id="{F87ABAEC-1664-43CE-B873-B721D8FB129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7" name="AutoShape 177" descr="USA">
          <a:hlinkClick xmlns:r="http://schemas.openxmlformats.org/officeDocument/2006/relationships" r:id="rId174"/>
          <a:extLst>
            <a:ext uri="{FF2B5EF4-FFF2-40B4-BE49-F238E27FC236}">
              <a16:creationId xmlns:a16="http://schemas.microsoft.com/office/drawing/2014/main" id="{E0338EE9-6DC4-4A44-BC1D-A423EFC7CA2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8" name="AutoShape 177" descr="USA">
          <a:hlinkClick xmlns:r="http://schemas.openxmlformats.org/officeDocument/2006/relationships" r:id="rId174"/>
          <a:extLst>
            <a:ext uri="{FF2B5EF4-FFF2-40B4-BE49-F238E27FC236}">
              <a16:creationId xmlns:a16="http://schemas.microsoft.com/office/drawing/2014/main" id="{775CCAC1-4AA6-473C-B678-87CEF2FBD3E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39" name="AutoShape 177" descr="USA">
          <a:hlinkClick xmlns:r="http://schemas.openxmlformats.org/officeDocument/2006/relationships" r:id="rId174"/>
          <a:extLst>
            <a:ext uri="{FF2B5EF4-FFF2-40B4-BE49-F238E27FC236}">
              <a16:creationId xmlns:a16="http://schemas.microsoft.com/office/drawing/2014/main" id="{CD1EEFD7-D642-4A08-998C-7024E4587B6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40" name="AutoShape 177" descr="USA">
          <a:hlinkClick xmlns:r="http://schemas.openxmlformats.org/officeDocument/2006/relationships" r:id="rId174"/>
          <a:extLst>
            <a:ext uri="{FF2B5EF4-FFF2-40B4-BE49-F238E27FC236}">
              <a16:creationId xmlns:a16="http://schemas.microsoft.com/office/drawing/2014/main" id="{C2A6CEB7-BD1D-4BD3-A06F-BDC92D71399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90</xdr:row>
      <xdr:rowOff>0</xdr:rowOff>
    </xdr:from>
    <xdr:ext cx="304800" cy="317500"/>
    <xdr:sp macro="" textlink="">
      <xdr:nvSpPr>
        <xdr:cNvPr id="1341" name="AutoShape 177" descr="USA">
          <a:hlinkClick xmlns:r="http://schemas.openxmlformats.org/officeDocument/2006/relationships" r:id="rId174"/>
          <a:extLst>
            <a:ext uri="{FF2B5EF4-FFF2-40B4-BE49-F238E27FC236}">
              <a16:creationId xmlns:a16="http://schemas.microsoft.com/office/drawing/2014/main" id="{29A82908-DB31-4894-A57D-ECAC805C2DA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42" name="AutoShape 177" descr="USA">
          <a:hlinkClick xmlns:r="http://schemas.openxmlformats.org/officeDocument/2006/relationships" r:id="rId174"/>
          <a:extLst>
            <a:ext uri="{FF2B5EF4-FFF2-40B4-BE49-F238E27FC236}">
              <a16:creationId xmlns:a16="http://schemas.microsoft.com/office/drawing/2014/main" id="{6E64AF7E-7555-495E-AA40-EAEA514797A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3" name="AutoShape 171" descr="USA">
          <a:hlinkClick xmlns:r="http://schemas.openxmlformats.org/officeDocument/2006/relationships" r:id="rId165"/>
          <a:extLst>
            <a:ext uri="{FF2B5EF4-FFF2-40B4-BE49-F238E27FC236}">
              <a16:creationId xmlns:a16="http://schemas.microsoft.com/office/drawing/2014/main" id="{04BE620E-5C54-4A45-9096-D76B6F3F993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4" name="AutoShape 177" descr="USA">
          <a:hlinkClick xmlns:r="http://schemas.openxmlformats.org/officeDocument/2006/relationships" r:id="rId174"/>
          <a:extLst>
            <a:ext uri="{FF2B5EF4-FFF2-40B4-BE49-F238E27FC236}">
              <a16:creationId xmlns:a16="http://schemas.microsoft.com/office/drawing/2014/main" id="{58A2AFE3-284C-44A0-957C-54E41513D3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5" name="AutoShape 177" descr="USA">
          <a:hlinkClick xmlns:r="http://schemas.openxmlformats.org/officeDocument/2006/relationships" r:id="rId174"/>
          <a:extLst>
            <a:ext uri="{FF2B5EF4-FFF2-40B4-BE49-F238E27FC236}">
              <a16:creationId xmlns:a16="http://schemas.microsoft.com/office/drawing/2014/main" id="{F0C9B442-F598-4A5B-B738-5EC7CD624D3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6" name="AutoShape 177" descr="USA">
          <a:hlinkClick xmlns:r="http://schemas.openxmlformats.org/officeDocument/2006/relationships" r:id="rId174"/>
          <a:extLst>
            <a:ext uri="{FF2B5EF4-FFF2-40B4-BE49-F238E27FC236}">
              <a16:creationId xmlns:a16="http://schemas.microsoft.com/office/drawing/2014/main" id="{E82A384F-9912-4F4C-8184-FCCC8C9D678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7" name="AutoShape 177" descr="USA">
          <a:hlinkClick xmlns:r="http://schemas.openxmlformats.org/officeDocument/2006/relationships" r:id="rId174"/>
          <a:extLst>
            <a:ext uri="{FF2B5EF4-FFF2-40B4-BE49-F238E27FC236}">
              <a16:creationId xmlns:a16="http://schemas.microsoft.com/office/drawing/2014/main" id="{0B2C49CD-D957-40E7-A493-200303194F0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8" name="AutoShape 177" descr="USA">
          <a:hlinkClick xmlns:r="http://schemas.openxmlformats.org/officeDocument/2006/relationships" r:id="rId174"/>
          <a:extLst>
            <a:ext uri="{FF2B5EF4-FFF2-40B4-BE49-F238E27FC236}">
              <a16:creationId xmlns:a16="http://schemas.microsoft.com/office/drawing/2014/main" id="{85DD58EB-E7E1-464A-A13E-F2AE2F65354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49" name="AutoShape 177" descr="USA">
          <a:hlinkClick xmlns:r="http://schemas.openxmlformats.org/officeDocument/2006/relationships" r:id="rId174"/>
          <a:extLst>
            <a:ext uri="{FF2B5EF4-FFF2-40B4-BE49-F238E27FC236}">
              <a16:creationId xmlns:a16="http://schemas.microsoft.com/office/drawing/2014/main" id="{D65F9BA8-9E5F-4E6D-84AA-9861DD281A2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91</xdr:row>
      <xdr:rowOff>0</xdr:rowOff>
    </xdr:from>
    <xdr:ext cx="304800" cy="317500"/>
    <xdr:sp macro="" textlink="">
      <xdr:nvSpPr>
        <xdr:cNvPr id="1350" name="AutoShape 177" descr="USA">
          <a:hlinkClick xmlns:r="http://schemas.openxmlformats.org/officeDocument/2006/relationships" r:id="rId174"/>
          <a:extLst>
            <a:ext uri="{FF2B5EF4-FFF2-40B4-BE49-F238E27FC236}">
              <a16:creationId xmlns:a16="http://schemas.microsoft.com/office/drawing/2014/main" id="{423F31D7-7E87-41CA-B732-EB81366B217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51" name="AutoShape 177" descr="USA">
          <a:hlinkClick xmlns:r="http://schemas.openxmlformats.org/officeDocument/2006/relationships" r:id="rId174"/>
          <a:extLst>
            <a:ext uri="{FF2B5EF4-FFF2-40B4-BE49-F238E27FC236}">
              <a16:creationId xmlns:a16="http://schemas.microsoft.com/office/drawing/2014/main" id="{4301077E-826A-4E42-9A17-B555884ECDF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2" name="AutoShape 171" descr="USA">
          <a:hlinkClick xmlns:r="http://schemas.openxmlformats.org/officeDocument/2006/relationships" r:id="rId165"/>
          <a:extLst>
            <a:ext uri="{FF2B5EF4-FFF2-40B4-BE49-F238E27FC236}">
              <a16:creationId xmlns:a16="http://schemas.microsoft.com/office/drawing/2014/main" id="{3D7401BB-931A-4BB4-8063-A4145DA159D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3" name="AutoShape 177" descr="USA">
          <a:hlinkClick xmlns:r="http://schemas.openxmlformats.org/officeDocument/2006/relationships" r:id="rId174"/>
          <a:extLst>
            <a:ext uri="{FF2B5EF4-FFF2-40B4-BE49-F238E27FC236}">
              <a16:creationId xmlns:a16="http://schemas.microsoft.com/office/drawing/2014/main" id="{53BB63AC-FF7E-4AF0-B522-F12DB365CB5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4" name="AutoShape 177" descr="USA">
          <a:hlinkClick xmlns:r="http://schemas.openxmlformats.org/officeDocument/2006/relationships" r:id="rId174"/>
          <a:extLst>
            <a:ext uri="{FF2B5EF4-FFF2-40B4-BE49-F238E27FC236}">
              <a16:creationId xmlns:a16="http://schemas.microsoft.com/office/drawing/2014/main" id="{0765B660-603E-4DDF-A780-F9F59EB079D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5" name="AutoShape 177" descr="USA">
          <a:hlinkClick xmlns:r="http://schemas.openxmlformats.org/officeDocument/2006/relationships" r:id="rId174"/>
          <a:extLst>
            <a:ext uri="{FF2B5EF4-FFF2-40B4-BE49-F238E27FC236}">
              <a16:creationId xmlns:a16="http://schemas.microsoft.com/office/drawing/2014/main" id="{807F1170-AFAE-4E0F-8DFD-A75041B1123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6" name="AutoShape 177" descr="USA">
          <a:hlinkClick xmlns:r="http://schemas.openxmlformats.org/officeDocument/2006/relationships" r:id="rId174"/>
          <a:extLst>
            <a:ext uri="{FF2B5EF4-FFF2-40B4-BE49-F238E27FC236}">
              <a16:creationId xmlns:a16="http://schemas.microsoft.com/office/drawing/2014/main" id="{7421FD14-6148-4357-ABDB-F0417AE4DFD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7" name="AutoShape 177" descr="USA">
          <a:hlinkClick xmlns:r="http://schemas.openxmlformats.org/officeDocument/2006/relationships" r:id="rId174"/>
          <a:extLst>
            <a:ext uri="{FF2B5EF4-FFF2-40B4-BE49-F238E27FC236}">
              <a16:creationId xmlns:a16="http://schemas.microsoft.com/office/drawing/2014/main" id="{E67AF148-0A1D-45F1-B722-B5EE72C73ED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8" name="AutoShape 177" descr="USA">
          <a:hlinkClick xmlns:r="http://schemas.openxmlformats.org/officeDocument/2006/relationships" r:id="rId174"/>
          <a:extLst>
            <a:ext uri="{FF2B5EF4-FFF2-40B4-BE49-F238E27FC236}">
              <a16:creationId xmlns:a16="http://schemas.microsoft.com/office/drawing/2014/main" id="{373C02A5-8388-4E37-9236-23B740744B5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92</xdr:row>
      <xdr:rowOff>0</xdr:rowOff>
    </xdr:from>
    <xdr:ext cx="304800" cy="317500"/>
    <xdr:sp macro="" textlink="">
      <xdr:nvSpPr>
        <xdr:cNvPr id="1359" name="AutoShape 177" descr="USA">
          <a:hlinkClick xmlns:r="http://schemas.openxmlformats.org/officeDocument/2006/relationships" r:id="rId174"/>
          <a:extLst>
            <a:ext uri="{FF2B5EF4-FFF2-40B4-BE49-F238E27FC236}">
              <a16:creationId xmlns:a16="http://schemas.microsoft.com/office/drawing/2014/main" id="{BB9BB0CF-0D91-46FB-A309-FC16684FED4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60" name="AutoShape 177" descr="USA">
          <a:hlinkClick xmlns:r="http://schemas.openxmlformats.org/officeDocument/2006/relationships" r:id="rId174"/>
          <a:extLst>
            <a:ext uri="{FF2B5EF4-FFF2-40B4-BE49-F238E27FC236}">
              <a16:creationId xmlns:a16="http://schemas.microsoft.com/office/drawing/2014/main" id="{657526EB-E693-4100-AC7A-C7D56FE0239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1" name="AutoShape 171" descr="USA">
          <a:hlinkClick xmlns:r="http://schemas.openxmlformats.org/officeDocument/2006/relationships" r:id="rId165"/>
          <a:extLst>
            <a:ext uri="{FF2B5EF4-FFF2-40B4-BE49-F238E27FC236}">
              <a16:creationId xmlns:a16="http://schemas.microsoft.com/office/drawing/2014/main" id="{AF55539A-2FFA-4400-8455-E96F0AF8AB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2" name="AutoShape 177" descr="USA">
          <a:hlinkClick xmlns:r="http://schemas.openxmlformats.org/officeDocument/2006/relationships" r:id="rId174"/>
          <a:extLst>
            <a:ext uri="{FF2B5EF4-FFF2-40B4-BE49-F238E27FC236}">
              <a16:creationId xmlns:a16="http://schemas.microsoft.com/office/drawing/2014/main" id="{32E439C8-6541-4E1D-88E8-60AF5BA26FE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3" name="AutoShape 177" descr="USA">
          <a:hlinkClick xmlns:r="http://schemas.openxmlformats.org/officeDocument/2006/relationships" r:id="rId174"/>
          <a:extLst>
            <a:ext uri="{FF2B5EF4-FFF2-40B4-BE49-F238E27FC236}">
              <a16:creationId xmlns:a16="http://schemas.microsoft.com/office/drawing/2014/main" id="{B1E71B13-D792-4936-B2D6-FF8441E6823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4" name="AutoShape 177" descr="USA">
          <a:hlinkClick xmlns:r="http://schemas.openxmlformats.org/officeDocument/2006/relationships" r:id="rId174"/>
          <a:extLst>
            <a:ext uri="{FF2B5EF4-FFF2-40B4-BE49-F238E27FC236}">
              <a16:creationId xmlns:a16="http://schemas.microsoft.com/office/drawing/2014/main" id="{1CF4EF0B-DCCA-4BDE-8317-8A2DEBFBF73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5" name="AutoShape 177" descr="USA">
          <a:hlinkClick xmlns:r="http://schemas.openxmlformats.org/officeDocument/2006/relationships" r:id="rId174"/>
          <a:extLst>
            <a:ext uri="{FF2B5EF4-FFF2-40B4-BE49-F238E27FC236}">
              <a16:creationId xmlns:a16="http://schemas.microsoft.com/office/drawing/2014/main" id="{408E9759-C413-45C9-BD29-164BBD92F87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6" name="AutoShape 177" descr="USA">
          <a:hlinkClick xmlns:r="http://schemas.openxmlformats.org/officeDocument/2006/relationships" r:id="rId174"/>
          <a:extLst>
            <a:ext uri="{FF2B5EF4-FFF2-40B4-BE49-F238E27FC236}">
              <a16:creationId xmlns:a16="http://schemas.microsoft.com/office/drawing/2014/main" id="{4201591D-957E-4972-8E17-42B194591A6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7" name="AutoShape 177" descr="USA">
          <a:hlinkClick xmlns:r="http://schemas.openxmlformats.org/officeDocument/2006/relationships" r:id="rId174"/>
          <a:extLst>
            <a:ext uri="{FF2B5EF4-FFF2-40B4-BE49-F238E27FC236}">
              <a16:creationId xmlns:a16="http://schemas.microsoft.com/office/drawing/2014/main" id="{9A5066CC-07D6-4633-B7B2-B14A53C0B78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93</xdr:row>
      <xdr:rowOff>0</xdr:rowOff>
    </xdr:from>
    <xdr:ext cx="304800" cy="317500"/>
    <xdr:sp macro="" textlink="">
      <xdr:nvSpPr>
        <xdr:cNvPr id="1368" name="AutoShape 177" descr="USA">
          <a:hlinkClick xmlns:r="http://schemas.openxmlformats.org/officeDocument/2006/relationships" r:id="rId174"/>
          <a:extLst>
            <a:ext uri="{FF2B5EF4-FFF2-40B4-BE49-F238E27FC236}">
              <a16:creationId xmlns:a16="http://schemas.microsoft.com/office/drawing/2014/main" id="{F6A68D2A-DC2E-4CED-900F-7FBD58772D3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69" name="AutoShape 177" descr="USA">
          <a:hlinkClick xmlns:r="http://schemas.openxmlformats.org/officeDocument/2006/relationships" r:id="rId174"/>
          <a:extLst>
            <a:ext uri="{FF2B5EF4-FFF2-40B4-BE49-F238E27FC236}">
              <a16:creationId xmlns:a16="http://schemas.microsoft.com/office/drawing/2014/main" id="{54197A59-A3DF-48E6-9C0E-9997D671B56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0" name="AutoShape 171" descr="USA">
          <a:hlinkClick xmlns:r="http://schemas.openxmlformats.org/officeDocument/2006/relationships" r:id="rId165"/>
          <a:extLst>
            <a:ext uri="{FF2B5EF4-FFF2-40B4-BE49-F238E27FC236}">
              <a16:creationId xmlns:a16="http://schemas.microsoft.com/office/drawing/2014/main" id="{8CD91E53-F2DA-4743-A15C-DF0C937F874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1" name="AutoShape 177" descr="USA">
          <a:hlinkClick xmlns:r="http://schemas.openxmlformats.org/officeDocument/2006/relationships" r:id="rId174"/>
          <a:extLst>
            <a:ext uri="{FF2B5EF4-FFF2-40B4-BE49-F238E27FC236}">
              <a16:creationId xmlns:a16="http://schemas.microsoft.com/office/drawing/2014/main" id="{C4B1B7A9-06E3-4288-B0F5-13545B0E9CE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2" name="AutoShape 177" descr="USA">
          <a:hlinkClick xmlns:r="http://schemas.openxmlformats.org/officeDocument/2006/relationships" r:id="rId174"/>
          <a:extLst>
            <a:ext uri="{FF2B5EF4-FFF2-40B4-BE49-F238E27FC236}">
              <a16:creationId xmlns:a16="http://schemas.microsoft.com/office/drawing/2014/main" id="{3D42EB6C-D052-43F8-BEED-3D9D86B0DF8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3" name="AutoShape 177" descr="USA">
          <a:hlinkClick xmlns:r="http://schemas.openxmlformats.org/officeDocument/2006/relationships" r:id="rId174"/>
          <a:extLst>
            <a:ext uri="{FF2B5EF4-FFF2-40B4-BE49-F238E27FC236}">
              <a16:creationId xmlns:a16="http://schemas.microsoft.com/office/drawing/2014/main" id="{C5CEFDEB-DA9C-4633-BC6F-7A1DDF21F67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4" name="AutoShape 177" descr="USA">
          <a:hlinkClick xmlns:r="http://schemas.openxmlformats.org/officeDocument/2006/relationships" r:id="rId174"/>
          <a:extLst>
            <a:ext uri="{FF2B5EF4-FFF2-40B4-BE49-F238E27FC236}">
              <a16:creationId xmlns:a16="http://schemas.microsoft.com/office/drawing/2014/main" id="{C5093970-4486-4F6F-9A0A-F8817496B26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5" name="AutoShape 177" descr="USA">
          <a:hlinkClick xmlns:r="http://schemas.openxmlformats.org/officeDocument/2006/relationships" r:id="rId174"/>
          <a:extLst>
            <a:ext uri="{FF2B5EF4-FFF2-40B4-BE49-F238E27FC236}">
              <a16:creationId xmlns:a16="http://schemas.microsoft.com/office/drawing/2014/main" id="{E2D5B2D1-2288-4BEC-A4D4-EE6692691E5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6" name="AutoShape 177" descr="USA">
          <a:hlinkClick xmlns:r="http://schemas.openxmlformats.org/officeDocument/2006/relationships" r:id="rId174"/>
          <a:extLst>
            <a:ext uri="{FF2B5EF4-FFF2-40B4-BE49-F238E27FC236}">
              <a16:creationId xmlns:a16="http://schemas.microsoft.com/office/drawing/2014/main" id="{83009CB1-BC57-4662-A303-85C3B9CE1A0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94</xdr:row>
      <xdr:rowOff>0</xdr:rowOff>
    </xdr:from>
    <xdr:ext cx="304800" cy="317500"/>
    <xdr:sp macro="" textlink="">
      <xdr:nvSpPr>
        <xdr:cNvPr id="1377" name="AutoShape 177" descr="USA">
          <a:hlinkClick xmlns:r="http://schemas.openxmlformats.org/officeDocument/2006/relationships" r:id="rId174"/>
          <a:extLst>
            <a:ext uri="{FF2B5EF4-FFF2-40B4-BE49-F238E27FC236}">
              <a16:creationId xmlns:a16="http://schemas.microsoft.com/office/drawing/2014/main" id="{9BB69ABA-72A5-425A-BBCB-8AEE617704A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78" name="AutoShape 177" descr="USA">
          <a:hlinkClick xmlns:r="http://schemas.openxmlformats.org/officeDocument/2006/relationships" r:id="rId174"/>
          <a:extLst>
            <a:ext uri="{FF2B5EF4-FFF2-40B4-BE49-F238E27FC236}">
              <a16:creationId xmlns:a16="http://schemas.microsoft.com/office/drawing/2014/main" id="{30982176-B64C-4F1F-89AE-97CAD707F2E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79" name="AutoShape 171" descr="USA">
          <a:hlinkClick xmlns:r="http://schemas.openxmlformats.org/officeDocument/2006/relationships" r:id="rId165"/>
          <a:extLst>
            <a:ext uri="{FF2B5EF4-FFF2-40B4-BE49-F238E27FC236}">
              <a16:creationId xmlns:a16="http://schemas.microsoft.com/office/drawing/2014/main" id="{0976B0F2-8BBA-4F6F-ACE0-EB358A7C9FC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0" name="AutoShape 177" descr="USA">
          <a:hlinkClick xmlns:r="http://schemas.openxmlformats.org/officeDocument/2006/relationships" r:id="rId174"/>
          <a:extLst>
            <a:ext uri="{FF2B5EF4-FFF2-40B4-BE49-F238E27FC236}">
              <a16:creationId xmlns:a16="http://schemas.microsoft.com/office/drawing/2014/main" id="{70311CFD-6100-4D2C-A0F3-DA0F1B13007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1" name="AutoShape 177" descr="USA">
          <a:hlinkClick xmlns:r="http://schemas.openxmlformats.org/officeDocument/2006/relationships" r:id="rId174"/>
          <a:extLst>
            <a:ext uri="{FF2B5EF4-FFF2-40B4-BE49-F238E27FC236}">
              <a16:creationId xmlns:a16="http://schemas.microsoft.com/office/drawing/2014/main" id="{695C4165-D9A3-49AD-96BD-B163226C77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2" name="AutoShape 177" descr="USA">
          <a:hlinkClick xmlns:r="http://schemas.openxmlformats.org/officeDocument/2006/relationships" r:id="rId174"/>
          <a:extLst>
            <a:ext uri="{FF2B5EF4-FFF2-40B4-BE49-F238E27FC236}">
              <a16:creationId xmlns:a16="http://schemas.microsoft.com/office/drawing/2014/main" id="{951E6EEC-CC3A-490C-8D72-2FA1187BB76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3" name="AutoShape 177" descr="USA">
          <a:hlinkClick xmlns:r="http://schemas.openxmlformats.org/officeDocument/2006/relationships" r:id="rId174"/>
          <a:extLst>
            <a:ext uri="{FF2B5EF4-FFF2-40B4-BE49-F238E27FC236}">
              <a16:creationId xmlns:a16="http://schemas.microsoft.com/office/drawing/2014/main" id="{F06ADCC6-0C9F-49D7-B010-84DF8B0E351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4" name="AutoShape 177" descr="USA">
          <a:hlinkClick xmlns:r="http://schemas.openxmlformats.org/officeDocument/2006/relationships" r:id="rId174"/>
          <a:extLst>
            <a:ext uri="{FF2B5EF4-FFF2-40B4-BE49-F238E27FC236}">
              <a16:creationId xmlns:a16="http://schemas.microsoft.com/office/drawing/2014/main" id="{7F883AF6-6B4C-47B3-B442-30E308ACF28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5" name="AutoShape 177" descr="USA">
          <a:hlinkClick xmlns:r="http://schemas.openxmlformats.org/officeDocument/2006/relationships" r:id="rId174"/>
          <a:extLst>
            <a:ext uri="{FF2B5EF4-FFF2-40B4-BE49-F238E27FC236}">
              <a16:creationId xmlns:a16="http://schemas.microsoft.com/office/drawing/2014/main" id="{88874FEB-9B95-4BC5-BE61-FE90E786078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95</xdr:row>
      <xdr:rowOff>0</xdr:rowOff>
    </xdr:from>
    <xdr:ext cx="304800" cy="317500"/>
    <xdr:sp macro="" textlink="">
      <xdr:nvSpPr>
        <xdr:cNvPr id="1386" name="AutoShape 177" descr="USA">
          <a:hlinkClick xmlns:r="http://schemas.openxmlformats.org/officeDocument/2006/relationships" r:id="rId174"/>
          <a:extLst>
            <a:ext uri="{FF2B5EF4-FFF2-40B4-BE49-F238E27FC236}">
              <a16:creationId xmlns:a16="http://schemas.microsoft.com/office/drawing/2014/main" id="{D0BAE3AA-315E-4F00-B436-91767725221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87" name="AutoShape 177" descr="USA">
          <a:hlinkClick xmlns:r="http://schemas.openxmlformats.org/officeDocument/2006/relationships" r:id="rId174"/>
          <a:extLst>
            <a:ext uri="{FF2B5EF4-FFF2-40B4-BE49-F238E27FC236}">
              <a16:creationId xmlns:a16="http://schemas.microsoft.com/office/drawing/2014/main" id="{E4F3AFAE-7DE3-4A56-806E-F97D7BD72A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88" name="AutoShape 171" descr="USA">
          <a:hlinkClick xmlns:r="http://schemas.openxmlformats.org/officeDocument/2006/relationships" r:id="rId165"/>
          <a:extLst>
            <a:ext uri="{FF2B5EF4-FFF2-40B4-BE49-F238E27FC236}">
              <a16:creationId xmlns:a16="http://schemas.microsoft.com/office/drawing/2014/main" id="{84EC36E6-CC8C-442D-9353-3EABC2F72A6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89" name="AutoShape 177" descr="USA">
          <a:hlinkClick xmlns:r="http://schemas.openxmlformats.org/officeDocument/2006/relationships" r:id="rId174"/>
          <a:extLst>
            <a:ext uri="{FF2B5EF4-FFF2-40B4-BE49-F238E27FC236}">
              <a16:creationId xmlns:a16="http://schemas.microsoft.com/office/drawing/2014/main" id="{35A69FCE-9190-4F23-BE8A-21CE5991D00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0" name="AutoShape 177" descr="USA">
          <a:hlinkClick xmlns:r="http://schemas.openxmlformats.org/officeDocument/2006/relationships" r:id="rId174"/>
          <a:extLst>
            <a:ext uri="{FF2B5EF4-FFF2-40B4-BE49-F238E27FC236}">
              <a16:creationId xmlns:a16="http://schemas.microsoft.com/office/drawing/2014/main" id="{0CC88D70-70C4-4238-92E8-792F5A7C2E6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1" name="AutoShape 177" descr="USA">
          <a:hlinkClick xmlns:r="http://schemas.openxmlformats.org/officeDocument/2006/relationships" r:id="rId174"/>
          <a:extLst>
            <a:ext uri="{FF2B5EF4-FFF2-40B4-BE49-F238E27FC236}">
              <a16:creationId xmlns:a16="http://schemas.microsoft.com/office/drawing/2014/main" id="{99D64508-2455-4F75-83F6-CB7B291F255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2" name="AutoShape 177" descr="USA">
          <a:hlinkClick xmlns:r="http://schemas.openxmlformats.org/officeDocument/2006/relationships" r:id="rId174"/>
          <a:extLst>
            <a:ext uri="{FF2B5EF4-FFF2-40B4-BE49-F238E27FC236}">
              <a16:creationId xmlns:a16="http://schemas.microsoft.com/office/drawing/2014/main" id="{61B1AB71-1B68-417C-A7AA-B248DB842E6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3" name="AutoShape 177" descr="USA">
          <a:hlinkClick xmlns:r="http://schemas.openxmlformats.org/officeDocument/2006/relationships" r:id="rId174"/>
          <a:extLst>
            <a:ext uri="{FF2B5EF4-FFF2-40B4-BE49-F238E27FC236}">
              <a16:creationId xmlns:a16="http://schemas.microsoft.com/office/drawing/2014/main" id="{50FCC5E1-E3D3-41F9-B12E-180082E7367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4" name="AutoShape 177" descr="USA">
          <a:hlinkClick xmlns:r="http://schemas.openxmlformats.org/officeDocument/2006/relationships" r:id="rId174"/>
          <a:extLst>
            <a:ext uri="{FF2B5EF4-FFF2-40B4-BE49-F238E27FC236}">
              <a16:creationId xmlns:a16="http://schemas.microsoft.com/office/drawing/2014/main" id="{EE58E325-8307-48C7-9D0E-E2DDCC0CCA3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96</xdr:row>
      <xdr:rowOff>0</xdr:rowOff>
    </xdr:from>
    <xdr:ext cx="304800" cy="317500"/>
    <xdr:sp macro="" textlink="">
      <xdr:nvSpPr>
        <xdr:cNvPr id="1395" name="AutoShape 177" descr="USA">
          <a:hlinkClick xmlns:r="http://schemas.openxmlformats.org/officeDocument/2006/relationships" r:id="rId174"/>
          <a:extLst>
            <a:ext uri="{FF2B5EF4-FFF2-40B4-BE49-F238E27FC236}">
              <a16:creationId xmlns:a16="http://schemas.microsoft.com/office/drawing/2014/main" id="{E0765B5E-8107-435A-B8D6-5143EC248BC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396" name="AutoShape 177" descr="USA">
          <a:hlinkClick xmlns:r="http://schemas.openxmlformats.org/officeDocument/2006/relationships" r:id="rId174"/>
          <a:extLst>
            <a:ext uri="{FF2B5EF4-FFF2-40B4-BE49-F238E27FC236}">
              <a16:creationId xmlns:a16="http://schemas.microsoft.com/office/drawing/2014/main" id="{45A68617-E276-4B37-A2E1-05621B28D2B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97" name="AutoShape 171" descr="USA">
          <a:hlinkClick xmlns:r="http://schemas.openxmlformats.org/officeDocument/2006/relationships" r:id="rId165"/>
          <a:extLst>
            <a:ext uri="{FF2B5EF4-FFF2-40B4-BE49-F238E27FC236}">
              <a16:creationId xmlns:a16="http://schemas.microsoft.com/office/drawing/2014/main" id="{32BA5CCA-EBAA-47F2-962F-C28B0E52B55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98" name="AutoShape 177" descr="USA">
          <a:hlinkClick xmlns:r="http://schemas.openxmlformats.org/officeDocument/2006/relationships" r:id="rId174"/>
          <a:extLst>
            <a:ext uri="{FF2B5EF4-FFF2-40B4-BE49-F238E27FC236}">
              <a16:creationId xmlns:a16="http://schemas.microsoft.com/office/drawing/2014/main" id="{86D9DCCC-9426-4341-B44C-73A8EEDB489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399" name="AutoShape 177" descr="USA">
          <a:hlinkClick xmlns:r="http://schemas.openxmlformats.org/officeDocument/2006/relationships" r:id="rId174"/>
          <a:extLst>
            <a:ext uri="{FF2B5EF4-FFF2-40B4-BE49-F238E27FC236}">
              <a16:creationId xmlns:a16="http://schemas.microsoft.com/office/drawing/2014/main" id="{48DD74FD-978B-4233-A8EA-F98AB22A5B6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0" name="AutoShape 177" descr="USA">
          <a:hlinkClick xmlns:r="http://schemas.openxmlformats.org/officeDocument/2006/relationships" r:id="rId174"/>
          <a:extLst>
            <a:ext uri="{FF2B5EF4-FFF2-40B4-BE49-F238E27FC236}">
              <a16:creationId xmlns:a16="http://schemas.microsoft.com/office/drawing/2014/main" id="{3D92253B-D97A-4AF7-8C4D-D9C511C7D31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1" name="AutoShape 177" descr="USA">
          <a:hlinkClick xmlns:r="http://schemas.openxmlformats.org/officeDocument/2006/relationships" r:id="rId174"/>
          <a:extLst>
            <a:ext uri="{FF2B5EF4-FFF2-40B4-BE49-F238E27FC236}">
              <a16:creationId xmlns:a16="http://schemas.microsoft.com/office/drawing/2014/main" id="{1BEB220B-7094-4090-AF63-61E8DA3F988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2" name="AutoShape 177" descr="USA">
          <a:hlinkClick xmlns:r="http://schemas.openxmlformats.org/officeDocument/2006/relationships" r:id="rId174"/>
          <a:extLst>
            <a:ext uri="{FF2B5EF4-FFF2-40B4-BE49-F238E27FC236}">
              <a16:creationId xmlns:a16="http://schemas.microsoft.com/office/drawing/2014/main" id="{8F1D3B7F-7706-4BFB-BB7D-DBE52FFD4BE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3" name="AutoShape 177" descr="USA">
          <a:hlinkClick xmlns:r="http://schemas.openxmlformats.org/officeDocument/2006/relationships" r:id="rId174"/>
          <a:extLst>
            <a:ext uri="{FF2B5EF4-FFF2-40B4-BE49-F238E27FC236}">
              <a16:creationId xmlns:a16="http://schemas.microsoft.com/office/drawing/2014/main" id="{6F5A88B0-82CF-4CF0-BC79-88D9E8A7AD0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97</xdr:row>
      <xdr:rowOff>0</xdr:rowOff>
    </xdr:from>
    <xdr:ext cx="304800" cy="317500"/>
    <xdr:sp macro="" textlink="">
      <xdr:nvSpPr>
        <xdr:cNvPr id="1404" name="AutoShape 177" descr="USA">
          <a:hlinkClick xmlns:r="http://schemas.openxmlformats.org/officeDocument/2006/relationships" r:id="rId174"/>
          <a:extLst>
            <a:ext uri="{FF2B5EF4-FFF2-40B4-BE49-F238E27FC236}">
              <a16:creationId xmlns:a16="http://schemas.microsoft.com/office/drawing/2014/main" id="{744F2BD8-7F18-43E1-9BA7-98B1D29ACFB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05" name="AutoShape 177" descr="USA">
          <a:hlinkClick xmlns:r="http://schemas.openxmlformats.org/officeDocument/2006/relationships" r:id="rId174"/>
          <a:extLst>
            <a:ext uri="{FF2B5EF4-FFF2-40B4-BE49-F238E27FC236}">
              <a16:creationId xmlns:a16="http://schemas.microsoft.com/office/drawing/2014/main" id="{85888CCE-069E-4D43-B31A-BA323E633CB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6" name="AutoShape 171" descr="USA">
          <a:hlinkClick xmlns:r="http://schemas.openxmlformats.org/officeDocument/2006/relationships" r:id="rId165"/>
          <a:extLst>
            <a:ext uri="{FF2B5EF4-FFF2-40B4-BE49-F238E27FC236}">
              <a16:creationId xmlns:a16="http://schemas.microsoft.com/office/drawing/2014/main" id="{788F5CEF-15AF-49F2-A6C3-2E1433ADB39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7" name="AutoShape 177" descr="USA">
          <a:hlinkClick xmlns:r="http://schemas.openxmlformats.org/officeDocument/2006/relationships" r:id="rId174"/>
          <a:extLst>
            <a:ext uri="{FF2B5EF4-FFF2-40B4-BE49-F238E27FC236}">
              <a16:creationId xmlns:a16="http://schemas.microsoft.com/office/drawing/2014/main" id="{B3BDCD91-721B-480B-8FFA-84391FC0B49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8" name="AutoShape 177" descr="USA">
          <a:hlinkClick xmlns:r="http://schemas.openxmlformats.org/officeDocument/2006/relationships" r:id="rId174"/>
          <a:extLst>
            <a:ext uri="{FF2B5EF4-FFF2-40B4-BE49-F238E27FC236}">
              <a16:creationId xmlns:a16="http://schemas.microsoft.com/office/drawing/2014/main" id="{6C9C5ED0-B40F-4AF2-9682-336C79FDC3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09" name="AutoShape 177" descr="USA">
          <a:hlinkClick xmlns:r="http://schemas.openxmlformats.org/officeDocument/2006/relationships" r:id="rId174"/>
          <a:extLst>
            <a:ext uri="{FF2B5EF4-FFF2-40B4-BE49-F238E27FC236}">
              <a16:creationId xmlns:a16="http://schemas.microsoft.com/office/drawing/2014/main" id="{DBD42F6B-010C-4D05-B6F9-F3EC3A1EC1D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0" name="AutoShape 177" descr="USA">
          <a:hlinkClick xmlns:r="http://schemas.openxmlformats.org/officeDocument/2006/relationships" r:id="rId174"/>
          <a:extLst>
            <a:ext uri="{FF2B5EF4-FFF2-40B4-BE49-F238E27FC236}">
              <a16:creationId xmlns:a16="http://schemas.microsoft.com/office/drawing/2014/main" id="{C6A80191-8690-47E3-960B-850B2EE6852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1" name="AutoShape 177" descr="USA">
          <a:hlinkClick xmlns:r="http://schemas.openxmlformats.org/officeDocument/2006/relationships" r:id="rId174"/>
          <a:extLst>
            <a:ext uri="{FF2B5EF4-FFF2-40B4-BE49-F238E27FC236}">
              <a16:creationId xmlns:a16="http://schemas.microsoft.com/office/drawing/2014/main" id="{D3C1B614-83FB-4C24-842C-58AE3FB77DD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2" name="AutoShape 177" descr="USA">
          <a:hlinkClick xmlns:r="http://schemas.openxmlformats.org/officeDocument/2006/relationships" r:id="rId174"/>
          <a:extLst>
            <a:ext uri="{FF2B5EF4-FFF2-40B4-BE49-F238E27FC236}">
              <a16:creationId xmlns:a16="http://schemas.microsoft.com/office/drawing/2014/main" id="{C662B868-E2D6-4F49-BE88-770C7A62B41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98</xdr:row>
      <xdr:rowOff>0</xdr:rowOff>
    </xdr:from>
    <xdr:ext cx="304800" cy="317500"/>
    <xdr:sp macro="" textlink="">
      <xdr:nvSpPr>
        <xdr:cNvPr id="1413" name="AutoShape 177" descr="USA">
          <a:hlinkClick xmlns:r="http://schemas.openxmlformats.org/officeDocument/2006/relationships" r:id="rId174"/>
          <a:extLst>
            <a:ext uri="{FF2B5EF4-FFF2-40B4-BE49-F238E27FC236}">
              <a16:creationId xmlns:a16="http://schemas.microsoft.com/office/drawing/2014/main" id="{73309CB1-C5C0-4B37-9B6B-CEB5CDC3947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14" name="AutoShape 177" descr="USA">
          <a:hlinkClick xmlns:r="http://schemas.openxmlformats.org/officeDocument/2006/relationships" r:id="rId174"/>
          <a:extLst>
            <a:ext uri="{FF2B5EF4-FFF2-40B4-BE49-F238E27FC236}">
              <a16:creationId xmlns:a16="http://schemas.microsoft.com/office/drawing/2014/main" id="{5A38E89D-B320-4517-84E6-D36AC579006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5" name="AutoShape 171" descr="USA">
          <a:hlinkClick xmlns:r="http://schemas.openxmlformats.org/officeDocument/2006/relationships" r:id="rId165"/>
          <a:extLst>
            <a:ext uri="{FF2B5EF4-FFF2-40B4-BE49-F238E27FC236}">
              <a16:creationId xmlns:a16="http://schemas.microsoft.com/office/drawing/2014/main" id="{3B897A09-1F81-4856-AA57-FB632B49DD3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6" name="AutoShape 177" descr="USA">
          <a:hlinkClick xmlns:r="http://schemas.openxmlformats.org/officeDocument/2006/relationships" r:id="rId174"/>
          <a:extLst>
            <a:ext uri="{FF2B5EF4-FFF2-40B4-BE49-F238E27FC236}">
              <a16:creationId xmlns:a16="http://schemas.microsoft.com/office/drawing/2014/main" id="{85FD28BF-938B-40A0-8369-37A0F8A73DE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7" name="AutoShape 177" descr="USA">
          <a:hlinkClick xmlns:r="http://schemas.openxmlformats.org/officeDocument/2006/relationships" r:id="rId174"/>
          <a:extLst>
            <a:ext uri="{FF2B5EF4-FFF2-40B4-BE49-F238E27FC236}">
              <a16:creationId xmlns:a16="http://schemas.microsoft.com/office/drawing/2014/main" id="{9188B8F7-0C22-43CF-B905-F4A10FE9F7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8" name="AutoShape 177" descr="USA">
          <a:hlinkClick xmlns:r="http://schemas.openxmlformats.org/officeDocument/2006/relationships" r:id="rId174"/>
          <a:extLst>
            <a:ext uri="{FF2B5EF4-FFF2-40B4-BE49-F238E27FC236}">
              <a16:creationId xmlns:a16="http://schemas.microsoft.com/office/drawing/2014/main" id="{9FB3A5D2-DDEA-404A-98F3-EE86EC6342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19" name="AutoShape 177" descr="USA">
          <a:hlinkClick xmlns:r="http://schemas.openxmlformats.org/officeDocument/2006/relationships" r:id="rId174"/>
          <a:extLst>
            <a:ext uri="{FF2B5EF4-FFF2-40B4-BE49-F238E27FC236}">
              <a16:creationId xmlns:a16="http://schemas.microsoft.com/office/drawing/2014/main" id="{50F508D8-A58C-46AF-8868-0914728BBBE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20" name="AutoShape 177" descr="USA">
          <a:hlinkClick xmlns:r="http://schemas.openxmlformats.org/officeDocument/2006/relationships" r:id="rId174"/>
          <a:extLst>
            <a:ext uri="{FF2B5EF4-FFF2-40B4-BE49-F238E27FC236}">
              <a16:creationId xmlns:a16="http://schemas.microsoft.com/office/drawing/2014/main" id="{73E42490-AB40-4B67-A344-92F38B6D80D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21" name="AutoShape 177" descr="USA">
          <a:hlinkClick xmlns:r="http://schemas.openxmlformats.org/officeDocument/2006/relationships" r:id="rId174"/>
          <a:extLst>
            <a:ext uri="{FF2B5EF4-FFF2-40B4-BE49-F238E27FC236}">
              <a16:creationId xmlns:a16="http://schemas.microsoft.com/office/drawing/2014/main" id="{F258146F-E3C2-477F-AB94-847F037FEC3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99</xdr:row>
      <xdr:rowOff>0</xdr:rowOff>
    </xdr:from>
    <xdr:ext cx="304800" cy="317500"/>
    <xdr:sp macro="" textlink="">
      <xdr:nvSpPr>
        <xdr:cNvPr id="1422" name="AutoShape 177" descr="USA">
          <a:hlinkClick xmlns:r="http://schemas.openxmlformats.org/officeDocument/2006/relationships" r:id="rId174"/>
          <a:extLst>
            <a:ext uri="{FF2B5EF4-FFF2-40B4-BE49-F238E27FC236}">
              <a16:creationId xmlns:a16="http://schemas.microsoft.com/office/drawing/2014/main" id="{BDA3A1AF-C47A-48DA-BFD7-DA9AB390EE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23" name="AutoShape 177" descr="USA">
          <a:hlinkClick xmlns:r="http://schemas.openxmlformats.org/officeDocument/2006/relationships" r:id="rId174"/>
          <a:extLst>
            <a:ext uri="{FF2B5EF4-FFF2-40B4-BE49-F238E27FC236}">
              <a16:creationId xmlns:a16="http://schemas.microsoft.com/office/drawing/2014/main" id="{326EF561-9C2F-42FF-9AED-95033417CD3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4" name="AutoShape 171" descr="USA">
          <a:hlinkClick xmlns:r="http://schemas.openxmlformats.org/officeDocument/2006/relationships" r:id="rId165"/>
          <a:extLst>
            <a:ext uri="{FF2B5EF4-FFF2-40B4-BE49-F238E27FC236}">
              <a16:creationId xmlns:a16="http://schemas.microsoft.com/office/drawing/2014/main" id="{6BF46F63-16B3-4E32-95E0-F63A79A99B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5" name="AutoShape 177" descr="USA">
          <a:hlinkClick xmlns:r="http://schemas.openxmlformats.org/officeDocument/2006/relationships" r:id="rId174"/>
          <a:extLst>
            <a:ext uri="{FF2B5EF4-FFF2-40B4-BE49-F238E27FC236}">
              <a16:creationId xmlns:a16="http://schemas.microsoft.com/office/drawing/2014/main" id="{CD406267-FC3C-4D70-B5EE-A26ACD0036C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6" name="AutoShape 177" descr="USA">
          <a:hlinkClick xmlns:r="http://schemas.openxmlformats.org/officeDocument/2006/relationships" r:id="rId174"/>
          <a:extLst>
            <a:ext uri="{FF2B5EF4-FFF2-40B4-BE49-F238E27FC236}">
              <a16:creationId xmlns:a16="http://schemas.microsoft.com/office/drawing/2014/main" id="{AC40A506-ADC1-4581-822D-8CBF8607467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7" name="AutoShape 177" descr="USA">
          <a:hlinkClick xmlns:r="http://schemas.openxmlformats.org/officeDocument/2006/relationships" r:id="rId174"/>
          <a:extLst>
            <a:ext uri="{FF2B5EF4-FFF2-40B4-BE49-F238E27FC236}">
              <a16:creationId xmlns:a16="http://schemas.microsoft.com/office/drawing/2014/main" id="{A1BB545E-E9A2-4685-A5A3-73E0D8FCA48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8" name="AutoShape 177" descr="USA">
          <a:hlinkClick xmlns:r="http://schemas.openxmlformats.org/officeDocument/2006/relationships" r:id="rId174"/>
          <a:extLst>
            <a:ext uri="{FF2B5EF4-FFF2-40B4-BE49-F238E27FC236}">
              <a16:creationId xmlns:a16="http://schemas.microsoft.com/office/drawing/2014/main" id="{BBAD1828-50FA-4503-9A3D-BD0BFCB0C03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29" name="AutoShape 177" descr="USA">
          <a:hlinkClick xmlns:r="http://schemas.openxmlformats.org/officeDocument/2006/relationships" r:id="rId174"/>
          <a:extLst>
            <a:ext uri="{FF2B5EF4-FFF2-40B4-BE49-F238E27FC236}">
              <a16:creationId xmlns:a16="http://schemas.microsoft.com/office/drawing/2014/main" id="{7B009586-84F8-4BEE-B589-2B2661AA0F7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30" name="AutoShape 177" descr="USA">
          <a:hlinkClick xmlns:r="http://schemas.openxmlformats.org/officeDocument/2006/relationships" r:id="rId174"/>
          <a:extLst>
            <a:ext uri="{FF2B5EF4-FFF2-40B4-BE49-F238E27FC236}">
              <a16:creationId xmlns:a16="http://schemas.microsoft.com/office/drawing/2014/main" id="{0AF6FF46-154E-4E87-AF01-E9699C73144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100</xdr:row>
      <xdr:rowOff>0</xdr:rowOff>
    </xdr:from>
    <xdr:ext cx="304800" cy="317500"/>
    <xdr:sp macro="" textlink="">
      <xdr:nvSpPr>
        <xdr:cNvPr id="1431" name="AutoShape 177" descr="USA">
          <a:hlinkClick xmlns:r="http://schemas.openxmlformats.org/officeDocument/2006/relationships" r:id="rId174"/>
          <a:extLst>
            <a:ext uri="{FF2B5EF4-FFF2-40B4-BE49-F238E27FC236}">
              <a16:creationId xmlns:a16="http://schemas.microsoft.com/office/drawing/2014/main" id="{AC0F6321-B32E-4EF5-92CE-2CF79F4F3DF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32" name="AutoShape 177" descr="USA">
          <a:hlinkClick xmlns:r="http://schemas.openxmlformats.org/officeDocument/2006/relationships" r:id="rId174"/>
          <a:extLst>
            <a:ext uri="{FF2B5EF4-FFF2-40B4-BE49-F238E27FC236}">
              <a16:creationId xmlns:a16="http://schemas.microsoft.com/office/drawing/2014/main" id="{8FB62EA2-15E7-4264-AF96-F0D76C96A7D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3" name="AutoShape 171" descr="USA">
          <a:hlinkClick xmlns:r="http://schemas.openxmlformats.org/officeDocument/2006/relationships" r:id="rId165"/>
          <a:extLst>
            <a:ext uri="{FF2B5EF4-FFF2-40B4-BE49-F238E27FC236}">
              <a16:creationId xmlns:a16="http://schemas.microsoft.com/office/drawing/2014/main" id="{F6D9EF5A-1BCE-44FC-84F8-6C05D9C4C60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4" name="AutoShape 177" descr="USA">
          <a:hlinkClick xmlns:r="http://schemas.openxmlformats.org/officeDocument/2006/relationships" r:id="rId174"/>
          <a:extLst>
            <a:ext uri="{FF2B5EF4-FFF2-40B4-BE49-F238E27FC236}">
              <a16:creationId xmlns:a16="http://schemas.microsoft.com/office/drawing/2014/main" id="{DEE258B3-3E51-493E-9FCD-681DE8C5707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5" name="AutoShape 177" descr="USA">
          <a:hlinkClick xmlns:r="http://schemas.openxmlformats.org/officeDocument/2006/relationships" r:id="rId174"/>
          <a:extLst>
            <a:ext uri="{FF2B5EF4-FFF2-40B4-BE49-F238E27FC236}">
              <a16:creationId xmlns:a16="http://schemas.microsoft.com/office/drawing/2014/main" id="{F86651A6-86A6-40F2-B986-41EB2AC3EEA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6" name="AutoShape 177" descr="USA">
          <a:hlinkClick xmlns:r="http://schemas.openxmlformats.org/officeDocument/2006/relationships" r:id="rId174"/>
          <a:extLst>
            <a:ext uri="{FF2B5EF4-FFF2-40B4-BE49-F238E27FC236}">
              <a16:creationId xmlns:a16="http://schemas.microsoft.com/office/drawing/2014/main" id="{58944190-A680-4249-88A7-A25A667FEE2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7" name="AutoShape 177" descr="USA">
          <a:hlinkClick xmlns:r="http://schemas.openxmlformats.org/officeDocument/2006/relationships" r:id="rId174"/>
          <a:extLst>
            <a:ext uri="{FF2B5EF4-FFF2-40B4-BE49-F238E27FC236}">
              <a16:creationId xmlns:a16="http://schemas.microsoft.com/office/drawing/2014/main" id="{C67F7242-217C-4124-9A0D-C6D4EA79AE5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8" name="AutoShape 177" descr="USA">
          <a:hlinkClick xmlns:r="http://schemas.openxmlformats.org/officeDocument/2006/relationships" r:id="rId174"/>
          <a:extLst>
            <a:ext uri="{FF2B5EF4-FFF2-40B4-BE49-F238E27FC236}">
              <a16:creationId xmlns:a16="http://schemas.microsoft.com/office/drawing/2014/main" id="{010428CA-20D3-4321-A989-1CEE2C2A588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39" name="AutoShape 177" descr="USA">
          <a:hlinkClick xmlns:r="http://schemas.openxmlformats.org/officeDocument/2006/relationships" r:id="rId174"/>
          <a:extLst>
            <a:ext uri="{FF2B5EF4-FFF2-40B4-BE49-F238E27FC236}">
              <a16:creationId xmlns:a16="http://schemas.microsoft.com/office/drawing/2014/main" id="{A690848E-D445-42F6-9926-65C7175BAE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101</xdr:row>
      <xdr:rowOff>0</xdr:rowOff>
    </xdr:from>
    <xdr:ext cx="304800" cy="317500"/>
    <xdr:sp macro="" textlink="">
      <xdr:nvSpPr>
        <xdr:cNvPr id="1440" name="AutoShape 177" descr="USA">
          <a:hlinkClick xmlns:r="http://schemas.openxmlformats.org/officeDocument/2006/relationships" r:id="rId174"/>
          <a:extLst>
            <a:ext uri="{FF2B5EF4-FFF2-40B4-BE49-F238E27FC236}">
              <a16:creationId xmlns:a16="http://schemas.microsoft.com/office/drawing/2014/main" id="{A3F68B74-E2EE-48D2-8AE6-57E8B92E533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41" name="AutoShape 177" descr="USA">
          <a:hlinkClick xmlns:r="http://schemas.openxmlformats.org/officeDocument/2006/relationships" r:id="rId174"/>
          <a:extLst>
            <a:ext uri="{FF2B5EF4-FFF2-40B4-BE49-F238E27FC236}">
              <a16:creationId xmlns:a16="http://schemas.microsoft.com/office/drawing/2014/main" id="{585CF778-7184-45D5-85F5-CA4BCF6078F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2" name="AutoShape 171" descr="USA">
          <a:hlinkClick xmlns:r="http://schemas.openxmlformats.org/officeDocument/2006/relationships" r:id="rId165"/>
          <a:extLst>
            <a:ext uri="{FF2B5EF4-FFF2-40B4-BE49-F238E27FC236}">
              <a16:creationId xmlns:a16="http://schemas.microsoft.com/office/drawing/2014/main" id="{B49394DD-2B91-431E-BB61-BA43F136BA1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3" name="AutoShape 177" descr="USA">
          <a:hlinkClick xmlns:r="http://schemas.openxmlformats.org/officeDocument/2006/relationships" r:id="rId174"/>
          <a:extLst>
            <a:ext uri="{FF2B5EF4-FFF2-40B4-BE49-F238E27FC236}">
              <a16:creationId xmlns:a16="http://schemas.microsoft.com/office/drawing/2014/main" id="{97C3EBAD-30BB-41A9-942C-48BED278A56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4" name="AutoShape 177" descr="USA">
          <a:hlinkClick xmlns:r="http://schemas.openxmlformats.org/officeDocument/2006/relationships" r:id="rId174"/>
          <a:extLst>
            <a:ext uri="{FF2B5EF4-FFF2-40B4-BE49-F238E27FC236}">
              <a16:creationId xmlns:a16="http://schemas.microsoft.com/office/drawing/2014/main" id="{2A71EA36-7E59-431B-8F25-824A14148CC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5" name="AutoShape 177" descr="USA">
          <a:hlinkClick xmlns:r="http://schemas.openxmlformats.org/officeDocument/2006/relationships" r:id="rId174"/>
          <a:extLst>
            <a:ext uri="{FF2B5EF4-FFF2-40B4-BE49-F238E27FC236}">
              <a16:creationId xmlns:a16="http://schemas.microsoft.com/office/drawing/2014/main" id="{10D8770B-6CED-460D-86D0-8DFDA3BE76C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6" name="AutoShape 177" descr="USA">
          <a:hlinkClick xmlns:r="http://schemas.openxmlformats.org/officeDocument/2006/relationships" r:id="rId174"/>
          <a:extLst>
            <a:ext uri="{FF2B5EF4-FFF2-40B4-BE49-F238E27FC236}">
              <a16:creationId xmlns:a16="http://schemas.microsoft.com/office/drawing/2014/main" id="{F84BC482-2089-46A4-9715-42C4BBFC713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7" name="AutoShape 177" descr="USA">
          <a:hlinkClick xmlns:r="http://schemas.openxmlformats.org/officeDocument/2006/relationships" r:id="rId174"/>
          <a:extLst>
            <a:ext uri="{FF2B5EF4-FFF2-40B4-BE49-F238E27FC236}">
              <a16:creationId xmlns:a16="http://schemas.microsoft.com/office/drawing/2014/main" id="{62AF4640-1EF3-4AC8-BD6B-1AE12557059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8" name="AutoShape 177" descr="USA">
          <a:hlinkClick xmlns:r="http://schemas.openxmlformats.org/officeDocument/2006/relationships" r:id="rId174"/>
          <a:extLst>
            <a:ext uri="{FF2B5EF4-FFF2-40B4-BE49-F238E27FC236}">
              <a16:creationId xmlns:a16="http://schemas.microsoft.com/office/drawing/2014/main" id="{8A0DCEF8-6147-4164-90E6-CCF6BB4AA43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102</xdr:row>
      <xdr:rowOff>0</xdr:rowOff>
    </xdr:from>
    <xdr:ext cx="304800" cy="317500"/>
    <xdr:sp macro="" textlink="">
      <xdr:nvSpPr>
        <xdr:cNvPr id="1449" name="AutoShape 177" descr="USA">
          <a:hlinkClick xmlns:r="http://schemas.openxmlformats.org/officeDocument/2006/relationships" r:id="rId174"/>
          <a:extLst>
            <a:ext uri="{FF2B5EF4-FFF2-40B4-BE49-F238E27FC236}">
              <a16:creationId xmlns:a16="http://schemas.microsoft.com/office/drawing/2014/main" id="{30255366-C73A-4DC5-9BC9-71CF1AE3649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50" name="AutoShape 177" descr="USA">
          <a:hlinkClick xmlns:r="http://schemas.openxmlformats.org/officeDocument/2006/relationships" r:id="rId174"/>
          <a:extLst>
            <a:ext uri="{FF2B5EF4-FFF2-40B4-BE49-F238E27FC236}">
              <a16:creationId xmlns:a16="http://schemas.microsoft.com/office/drawing/2014/main" id="{13A24EBD-58B0-428E-8A3F-6907E38D64D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1" name="AutoShape 171" descr="USA">
          <a:hlinkClick xmlns:r="http://schemas.openxmlformats.org/officeDocument/2006/relationships" r:id="rId165"/>
          <a:extLst>
            <a:ext uri="{FF2B5EF4-FFF2-40B4-BE49-F238E27FC236}">
              <a16:creationId xmlns:a16="http://schemas.microsoft.com/office/drawing/2014/main" id="{808FE341-7D6C-47B5-9EC4-4322824EB24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2" name="AutoShape 177" descr="USA">
          <a:hlinkClick xmlns:r="http://schemas.openxmlformats.org/officeDocument/2006/relationships" r:id="rId174"/>
          <a:extLst>
            <a:ext uri="{FF2B5EF4-FFF2-40B4-BE49-F238E27FC236}">
              <a16:creationId xmlns:a16="http://schemas.microsoft.com/office/drawing/2014/main" id="{1D403155-D1C8-43FF-9AB4-D82F44E6113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3" name="AutoShape 177" descr="USA">
          <a:hlinkClick xmlns:r="http://schemas.openxmlformats.org/officeDocument/2006/relationships" r:id="rId174"/>
          <a:extLst>
            <a:ext uri="{FF2B5EF4-FFF2-40B4-BE49-F238E27FC236}">
              <a16:creationId xmlns:a16="http://schemas.microsoft.com/office/drawing/2014/main" id="{DB96918E-73D4-40ED-AEBF-590A19AACD3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4" name="AutoShape 177" descr="USA">
          <a:hlinkClick xmlns:r="http://schemas.openxmlformats.org/officeDocument/2006/relationships" r:id="rId174"/>
          <a:extLst>
            <a:ext uri="{FF2B5EF4-FFF2-40B4-BE49-F238E27FC236}">
              <a16:creationId xmlns:a16="http://schemas.microsoft.com/office/drawing/2014/main" id="{64428D92-D651-4BB9-B421-96C51E1FCE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5" name="AutoShape 177" descr="USA">
          <a:hlinkClick xmlns:r="http://schemas.openxmlformats.org/officeDocument/2006/relationships" r:id="rId174"/>
          <a:extLst>
            <a:ext uri="{FF2B5EF4-FFF2-40B4-BE49-F238E27FC236}">
              <a16:creationId xmlns:a16="http://schemas.microsoft.com/office/drawing/2014/main" id="{A0F99AE9-68FF-4AFE-84DC-C5CE6B060C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6" name="AutoShape 177" descr="USA">
          <a:hlinkClick xmlns:r="http://schemas.openxmlformats.org/officeDocument/2006/relationships" r:id="rId174"/>
          <a:extLst>
            <a:ext uri="{FF2B5EF4-FFF2-40B4-BE49-F238E27FC236}">
              <a16:creationId xmlns:a16="http://schemas.microsoft.com/office/drawing/2014/main" id="{40807B17-80D0-4588-B9EA-E6A381FB10B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7" name="AutoShape 177" descr="USA">
          <a:hlinkClick xmlns:r="http://schemas.openxmlformats.org/officeDocument/2006/relationships" r:id="rId174"/>
          <a:extLst>
            <a:ext uri="{FF2B5EF4-FFF2-40B4-BE49-F238E27FC236}">
              <a16:creationId xmlns:a16="http://schemas.microsoft.com/office/drawing/2014/main" id="{9737DABB-E1ED-4C01-A5B5-A73470B0AFC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103</xdr:row>
      <xdr:rowOff>0</xdr:rowOff>
    </xdr:from>
    <xdr:ext cx="304800" cy="317500"/>
    <xdr:sp macro="" textlink="">
      <xdr:nvSpPr>
        <xdr:cNvPr id="1458" name="AutoShape 177" descr="USA">
          <a:hlinkClick xmlns:r="http://schemas.openxmlformats.org/officeDocument/2006/relationships" r:id="rId174"/>
          <a:extLst>
            <a:ext uri="{FF2B5EF4-FFF2-40B4-BE49-F238E27FC236}">
              <a16:creationId xmlns:a16="http://schemas.microsoft.com/office/drawing/2014/main" id="{9C2348FF-EA78-4A4A-B33D-0A6CF33330C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59" name="AutoShape 177" descr="USA">
          <a:hlinkClick xmlns:r="http://schemas.openxmlformats.org/officeDocument/2006/relationships" r:id="rId174"/>
          <a:extLst>
            <a:ext uri="{FF2B5EF4-FFF2-40B4-BE49-F238E27FC236}">
              <a16:creationId xmlns:a16="http://schemas.microsoft.com/office/drawing/2014/main" id="{9BE37A6E-A523-449B-9504-A5BA7D70C7E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0" name="AutoShape 171" descr="USA">
          <a:hlinkClick xmlns:r="http://schemas.openxmlformats.org/officeDocument/2006/relationships" r:id="rId165"/>
          <a:extLst>
            <a:ext uri="{FF2B5EF4-FFF2-40B4-BE49-F238E27FC236}">
              <a16:creationId xmlns:a16="http://schemas.microsoft.com/office/drawing/2014/main" id="{D82CA15B-E4B7-47FD-9483-F9ED6F6865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1" name="AutoShape 177" descr="USA">
          <a:hlinkClick xmlns:r="http://schemas.openxmlformats.org/officeDocument/2006/relationships" r:id="rId174"/>
          <a:extLst>
            <a:ext uri="{FF2B5EF4-FFF2-40B4-BE49-F238E27FC236}">
              <a16:creationId xmlns:a16="http://schemas.microsoft.com/office/drawing/2014/main" id="{34D1DB35-1794-4E8E-8B9E-93A02E1FB4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2" name="AutoShape 177" descr="USA">
          <a:hlinkClick xmlns:r="http://schemas.openxmlformats.org/officeDocument/2006/relationships" r:id="rId174"/>
          <a:extLst>
            <a:ext uri="{FF2B5EF4-FFF2-40B4-BE49-F238E27FC236}">
              <a16:creationId xmlns:a16="http://schemas.microsoft.com/office/drawing/2014/main" id="{72BBAF59-1AF3-427F-8335-E20C14E880B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3" name="AutoShape 177" descr="USA">
          <a:hlinkClick xmlns:r="http://schemas.openxmlformats.org/officeDocument/2006/relationships" r:id="rId174"/>
          <a:extLst>
            <a:ext uri="{FF2B5EF4-FFF2-40B4-BE49-F238E27FC236}">
              <a16:creationId xmlns:a16="http://schemas.microsoft.com/office/drawing/2014/main" id="{E71B8B68-3779-413B-84BC-296265946CB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4" name="AutoShape 177" descr="USA">
          <a:hlinkClick xmlns:r="http://schemas.openxmlformats.org/officeDocument/2006/relationships" r:id="rId174"/>
          <a:extLst>
            <a:ext uri="{FF2B5EF4-FFF2-40B4-BE49-F238E27FC236}">
              <a16:creationId xmlns:a16="http://schemas.microsoft.com/office/drawing/2014/main" id="{6277A360-855D-4D29-BF1D-5BBA671371F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5" name="AutoShape 177" descr="USA">
          <a:hlinkClick xmlns:r="http://schemas.openxmlformats.org/officeDocument/2006/relationships" r:id="rId174"/>
          <a:extLst>
            <a:ext uri="{FF2B5EF4-FFF2-40B4-BE49-F238E27FC236}">
              <a16:creationId xmlns:a16="http://schemas.microsoft.com/office/drawing/2014/main" id="{B5C52BC8-4D4C-4E72-904D-4454F1546C6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6" name="AutoShape 177" descr="USA">
          <a:hlinkClick xmlns:r="http://schemas.openxmlformats.org/officeDocument/2006/relationships" r:id="rId174"/>
          <a:extLst>
            <a:ext uri="{FF2B5EF4-FFF2-40B4-BE49-F238E27FC236}">
              <a16:creationId xmlns:a16="http://schemas.microsoft.com/office/drawing/2014/main" id="{1259AE04-B019-426D-9AFD-617A4D5CD51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104</xdr:row>
      <xdr:rowOff>0</xdr:rowOff>
    </xdr:from>
    <xdr:ext cx="304800" cy="317500"/>
    <xdr:sp macro="" textlink="">
      <xdr:nvSpPr>
        <xdr:cNvPr id="1467" name="AutoShape 177" descr="USA">
          <a:hlinkClick xmlns:r="http://schemas.openxmlformats.org/officeDocument/2006/relationships" r:id="rId174"/>
          <a:extLst>
            <a:ext uri="{FF2B5EF4-FFF2-40B4-BE49-F238E27FC236}">
              <a16:creationId xmlns:a16="http://schemas.microsoft.com/office/drawing/2014/main" id="{2378C6F7-8F0D-46BC-9F02-22860B346C4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68" name="AutoShape 177" descr="USA">
          <a:hlinkClick xmlns:r="http://schemas.openxmlformats.org/officeDocument/2006/relationships" r:id="rId174"/>
          <a:extLst>
            <a:ext uri="{FF2B5EF4-FFF2-40B4-BE49-F238E27FC236}">
              <a16:creationId xmlns:a16="http://schemas.microsoft.com/office/drawing/2014/main" id="{6FB38116-8BB3-4853-8C2B-CB11607C654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69" name="AutoShape 171" descr="USA">
          <a:hlinkClick xmlns:r="http://schemas.openxmlformats.org/officeDocument/2006/relationships" r:id="rId165"/>
          <a:extLst>
            <a:ext uri="{FF2B5EF4-FFF2-40B4-BE49-F238E27FC236}">
              <a16:creationId xmlns:a16="http://schemas.microsoft.com/office/drawing/2014/main" id="{61705C86-CA83-447A-8657-1340AD14D71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0" name="AutoShape 177" descr="USA">
          <a:hlinkClick xmlns:r="http://schemas.openxmlformats.org/officeDocument/2006/relationships" r:id="rId174"/>
          <a:extLst>
            <a:ext uri="{FF2B5EF4-FFF2-40B4-BE49-F238E27FC236}">
              <a16:creationId xmlns:a16="http://schemas.microsoft.com/office/drawing/2014/main" id="{47B09306-3F0C-48A8-B580-FB3DB87278E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1" name="AutoShape 177" descr="USA">
          <a:hlinkClick xmlns:r="http://schemas.openxmlformats.org/officeDocument/2006/relationships" r:id="rId174"/>
          <a:extLst>
            <a:ext uri="{FF2B5EF4-FFF2-40B4-BE49-F238E27FC236}">
              <a16:creationId xmlns:a16="http://schemas.microsoft.com/office/drawing/2014/main" id="{15348771-A583-4604-A11E-7D2F2EC334C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2" name="AutoShape 177" descr="USA">
          <a:hlinkClick xmlns:r="http://schemas.openxmlformats.org/officeDocument/2006/relationships" r:id="rId174"/>
          <a:extLst>
            <a:ext uri="{FF2B5EF4-FFF2-40B4-BE49-F238E27FC236}">
              <a16:creationId xmlns:a16="http://schemas.microsoft.com/office/drawing/2014/main" id="{D7808D81-217B-4A9B-AD48-993CCEB7171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3" name="AutoShape 177" descr="USA">
          <a:hlinkClick xmlns:r="http://schemas.openxmlformats.org/officeDocument/2006/relationships" r:id="rId174"/>
          <a:extLst>
            <a:ext uri="{FF2B5EF4-FFF2-40B4-BE49-F238E27FC236}">
              <a16:creationId xmlns:a16="http://schemas.microsoft.com/office/drawing/2014/main" id="{4D0737F0-B231-4B71-B1F7-9439D6C04ED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4" name="AutoShape 177" descr="USA">
          <a:hlinkClick xmlns:r="http://schemas.openxmlformats.org/officeDocument/2006/relationships" r:id="rId174"/>
          <a:extLst>
            <a:ext uri="{FF2B5EF4-FFF2-40B4-BE49-F238E27FC236}">
              <a16:creationId xmlns:a16="http://schemas.microsoft.com/office/drawing/2014/main" id="{31F1DAB0-3310-4F1B-9218-99165F08529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5" name="AutoShape 177" descr="USA">
          <a:hlinkClick xmlns:r="http://schemas.openxmlformats.org/officeDocument/2006/relationships" r:id="rId174"/>
          <a:extLst>
            <a:ext uri="{FF2B5EF4-FFF2-40B4-BE49-F238E27FC236}">
              <a16:creationId xmlns:a16="http://schemas.microsoft.com/office/drawing/2014/main" id="{B0A9B793-E325-4128-8F0E-A0CCC6E6921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105</xdr:row>
      <xdr:rowOff>0</xdr:rowOff>
    </xdr:from>
    <xdr:ext cx="304800" cy="317500"/>
    <xdr:sp macro="" textlink="">
      <xdr:nvSpPr>
        <xdr:cNvPr id="1476" name="AutoShape 177" descr="USA">
          <a:hlinkClick xmlns:r="http://schemas.openxmlformats.org/officeDocument/2006/relationships" r:id="rId174"/>
          <a:extLst>
            <a:ext uri="{FF2B5EF4-FFF2-40B4-BE49-F238E27FC236}">
              <a16:creationId xmlns:a16="http://schemas.microsoft.com/office/drawing/2014/main" id="{189B1A64-EF65-43DA-A09E-48DC5D4CB28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77" name="AutoShape 177" descr="USA">
          <a:hlinkClick xmlns:r="http://schemas.openxmlformats.org/officeDocument/2006/relationships" r:id="rId174"/>
          <a:extLst>
            <a:ext uri="{FF2B5EF4-FFF2-40B4-BE49-F238E27FC236}">
              <a16:creationId xmlns:a16="http://schemas.microsoft.com/office/drawing/2014/main" id="{F2AEB8B2-5E2B-48C0-ABF0-18F03FA11DB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78" name="AutoShape 171" descr="USA">
          <a:hlinkClick xmlns:r="http://schemas.openxmlformats.org/officeDocument/2006/relationships" r:id="rId165"/>
          <a:extLst>
            <a:ext uri="{FF2B5EF4-FFF2-40B4-BE49-F238E27FC236}">
              <a16:creationId xmlns:a16="http://schemas.microsoft.com/office/drawing/2014/main" id="{152F35BA-3142-48B2-BD46-FC4A71A9392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79" name="AutoShape 177" descr="USA">
          <a:hlinkClick xmlns:r="http://schemas.openxmlformats.org/officeDocument/2006/relationships" r:id="rId174"/>
          <a:extLst>
            <a:ext uri="{FF2B5EF4-FFF2-40B4-BE49-F238E27FC236}">
              <a16:creationId xmlns:a16="http://schemas.microsoft.com/office/drawing/2014/main" id="{FBAC2B41-87A4-42ED-A080-BA4FDCB199F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0" name="AutoShape 177" descr="USA">
          <a:hlinkClick xmlns:r="http://schemas.openxmlformats.org/officeDocument/2006/relationships" r:id="rId174"/>
          <a:extLst>
            <a:ext uri="{FF2B5EF4-FFF2-40B4-BE49-F238E27FC236}">
              <a16:creationId xmlns:a16="http://schemas.microsoft.com/office/drawing/2014/main" id="{DCD264C6-066C-417E-AAF9-8D23DF1E3EE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1" name="AutoShape 177" descr="USA">
          <a:hlinkClick xmlns:r="http://schemas.openxmlformats.org/officeDocument/2006/relationships" r:id="rId174"/>
          <a:extLst>
            <a:ext uri="{FF2B5EF4-FFF2-40B4-BE49-F238E27FC236}">
              <a16:creationId xmlns:a16="http://schemas.microsoft.com/office/drawing/2014/main" id="{FED4CF76-4990-46A4-A8E5-5CC6B5A161C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2" name="AutoShape 177" descr="USA">
          <a:hlinkClick xmlns:r="http://schemas.openxmlformats.org/officeDocument/2006/relationships" r:id="rId174"/>
          <a:extLst>
            <a:ext uri="{FF2B5EF4-FFF2-40B4-BE49-F238E27FC236}">
              <a16:creationId xmlns:a16="http://schemas.microsoft.com/office/drawing/2014/main" id="{1E80BF11-65B4-4B74-982A-124064A84E6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3" name="AutoShape 177" descr="USA">
          <a:hlinkClick xmlns:r="http://schemas.openxmlformats.org/officeDocument/2006/relationships" r:id="rId174"/>
          <a:extLst>
            <a:ext uri="{FF2B5EF4-FFF2-40B4-BE49-F238E27FC236}">
              <a16:creationId xmlns:a16="http://schemas.microsoft.com/office/drawing/2014/main" id="{37D29E9B-E596-4C57-9D50-B9F24E464C2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4" name="AutoShape 177" descr="USA">
          <a:hlinkClick xmlns:r="http://schemas.openxmlformats.org/officeDocument/2006/relationships" r:id="rId174"/>
          <a:extLst>
            <a:ext uri="{FF2B5EF4-FFF2-40B4-BE49-F238E27FC236}">
              <a16:creationId xmlns:a16="http://schemas.microsoft.com/office/drawing/2014/main" id="{152F9E81-AB1B-445F-9CB7-42BF19B0D7E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106</xdr:row>
      <xdr:rowOff>0</xdr:rowOff>
    </xdr:from>
    <xdr:ext cx="304800" cy="317500"/>
    <xdr:sp macro="" textlink="">
      <xdr:nvSpPr>
        <xdr:cNvPr id="1485" name="AutoShape 177" descr="USA">
          <a:hlinkClick xmlns:r="http://schemas.openxmlformats.org/officeDocument/2006/relationships" r:id="rId174"/>
          <a:extLst>
            <a:ext uri="{FF2B5EF4-FFF2-40B4-BE49-F238E27FC236}">
              <a16:creationId xmlns:a16="http://schemas.microsoft.com/office/drawing/2014/main" id="{44AAC5EE-3A22-409A-A1F6-2DD89CCD38B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86" name="AutoShape 177" descr="USA">
          <a:hlinkClick xmlns:r="http://schemas.openxmlformats.org/officeDocument/2006/relationships" r:id="rId174"/>
          <a:extLst>
            <a:ext uri="{FF2B5EF4-FFF2-40B4-BE49-F238E27FC236}">
              <a16:creationId xmlns:a16="http://schemas.microsoft.com/office/drawing/2014/main" id="{FF82073A-627B-4D4E-8182-31AC835C881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87" name="AutoShape 171" descr="USA">
          <a:hlinkClick xmlns:r="http://schemas.openxmlformats.org/officeDocument/2006/relationships" r:id="rId165"/>
          <a:extLst>
            <a:ext uri="{FF2B5EF4-FFF2-40B4-BE49-F238E27FC236}">
              <a16:creationId xmlns:a16="http://schemas.microsoft.com/office/drawing/2014/main" id="{23083CEF-253D-4CB3-91F3-01B365BAF66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88" name="AutoShape 177" descr="USA">
          <a:hlinkClick xmlns:r="http://schemas.openxmlformats.org/officeDocument/2006/relationships" r:id="rId174"/>
          <a:extLst>
            <a:ext uri="{FF2B5EF4-FFF2-40B4-BE49-F238E27FC236}">
              <a16:creationId xmlns:a16="http://schemas.microsoft.com/office/drawing/2014/main" id="{527137A7-051E-46BC-8140-D703E0A96D7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89" name="AutoShape 177" descr="USA">
          <a:hlinkClick xmlns:r="http://schemas.openxmlformats.org/officeDocument/2006/relationships" r:id="rId174"/>
          <a:extLst>
            <a:ext uri="{FF2B5EF4-FFF2-40B4-BE49-F238E27FC236}">
              <a16:creationId xmlns:a16="http://schemas.microsoft.com/office/drawing/2014/main" id="{858900B2-FAFF-4C47-A94F-4D4CEFC9D37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0" name="AutoShape 177" descr="USA">
          <a:hlinkClick xmlns:r="http://schemas.openxmlformats.org/officeDocument/2006/relationships" r:id="rId174"/>
          <a:extLst>
            <a:ext uri="{FF2B5EF4-FFF2-40B4-BE49-F238E27FC236}">
              <a16:creationId xmlns:a16="http://schemas.microsoft.com/office/drawing/2014/main" id="{0045C825-F37E-48EC-BB9B-33D54A18736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1" name="AutoShape 177" descr="USA">
          <a:hlinkClick xmlns:r="http://schemas.openxmlformats.org/officeDocument/2006/relationships" r:id="rId174"/>
          <a:extLst>
            <a:ext uri="{FF2B5EF4-FFF2-40B4-BE49-F238E27FC236}">
              <a16:creationId xmlns:a16="http://schemas.microsoft.com/office/drawing/2014/main" id="{57DC528E-A040-4DD4-8C09-60C8BEB7B9E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2" name="AutoShape 177" descr="USA">
          <a:hlinkClick xmlns:r="http://schemas.openxmlformats.org/officeDocument/2006/relationships" r:id="rId174"/>
          <a:extLst>
            <a:ext uri="{FF2B5EF4-FFF2-40B4-BE49-F238E27FC236}">
              <a16:creationId xmlns:a16="http://schemas.microsoft.com/office/drawing/2014/main" id="{7EB65794-C6CA-441A-B197-9F148494AF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3" name="AutoShape 177" descr="USA">
          <a:hlinkClick xmlns:r="http://schemas.openxmlformats.org/officeDocument/2006/relationships" r:id="rId174"/>
          <a:extLst>
            <a:ext uri="{FF2B5EF4-FFF2-40B4-BE49-F238E27FC236}">
              <a16:creationId xmlns:a16="http://schemas.microsoft.com/office/drawing/2014/main" id="{67D5B7BF-1DF5-4223-AAB9-A5A43C59DDB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107</xdr:row>
      <xdr:rowOff>0</xdr:rowOff>
    </xdr:from>
    <xdr:ext cx="304800" cy="317500"/>
    <xdr:sp macro="" textlink="">
      <xdr:nvSpPr>
        <xdr:cNvPr id="1494" name="AutoShape 177" descr="USA">
          <a:hlinkClick xmlns:r="http://schemas.openxmlformats.org/officeDocument/2006/relationships" r:id="rId174"/>
          <a:extLst>
            <a:ext uri="{FF2B5EF4-FFF2-40B4-BE49-F238E27FC236}">
              <a16:creationId xmlns:a16="http://schemas.microsoft.com/office/drawing/2014/main" id="{7FD36E83-8376-40A9-A328-6D1D03D360F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495" name="AutoShape 177" descr="USA">
          <a:hlinkClick xmlns:r="http://schemas.openxmlformats.org/officeDocument/2006/relationships" r:id="rId174"/>
          <a:extLst>
            <a:ext uri="{FF2B5EF4-FFF2-40B4-BE49-F238E27FC236}">
              <a16:creationId xmlns:a16="http://schemas.microsoft.com/office/drawing/2014/main" id="{58F3629F-7966-425A-862D-AFF3702C66C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6" name="AutoShape 171" descr="USA">
          <a:hlinkClick xmlns:r="http://schemas.openxmlformats.org/officeDocument/2006/relationships" r:id="rId165"/>
          <a:extLst>
            <a:ext uri="{FF2B5EF4-FFF2-40B4-BE49-F238E27FC236}">
              <a16:creationId xmlns:a16="http://schemas.microsoft.com/office/drawing/2014/main" id="{86EA284D-0CA8-4109-B046-D759E27CB8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7" name="AutoShape 177" descr="USA">
          <a:hlinkClick xmlns:r="http://schemas.openxmlformats.org/officeDocument/2006/relationships" r:id="rId174"/>
          <a:extLst>
            <a:ext uri="{FF2B5EF4-FFF2-40B4-BE49-F238E27FC236}">
              <a16:creationId xmlns:a16="http://schemas.microsoft.com/office/drawing/2014/main" id="{E6B323F6-8666-4077-BB37-0744FE3B309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8" name="AutoShape 177" descr="USA">
          <a:hlinkClick xmlns:r="http://schemas.openxmlformats.org/officeDocument/2006/relationships" r:id="rId174"/>
          <a:extLst>
            <a:ext uri="{FF2B5EF4-FFF2-40B4-BE49-F238E27FC236}">
              <a16:creationId xmlns:a16="http://schemas.microsoft.com/office/drawing/2014/main" id="{7BDDA34D-4080-4895-8209-A15A781E7DE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499" name="AutoShape 177" descr="USA">
          <a:hlinkClick xmlns:r="http://schemas.openxmlformats.org/officeDocument/2006/relationships" r:id="rId174"/>
          <a:extLst>
            <a:ext uri="{FF2B5EF4-FFF2-40B4-BE49-F238E27FC236}">
              <a16:creationId xmlns:a16="http://schemas.microsoft.com/office/drawing/2014/main" id="{6D8FE5D7-9E99-4160-B415-59030892744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0" name="AutoShape 177" descr="USA">
          <a:hlinkClick xmlns:r="http://schemas.openxmlformats.org/officeDocument/2006/relationships" r:id="rId174"/>
          <a:extLst>
            <a:ext uri="{FF2B5EF4-FFF2-40B4-BE49-F238E27FC236}">
              <a16:creationId xmlns:a16="http://schemas.microsoft.com/office/drawing/2014/main" id="{896B3C27-BFDA-474E-8232-042678E6471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1" name="AutoShape 177" descr="USA">
          <a:hlinkClick xmlns:r="http://schemas.openxmlformats.org/officeDocument/2006/relationships" r:id="rId174"/>
          <a:extLst>
            <a:ext uri="{FF2B5EF4-FFF2-40B4-BE49-F238E27FC236}">
              <a16:creationId xmlns:a16="http://schemas.microsoft.com/office/drawing/2014/main" id="{6B14FCB6-5A50-485E-9AFA-4BC424558D9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2" name="AutoShape 177" descr="USA">
          <a:hlinkClick xmlns:r="http://schemas.openxmlformats.org/officeDocument/2006/relationships" r:id="rId174"/>
          <a:extLst>
            <a:ext uri="{FF2B5EF4-FFF2-40B4-BE49-F238E27FC236}">
              <a16:creationId xmlns:a16="http://schemas.microsoft.com/office/drawing/2014/main" id="{2845A0FB-2E28-4CED-9752-9238A0E9D01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108</xdr:row>
      <xdr:rowOff>0</xdr:rowOff>
    </xdr:from>
    <xdr:ext cx="304800" cy="317500"/>
    <xdr:sp macro="" textlink="">
      <xdr:nvSpPr>
        <xdr:cNvPr id="1503" name="AutoShape 177" descr="USA">
          <a:hlinkClick xmlns:r="http://schemas.openxmlformats.org/officeDocument/2006/relationships" r:id="rId174"/>
          <a:extLst>
            <a:ext uri="{FF2B5EF4-FFF2-40B4-BE49-F238E27FC236}">
              <a16:creationId xmlns:a16="http://schemas.microsoft.com/office/drawing/2014/main" id="{A3D11774-E469-40C0-A21D-38A328B3ABA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04" name="AutoShape 177" descr="USA">
          <a:hlinkClick xmlns:r="http://schemas.openxmlformats.org/officeDocument/2006/relationships" r:id="rId174"/>
          <a:extLst>
            <a:ext uri="{FF2B5EF4-FFF2-40B4-BE49-F238E27FC236}">
              <a16:creationId xmlns:a16="http://schemas.microsoft.com/office/drawing/2014/main" id="{4C8C9D71-B408-49EA-8BB9-951B205FA1B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5" name="AutoShape 171" descr="USA">
          <a:hlinkClick xmlns:r="http://schemas.openxmlformats.org/officeDocument/2006/relationships" r:id="rId165"/>
          <a:extLst>
            <a:ext uri="{FF2B5EF4-FFF2-40B4-BE49-F238E27FC236}">
              <a16:creationId xmlns:a16="http://schemas.microsoft.com/office/drawing/2014/main" id="{A711DDD4-C411-4FF3-82B5-F351BA61509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6" name="AutoShape 177" descr="USA">
          <a:hlinkClick xmlns:r="http://schemas.openxmlformats.org/officeDocument/2006/relationships" r:id="rId174"/>
          <a:extLst>
            <a:ext uri="{FF2B5EF4-FFF2-40B4-BE49-F238E27FC236}">
              <a16:creationId xmlns:a16="http://schemas.microsoft.com/office/drawing/2014/main" id="{432FB6B0-37AB-4603-A773-1A7A8B57182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7" name="AutoShape 177" descr="USA">
          <a:hlinkClick xmlns:r="http://schemas.openxmlformats.org/officeDocument/2006/relationships" r:id="rId174"/>
          <a:extLst>
            <a:ext uri="{FF2B5EF4-FFF2-40B4-BE49-F238E27FC236}">
              <a16:creationId xmlns:a16="http://schemas.microsoft.com/office/drawing/2014/main" id="{C7B2B5A1-A20D-4D99-AA5C-0B09C271A78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8" name="AutoShape 177" descr="USA">
          <a:hlinkClick xmlns:r="http://schemas.openxmlformats.org/officeDocument/2006/relationships" r:id="rId174"/>
          <a:extLst>
            <a:ext uri="{FF2B5EF4-FFF2-40B4-BE49-F238E27FC236}">
              <a16:creationId xmlns:a16="http://schemas.microsoft.com/office/drawing/2014/main" id="{C21CC05B-11A2-4B16-9BD0-29ACF410CDA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09" name="AutoShape 177" descr="USA">
          <a:hlinkClick xmlns:r="http://schemas.openxmlformats.org/officeDocument/2006/relationships" r:id="rId174"/>
          <a:extLst>
            <a:ext uri="{FF2B5EF4-FFF2-40B4-BE49-F238E27FC236}">
              <a16:creationId xmlns:a16="http://schemas.microsoft.com/office/drawing/2014/main" id="{4E1752E8-AED6-4CC0-9E68-1575BFD9057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10" name="AutoShape 177" descr="USA">
          <a:hlinkClick xmlns:r="http://schemas.openxmlformats.org/officeDocument/2006/relationships" r:id="rId174"/>
          <a:extLst>
            <a:ext uri="{FF2B5EF4-FFF2-40B4-BE49-F238E27FC236}">
              <a16:creationId xmlns:a16="http://schemas.microsoft.com/office/drawing/2014/main" id="{21323887-4E0E-4B68-A108-65908A1B73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11" name="AutoShape 177" descr="USA">
          <a:hlinkClick xmlns:r="http://schemas.openxmlformats.org/officeDocument/2006/relationships" r:id="rId174"/>
          <a:extLst>
            <a:ext uri="{FF2B5EF4-FFF2-40B4-BE49-F238E27FC236}">
              <a16:creationId xmlns:a16="http://schemas.microsoft.com/office/drawing/2014/main" id="{CC1E6299-60B0-4360-8D81-44D7D083B68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109</xdr:row>
      <xdr:rowOff>0</xdr:rowOff>
    </xdr:from>
    <xdr:ext cx="304800" cy="317500"/>
    <xdr:sp macro="" textlink="">
      <xdr:nvSpPr>
        <xdr:cNvPr id="1512" name="AutoShape 177" descr="USA">
          <a:hlinkClick xmlns:r="http://schemas.openxmlformats.org/officeDocument/2006/relationships" r:id="rId174"/>
          <a:extLst>
            <a:ext uri="{FF2B5EF4-FFF2-40B4-BE49-F238E27FC236}">
              <a16:creationId xmlns:a16="http://schemas.microsoft.com/office/drawing/2014/main" id="{A387FBEA-2883-4D75-9B77-2B043F43445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13" name="AutoShape 177" descr="USA">
          <a:hlinkClick xmlns:r="http://schemas.openxmlformats.org/officeDocument/2006/relationships" r:id="rId174"/>
          <a:extLst>
            <a:ext uri="{FF2B5EF4-FFF2-40B4-BE49-F238E27FC236}">
              <a16:creationId xmlns:a16="http://schemas.microsoft.com/office/drawing/2014/main" id="{76F3B531-8F20-42DD-BF7C-81CE1356CEF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4" name="AutoShape 171" descr="USA">
          <a:hlinkClick xmlns:r="http://schemas.openxmlformats.org/officeDocument/2006/relationships" r:id="rId165"/>
          <a:extLst>
            <a:ext uri="{FF2B5EF4-FFF2-40B4-BE49-F238E27FC236}">
              <a16:creationId xmlns:a16="http://schemas.microsoft.com/office/drawing/2014/main" id="{D0B343F1-8156-4F9E-9195-3BF1248364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5" name="AutoShape 177" descr="USA">
          <a:hlinkClick xmlns:r="http://schemas.openxmlformats.org/officeDocument/2006/relationships" r:id="rId174"/>
          <a:extLst>
            <a:ext uri="{FF2B5EF4-FFF2-40B4-BE49-F238E27FC236}">
              <a16:creationId xmlns:a16="http://schemas.microsoft.com/office/drawing/2014/main" id="{5BA601E7-2E86-49D0-8A07-64DD09133C1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6" name="AutoShape 177" descr="USA">
          <a:hlinkClick xmlns:r="http://schemas.openxmlformats.org/officeDocument/2006/relationships" r:id="rId174"/>
          <a:extLst>
            <a:ext uri="{FF2B5EF4-FFF2-40B4-BE49-F238E27FC236}">
              <a16:creationId xmlns:a16="http://schemas.microsoft.com/office/drawing/2014/main" id="{3B7090E0-C69D-454F-9C43-0F675940327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7" name="AutoShape 177" descr="USA">
          <a:hlinkClick xmlns:r="http://schemas.openxmlformats.org/officeDocument/2006/relationships" r:id="rId174"/>
          <a:extLst>
            <a:ext uri="{FF2B5EF4-FFF2-40B4-BE49-F238E27FC236}">
              <a16:creationId xmlns:a16="http://schemas.microsoft.com/office/drawing/2014/main" id="{08BD14B7-A6DB-4148-8804-808322727C9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8" name="AutoShape 177" descr="USA">
          <a:hlinkClick xmlns:r="http://schemas.openxmlformats.org/officeDocument/2006/relationships" r:id="rId174"/>
          <a:extLst>
            <a:ext uri="{FF2B5EF4-FFF2-40B4-BE49-F238E27FC236}">
              <a16:creationId xmlns:a16="http://schemas.microsoft.com/office/drawing/2014/main" id="{3AD1FF59-644B-4BC5-AF8D-C24AD0DE21E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19" name="AutoShape 177" descr="USA">
          <a:hlinkClick xmlns:r="http://schemas.openxmlformats.org/officeDocument/2006/relationships" r:id="rId174"/>
          <a:extLst>
            <a:ext uri="{FF2B5EF4-FFF2-40B4-BE49-F238E27FC236}">
              <a16:creationId xmlns:a16="http://schemas.microsoft.com/office/drawing/2014/main" id="{47060A21-E699-4FE9-B401-41F8DD6A1C9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20" name="AutoShape 177" descr="USA">
          <a:hlinkClick xmlns:r="http://schemas.openxmlformats.org/officeDocument/2006/relationships" r:id="rId174"/>
          <a:extLst>
            <a:ext uri="{FF2B5EF4-FFF2-40B4-BE49-F238E27FC236}">
              <a16:creationId xmlns:a16="http://schemas.microsoft.com/office/drawing/2014/main" id="{25839945-BAF0-4AD4-BE05-3862D828DFD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110</xdr:row>
      <xdr:rowOff>0</xdr:rowOff>
    </xdr:from>
    <xdr:ext cx="304800" cy="317500"/>
    <xdr:sp macro="" textlink="">
      <xdr:nvSpPr>
        <xdr:cNvPr id="1521" name="AutoShape 177" descr="USA">
          <a:hlinkClick xmlns:r="http://schemas.openxmlformats.org/officeDocument/2006/relationships" r:id="rId174"/>
          <a:extLst>
            <a:ext uri="{FF2B5EF4-FFF2-40B4-BE49-F238E27FC236}">
              <a16:creationId xmlns:a16="http://schemas.microsoft.com/office/drawing/2014/main" id="{B22C9815-E9CD-4970-BBAE-70C52F304A0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22" name="AutoShape 177" descr="USA">
          <a:hlinkClick xmlns:r="http://schemas.openxmlformats.org/officeDocument/2006/relationships" r:id="rId174"/>
          <a:extLst>
            <a:ext uri="{FF2B5EF4-FFF2-40B4-BE49-F238E27FC236}">
              <a16:creationId xmlns:a16="http://schemas.microsoft.com/office/drawing/2014/main" id="{68A262D0-5917-450F-922B-92F2CF88CEE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3" name="AutoShape 171" descr="USA">
          <a:hlinkClick xmlns:r="http://schemas.openxmlformats.org/officeDocument/2006/relationships" r:id="rId165"/>
          <a:extLst>
            <a:ext uri="{FF2B5EF4-FFF2-40B4-BE49-F238E27FC236}">
              <a16:creationId xmlns:a16="http://schemas.microsoft.com/office/drawing/2014/main" id="{515B90D6-D261-4ABE-BB2A-FF6CDA5C8F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4" name="AutoShape 177" descr="USA">
          <a:hlinkClick xmlns:r="http://schemas.openxmlformats.org/officeDocument/2006/relationships" r:id="rId174"/>
          <a:extLst>
            <a:ext uri="{FF2B5EF4-FFF2-40B4-BE49-F238E27FC236}">
              <a16:creationId xmlns:a16="http://schemas.microsoft.com/office/drawing/2014/main" id="{7B8F83A7-A37F-4ADB-857D-F025F3AF1C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5" name="AutoShape 177" descr="USA">
          <a:hlinkClick xmlns:r="http://schemas.openxmlformats.org/officeDocument/2006/relationships" r:id="rId174"/>
          <a:extLst>
            <a:ext uri="{FF2B5EF4-FFF2-40B4-BE49-F238E27FC236}">
              <a16:creationId xmlns:a16="http://schemas.microsoft.com/office/drawing/2014/main" id="{62DC39BB-4336-4105-8F78-6C619C3924D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6" name="AutoShape 177" descr="USA">
          <a:hlinkClick xmlns:r="http://schemas.openxmlformats.org/officeDocument/2006/relationships" r:id="rId174"/>
          <a:extLst>
            <a:ext uri="{FF2B5EF4-FFF2-40B4-BE49-F238E27FC236}">
              <a16:creationId xmlns:a16="http://schemas.microsoft.com/office/drawing/2014/main" id="{27BC75AE-93A4-434C-B9E8-63FA2DDB0D4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7" name="AutoShape 177" descr="USA">
          <a:hlinkClick xmlns:r="http://schemas.openxmlformats.org/officeDocument/2006/relationships" r:id="rId174"/>
          <a:extLst>
            <a:ext uri="{FF2B5EF4-FFF2-40B4-BE49-F238E27FC236}">
              <a16:creationId xmlns:a16="http://schemas.microsoft.com/office/drawing/2014/main" id="{BB52C622-DD59-4AF4-87B4-4FC53D924AD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8" name="AutoShape 177" descr="USA">
          <a:hlinkClick xmlns:r="http://schemas.openxmlformats.org/officeDocument/2006/relationships" r:id="rId174"/>
          <a:extLst>
            <a:ext uri="{FF2B5EF4-FFF2-40B4-BE49-F238E27FC236}">
              <a16:creationId xmlns:a16="http://schemas.microsoft.com/office/drawing/2014/main" id="{55636619-EDA6-4555-A440-D20A9E9B88C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29" name="AutoShape 177" descr="USA">
          <a:hlinkClick xmlns:r="http://schemas.openxmlformats.org/officeDocument/2006/relationships" r:id="rId174"/>
          <a:extLst>
            <a:ext uri="{FF2B5EF4-FFF2-40B4-BE49-F238E27FC236}">
              <a16:creationId xmlns:a16="http://schemas.microsoft.com/office/drawing/2014/main" id="{13DE3073-AFAA-4DC2-B0F9-D3E0DD04F26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111</xdr:row>
      <xdr:rowOff>0</xdr:rowOff>
    </xdr:from>
    <xdr:ext cx="304800" cy="317500"/>
    <xdr:sp macro="" textlink="">
      <xdr:nvSpPr>
        <xdr:cNvPr id="1530" name="AutoShape 177" descr="USA">
          <a:hlinkClick xmlns:r="http://schemas.openxmlformats.org/officeDocument/2006/relationships" r:id="rId174"/>
          <a:extLst>
            <a:ext uri="{FF2B5EF4-FFF2-40B4-BE49-F238E27FC236}">
              <a16:creationId xmlns:a16="http://schemas.microsoft.com/office/drawing/2014/main" id="{71A9778C-5CAD-4C63-B690-72489327C02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31" name="AutoShape 177" descr="USA">
          <a:hlinkClick xmlns:r="http://schemas.openxmlformats.org/officeDocument/2006/relationships" r:id="rId174"/>
          <a:extLst>
            <a:ext uri="{FF2B5EF4-FFF2-40B4-BE49-F238E27FC236}">
              <a16:creationId xmlns:a16="http://schemas.microsoft.com/office/drawing/2014/main" id="{51C69713-C6E3-43D3-ADD6-D44C504E289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2" name="AutoShape 171" descr="USA">
          <a:hlinkClick xmlns:r="http://schemas.openxmlformats.org/officeDocument/2006/relationships" r:id="rId165"/>
          <a:extLst>
            <a:ext uri="{FF2B5EF4-FFF2-40B4-BE49-F238E27FC236}">
              <a16:creationId xmlns:a16="http://schemas.microsoft.com/office/drawing/2014/main" id="{3D4704AD-A1C9-4AE7-98BD-08D462FAA8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3" name="AutoShape 177" descr="USA">
          <a:hlinkClick xmlns:r="http://schemas.openxmlformats.org/officeDocument/2006/relationships" r:id="rId174"/>
          <a:extLst>
            <a:ext uri="{FF2B5EF4-FFF2-40B4-BE49-F238E27FC236}">
              <a16:creationId xmlns:a16="http://schemas.microsoft.com/office/drawing/2014/main" id="{A29F2BA4-837F-4212-9F09-4C495FCAA4A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4" name="AutoShape 177" descr="USA">
          <a:hlinkClick xmlns:r="http://schemas.openxmlformats.org/officeDocument/2006/relationships" r:id="rId174"/>
          <a:extLst>
            <a:ext uri="{FF2B5EF4-FFF2-40B4-BE49-F238E27FC236}">
              <a16:creationId xmlns:a16="http://schemas.microsoft.com/office/drawing/2014/main" id="{4678BEA6-2304-42C2-9087-327C307115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5" name="AutoShape 177" descr="USA">
          <a:hlinkClick xmlns:r="http://schemas.openxmlformats.org/officeDocument/2006/relationships" r:id="rId174"/>
          <a:extLst>
            <a:ext uri="{FF2B5EF4-FFF2-40B4-BE49-F238E27FC236}">
              <a16:creationId xmlns:a16="http://schemas.microsoft.com/office/drawing/2014/main" id="{E30D0905-F840-4198-BF4C-1EBE56A75A5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6" name="AutoShape 177" descr="USA">
          <a:hlinkClick xmlns:r="http://schemas.openxmlformats.org/officeDocument/2006/relationships" r:id="rId174"/>
          <a:extLst>
            <a:ext uri="{FF2B5EF4-FFF2-40B4-BE49-F238E27FC236}">
              <a16:creationId xmlns:a16="http://schemas.microsoft.com/office/drawing/2014/main" id="{86130769-1712-4CCC-9F10-13D8BE4EAB4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7" name="AutoShape 177" descr="USA">
          <a:hlinkClick xmlns:r="http://schemas.openxmlformats.org/officeDocument/2006/relationships" r:id="rId174"/>
          <a:extLst>
            <a:ext uri="{FF2B5EF4-FFF2-40B4-BE49-F238E27FC236}">
              <a16:creationId xmlns:a16="http://schemas.microsoft.com/office/drawing/2014/main" id="{06C07FB6-326E-4787-B911-71AC50AE396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8" name="AutoShape 177" descr="USA">
          <a:hlinkClick xmlns:r="http://schemas.openxmlformats.org/officeDocument/2006/relationships" r:id="rId174"/>
          <a:extLst>
            <a:ext uri="{FF2B5EF4-FFF2-40B4-BE49-F238E27FC236}">
              <a16:creationId xmlns:a16="http://schemas.microsoft.com/office/drawing/2014/main" id="{76E56BF5-A607-45C3-9B2A-4C2A7223391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112</xdr:row>
      <xdr:rowOff>0</xdr:rowOff>
    </xdr:from>
    <xdr:ext cx="304800" cy="317500"/>
    <xdr:sp macro="" textlink="">
      <xdr:nvSpPr>
        <xdr:cNvPr id="1539" name="AutoShape 177" descr="USA">
          <a:hlinkClick xmlns:r="http://schemas.openxmlformats.org/officeDocument/2006/relationships" r:id="rId174"/>
          <a:extLst>
            <a:ext uri="{FF2B5EF4-FFF2-40B4-BE49-F238E27FC236}">
              <a16:creationId xmlns:a16="http://schemas.microsoft.com/office/drawing/2014/main" id="{4BFFA322-6CDE-4122-B8AB-70570F3A69C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40" name="AutoShape 177" descr="USA">
          <a:hlinkClick xmlns:r="http://schemas.openxmlformats.org/officeDocument/2006/relationships" r:id="rId174"/>
          <a:extLst>
            <a:ext uri="{FF2B5EF4-FFF2-40B4-BE49-F238E27FC236}">
              <a16:creationId xmlns:a16="http://schemas.microsoft.com/office/drawing/2014/main" id="{6C63F68C-EE0E-49AD-A5D7-185FA6ED452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1" name="AutoShape 171" descr="USA">
          <a:hlinkClick xmlns:r="http://schemas.openxmlformats.org/officeDocument/2006/relationships" r:id="rId165"/>
          <a:extLst>
            <a:ext uri="{FF2B5EF4-FFF2-40B4-BE49-F238E27FC236}">
              <a16:creationId xmlns:a16="http://schemas.microsoft.com/office/drawing/2014/main" id="{DF3E6948-8A1B-4E7D-8835-C9C100C77CA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2" name="AutoShape 177" descr="USA">
          <a:hlinkClick xmlns:r="http://schemas.openxmlformats.org/officeDocument/2006/relationships" r:id="rId174"/>
          <a:extLst>
            <a:ext uri="{FF2B5EF4-FFF2-40B4-BE49-F238E27FC236}">
              <a16:creationId xmlns:a16="http://schemas.microsoft.com/office/drawing/2014/main" id="{8FC5FCEE-3F6D-4A5D-9B45-906637DDECC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3" name="AutoShape 177" descr="USA">
          <a:hlinkClick xmlns:r="http://schemas.openxmlformats.org/officeDocument/2006/relationships" r:id="rId174"/>
          <a:extLst>
            <a:ext uri="{FF2B5EF4-FFF2-40B4-BE49-F238E27FC236}">
              <a16:creationId xmlns:a16="http://schemas.microsoft.com/office/drawing/2014/main" id="{7B63007E-52A8-44F4-88B6-D077BE6DC94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4" name="AutoShape 177" descr="USA">
          <a:hlinkClick xmlns:r="http://schemas.openxmlformats.org/officeDocument/2006/relationships" r:id="rId174"/>
          <a:extLst>
            <a:ext uri="{FF2B5EF4-FFF2-40B4-BE49-F238E27FC236}">
              <a16:creationId xmlns:a16="http://schemas.microsoft.com/office/drawing/2014/main" id="{9BFBBF57-5D7D-49F3-BDF2-117316BF7F5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5" name="AutoShape 177" descr="USA">
          <a:hlinkClick xmlns:r="http://schemas.openxmlformats.org/officeDocument/2006/relationships" r:id="rId174"/>
          <a:extLst>
            <a:ext uri="{FF2B5EF4-FFF2-40B4-BE49-F238E27FC236}">
              <a16:creationId xmlns:a16="http://schemas.microsoft.com/office/drawing/2014/main" id="{43ACC6A6-996B-4477-B5A7-704321AE409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6" name="AutoShape 177" descr="USA">
          <a:hlinkClick xmlns:r="http://schemas.openxmlformats.org/officeDocument/2006/relationships" r:id="rId174"/>
          <a:extLst>
            <a:ext uri="{FF2B5EF4-FFF2-40B4-BE49-F238E27FC236}">
              <a16:creationId xmlns:a16="http://schemas.microsoft.com/office/drawing/2014/main" id="{A39C03D7-A7C1-48AD-A042-585E76E19AF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7" name="AutoShape 177" descr="USA">
          <a:hlinkClick xmlns:r="http://schemas.openxmlformats.org/officeDocument/2006/relationships" r:id="rId174"/>
          <a:extLst>
            <a:ext uri="{FF2B5EF4-FFF2-40B4-BE49-F238E27FC236}">
              <a16:creationId xmlns:a16="http://schemas.microsoft.com/office/drawing/2014/main" id="{D5D461F5-7180-4F8A-9D8A-A78283CF242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113</xdr:row>
      <xdr:rowOff>0</xdr:rowOff>
    </xdr:from>
    <xdr:ext cx="304800" cy="317500"/>
    <xdr:sp macro="" textlink="">
      <xdr:nvSpPr>
        <xdr:cNvPr id="1548" name="AutoShape 177" descr="USA">
          <a:hlinkClick xmlns:r="http://schemas.openxmlformats.org/officeDocument/2006/relationships" r:id="rId174"/>
          <a:extLst>
            <a:ext uri="{FF2B5EF4-FFF2-40B4-BE49-F238E27FC236}">
              <a16:creationId xmlns:a16="http://schemas.microsoft.com/office/drawing/2014/main" id="{188E787A-E3DA-4014-A403-C66746A7D83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49" name="AutoShape 177" descr="USA">
          <a:hlinkClick xmlns:r="http://schemas.openxmlformats.org/officeDocument/2006/relationships" r:id="rId174"/>
          <a:extLst>
            <a:ext uri="{FF2B5EF4-FFF2-40B4-BE49-F238E27FC236}">
              <a16:creationId xmlns:a16="http://schemas.microsoft.com/office/drawing/2014/main" id="{C967694F-4ACC-44C1-A4D0-98EC3541602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0" name="AutoShape 171" descr="USA">
          <a:hlinkClick xmlns:r="http://schemas.openxmlformats.org/officeDocument/2006/relationships" r:id="rId165"/>
          <a:extLst>
            <a:ext uri="{FF2B5EF4-FFF2-40B4-BE49-F238E27FC236}">
              <a16:creationId xmlns:a16="http://schemas.microsoft.com/office/drawing/2014/main" id="{60D45772-D65B-4C97-91C8-826ED715F1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1" name="AutoShape 177" descr="USA">
          <a:hlinkClick xmlns:r="http://schemas.openxmlformats.org/officeDocument/2006/relationships" r:id="rId174"/>
          <a:extLst>
            <a:ext uri="{FF2B5EF4-FFF2-40B4-BE49-F238E27FC236}">
              <a16:creationId xmlns:a16="http://schemas.microsoft.com/office/drawing/2014/main" id="{B42644C6-9B85-497D-BDE3-D7F51B41CF6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2" name="AutoShape 177" descr="USA">
          <a:hlinkClick xmlns:r="http://schemas.openxmlformats.org/officeDocument/2006/relationships" r:id="rId174"/>
          <a:extLst>
            <a:ext uri="{FF2B5EF4-FFF2-40B4-BE49-F238E27FC236}">
              <a16:creationId xmlns:a16="http://schemas.microsoft.com/office/drawing/2014/main" id="{5CCDE8CB-DE12-4CEC-A7E7-79CE504C98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3" name="AutoShape 177" descr="USA">
          <a:hlinkClick xmlns:r="http://schemas.openxmlformats.org/officeDocument/2006/relationships" r:id="rId174"/>
          <a:extLst>
            <a:ext uri="{FF2B5EF4-FFF2-40B4-BE49-F238E27FC236}">
              <a16:creationId xmlns:a16="http://schemas.microsoft.com/office/drawing/2014/main" id="{5908733F-8E2F-4E44-B97B-805BA2D0F80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4" name="AutoShape 177" descr="USA">
          <a:hlinkClick xmlns:r="http://schemas.openxmlformats.org/officeDocument/2006/relationships" r:id="rId174"/>
          <a:extLst>
            <a:ext uri="{FF2B5EF4-FFF2-40B4-BE49-F238E27FC236}">
              <a16:creationId xmlns:a16="http://schemas.microsoft.com/office/drawing/2014/main" id="{2EDC9EE0-A67C-4F4A-8AE2-7B098C87509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5" name="AutoShape 177" descr="USA">
          <a:hlinkClick xmlns:r="http://schemas.openxmlformats.org/officeDocument/2006/relationships" r:id="rId174"/>
          <a:extLst>
            <a:ext uri="{FF2B5EF4-FFF2-40B4-BE49-F238E27FC236}">
              <a16:creationId xmlns:a16="http://schemas.microsoft.com/office/drawing/2014/main" id="{0EDC5F7D-4FF0-4DF0-83C1-909EA0EC107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6" name="AutoShape 177" descr="USA">
          <a:hlinkClick xmlns:r="http://schemas.openxmlformats.org/officeDocument/2006/relationships" r:id="rId174"/>
          <a:extLst>
            <a:ext uri="{FF2B5EF4-FFF2-40B4-BE49-F238E27FC236}">
              <a16:creationId xmlns:a16="http://schemas.microsoft.com/office/drawing/2014/main" id="{893B3E09-CB88-481B-B3A1-3EF568304DA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114</xdr:row>
      <xdr:rowOff>0</xdr:rowOff>
    </xdr:from>
    <xdr:ext cx="304800" cy="317500"/>
    <xdr:sp macro="" textlink="">
      <xdr:nvSpPr>
        <xdr:cNvPr id="1557" name="AutoShape 177" descr="USA">
          <a:hlinkClick xmlns:r="http://schemas.openxmlformats.org/officeDocument/2006/relationships" r:id="rId174"/>
          <a:extLst>
            <a:ext uri="{FF2B5EF4-FFF2-40B4-BE49-F238E27FC236}">
              <a16:creationId xmlns:a16="http://schemas.microsoft.com/office/drawing/2014/main" id="{8B99BAA5-D7E5-467D-8172-E1C3A3641C6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58" name="AutoShape 177" descr="USA">
          <a:hlinkClick xmlns:r="http://schemas.openxmlformats.org/officeDocument/2006/relationships" r:id="rId174"/>
          <a:extLst>
            <a:ext uri="{FF2B5EF4-FFF2-40B4-BE49-F238E27FC236}">
              <a16:creationId xmlns:a16="http://schemas.microsoft.com/office/drawing/2014/main" id="{FAB7424D-C6C2-4B8E-A2E2-3C754448941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59" name="AutoShape 171" descr="USA">
          <a:hlinkClick xmlns:r="http://schemas.openxmlformats.org/officeDocument/2006/relationships" r:id="rId165"/>
          <a:extLst>
            <a:ext uri="{FF2B5EF4-FFF2-40B4-BE49-F238E27FC236}">
              <a16:creationId xmlns:a16="http://schemas.microsoft.com/office/drawing/2014/main" id="{94C67D2E-28A2-49B5-BB6F-B7E9C7830B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0" name="AutoShape 177" descr="USA">
          <a:hlinkClick xmlns:r="http://schemas.openxmlformats.org/officeDocument/2006/relationships" r:id="rId174"/>
          <a:extLst>
            <a:ext uri="{FF2B5EF4-FFF2-40B4-BE49-F238E27FC236}">
              <a16:creationId xmlns:a16="http://schemas.microsoft.com/office/drawing/2014/main" id="{6A71068B-780E-4E1F-B959-35F5EFEFA14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1" name="AutoShape 177" descr="USA">
          <a:hlinkClick xmlns:r="http://schemas.openxmlformats.org/officeDocument/2006/relationships" r:id="rId174"/>
          <a:extLst>
            <a:ext uri="{FF2B5EF4-FFF2-40B4-BE49-F238E27FC236}">
              <a16:creationId xmlns:a16="http://schemas.microsoft.com/office/drawing/2014/main" id="{F4F00696-1F1F-4F30-ADED-D38DF62BE55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2" name="AutoShape 177" descr="USA">
          <a:hlinkClick xmlns:r="http://schemas.openxmlformats.org/officeDocument/2006/relationships" r:id="rId174"/>
          <a:extLst>
            <a:ext uri="{FF2B5EF4-FFF2-40B4-BE49-F238E27FC236}">
              <a16:creationId xmlns:a16="http://schemas.microsoft.com/office/drawing/2014/main" id="{7BC3125A-12CD-4993-BFDD-222BA2B0AC1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3" name="AutoShape 177" descr="USA">
          <a:hlinkClick xmlns:r="http://schemas.openxmlformats.org/officeDocument/2006/relationships" r:id="rId174"/>
          <a:extLst>
            <a:ext uri="{FF2B5EF4-FFF2-40B4-BE49-F238E27FC236}">
              <a16:creationId xmlns:a16="http://schemas.microsoft.com/office/drawing/2014/main" id="{D5241247-2CD3-499A-8A85-4F300B46C2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4" name="AutoShape 177" descr="USA">
          <a:hlinkClick xmlns:r="http://schemas.openxmlformats.org/officeDocument/2006/relationships" r:id="rId174"/>
          <a:extLst>
            <a:ext uri="{FF2B5EF4-FFF2-40B4-BE49-F238E27FC236}">
              <a16:creationId xmlns:a16="http://schemas.microsoft.com/office/drawing/2014/main" id="{64BF22C2-7B00-4E97-B829-D87819689A0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5" name="AutoShape 177" descr="USA">
          <a:hlinkClick xmlns:r="http://schemas.openxmlformats.org/officeDocument/2006/relationships" r:id="rId174"/>
          <a:extLst>
            <a:ext uri="{FF2B5EF4-FFF2-40B4-BE49-F238E27FC236}">
              <a16:creationId xmlns:a16="http://schemas.microsoft.com/office/drawing/2014/main" id="{D1686C0D-92F1-47C8-949D-2AD0A4F60A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115</xdr:row>
      <xdr:rowOff>0</xdr:rowOff>
    </xdr:from>
    <xdr:ext cx="304800" cy="317500"/>
    <xdr:sp macro="" textlink="">
      <xdr:nvSpPr>
        <xdr:cNvPr id="1566" name="AutoShape 177" descr="USA">
          <a:hlinkClick xmlns:r="http://schemas.openxmlformats.org/officeDocument/2006/relationships" r:id="rId174"/>
          <a:extLst>
            <a:ext uri="{FF2B5EF4-FFF2-40B4-BE49-F238E27FC236}">
              <a16:creationId xmlns:a16="http://schemas.microsoft.com/office/drawing/2014/main" id="{3CDF7222-B129-4F4A-BE65-5FA8C120E96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67" name="AutoShape 177" descr="USA">
          <a:hlinkClick xmlns:r="http://schemas.openxmlformats.org/officeDocument/2006/relationships" r:id="rId174"/>
          <a:extLst>
            <a:ext uri="{FF2B5EF4-FFF2-40B4-BE49-F238E27FC236}">
              <a16:creationId xmlns:a16="http://schemas.microsoft.com/office/drawing/2014/main" id="{8D205013-B3E1-437D-9E63-2BC61FC031E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68" name="AutoShape 171" descr="USA">
          <a:hlinkClick xmlns:r="http://schemas.openxmlformats.org/officeDocument/2006/relationships" r:id="rId165"/>
          <a:extLst>
            <a:ext uri="{FF2B5EF4-FFF2-40B4-BE49-F238E27FC236}">
              <a16:creationId xmlns:a16="http://schemas.microsoft.com/office/drawing/2014/main" id="{0FBE7CCD-AEE6-4F97-99B4-545415C346F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69" name="AutoShape 177" descr="USA">
          <a:hlinkClick xmlns:r="http://schemas.openxmlformats.org/officeDocument/2006/relationships" r:id="rId174"/>
          <a:extLst>
            <a:ext uri="{FF2B5EF4-FFF2-40B4-BE49-F238E27FC236}">
              <a16:creationId xmlns:a16="http://schemas.microsoft.com/office/drawing/2014/main" id="{864DD0D9-8038-4F80-B0EC-2D7C5EF1B31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0" name="AutoShape 177" descr="USA">
          <a:hlinkClick xmlns:r="http://schemas.openxmlformats.org/officeDocument/2006/relationships" r:id="rId174"/>
          <a:extLst>
            <a:ext uri="{FF2B5EF4-FFF2-40B4-BE49-F238E27FC236}">
              <a16:creationId xmlns:a16="http://schemas.microsoft.com/office/drawing/2014/main" id="{13813B11-2FD1-4B8D-8FF3-107B8031240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1" name="AutoShape 177" descr="USA">
          <a:hlinkClick xmlns:r="http://schemas.openxmlformats.org/officeDocument/2006/relationships" r:id="rId174"/>
          <a:extLst>
            <a:ext uri="{FF2B5EF4-FFF2-40B4-BE49-F238E27FC236}">
              <a16:creationId xmlns:a16="http://schemas.microsoft.com/office/drawing/2014/main" id="{61D3F97E-EF9D-4D07-9B07-C0196AA559C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2" name="AutoShape 177" descr="USA">
          <a:hlinkClick xmlns:r="http://schemas.openxmlformats.org/officeDocument/2006/relationships" r:id="rId174"/>
          <a:extLst>
            <a:ext uri="{FF2B5EF4-FFF2-40B4-BE49-F238E27FC236}">
              <a16:creationId xmlns:a16="http://schemas.microsoft.com/office/drawing/2014/main" id="{2539D93B-DCF8-48E5-9484-F31ACD5C2F8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3" name="AutoShape 177" descr="USA">
          <a:hlinkClick xmlns:r="http://schemas.openxmlformats.org/officeDocument/2006/relationships" r:id="rId174"/>
          <a:extLst>
            <a:ext uri="{FF2B5EF4-FFF2-40B4-BE49-F238E27FC236}">
              <a16:creationId xmlns:a16="http://schemas.microsoft.com/office/drawing/2014/main" id="{0E625046-0D86-4C8D-A907-F22282B1352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4" name="AutoShape 177" descr="USA">
          <a:hlinkClick xmlns:r="http://schemas.openxmlformats.org/officeDocument/2006/relationships" r:id="rId174"/>
          <a:extLst>
            <a:ext uri="{FF2B5EF4-FFF2-40B4-BE49-F238E27FC236}">
              <a16:creationId xmlns:a16="http://schemas.microsoft.com/office/drawing/2014/main" id="{78EAFE80-EEA1-4261-8A47-F8B1F38E308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116</xdr:row>
      <xdr:rowOff>0</xdr:rowOff>
    </xdr:from>
    <xdr:ext cx="304800" cy="317500"/>
    <xdr:sp macro="" textlink="">
      <xdr:nvSpPr>
        <xdr:cNvPr id="1575" name="AutoShape 177" descr="USA">
          <a:hlinkClick xmlns:r="http://schemas.openxmlformats.org/officeDocument/2006/relationships" r:id="rId174"/>
          <a:extLst>
            <a:ext uri="{FF2B5EF4-FFF2-40B4-BE49-F238E27FC236}">
              <a16:creationId xmlns:a16="http://schemas.microsoft.com/office/drawing/2014/main" id="{C26377D3-66F3-47C8-967D-1F54B229C66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76" name="AutoShape 177" descr="USA">
          <a:hlinkClick xmlns:r="http://schemas.openxmlformats.org/officeDocument/2006/relationships" r:id="rId174"/>
          <a:extLst>
            <a:ext uri="{FF2B5EF4-FFF2-40B4-BE49-F238E27FC236}">
              <a16:creationId xmlns:a16="http://schemas.microsoft.com/office/drawing/2014/main" id="{DB5353B5-783D-47A0-8BA5-90B80D9F7BF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77" name="AutoShape 171" descr="USA">
          <a:hlinkClick xmlns:r="http://schemas.openxmlformats.org/officeDocument/2006/relationships" r:id="rId165"/>
          <a:extLst>
            <a:ext uri="{FF2B5EF4-FFF2-40B4-BE49-F238E27FC236}">
              <a16:creationId xmlns:a16="http://schemas.microsoft.com/office/drawing/2014/main" id="{3D5E5947-EDF2-44CD-B409-0BBF13FFCB6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78" name="AutoShape 177" descr="USA">
          <a:hlinkClick xmlns:r="http://schemas.openxmlformats.org/officeDocument/2006/relationships" r:id="rId174"/>
          <a:extLst>
            <a:ext uri="{FF2B5EF4-FFF2-40B4-BE49-F238E27FC236}">
              <a16:creationId xmlns:a16="http://schemas.microsoft.com/office/drawing/2014/main" id="{3D74CB7A-A71F-4C99-93C4-580D6405FF2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79" name="AutoShape 177" descr="USA">
          <a:hlinkClick xmlns:r="http://schemas.openxmlformats.org/officeDocument/2006/relationships" r:id="rId174"/>
          <a:extLst>
            <a:ext uri="{FF2B5EF4-FFF2-40B4-BE49-F238E27FC236}">
              <a16:creationId xmlns:a16="http://schemas.microsoft.com/office/drawing/2014/main" id="{A3B94617-6283-44D0-977B-65F213B8554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0" name="AutoShape 177" descr="USA">
          <a:hlinkClick xmlns:r="http://schemas.openxmlformats.org/officeDocument/2006/relationships" r:id="rId174"/>
          <a:extLst>
            <a:ext uri="{FF2B5EF4-FFF2-40B4-BE49-F238E27FC236}">
              <a16:creationId xmlns:a16="http://schemas.microsoft.com/office/drawing/2014/main" id="{E5195F50-81B7-463E-8ADE-2ED20BC839F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1" name="AutoShape 177" descr="USA">
          <a:hlinkClick xmlns:r="http://schemas.openxmlformats.org/officeDocument/2006/relationships" r:id="rId174"/>
          <a:extLst>
            <a:ext uri="{FF2B5EF4-FFF2-40B4-BE49-F238E27FC236}">
              <a16:creationId xmlns:a16="http://schemas.microsoft.com/office/drawing/2014/main" id="{08C3AC16-2A71-4D0C-8B58-239DA8C19DF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2" name="AutoShape 177" descr="USA">
          <a:hlinkClick xmlns:r="http://schemas.openxmlformats.org/officeDocument/2006/relationships" r:id="rId174"/>
          <a:extLst>
            <a:ext uri="{FF2B5EF4-FFF2-40B4-BE49-F238E27FC236}">
              <a16:creationId xmlns:a16="http://schemas.microsoft.com/office/drawing/2014/main" id="{37D17BD6-EAAC-4EAC-86C3-C9541E6ED5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3" name="AutoShape 177" descr="USA">
          <a:hlinkClick xmlns:r="http://schemas.openxmlformats.org/officeDocument/2006/relationships" r:id="rId174"/>
          <a:extLst>
            <a:ext uri="{FF2B5EF4-FFF2-40B4-BE49-F238E27FC236}">
              <a16:creationId xmlns:a16="http://schemas.microsoft.com/office/drawing/2014/main" id="{E7C2D0EE-DC9C-4C0E-8C2C-6AAC6FC2601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117</xdr:row>
      <xdr:rowOff>0</xdr:rowOff>
    </xdr:from>
    <xdr:ext cx="304800" cy="317500"/>
    <xdr:sp macro="" textlink="">
      <xdr:nvSpPr>
        <xdr:cNvPr id="1584" name="AutoShape 177" descr="USA">
          <a:hlinkClick xmlns:r="http://schemas.openxmlformats.org/officeDocument/2006/relationships" r:id="rId174"/>
          <a:extLst>
            <a:ext uri="{FF2B5EF4-FFF2-40B4-BE49-F238E27FC236}">
              <a16:creationId xmlns:a16="http://schemas.microsoft.com/office/drawing/2014/main" id="{0505D1EB-02F5-455A-94C8-FEF60D85553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85" name="AutoShape 177" descr="USA">
          <a:hlinkClick xmlns:r="http://schemas.openxmlformats.org/officeDocument/2006/relationships" r:id="rId174"/>
          <a:extLst>
            <a:ext uri="{FF2B5EF4-FFF2-40B4-BE49-F238E27FC236}">
              <a16:creationId xmlns:a16="http://schemas.microsoft.com/office/drawing/2014/main" id="{446041C9-1192-4869-A3D8-C871739ADED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6" name="AutoShape 171" descr="USA">
          <a:hlinkClick xmlns:r="http://schemas.openxmlformats.org/officeDocument/2006/relationships" r:id="rId165"/>
          <a:extLst>
            <a:ext uri="{FF2B5EF4-FFF2-40B4-BE49-F238E27FC236}">
              <a16:creationId xmlns:a16="http://schemas.microsoft.com/office/drawing/2014/main" id="{8CA9E718-ADA3-491F-96AC-34EEED626C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7" name="AutoShape 177" descr="USA">
          <a:hlinkClick xmlns:r="http://schemas.openxmlformats.org/officeDocument/2006/relationships" r:id="rId174"/>
          <a:extLst>
            <a:ext uri="{FF2B5EF4-FFF2-40B4-BE49-F238E27FC236}">
              <a16:creationId xmlns:a16="http://schemas.microsoft.com/office/drawing/2014/main" id="{AB0FACEE-EF8B-469B-89D7-400A274CD31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8" name="AutoShape 177" descr="USA">
          <a:hlinkClick xmlns:r="http://schemas.openxmlformats.org/officeDocument/2006/relationships" r:id="rId174"/>
          <a:extLst>
            <a:ext uri="{FF2B5EF4-FFF2-40B4-BE49-F238E27FC236}">
              <a16:creationId xmlns:a16="http://schemas.microsoft.com/office/drawing/2014/main" id="{A1F09028-399F-4AD8-8C6D-19A872E2E1B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89" name="AutoShape 177" descr="USA">
          <a:hlinkClick xmlns:r="http://schemas.openxmlformats.org/officeDocument/2006/relationships" r:id="rId174"/>
          <a:extLst>
            <a:ext uri="{FF2B5EF4-FFF2-40B4-BE49-F238E27FC236}">
              <a16:creationId xmlns:a16="http://schemas.microsoft.com/office/drawing/2014/main" id="{88D04A6D-62B8-4647-BA3A-DF1F1E56602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0" name="AutoShape 177" descr="USA">
          <a:hlinkClick xmlns:r="http://schemas.openxmlformats.org/officeDocument/2006/relationships" r:id="rId174"/>
          <a:extLst>
            <a:ext uri="{FF2B5EF4-FFF2-40B4-BE49-F238E27FC236}">
              <a16:creationId xmlns:a16="http://schemas.microsoft.com/office/drawing/2014/main" id="{496F69BC-F779-4ACF-AFFC-3B21954856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1" name="AutoShape 177" descr="USA">
          <a:hlinkClick xmlns:r="http://schemas.openxmlformats.org/officeDocument/2006/relationships" r:id="rId174"/>
          <a:extLst>
            <a:ext uri="{FF2B5EF4-FFF2-40B4-BE49-F238E27FC236}">
              <a16:creationId xmlns:a16="http://schemas.microsoft.com/office/drawing/2014/main" id="{CE14C02F-3B7C-4031-8482-50ACAD67332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2" name="AutoShape 177" descr="USA">
          <a:hlinkClick xmlns:r="http://schemas.openxmlformats.org/officeDocument/2006/relationships" r:id="rId174"/>
          <a:extLst>
            <a:ext uri="{FF2B5EF4-FFF2-40B4-BE49-F238E27FC236}">
              <a16:creationId xmlns:a16="http://schemas.microsoft.com/office/drawing/2014/main" id="{40886EDD-9791-48DB-ADEF-495AE0A8AB0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118</xdr:row>
      <xdr:rowOff>0</xdr:rowOff>
    </xdr:from>
    <xdr:ext cx="304800" cy="317500"/>
    <xdr:sp macro="" textlink="">
      <xdr:nvSpPr>
        <xdr:cNvPr id="1593" name="AutoShape 177" descr="USA">
          <a:hlinkClick xmlns:r="http://schemas.openxmlformats.org/officeDocument/2006/relationships" r:id="rId174"/>
          <a:extLst>
            <a:ext uri="{FF2B5EF4-FFF2-40B4-BE49-F238E27FC236}">
              <a16:creationId xmlns:a16="http://schemas.microsoft.com/office/drawing/2014/main" id="{F4B43B68-8BEC-4EAF-9512-35D6EDDC85D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594" name="AutoShape 177" descr="USA">
          <a:hlinkClick xmlns:r="http://schemas.openxmlformats.org/officeDocument/2006/relationships" r:id="rId174"/>
          <a:extLst>
            <a:ext uri="{FF2B5EF4-FFF2-40B4-BE49-F238E27FC236}">
              <a16:creationId xmlns:a16="http://schemas.microsoft.com/office/drawing/2014/main" id="{9237F7BA-8DEC-458A-888F-08F9DE7A277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5" name="AutoShape 171" descr="USA">
          <a:hlinkClick xmlns:r="http://schemas.openxmlformats.org/officeDocument/2006/relationships" r:id="rId165"/>
          <a:extLst>
            <a:ext uri="{FF2B5EF4-FFF2-40B4-BE49-F238E27FC236}">
              <a16:creationId xmlns:a16="http://schemas.microsoft.com/office/drawing/2014/main" id="{2D3C6399-33A9-46D8-929A-539F3384BBE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6" name="AutoShape 177" descr="USA">
          <a:hlinkClick xmlns:r="http://schemas.openxmlformats.org/officeDocument/2006/relationships" r:id="rId174"/>
          <a:extLst>
            <a:ext uri="{FF2B5EF4-FFF2-40B4-BE49-F238E27FC236}">
              <a16:creationId xmlns:a16="http://schemas.microsoft.com/office/drawing/2014/main" id="{D65318A8-7B0A-4A2A-A699-B844186DF58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7" name="AutoShape 177" descr="USA">
          <a:hlinkClick xmlns:r="http://schemas.openxmlformats.org/officeDocument/2006/relationships" r:id="rId174"/>
          <a:extLst>
            <a:ext uri="{FF2B5EF4-FFF2-40B4-BE49-F238E27FC236}">
              <a16:creationId xmlns:a16="http://schemas.microsoft.com/office/drawing/2014/main" id="{30FDC59E-EDCD-4B90-BA52-4971F954281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8" name="AutoShape 177" descr="USA">
          <a:hlinkClick xmlns:r="http://schemas.openxmlformats.org/officeDocument/2006/relationships" r:id="rId174"/>
          <a:extLst>
            <a:ext uri="{FF2B5EF4-FFF2-40B4-BE49-F238E27FC236}">
              <a16:creationId xmlns:a16="http://schemas.microsoft.com/office/drawing/2014/main" id="{3595052E-9952-45C3-A718-BDE72BB0768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599" name="AutoShape 177" descr="USA">
          <a:hlinkClick xmlns:r="http://schemas.openxmlformats.org/officeDocument/2006/relationships" r:id="rId174"/>
          <a:extLst>
            <a:ext uri="{FF2B5EF4-FFF2-40B4-BE49-F238E27FC236}">
              <a16:creationId xmlns:a16="http://schemas.microsoft.com/office/drawing/2014/main" id="{355D7F5A-45D1-4CE4-A075-2DD881F2A86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600" name="AutoShape 177" descr="USA">
          <a:hlinkClick xmlns:r="http://schemas.openxmlformats.org/officeDocument/2006/relationships" r:id="rId174"/>
          <a:extLst>
            <a:ext uri="{FF2B5EF4-FFF2-40B4-BE49-F238E27FC236}">
              <a16:creationId xmlns:a16="http://schemas.microsoft.com/office/drawing/2014/main" id="{B17EAC55-72FB-4245-9F80-5637E696ED6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601" name="AutoShape 177" descr="USA">
          <a:hlinkClick xmlns:r="http://schemas.openxmlformats.org/officeDocument/2006/relationships" r:id="rId174"/>
          <a:extLst>
            <a:ext uri="{FF2B5EF4-FFF2-40B4-BE49-F238E27FC236}">
              <a16:creationId xmlns:a16="http://schemas.microsoft.com/office/drawing/2014/main" id="{13AAB45C-BA92-412E-953B-3A4BB5EACF0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119</xdr:row>
      <xdr:rowOff>0</xdr:rowOff>
    </xdr:from>
    <xdr:ext cx="304800" cy="317500"/>
    <xdr:sp macro="" textlink="">
      <xdr:nvSpPr>
        <xdr:cNvPr id="1602" name="AutoShape 177" descr="USA">
          <a:hlinkClick xmlns:r="http://schemas.openxmlformats.org/officeDocument/2006/relationships" r:id="rId174"/>
          <a:extLst>
            <a:ext uri="{FF2B5EF4-FFF2-40B4-BE49-F238E27FC236}">
              <a16:creationId xmlns:a16="http://schemas.microsoft.com/office/drawing/2014/main" id="{C1258C4D-6C7E-485D-8943-CD78B706BB4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03" name="AutoShape 177" descr="USA">
          <a:hlinkClick xmlns:r="http://schemas.openxmlformats.org/officeDocument/2006/relationships" r:id="rId174"/>
          <a:extLst>
            <a:ext uri="{FF2B5EF4-FFF2-40B4-BE49-F238E27FC236}">
              <a16:creationId xmlns:a16="http://schemas.microsoft.com/office/drawing/2014/main" id="{61629D7B-3AD2-46F8-90FD-DB74F653112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4" name="AutoShape 171" descr="USA">
          <a:hlinkClick xmlns:r="http://schemas.openxmlformats.org/officeDocument/2006/relationships" r:id="rId165"/>
          <a:extLst>
            <a:ext uri="{FF2B5EF4-FFF2-40B4-BE49-F238E27FC236}">
              <a16:creationId xmlns:a16="http://schemas.microsoft.com/office/drawing/2014/main" id="{236C8890-C51C-4640-B9A6-EE60F35322C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5" name="AutoShape 177" descr="USA">
          <a:hlinkClick xmlns:r="http://schemas.openxmlformats.org/officeDocument/2006/relationships" r:id="rId174"/>
          <a:extLst>
            <a:ext uri="{FF2B5EF4-FFF2-40B4-BE49-F238E27FC236}">
              <a16:creationId xmlns:a16="http://schemas.microsoft.com/office/drawing/2014/main" id="{EE6AD579-2D86-4B13-8463-D7F8832021D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6" name="AutoShape 177" descr="USA">
          <a:hlinkClick xmlns:r="http://schemas.openxmlformats.org/officeDocument/2006/relationships" r:id="rId174"/>
          <a:extLst>
            <a:ext uri="{FF2B5EF4-FFF2-40B4-BE49-F238E27FC236}">
              <a16:creationId xmlns:a16="http://schemas.microsoft.com/office/drawing/2014/main" id="{92CC266D-B639-44CF-B988-7057C0AA9B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7" name="AutoShape 177" descr="USA">
          <a:hlinkClick xmlns:r="http://schemas.openxmlformats.org/officeDocument/2006/relationships" r:id="rId174"/>
          <a:extLst>
            <a:ext uri="{FF2B5EF4-FFF2-40B4-BE49-F238E27FC236}">
              <a16:creationId xmlns:a16="http://schemas.microsoft.com/office/drawing/2014/main" id="{6AC46F53-813D-41F6-A917-AE6D18ED421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8" name="AutoShape 177" descr="USA">
          <a:hlinkClick xmlns:r="http://schemas.openxmlformats.org/officeDocument/2006/relationships" r:id="rId174"/>
          <a:extLst>
            <a:ext uri="{FF2B5EF4-FFF2-40B4-BE49-F238E27FC236}">
              <a16:creationId xmlns:a16="http://schemas.microsoft.com/office/drawing/2014/main" id="{1D825566-7F8C-4A48-8547-26587F5005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09" name="AutoShape 177" descr="USA">
          <a:hlinkClick xmlns:r="http://schemas.openxmlformats.org/officeDocument/2006/relationships" r:id="rId174"/>
          <a:extLst>
            <a:ext uri="{FF2B5EF4-FFF2-40B4-BE49-F238E27FC236}">
              <a16:creationId xmlns:a16="http://schemas.microsoft.com/office/drawing/2014/main" id="{CFD17386-D7AF-42D7-A622-DBF794DB88F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10" name="AutoShape 177" descr="USA">
          <a:hlinkClick xmlns:r="http://schemas.openxmlformats.org/officeDocument/2006/relationships" r:id="rId174"/>
          <a:extLst>
            <a:ext uri="{FF2B5EF4-FFF2-40B4-BE49-F238E27FC236}">
              <a16:creationId xmlns:a16="http://schemas.microsoft.com/office/drawing/2014/main" id="{2693E894-A0F8-4989-9BFC-9772273F46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120</xdr:row>
      <xdr:rowOff>0</xdr:rowOff>
    </xdr:from>
    <xdr:ext cx="304800" cy="317500"/>
    <xdr:sp macro="" textlink="">
      <xdr:nvSpPr>
        <xdr:cNvPr id="1611" name="AutoShape 177" descr="USA">
          <a:hlinkClick xmlns:r="http://schemas.openxmlformats.org/officeDocument/2006/relationships" r:id="rId174"/>
          <a:extLst>
            <a:ext uri="{FF2B5EF4-FFF2-40B4-BE49-F238E27FC236}">
              <a16:creationId xmlns:a16="http://schemas.microsoft.com/office/drawing/2014/main" id="{C43ACADB-B1A6-4B1C-9CFC-DB05A492D8E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12" name="AutoShape 177" descr="USA">
          <a:hlinkClick xmlns:r="http://schemas.openxmlformats.org/officeDocument/2006/relationships" r:id="rId174"/>
          <a:extLst>
            <a:ext uri="{FF2B5EF4-FFF2-40B4-BE49-F238E27FC236}">
              <a16:creationId xmlns:a16="http://schemas.microsoft.com/office/drawing/2014/main" id="{989DA958-31B2-4276-8ED4-0EF6CE491B8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3" name="AutoShape 171" descr="USA">
          <a:hlinkClick xmlns:r="http://schemas.openxmlformats.org/officeDocument/2006/relationships" r:id="rId165"/>
          <a:extLst>
            <a:ext uri="{FF2B5EF4-FFF2-40B4-BE49-F238E27FC236}">
              <a16:creationId xmlns:a16="http://schemas.microsoft.com/office/drawing/2014/main" id="{1A1150E1-52F1-40FF-95D6-F2EE2F40232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4" name="AutoShape 177" descr="USA">
          <a:hlinkClick xmlns:r="http://schemas.openxmlformats.org/officeDocument/2006/relationships" r:id="rId174"/>
          <a:extLst>
            <a:ext uri="{FF2B5EF4-FFF2-40B4-BE49-F238E27FC236}">
              <a16:creationId xmlns:a16="http://schemas.microsoft.com/office/drawing/2014/main" id="{6B225C5B-E294-4A92-A640-CAD45144F38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5" name="AutoShape 177" descr="USA">
          <a:hlinkClick xmlns:r="http://schemas.openxmlformats.org/officeDocument/2006/relationships" r:id="rId174"/>
          <a:extLst>
            <a:ext uri="{FF2B5EF4-FFF2-40B4-BE49-F238E27FC236}">
              <a16:creationId xmlns:a16="http://schemas.microsoft.com/office/drawing/2014/main" id="{BB9FFEAE-8FB0-4D99-80B7-1E8440ADFF1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6" name="AutoShape 177" descr="USA">
          <a:hlinkClick xmlns:r="http://schemas.openxmlformats.org/officeDocument/2006/relationships" r:id="rId174"/>
          <a:extLst>
            <a:ext uri="{FF2B5EF4-FFF2-40B4-BE49-F238E27FC236}">
              <a16:creationId xmlns:a16="http://schemas.microsoft.com/office/drawing/2014/main" id="{7DAA2530-F282-42DE-B86F-22C8DC766D8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7" name="AutoShape 177" descr="USA">
          <a:hlinkClick xmlns:r="http://schemas.openxmlformats.org/officeDocument/2006/relationships" r:id="rId174"/>
          <a:extLst>
            <a:ext uri="{FF2B5EF4-FFF2-40B4-BE49-F238E27FC236}">
              <a16:creationId xmlns:a16="http://schemas.microsoft.com/office/drawing/2014/main" id="{31793730-6796-46AB-88FB-B2E98632FE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8" name="AutoShape 177" descr="USA">
          <a:hlinkClick xmlns:r="http://schemas.openxmlformats.org/officeDocument/2006/relationships" r:id="rId174"/>
          <a:extLst>
            <a:ext uri="{FF2B5EF4-FFF2-40B4-BE49-F238E27FC236}">
              <a16:creationId xmlns:a16="http://schemas.microsoft.com/office/drawing/2014/main" id="{2E453C25-615D-4649-BB81-9EBFAB19F4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19" name="AutoShape 177" descr="USA">
          <a:hlinkClick xmlns:r="http://schemas.openxmlformats.org/officeDocument/2006/relationships" r:id="rId174"/>
          <a:extLst>
            <a:ext uri="{FF2B5EF4-FFF2-40B4-BE49-F238E27FC236}">
              <a16:creationId xmlns:a16="http://schemas.microsoft.com/office/drawing/2014/main" id="{A8BBA064-F17C-4353-8A42-94BA1FF6E76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121</xdr:row>
      <xdr:rowOff>0</xdr:rowOff>
    </xdr:from>
    <xdr:ext cx="304800" cy="317500"/>
    <xdr:sp macro="" textlink="">
      <xdr:nvSpPr>
        <xdr:cNvPr id="1620" name="AutoShape 177" descr="USA">
          <a:hlinkClick xmlns:r="http://schemas.openxmlformats.org/officeDocument/2006/relationships" r:id="rId174"/>
          <a:extLst>
            <a:ext uri="{FF2B5EF4-FFF2-40B4-BE49-F238E27FC236}">
              <a16:creationId xmlns:a16="http://schemas.microsoft.com/office/drawing/2014/main" id="{9DE4BFAC-9F1F-4BCF-B803-41A8B2AD218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21" name="AutoShape 177" descr="USA">
          <a:hlinkClick xmlns:r="http://schemas.openxmlformats.org/officeDocument/2006/relationships" r:id="rId174"/>
          <a:extLst>
            <a:ext uri="{FF2B5EF4-FFF2-40B4-BE49-F238E27FC236}">
              <a16:creationId xmlns:a16="http://schemas.microsoft.com/office/drawing/2014/main" id="{DD644E93-7B52-4C99-A58E-D0AB1DF61C8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2" name="AutoShape 171" descr="USA">
          <a:hlinkClick xmlns:r="http://schemas.openxmlformats.org/officeDocument/2006/relationships" r:id="rId165"/>
          <a:extLst>
            <a:ext uri="{FF2B5EF4-FFF2-40B4-BE49-F238E27FC236}">
              <a16:creationId xmlns:a16="http://schemas.microsoft.com/office/drawing/2014/main" id="{215F75E3-E173-403E-B9BC-DF4D9238B64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3" name="AutoShape 177" descr="USA">
          <a:hlinkClick xmlns:r="http://schemas.openxmlformats.org/officeDocument/2006/relationships" r:id="rId174"/>
          <a:extLst>
            <a:ext uri="{FF2B5EF4-FFF2-40B4-BE49-F238E27FC236}">
              <a16:creationId xmlns:a16="http://schemas.microsoft.com/office/drawing/2014/main" id="{3B69FAD9-36E0-4A41-BC97-1ECE1EFC3C2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4" name="AutoShape 177" descr="USA">
          <a:hlinkClick xmlns:r="http://schemas.openxmlformats.org/officeDocument/2006/relationships" r:id="rId174"/>
          <a:extLst>
            <a:ext uri="{FF2B5EF4-FFF2-40B4-BE49-F238E27FC236}">
              <a16:creationId xmlns:a16="http://schemas.microsoft.com/office/drawing/2014/main" id="{DD4DC703-AB16-49FE-9CD1-1AAB45C9AA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5" name="AutoShape 177" descr="USA">
          <a:hlinkClick xmlns:r="http://schemas.openxmlformats.org/officeDocument/2006/relationships" r:id="rId174"/>
          <a:extLst>
            <a:ext uri="{FF2B5EF4-FFF2-40B4-BE49-F238E27FC236}">
              <a16:creationId xmlns:a16="http://schemas.microsoft.com/office/drawing/2014/main" id="{BD72A944-21DF-4943-8177-8B66EF98848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6" name="AutoShape 177" descr="USA">
          <a:hlinkClick xmlns:r="http://schemas.openxmlformats.org/officeDocument/2006/relationships" r:id="rId174"/>
          <a:extLst>
            <a:ext uri="{FF2B5EF4-FFF2-40B4-BE49-F238E27FC236}">
              <a16:creationId xmlns:a16="http://schemas.microsoft.com/office/drawing/2014/main" id="{84723125-B2E5-4025-A7A4-76E064A51FB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7" name="AutoShape 177" descr="USA">
          <a:hlinkClick xmlns:r="http://schemas.openxmlformats.org/officeDocument/2006/relationships" r:id="rId174"/>
          <a:extLst>
            <a:ext uri="{FF2B5EF4-FFF2-40B4-BE49-F238E27FC236}">
              <a16:creationId xmlns:a16="http://schemas.microsoft.com/office/drawing/2014/main" id="{C7A5FFBE-36C0-4DEC-85D2-6BEE403FCF0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8" name="AutoShape 177" descr="USA">
          <a:hlinkClick xmlns:r="http://schemas.openxmlformats.org/officeDocument/2006/relationships" r:id="rId174"/>
          <a:extLst>
            <a:ext uri="{FF2B5EF4-FFF2-40B4-BE49-F238E27FC236}">
              <a16:creationId xmlns:a16="http://schemas.microsoft.com/office/drawing/2014/main" id="{12820EA6-012E-478C-B2E9-9D7AF41745B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122</xdr:row>
      <xdr:rowOff>0</xdr:rowOff>
    </xdr:from>
    <xdr:ext cx="304800" cy="317500"/>
    <xdr:sp macro="" textlink="">
      <xdr:nvSpPr>
        <xdr:cNvPr id="1629" name="AutoShape 177" descr="USA">
          <a:hlinkClick xmlns:r="http://schemas.openxmlformats.org/officeDocument/2006/relationships" r:id="rId174"/>
          <a:extLst>
            <a:ext uri="{FF2B5EF4-FFF2-40B4-BE49-F238E27FC236}">
              <a16:creationId xmlns:a16="http://schemas.microsoft.com/office/drawing/2014/main" id="{CE23F6C0-0BEB-49E6-9460-96A617DA6FF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30" name="AutoShape 177" descr="USA">
          <a:hlinkClick xmlns:r="http://schemas.openxmlformats.org/officeDocument/2006/relationships" r:id="rId174"/>
          <a:extLst>
            <a:ext uri="{FF2B5EF4-FFF2-40B4-BE49-F238E27FC236}">
              <a16:creationId xmlns:a16="http://schemas.microsoft.com/office/drawing/2014/main" id="{9809DC4A-5668-4007-BC74-E5699B1105A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1" name="AutoShape 171" descr="USA">
          <a:hlinkClick xmlns:r="http://schemas.openxmlformats.org/officeDocument/2006/relationships" r:id="rId165"/>
          <a:extLst>
            <a:ext uri="{FF2B5EF4-FFF2-40B4-BE49-F238E27FC236}">
              <a16:creationId xmlns:a16="http://schemas.microsoft.com/office/drawing/2014/main" id="{C1490B2E-7DE6-4E22-B40E-0C9BE499A2B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2" name="AutoShape 177" descr="USA">
          <a:hlinkClick xmlns:r="http://schemas.openxmlformats.org/officeDocument/2006/relationships" r:id="rId174"/>
          <a:extLst>
            <a:ext uri="{FF2B5EF4-FFF2-40B4-BE49-F238E27FC236}">
              <a16:creationId xmlns:a16="http://schemas.microsoft.com/office/drawing/2014/main" id="{8C0B8A1E-A204-4BB1-A379-9291DD3CE30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3" name="AutoShape 177" descr="USA">
          <a:hlinkClick xmlns:r="http://schemas.openxmlformats.org/officeDocument/2006/relationships" r:id="rId174"/>
          <a:extLst>
            <a:ext uri="{FF2B5EF4-FFF2-40B4-BE49-F238E27FC236}">
              <a16:creationId xmlns:a16="http://schemas.microsoft.com/office/drawing/2014/main" id="{CE7C99A0-0A3E-438F-AF79-BED811163A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4" name="AutoShape 177" descr="USA">
          <a:hlinkClick xmlns:r="http://schemas.openxmlformats.org/officeDocument/2006/relationships" r:id="rId174"/>
          <a:extLst>
            <a:ext uri="{FF2B5EF4-FFF2-40B4-BE49-F238E27FC236}">
              <a16:creationId xmlns:a16="http://schemas.microsoft.com/office/drawing/2014/main" id="{D520076D-9FE5-437A-9434-65827ACAB82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5" name="AutoShape 177" descr="USA">
          <a:hlinkClick xmlns:r="http://schemas.openxmlformats.org/officeDocument/2006/relationships" r:id="rId174"/>
          <a:extLst>
            <a:ext uri="{FF2B5EF4-FFF2-40B4-BE49-F238E27FC236}">
              <a16:creationId xmlns:a16="http://schemas.microsoft.com/office/drawing/2014/main" id="{C6FB5B35-2648-498B-9A95-20475E04A57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6" name="AutoShape 177" descr="USA">
          <a:hlinkClick xmlns:r="http://schemas.openxmlformats.org/officeDocument/2006/relationships" r:id="rId174"/>
          <a:extLst>
            <a:ext uri="{FF2B5EF4-FFF2-40B4-BE49-F238E27FC236}">
              <a16:creationId xmlns:a16="http://schemas.microsoft.com/office/drawing/2014/main" id="{2393CFB2-A829-46CB-A2A5-0B8EBCC4F8D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7" name="AutoShape 177" descr="USA">
          <a:hlinkClick xmlns:r="http://schemas.openxmlformats.org/officeDocument/2006/relationships" r:id="rId174"/>
          <a:extLst>
            <a:ext uri="{FF2B5EF4-FFF2-40B4-BE49-F238E27FC236}">
              <a16:creationId xmlns:a16="http://schemas.microsoft.com/office/drawing/2014/main" id="{6B371240-2CBA-46E1-A6E7-564F52DBA46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123</xdr:row>
      <xdr:rowOff>0</xdr:rowOff>
    </xdr:from>
    <xdr:ext cx="304800" cy="317500"/>
    <xdr:sp macro="" textlink="">
      <xdr:nvSpPr>
        <xdr:cNvPr id="1638" name="AutoShape 177" descr="USA">
          <a:hlinkClick xmlns:r="http://schemas.openxmlformats.org/officeDocument/2006/relationships" r:id="rId174"/>
          <a:extLst>
            <a:ext uri="{FF2B5EF4-FFF2-40B4-BE49-F238E27FC236}">
              <a16:creationId xmlns:a16="http://schemas.microsoft.com/office/drawing/2014/main" id="{8CA670CD-6565-4140-8F9C-3615D94F2EE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39" name="AutoShape 177" descr="USA">
          <a:hlinkClick xmlns:r="http://schemas.openxmlformats.org/officeDocument/2006/relationships" r:id="rId174"/>
          <a:extLst>
            <a:ext uri="{FF2B5EF4-FFF2-40B4-BE49-F238E27FC236}">
              <a16:creationId xmlns:a16="http://schemas.microsoft.com/office/drawing/2014/main" id="{8073D50B-58A0-4183-9D39-6DD926AE9C2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0" name="AutoShape 171" descr="USA">
          <a:hlinkClick xmlns:r="http://schemas.openxmlformats.org/officeDocument/2006/relationships" r:id="rId165"/>
          <a:extLst>
            <a:ext uri="{FF2B5EF4-FFF2-40B4-BE49-F238E27FC236}">
              <a16:creationId xmlns:a16="http://schemas.microsoft.com/office/drawing/2014/main" id="{BB37765C-090E-4CBD-8843-4CFDEB2F441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1" name="AutoShape 177" descr="USA">
          <a:hlinkClick xmlns:r="http://schemas.openxmlformats.org/officeDocument/2006/relationships" r:id="rId174"/>
          <a:extLst>
            <a:ext uri="{FF2B5EF4-FFF2-40B4-BE49-F238E27FC236}">
              <a16:creationId xmlns:a16="http://schemas.microsoft.com/office/drawing/2014/main" id="{9C2ECD97-7EA8-4DDB-B6C9-A8A5A599786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2" name="AutoShape 177" descr="USA">
          <a:hlinkClick xmlns:r="http://schemas.openxmlformats.org/officeDocument/2006/relationships" r:id="rId174"/>
          <a:extLst>
            <a:ext uri="{FF2B5EF4-FFF2-40B4-BE49-F238E27FC236}">
              <a16:creationId xmlns:a16="http://schemas.microsoft.com/office/drawing/2014/main" id="{81EE9ADE-A496-4E74-8358-B51FC602E79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3" name="AutoShape 177" descr="USA">
          <a:hlinkClick xmlns:r="http://schemas.openxmlformats.org/officeDocument/2006/relationships" r:id="rId174"/>
          <a:extLst>
            <a:ext uri="{FF2B5EF4-FFF2-40B4-BE49-F238E27FC236}">
              <a16:creationId xmlns:a16="http://schemas.microsoft.com/office/drawing/2014/main" id="{4F8543EE-2A99-4688-B0B4-711C18D39BD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4" name="AutoShape 177" descr="USA">
          <a:hlinkClick xmlns:r="http://schemas.openxmlformats.org/officeDocument/2006/relationships" r:id="rId174"/>
          <a:extLst>
            <a:ext uri="{FF2B5EF4-FFF2-40B4-BE49-F238E27FC236}">
              <a16:creationId xmlns:a16="http://schemas.microsoft.com/office/drawing/2014/main" id="{31314CC5-70C1-4964-96D7-DCC6A34BA27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5" name="AutoShape 177" descr="USA">
          <a:hlinkClick xmlns:r="http://schemas.openxmlformats.org/officeDocument/2006/relationships" r:id="rId174"/>
          <a:extLst>
            <a:ext uri="{FF2B5EF4-FFF2-40B4-BE49-F238E27FC236}">
              <a16:creationId xmlns:a16="http://schemas.microsoft.com/office/drawing/2014/main" id="{35180F3A-A92F-4829-95D8-EA58AFE7AEC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6" name="AutoShape 177" descr="USA">
          <a:hlinkClick xmlns:r="http://schemas.openxmlformats.org/officeDocument/2006/relationships" r:id="rId174"/>
          <a:extLst>
            <a:ext uri="{FF2B5EF4-FFF2-40B4-BE49-F238E27FC236}">
              <a16:creationId xmlns:a16="http://schemas.microsoft.com/office/drawing/2014/main" id="{6147ACD9-1391-475C-A797-6B200441780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124</xdr:row>
      <xdr:rowOff>0</xdr:rowOff>
    </xdr:from>
    <xdr:ext cx="304800" cy="317500"/>
    <xdr:sp macro="" textlink="">
      <xdr:nvSpPr>
        <xdr:cNvPr id="1647" name="AutoShape 177" descr="USA">
          <a:hlinkClick xmlns:r="http://schemas.openxmlformats.org/officeDocument/2006/relationships" r:id="rId174"/>
          <a:extLst>
            <a:ext uri="{FF2B5EF4-FFF2-40B4-BE49-F238E27FC236}">
              <a16:creationId xmlns:a16="http://schemas.microsoft.com/office/drawing/2014/main" id="{92FD6444-7DE9-4791-B153-3B9F4E2B431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48" name="AutoShape 177" descr="USA">
          <a:hlinkClick xmlns:r="http://schemas.openxmlformats.org/officeDocument/2006/relationships" r:id="rId174"/>
          <a:extLst>
            <a:ext uri="{FF2B5EF4-FFF2-40B4-BE49-F238E27FC236}">
              <a16:creationId xmlns:a16="http://schemas.microsoft.com/office/drawing/2014/main" id="{BAF4DD2B-0D10-4AA0-AEE1-A053C68F8B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49" name="AutoShape 171" descr="USA">
          <a:hlinkClick xmlns:r="http://schemas.openxmlformats.org/officeDocument/2006/relationships" r:id="rId165"/>
          <a:extLst>
            <a:ext uri="{FF2B5EF4-FFF2-40B4-BE49-F238E27FC236}">
              <a16:creationId xmlns:a16="http://schemas.microsoft.com/office/drawing/2014/main" id="{EB06785F-3104-4378-A15A-9646DC04CA5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0" name="AutoShape 177" descr="USA">
          <a:hlinkClick xmlns:r="http://schemas.openxmlformats.org/officeDocument/2006/relationships" r:id="rId174"/>
          <a:extLst>
            <a:ext uri="{FF2B5EF4-FFF2-40B4-BE49-F238E27FC236}">
              <a16:creationId xmlns:a16="http://schemas.microsoft.com/office/drawing/2014/main" id="{7A3F89E7-1767-491F-88EC-2B7009F30AA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1" name="AutoShape 177" descr="USA">
          <a:hlinkClick xmlns:r="http://schemas.openxmlformats.org/officeDocument/2006/relationships" r:id="rId174"/>
          <a:extLst>
            <a:ext uri="{FF2B5EF4-FFF2-40B4-BE49-F238E27FC236}">
              <a16:creationId xmlns:a16="http://schemas.microsoft.com/office/drawing/2014/main" id="{FF4BD909-C5CE-44DE-8105-39298B1E0A7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2" name="AutoShape 177" descr="USA">
          <a:hlinkClick xmlns:r="http://schemas.openxmlformats.org/officeDocument/2006/relationships" r:id="rId174"/>
          <a:extLst>
            <a:ext uri="{FF2B5EF4-FFF2-40B4-BE49-F238E27FC236}">
              <a16:creationId xmlns:a16="http://schemas.microsoft.com/office/drawing/2014/main" id="{FD5E56BD-47BB-4483-A74F-D48DEE6912B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3" name="AutoShape 177" descr="USA">
          <a:hlinkClick xmlns:r="http://schemas.openxmlformats.org/officeDocument/2006/relationships" r:id="rId174"/>
          <a:extLst>
            <a:ext uri="{FF2B5EF4-FFF2-40B4-BE49-F238E27FC236}">
              <a16:creationId xmlns:a16="http://schemas.microsoft.com/office/drawing/2014/main" id="{FF440177-9FDC-4D50-9F24-58DED1AB860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4" name="AutoShape 177" descr="USA">
          <a:hlinkClick xmlns:r="http://schemas.openxmlformats.org/officeDocument/2006/relationships" r:id="rId174"/>
          <a:extLst>
            <a:ext uri="{FF2B5EF4-FFF2-40B4-BE49-F238E27FC236}">
              <a16:creationId xmlns:a16="http://schemas.microsoft.com/office/drawing/2014/main" id="{D4CACCE1-D64C-4D96-A031-72B5E8E5538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5" name="AutoShape 177" descr="USA">
          <a:hlinkClick xmlns:r="http://schemas.openxmlformats.org/officeDocument/2006/relationships" r:id="rId174"/>
          <a:extLst>
            <a:ext uri="{FF2B5EF4-FFF2-40B4-BE49-F238E27FC236}">
              <a16:creationId xmlns:a16="http://schemas.microsoft.com/office/drawing/2014/main" id="{261571B0-9BB4-43D2-AACC-B81D7729594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125</xdr:row>
      <xdr:rowOff>0</xdr:rowOff>
    </xdr:from>
    <xdr:ext cx="304800" cy="317500"/>
    <xdr:sp macro="" textlink="">
      <xdr:nvSpPr>
        <xdr:cNvPr id="1656" name="AutoShape 177" descr="USA">
          <a:hlinkClick xmlns:r="http://schemas.openxmlformats.org/officeDocument/2006/relationships" r:id="rId174"/>
          <a:extLst>
            <a:ext uri="{FF2B5EF4-FFF2-40B4-BE49-F238E27FC236}">
              <a16:creationId xmlns:a16="http://schemas.microsoft.com/office/drawing/2014/main" id="{CC7CA49A-40A7-457B-8BE7-624D225393C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57" name="AutoShape 177" descr="USA">
          <a:hlinkClick xmlns:r="http://schemas.openxmlformats.org/officeDocument/2006/relationships" r:id="rId174"/>
          <a:extLst>
            <a:ext uri="{FF2B5EF4-FFF2-40B4-BE49-F238E27FC236}">
              <a16:creationId xmlns:a16="http://schemas.microsoft.com/office/drawing/2014/main" id="{BD8E9560-684A-4043-931E-7177028A4EF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58" name="AutoShape 171" descr="USA">
          <a:hlinkClick xmlns:r="http://schemas.openxmlformats.org/officeDocument/2006/relationships" r:id="rId165"/>
          <a:extLst>
            <a:ext uri="{FF2B5EF4-FFF2-40B4-BE49-F238E27FC236}">
              <a16:creationId xmlns:a16="http://schemas.microsoft.com/office/drawing/2014/main" id="{CCAB7F61-DE8B-4F47-BCF2-CFD1C82F216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59" name="AutoShape 177" descr="USA">
          <a:hlinkClick xmlns:r="http://schemas.openxmlformats.org/officeDocument/2006/relationships" r:id="rId174"/>
          <a:extLst>
            <a:ext uri="{FF2B5EF4-FFF2-40B4-BE49-F238E27FC236}">
              <a16:creationId xmlns:a16="http://schemas.microsoft.com/office/drawing/2014/main" id="{FA870EED-76F5-423B-8872-D431EF021EF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0" name="AutoShape 177" descr="USA">
          <a:hlinkClick xmlns:r="http://schemas.openxmlformats.org/officeDocument/2006/relationships" r:id="rId174"/>
          <a:extLst>
            <a:ext uri="{FF2B5EF4-FFF2-40B4-BE49-F238E27FC236}">
              <a16:creationId xmlns:a16="http://schemas.microsoft.com/office/drawing/2014/main" id="{F600D761-8A10-4942-9118-D52FA32818B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1" name="AutoShape 177" descr="USA">
          <a:hlinkClick xmlns:r="http://schemas.openxmlformats.org/officeDocument/2006/relationships" r:id="rId174"/>
          <a:extLst>
            <a:ext uri="{FF2B5EF4-FFF2-40B4-BE49-F238E27FC236}">
              <a16:creationId xmlns:a16="http://schemas.microsoft.com/office/drawing/2014/main" id="{39014044-4B72-42B5-B18F-18A2C09F354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2" name="AutoShape 177" descr="USA">
          <a:hlinkClick xmlns:r="http://schemas.openxmlformats.org/officeDocument/2006/relationships" r:id="rId174"/>
          <a:extLst>
            <a:ext uri="{FF2B5EF4-FFF2-40B4-BE49-F238E27FC236}">
              <a16:creationId xmlns:a16="http://schemas.microsoft.com/office/drawing/2014/main" id="{87A2BCCE-31D6-463B-9905-3AB5646268A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3" name="AutoShape 177" descr="USA">
          <a:hlinkClick xmlns:r="http://schemas.openxmlformats.org/officeDocument/2006/relationships" r:id="rId174"/>
          <a:extLst>
            <a:ext uri="{FF2B5EF4-FFF2-40B4-BE49-F238E27FC236}">
              <a16:creationId xmlns:a16="http://schemas.microsoft.com/office/drawing/2014/main" id="{7E8A814E-1E2D-4B7C-BCB4-A8E81A7878D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4" name="AutoShape 177" descr="USA">
          <a:hlinkClick xmlns:r="http://schemas.openxmlformats.org/officeDocument/2006/relationships" r:id="rId174"/>
          <a:extLst>
            <a:ext uri="{FF2B5EF4-FFF2-40B4-BE49-F238E27FC236}">
              <a16:creationId xmlns:a16="http://schemas.microsoft.com/office/drawing/2014/main" id="{1A3672D9-3059-4718-8B76-1FE9F01F16C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126</xdr:row>
      <xdr:rowOff>0</xdr:rowOff>
    </xdr:from>
    <xdr:ext cx="304800" cy="317500"/>
    <xdr:sp macro="" textlink="">
      <xdr:nvSpPr>
        <xdr:cNvPr id="1665" name="AutoShape 177" descr="USA">
          <a:hlinkClick xmlns:r="http://schemas.openxmlformats.org/officeDocument/2006/relationships" r:id="rId174"/>
          <a:extLst>
            <a:ext uri="{FF2B5EF4-FFF2-40B4-BE49-F238E27FC236}">
              <a16:creationId xmlns:a16="http://schemas.microsoft.com/office/drawing/2014/main" id="{C7D142B8-9213-449E-B728-0C82FE47B3F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66" name="AutoShape 177" descr="USA">
          <a:hlinkClick xmlns:r="http://schemas.openxmlformats.org/officeDocument/2006/relationships" r:id="rId174"/>
          <a:extLst>
            <a:ext uri="{FF2B5EF4-FFF2-40B4-BE49-F238E27FC236}">
              <a16:creationId xmlns:a16="http://schemas.microsoft.com/office/drawing/2014/main" id="{C211ACD8-9B6B-43EB-A57B-8796447B7D8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67" name="AutoShape 171" descr="USA">
          <a:hlinkClick xmlns:r="http://schemas.openxmlformats.org/officeDocument/2006/relationships" r:id="rId165"/>
          <a:extLst>
            <a:ext uri="{FF2B5EF4-FFF2-40B4-BE49-F238E27FC236}">
              <a16:creationId xmlns:a16="http://schemas.microsoft.com/office/drawing/2014/main" id="{4600D5F8-340B-49FA-9A4A-40C8B69573E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68" name="AutoShape 177" descr="USA">
          <a:hlinkClick xmlns:r="http://schemas.openxmlformats.org/officeDocument/2006/relationships" r:id="rId174"/>
          <a:extLst>
            <a:ext uri="{FF2B5EF4-FFF2-40B4-BE49-F238E27FC236}">
              <a16:creationId xmlns:a16="http://schemas.microsoft.com/office/drawing/2014/main" id="{AB4FE355-9584-4864-8876-49B55AF2C577}"/>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69" name="AutoShape 177" descr="USA">
          <a:hlinkClick xmlns:r="http://schemas.openxmlformats.org/officeDocument/2006/relationships" r:id="rId174"/>
          <a:extLst>
            <a:ext uri="{FF2B5EF4-FFF2-40B4-BE49-F238E27FC236}">
              <a16:creationId xmlns:a16="http://schemas.microsoft.com/office/drawing/2014/main" id="{780C62B3-04BF-4CA5-806B-E92F699B696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0" name="AutoShape 177" descr="USA">
          <a:hlinkClick xmlns:r="http://schemas.openxmlformats.org/officeDocument/2006/relationships" r:id="rId174"/>
          <a:extLst>
            <a:ext uri="{FF2B5EF4-FFF2-40B4-BE49-F238E27FC236}">
              <a16:creationId xmlns:a16="http://schemas.microsoft.com/office/drawing/2014/main" id="{B188DF7F-1ECE-4EA0-B499-8B71017C65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1" name="AutoShape 177" descr="USA">
          <a:hlinkClick xmlns:r="http://schemas.openxmlformats.org/officeDocument/2006/relationships" r:id="rId174"/>
          <a:extLst>
            <a:ext uri="{FF2B5EF4-FFF2-40B4-BE49-F238E27FC236}">
              <a16:creationId xmlns:a16="http://schemas.microsoft.com/office/drawing/2014/main" id="{C797FFEB-0DBC-49BA-9C18-8BAAD1257FE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2" name="AutoShape 177" descr="USA">
          <a:hlinkClick xmlns:r="http://schemas.openxmlformats.org/officeDocument/2006/relationships" r:id="rId174"/>
          <a:extLst>
            <a:ext uri="{FF2B5EF4-FFF2-40B4-BE49-F238E27FC236}">
              <a16:creationId xmlns:a16="http://schemas.microsoft.com/office/drawing/2014/main" id="{92242D7A-D4D5-4E14-8EBD-C66A4AF995B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3" name="AutoShape 177" descr="USA">
          <a:hlinkClick xmlns:r="http://schemas.openxmlformats.org/officeDocument/2006/relationships" r:id="rId174"/>
          <a:extLst>
            <a:ext uri="{FF2B5EF4-FFF2-40B4-BE49-F238E27FC236}">
              <a16:creationId xmlns:a16="http://schemas.microsoft.com/office/drawing/2014/main" id="{229F6F08-86E6-429F-AC95-074C9A961A0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127</xdr:row>
      <xdr:rowOff>0</xdr:rowOff>
    </xdr:from>
    <xdr:ext cx="304800" cy="317500"/>
    <xdr:sp macro="" textlink="">
      <xdr:nvSpPr>
        <xdr:cNvPr id="1674" name="AutoShape 177" descr="USA">
          <a:hlinkClick xmlns:r="http://schemas.openxmlformats.org/officeDocument/2006/relationships" r:id="rId174"/>
          <a:extLst>
            <a:ext uri="{FF2B5EF4-FFF2-40B4-BE49-F238E27FC236}">
              <a16:creationId xmlns:a16="http://schemas.microsoft.com/office/drawing/2014/main" id="{C0DBD87B-89A5-4B5B-8EF6-54FB00DC584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75" name="AutoShape 177" descr="USA">
          <a:hlinkClick xmlns:r="http://schemas.openxmlformats.org/officeDocument/2006/relationships" r:id="rId174"/>
          <a:extLst>
            <a:ext uri="{FF2B5EF4-FFF2-40B4-BE49-F238E27FC236}">
              <a16:creationId xmlns:a16="http://schemas.microsoft.com/office/drawing/2014/main" id="{9AFD050F-A620-4D10-B30D-6AA160453B5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6" name="AutoShape 171" descr="USA">
          <a:hlinkClick xmlns:r="http://schemas.openxmlformats.org/officeDocument/2006/relationships" r:id="rId165"/>
          <a:extLst>
            <a:ext uri="{FF2B5EF4-FFF2-40B4-BE49-F238E27FC236}">
              <a16:creationId xmlns:a16="http://schemas.microsoft.com/office/drawing/2014/main" id="{4E2953E0-0072-47ED-B2A1-72B1B38E47D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7" name="AutoShape 177" descr="USA">
          <a:hlinkClick xmlns:r="http://schemas.openxmlformats.org/officeDocument/2006/relationships" r:id="rId174"/>
          <a:extLst>
            <a:ext uri="{FF2B5EF4-FFF2-40B4-BE49-F238E27FC236}">
              <a16:creationId xmlns:a16="http://schemas.microsoft.com/office/drawing/2014/main" id="{E9C47F06-8D73-44C3-A3AB-D0B3828F65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8" name="AutoShape 177" descr="USA">
          <a:hlinkClick xmlns:r="http://schemas.openxmlformats.org/officeDocument/2006/relationships" r:id="rId174"/>
          <a:extLst>
            <a:ext uri="{FF2B5EF4-FFF2-40B4-BE49-F238E27FC236}">
              <a16:creationId xmlns:a16="http://schemas.microsoft.com/office/drawing/2014/main" id="{B55E7AB4-BE66-42EC-ADF7-487E0CCE6A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79" name="AutoShape 177" descr="USA">
          <a:hlinkClick xmlns:r="http://schemas.openxmlformats.org/officeDocument/2006/relationships" r:id="rId174"/>
          <a:extLst>
            <a:ext uri="{FF2B5EF4-FFF2-40B4-BE49-F238E27FC236}">
              <a16:creationId xmlns:a16="http://schemas.microsoft.com/office/drawing/2014/main" id="{A670D744-8807-4742-9140-772F1E62909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0" name="AutoShape 177" descr="USA">
          <a:hlinkClick xmlns:r="http://schemas.openxmlformats.org/officeDocument/2006/relationships" r:id="rId174"/>
          <a:extLst>
            <a:ext uri="{FF2B5EF4-FFF2-40B4-BE49-F238E27FC236}">
              <a16:creationId xmlns:a16="http://schemas.microsoft.com/office/drawing/2014/main" id="{781095E9-A46D-41CD-8B83-F643848436C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1" name="AutoShape 177" descr="USA">
          <a:hlinkClick xmlns:r="http://schemas.openxmlformats.org/officeDocument/2006/relationships" r:id="rId174"/>
          <a:extLst>
            <a:ext uri="{FF2B5EF4-FFF2-40B4-BE49-F238E27FC236}">
              <a16:creationId xmlns:a16="http://schemas.microsoft.com/office/drawing/2014/main" id="{6166AA80-6C2F-40DB-8973-370D511B248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2" name="AutoShape 177" descr="USA">
          <a:hlinkClick xmlns:r="http://schemas.openxmlformats.org/officeDocument/2006/relationships" r:id="rId174"/>
          <a:extLst>
            <a:ext uri="{FF2B5EF4-FFF2-40B4-BE49-F238E27FC236}">
              <a16:creationId xmlns:a16="http://schemas.microsoft.com/office/drawing/2014/main" id="{613CB10A-DD52-45DC-9142-F1FFB199206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128</xdr:row>
      <xdr:rowOff>0</xdr:rowOff>
    </xdr:from>
    <xdr:ext cx="304800" cy="317500"/>
    <xdr:sp macro="" textlink="">
      <xdr:nvSpPr>
        <xdr:cNvPr id="1683" name="AutoShape 177" descr="USA">
          <a:hlinkClick xmlns:r="http://schemas.openxmlformats.org/officeDocument/2006/relationships" r:id="rId174"/>
          <a:extLst>
            <a:ext uri="{FF2B5EF4-FFF2-40B4-BE49-F238E27FC236}">
              <a16:creationId xmlns:a16="http://schemas.microsoft.com/office/drawing/2014/main" id="{A145CEEB-EC72-47DA-BCCB-22FE8E0FB53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84" name="AutoShape 177" descr="USA">
          <a:hlinkClick xmlns:r="http://schemas.openxmlformats.org/officeDocument/2006/relationships" r:id="rId174"/>
          <a:extLst>
            <a:ext uri="{FF2B5EF4-FFF2-40B4-BE49-F238E27FC236}">
              <a16:creationId xmlns:a16="http://schemas.microsoft.com/office/drawing/2014/main" id="{7C817218-4310-48C0-B6A8-10CF902692B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5" name="AutoShape 171" descr="USA">
          <a:hlinkClick xmlns:r="http://schemas.openxmlformats.org/officeDocument/2006/relationships" r:id="rId165"/>
          <a:extLst>
            <a:ext uri="{FF2B5EF4-FFF2-40B4-BE49-F238E27FC236}">
              <a16:creationId xmlns:a16="http://schemas.microsoft.com/office/drawing/2014/main" id="{399F668D-2B89-40C2-8801-827E42E6E4F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6" name="AutoShape 177" descr="USA">
          <a:hlinkClick xmlns:r="http://schemas.openxmlformats.org/officeDocument/2006/relationships" r:id="rId174"/>
          <a:extLst>
            <a:ext uri="{FF2B5EF4-FFF2-40B4-BE49-F238E27FC236}">
              <a16:creationId xmlns:a16="http://schemas.microsoft.com/office/drawing/2014/main" id="{3E2AA6F2-CC41-47E0-81EC-1FB545CFBD3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7" name="AutoShape 177" descr="USA">
          <a:hlinkClick xmlns:r="http://schemas.openxmlformats.org/officeDocument/2006/relationships" r:id="rId174"/>
          <a:extLst>
            <a:ext uri="{FF2B5EF4-FFF2-40B4-BE49-F238E27FC236}">
              <a16:creationId xmlns:a16="http://schemas.microsoft.com/office/drawing/2014/main" id="{7D2843E0-D9AF-4304-A948-A8542912E56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8" name="AutoShape 177" descr="USA">
          <a:hlinkClick xmlns:r="http://schemas.openxmlformats.org/officeDocument/2006/relationships" r:id="rId174"/>
          <a:extLst>
            <a:ext uri="{FF2B5EF4-FFF2-40B4-BE49-F238E27FC236}">
              <a16:creationId xmlns:a16="http://schemas.microsoft.com/office/drawing/2014/main" id="{F4335A42-4DE9-4233-B23E-B5E84883BD9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89" name="AutoShape 177" descr="USA">
          <a:hlinkClick xmlns:r="http://schemas.openxmlformats.org/officeDocument/2006/relationships" r:id="rId174"/>
          <a:extLst>
            <a:ext uri="{FF2B5EF4-FFF2-40B4-BE49-F238E27FC236}">
              <a16:creationId xmlns:a16="http://schemas.microsoft.com/office/drawing/2014/main" id="{A6CF000B-898D-4937-811A-E5AC2E0E1D2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90" name="AutoShape 177" descr="USA">
          <a:hlinkClick xmlns:r="http://schemas.openxmlformats.org/officeDocument/2006/relationships" r:id="rId174"/>
          <a:extLst>
            <a:ext uri="{FF2B5EF4-FFF2-40B4-BE49-F238E27FC236}">
              <a16:creationId xmlns:a16="http://schemas.microsoft.com/office/drawing/2014/main" id="{7970B131-F567-4327-BF43-31C0D35468A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91" name="AutoShape 177" descr="USA">
          <a:hlinkClick xmlns:r="http://schemas.openxmlformats.org/officeDocument/2006/relationships" r:id="rId174"/>
          <a:extLst>
            <a:ext uri="{FF2B5EF4-FFF2-40B4-BE49-F238E27FC236}">
              <a16:creationId xmlns:a16="http://schemas.microsoft.com/office/drawing/2014/main" id="{238728EE-59F5-4D33-A540-69A117DCB3E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129</xdr:row>
      <xdr:rowOff>0</xdr:rowOff>
    </xdr:from>
    <xdr:ext cx="304800" cy="317500"/>
    <xdr:sp macro="" textlink="">
      <xdr:nvSpPr>
        <xdr:cNvPr id="1692" name="AutoShape 177" descr="USA">
          <a:hlinkClick xmlns:r="http://schemas.openxmlformats.org/officeDocument/2006/relationships" r:id="rId174"/>
          <a:extLst>
            <a:ext uri="{FF2B5EF4-FFF2-40B4-BE49-F238E27FC236}">
              <a16:creationId xmlns:a16="http://schemas.microsoft.com/office/drawing/2014/main" id="{81394967-7033-4592-8169-47AC6E82719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693" name="AutoShape 177" descr="USA">
          <a:hlinkClick xmlns:r="http://schemas.openxmlformats.org/officeDocument/2006/relationships" r:id="rId174"/>
          <a:extLst>
            <a:ext uri="{FF2B5EF4-FFF2-40B4-BE49-F238E27FC236}">
              <a16:creationId xmlns:a16="http://schemas.microsoft.com/office/drawing/2014/main" id="{4F7E8F9F-C908-4FFD-A0BD-6FB16552679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4" name="AutoShape 171" descr="USA">
          <a:hlinkClick xmlns:r="http://schemas.openxmlformats.org/officeDocument/2006/relationships" r:id="rId165"/>
          <a:extLst>
            <a:ext uri="{FF2B5EF4-FFF2-40B4-BE49-F238E27FC236}">
              <a16:creationId xmlns:a16="http://schemas.microsoft.com/office/drawing/2014/main" id="{C4F7413E-7AD2-4C81-889D-CB89596BA6D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5" name="AutoShape 177" descr="USA">
          <a:hlinkClick xmlns:r="http://schemas.openxmlformats.org/officeDocument/2006/relationships" r:id="rId174"/>
          <a:extLst>
            <a:ext uri="{FF2B5EF4-FFF2-40B4-BE49-F238E27FC236}">
              <a16:creationId xmlns:a16="http://schemas.microsoft.com/office/drawing/2014/main" id="{371E9EC5-833D-417D-ADD9-C6F9403EFF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6" name="AutoShape 177" descr="USA">
          <a:hlinkClick xmlns:r="http://schemas.openxmlformats.org/officeDocument/2006/relationships" r:id="rId174"/>
          <a:extLst>
            <a:ext uri="{FF2B5EF4-FFF2-40B4-BE49-F238E27FC236}">
              <a16:creationId xmlns:a16="http://schemas.microsoft.com/office/drawing/2014/main" id="{93DB6B7E-B189-49A7-BCA8-43BF73C3DDD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7" name="AutoShape 177" descr="USA">
          <a:hlinkClick xmlns:r="http://schemas.openxmlformats.org/officeDocument/2006/relationships" r:id="rId174"/>
          <a:extLst>
            <a:ext uri="{FF2B5EF4-FFF2-40B4-BE49-F238E27FC236}">
              <a16:creationId xmlns:a16="http://schemas.microsoft.com/office/drawing/2014/main" id="{12077733-FBCA-4D35-9327-00FAC61DD0F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8" name="AutoShape 177" descr="USA">
          <a:hlinkClick xmlns:r="http://schemas.openxmlformats.org/officeDocument/2006/relationships" r:id="rId174"/>
          <a:extLst>
            <a:ext uri="{FF2B5EF4-FFF2-40B4-BE49-F238E27FC236}">
              <a16:creationId xmlns:a16="http://schemas.microsoft.com/office/drawing/2014/main" id="{D4F14BFF-C394-455A-AD33-A5127D1A9AD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699" name="AutoShape 177" descr="USA">
          <a:hlinkClick xmlns:r="http://schemas.openxmlformats.org/officeDocument/2006/relationships" r:id="rId174"/>
          <a:extLst>
            <a:ext uri="{FF2B5EF4-FFF2-40B4-BE49-F238E27FC236}">
              <a16:creationId xmlns:a16="http://schemas.microsoft.com/office/drawing/2014/main" id="{1B840A13-17AF-4485-A9B9-D9BB4205019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700" name="AutoShape 177" descr="USA">
          <a:hlinkClick xmlns:r="http://schemas.openxmlformats.org/officeDocument/2006/relationships" r:id="rId174"/>
          <a:extLst>
            <a:ext uri="{FF2B5EF4-FFF2-40B4-BE49-F238E27FC236}">
              <a16:creationId xmlns:a16="http://schemas.microsoft.com/office/drawing/2014/main" id="{AAF7BDAE-4A05-4734-AC52-36A1807D56D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130</xdr:row>
      <xdr:rowOff>0</xdr:rowOff>
    </xdr:from>
    <xdr:ext cx="304800" cy="317500"/>
    <xdr:sp macro="" textlink="">
      <xdr:nvSpPr>
        <xdr:cNvPr id="1701" name="AutoShape 177" descr="USA">
          <a:hlinkClick xmlns:r="http://schemas.openxmlformats.org/officeDocument/2006/relationships" r:id="rId174"/>
          <a:extLst>
            <a:ext uri="{FF2B5EF4-FFF2-40B4-BE49-F238E27FC236}">
              <a16:creationId xmlns:a16="http://schemas.microsoft.com/office/drawing/2014/main" id="{9853ACA0-842E-47A4-AABE-C2B7F5916B5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02" name="AutoShape 177" descr="USA">
          <a:hlinkClick xmlns:r="http://schemas.openxmlformats.org/officeDocument/2006/relationships" r:id="rId174"/>
          <a:extLst>
            <a:ext uri="{FF2B5EF4-FFF2-40B4-BE49-F238E27FC236}">
              <a16:creationId xmlns:a16="http://schemas.microsoft.com/office/drawing/2014/main" id="{9B604CEE-22B5-4D18-B2EA-CC949BA657E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3" name="AutoShape 171" descr="USA">
          <a:hlinkClick xmlns:r="http://schemas.openxmlformats.org/officeDocument/2006/relationships" r:id="rId165"/>
          <a:extLst>
            <a:ext uri="{FF2B5EF4-FFF2-40B4-BE49-F238E27FC236}">
              <a16:creationId xmlns:a16="http://schemas.microsoft.com/office/drawing/2014/main" id="{DA67C0CE-9234-4426-B097-06C03AB305B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4" name="AutoShape 177" descr="USA">
          <a:hlinkClick xmlns:r="http://schemas.openxmlformats.org/officeDocument/2006/relationships" r:id="rId174"/>
          <a:extLst>
            <a:ext uri="{FF2B5EF4-FFF2-40B4-BE49-F238E27FC236}">
              <a16:creationId xmlns:a16="http://schemas.microsoft.com/office/drawing/2014/main" id="{CFEEF372-A554-4AA0-A986-1AB92FCBE81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5" name="AutoShape 177" descr="USA">
          <a:hlinkClick xmlns:r="http://schemas.openxmlformats.org/officeDocument/2006/relationships" r:id="rId174"/>
          <a:extLst>
            <a:ext uri="{FF2B5EF4-FFF2-40B4-BE49-F238E27FC236}">
              <a16:creationId xmlns:a16="http://schemas.microsoft.com/office/drawing/2014/main" id="{F91E754E-C30D-4DFB-BE36-3B7E0CDDF15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6" name="AutoShape 177" descr="USA">
          <a:hlinkClick xmlns:r="http://schemas.openxmlformats.org/officeDocument/2006/relationships" r:id="rId174"/>
          <a:extLst>
            <a:ext uri="{FF2B5EF4-FFF2-40B4-BE49-F238E27FC236}">
              <a16:creationId xmlns:a16="http://schemas.microsoft.com/office/drawing/2014/main" id="{DE07BE1A-F346-4FAB-8B44-17E1B1FCB13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7" name="AutoShape 177" descr="USA">
          <a:hlinkClick xmlns:r="http://schemas.openxmlformats.org/officeDocument/2006/relationships" r:id="rId174"/>
          <a:extLst>
            <a:ext uri="{FF2B5EF4-FFF2-40B4-BE49-F238E27FC236}">
              <a16:creationId xmlns:a16="http://schemas.microsoft.com/office/drawing/2014/main" id="{A50EE5AE-61B7-4524-A71A-F1FFCCDE627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8" name="AutoShape 177" descr="USA">
          <a:hlinkClick xmlns:r="http://schemas.openxmlformats.org/officeDocument/2006/relationships" r:id="rId174"/>
          <a:extLst>
            <a:ext uri="{FF2B5EF4-FFF2-40B4-BE49-F238E27FC236}">
              <a16:creationId xmlns:a16="http://schemas.microsoft.com/office/drawing/2014/main" id="{73C34400-9617-47A3-8C4B-F70A6219603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09" name="AutoShape 177" descr="USA">
          <a:hlinkClick xmlns:r="http://schemas.openxmlformats.org/officeDocument/2006/relationships" r:id="rId174"/>
          <a:extLst>
            <a:ext uri="{FF2B5EF4-FFF2-40B4-BE49-F238E27FC236}">
              <a16:creationId xmlns:a16="http://schemas.microsoft.com/office/drawing/2014/main" id="{20D08425-526D-4B25-AB38-90AD7C52F2D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131</xdr:row>
      <xdr:rowOff>0</xdr:rowOff>
    </xdr:from>
    <xdr:ext cx="304800" cy="317500"/>
    <xdr:sp macro="" textlink="">
      <xdr:nvSpPr>
        <xdr:cNvPr id="1710" name="AutoShape 177" descr="USA">
          <a:hlinkClick xmlns:r="http://schemas.openxmlformats.org/officeDocument/2006/relationships" r:id="rId174"/>
          <a:extLst>
            <a:ext uri="{FF2B5EF4-FFF2-40B4-BE49-F238E27FC236}">
              <a16:creationId xmlns:a16="http://schemas.microsoft.com/office/drawing/2014/main" id="{F44B6D99-061E-4FC0-A801-4270800BF11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11" name="AutoShape 177" descr="USA">
          <a:hlinkClick xmlns:r="http://schemas.openxmlformats.org/officeDocument/2006/relationships" r:id="rId174"/>
          <a:extLst>
            <a:ext uri="{FF2B5EF4-FFF2-40B4-BE49-F238E27FC236}">
              <a16:creationId xmlns:a16="http://schemas.microsoft.com/office/drawing/2014/main" id="{5A1F66F5-D259-4519-98E7-1A9EA10656B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2" name="AutoShape 171" descr="USA">
          <a:hlinkClick xmlns:r="http://schemas.openxmlformats.org/officeDocument/2006/relationships" r:id="rId165"/>
          <a:extLst>
            <a:ext uri="{FF2B5EF4-FFF2-40B4-BE49-F238E27FC236}">
              <a16:creationId xmlns:a16="http://schemas.microsoft.com/office/drawing/2014/main" id="{9749EB1C-5024-4570-99EB-E51A87D49DC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3" name="AutoShape 177" descr="USA">
          <a:hlinkClick xmlns:r="http://schemas.openxmlformats.org/officeDocument/2006/relationships" r:id="rId174"/>
          <a:extLst>
            <a:ext uri="{FF2B5EF4-FFF2-40B4-BE49-F238E27FC236}">
              <a16:creationId xmlns:a16="http://schemas.microsoft.com/office/drawing/2014/main" id="{47FBBB90-1F64-42BF-8BCE-9E8600F7531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4" name="AutoShape 177" descr="USA">
          <a:hlinkClick xmlns:r="http://schemas.openxmlformats.org/officeDocument/2006/relationships" r:id="rId174"/>
          <a:extLst>
            <a:ext uri="{FF2B5EF4-FFF2-40B4-BE49-F238E27FC236}">
              <a16:creationId xmlns:a16="http://schemas.microsoft.com/office/drawing/2014/main" id="{4404D840-5A7C-42BB-BE5D-ABC226DCC77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5" name="AutoShape 177" descr="USA">
          <a:hlinkClick xmlns:r="http://schemas.openxmlformats.org/officeDocument/2006/relationships" r:id="rId174"/>
          <a:extLst>
            <a:ext uri="{FF2B5EF4-FFF2-40B4-BE49-F238E27FC236}">
              <a16:creationId xmlns:a16="http://schemas.microsoft.com/office/drawing/2014/main" id="{143F5790-5DF3-4B06-B816-06E17AE4867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6" name="AutoShape 177" descr="USA">
          <a:hlinkClick xmlns:r="http://schemas.openxmlformats.org/officeDocument/2006/relationships" r:id="rId174"/>
          <a:extLst>
            <a:ext uri="{FF2B5EF4-FFF2-40B4-BE49-F238E27FC236}">
              <a16:creationId xmlns:a16="http://schemas.microsoft.com/office/drawing/2014/main" id="{3C2B7B9D-F176-407C-A0F3-DE418977003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7" name="AutoShape 177" descr="USA">
          <a:hlinkClick xmlns:r="http://schemas.openxmlformats.org/officeDocument/2006/relationships" r:id="rId174"/>
          <a:extLst>
            <a:ext uri="{FF2B5EF4-FFF2-40B4-BE49-F238E27FC236}">
              <a16:creationId xmlns:a16="http://schemas.microsoft.com/office/drawing/2014/main" id="{463D8588-8F9C-4A78-B9C7-278B4D24A2C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8" name="AutoShape 177" descr="USA">
          <a:hlinkClick xmlns:r="http://schemas.openxmlformats.org/officeDocument/2006/relationships" r:id="rId174"/>
          <a:extLst>
            <a:ext uri="{FF2B5EF4-FFF2-40B4-BE49-F238E27FC236}">
              <a16:creationId xmlns:a16="http://schemas.microsoft.com/office/drawing/2014/main" id="{01D71288-7B9A-42F5-8C12-3CC6DC717E8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132</xdr:row>
      <xdr:rowOff>0</xdr:rowOff>
    </xdr:from>
    <xdr:ext cx="304800" cy="317500"/>
    <xdr:sp macro="" textlink="">
      <xdr:nvSpPr>
        <xdr:cNvPr id="1719" name="AutoShape 177" descr="USA">
          <a:hlinkClick xmlns:r="http://schemas.openxmlformats.org/officeDocument/2006/relationships" r:id="rId174"/>
          <a:extLst>
            <a:ext uri="{FF2B5EF4-FFF2-40B4-BE49-F238E27FC236}">
              <a16:creationId xmlns:a16="http://schemas.microsoft.com/office/drawing/2014/main" id="{AB1C3A4D-EB95-4362-8221-FBDE08B444A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20" name="AutoShape 177" descr="USA">
          <a:hlinkClick xmlns:r="http://schemas.openxmlformats.org/officeDocument/2006/relationships" r:id="rId174"/>
          <a:extLst>
            <a:ext uri="{FF2B5EF4-FFF2-40B4-BE49-F238E27FC236}">
              <a16:creationId xmlns:a16="http://schemas.microsoft.com/office/drawing/2014/main" id="{AA6E1FB1-1D59-41E2-83CB-4BC3A290C56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1" name="AutoShape 171" descr="USA">
          <a:hlinkClick xmlns:r="http://schemas.openxmlformats.org/officeDocument/2006/relationships" r:id="rId165"/>
          <a:extLst>
            <a:ext uri="{FF2B5EF4-FFF2-40B4-BE49-F238E27FC236}">
              <a16:creationId xmlns:a16="http://schemas.microsoft.com/office/drawing/2014/main" id="{6AE67E67-DD04-4DF0-96CB-1179CC0E8E7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2" name="AutoShape 177" descr="USA">
          <a:hlinkClick xmlns:r="http://schemas.openxmlformats.org/officeDocument/2006/relationships" r:id="rId174"/>
          <a:extLst>
            <a:ext uri="{FF2B5EF4-FFF2-40B4-BE49-F238E27FC236}">
              <a16:creationId xmlns:a16="http://schemas.microsoft.com/office/drawing/2014/main" id="{5DF6A496-2F45-4650-9860-4B8228694D6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3" name="AutoShape 177" descr="USA">
          <a:hlinkClick xmlns:r="http://schemas.openxmlformats.org/officeDocument/2006/relationships" r:id="rId174"/>
          <a:extLst>
            <a:ext uri="{FF2B5EF4-FFF2-40B4-BE49-F238E27FC236}">
              <a16:creationId xmlns:a16="http://schemas.microsoft.com/office/drawing/2014/main" id="{EBEBFA3B-DC7B-4442-9588-EEA1B8DE947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4" name="AutoShape 177" descr="USA">
          <a:hlinkClick xmlns:r="http://schemas.openxmlformats.org/officeDocument/2006/relationships" r:id="rId174"/>
          <a:extLst>
            <a:ext uri="{FF2B5EF4-FFF2-40B4-BE49-F238E27FC236}">
              <a16:creationId xmlns:a16="http://schemas.microsoft.com/office/drawing/2014/main" id="{012EA33A-0B79-41C9-8973-0AE10760C1A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5" name="AutoShape 177" descr="USA">
          <a:hlinkClick xmlns:r="http://schemas.openxmlformats.org/officeDocument/2006/relationships" r:id="rId174"/>
          <a:extLst>
            <a:ext uri="{FF2B5EF4-FFF2-40B4-BE49-F238E27FC236}">
              <a16:creationId xmlns:a16="http://schemas.microsoft.com/office/drawing/2014/main" id="{192A34C2-D08B-41EE-86EA-9058115096E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6" name="AutoShape 177" descr="USA">
          <a:hlinkClick xmlns:r="http://schemas.openxmlformats.org/officeDocument/2006/relationships" r:id="rId174"/>
          <a:extLst>
            <a:ext uri="{FF2B5EF4-FFF2-40B4-BE49-F238E27FC236}">
              <a16:creationId xmlns:a16="http://schemas.microsoft.com/office/drawing/2014/main" id="{87AAA5BC-FDE2-4D4D-9D97-4CE7F1DA2EE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7" name="AutoShape 177" descr="USA">
          <a:hlinkClick xmlns:r="http://schemas.openxmlformats.org/officeDocument/2006/relationships" r:id="rId174"/>
          <a:extLst>
            <a:ext uri="{FF2B5EF4-FFF2-40B4-BE49-F238E27FC236}">
              <a16:creationId xmlns:a16="http://schemas.microsoft.com/office/drawing/2014/main" id="{584FFEE4-3C6D-43F0-BD6F-535B0389C4C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133</xdr:row>
      <xdr:rowOff>0</xdr:rowOff>
    </xdr:from>
    <xdr:ext cx="304800" cy="317500"/>
    <xdr:sp macro="" textlink="">
      <xdr:nvSpPr>
        <xdr:cNvPr id="1728" name="AutoShape 177" descr="USA">
          <a:hlinkClick xmlns:r="http://schemas.openxmlformats.org/officeDocument/2006/relationships" r:id="rId174"/>
          <a:extLst>
            <a:ext uri="{FF2B5EF4-FFF2-40B4-BE49-F238E27FC236}">
              <a16:creationId xmlns:a16="http://schemas.microsoft.com/office/drawing/2014/main" id="{A79276EA-5853-4A92-B457-299EA507ED8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29" name="AutoShape 177" descr="USA">
          <a:hlinkClick xmlns:r="http://schemas.openxmlformats.org/officeDocument/2006/relationships" r:id="rId174"/>
          <a:extLst>
            <a:ext uri="{FF2B5EF4-FFF2-40B4-BE49-F238E27FC236}">
              <a16:creationId xmlns:a16="http://schemas.microsoft.com/office/drawing/2014/main" id="{6D0C20F5-9B06-4982-A0EC-B5C4EE03DCD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0" name="AutoShape 171" descr="USA">
          <a:hlinkClick xmlns:r="http://schemas.openxmlformats.org/officeDocument/2006/relationships" r:id="rId165"/>
          <a:extLst>
            <a:ext uri="{FF2B5EF4-FFF2-40B4-BE49-F238E27FC236}">
              <a16:creationId xmlns:a16="http://schemas.microsoft.com/office/drawing/2014/main" id="{CF733D17-0663-40D5-AF4C-8023651AE7B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1" name="AutoShape 177" descr="USA">
          <a:hlinkClick xmlns:r="http://schemas.openxmlformats.org/officeDocument/2006/relationships" r:id="rId174"/>
          <a:extLst>
            <a:ext uri="{FF2B5EF4-FFF2-40B4-BE49-F238E27FC236}">
              <a16:creationId xmlns:a16="http://schemas.microsoft.com/office/drawing/2014/main" id="{F564424B-9406-44C9-92D1-DA5862B864A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2" name="AutoShape 177" descr="USA">
          <a:hlinkClick xmlns:r="http://schemas.openxmlformats.org/officeDocument/2006/relationships" r:id="rId174"/>
          <a:extLst>
            <a:ext uri="{FF2B5EF4-FFF2-40B4-BE49-F238E27FC236}">
              <a16:creationId xmlns:a16="http://schemas.microsoft.com/office/drawing/2014/main" id="{B36A50F2-6944-4780-BB40-4551571CF7D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3" name="AutoShape 177" descr="USA">
          <a:hlinkClick xmlns:r="http://schemas.openxmlformats.org/officeDocument/2006/relationships" r:id="rId174"/>
          <a:extLst>
            <a:ext uri="{FF2B5EF4-FFF2-40B4-BE49-F238E27FC236}">
              <a16:creationId xmlns:a16="http://schemas.microsoft.com/office/drawing/2014/main" id="{7D149957-A12F-453D-B248-A11010B3767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4" name="AutoShape 177" descr="USA">
          <a:hlinkClick xmlns:r="http://schemas.openxmlformats.org/officeDocument/2006/relationships" r:id="rId174"/>
          <a:extLst>
            <a:ext uri="{FF2B5EF4-FFF2-40B4-BE49-F238E27FC236}">
              <a16:creationId xmlns:a16="http://schemas.microsoft.com/office/drawing/2014/main" id="{03E98CFA-3968-471F-9668-749C5D625A8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5" name="AutoShape 177" descr="USA">
          <a:hlinkClick xmlns:r="http://schemas.openxmlformats.org/officeDocument/2006/relationships" r:id="rId174"/>
          <a:extLst>
            <a:ext uri="{FF2B5EF4-FFF2-40B4-BE49-F238E27FC236}">
              <a16:creationId xmlns:a16="http://schemas.microsoft.com/office/drawing/2014/main" id="{E3901E2B-A984-4D8C-9310-2FFD8343521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6" name="AutoShape 177" descr="USA">
          <a:hlinkClick xmlns:r="http://schemas.openxmlformats.org/officeDocument/2006/relationships" r:id="rId174"/>
          <a:extLst>
            <a:ext uri="{FF2B5EF4-FFF2-40B4-BE49-F238E27FC236}">
              <a16:creationId xmlns:a16="http://schemas.microsoft.com/office/drawing/2014/main" id="{712A22AF-A8E8-452A-A411-0417C3B46B6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134</xdr:row>
      <xdr:rowOff>0</xdr:rowOff>
    </xdr:from>
    <xdr:ext cx="304800" cy="317500"/>
    <xdr:sp macro="" textlink="">
      <xdr:nvSpPr>
        <xdr:cNvPr id="1737" name="AutoShape 177" descr="USA">
          <a:hlinkClick xmlns:r="http://schemas.openxmlformats.org/officeDocument/2006/relationships" r:id="rId174"/>
          <a:extLst>
            <a:ext uri="{FF2B5EF4-FFF2-40B4-BE49-F238E27FC236}">
              <a16:creationId xmlns:a16="http://schemas.microsoft.com/office/drawing/2014/main" id="{6590C6DF-065D-4945-A389-D368865ADC5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38" name="AutoShape 177" descr="USA">
          <a:hlinkClick xmlns:r="http://schemas.openxmlformats.org/officeDocument/2006/relationships" r:id="rId174"/>
          <a:extLst>
            <a:ext uri="{FF2B5EF4-FFF2-40B4-BE49-F238E27FC236}">
              <a16:creationId xmlns:a16="http://schemas.microsoft.com/office/drawing/2014/main" id="{CC651AD5-1031-4088-87AF-29C6220E406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39" name="AutoShape 171" descr="USA">
          <a:hlinkClick xmlns:r="http://schemas.openxmlformats.org/officeDocument/2006/relationships" r:id="rId165"/>
          <a:extLst>
            <a:ext uri="{FF2B5EF4-FFF2-40B4-BE49-F238E27FC236}">
              <a16:creationId xmlns:a16="http://schemas.microsoft.com/office/drawing/2014/main" id="{F18E6C75-D1D9-4790-98C7-5D4AFF6358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0" name="AutoShape 177" descr="USA">
          <a:hlinkClick xmlns:r="http://schemas.openxmlformats.org/officeDocument/2006/relationships" r:id="rId174"/>
          <a:extLst>
            <a:ext uri="{FF2B5EF4-FFF2-40B4-BE49-F238E27FC236}">
              <a16:creationId xmlns:a16="http://schemas.microsoft.com/office/drawing/2014/main" id="{6DC3963B-5883-492D-9D43-2917B7E1E46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1" name="AutoShape 177" descr="USA">
          <a:hlinkClick xmlns:r="http://schemas.openxmlformats.org/officeDocument/2006/relationships" r:id="rId174"/>
          <a:extLst>
            <a:ext uri="{FF2B5EF4-FFF2-40B4-BE49-F238E27FC236}">
              <a16:creationId xmlns:a16="http://schemas.microsoft.com/office/drawing/2014/main" id="{2A7491B9-FCDF-4A8B-B63C-19595D1B996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2" name="AutoShape 177" descr="USA">
          <a:hlinkClick xmlns:r="http://schemas.openxmlformats.org/officeDocument/2006/relationships" r:id="rId174"/>
          <a:extLst>
            <a:ext uri="{FF2B5EF4-FFF2-40B4-BE49-F238E27FC236}">
              <a16:creationId xmlns:a16="http://schemas.microsoft.com/office/drawing/2014/main" id="{BDAB2919-E29E-4B77-8FFD-F362672EF44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3" name="AutoShape 177" descr="USA">
          <a:hlinkClick xmlns:r="http://schemas.openxmlformats.org/officeDocument/2006/relationships" r:id="rId174"/>
          <a:extLst>
            <a:ext uri="{FF2B5EF4-FFF2-40B4-BE49-F238E27FC236}">
              <a16:creationId xmlns:a16="http://schemas.microsoft.com/office/drawing/2014/main" id="{93159B34-E875-4109-A319-F70401373B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4" name="AutoShape 177" descr="USA">
          <a:hlinkClick xmlns:r="http://schemas.openxmlformats.org/officeDocument/2006/relationships" r:id="rId174"/>
          <a:extLst>
            <a:ext uri="{FF2B5EF4-FFF2-40B4-BE49-F238E27FC236}">
              <a16:creationId xmlns:a16="http://schemas.microsoft.com/office/drawing/2014/main" id="{D30DA3E8-309A-438C-989E-65266A5E1FD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5" name="AutoShape 177" descr="USA">
          <a:hlinkClick xmlns:r="http://schemas.openxmlformats.org/officeDocument/2006/relationships" r:id="rId174"/>
          <a:extLst>
            <a:ext uri="{FF2B5EF4-FFF2-40B4-BE49-F238E27FC236}">
              <a16:creationId xmlns:a16="http://schemas.microsoft.com/office/drawing/2014/main" id="{F5A4AB66-8C8B-416E-A9FF-523F6F3046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135</xdr:row>
      <xdr:rowOff>0</xdr:rowOff>
    </xdr:from>
    <xdr:ext cx="304800" cy="317500"/>
    <xdr:sp macro="" textlink="">
      <xdr:nvSpPr>
        <xdr:cNvPr id="1746" name="AutoShape 177" descr="USA">
          <a:hlinkClick xmlns:r="http://schemas.openxmlformats.org/officeDocument/2006/relationships" r:id="rId174"/>
          <a:extLst>
            <a:ext uri="{FF2B5EF4-FFF2-40B4-BE49-F238E27FC236}">
              <a16:creationId xmlns:a16="http://schemas.microsoft.com/office/drawing/2014/main" id="{7CEBFC03-7138-4728-8589-C1E51C66C05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47" name="AutoShape 177" descr="USA">
          <a:hlinkClick xmlns:r="http://schemas.openxmlformats.org/officeDocument/2006/relationships" r:id="rId174"/>
          <a:extLst>
            <a:ext uri="{FF2B5EF4-FFF2-40B4-BE49-F238E27FC236}">
              <a16:creationId xmlns:a16="http://schemas.microsoft.com/office/drawing/2014/main" id="{ECB53916-4299-408A-85A2-E03732173FB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48" name="AutoShape 171" descr="USA">
          <a:hlinkClick xmlns:r="http://schemas.openxmlformats.org/officeDocument/2006/relationships" r:id="rId165"/>
          <a:extLst>
            <a:ext uri="{FF2B5EF4-FFF2-40B4-BE49-F238E27FC236}">
              <a16:creationId xmlns:a16="http://schemas.microsoft.com/office/drawing/2014/main" id="{61BD685B-4CC6-4B8D-92E5-7AB028C6332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49" name="AutoShape 177" descr="USA">
          <a:hlinkClick xmlns:r="http://schemas.openxmlformats.org/officeDocument/2006/relationships" r:id="rId174"/>
          <a:extLst>
            <a:ext uri="{FF2B5EF4-FFF2-40B4-BE49-F238E27FC236}">
              <a16:creationId xmlns:a16="http://schemas.microsoft.com/office/drawing/2014/main" id="{066E21AC-F0DE-4D84-8106-CC1E2D79A79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0" name="AutoShape 177" descr="USA">
          <a:hlinkClick xmlns:r="http://schemas.openxmlformats.org/officeDocument/2006/relationships" r:id="rId174"/>
          <a:extLst>
            <a:ext uri="{FF2B5EF4-FFF2-40B4-BE49-F238E27FC236}">
              <a16:creationId xmlns:a16="http://schemas.microsoft.com/office/drawing/2014/main" id="{4C9793BB-6512-4EDB-BD91-1CBAAB91A92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1" name="AutoShape 177" descr="USA">
          <a:hlinkClick xmlns:r="http://schemas.openxmlformats.org/officeDocument/2006/relationships" r:id="rId174"/>
          <a:extLst>
            <a:ext uri="{FF2B5EF4-FFF2-40B4-BE49-F238E27FC236}">
              <a16:creationId xmlns:a16="http://schemas.microsoft.com/office/drawing/2014/main" id="{EE92558E-E013-49AE-BFC2-EDE90B148F0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2" name="AutoShape 177" descr="USA">
          <a:hlinkClick xmlns:r="http://schemas.openxmlformats.org/officeDocument/2006/relationships" r:id="rId174"/>
          <a:extLst>
            <a:ext uri="{FF2B5EF4-FFF2-40B4-BE49-F238E27FC236}">
              <a16:creationId xmlns:a16="http://schemas.microsoft.com/office/drawing/2014/main" id="{6933AED7-56A9-476D-AFB9-960B9F29846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3" name="AutoShape 177" descr="USA">
          <a:hlinkClick xmlns:r="http://schemas.openxmlformats.org/officeDocument/2006/relationships" r:id="rId174"/>
          <a:extLst>
            <a:ext uri="{FF2B5EF4-FFF2-40B4-BE49-F238E27FC236}">
              <a16:creationId xmlns:a16="http://schemas.microsoft.com/office/drawing/2014/main" id="{97E7B729-75FA-42BD-B888-0360DCC476B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4" name="AutoShape 177" descr="USA">
          <a:hlinkClick xmlns:r="http://schemas.openxmlformats.org/officeDocument/2006/relationships" r:id="rId174"/>
          <a:extLst>
            <a:ext uri="{FF2B5EF4-FFF2-40B4-BE49-F238E27FC236}">
              <a16:creationId xmlns:a16="http://schemas.microsoft.com/office/drawing/2014/main" id="{D8A14BD0-E5F0-4082-B420-DD957A7D50E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136</xdr:row>
      <xdr:rowOff>0</xdr:rowOff>
    </xdr:from>
    <xdr:ext cx="304800" cy="317500"/>
    <xdr:sp macro="" textlink="">
      <xdr:nvSpPr>
        <xdr:cNvPr id="1755" name="AutoShape 177" descr="USA">
          <a:hlinkClick xmlns:r="http://schemas.openxmlformats.org/officeDocument/2006/relationships" r:id="rId174"/>
          <a:extLst>
            <a:ext uri="{FF2B5EF4-FFF2-40B4-BE49-F238E27FC236}">
              <a16:creationId xmlns:a16="http://schemas.microsoft.com/office/drawing/2014/main" id="{F1E86674-1736-41B4-A956-8EE984B9B6B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56" name="AutoShape 177" descr="USA">
          <a:hlinkClick xmlns:r="http://schemas.openxmlformats.org/officeDocument/2006/relationships" r:id="rId174"/>
          <a:extLst>
            <a:ext uri="{FF2B5EF4-FFF2-40B4-BE49-F238E27FC236}">
              <a16:creationId xmlns:a16="http://schemas.microsoft.com/office/drawing/2014/main" id="{5E370068-EDBE-4B7B-9AEC-532CB56B900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57" name="AutoShape 171" descr="USA">
          <a:hlinkClick xmlns:r="http://schemas.openxmlformats.org/officeDocument/2006/relationships" r:id="rId165"/>
          <a:extLst>
            <a:ext uri="{FF2B5EF4-FFF2-40B4-BE49-F238E27FC236}">
              <a16:creationId xmlns:a16="http://schemas.microsoft.com/office/drawing/2014/main" id="{E35F9CF9-D71E-4B4C-A646-EEF59D8312C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58" name="AutoShape 177" descr="USA">
          <a:hlinkClick xmlns:r="http://schemas.openxmlformats.org/officeDocument/2006/relationships" r:id="rId174"/>
          <a:extLst>
            <a:ext uri="{FF2B5EF4-FFF2-40B4-BE49-F238E27FC236}">
              <a16:creationId xmlns:a16="http://schemas.microsoft.com/office/drawing/2014/main" id="{4DDE22CD-8DE6-41AF-89BA-F572FF11B22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59" name="AutoShape 177" descr="USA">
          <a:hlinkClick xmlns:r="http://schemas.openxmlformats.org/officeDocument/2006/relationships" r:id="rId174"/>
          <a:extLst>
            <a:ext uri="{FF2B5EF4-FFF2-40B4-BE49-F238E27FC236}">
              <a16:creationId xmlns:a16="http://schemas.microsoft.com/office/drawing/2014/main" id="{7CA24BD6-A70E-406E-B255-20A40ABCD27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0" name="AutoShape 177" descr="USA">
          <a:hlinkClick xmlns:r="http://schemas.openxmlformats.org/officeDocument/2006/relationships" r:id="rId174"/>
          <a:extLst>
            <a:ext uri="{FF2B5EF4-FFF2-40B4-BE49-F238E27FC236}">
              <a16:creationId xmlns:a16="http://schemas.microsoft.com/office/drawing/2014/main" id="{C81F77C4-C9EB-4D60-A09C-72B280B49A4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1" name="AutoShape 177" descr="USA">
          <a:hlinkClick xmlns:r="http://schemas.openxmlformats.org/officeDocument/2006/relationships" r:id="rId174"/>
          <a:extLst>
            <a:ext uri="{FF2B5EF4-FFF2-40B4-BE49-F238E27FC236}">
              <a16:creationId xmlns:a16="http://schemas.microsoft.com/office/drawing/2014/main" id="{C827508C-88DE-4D58-986F-E5B9C8C2DDB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2" name="AutoShape 177" descr="USA">
          <a:hlinkClick xmlns:r="http://schemas.openxmlformats.org/officeDocument/2006/relationships" r:id="rId174"/>
          <a:extLst>
            <a:ext uri="{FF2B5EF4-FFF2-40B4-BE49-F238E27FC236}">
              <a16:creationId xmlns:a16="http://schemas.microsoft.com/office/drawing/2014/main" id="{E7A2FDBD-34A4-4F5D-BDB1-FCFE21B137C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3" name="AutoShape 177" descr="USA">
          <a:hlinkClick xmlns:r="http://schemas.openxmlformats.org/officeDocument/2006/relationships" r:id="rId174"/>
          <a:extLst>
            <a:ext uri="{FF2B5EF4-FFF2-40B4-BE49-F238E27FC236}">
              <a16:creationId xmlns:a16="http://schemas.microsoft.com/office/drawing/2014/main" id="{1CB73EA9-ACC9-4E32-B5B2-CAAA3AC14FB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137</xdr:row>
      <xdr:rowOff>0</xdr:rowOff>
    </xdr:from>
    <xdr:ext cx="304800" cy="317500"/>
    <xdr:sp macro="" textlink="">
      <xdr:nvSpPr>
        <xdr:cNvPr id="1764" name="AutoShape 177" descr="USA">
          <a:hlinkClick xmlns:r="http://schemas.openxmlformats.org/officeDocument/2006/relationships" r:id="rId174"/>
          <a:extLst>
            <a:ext uri="{FF2B5EF4-FFF2-40B4-BE49-F238E27FC236}">
              <a16:creationId xmlns:a16="http://schemas.microsoft.com/office/drawing/2014/main" id="{D978F61B-0D6B-45BE-85D7-FF29291017A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65" name="AutoShape 177" descr="USA">
          <a:hlinkClick xmlns:r="http://schemas.openxmlformats.org/officeDocument/2006/relationships" r:id="rId174"/>
          <a:extLst>
            <a:ext uri="{FF2B5EF4-FFF2-40B4-BE49-F238E27FC236}">
              <a16:creationId xmlns:a16="http://schemas.microsoft.com/office/drawing/2014/main" id="{0061E1F3-FFB7-49CA-A204-316B833B66D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6" name="AutoShape 171" descr="USA">
          <a:hlinkClick xmlns:r="http://schemas.openxmlformats.org/officeDocument/2006/relationships" r:id="rId165"/>
          <a:extLst>
            <a:ext uri="{FF2B5EF4-FFF2-40B4-BE49-F238E27FC236}">
              <a16:creationId xmlns:a16="http://schemas.microsoft.com/office/drawing/2014/main" id="{AFA2F8E4-D665-4022-BAA1-8872C4E3E29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7" name="AutoShape 177" descr="USA">
          <a:hlinkClick xmlns:r="http://schemas.openxmlformats.org/officeDocument/2006/relationships" r:id="rId174"/>
          <a:extLst>
            <a:ext uri="{FF2B5EF4-FFF2-40B4-BE49-F238E27FC236}">
              <a16:creationId xmlns:a16="http://schemas.microsoft.com/office/drawing/2014/main" id="{10B62506-863E-4825-9714-7B760705A88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8" name="AutoShape 177" descr="USA">
          <a:hlinkClick xmlns:r="http://schemas.openxmlformats.org/officeDocument/2006/relationships" r:id="rId174"/>
          <a:extLst>
            <a:ext uri="{FF2B5EF4-FFF2-40B4-BE49-F238E27FC236}">
              <a16:creationId xmlns:a16="http://schemas.microsoft.com/office/drawing/2014/main" id="{3267970D-ABB0-489B-B203-1CF86C391D8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69" name="AutoShape 177" descr="USA">
          <a:hlinkClick xmlns:r="http://schemas.openxmlformats.org/officeDocument/2006/relationships" r:id="rId174"/>
          <a:extLst>
            <a:ext uri="{FF2B5EF4-FFF2-40B4-BE49-F238E27FC236}">
              <a16:creationId xmlns:a16="http://schemas.microsoft.com/office/drawing/2014/main" id="{F363EDF9-D69D-4021-9EB3-DF33FB85EEF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0" name="AutoShape 177" descr="USA">
          <a:hlinkClick xmlns:r="http://schemas.openxmlformats.org/officeDocument/2006/relationships" r:id="rId174"/>
          <a:extLst>
            <a:ext uri="{FF2B5EF4-FFF2-40B4-BE49-F238E27FC236}">
              <a16:creationId xmlns:a16="http://schemas.microsoft.com/office/drawing/2014/main" id="{AFD7ACBE-5BC0-496C-A5AB-F41CDE8FA47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1" name="AutoShape 177" descr="USA">
          <a:hlinkClick xmlns:r="http://schemas.openxmlformats.org/officeDocument/2006/relationships" r:id="rId174"/>
          <a:extLst>
            <a:ext uri="{FF2B5EF4-FFF2-40B4-BE49-F238E27FC236}">
              <a16:creationId xmlns:a16="http://schemas.microsoft.com/office/drawing/2014/main" id="{15A21F0A-AAD0-4126-9887-E399774ED19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2" name="AutoShape 177" descr="USA">
          <a:hlinkClick xmlns:r="http://schemas.openxmlformats.org/officeDocument/2006/relationships" r:id="rId174"/>
          <a:extLst>
            <a:ext uri="{FF2B5EF4-FFF2-40B4-BE49-F238E27FC236}">
              <a16:creationId xmlns:a16="http://schemas.microsoft.com/office/drawing/2014/main" id="{EA5F6E71-B668-4420-991E-C39DBB5240C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138</xdr:row>
      <xdr:rowOff>0</xdr:rowOff>
    </xdr:from>
    <xdr:ext cx="304800" cy="317500"/>
    <xdr:sp macro="" textlink="">
      <xdr:nvSpPr>
        <xdr:cNvPr id="1773" name="AutoShape 177" descr="USA">
          <a:hlinkClick xmlns:r="http://schemas.openxmlformats.org/officeDocument/2006/relationships" r:id="rId174"/>
          <a:extLst>
            <a:ext uri="{FF2B5EF4-FFF2-40B4-BE49-F238E27FC236}">
              <a16:creationId xmlns:a16="http://schemas.microsoft.com/office/drawing/2014/main" id="{2B23EFA2-140B-4688-B927-50240B42C1F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74" name="AutoShape 177" descr="USA">
          <a:hlinkClick xmlns:r="http://schemas.openxmlformats.org/officeDocument/2006/relationships" r:id="rId174"/>
          <a:extLst>
            <a:ext uri="{FF2B5EF4-FFF2-40B4-BE49-F238E27FC236}">
              <a16:creationId xmlns:a16="http://schemas.microsoft.com/office/drawing/2014/main" id="{FF3A6337-B719-48A3-B0A1-424CAA18F61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5" name="AutoShape 171" descr="USA">
          <a:hlinkClick xmlns:r="http://schemas.openxmlformats.org/officeDocument/2006/relationships" r:id="rId165"/>
          <a:extLst>
            <a:ext uri="{FF2B5EF4-FFF2-40B4-BE49-F238E27FC236}">
              <a16:creationId xmlns:a16="http://schemas.microsoft.com/office/drawing/2014/main" id="{9492E7AC-7D21-483E-A26C-85476DC1CF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6" name="AutoShape 177" descr="USA">
          <a:hlinkClick xmlns:r="http://schemas.openxmlformats.org/officeDocument/2006/relationships" r:id="rId174"/>
          <a:extLst>
            <a:ext uri="{FF2B5EF4-FFF2-40B4-BE49-F238E27FC236}">
              <a16:creationId xmlns:a16="http://schemas.microsoft.com/office/drawing/2014/main" id="{BC2F98AB-A8F4-4B9B-9A0E-EB7AB87E28B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7" name="AutoShape 177" descr="USA">
          <a:hlinkClick xmlns:r="http://schemas.openxmlformats.org/officeDocument/2006/relationships" r:id="rId174"/>
          <a:extLst>
            <a:ext uri="{FF2B5EF4-FFF2-40B4-BE49-F238E27FC236}">
              <a16:creationId xmlns:a16="http://schemas.microsoft.com/office/drawing/2014/main" id="{8E17D80D-1812-413F-9F6B-84F9FE9D176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8" name="AutoShape 177" descr="USA">
          <a:hlinkClick xmlns:r="http://schemas.openxmlformats.org/officeDocument/2006/relationships" r:id="rId174"/>
          <a:extLst>
            <a:ext uri="{FF2B5EF4-FFF2-40B4-BE49-F238E27FC236}">
              <a16:creationId xmlns:a16="http://schemas.microsoft.com/office/drawing/2014/main" id="{6F9D50A9-EC68-4C30-984D-D44DD9AA36E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79" name="AutoShape 177" descr="USA">
          <a:hlinkClick xmlns:r="http://schemas.openxmlformats.org/officeDocument/2006/relationships" r:id="rId174"/>
          <a:extLst>
            <a:ext uri="{FF2B5EF4-FFF2-40B4-BE49-F238E27FC236}">
              <a16:creationId xmlns:a16="http://schemas.microsoft.com/office/drawing/2014/main" id="{AAD5E9BD-1D86-4E68-868C-DF621CD1D05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80" name="AutoShape 177" descr="USA">
          <a:hlinkClick xmlns:r="http://schemas.openxmlformats.org/officeDocument/2006/relationships" r:id="rId174"/>
          <a:extLst>
            <a:ext uri="{FF2B5EF4-FFF2-40B4-BE49-F238E27FC236}">
              <a16:creationId xmlns:a16="http://schemas.microsoft.com/office/drawing/2014/main" id="{846A3157-C07F-44D3-BC1C-150A7B208D0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81" name="AutoShape 177" descr="USA">
          <a:hlinkClick xmlns:r="http://schemas.openxmlformats.org/officeDocument/2006/relationships" r:id="rId174"/>
          <a:extLst>
            <a:ext uri="{FF2B5EF4-FFF2-40B4-BE49-F238E27FC236}">
              <a16:creationId xmlns:a16="http://schemas.microsoft.com/office/drawing/2014/main" id="{D8DC7929-9D1A-4B2A-B078-88118A648A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139</xdr:row>
      <xdr:rowOff>0</xdr:rowOff>
    </xdr:from>
    <xdr:ext cx="304800" cy="317500"/>
    <xdr:sp macro="" textlink="">
      <xdr:nvSpPr>
        <xdr:cNvPr id="1782" name="AutoShape 177" descr="USA">
          <a:hlinkClick xmlns:r="http://schemas.openxmlformats.org/officeDocument/2006/relationships" r:id="rId174"/>
          <a:extLst>
            <a:ext uri="{FF2B5EF4-FFF2-40B4-BE49-F238E27FC236}">
              <a16:creationId xmlns:a16="http://schemas.microsoft.com/office/drawing/2014/main" id="{D3BA1E70-560A-422B-BF18-20E31F07DD2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83" name="AutoShape 177" descr="USA">
          <a:hlinkClick xmlns:r="http://schemas.openxmlformats.org/officeDocument/2006/relationships" r:id="rId174"/>
          <a:extLst>
            <a:ext uri="{FF2B5EF4-FFF2-40B4-BE49-F238E27FC236}">
              <a16:creationId xmlns:a16="http://schemas.microsoft.com/office/drawing/2014/main" id="{349C0B3F-D67B-4484-961B-A0D78B11B0F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4" name="AutoShape 171" descr="USA">
          <a:hlinkClick xmlns:r="http://schemas.openxmlformats.org/officeDocument/2006/relationships" r:id="rId165"/>
          <a:extLst>
            <a:ext uri="{FF2B5EF4-FFF2-40B4-BE49-F238E27FC236}">
              <a16:creationId xmlns:a16="http://schemas.microsoft.com/office/drawing/2014/main" id="{157BA04A-AC5F-4731-8B17-6433252BEB6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5" name="AutoShape 177" descr="USA">
          <a:hlinkClick xmlns:r="http://schemas.openxmlformats.org/officeDocument/2006/relationships" r:id="rId174"/>
          <a:extLst>
            <a:ext uri="{FF2B5EF4-FFF2-40B4-BE49-F238E27FC236}">
              <a16:creationId xmlns:a16="http://schemas.microsoft.com/office/drawing/2014/main" id="{E35B88ED-423C-4240-8992-8B2F7D4FAB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6" name="AutoShape 177" descr="USA">
          <a:hlinkClick xmlns:r="http://schemas.openxmlformats.org/officeDocument/2006/relationships" r:id="rId174"/>
          <a:extLst>
            <a:ext uri="{FF2B5EF4-FFF2-40B4-BE49-F238E27FC236}">
              <a16:creationId xmlns:a16="http://schemas.microsoft.com/office/drawing/2014/main" id="{6DA7AF30-0E33-4A8B-8724-B06DA5598AA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7" name="AutoShape 177" descr="USA">
          <a:hlinkClick xmlns:r="http://schemas.openxmlformats.org/officeDocument/2006/relationships" r:id="rId174"/>
          <a:extLst>
            <a:ext uri="{FF2B5EF4-FFF2-40B4-BE49-F238E27FC236}">
              <a16:creationId xmlns:a16="http://schemas.microsoft.com/office/drawing/2014/main" id="{2769E044-A11A-4CAE-99E0-3CC8318F315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8" name="AutoShape 177" descr="USA">
          <a:hlinkClick xmlns:r="http://schemas.openxmlformats.org/officeDocument/2006/relationships" r:id="rId174"/>
          <a:extLst>
            <a:ext uri="{FF2B5EF4-FFF2-40B4-BE49-F238E27FC236}">
              <a16:creationId xmlns:a16="http://schemas.microsoft.com/office/drawing/2014/main" id="{ABF73FAD-4E7A-41A2-81A0-A428AE4E30D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89" name="AutoShape 177" descr="USA">
          <a:hlinkClick xmlns:r="http://schemas.openxmlformats.org/officeDocument/2006/relationships" r:id="rId174"/>
          <a:extLst>
            <a:ext uri="{FF2B5EF4-FFF2-40B4-BE49-F238E27FC236}">
              <a16:creationId xmlns:a16="http://schemas.microsoft.com/office/drawing/2014/main" id="{92B4F1D6-B18C-4537-83FB-60291C3CDE8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90" name="AutoShape 177" descr="USA">
          <a:hlinkClick xmlns:r="http://schemas.openxmlformats.org/officeDocument/2006/relationships" r:id="rId174"/>
          <a:extLst>
            <a:ext uri="{FF2B5EF4-FFF2-40B4-BE49-F238E27FC236}">
              <a16:creationId xmlns:a16="http://schemas.microsoft.com/office/drawing/2014/main" id="{1B0AD1CC-C448-455E-8ED1-93EC09470CB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140</xdr:row>
      <xdr:rowOff>0</xdr:rowOff>
    </xdr:from>
    <xdr:ext cx="304800" cy="317500"/>
    <xdr:sp macro="" textlink="">
      <xdr:nvSpPr>
        <xdr:cNvPr id="1791" name="AutoShape 177" descr="USA">
          <a:hlinkClick xmlns:r="http://schemas.openxmlformats.org/officeDocument/2006/relationships" r:id="rId174"/>
          <a:extLst>
            <a:ext uri="{FF2B5EF4-FFF2-40B4-BE49-F238E27FC236}">
              <a16:creationId xmlns:a16="http://schemas.microsoft.com/office/drawing/2014/main" id="{653082DA-67CA-4A19-A1B3-3602A122108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792" name="AutoShape 177" descr="USA">
          <a:hlinkClick xmlns:r="http://schemas.openxmlformats.org/officeDocument/2006/relationships" r:id="rId174"/>
          <a:extLst>
            <a:ext uri="{FF2B5EF4-FFF2-40B4-BE49-F238E27FC236}">
              <a16:creationId xmlns:a16="http://schemas.microsoft.com/office/drawing/2014/main" id="{FD051711-D59F-45E1-9944-8520C871CA0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3" name="AutoShape 171" descr="USA">
          <a:hlinkClick xmlns:r="http://schemas.openxmlformats.org/officeDocument/2006/relationships" r:id="rId165"/>
          <a:extLst>
            <a:ext uri="{FF2B5EF4-FFF2-40B4-BE49-F238E27FC236}">
              <a16:creationId xmlns:a16="http://schemas.microsoft.com/office/drawing/2014/main" id="{E2A54641-D27E-4EAE-80D3-1DC431C05F4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4" name="AutoShape 177" descr="USA">
          <a:hlinkClick xmlns:r="http://schemas.openxmlformats.org/officeDocument/2006/relationships" r:id="rId174"/>
          <a:extLst>
            <a:ext uri="{FF2B5EF4-FFF2-40B4-BE49-F238E27FC236}">
              <a16:creationId xmlns:a16="http://schemas.microsoft.com/office/drawing/2014/main" id="{F0B4892E-4249-4BB2-9356-9DDD27D749C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5" name="AutoShape 177" descr="USA">
          <a:hlinkClick xmlns:r="http://schemas.openxmlformats.org/officeDocument/2006/relationships" r:id="rId174"/>
          <a:extLst>
            <a:ext uri="{FF2B5EF4-FFF2-40B4-BE49-F238E27FC236}">
              <a16:creationId xmlns:a16="http://schemas.microsoft.com/office/drawing/2014/main" id="{B7D78628-1423-4AB5-868D-7C86BD47A1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6" name="AutoShape 177" descr="USA">
          <a:hlinkClick xmlns:r="http://schemas.openxmlformats.org/officeDocument/2006/relationships" r:id="rId174"/>
          <a:extLst>
            <a:ext uri="{FF2B5EF4-FFF2-40B4-BE49-F238E27FC236}">
              <a16:creationId xmlns:a16="http://schemas.microsoft.com/office/drawing/2014/main" id="{7062E83B-93A4-484A-ADD2-2DD468C5A00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7" name="AutoShape 177" descr="USA">
          <a:hlinkClick xmlns:r="http://schemas.openxmlformats.org/officeDocument/2006/relationships" r:id="rId174"/>
          <a:extLst>
            <a:ext uri="{FF2B5EF4-FFF2-40B4-BE49-F238E27FC236}">
              <a16:creationId xmlns:a16="http://schemas.microsoft.com/office/drawing/2014/main" id="{2444518F-B21D-41F6-9F39-4B266C1C1EA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8" name="AutoShape 177" descr="USA">
          <a:hlinkClick xmlns:r="http://schemas.openxmlformats.org/officeDocument/2006/relationships" r:id="rId174"/>
          <a:extLst>
            <a:ext uri="{FF2B5EF4-FFF2-40B4-BE49-F238E27FC236}">
              <a16:creationId xmlns:a16="http://schemas.microsoft.com/office/drawing/2014/main" id="{7610D530-9492-4A46-9BBF-D7CE4E26D36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799" name="AutoShape 177" descr="USA">
          <a:hlinkClick xmlns:r="http://schemas.openxmlformats.org/officeDocument/2006/relationships" r:id="rId174"/>
          <a:extLst>
            <a:ext uri="{FF2B5EF4-FFF2-40B4-BE49-F238E27FC236}">
              <a16:creationId xmlns:a16="http://schemas.microsoft.com/office/drawing/2014/main" id="{D81AC33F-D903-4360-8CA6-2F29020516C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141</xdr:row>
      <xdr:rowOff>0</xdr:rowOff>
    </xdr:from>
    <xdr:ext cx="304800" cy="317500"/>
    <xdr:sp macro="" textlink="">
      <xdr:nvSpPr>
        <xdr:cNvPr id="1800" name="AutoShape 177" descr="USA">
          <a:hlinkClick xmlns:r="http://schemas.openxmlformats.org/officeDocument/2006/relationships" r:id="rId174"/>
          <a:extLst>
            <a:ext uri="{FF2B5EF4-FFF2-40B4-BE49-F238E27FC236}">
              <a16:creationId xmlns:a16="http://schemas.microsoft.com/office/drawing/2014/main" id="{33B66E33-E820-4559-886A-764A2DF8D8E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01" name="AutoShape 177" descr="USA">
          <a:hlinkClick xmlns:r="http://schemas.openxmlformats.org/officeDocument/2006/relationships" r:id="rId174"/>
          <a:extLst>
            <a:ext uri="{FF2B5EF4-FFF2-40B4-BE49-F238E27FC236}">
              <a16:creationId xmlns:a16="http://schemas.microsoft.com/office/drawing/2014/main" id="{D8EABC64-6063-41B6-BAC9-BD0F02A45FD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2" name="AutoShape 171" descr="USA">
          <a:hlinkClick xmlns:r="http://schemas.openxmlformats.org/officeDocument/2006/relationships" r:id="rId165"/>
          <a:extLst>
            <a:ext uri="{FF2B5EF4-FFF2-40B4-BE49-F238E27FC236}">
              <a16:creationId xmlns:a16="http://schemas.microsoft.com/office/drawing/2014/main" id="{7038E623-FEA9-4008-83A5-7096AFD8F9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3" name="AutoShape 177" descr="USA">
          <a:hlinkClick xmlns:r="http://schemas.openxmlformats.org/officeDocument/2006/relationships" r:id="rId174"/>
          <a:extLst>
            <a:ext uri="{FF2B5EF4-FFF2-40B4-BE49-F238E27FC236}">
              <a16:creationId xmlns:a16="http://schemas.microsoft.com/office/drawing/2014/main" id="{F48DFFD1-68A5-4653-94F8-F62778BCBE6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4" name="AutoShape 177" descr="USA">
          <a:hlinkClick xmlns:r="http://schemas.openxmlformats.org/officeDocument/2006/relationships" r:id="rId174"/>
          <a:extLst>
            <a:ext uri="{FF2B5EF4-FFF2-40B4-BE49-F238E27FC236}">
              <a16:creationId xmlns:a16="http://schemas.microsoft.com/office/drawing/2014/main" id="{03BD4BDC-67A3-4983-91AD-C724B6CD6CE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5" name="AutoShape 177" descr="USA">
          <a:hlinkClick xmlns:r="http://schemas.openxmlformats.org/officeDocument/2006/relationships" r:id="rId174"/>
          <a:extLst>
            <a:ext uri="{FF2B5EF4-FFF2-40B4-BE49-F238E27FC236}">
              <a16:creationId xmlns:a16="http://schemas.microsoft.com/office/drawing/2014/main" id="{90B62DCA-1ABA-4B01-84E9-DFE7E3E9E22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6" name="AutoShape 177" descr="USA">
          <a:hlinkClick xmlns:r="http://schemas.openxmlformats.org/officeDocument/2006/relationships" r:id="rId174"/>
          <a:extLst>
            <a:ext uri="{FF2B5EF4-FFF2-40B4-BE49-F238E27FC236}">
              <a16:creationId xmlns:a16="http://schemas.microsoft.com/office/drawing/2014/main" id="{B43523C1-8303-4AD0-81E4-389166B7517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7" name="AutoShape 177" descr="USA">
          <a:hlinkClick xmlns:r="http://schemas.openxmlformats.org/officeDocument/2006/relationships" r:id="rId174"/>
          <a:extLst>
            <a:ext uri="{FF2B5EF4-FFF2-40B4-BE49-F238E27FC236}">
              <a16:creationId xmlns:a16="http://schemas.microsoft.com/office/drawing/2014/main" id="{4367FBE3-93B6-447C-97A0-AA8E2D4F068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8" name="AutoShape 177" descr="USA">
          <a:hlinkClick xmlns:r="http://schemas.openxmlformats.org/officeDocument/2006/relationships" r:id="rId174"/>
          <a:extLst>
            <a:ext uri="{FF2B5EF4-FFF2-40B4-BE49-F238E27FC236}">
              <a16:creationId xmlns:a16="http://schemas.microsoft.com/office/drawing/2014/main" id="{35145497-3E72-4AB6-B8AA-BD1E0A80AF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142</xdr:row>
      <xdr:rowOff>0</xdr:rowOff>
    </xdr:from>
    <xdr:ext cx="304800" cy="317500"/>
    <xdr:sp macro="" textlink="">
      <xdr:nvSpPr>
        <xdr:cNvPr id="1809" name="AutoShape 177" descr="USA">
          <a:hlinkClick xmlns:r="http://schemas.openxmlformats.org/officeDocument/2006/relationships" r:id="rId174"/>
          <a:extLst>
            <a:ext uri="{FF2B5EF4-FFF2-40B4-BE49-F238E27FC236}">
              <a16:creationId xmlns:a16="http://schemas.microsoft.com/office/drawing/2014/main" id="{41D1B976-E75F-4C98-8274-79D2545A888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10" name="AutoShape 177" descr="USA">
          <a:hlinkClick xmlns:r="http://schemas.openxmlformats.org/officeDocument/2006/relationships" r:id="rId174"/>
          <a:extLst>
            <a:ext uri="{FF2B5EF4-FFF2-40B4-BE49-F238E27FC236}">
              <a16:creationId xmlns:a16="http://schemas.microsoft.com/office/drawing/2014/main" id="{4AD05739-0652-4BA0-B792-D3667CD6DB6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1" name="AutoShape 171" descr="USA">
          <a:hlinkClick xmlns:r="http://schemas.openxmlformats.org/officeDocument/2006/relationships" r:id="rId165"/>
          <a:extLst>
            <a:ext uri="{FF2B5EF4-FFF2-40B4-BE49-F238E27FC236}">
              <a16:creationId xmlns:a16="http://schemas.microsoft.com/office/drawing/2014/main" id="{E531F2C8-6A3B-4275-AF18-E3DAF4DC82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2" name="AutoShape 177" descr="USA">
          <a:hlinkClick xmlns:r="http://schemas.openxmlformats.org/officeDocument/2006/relationships" r:id="rId174"/>
          <a:extLst>
            <a:ext uri="{FF2B5EF4-FFF2-40B4-BE49-F238E27FC236}">
              <a16:creationId xmlns:a16="http://schemas.microsoft.com/office/drawing/2014/main" id="{572D6CE2-FD82-40E7-8832-0848616E63E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3" name="AutoShape 177" descr="USA">
          <a:hlinkClick xmlns:r="http://schemas.openxmlformats.org/officeDocument/2006/relationships" r:id="rId174"/>
          <a:extLst>
            <a:ext uri="{FF2B5EF4-FFF2-40B4-BE49-F238E27FC236}">
              <a16:creationId xmlns:a16="http://schemas.microsoft.com/office/drawing/2014/main" id="{6425B6A4-0966-4065-B0CD-ACCA7437A26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4" name="AutoShape 177" descr="USA">
          <a:hlinkClick xmlns:r="http://schemas.openxmlformats.org/officeDocument/2006/relationships" r:id="rId174"/>
          <a:extLst>
            <a:ext uri="{FF2B5EF4-FFF2-40B4-BE49-F238E27FC236}">
              <a16:creationId xmlns:a16="http://schemas.microsoft.com/office/drawing/2014/main" id="{46C86A7D-893F-41AE-9DE7-8CE5ED999F0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5" name="AutoShape 177" descr="USA">
          <a:hlinkClick xmlns:r="http://schemas.openxmlformats.org/officeDocument/2006/relationships" r:id="rId174"/>
          <a:extLst>
            <a:ext uri="{FF2B5EF4-FFF2-40B4-BE49-F238E27FC236}">
              <a16:creationId xmlns:a16="http://schemas.microsoft.com/office/drawing/2014/main" id="{01183B04-3135-4BE9-9A1D-6BB84B322AB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6" name="AutoShape 177" descr="USA">
          <a:hlinkClick xmlns:r="http://schemas.openxmlformats.org/officeDocument/2006/relationships" r:id="rId174"/>
          <a:extLst>
            <a:ext uri="{FF2B5EF4-FFF2-40B4-BE49-F238E27FC236}">
              <a16:creationId xmlns:a16="http://schemas.microsoft.com/office/drawing/2014/main" id="{D7A47494-F898-4602-A0F1-FA3E1789C3A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7" name="AutoShape 177" descr="USA">
          <a:hlinkClick xmlns:r="http://schemas.openxmlformats.org/officeDocument/2006/relationships" r:id="rId174"/>
          <a:extLst>
            <a:ext uri="{FF2B5EF4-FFF2-40B4-BE49-F238E27FC236}">
              <a16:creationId xmlns:a16="http://schemas.microsoft.com/office/drawing/2014/main" id="{7D43D3E7-73CE-4A40-8F2D-A900C48429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143</xdr:row>
      <xdr:rowOff>0</xdr:rowOff>
    </xdr:from>
    <xdr:ext cx="304800" cy="317500"/>
    <xdr:sp macro="" textlink="">
      <xdr:nvSpPr>
        <xdr:cNvPr id="1818" name="AutoShape 177" descr="USA">
          <a:hlinkClick xmlns:r="http://schemas.openxmlformats.org/officeDocument/2006/relationships" r:id="rId174"/>
          <a:extLst>
            <a:ext uri="{FF2B5EF4-FFF2-40B4-BE49-F238E27FC236}">
              <a16:creationId xmlns:a16="http://schemas.microsoft.com/office/drawing/2014/main" id="{E4957AEE-3F0B-4EC3-A0CA-38F27F21562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19" name="AutoShape 177" descr="USA">
          <a:hlinkClick xmlns:r="http://schemas.openxmlformats.org/officeDocument/2006/relationships" r:id="rId174"/>
          <a:extLst>
            <a:ext uri="{FF2B5EF4-FFF2-40B4-BE49-F238E27FC236}">
              <a16:creationId xmlns:a16="http://schemas.microsoft.com/office/drawing/2014/main" id="{B1108747-03C5-487C-B0DC-6C5925CCA36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0" name="AutoShape 171" descr="USA">
          <a:hlinkClick xmlns:r="http://schemas.openxmlformats.org/officeDocument/2006/relationships" r:id="rId165"/>
          <a:extLst>
            <a:ext uri="{FF2B5EF4-FFF2-40B4-BE49-F238E27FC236}">
              <a16:creationId xmlns:a16="http://schemas.microsoft.com/office/drawing/2014/main" id="{CEDC54AC-4AC2-46FC-91BC-54FEBABDB6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1" name="AutoShape 177" descr="USA">
          <a:hlinkClick xmlns:r="http://schemas.openxmlformats.org/officeDocument/2006/relationships" r:id="rId174"/>
          <a:extLst>
            <a:ext uri="{FF2B5EF4-FFF2-40B4-BE49-F238E27FC236}">
              <a16:creationId xmlns:a16="http://schemas.microsoft.com/office/drawing/2014/main" id="{36BAFED3-2475-4B26-A639-A51B7DBFF62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2" name="AutoShape 177" descr="USA">
          <a:hlinkClick xmlns:r="http://schemas.openxmlformats.org/officeDocument/2006/relationships" r:id="rId174"/>
          <a:extLst>
            <a:ext uri="{FF2B5EF4-FFF2-40B4-BE49-F238E27FC236}">
              <a16:creationId xmlns:a16="http://schemas.microsoft.com/office/drawing/2014/main" id="{76356C4F-3CA0-4330-9B91-0EBE1CD8347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3" name="AutoShape 177" descr="USA">
          <a:hlinkClick xmlns:r="http://schemas.openxmlformats.org/officeDocument/2006/relationships" r:id="rId174"/>
          <a:extLst>
            <a:ext uri="{FF2B5EF4-FFF2-40B4-BE49-F238E27FC236}">
              <a16:creationId xmlns:a16="http://schemas.microsoft.com/office/drawing/2014/main" id="{9EF86000-420B-42AD-B8ED-768E1D31875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4" name="AutoShape 177" descr="USA">
          <a:hlinkClick xmlns:r="http://schemas.openxmlformats.org/officeDocument/2006/relationships" r:id="rId174"/>
          <a:extLst>
            <a:ext uri="{FF2B5EF4-FFF2-40B4-BE49-F238E27FC236}">
              <a16:creationId xmlns:a16="http://schemas.microsoft.com/office/drawing/2014/main" id="{4C45BD5A-72DA-4D44-9E8E-CCE3C005849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5" name="AutoShape 177" descr="USA">
          <a:hlinkClick xmlns:r="http://schemas.openxmlformats.org/officeDocument/2006/relationships" r:id="rId174"/>
          <a:extLst>
            <a:ext uri="{FF2B5EF4-FFF2-40B4-BE49-F238E27FC236}">
              <a16:creationId xmlns:a16="http://schemas.microsoft.com/office/drawing/2014/main" id="{EE2F19E4-9856-46D4-82E5-A58BADEEF46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6" name="AutoShape 177" descr="USA">
          <a:hlinkClick xmlns:r="http://schemas.openxmlformats.org/officeDocument/2006/relationships" r:id="rId174"/>
          <a:extLst>
            <a:ext uri="{FF2B5EF4-FFF2-40B4-BE49-F238E27FC236}">
              <a16:creationId xmlns:a16="http://schemas.microsoft.com/office/drawing/2014/main" id="{F07CD1BF-04F7-496C-AC9C-67325A70194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144</xdr:row>
      <xdr:rowOff>0</xdr:rowOff>
    </xdr:from>
    <xdr:ext cx="304800" cy="317500"/>
    <xdr:sp macro="" textlink="">
      <xdr:nvSpPr>
        <xdr:cNvPr id="1827" name="AutoShape 177" descr="USA">
          <a:hlinkClick xmlns:r="http://schemas.openxmlformats.org/officeDocument/2006/relationships" r:id="rId174"/>
          <a:extLst>
            <a:ext uri="{FF2B5EF4-FFF2-40B4-BE49-F238E27FC236}">
              <a16:creationId xmlns:a16="http://schemas.microsoft.com/office/drawing/2014/main" id="{750BF561-3B67-4F59-AB03-470D0102880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28" name="AutoShape 177" descr="USA">
          <a:hlinkClick xmlns:r="http://schemas.openxmlformats.org/officeDocument/2006/relationships" r:id="rId174"/>
          <a:extLst>
            <a:ext uri="{FF2B5EF4-FFF2-40B4-BE49-F238E27FC236}">
              <a16:creationId xmlns:a16="http://schemas.microsoft.com/office/drawing/2014/main" id="{A16D04D2-1874-40C0-BD4E-9F0AAF113F6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29" name="AutoShape 171" descr="USA">
          <a:hlinkClick xmlns:r="http://schemas.openxmlformats.org/officeDocument/2006/relationships" r:id="rId165"/>
          <a:extLst>
            <a:ext uri="{FF2B5EF4-FFF2-40B4-BE49-F238E27FC236}">
              <a16:creationId xmlns:a16="http://schemas.microsoft.com/office/drawing/2014/main" id="{194E7813-563A-4F38-A10D-7A3905F3CE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0" name="AutoShape 177" descr="USA">
          <a:hlinkClick xmlns:r="http://schemas.openxmlformats.org/officeDocument/2006/relationships" r:id="rId174"/>
          <a:extLst>
            <a:ext uri="{FF2B5EF4-FFF2-40B4-BE49-F238E27FC236}">
              <a16:creationId xmlns:a16="http://schemas.microsoft.com/office/drawing/2014/main" id="{10098E12-5416-48E1-83C1-4EB6D3CB135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1" name="AutoShape 177" descr="USA">
          <a:hlinkClick xmlns:r="http://schemas.openxmlformats.org/officeDocument/2006/relationships" r:id="rId174"/>
          <a:extLst>
            <a:ext uri="{FF2B5EF4-FFF2-40B4-BE49-F238E27FC236}">
              <a16:creationId xmlns:a16="http://schemas.microsoft.com/office/drawing/2014/main" id="{CD089410-49E4-411D-A375-63CFE75227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2" name="AutoShape 177" descr="USA">
          <a:hlinkClick xmlns:r="http://schemas.openxmlformats.org/officeDocument/2006/relationships" r:id="rId174"/>
          <a:extLst>
            <a:ext uri="{FF2B5EF4-FFF2-40B4-BE49-F238E27FC236}">
              <a16:creationId xmlns:a16="http://schemas.microsoft.com/office/drawing/2014/main" id="{1E80B39B-DF2E-4B51-B3E8-FE5CCE13D6B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3" name="AutoShape 177" descr="USA">
          <a:hlinkClick xmlns:r="http://schemas.openxmlformats.org/officeDocument/2006/relationships" r:id="rId174"/>
          <a:extLst>
            <a:ext uri="{FF2B5EF4-FFF2-40B4-BE49-F238E27FC236}">
              <a16:creationId xmlns:a16="http://schemas.microsoft.com/office/drawing/2014/main" id="{B09300A1-4FF7-44E5-990E-EEA2309B3A5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4" name="AutoShape 177" descr="USA">
          <a:hlinkClick xmlns:r="http://schemas.openxmlformats.org/officeDocument/2006/relationships" r:id="rId174"/>
          <a:extLst>
            <a:ext uri="{FF2B5EF4-FFF2-40B4-BE49-F238E27FC236}">
              <a16:creationId xmlns:a16="http://schemas.microsoft.com/office/drawing/2014/main" id="{8B177168-1970-4B20-8CA0-9E0AE92BF57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5" name="AutoShape 177" descr="USA">
          <a:hlinkClick xmlns:r="http://schemas.openxmlformats.org/officeDocument/2006/relationships" r:id="rId174"/>
          <a:extLst>
            <a:ext uri="{FF2B5EF4-FFF2-40B4-BE49-F238E27FC236}">
              <a16:creationId xmlns:a16="http://schemas.microsoft.com/office/drawing/2014/main" id="{6ED7AD34-759E-43E5-BFEE-513F622EC1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145</xdr:row>
      <xdr:rowOff>0</xdr:rowOff>
    </xdr:from>
    <xdr:ext cx="304800" cy="317500"/>
    <xdr:sp macro="" textlink="">
      <xdr:nvSpPr>
        <xdr:cNvPr id="1836" name="AutoShape 177" descr="USA">
          <a:hlinkClick xmlns:r="http://schemas.openxmlformats.org/officeDocument/2006/relationships" r:id="rId174"/>
          <a:extLst>
            <a:ext uri="{FF2B5EF4-FFF2-40B4-BE49-F238E27FC236}">
              <a16:creationId xmlns:a16="http://schemas.microsoft.com/office/drawing/2014/main" id="{E908A477-C40E-40F5-8A95-9730CFEB2CE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37" name="AutoShape 177" descr="USA">
          <a:hlinkClick xmlns:r="http://schemas.openxmlformats.org/officeDocument/2006/relationships" r:id="rId174"/>
          <a:extLst>
            <a:ext uri="{FF2B5EF4-FFF2-40B4-BE49-F238E27FC236}">
              <a16:creationId xmlns:a16="http://schemas.microsoft.com/office/drawing/2014/main" id="{8D4B0F17-9DF0-4E94-8EC0-1592E21E394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38" name="AutoShape 171" descr="USA">
          <a:hlinkClick xmlns:r="http://schemas.openxmlformats.org/officeDocument/2006/relationships" r:id="rId165"/>
          <a:extLst>
            <a:ext uri="{FF2B5EF4-FFF2-40B4-BE49-F238E27FC236}">
              <a16:creationId xmlns:a16="http://schemas.microsoft.com/office/drawing/2014/main" id="{CB8D32CD-7636-4D1E-AEE0-77374A74901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39" name="AutoShape 177" descr="USA">
          <a:hlinkClick xmlns:r="http://schemas.openxmlformats.org/officeDocument/2006/relationships" r:id="rId174"/>
          <a:extLst>
            <a:ext uri="{FF2B5EF4-FFF2-40B4-BE49-F238E27FC236}">
              <a16:creationId xmlns:a16="http://schemas.microsoft.com/office/drawing/2014/main" id="{0200623F-90EF-4C1B-AA8E-6A1984ACF31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0" name="AutoShape 177" descr="USA">
          <a:hlinkClick xmlns:r="http://schemas.openxmlformats.org/officeDocument/2006/relationships" r:id="rId174"/>
          <a:extLst>
            <a:ext uri="{FF2B5EF4-FFF2-40B4-BE49-F238E27FC236}">
              <a16:creationId xmlns:a16="http://schemas.microsoft.com/office/drawing/2014/main" id="{C01421E2-DBF4-454D-9CE0-646DE487DC2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1" name="AutoShape 177" descr="USA">
          <a:hlinkClick xmlns:r="http://schemas.openxmlformats.org/officeDocument/2006/relationships" r:id="rId174"/>
          <a:extLst>
            <a:ext uri="{FF2B5EF4-FFF2-40B4-BE49-F238E27FC236}">
              <a16:creationId xmlns:a16="http://schemas.microsoft.com/office/drawing/2014/main" id="{F3CAD522-A6D4-458E-A22D-CB657D4F4DB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2" name="AutoShape 177" descr="USA">
          <a:hlinkClick xmlns:r="http://schemas.openxmlformats.org/officeDocument/2006/relationships" r:id="rId174"/>
          <a:extLst>
            <a:ext uri="{FF2B5EF4-FFF2-40B4-BE49-F238E27FC236}">
              <a16:creationId xmlns:a16="http://schemas.microsoft.com/office/drawing/2014/main" id="{0F4B1114-8B66-4CCD-ABB8-B3148AE77D1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3" name="AutoShape 177" descr="USA">
          <a:hlinkClick xmlns:r="http://schemas.openxmlformats.org/officeDocument/2006/relationships" r:id="rId174"/>
          <a:extLst>
            <a:ext uri="{FF2B5EF4-FFF2-40B4-BE49-F238E27FC236}">
              <a16:creationId xmlns:a16="http://schemas.microsoft.com/office/drawing/2014/main" id="{30420EA7-1D67-457D-AF82-426289E92E7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4" name="AutoShape 177" descr="USA">
          <a:hlinkClick xmlns:r="http://schemas.openxmlformats.org/officeDocument/2006/relationships" r:id="rId174"/>
          <a:extLst>
            <a:ext uri="{FF2B5EF4-FFF2-40B4-BE49-F238E27FC236}">
              <a16:creationId xmlns:a16="http://schemas.microsoft.com/office/drawing/2014/main" id="{4D029E9A-6EAA-4EC3-BB63-C7EFDAD4215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146</xdr:row>
      <xdr:rowOff>0</xdr:rowOff>
    </xdr:from>
    <xdr:ext cx="304800" cy="317500"/>
    <xdr:sp macro="" textlink="">
      <xdr:nvSpPr>
        <xdr:cNvPr id="1845" name="AutoShape 177" descr="USA">
          <a:hlinkClick xmlns:r="http://schemas.openxmlformats.org/officeDocument/2006/relationships" r:id="rId174"/>
          <a:extLst>
            <a:ext uri="{FF2B5EF4-FFF2-40B4-BE49-F238E27FC236}">
              <a16:creationId xmlns:a16="http://schemas.microsoft.com/office/drawing/2014/main" id="{A7654B58-5E02-461F-BD7B-6C6BB739B3C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46" name="AutoShape 177" descr="USA">
          <a:hlinkClick xmlns:r="http://schemas.openxmlformats.org/officeDocument/2006/relationships" r:id="rId174"/>
          <a:extLst>
            <a:ext uri="{FF2B5EF4-FFF2-40B4-BE49-F238E27FC236}">
              <a16:creationId xmlns:a16="http://schemas.microsoft.com/office/drawing/2014/main" id="{BB1DDA12-69BB-4803-B286-81FAEAE3134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47" name="AutoShape 171" descr="USA">
          <a:hlinkClick xmlns:r="http://schemas.openxmlformats.org/officeDocument/2006/relationships" r:id="rId165"/>
          <a:extLst>
            <a:ext uri="{FF2B5EF4-FFF2-40B4-BE49-F238E27FC236}">
              <a16:creationId xmlns:a16="http://schemas.microsoft.com/office/drawing/2014/main" id="{E9271985-E298-4BAE-9625-D530F2B700D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48" name="AutoShape 177" descr="USA">
          <a:hlinkClick xmlns:r="http://schemas.openxmlformats.org/officeDocument/2006/relationships" r:id="rId174"/>
          <a:extLst>
            <a:ext uri="{FF2B5EF4-FFF2-40B4-BE49-F238E27FC236}">
              <a16:creationId xmlns:a16="http://schemas.microsoft.com/office/drawing/2014/main" id="{8A650A36-40B6-4269-8BC8-171204B87DA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49" name="AutoShape 177" descr="USA">
          <a:hlinkClick xmlns:r="http://schemas.openxmlformats.org/officeDocument/2006/relationships" r:id="rId174"/>
          <a:extLst>
            <a:ext uri="{FF2B5EF4-FFF2-40B4-BE49-F238E27FC236}">
              <a16:creationId xmlns:a16="http://schemas.microsoft.com/office/drawing/2014/main" id="{A644409C-4C2C-4F9C-85C5-7B1BFF04270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0" name="AutoShape 177" descr="USA">
          <a:hlinkClick xmlns:r="http://schemas.openxmlformats.org/officeDocument/2006/relationships" r:id="rId174"/>
          <a:extLst>
            <a:ext uri="{FF2B5EF4-FFF2-40B4-BE49-F238E27FC236}">
              <a16:creationId xmlns:a16="http://schemas.microsoft.com/office/drawing/2014/main" id="{79CFCCA3-CDDA-4E13-A3AA-E20EB37D2FE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1" name="AutoShape 177" descr="USA">
          <a:hlinkClick xmlns:r="http://schemas.openxmlformats.org/officeDocument/2006/relationships" r:id="rId174"/>
          <a:extLst>
            <a:ext uri="{FF2B5EF4-FFF2-40B4-BE49-F238E27FC236}">
              <a16:creationId xmlns:a16="http://schemas.microsoft.com/office/drawing/2014/main" id="{ADAB6739-791A-4E8D-9A6C-137CE879249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2" name="AutoShape 177" descr="USA">
          <a:hlinkClick xmlns:r="http://schemas.openxmlformats.org/officeDocument/2006/relationships" r:id="rId174"/>
          <a:extLst>
            <a:ext uri="{FF2B5EF4-FFF2-40B4-BE49-F238E27FC236}">
              <a16:creationId xmlns:a16="http://schemas.microsoft.com/office/drawing/2014/main" id="{795BA4F7-5F3D-482A-B6AD-A979EBF9CD4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3" name="AutoShape 177" descr="USA">
          <a:hlinkClick xmlns:r="http://schemas.openxmlformats.org/officeDocument/2006/relationships" r:id="rId174"/>
          <a:extLst>
            <a:ext uri="{FF2B5EF4-FFF2-40B4-BE49-F238E27FC236}">
              <a16:creationId xmlns:a16="http://schemas.microsoft.com/office/drawing/2014/main" id="{C66E65F0-08FA-4D22-BEC1-6000D9DE3F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147</xdr:row>
      <xdr:rowOff>0</xdr:rowOff>
    </xdr:from>
    <xdr:ext cx="304800" cy="317500"/>
    <xdr:sp macro="" textlink="">
      <xdr:nvSpPr>
        <xdr:cNvPr id="1854" name="AutoShape 177" descr="USA">
          <a:hlinkClick xmlns:r="http://schemas.openxmlformats.org/officeDocument/2006/relationships" r:id="rId174"/>
          <a:extLst>
            <a:ext uri="{FF2B5EF4-FFF2-40B4-BE49-F238E27FC236}">
              <a16:creationId xmlns:a16="http://schemas.microsoft.com/office/drawing/2014/main" id="{50BC29FF-7110-42F5-92AE-40CE5B08089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55" name="AutoShape 177" descr="USA">
          <a:hlinkClick xmlns:r="http://schemas.openxmlformats.org/officeDocument/2006/relationships" r:id="rId174"/>
          <a:extLst>
            <a:ext uri="{FF2B5EF4-FFF2-40B4-BE49-F238E27FC236}">
              <a16:creationId xmlns:a16="http://schemas.microsoft.com/office/drawing/2014/main" id="{EDBA76FB-9746-4F1A-B401-962CD1952BC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6" name="AutoShape 171" descr="USA">
          <a:hlinkClick xmlns:r="http://schemas.openxmlformats.org/officeDocument/2006/relationships" r:id="rId165"/>
          <a:extLst>
            <a:ext uri="{FF2B5EF4-FFF2-40B4-BE49-F238E27FC236}">
              <a16:creationId xmlns:a16="http://schemas.microsoft.com/office/drawing/2014/main" id="{5979DC21-DF87-4135-8FF0-14CC50FC71E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7" name="AutoShape 177" descr="USA">
          <a:hlinkClick xmlns:r="http://schemas.openxmlformats.org/officeDocument/2006/relationships" r:id="rId174"/>
          <a:extLst>
            <a:ext uri="{FF2B5EF4-FFF2-40B4-BE49-F238E27FC236}">
              <a16:creationId xmlns:a16="http://schemas.microsoft.com/office/drawing/2014/main" id="{3EAB0A4E-0746-4F5B-A2F9-E300DB50EE2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8" name="AutoShape 177" descr="USA">
          <a:hlinkClick xmlns:r="http://schemas.openxmlformats.org/officeDocument/2006/relationships" r:id="rId174"/>
          <a:extLst>
            <a:ext uri="{FF2B5EF4-FFF2-40B4-BE49-F238E27FC236}">
              <a16:creationId xmlns:a16="http://schemas.microsoft.com/office/drawing/2014/main" id="{54E6F34D-1CDA-4918-9A7A-DD05229E583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59" name="AutoShape 177" descr="USA">
          <a:hlinkClick xmlns:r="http://schemas.openxmlformats.org/officeDocument/2006/relationships" r:id="rId174"/>
          <a:extLst>
            <a:ext uri="{FF2B5EF4-FFF2-40B4-BE49-F238E27FC236}">
              <a16:creationId xmlns:a16="http://schemas.microsoft.com/office/drawing/2014/main" id="{75CE6E34-C2ED-443F-BBD3-7871E95CA13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0" name="AutoShape 177" descr="USA">
          <a:hlinkClick xmlns:r="http://schemas.openxmlformats.org/officeDocument/2006/relationships" r:id="rId174"/>
          <a:extLst>
            <a:ext uri="{FF2B5EF4-FFF2-40B4-BE49-F238E27FC236}">
              <a16:creationId xmlns:a16="http://schemas.microsoft.com/office/drawing/2014/main" id="{50CD53DA-AA93-4D18-97D5-29C1D75C453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1" name="AutoShape 177" descr="USA">
          <a:hlinkClick xmlns:r="http://schemas.openxmlformats.org/officeDocument/2006/relationships" r:id="rId174"/>
          <a:extLst>
            <a:ext uri="{FF2B5EF4-FFF2-40B4-BE49-F238E27FC236}">
              <a16:creationId xmlns:a16="http://schemas.microsoft.com/office/drawing/2014/main" id="{AB0B88FB-532D-4C35-A7AD-DCBB0C049BA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2" name="AutoShape 177" descr="USA">
          <a:hlinkClick xmlns:r="http://schemas.openxmlformats.org/officeDocument/2006/relationships" r:id="rId174"/>
          <a:extLst>
            <a:ext uri="{FF2B5EF4-FFF2-40B4-BE49-F238E27FC236}">
              <a16:creationId xmlns:a16="http://schemas.microsoft.com/office/drawing/2014/main" id="{E65BD8AD-01ED-428C-B5F3-3B17D52CE78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148</xdr:row>
      <xdr:rowOff>0</xdr:rowOff>
    </xdr:from>
    <xdr:ext cx="304800" cy="317500"/>
    <xdr:sp macro="" textlink="">
      <xdr:nvSpPr>
        <xdr:cNvPr id="1863" name="AutoShape 177" descr="USA">
          <a:hlinkClick xmlns:r="http://schemas.openxmlformats.org/officeDocument/2006/relationships" r:id="rId174"/>
          <a:extLst>
            <a:ext uri="{FF2B5EF4-FFF2-40B4-BE49-F238E27FC236}">
              <a16:creationId xmlns:a16="http://schemas.microsoft.com/office/drawing/2014/main" id="{AEBE1ACA-FBDA-4373-8906-F781BDE3E3A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64" name="AutoShape 177" descr="USA">
          <a:hlinkClick xmlns:r="http://schemas.openxmlformats.org/officeDocument/2006/relationships" r:id="rId174"/>
          <a:extLst>
            <a:ext uri="{FF2B5EF4-FFF2-40B4-BE49-F238E27FC236}">
              <a16:creationId xmlns:a16="http://schemas.microsoft.com/office/drawing/2014/main" id="{59BAC8A4-0F47-482C-9447-ED1D26E5FA5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5" name="AutoShape 171" descr="USA">
          <a:hlinkClick xmlns:r="http://schemas.openxmlformats.org/officeDocument/2006/relationships" r:id="rId165"/>
          <a:extLst>
            <a:ext uri="{FF2B5EF4-FFF2-40B4-BE49-F238E27FC236}">
              <a16:creationId xmlns:a16="http://schemas.microsoft.com/office/drawing/2014/main" id="{C75BA18B-B074-4420-A0B9-301C1C05AB3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6" name="AutoShape 177" descr="USA">
          <a:hlinkClick xmlns:r="http://schemas.openxmlformats.org/officeDocument/2006/relationships" r:id="rId174"/>
          <a:extLst>
            <a:ext uri="{FF2B5EF4-FFF2-40B4-BE49-F238E27FC236}">
              <a16:creationId xmlns:a16="http://schemas.microsoft.com/office/drawing/2014/main" id="{CE171B6D-0781-4843-B25C-4135CEDE33C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7" name="AutoShape 177" descr="USA">
          <a:hlinkClick xmlns:r="http://schemas.openxmlformats.org/officeDocument/2006/relationships" r:id="rId174"/>
          <a:extLst>
            <a:ext uri="{FF2B5EF4-FFF2-40B4-BE49-F238E27FC236}">
              <a16:creationId xmlns:a16="http://schemas.microsoft.com/office/drawing/2014/main" id="{48445ABA-2620-45CF-AB64-F3887BA80D1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8" name="AutoShape 177" descr="USA">
          <a:hlinkClick xmlns:r="http://schemas.openxmlformats.org/officeDocument/2006/relationships" r:id="rId174"/>
          <a:extLst>
            <a:ext uri="{FF2B5EF4-FFF2-40B4-BE49-F238E27FC236}">
              <a16:creationId xmlns:a16="http://schemas.microsoft.com/office/drawing/2014/main" id="{152198AA-932E-4FEC-BF70-9572E59F2A3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69" name="AutoShape 177" descr="USA">
          <a:hlinkClick xmlns:r="http://schemas.openxmlformats.org/officeDocument/2006/relationships" r:id="rId174"/>
          <a:extLst>
            <a:ext uri="{FF2B5EF4-FFF2-40B4-BE49-F238E27FC236}">
              <a16:creationId xmlns:a16="http://schemas.microsoft.com/office/drawing/2014/main" id="{72F26AD9-A006-4E76-848B-3C8BB3405A3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70" name="AutoShape 177" descr="USA">
          <a:hlinkClick xmlns:r="http://schemas.openxmlformats.org/officeDocument/2006/relationships" r:id="rId174"/>
          <a:extLst>
            <a:ext uri="{FF2B5EF4-FFF2-40B4-BE49-F238E27FC236}">
              <a16:creationId xmlns:a16="http://schemas.microsoft.com/office/drawing/2014/main" id="{DD2FFE17-20E9-4BCE-8E87-79AED61B411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71" name="AutoShape 177" descr="USA">
          <a:hlinkClick xmlns:r="http://schemas.openxmlformats.org/officeDocument/2006/relationships" r:id="rId174"/>
          <a:extLst>
            <a:ext uri="{FF2B5EF4-FFF2-40B4-BE49-F238E27FC236}">
              <a16:creationId xmlns:a16="http://schemas.microsoft.com/office/drawing/2014/main" id="{01A42A0F-8E1B-4C17-A2F5-9354AB9F67B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149</xdr:row>
      <xdr:rowOff>0</xdr:rowOff>
    </xdr:from>
    <xdr:ext cx="304800" cy="317500"/>
    <xdr:sp macro="" textlink="">
      <xdr:nvSpPr>
        <xdr:cNvPr id="1872" name="AutoShape 177" descr="USA">
          <a:hlinkClick xmlns:r="http://schemas.openxmlformats.org/officeDocument/2006/relationships" r:id="rId174"/>
          <a:extLst>
            <a:ext uri="{FF2B5EF4-FFF2-40B4-BE49-F238E27FC236}">
              <a16:creationId xmlns:a16="http://schemas.microsoft.com/office/drawing/2014/main" id="{24D2D8CB-EA59-46F9-BBFF-873958592BD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73" name="AutoShape 177" descr="USA">
          <a:hlinkClick xmlns:r="http://schemas.openxmlformats.org/officeDocument/2006/relationships" r:id="rId174"/>
          <a:extLst>
            <a:ext uri="{FF2B5EF4-FFF2-40B4-BE49-F238E27FC236}">
              <a16:creationId xmlns:a16="http://schemas.microsoft.com/office/drawing/2014/main" id="{3E9B2BEF-FB4A-4093-884A-EA40FE4D87D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4" name="AutoShape 171" descr="USA">
          <a:hlinkClick xmlns:r="http://schemas.openxmlformats.org/officeDocument/2006/relationships" r:id="rId165"/>
          <a:extLst>
            <a:ext uri="{FF2B5EF4-FFF2-40B4-BE49-F238E27FC236}">
              <a16:creationId xmlns:a16="http://schemas.microsoft.com/office/drawing/2014/main" id="{24CC1343-BD40-446D-AD91-E2DA60A0F1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5" name="AutoShape 177" descr="USA">
          <a:hlinkClick xmlns:r="http://schemas.openxmlformats.org/officeDocument/2006/relationships" r:id="rId174"/>
          <a:extLst>
            <a:ext uri="{FF2B5EF4-FFF2-40B4-BE49-F238E27FC236}">
              <a16:creationId xmlns:a16="http://schemas.microsoft.com/office/drawing/2014/main" id="{12DEDA00-E8FB-48E1-B1C7-510C73DE828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6" name="AutoShape 177" descr="USA">
          <a:hlinkClick xmlns:r="http://schemas.openxmlformats.org/officeDocument/2006/relationships" r:id="rId174"/>
          <a:extLst>
            <a:ext uri="{FF2B5EF4-FFF2-40B4-BE49-F238E27FC236}">
              <a16:creationId xmlns:a16="http://schemas.microsoft.com/office/drawing/2014/main" id="{E61363A3-952D-4929-A858-CE2C0EE93F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7" name="AutoShape 177" descr="USA">
          <a:hlinkClick xmlns:r="http://schemas.openxmlformats.org/officeDocument/2006/relationships" r:id="rId174"/>
          <a:extLst>
            <a:ext uri="{FF2B5EF4-FFF2-40B4-BE49-F238E27FC236}">
              <a16:creationId xmlns:a16="http://schemas.microsoft.com/office/drawing/2014/main" id="{08272A7A-2DBB-4BCA-94E5-8D76269C9E64}"/>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8" name="AutoShape 177" descr="USA">
          <a:hlinkClick xmlns:r="http://schemas.openxmlformats.org/officeDocument/2006/relationships" r:id="rId174"/>
          <a:extLst>
            <a:ext uri="{FF2B5EF4-FFF2-40B4-BE49-F238E27FC236}">
              <a16:creationId xmlns:a16="http://schemas.microsoft.com/office/drawing/2014/main" id="{E9D93D73-9E92-4F27-ACAC-E399A29DAAB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79" name="AutoShape 177" descr="USA">
          <a:hlinkClick xmlns:r="http://schemas.openxmlformats.org/officeDocument/2006/relationships" r:id="rId174"/>
          <a:extLst>
            <a:ext uri="{FF2B5EF4-FFF2-40B4-BE49-F238E27FC236}">
              <a16:creationId xmlns:a16="http://schemas.microsoft.com/office/drawing/2014/main" id="{D387DD8A-7933-4EDF-B25A-C5930DFAEEA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80" name="AutoShape 177" descr="USA">
          <a:hlinkClick xmlns:r="http://schemas.openxmlformats.org/officeDocument/2006/relationships" r:id="rId174"/>
          <a:extLst>
            <a:ext uri="{FF2B5EF4-FFF2-40B4-BE49-F238E27FC236}">
              <a16:creationId xmlns:a16="http://schemas.microsoft.com/office/drawing/2014/main" id="{559FE942-5B0D-40E7-9C1E-3F19AB1735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150</xdr:row>
      <xdr:rowOff>0</xdr:rowOff>
    </xdr:from>
    <xdr:ext cx="304800" cy="317500"/>
    <xdr:sp macro="" textlink="">
      <xdr:nvSpPr>
        <xdr:cNvPr id="1881" name="AutoShape 177" descr="USA">
          <a:hlinkClick xmlns:r="http://schemas.openxmlformats.org/officeDocument/2006/relationships" r:id="rId174"/>
          <a:extLst>
            <a:ext uri="{FF2B5EF4-FFF2-40B4-BE49-F238E27FC236}">
              <a16:creationId xmlns:a16="http://schemas.microsoft.com/office/drawing/2014/main" id="{EF3A2B3D-1237-4342-986B-EDC0D5CD4A5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82" name="AutoShape 177" descr="USA">
          <a:hlinkClick xmlns:r="http://schemas.openxmlformats.org/officeDocument/2006/relationships" r:id="rId174"/>
          <a:extLst>
            <a:ext uri="{FF2B5EF4-FFF2-40B4-BE49-F238E27FC236}">
              <a16:creationId xmlns:a16="http://schemas.microsoft.com/office/drawing/2014/main" id="{B729EBF5-B986-489E-979E-869AD672AFB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3" name="AutoShape 171" descr="USA">
          <a:hlinkClick xmlns:r="http://schemas.openxmlformats.org/officeDocument/2006/relationships" r:id="rId165"/>
          <a:extLst>
            <a:ext uri="{FF2B5EF4-FFF2-40B4-BE49-F238E27FC236}">
              <a16:creationId xmlns:a16="http://schemas.microsoft.com/office/drawing/2014/main" id="{02554FCC-7064-499B-9207-823206A045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4" name="AutoShape 177" descr="USA">
          <a:hlinkClick xmlns:r="http://schemas.openxmlformats.org/officeDocument/2006/relationships" r:id="rId174"/>
          <a:extLst>
            <a:ext uri="{FF2B5EF4-FFF2-40B4-BE49-F238E27FC236}">
              <a16:creationId xmlns:a16="http://schemas.microsoft.com/office/drawing/2014/main" id="{CC056E9F-E45D-4915-9CF7-9BAAE208BFC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5" name="AutoShape 177" descr="USA">
          <a:hlinkClick xmlns:r="http://schemas.openxmlformats.org/officeDocument/2006/relationships" r:id="rId174"/>
          <a:extLst>
            <a:ext uri="{FF2B5EF4-FFF2-40B4-BE49-F238E27FC236}">
              <a16:creationId xmlns:a16="http://schemas.microsoft.com/office/drawing/2014/main" id="{0A1C929E-B926-45E6-8ADB-F65AEA8B4E2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6" name="AutoShape 177" descr="USA">
          <a:hlinkClick xmlns:r="http://schemas.openxmlformats.org/officeDocument/2006/relationships" r:id="rId174"/>
          <a:extLst>
            <a:ext uri="{FF2B5EF4-FFF2-40B4-BE49-F238E27FC236}">
              <a16:creationId xmlns:a16="http://schemas.microsoft.com/office/drawing/2014/main" id="{7BC2B069-7855-45B2-9502-5A87BBA347D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7" name="AutoShape 177" descr="USA">
          <a:hlinkClick xmlns:r="http://schemas.openxmlformats.org/officeDocument/2006/relationships" r:id="rId174"/>
          <a:extLst>
            <a:ext uri="{FF2B5EF4-FFF2-40B4-BE49-F238E27FC236}">
              <a16:creationId xmlns:a16="http://schemas.microsoft.com/office/drawing/2014/main" id="{7B579A83-64D1-4F21-B567-1CC5943C8C7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8" name="AutoShape 177" descr="USA">
          <a:hlinkClick xmlns:r="http://schemas.openxmlformats.org/officeDocument/2006/relationships" r:id="rId174"/>
          <a:extLst>
            <a:ext uri="{FF2B5EF4-FFF2-40B4-BE49-F238E27FC236}">
              <a16:creationId xmlns:a16="http://schemas.microsoft.com/office/drawing/2014/main" id="{51C4E6D2-BE2F-4C89-8CBD-76109CD2BE1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89" name="AutoShape 177" descr="USA">
          <a:hlinkClick xmlns:r="http://schemas.openxmlformats.org/officeDocument/2006/relationships" r:id="rId174"/>
          <a:extLst>
            <a:ext uri="{FF2B5EF4-FFF2-40B4-BE49-F238E27FC236}">
              <a16:creationId xmlns:a16="http://schemas.microsoft.com/office/drawing/2014/main" id="{8B2888FC-18BE-4C4C-9700-B1F21AFFB68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151</xdr:row>
      <xdr:rowOff>0</xdr:rowOff>
    </xdr:from>
    <xdr:ext cx="304800" cy="317500"/>
    <xdr:sp macro="" textlink="">
      <xdr:nvSpPr>
        <xdr:cNvPr id="1890" name="AutoShape 177" descr="USA">
          <a:hlinkClick xmlns:r="http://schemas.openxmlformats.org/officeDocument/2006/relationships" r:id="rId174"/>
          <a:extLst>
            <a:ext uri="{FF2B5EF4-FFF2-40B4-BE49-F238E27FC236}">
              <a16:creationId xmlns:a16="http://schemas.microsoft.com/office/drawing/2014/main" id="{6A1C403C-FF79-4023-A27B-F1070351058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891" name="AutoShape 177" descr="USA">
          <a:hlinkClick xmlns:r="http://schemas.openxmlformats.org/officeDocument/2006/relationships" r:id="rId174"/>
          <a:extLst>
            <a:ext uri="{FF2B5EF4-FFF2-40B4-BE49-F238E27FC236}">
              <a16:creationId xmlns:a16="http://schemas.microsoft.com/office/drawing/2014/main" id="{A20ECE92-5287-4DB2-9694-2002D15A4F1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2" name="AutoShape 171" descr="USA">
          <a:hlinkClick xmlns:r="http://schemas.openxmlformats.org/officeDocument/2006/relationships" r:id="rId165"/>
          <a:extLst>
            <a:ext uri="{FF2B5EF4-FFF2-40B4-BE49-F238E27FC236}">
              <a16:creationId xmlns:a16="http://schemas.microsoft.com/office/drawing/2014/main" id="{62AA7560-4E58-4651-BD5B-B3A403FAA85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3" name="AutoShape 177" descr="USA">
          <a:hlinkClick xmlns:r="http://schemas.openxmlformats.org/officeDocument/2006/relationships" r:id="rId174"/>
          <a:extLst>
            <a:ext uri="{FF2B5EF4-FFF2-40B4-BE49-F238E27FC236}">
              <a16:creationId xmlns:a16="http://schemas.microsoft.com/office/drawing/2014/main" id="{FB23771F-AA76-4B58-9989-12A3AE04263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4" name="AutoShape 177" descr="USA">
          <a:hlinkClick xmlns:r="http://schemas.openxmlformats.org/officeDocument/2006/relationships" r:id="rId174"/>
          <a:extLst>
            <a:ext uri="{FF2B5EF4-FFF2-40B4-BE49-F238E27FC236}">
              <a16:creationId xmlns:a16="http://schemas.microsoft.com/office/drawing/2014/main" id="{E11701A9-D2F2-40FA-BC5B-2A041A42171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5" name="AutoShape 177" descr="USA">
          <a:hlinkClick xmlns:r="http://schemas.openxmlformats.org/officeDocument/2006/relationships" r:id="rId174"/>
          <a:extLst>
            <a:ext uri="{FF2B5EF4-FFF2-40B4-BE49-F238E27FC236}">
              <a16:creationId xmlns:a16="http://schemas.microsoft.com/office/drawing/2014/main" id="{F3DC76EA-53C5-48B0-AB8D-79912E9ED74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6" name="AutoShape 177" descr="USA">
          <a:hlinkClick xmlns:r="http://schemas.openxmlformats.org/officeDocument/2006/relationships" r:id="rId174"/>
          <a:extLst>
            <a:ext uri="{FF2B5EF4-FFF2-40B4-BE49-F238E27FC236}">
              <a16:creationId xmlns:a16="http://schemas.microsoft.com/office/drawing/2014/main" id="{C7426074-567F-4514-AFF3-9FFCD381AF3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7" name="AutoShape 177" descr="USA">
          <a:hlinkClick xmlns:r="http://schemas.openxmlformats.org/officeDocument/2006/relationships" r:id="rId174"/>
          <a:extLst>
            <a:ext uri="{FF2B5EF4-FFF2-40B4-BE49-F238E27FC236}">
              <a16:creationId xmlns:a16="http://schemas.microsoft.com/office/drawing/2014/main" id="{044A60CB-8031-43A2-83AC-1AF8ADD1207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8" name="AutoShape 177" descr="USA">
          <a:hlinkClick xmlns:r="http://schemas.openxmlformats.org/officeDocument/2006/relationships" r:id="rId174"/>
          <a:extLst>
            <a:ext uri="{FF2B5EF4-FFF2-40B4-BE49-F238E27FC236}">
              <a16:creationId xmlns:a16="http://schemas.microsoft.com/office/drawing/2014/main" id="{0F601D6F-9EDC-4003-A5DF-52F7FC5D8CD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152</xdr:row>
      <xdr:rowOff>0</xdr:rowOff>
    </xdr:from>
    <xdr:ext cx="304800" cy="317500"/>
    <xdr:sp macro="" textlink="">
      <xdr:nvSpPr>
        <xdr:cNvPr id="1899" name="AutoShape 177" descr="USA">
          <a:hlinkClick xmlns:r="http://schemas.openxmlformats.org/officeDocument/2006/relationships" r:id="rId174"/>
          <a:extLst>
            <a:ext uri="{FF2B5EF4-FFF2-40B4-BE49-F238E27FC236}">
              <a16:creationId xmlns:a16="http://schemas.microsoft.com/office/drawing/2014/main" id="{AE0326EC-1C35-4F18-A1A5-B592A7D35AF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00" name="AutoShape 177" descr="USA">
          <a:hlinkClick xmlns:r="http://schemas.openxmlformats.org/officeDocument/2006/relationships" r:id="rId174"/>
          <a:extLst>
            <a:ext uri="{FF2B5EF4-FFF2-40B4-BE49-F238E27FC236}">
              <a16:creationId xmlns:a16="http://schemas.microsoft.com/office/drawing/2014/main" id="{65320DC2-CD62-40F9-9931-EA14759D97A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1" name="AutoShape 171" descr="USA">
          <a:hlinkClick xmlns:r="http://schemas.openxmlformats.org/officeDocument/2006/relationships" r:id="rId165"/>
          <a:extLst>
            <a:ext uri="{FF2B5EF4-FFF2-40B4-BE49-F238E27FC236}">
              <a16:creationId xmlns:a16="http://schemas.microsoft.com/office/drawing/2014/main" id="{31117418-2929-41E0-9E08-C53E635E5B4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2" name="AutoShape 177" descr="USA">
          <a:hlinkClick xmlns:r="http://schemas.openxmlformats.org/officeDocument/2006/relationships" r:id="rId174"/>
          <a:extLst>
            <a:ext uri="{FF2B5EF4-FFF2-40B4-BE49-F238E27FC236}">
              <a16:creationId xmlns:a16="http://schemas.microsoft.com/office/drawing/2014/main" id="{7FA814C0-1841-4F3A-B8B3-C3F280E68CA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3" name="AutoShape 177" descr="USA">
          <a:hlinkClick xmlns:r="http://schemas.openxmlformats.org/officeDocument/2006/relationships" r:id="rId174"/>
          <a:extLst>
            <a:ext uri="{FF2B5EF4-FFF2-40B4-BE49-F238E27FC236}">
              <a16:creationId xmlns:a16="http://schemas.microsoft.com/office/drawing/2014/main" id="{435D1283-7750-4FDC-A6D7-360880D685E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4" name="AutoShape 177" descr="USA">
          <a:hlinkClick xmlns:r="http://schemas.openxmlformats.org/officeDocument/2006/relationships" r:id="rId174"/>
          <a:extLst>
            <a:ext uri="{FF2B5EF4-FFF2-40B4-BE49-F238E27FC236}">
              <a16:creationId xmlns:a16="http://schemas.microsoft.com/office/drawing/2014/main" id="{7AC7603A-B278-4177-B86B-22161DD9522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5" name="AutoShape 177" descr="USA">
          <a:hlinkClick xmlns:r="http://schemas.openxmlformats.org/officeDocument/2006/relationships" r:id="rId174"/>
          <a:extLst>
            <a:ext uri="{FF2B5EF4-FFF2-40B4-BE49-F238E27FC236}">
              <a16:creationId xmlns:a16="http://schemas.microsoft.com/office/drawing/2014/main" id="{AAB81674-19C9-420A-82A6-201C39B4139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6" name="AutoShape 177" descr="USA">
          <a:hlinkClick xmlns:r="http://schemas.openxmlformats.org/officeDocument/2006/relationships" r:id="rId174"/>
          <a:extLst>
            <a:ext uri="{FF2B5EF4-FFF2-40B4-BE49-F238E27FC236}">
              <a16:creationId xmlns:a16="http://schemas.microsoft.com/office/drawing/2014/main" id="{3458AFCB-29C8-4216-8DE8-6C0B8EA8C79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7" name="AutoShape 177" descr="USA">
          <a:hlinkClick xmlns:r="http://schemas.openxmlformats.org/officeDocument/2006/relationships" r:id="rId174"/>
          <a:extLst>
            <a:ext uri="{FF2B5EF4-FFF2-40B4-BE49-F238E27FC236}">
              <a16:creationId xmlns:a16="http://schemas.microsoft.com/office/drawing/2014/main" id="{E7CDDEB4-2B21-4BA3-9773-DCE292339D2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153</xdr:row>
      <xdr:rowOff>0</xdr:rowOff>
    </xdr:from>
    <xdr:ext cx="304800" cy="317500"/>
    <xdr:sp macro="" textlink="">
      <xdr:nvSpPr>
        <xdr:cNvPr id="1908" name="AutoShape 177" descr="USA">
          <a:hlinkClick xmlns:r="http://schemas.openxmlformats.org/officeDocument/2006/relationships" r:id="rId174"/>
          <a:extLst>
            <a:ext uri="{FF2B5EF4-FFF2-40B4-BE49-F238E27FC236}">
              <a16:creationId xmlns:a16="http://schemas.microsoft.com/office/drawing/2014/main" id="{112F36FB-5A95-401C-A29C-CA2B11C4CB6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09" name="AutoShape 177" descr="USA">
          <a:hlinkClick xmlns:r="http://schemas.openxmlformats.org/officeDocument/2006/relationships" r:id="rId174"/>
          <a:extLst>
            <a:ext uri="{FF2B5EF4-FFF2-40B4-BE49-F238E27FC236}">
              <a16:creationId xmlns:a16="http://schemas.microsoft.com/office/drawing/2014/main" id="{75CF9B30-A7F0-4E50-9572-87CDA2CD157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0" name="AutoShape 171" descr="USA">
          <a:hlinkClick xmlns:r="http://schemas.openxmlformats.org/officeDocument/2006/relationships" r:id="rId165"/>
          <a:extLst>
            <a:ext uri="{FF2B5EF4-FFF2-40B4-BE49-F238E27FC236}">
              <a16:creationId xmlns:a16="http://schemas.microsoft.com/office/drawing/2014/main" id="{C882AA6C-6EC1-41E2-A5F6-BE285BC749F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1" name="AutoShape 177" descr="USA">
          <a:hlinkClick xmlns:r="http://schemas.openxmlformats.org/officeDocument/2006/relationships" r:id="rId174"/>
          <a:extLst>
            <a:ext uri="{FF2B5EF4-FFF2-40B4-BE49-F238E27FC236}">
              <a16:creationId xmlns:a16="http://schemas.microsoft.com/office/drawing/2014/main" id="{A5C33E6F-F42F-4FDF-9A46-B7AE3409D7F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2" name="AutoShape 177" descr="USA">
          <a:hlinkClick xmlns:r="http://schemas.openxmlformats.org/officeDocument/2006/relationships" r:id="rId174"/>
          <a:extLst>
            <a:ext uri="{FF2B5EF4-FFF2-40B4-BE49-F238E27FC236}">
              <a16:creationId xmlns:a16="http://schemas.microsoft.com/office/drawing/2014/main" id="{C9DA2AC9-28A4-429A-B4A2-9B8477AA06D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3" name="AutoShape 177" descr="USA">
          <a:hlinkClick xmlns:r="http://schemas.openxmlformats.org/officeDocument/2006/relationships" r:id="rId174"/>
          <a:extLst>
            <a:ext uri="{FF2B5EF4-FFF2-40B4-BE49-F238E27FC236}">
              <a16:creationId xmlns:a16="http://schemas.microsoft.com/office/drawing/2014/main" id="{27590AAC-F668-4C93-962A-26366BCE166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4" name="AutoShape 177" descr="USA">
          <a:hlinkClick xmlns:r="http://schemas.openxmlformats.org/officeDocument/2006/relationships" r:id="rId174"/>
          <a:extLst>
            <a:ext uri="{FF2B5EF4-FFF2-40B4-BE49-F238E27FC236}">
              <a16:creationId xmlns:a16="http://schemas.microsoft.com/office/drawing/2014/main" id="{91E977F6-1436-4A91-9A5A-348636284A6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5" name="AutoShape 177" descr="USA">
          <a:hlinkClick xmlns:r="http://schemas.openxmlformats.org/officeDocument/2006/relationships" r:id="rId174"/>
          <a:extLst>
            <a:ext uri="{FF2B5EF4-FFF2-40B4-BE49-F238E27FC236}">
              <a16:creationId xmlns:a16="http://schemas.microsoft.com/office/drawing/2014/main" id="{5F266256-67F8-4B93-A0DB-E4850E75229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6" name="AutoShape 177" descr="USA">
          <a:hlinkClick xmlns:r="http://schemas.openxmlformats.org/officeDocument/2006/relationships" r:id="rId174"/>
          <a:extLst>
            <a:ext uri="{FF2B5EF4-FFF2-40B4-BE49-F238E27FC236}">
              <a16:creationId xmlns:a16="http://schemas.microsoft.com/office/drawing/2014/main" id="{4039598A-9D2B-44EC-A46C-D810D89B5B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154</xdr:row>
      <xdr:rowOff>0</xdr:rowOff>
    </xdr:from>
    <xdr:ext cx="304800" cy="317500"/>
    <xdr:sp macro="" textlink="">
      <xdr:nvSpPr>
        <xdr:cNvPr id="1917" name="AutoShape 177" descr="USA">
          <a:hlinkClick xmlns:r="http://schemas.openxmlformats.org/officeDocument/2006/relationships" r:id="rId174"/>
          <a:extLst>
            <a:ext uri="{FF2B5EF4-FFF2-40B4-BE49-F238E27FC236}">
              <a16:creationId xmlns:a16="http://schemas.microsoft.com/office/drawing/2014/main" id="{76664A6A-B904-4478-B784-44EEFB6DF9B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18" name="AutoShape 177" descr="USA">
          <a:hlinkClick xmlns:r="http://schemas.openxmlformats.org/officeDocument/2006/relationships" r:id="rId174"/>
          <a:extLst>
            <a:ext uri="{FF2B5EF4-FFF2-40B4-BE49-F238E27FC236}">
              <a16:creationId xmlns:a16="http://schemas.microsoft.com/office/drawing/2014/main" id="{83D6D3ED-B8F9-43DE-8D84-6E69D0DA1ED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19" name="AutoShape 171" descr="USA">
          <a:hlinkClick xmlns:r="http://schemas.openxmlformats.org/officeDocument/2006/relationships" r:id="rId165"/>
          <a:extLst>
            <a:ext uri="{FF2B5EF4-FFF2-40B4-BE49-F238E27FC236}">
              <a16:creationId xmlns:a16="http://schemas.microsoft.com/office/drawing/2014/main" id="{B6E26FC0-CBE0-404D-B2FC-C35941A8B3E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0" name="AutoShape 177" descr="USA">
          <a:hlinkClick xmlns:r="http://schemas.openxmlformats.org/officeDocument/2006/relationships" r:id="rId174"/>
          <a:extLst>
            <a:ext uri="{FF2B5EF4-FFF2-40B4-BE49-F238E27FC236}">
              <a16:creationId xmlns:a16="http://schemas.microsoft.com/office/drawing/2014/main" id="{076A5F8C-5AE0-4DD8-A371-59CD787B953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1" name="AutoShape 177" descr="USA">
          <a:hlinkClick xmlns:r="http://schemas.openxmlformats.org/officeDocument/2006/relationships" r:id="rId174"/>
          <a:extLst>
            <a:ext uri="{FF2B5EF4-FFF2-40B4-BE49-F238E27FC236}">
              <a16:creationId xmlns:a16="http://schemas.microsoft.com/office/drawing/2014/main" id="{161B037F-538C-435E-9C30-6A1D5E4ED09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2" name="AutoShape 177" descr="USA">
          <a:hlinkClick xmlns:r="http://schemas.openxmlformats.org/officeDocument/2006/relationships" r:id="rId174"/>
          <a:extLst>
            <a:ext uri="{FF2B5EF4-FFF2-40B4-BE49-F238E27FC236}">
              <a16:creationId xmlns:a16="http://schemas.microsoft.com/office/drawing/2014/main" id="{6B671B5D-335D-4B1F-87D2-23FF6D4FB8F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3" name="AutoShape 177" descr="USA">
          <a:hlinkClick xmlns:r="http://schemas.openxmlformats.org/officeDocument/2006/relationships" r:id="rId174"/>
          <a:extLst>
            <a:ext uri="{FF2B5EF4-FFF2-40B4-BE49-F238E27FC236}">
              <a16:creationId xmlns:a16="http://schemas.microsoft.com/office/drawing/2014/main" id="{EC66E168-6FDD-4188-A2F3-A01849177B6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4" name="AutoShape 177" descr="USA">
          <a:hlinkClick xmlns:r="http://schemas.openxmlformats.org/officeDocument/2006/relationships" r:id="rId174"/>
          <a:extLst>
            <a:ext uri="{FF2B5EF4-FFF2-40B4-BE49-F238E27FC236}">
              <a16:creationId xmlns:a16="http://schemas.microsoft.com/office/drawing/2014/main" id="{E72B3DB1-A0EA-43C6-B07D-C06762FB509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5" name="AutoShape 177" descr="USA">
          <a:hlinkClick xmlns:r="http://schemas.openxmlformats.org/officeDocument/2006/relationships" r:id="rId174"/>
          <a:extLst>
            <a:ext uri="{FF2B5EF4-FFF2-40B4-BE49-F238E27FC236}">
              <a16:creationId xmlns:a16="http://schemas.microsoft.com/office/drawing/2014/main" id="{AFA2BD04-6DBB-4C26-A9D1-18DD74DDA3C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155</xdr:row>
      <xdr:rowOff>0</xdr:rowOff>
    </xdr:from>
    <xdr:ext cx="304800" cy="317500"/>
    <xdr:sp macro="" textlink="">
      <xdr:nvSpPr>
        <xdr:cNvPr id="1926" name="AutoShape 177" descr="USA">
          <a:hlinkClick xmlns:r="http://schemas.openxmlformats.org/officeDocument/2006/relationships" r:id="rId174"/>
          <a:extLst>
            <a:ext uri="{FF2B5EF4-FFF2-40B4-BE49-F238E27FC236}">
              <a16:creationId xmlns:a16="http://schemas.microsoft.com/office/drawing/2014/main" id="{5949DB6B-1973-4507-9316-36795B54971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27" name="AutoShape 177" descr="USA">
          <a:hlinkClick xmlns:r="http://schemas.openxmlformats.org/officeDocument/2006/relationships" r:id="rId174"/>
          <a:extLst>
            <a:ext uri="{FF2B5EF4-FFF2-40B4-BE49-F238E27FC236}">
              <a16:creationId xmlns:a16="http://schemas.microsoft.com/office/drawing/2014/main" id="{9ED46FBF-59B4-4120-BCF3-2A4030D6352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28" name="AutoShape 171" descr="USA">
          <a:hlinkClick xmlns:r="http://schemas.openxmlformats.org/officeDocument/2006/relationships" r:id="rId165"/>
          <a:extLst>
            <a:ext uri="{FF2B5EF4-FFF2-40B4-BE49-F238E27FC236}">
              <a16:creationId xmlns:a16="http://schemas.microsoft.com/office/drawing/2014/main" id="{899D6952-F48D-455B-BDFD-311D6373B54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29" name="AutoShape 177" descr="USA">
          <a:hlinkClick xmlns:r="http://schemas.openxmlformats.org/officeDocument/2006/relationships" r:id="rId174"/>
          <a:extLst>
            <a:ext uri="{FF2B5EF4-FFF2-40B4-BE49-F238E27FC236}">
              <a16:creationId xmlns:a16="http://schemas.microsoft.com/office/drawing/2014/main" id="{A072F8B2-A4D5-44DB-901A-E9D8E2F50FA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0" name="AutoShape 177" descr="USA">
          <a:hlinkClick xmlns:r="http://schemas.openxmlformats.org/officeDocument/2006/relationships" r:id="rId174"/>
          <a:extLst>
            <a:ext uri="{FF2B5EF4-FFF2-40B4-BE49-F238E27FC236}">
              <a16:creationId xmlns:a16="http://schemas.microsoft.com/office/drawing/2014/main" id="{512F10FA-79D6-4C7B-ABD9-F7B481B1F4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1" name="AutoShape 177" descr="USA">
          <a:hlinkClick xmlns:r="http://schemas.openxmlformats.org/officeDocument/2006/relationships" r:id="rId174"/>
          <a:extLst>
            <a:ext uri="{FF2B5EF4-FFF2-40B4-BE49-F238E27FC236}">
              <a16:creationId xmlns:a16="http://schemas.microsoft.com/office/drawing/2014/main" id="{178B8D62-C989-4C61-8B96-E84E78CC932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2" name="AutoShape 177" descr="USA">
          <a:hlinkClick xmlns:r="http://schemas.openxmlformats.org/officeDocument/2006/relationships" r:id="rId174"/>
          <a:extLst>
            <a:ext uri="{FF2B5EF4-FFF2-40B4-BE49-F238E27FC236}">
              <a16:creationId xmlns:a16="http://schemas.microsoft.com/office/drawing/2014/main" id="{AEEC6705-7F4C-4542-B772-F8892D584B0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3" name="AutoShape 177" descr="USA">
          <a:hlinkClick xmlns:r="http://schemas.openxmlformats.org/officeDocument/2006/relationships" r:id="rId174"/>
          <a:extLst>
            <a:ext uri="{FF2B5EF4-FFF2-40B4-BE49-F238E27FC236}">
              <a16:creationId xmlns:a16="http://schemas.microsoft.com/office/drawing/2014/main" id="{7D1111F6-FDDB-40BD-8424-15D07EE496F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4" name="AutoShape 177" descr="USA">
          <a:hlinkClick xmlns:r="http://schemas.openxmlformats.org/officeDocument/2006/relationships" r:id="rId174"/>
          <a:extLst>
            <a:ext uri="{FF2B5EF4-FFF2-40B4-BE49-F238E27FC236}">
              <a16:creationId xmlns:a16="http://schemas.microsoft.com/office/drawing/2014/main" id="{7E7076C7-7F0F-47E7-BD20-AF8B7BA6607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156</xdr:row>
      <xdr:rowOff>0</xdr:rowOff>
    </xdr:from>
    <xdr:ext cx="304800" cy="317500"/>
    <xdr:sp macro="" textlink="">
      <xdr:nvSpPr>
        <xdr:cNvPr id="1935" name="AutoShape 177" descr="USA">
          <a:hlinkClick xmlns:r="http://schemas.openxmlformats.org/officeDocument/2006/relationships" r:id="rId174"/>
          <a:extLst>
            <a:ext uri="{FF2B5EF4-FFF2-40B4-BE49-F238E27FC236}">
              <a16:creationId xmlns:a16="http://schemas.microsoft.com/office/drawing/2014/main" id="{90B7341F-1C4A-4A30-838F-4EDF06B7ACA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36" name="AutoShape 177" descr="USA">
          <a:hlinkClick xmlns:r="http://schemas.openxmlformats.org/officeDocument/2006/relationships" r:id="rId174"/>
          <a:extLst>
            <a:ext uri="{FF2B5EF4-FFF2-40B4-BE49-F238E27FC236}">
              <a16:creationId xmlns:a16="http://schemas.microsoft.com/office/drawing/2014/main" id="{1FFD039D-3908-46D3-8E13-D2181409B1D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37" name="AutoShape 171" descr="USA">
          <a:hlinkClick xmlns:r="http://schemas.openxmlformats.org/officeDocument/2006/relationships" r:id="rId165"/>
          <a:extLst>
            <a:ext uri="{FF2B5EF4-FFF2-40B4-BE49-F238E27FC236}">
              <a16:creationId xmlns:a16="http://schemas.microsoft.com/office/drawing/2014/main" id="{3D7D1C4E-4C96-4D51-B730-36367D3E79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38" name="AutoShape 177" descr="USA">
          <a:hlinkClick xmlns:r="http://schemas.openxmlformats.org/officeDocument/2006/relationships" r:id="rId174"/>
          <a:extLst>
            <a:ext uri="{FF2B5EF4-FFF2-40B4-BE49-F238E27FC236}">
              <a16:creationId xmlns:a16="http://schemas.microsoft.com/office/drawing/2014/main" id="{658E1945-2FAD-4395-8A3A-AA154BCF0B6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39" name="AutoShape 177" descr="USA">
          <a:hlinkClick xmlns:r="http://schemas.openxmlformats.org/officeDocument/2006/relationships" r:id="rId174"/>
          <a:extLst>
            <a:ext uri="{FF2B5EF4-FFF2-40B4-BE49-F238E27FC236}">
              <a16:creationId xmlns:a16="http://schemas.microsoft.com/office/drawing/2014/main" id="{B4B01371-E46C-47FF-B04C-74B77F98F1F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0" name="AutoShape 177" descr="USA">
          <a:hlinkClick xmlns:r="http://schemas.openxmlformats.org/officeDocument/2006/relationships" r:id="rId174"/>
          <a:extLst>
            <a:ext uri="{FF2B5EF4-FFF2-40B4-BE49-F238E27FC236}">
              <a16:creationId xmlns:a16="http://schemas.microsoft.com/office/drawing/2014/main" id="{A4374B94-B8C4-4D43-BBA0-B26BF61CE63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1" name="AutoShape 177" descr="USA">
          <a:hlinkClick xmlns:r="http://schemas.openxmlformats.org/officeDocument/2006/relationships" r:id="rId174"/>
          <a:extLst>
            <a:ext uri="{FF2B5EF4-FFF2-40B4-BE49-F238E27FC236}">
              <a16:creationId xmlns:a16="http://schemas.microsoft.com/office/drawing/2014/main" id="{95834E78-3032-4A57-88BA-06C51F4B01A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2" name="AutoShape 177" descr="USA">
          <a:hlinkClick xmlns:r="http://schemas.openxmlformats.org/officeDocument/2006/relationships" r:id="rId174"/>
          <a:extLst>
            <a:ext uri="{FF2B5EF4-FFF2-40B4-BE49-F238E27FC236}">
              <a16:creationId xmlns:a16="http://schemas.microsoft.com/office/drawing/2014/main" id="{11D181F5-159E-4A57-A591-C87EF69E286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3" name="AutoShape 177" descr="USA">
          <a:hlinkClick xmlns:r="http://schemas.openxmlformats.org/officeDocument/2006/relationships" r:id="rId174"/>
          <a:extLst>
            <a:ext uri="{FF2B5EF4-FFF2-40B4-BE49-F238E27FC236}">
              <a16:creationId xmlns:a16="http://schemas.microsoft.com/office/drawing/2014/main" id="{55BF03AF-1B1A-422A-8FA4-141D60C0754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157</xdr:row>
      <xdr:rowOff>0</xdr:rowOff>
    </xdr:from>
    <xdr:ext cx="304800" cy="317500"/>
    <xdr:sp macro="" textlink="">
      <xdr:nvSpPr>
        <xdr:cNvPr id="1944" name="AutoShape 177" descr="USA">
          <a:hlinkClick xmlns:r="http://schemas.openxmlformats.org/officeDocument/2006/relationships" r:id="rId174"/>
          <a:extLst>
            <a:ext uri="{FF2B5EF4-FFF2-40B4-BE49-F238E27FC236}">
              <a16:creationId xmlns:a16="http://schemas.microsoft.com/office/drawing/2014/main" id="{92C6A964-3E1E-47D1-A00D-88D41275A00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45" name="AutoShape 177" descr="USA">
          <a:hlinkClick xmlns:r="http://schemas.openxmlformats.org/officeDocument/2006/relationships" r:id="rId174"/>
          <a:extLst>
            <a:ext uri="{FF2B5EF4-FFF2-40B4-BE49-F238E27FC236}">
              <a16:creationId xmlns:a16="http://schemas.microsoft.com/office/drawing/2014/main" id="{7D2562FC-D536-41DA-9FA6-0D6B4AB691A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6" name="AutoShape 171" descr="USA">
          <a:hlinkClick xmlns:r="http://schemas.openxmlformats.org/officeDocument/2006/relationships" r:id="rId165"/>
          <a:extLst>
            <a:ext uri="{FF2B5EF4-FFF2-40B4-BE49-F238E27FC236}">
              <a16:creationId xmlns:a16="http://schemas.microsoft.com/office/drawing/2014/main" id="{433CD560-A9C8-4DC2-955B-79E3605E83C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7" name="AutoShape 177" descr="USA">
          <a:hlinkClick xmlns:r="http://schemas.openxmlformats.org/officeDocument/2006/relationships" r:id="rId174"/>
          <a:extLst>
            <a:ext uri="{FF2B5EF4-FFF2-40B4-BE49-F238E27FC236}">
              <a16:creationId xmlns:a16="http://schemas.microsoft.com/office/drawing/2014/main" id="{E5B12803-E06B-4A97-A514-690E7954A0B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8" name="AutoShape 177" descr="USA">
          <a:hlinkClick xmlns:r="http://schemas.openxmlformats.org/officeDocument/2006/relationships" r:id="rId174"/>
          <a:extLst>
            <a:ext uri="{FF2B5EF4-FFF2-40B4-BE49-F238E27FC236}">
              <a16:creationId xmlns:a16="http://schemas.microsoft.com/office/drawing/2014/main" id="{DE50D4E3-6922-4960-ADE2-87DBD43E9C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49" name="AutoShape 177" descr="USA">
          <a:hlinkClick xmlns:r="http://schemas.openxmlformats.org/officeDocument/2006/relationships" r:id="rId174"/>
          <a:extLst>
            <a:ext uri="{FF2B5EF4-FFF2-40B4-BE49-F238E27FC236}">
              <a16:creationId xmlns:a16="http://schemas.microsoft.com/office/drawing/2014/main" id="{1EE85C8E-14F7-445C-B9B7-1BA9E18DFEC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0" name="AutoShape 177" descr="USA">
          <a:hlinkClick xmlns:r="http://schemas.openxmlformats.org/officeDocument/2006/relationships" r:id="rId174"/>
          <a:extLst>
            <a:ext uri="{FF2B5EF4-FFF2-40B4-BE49-F238E27FC236}">
              <a16:creationId xmlns:a16="http://schemas.microsoft.com/office/drawing/2014/main" id="{7AD898BA-5243-466B-B65E-F330E3B689D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1" name="AutoShape 177" descr="USA">
          <a:hlinkClick xmlns:r="http://schemas.openxmlformats.org/officeDocument/2006/relationships" r:id="rId174"/>
          <a:extLst>
            <a:ext uri="{FF2B5EF4-FFF2-40B4-BE49-F238E27FC236}">
              <a16:creationId xmlns:a16="http://schemas.microsoft.com/office/drawing/2014/main" id="{FE6210C7-4BF2-437C-8F77-E4C0FE6E05B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2" name="AutoShape 177" descr="USA">
          <a:hlinkClick xmlns:r="http://schemas.openxmlformats.org/officeDocument/2006/relationships" r:id="rId174"/>
          <a:extLst>
            <a:ext uri="{FF2B5EF4-FFF2-40B4-BE49-F238E27FC236}">
              <a16:creationId xmlns:a16="http://schemas.microsoft.com/office/drawing/2014/main" id="{9D7DE107-187F-43EF-A075-D8B744F0AA4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158</xdr:row>
      <xdr:rowOff>0</xdr:rowOff>
    </xdr:from>
    <xdr:ext cx="304800" cy="317500"/>
    <xdr:sp macro="" textlink="">
      <xdr:nvSpPr>
        <xdr:cNvPr id="1953" name="AutoShape 177" descr="USA">
          <a:hlinkClick xmlns:r="http://schemas.openxmlformats.org/officeDocument/2006/relationships" r:id="rId174"/>
          <a:extLst>
            <a:ext uri="{FF2B5EF4-FFF2-40B4-BE49-F238E27FC236}">
              <a16:creationId xmlns:a16="http://schemas.microsoft.com/office/drawing/2014/main" id="{14334D8E-F730-4824-91A6-D104587D10C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54" name="AutoShape 177" descr="USA">
          <a:hlinkClick xmlns:r="http://schemas.openxmlformats.org/officeDocument/2006/relationships" r:id="rId174"/>
          <a:extLst>
            <a:ext uri="{FF2B5EF4-FFF2-40B4-BE49-F238E27FC236}">
              <a16:creationId xmlns:a16="http://schemas.microsoft.com/office/drawing/2014/main" id="{93360016-C962-42CB-B29A-8241331FAE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5" name="AutoShape 171" descr="USA">
          <a:hlinkClick xmlns:r="http://schemas.openxmlformats.org/officeDocument/2006/relationships" r:id="rId165"/>
          <a:extLst>
            <a:ext uri="{FF2B5EF4-FFF2-40B4-BE49-F238E27FC236}">
              <a16:creationId xmlns:a16="http://schemas.microsoft.com/office/drawing/2014/main" id="{F7427F03-601A-4317-BA36-C8C21914483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6" name="AutoShape 177" descr="USA">
          <a:hlinkClick xmlns:r="http://schemas.openxmlformats.org/officeDocument/2006/relationships" r:id="rId174"/>
          <a:extLst>
            <a:ext uri="{FF2B5EF4-FFF2-40B4-BE49-F238E27FC236}">
              <a16:creationId xmlns:a16="http://schemas.microsoft.com/office/drawing/2014/main" id="{CD320FC4-EDE4-41FF-A91F-529D72FCED8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7" name="AutoShape 177" descr="USA">
          <a:hlinkClick xmlns:r="http://schemas.openxmlformats.org/officeDocument/2006/relationships" r:id="rId174"/>
          <a:extLst>
            <a:ext uri="{FF2B5EF4-FFF2-40B4-BE49-F238E27FC236}">
              <a16:creationId xmlns:a16="http://schemas.microsoft.com/office/drawing/2014/main" id="{B2B7C76C-EBD5-451C-8364-61457E4F5E5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8" name="AutoShape 177" descr="USA">
          <a:hlinkClick xmlns:r="http://schemas.openxmlformats.org/officeDocument/2006/relationships" r:id="rId174"/>
          <a:extLst>
            <a:ext uri="{FF2B5EF4-FFF2-40B4-BE49-F238E27FC236}">
              <a16:creationId xmlns:a16="http://schemas.microsoft.com/office/drawing/2014/main" id="{0BF21E4F-5F39-466F-ADEF-6A3F83934B8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59" name="AutoShape 177" descr="USA">
          <a:hlinkClick xmlns:r="http://schemas.openxmlformats.org/officeDocument/2006/relationships" r:id="rId174"/>
          <a:extLst>
            <a:ext uri="{FF2B5EF4-FFF2-40B4-BE49-F238E27FC236}">
              <a16:creationId xmlns:a16="http://schemas.microsoft.com/office/drawing/2014/main" id="{9947F20E-6C43-4D6F-B60A-3474C6B81CF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60" name="AutoShape 177" descr="USA">
          <a:hlinkClick xmlns:r="http://schemas.openxmlformats.org/officeDocument/2006/relationships" r:id="rId174"/>
          <a:extLst>
            <a:ext uri="{FF2B5EF4-FFF2-40B4-BE49-F238E27FC236}">
              <a16:creationId xmlns:a16="http://schemas.microsoft.com/office/drawing/2014/main" id="{AF602C79-B58A-43EE-9FBF-DB0B69DCE2A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61" name="AutoShape 177" descr="USA">
          <a:hlinkClick xmlns:r="http://schemas.openxmlformats.org/officeDocument/2006/relationships" r:id="rId174"/>
          <a:extLst>
            <a:ext uri="{FF2B5EF4-FFF2-40B4-BE49-F238E27FC236}">
              <a16:creationId xmlns:a16="http://schemas.microsoft.com/office/drawing/2014/main" id="{8C9E887A-4993-42CD-A8E6-5B49974CC04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159</xdr:row>
      <xdr:rowOff>0</xdr:rowOff>
    </xdr:from>
    <xdr:ext cx="304800" cy="317500"/>
    <xdr:sp macro="" textlink="">
      <xdr:nvSpPr>
        <xdr:cNvPr id="1962" name="AutoShape 177" descr="USA">
          <a:hlinkClick xmlns:r="http://schemas.openxmlformats.org/officeDocument/2006/relationships" r:id="rId174"/>
          <a:extLst>
            <a:ext uri="{FF2B5EF4-FFF2-40B4-BE49-F238E27FC236}">
              <a16:creationId xmlns:a16="http://schemas.microsoft.com/office/drawing/2014/main" id="{28E1928B-3549-47F0-AFEE-43A54473B9C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63" name="AutoShape 177" descr="USA">
          <a:hlinkClick xmlns:r="http://schemas.openxmlformats.org/officeDocument/2006/relationships" r:id="rId174"/>
          <a:extLst>
            <a:ext uri="{FF2B5EF4-FFF2-40B4-BE49-F238E27FC236}">
              <a16:creationId xmlns:a16="http://schemas.microsoft.com/office/drawing/2014/main" id="{A43145D9-082D-4823-9796-5DBDD775B31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4" name="AutoShape 171" descr="USA">
          <a:hlinkClick xmlns:r="http://schemas.openxmlformats.org/officeDocument/2006/relationships" r:id="rId165"/>
          <a:extLst>
            <a:ext uri="{FF2B5EF4-FFF2-40B4-BE49-F238E27FC236}">
              <a16:creationId xmlns:a16="http://schemas.microsoft.com/office/drawing/2014/main" id="{4148A54A-0A74-4803-9961-779B8DCF84F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5" name="AutoShape 177" descr="USA">
          <a:hlinkClick xmlns:r="http://schemas.openxmlformats.org/officeDocument/2006/relationships" r:id="rId174"/>
          <a:extLst>
            <a:ext uri="{FF2B5EF4-FFF2-40B4-BE49-F238E27FC236}">
              <a16:creationId xmlns:a16="http://schemas.microsoft.com/office/drawing/2014/main" id="{E5FBEDB5-7DB1-4838-A4AE-89329289EEE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6" name="AutoShape 177" descr="USA">
          <a:hlinkClick xmlns:r="http://schemas.openxmlformats.org/officeDocument/2006/relationships" r:id="rId174"/>
          <a:extLst>
            <a:ext uri="{FF2B5EF4-FFF2-40B4-BE49-F238E27FC236}">
              <a16:creationId xmlns:a16="http://schemas.microsoft.com/office/drawing/2014/main" id="{0B21FDE4-338B-4260-B8B4-4B2086AACF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7" name="AutoShape 177" descr="USA">
          <a:hlinkClick xmlns:r="http://schemas.openxmlformats.org/officeDocument/2006/relationships" r:id="rId174"/>
          <a:extLst>
            <a:ext uri="{FF2B5EF4-FFF2-40B4-BE49-F238E27FC236}">
              <a16:creationId xmlns:a16="http://schemas.microsoft.com/office/drawing/2014/main" id="{E868332A-BA60-4ECE-982D-2885DDF0B335}"/>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8" name="AutoShape 177" descr="USA">
          <a:hlinkClick xmlns:r="http://schemas.openxmlformats.org/officeDocument/2006/relationships" r:id="rId174"/>
          <a:extLst>
            <a:ext uri="{FF2B5EF4-FFF2-40B4-BE49-F238E27FC236}">
              <a16:creationId xmlns:a16="http://schemas.microsoft.com/office/drawing/2014/main" id="{187057F3-A593-42F2-8A09-54203B03868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69" name="AutoShape 177" descr="USA">
          <a:hlinkClick xmlns:r="http://schemas.openxmlformats.org/officeDocument/2006/relationships" r:id="rId174"/>
          <a:extLst>
            <a:ext uri="{FF2B5EF4-FFF2-40B4-BE49-F238E27FC236}">
              <a16:creationId xmlns:a16="http://schemas.microsoft.com/office/drawing/2014/main" id="{B92634BE-BE55-4F1B-9AF6-8AC65B31921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70" name="AutoShape 177" descr="USA">
          <a:hlinkClick xmlns:r="http://schemas.openxmlformats.org/officeDocument/2006/relationships" r:id="rId174"/>
          <a:extLst>
            <a:ext uri="{FF2B5EF4-FFF2-40B4-BE49-F238E27FC236}">
              <a16:creationId xmlns:a16="http://schemas.microsoft.com/office/drawing/2014/main" id="{87B90F7C-5A90-403C-88CC-1D3709929EF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160</xdr:row>
      <xdr:rowOff>0</xdr:rowOff>
    </xdr:from>
    <xdr:ext cx="304800" cy="317500"/>
    <xdr:sp macro="" textlink="">
      <xdr:nvSpPr>
        <xdr:cNvPr id="1971" name="AutoShape 177" descr="USA">
          <a:hlinkClick xmlns:r="http://schemas.openxmlformats.org/officeDocument/2006/relationships" r:id="rId174"/>
          <a:extLst>
            <a:ext uri="{FF2B5EF4-FFF2-40B4-BE49-F238E27FC236}">
              <a16:creationId xmlns:a16="http://schemas.microsoft.com/office/drawing/2014/main" id="{AD84E289-9CFE-4D59-9357-2708286C988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72" name="AutoShape 177" descr="USA">
          <a:hlinkClick xmlns:r="http://schemas.openxmlformats.org/officeDocument/2006/relationships" r:id="rId174"/>
          <a:extLst>
            <a:ext uri="{FF2B5EF4-FFF2-40B4-BE49-F238E27FC236}">
              <a16:creationId xmlns:a16="http://schemas.microsoft.com/office/drawing/2014/main" id="{62E53578-8DB0-4BC6-9B40-47A1553167F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3" name="AutoShape 171" descr="USA">
          <a:hlinkClick xmlns:r="http://schemas.openxmlformats.org/officeDocument/2006/relationships" r:id="rId165"/>
          <a:extLst>
            <a:ext uri="{FF2B5EF4-FFF2-40B4-BE49-F238E27FC236}">
              <a16:creationId xmlns:a16="http://schemas.microsoft.com/office/drawing/2014/main" id="{A1E80780-B0FC-474D-8694-AA5BE1C08C8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4" name="AutoShape 177" descr="USA">
          <a:hlinkClick xmlns:r="http://schemas.openxmlformats.org/officeDocument/2006/relationships" r:id="rId174"/>
          <a:extLst>
            <a:ext uri="{FF2B5EF4-FFF2-40B4-BE49-F238E27FC236}">
              <a16:creationId xmlns:a16="http://schemas.microsoft.com/office/drawing/2014/main" id="{FEC3C0A2-DB08-473D-86DD-99B986C65E6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5" name="AutoShape 177" descr="USA">
          <a:hlinkClick xmlns:r="http://schemas.openxmlformats.org/officeDocument/2006/relationships" r:id="rId174"/>
          <a:extLst>
            <a:ext uri="{FF2B5EF4-FFF2-40B4-BE49-F238E27FC236}">
              <a16:creationId xmlns:a16="http://schemas.microsoft.com/office/drawing/2014/main" id="{CB972A70-B732-4351-9BBB-AB9DC824E6C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6" name="AutoShape 177" descr="USA">
          <a:hlinkClick xmlns:r="http://schemas.openxmlformats.org/officeDocument/2006/relationships" r:id="rId174"/>
          <a:extLst>
            <a:ext uri="{FF2B5EF4-FFF2-40B4-BE49-F238E27FC236}">
              <a16:creationId xmlns:a16="http://schemas.microsoft.com/office/drawing/2014/main" id="{67129F74-A6AF-420F-AFB4-648DF67C8D0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7" name="AutoShape 177" descr="USA">
          <a:hlinkClick xmlns:r="http://schemas.openxmlformats.org/officeDocument/2006/relationships" r:id="rId174"/>
          <a:extLst>
            <a:ext uri="{FF2B5EF4-FFF2-40B4-BE49-F238E27FC236}">
              <a16:creationId xmlns:a16="http://schemas.microsoft.com/office/drawing/2014/main" id="{D05FFDC7-DF59-4BCF-A5B4-5B7FC18F1D7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8" name="AutoShape 177" descr="USA">
          <a:hlinkClick xmlns:r="http://schemas.openxmlformats.org/officeDocument/2006/relationships" r:id="rId174"/>
          <a:extLst>
            <a:ext uri="{FF2B5EF4-FFF2-40B4-BE49-F238E27FC236}">
              <a16:creationId xmlns:a16="http://schemas.microsoft.com/office/drawing/2014/main" id="{00A2AF26-D9C6-4429-8128-10EAD99A8C1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79" name="AutoShape 177" descr="USA">
          <a:hlinkClick xmlns:r="http://schemas.openxmlformats.org/officeDocument/2006/relationships" r:id="rId174"/>
          <a:extLst>
            <a:ext uri="{FF2B5EF4-FFF2-40B4-BE49-F238E27FC236}">
              <a16:creationId xmlns:a16="http://schemas.microsoft.com/office/drawing/2014/main" id="{C80B9D28-35B7-4C69-8C26-E1F4DFFC51D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161</xdr:row>
      <xdr:rowOff>0</xdr:rowOff>
    </xdr:from>
    <xdr:ext cx="304800" cy="317500"/>
    <xdr:sp macro="" textlink="">
      <xdr:nvSpPr>
        <xdr:cNvPr id="1980" name="AutoShape 177" descr="USA">
          <a:hlinkClick xmlns:r="http://schemas.openxmlformats.org/officeDocument/2006/relationships" r:id="rId174"/>
          <a:extLst>
            <a:ext uri="{FF2B5EF4-FFF2-40B4-BE49-F238E27FC236}">
              <a16:creationId xmlns:a16="http://schemas.microsoft.com/office/drawing/2014/main" id="{69B0DC82-9875-4B72-ACF1-1F73968BA6E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81" name="AutoShape 177" descr="USA">
          <a:hlinkClick xmlns:r="http://schemas.openxmlformats.org/officeDocument/2006/relationships" r:id="rId174"/>
          <a:extLst>
            <a:ext uri="{FF2B5EF4-FFF2-40B4-BE49-F238E27FC236}">
              <a16:creationId xmlns:a16="http://schemas.microsoft.com/office/drawing/2014/main" id="{0487056B-5756-465C-9E1D-1DFB0E9C8E0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2" name="AutoShape 171" descr="USA">
          <a:hlinkClick xmlns:r="http://schemas.openxmlformats.org/officeDocument/2006/relationships" r:id="rId165"/>
          <a:extLst>
            <a:ext uri="{FF2B5EF4-FFF2-40B4-BE49-F238E27FC236}">
              <a16:creationId xmlns:a16="http://schemas.microsoft.com/office/drawing/2014/main" id="{09A36A88-C76A-434F-BD9C-58DA630E2D3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3" name="AutoShape 177" descr="USA">
          <a:hlinkClick xmlns:r="http://schemas.openxmlformats.org/officeDocument/2006/relationships" r:id="rId174"/>
          <a:extLst>
            <a:ext uri="{FF2B5EF4-FFF2-40B4-BE49-F238E27FC236}">
              <a16:creationId xmlns:a16="http://schemas.microsoft.com/office/drawing/2014/main" id="{3A75FCB3-13A4-4AFC-9999-B8AE00A9561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4" name="AutoShape 177" descr="USA">
          <a:hlinkClick xmlns:r="http://schemas.openxmlformats.org/officeDocument/2006/relationships" r:id="rId174"/>
          <a:extLst>
            <a:ext uri="{FF2B5EF4-FFF2-40B4-BE49-F238E27FC236}">
              <a16:creationId xmlns:a16="http://schemas.microsoft.com/office/drawing/2014/main" id="{270199F6-099F-4466-AF97-00453EFC0D7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5" name="AutoShape 177" descr="USA">
          <a:hlinkClick xmlns:r="http://schemas.openxmlformats.org/officeDocument/2006/relationships" r:id="rId174"/>
          <a:extLst>
            <a:ext uri="{FF2B5EF4-FFF2-40B4-BE49-F238E27FC236}">
              <a16:creationId xmlns:a16="http://schemas.microsoft.com/office/drawing/2014/main" id="{8BDDE334-770D-447C-BCC5-913E1F612D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6" name="AutoShape 177" descr="USA">
          <a:hlinkClick xmlns:r="http://schemas.openxmlformats.org/officeDocument/2006/relationships" r:id="rId174"/>
          <a:extLst>
            <a:ext uri="{FF2B5EF4-FFF2-40B4-BE49-F238E27FC236}">
              <a16:creationId xmlns:a16="http://schemas.microsoft.com/office/drawing/2014/main" id="{896AFAA0-EBA2-495F-8A18-AFC2B0D4050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7" name="AutoShape 177" descr="USA">
          <a:hlinkClick xmlns:r="http://schemas.openxmlformats.org/officeDocument/2006/relationships" r:id="rId174"/>
          <a:extLst>
            <a:ext uri="{FF2B5EF4-FFF2-40B4-BE49-F238E27FC236}">
              <a16:creationId xmlns:a16="http://schemas.microsoft.com/office/drawing/2014/main" id="{4063AE3B-C0B3-469B-BA4A-BD90317CB07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8" name="AutoShape 177" descr="USA">
          <a:hlinkClick xmlns:r="http://schemas.openxmlformats.org/officeDocument/2006/relationships" r:id="rId174"/>
          <a:extLst>
            <a:ext uri="{FF2B5EF4-FFF2-40B4-BE49-F238E27FC236}">
              <a16:creationId xmlns:a16="http://schemas.microsoft.com/office/drawing/2014/main" id="{B1A4B32B-E727-4DCF-8466-1023B585061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162</xdr:row>
      <xdr:rowOff>0</xdr:rowOff>
    </xdr:from>
    <xdr:ext cx="304800" cy="317500"/>
    <xdr:sp macro="" textlink="">
      <xdr:nvSpPr>
        <xdr:cNvPr id="1989" name="AutoShape 177" descr="USA">
          <a:hlinkClick xmlns:r="http://schemas.openxmlformats.org/officeDocument/2006/relationships" r:id="rId174"/>
          <a:extLst>
            <a:ext uri="{FF2B5EF4-FFF2-40B4-BE49-F238E27FC236}">
              <a16:creationId xmlns:a16="http://schemas.microsoft.com/office/drawing/2014/main" id="{80367F30-EEE4-4CE2-9F5A-2996DC45E2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1990" name="AutoShape 177" descr="USA">
          <a:hlinkClick xmlns:r="http://schemas.openxmlformats.org/officeDocument/2006/relationships" r:id="rId174"/>
          <a:extLst>
            <a:ext uri="{FF2B5EF4-FFF2-40B4-BE49-F238E27FC236}">
              <a16:creationId xmlns:a16="http://schemas.microsoft.com/office/drawing/2014/main" id="{591AD0B2-DFEC-4071-A90F-7E9E1D13931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1" name="AutoShape 171" descr="USA">
          <a:hlinkClick xmlns:r="http://schemas.openxmlformats.org/officeDocument/2006/relationships" r:id="rId165"/>
          <a:extLst>
            <a:ext uri="{FF2B5EF4-FFF2-40B4-BE49-F238E27FC236}">
              <a16:creationId xmlns:a16="http://schemas.microsoft.com/office/drawing/2014/main" id="{1087D9A8-19CF-4FE5-A2F8-9019E5505D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2" name="AutoShape 177" descr="USA">
          <a:hlinkClick xmlns:r="http://schemas.openxmlformats.org/officeDocument/2006/relationships" r:id="rId174"/>
          <a:extLst>
            <a:ext uri="{FF2B5EF4-FFF2-40B4-BE49-F238E27FC236}">
              <a16:creationId xmlns:a16="http://schemas.microsoft.com/office/drawing/2014/main" id="{F788D4B3-A62B-4B28-9CAA-0F8FFC03B5F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3" name="AutoShape 177" descr="USA">
          <a:hlinkClick xmlns:r="http://schemas.openxmlformats.org/officeDocument/2006/relationships" r:id="rId174"/>
          <a:extLst>
            <a:ext uri="{FF2B5EF4-FFF2-40B4-BE49-F238E27FC236}">
              <a16:creationId xmlns:a16="http://schemas.microsoft.com/office/drawing/2014/main" id="{98D70CA7-5951-4FA8-9657-89A342A347B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4" name="AutoShape 177" descr="USA">
          <a:hlinkClick xmlns:r="http://schemas.openxmlformats.org/officeDocument/2006/relationships" r:id="rId174"/>
          <a:extLst>
            <a:ext uri="{FF2B5EF4-FFF2-40B4-BE49-F238E27FC236}">
              <a16:creationId xmlns:a16="http://schemas.microsoft.com/office/drawing/2014/main" id="{43DC5AC4-DB84-4FFB-A1B3-6E291C1EF87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5" name="AutoShape 177" descr="USA">
          <a:hlinkClick xmlns:r="http://schemas.openxmlformats.org/officeDocument/2006/relationships" r:id="rId174"/>
          <a:extLst>
            <a:ext uri="{FF2B5EF4-FFF2-40B4-BE49-F238E27FC236}">
              <a16:creationId xmlns:a16="http://schemas.microsoft.com/office/drawing/2014/main" id="{3C1D985F-47E1-4F01-8B41-B27827DC724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6" name="AutoShape 177" descr="USA">
          <a:hlinkClick xmlns:r="http://schemas.openxmlformats.org/officeDocument/2006/relationships" r:id="rId174"/>
          <a:extLst>
            <a:ext uri="{FF2B5EF4-FFF2-40B4-BE49-F238E27FC236}">
              <a16:creationId xmlns:a16="http://schemas.microsoft.com/office/drawing/2014/main" id="{9F85EBDB-E27B-4895-B953-DF174CF3101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7" name="AutoShape 177" descr="USA">
          <a:hlinkClick xmlns:r="http://schemas.openxmlformats.org/officeDocument/2006/relationships" r:id="rId174"/>
          <a:extLst>
            <a:ext uri="{FF2B5EF4-FFF2-40B4-BE49-F238E27FC236}">
              <a16:creationId xmlns:a16="http://schemas.microsoft.com/office/drawing/2014/main" id="{35884F34-89FB-4A3D-9F5A-9584703E42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163</xdr:row>
      <xdr:rowOff>0</xdr:rowOff>
    </xdr:from>
    <xdr:ext cx="304800" cy="317500"/>
    <xdr:sp macro="" textlink="">
      <xdr:nvSpPr>
        <xdr:cNvPr id="1998" name="AutoShape 177" descr="USA">
          <a:hlinkClick xmlns:r="http://schemas.openxmlformats.org/officeDocument/2006/relationships" r:id="rId174"/>
          <a:extLst>
            <a:ext uri="{FF2B5EF4-FFF2-40B4-BE49-F238E27FC236}">
              <a16:creationId xmlns:a16="http://schemas.microsoft.com/office/drawing/2014/main" id="{EC171108-D843-490A-9E20-B71B0E8D6A1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1999" name="AutoShape 177" descr="USA">
          <a:hlinkClick xmlns:r="http://schemas.openxmlformats.org/officeDocument/2006/relationships" r:id="rId174"/>
          <a:extLst>
            <a:ext uri="{FF2B5EF4-FFF2-40B4-BE49-F238E27FC236}">
              <a16:creationId xmlns:a16="http://schemas.microsoft.com/office/drawing/2014/main" id="{FC12ADD9-EB98-45BF-8341-4249F4FA7C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0" name="AutoShape 171" descr="USA">
          <a:hlinkClick xmlns:r="http://schemas.openxmlformats.org/officeDocument/2006/relationships" r:id="rId165"/>
          <a:extLst>
            <a:ext uri="{FF2B5EF4-FFF2-40B4-BE49-F238E27FC236}">
              <a16:creationId xmlns:a16="http://schemas.microsoft.com/office/drawing/2014/main" id="{4F8AE55A-50AB-4FCD-B11F-4241CC46FED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1" name="AutoShape 177" descr="USA">
          <a:hlinkClick xmlns:r="http://schemas.openxmlformats.org/officeDocument/2006/relationships" r:id="rId174"/>
          <a:extLst>
            <a:ext uri="{FF2B5EF4-FFF2-40B4-BE49-F238E27FC236}">
              <a16:creationId xmlns:a16="http://schemas.microsoft.com/office/drawing/2014/main" id="{D97F471B-F894-4F94-A9D9-4756FFA2CD4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2" name="AutoShape 177" descr="USA">
          <a:hlinkClick xmlns:r="http://schemas.openxmlformats.org/officeDocument/2006/relationships" r:id="rId174"/>
          <a:extLst>
            <a:ext uri="{FF2B5EF4-FFF2-40B4-BE49-F238E27FC236}">
              <a16:creationId xmlns:a16="http://schemas.microsoft.com/office/drawing/2014/main" id="{C1A88963-36AD-424D-BA8A-F1EA649E3C0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3" name="AutoShape 177" descr="USA">
          <a:hlinkClick xmlns:r="http://schemas.openxmlformats.org/officeDocument/2006/relationships" r:id="rId174"/>
          <a:extLst>
            <a:ext uri="{FF2B5EF4-FFF2-40B4-BE49-F238E27FC236}">
              <a16:creationId xmlns:a16="http://schemas.microsoft.com/office/drawing/2014/main" id="{0E35849D-3FA2-4531-A8CD-7E852FF1818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4" name="AutoShape 177" descr="USA">
          <a:hlinkClick xmlns:r="http://schemas.openxmlformats.org/officeDocument/2006/relationships" r:id="rId174"/>
          <a:extLst>
            <a:ext uri="{FF2B5EF4-FFF2-40B4-BE49-F238E27FC236}">
              <a16:creationId xmlns:a16="http://schemas.microsoft.com/office/drawing/2014/main" id="{7564E27F-9944-4271-95F5-E2BAE39C2C2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5" name="AutoShape 177" descr="USA">
          <a:hlinkClick xmlns:r="http://schemas.openxmlformats.org/officeDocument/2006/relationships" r:id="rId174"/>
          <a:extLst>
            <a:ext uri="{FF2B5EF4-FFF2-40B4-BE49-F238E27FC236}">
              <a16:creationId xmlns:a16="http://schemas.microsoft.com/office/drawing/2014/main" id="{0D930374-9C73-4EE8-AE4F-BDD7D6FA8D2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6" name="AutoShape 177" descr="USA">
          <a:hlinkClick xmlns:r="http://schemas.openxmlformats.org/officeDocument/2006/relationships" r:id="rId174"/>
          <a:extLst>
            <a:ext uri="{FF2B5EF4-FFF2-40B4-BE49-F238E27FC236}">
              <a16:creationId xmlns:a16="http://schemas.microsoft.com/office/drawing/2014/main" id="{9F3B266B-6178-4394-90BA-34DE34DE69B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164</xdr:row>
      <xdr:rowOff>0</xdr:rowOff>
    </xdr:from>
    <xdr:ext cx="304800" cy="317500"/>
    <xdr:sp macro="" textlink="">
      <xdr:nvSpPr>
        <xdr:cNvPr id="2007" name="AutoShape 177" descr="USA">
          <a:hlinkClick xmlns:r="http://schemas.openxmlformats.org/officeDocument/2006/relationships" r:id="rId174"/>
          <a:extLst>
            <a:ext uri="{FF2B5EF4-FFF2-40B4-BE49-F238E27FC236}">
              <a16:creationId xmlns:a16="http://schemas.microsoft.com/office/drawing/2014/main" id="{E19322A6-D14D-45F5-93B8-11AD8D6035B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08" name="AutoShape 177" descr="USA">
          <a:hlinkClick xmlns:r="http://schemas.openxmlformats.org/officeDocument/2006/relationships" r:id="rId174"/>
          <a:extLst>
            <a:ext uri="{FF2B5EF4-FFF2-40B4-BE49-F238E27FC236}">
              <a16:creationId xmlns:a16="http://schemas.microsoft.com/office/drawing/2014/main" id="{2C51AF51-0E96-41D3-AA4F-4F3BED009B4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09" name="AutoShape 171" descr="USA">
          <a:hlinkClick xmlns:r="http://schemas.openxmlformats.org/officeDocument/2006/relationships" r:id="rId165"/>
          <a:extLst>
            <a:ext uri="{FF2B5EF4-FFF2-40B4-BE49-F238E27FC236}">
              <a16:creationId xmlns:a16="http://schemas.microsoft.com/office/drawing/2014/main" id="{54A60B8D-A97C-4F60-9C38-3B4B5806A18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0" name="AutoShape 177" descr="USA">
          <a:hlinkClick xmlns:r="http://schemas.openxmlformats.org/officeDocument/2006/relationships" r:id="rId174"/>
          <a:extLst>
            <a:ext uri="{FF2B5EF4-FFF2-40B4-BE49-F238E27FC236}">
              <a16:creationId xmlns:a16="http://schemas.microsoft.com/office/drawing/2014/main" id="{FB3BD869-8C82-4940-B081-D812B0DC21E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1" name="AutoShape 177" descr="USA">
          <a:hlinkClick xmlns:r="http://schemas.openxmlformats.org/officeDocument/2006/relationships" r:id="rId174"/>
          <a:extLst>
            <a:ext uri="{FF2B5EF4-FFF2-40B4-BE49-F238E27FC236}">
              <a16:creationId xmlns:a16="http://schemas.microsoft.com/office/drawing/2014/main" id="{4BA94106-8F02-42F0-9A10-2580EA75CC2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2" name="AutoShape 177" descr="USA">
          <a:hlinkClick xmlns:r="http://schemas.openxmlformats.org/officeDocument/2006/relationships" r:id="rId174"/>
          <a:extLst>
            <a:ext uri="{FF2B5EF4-FFF2-40B4-BE49-F238E27FC236}">
              <a16:creationId xmlns:a16="http://schemas.microsoft.com/office/drawing/2014/main" id="{B742B71C-9BB3-4ED1-9D6F-DEBF3CFA080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3" name="AutoShape 177" descr="USA">
          <a:hlinkClick xmlns:r="http://schemas.openxmlformats.org/officeDocument/2006/relationships" r:id="rId174"/>
          <a:extLst>
            <a:ext uri="{FF2B5EF4-FFF2-40B4-BE49-F238E27FC236}">
              <a16:creationId xmlns:a16="http://schemas.microsoft.com/office/drawing/2014/main" id="{6FBBAE5F-1315-4AD7-B22A-BFA8E98829E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4" name="AutoShape 177" descr="USA">
          <a:hlinkClick xmlns:r="http://schemas.openxmlformats.org/officeDocument/2006/relationships" r:id="rId174"/>
          <a:extLst>
            <a:ext uri="{FF2B5EF4-FFF2-40B4-BE49-F238E27FC236}">
              <a16:creationId xmlns:a16="http://schemas.microsoft.com/office/drawing/2014/main" id="{DB577B7B-CC7E-4F3D-A4DC-158E54F8F6E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5" name="AutoShape 177" descr="USA">
          <a:hlinkClick xmlns:r="http://schemas.openxmlformats.org/officeDocument/2006/relationships" r:id="rId174"/>
          <a:extLst>
            <a:ext uri="{FF2B5EF4-FFF2-40B4-BE49-F238E27FC236}">
              <a16:creationId xmlns:a16="http://schemas.microsoft.com/office/drawing/2014/main" id="{A5D84BFB-E57C-4288-9307-DCD786C5F72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165</xdr:row>
      <xdr:rowOff>0</xdr:rowOff>
    </xdr:from>
    <xdr:ext cx="304800" cy="317500"/>
    <xdr:sp macro="" textlink="">
      <xdr:nvSpPr>
        <xdr:cNvPr id="2016" name="AutoShape 177" descr="USA">
          <a:hlinkClick xmlns:r="http://schemas.openxmlformats.org/officeDocument/2006/relationships" r:id="rId174"/>
          <a:extLst>
            <a:ext uri="{FF2B5EF4-FFF2-40B4-BE49-F238E27FC236}">
              <a16:creationId xmlns:a16="http://schemas.microsoft.com/office/drawing/2014/main" id="{03CA25E9-8DC5-4E52-A6FF-4FD526DBDD7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17" name="AutoShape 177" descr="USA">
          <a:hlinkClick xmlns:r="http://schemas.openxmlformats.org/officeDocument/2006/relationships" r:id="rId174"/>
          <a:extLst>
            <a:ext uri="{FF2B5EF4-FFF2-40B4-BE49-F238E27FC236}">
              <a16:creationId xmlns:a16="http://schemas.microsoft.com/office/drawing/2014/main" id="{1CDAD8B1-B6CB-48C0-BB68-ABBCBCCCC6D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18" name="AutoShape 171" descr="USA">
          <a:hlinkClick xmlns:r="http://schemas.openxmlformats.org/officeDocument/2006/relationships" r:id="rId165"/>
          <a:extLst>
            <a:ext uri="{FF2B5EF4-FFF2-40B4-BE49-F238E27FC236}">
              <a16:creationId xmlns:a16="http://schemas.microsoft.com/office/drawing/2014/main" id="{5AB8F5F7-BAA4-4668-9444-8917D23643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19" name="AutoShape 177" descr="USA">
          <a:hlinkClick xmlns:r="http://schemas.openxmlformats.org/officeDocument/2006/relationships" r:id="rId174"/>
          <a:extLst>
            <a:ext uri="{FF2B5EF4-FFF2-40B4-BE49-F238E27FC236}">
              <a16:creationId xmlns:a16="http://schemas.microsoft.com/office/drawing/2014/main" id="{087C65C7-C8A1-4891-9529-E4E669676E2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0" name="AutoShape 177" descr="USA">
          <a:hlinkClick xmlns:r="http://schemas.openxmlformats.org/officeDocument/2006/relationships" r:id="rId174"/>
          <a:extLst>
            <a:ext uri="{FF2B5EF4-FFF2-40B4-BE49-F238E27FC236}">
              <a16:creationId xmlns:a16="http://schemas.microsoft.com/office/drawing/2014/main" id="{719D7C60-453C-4ECE-9BB1-631E86552A0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1" name="AutoShape 177" descr="USA">
          <a:hlinkClick xmlns:r="http://schemas.openxmlformats.org/officeDocument/2006/relationships" r:id="rId174"/>
          <a:extLst>
            <a:ext uri="{FF2B5EF4-FFF2-40B4-BE49-F238E27FC236}">
              <a16:creationId xmlns:a16="http://schemas.microsoft.com/office/drawing/2014/main" id="{7FA1F386-1137-48EF-8D25-E87D0E55E11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2" name="AutoShape 177" descr="USA">
          <a:hlinkClick xmlns:r="http://schemas.openxmlformats.org/officeDocument/2006/relationships" r:id="rId174"/>
          <a:extLst>
            <a:ext uri="{FF2B5EF4-FFF2-40B4-BE49-F238E27FC236}">
              <a16:creationId xmlns:a16="http://schemas.microsoft.com/office/drawing/2014/main" id="{22217F1C-758F-4BD3-9A9B-12E261435C0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3" name="AutoShape 177" descr="USA">
          <a:hlinkClick xmlns:r="http://schemas.openxmlformats.org/officeDocument/2006/relationships" r:id="rId174"/>
          <a:extLst>
            <a:ext uri="{FF2B5EF4-FFF2-40B4-BE49-F238E27FC236}">
              <a16:creationId xmlns:a16="http://schemas.microsoft.com/office/drawing/2014/main" id="{7086DC8B-DDE1-4EBC-BA50-F78FC06E368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4" name="AutoShape 177" descr="USA">
          <a:hlinkClick xmlns:r="http://schemas.openxmlformats.org/officeDocument/2006/relationships" r:id="rId174"/>
          <a:extLst>
            <a:ext uri="{FF2B5EF4-FFF2-40B4-BE49-F238E27FC236}">
              <a16:creationId xmlns:a16="http://schemas.microsoft.com/office/drawing/2014/main" id="{B965E3C9-1394-4D15-B5CC-6E012C55CA4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166</xdr:row>
      <xdr:rowOff>0</xdr:rowOff>
    </xdr:from>
    <xdr:ext cx="304800" cy="317500"/>
    <xdr:sp macro="" textlink="">
      <xdr:nvSpPr>
        <xdr:cNvPr id="2025" name="AutoShape 177" descr="USA">
          <a:hlinkClick xmlns:r="http://schemas.openxmlformats.org/officeDocument/2006/relationships" r:id="rId174"/>
          <a:extLst>
            <a:ext uri="{FF2B5EF4-FFF2-40B4-BE49-F238E27FC236}">
              <a16:creationId xmlns:a16="http://schemas.microsoft.com/office/drawing/2014/main" id="{59264E40-55F0-4831-8DEC-70A07DE4388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26" name="AutoShape 177" descr="USA">
          <a:hlinkClick xmlns:r="http://schemas.openxmlformats.org/officeDocument/2006/relationships" r:id="rId174"/>
          <a:extLst>
            <a:ext uri="{FF2B5EF4-FFF2-40B4-BE49-F238E27FC236}">
              <a16:creationId xmlns:a16="http://schemas.microsoft.com/office/drawing/2014/main" id="{1AAABCAF-DCA3-4386-91B8-FAD24CC7956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27" name="AutoShape 171" descr="USA">
          <a:hlinkClick xmlns:r="http://schemas.openxmlformats.org/officeDocument/2006/relationships" r:id="rId165"/>
          <a:extLst>
            <a:ext uri="{FF2B5EF4-FFF2-40B4-BE49-F238E27FC236}">
              <a16:creationId xmlns:a16="http://schemas.microsoft.com/office/drawing/2014/main" id="{5FE7D9FD-E575-4684-A4A7-9B7192D6342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28" name="AutoShape 177" descr="USA">
          <a:hlinkClick xmlns:r="http://schemas.openxmlformats.org/officeDocument/2006/relationships" r:id="rId174"/>
          <a:extLst>
            <a:ext uri="{FF2B5EF4-FFF2-40B4-BE49-F238E27FC236}">
              <a16:creationId xmlns:a16="http://schemas.microsoft.com/office/drawing/2014/main" id="{78AA7856-4646-4FF6-B1EE-DA44D72A4AD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29" name="AutoShape 177" descr="USA">
          <a:hlinkClick xmlns:r="http://schemas.openxmlformats.org/officeDocument/2006/relationships" r:id="rId174"/>
          <a:extLst>
            <a:ext uri="{FF2B5EF4-FFF2-40B4-BE49-F238E27FC236}">
              <a16:creationId xmlns:a16="http://schemas.microsoft.com/office/drawing/2014/main" id="{9843ED18-3FD6-4F00-8D5E-A08C0F215EA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0" name="AutoShape 177" descr="USA">
          <a:hlinkClick xmlns:r="http://schemas.openxmlformats.org/officeDocument/2006/relationships" r:id="rId174"/>
          <a:extLst>
            <a:ext uri="{FF2B5EF4-FFF2-40B4-BE49-F238E27FC236}">
              <a16:creationId xmlns:a16="http://schemas.microsoft.com/office/drawing/2014/main" id="{D2F11F84-D3A9-4D02-99AE-A112DEF4714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1" name="AutoShape 177" descr="USA">
          <a:hlinkClick xmlns:r="http://schemas.openxmlformats.org/officeDocument/2006/relationships" r:id="rId174"/>
          <a:extLst>
            <a:ext uri="{FF2B5EF4-FFF2-40B4-BE49-F238E27FC236}">
              <a16:creationId xmlns:a16="http://schemas.microsoft.com/office/drawing/2014/main" id="{B210F453-9AF5-4098-8AC2-A91B4CD3E4E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2" name="AutoShape 177" descr="USA">
          <a:hlinkClick xmlns:r="http://schemas.openxmlformats.org/officeDocument/2006/relationships" r:id="rId174"/>
          <a:extLst>
            <a:ext uri="{FF2B5EF4-FFF2-40B4-BE49-F238E27FC236}">
              <a16:creationId xmlns:a16="http://schemas.microsoft.com/office/drawing/2014/main" id="{DB5D50D1-18F1-4309-B5E0-A7C7885559C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3" name="AutoShape 177" descr="USA">
          <a:hlinkClick xmlns:r="http://schemas.openxmlformats.org/officeDocument/2006/relationships" r:id="rId174"/>
          <a:extLst>
            <a:ext uri="{FF2B5EF4-FFF2-40B4-BE49-F238E27FC236}">
              <a16:creationId xmlns:a16="http://schemas.microsoft.com/office/drawing/2014/main" id="{F410D377-DAB2-4266-BCFC-2313543D333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167</xdr:row>
      <xdr:rowOff>0</xdr:rowOff>
    </xdr:from>
    <xdr:ext cx="304800" cy="317500"/>
    <xdr:sp macro="" textlink="">
      <xdr:nvSpPr>
        <xdr:cNvPr id="2034" name="AutoShape 177" descr="USA">
          <a:hlinkClick xmlns:r="http://schemas.openxmlformats.org/officeDocument/2006/relationships" r:id="rId174"/>
          <a:extLst>
            <a:ext uri="{FF2B5EF4-FFF2-40B4-BE49-F238E27FC236}">
              <a16:creationId xmlns:a16="http://schemas.microsoft.com/office/drawing/2014/main" id="{AB22C710-062C-433B-A87B-9651F791F78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35" name="AutoShape 177" descr="USA">
          <a:hlinkClick xmlns:r="http://schemas.openxmlformats.org/officeDocument/2006/relationships" r:id="rId174"/>
          <a:extLst>
            <a:ext uri="{FF2B5EF4-FFF2-40B4-BE49-F238E27FC236}">
              <a16:creationId xmlns:a16="http://schemas.microsoft.com/office/drawing/2014/main" id="{A302DC97-590A-4252-BB56-176C3C9605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6" name="AutoShape 171" descr="USA">
          <a:hlinkClick xmlns:r="http://schemas.openxmlformats.org/officeDocument/2006/relationships" r:id="rId165"/>
          <a:extLst>
            <a:ext uri="{FF2B5EF4-FFF2-40B4-BE49-F238E27FC236}">
              <a16:creationId xmlns:a16="http://schemas.microsoft.com/office/drawing/2014/main" id="{40D48A00-DD57-4D50-9407-BFF8DD1428C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7" name="AutoShape 177" descr="USA">
          <a:hlinkClick xmlns:r="http://schemas.openxmlformats.org/officeDocument/2006/relationships" r:id="rId174"/>
          <a:extLst>
            <a:ext uri="{FF2B5EF4-FFF2-40B4-BE49-F238E27FC236}">
              <a16:creationId xmlns:a16="http://schemas.microsoft.com/office/drawing/2014/main" id="{102D1FAE-1F1C-4757-9457-A58304AEC3F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8" name="AutoShape 177" descr="USA">
          <a:hlinkClick xmlns:r="http://schemas.openxmlformats.org/officeDocument/2006/relationships" r:id="rId174"/>
          <a:extLst>
            <a:ext uri="{FF2B5EF4-FFF2-40B4-BE49-F238E27FC236}">
              <a16:creationId xmlns:a16="http://schemas.microsoft.com/office/drawing/2014/main" id="{1609EB1C-1A0F-4C6E-84C2-0DDD76DC6AC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39" name="AutoShape 177" descr="USA">
          <a:hlinkClick xmlns:r="http://schemas.openxmlformats.org/officeDocument/2006/relationships" r:id="rId174"/>
          <a:extLst>
            <a:ext uri="{FF2B5EF4-FFF2-40B4-BE49-F238E27FC236}">
              <a16:creationId xmlns:a16="http://schemas.microsoft.com/office/drawing/2014/main" id="{7194DC8C-5DFE-4DB5-AC1D-B9890C3B47E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0" name="AutoShape 177" descr="USA">
          <a:hlinkClick xmlns:r="http://schemas.openxmlformats.org/officeDocument/2006/relationships" r:id="rId174"/>
          <a:extLst>
            <a:ext uri="{FF2B5EF4-FFF2-40B4-BE49-F238E27FC236}">
              <a16:creationId xmlns:a16="http://schemas.microsoft.com/office/drawing/2014/main" id="{5195AF7B-8457-4E6C-A45E-7F5384C53BB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1" name="AutoShape 177" descr="USA">
          <a:hlinkClick xmlns:r="http://schemas.openxmlformats.org/officeDocument/2006/relationships" r:id="rId174"/>
          <a:extLst>
            <a:ext uri="{FF2B5EF4-FFF2-40B4-BE49-F238E27FC236}">
              <a16:creationId xmlns:a16="http://schemas.microsoft.com/office/drawing/2014/main" id="{C228B364-7825-4510-9D95-B0630D88BEF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2" name="AutoShape 177" descr="USA">
          <a:hlinkClick xmlns:r="http://schemas.openxmlformats.org/officeDocument/2006/relationships" r:id="rId174"/>
          <a:extLst>
            <a:ext uri="{FF2B5EF4-FFF2-40B4-BE49-F238E27FC236}">
              <a16:creationId xmlns:a16="http://schemas.microsoft.com/office/drawing/2014/main" id="{12EBFF5F-1C8B-4D51-B854-4583F46300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168</xdr:row>
      <xdr:rowOff>0</xdr:rowOff>
    </xdr:from>
    <xdr:ext cx="304800" cy="317500"/>
    <xdr:sp macro="" textlink="">
      <xdr:nvSpPr>
        <xdr:cNvPr id="2043" name="AutoShape 177" descr="USA">
          <a:hlinkClick xmlns:r="http://schemas.openxmlformats.org/officeDocument/2006/relationships" r:id="rId174"/>
          <a:extLst>
            <a:ext uri="{FF2B5EF4-FFF2-40B4-BE49-F238E27FC236}">
              <a16:creationId xmlns:a16="http://schemas.microsoft.com/office/drawing/2014/main" id="{F1961F87-6AA1-478C-AA5A-4EC9BF4AF4D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44" name="AutoShape 177" descr="USA">
          <a:hlinkClick xmlns:r="http://schemas.openxmlformats.org/officeDocument/2006/relationships" r:id="rId174"/>
          <a:extLst>
            <a:ext uri="{FF2B5EF4-FFF2-40B4-BE49-F238E27FC236}">
              <a16:creationId xmlns:a16="http://schemas.microsoft.com/office/drawing/2014/main" id="{FF57968E-1C51-4A4E-92E5-B7CCFA0D16B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5" name="AutoShape 171" descr="USA">
          <a:hlinkClick xmlns:r="http://schemas.openxmlformats.org/officeDocument/2006/relationships" r:id="rId165"/>
          <a:extLst>
            <a:ext uri="{FF2B5EF4-FFF2-40B4-BE49-F238E27FC236}">
              <a16:creationId xmlns:a16="http://schemas.microsoft.com/office/drawing/2014/main" id="{24F8E4E8-8482-4C5D-B574-266EAE587B7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6" name="AutoShape 177" descr="USA">
          <a:hlinkClick xmlns:r="http://schemas.openxmlformats.org/officeDocument/2006/relationships" r:id="rId174"/>
          <a:extLst>
            <a:ext uri="{FF2B5EF4-FFF2-40B4-BE49-F238E27FC236}">
              <a16:creationId xmlns:a16="http://schemas.microsoft.com/office/drawing/2014/main" id="{8840F687-80CC-4481-BB98-341ED76ED10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7" name="AutoShape 177" descr="USA">
          <a:hlinkClick xmlns:r="http://schemas.openxmlformats.org/officeDocument/2006/relationships" r:id="rId174"/>
          <a:extLst>
            <a:ext uri="{FF2B5EF4-FFF2-40B4-BE49-F238E27FC236}">
              <a16:creationId xmlns:a16="http://schemas.microsoft.com/office/drawing/2014/main" id="{49AB5E59-188E-4F1E-96E6-A871FEB26C9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8" name="AutoShape 177" descr="USA">
          <a:hlinkClick xmlns:r="http://schemas.openxmlformats.org/officeDocument/2006/relationships" r:id="rId174"/>
          <a:extLst>
            <a:ext uri="{FF2B5EF4-FFF2-40B4-BE49-F238E27FC236}">
              <a16:creationId xmlns:a16="http://schemas.microsoft.com/office/drawing/2014/main" id="{63E8F102-FEBA-45D3-94B0-C881944000F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49" name="AutoShape 177" descr="USA">
          <a:hlinkClick xmlns:r="http://schemas.openxmlformats.org/officeDocument/2006/relationships" r:id="rId174"/>
          <a:extLst>
            <a:ext uri="{FF2B5EF4-FFF2-40B4-BE49-F238E27FC236}">
              <a16:creationId xmlns:a16="http://schemas.microsoft.com/office/drawing/2014/main" id="{C57B1518-A4F0-42D0-A9AB-2359683A40A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50" name="AutoShape 177" descr="USA">
          <a:hlinkClick xmlns:r="http://schemas.openxmlformats.org/officeDocument/2006/relationships" r:id="rId174"/>
          <a:extLst>
            <a:ext uri="{FF2B5EF4-FFF2-40B4-BE49-F238E27FC236}">
              <a16:creationId xmlns:a16="http://schemas.microsoft.com/office/drawing/2014/main" id="{B89A1E6C-F539-4EDF-8BF0-1C79685804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51" name="AutoShape 177" descr="USA">
          <a:hlinkClick xmlns:r="http://schemas.openxmlformats.org/officeDocument/2006/relationships" r:id="rId174"/>
          <a:extLst>
            <a:ext uri="{FF2B5EF4-FFF2-40B4-BE49-F238E27FC236}">
              <a16:creationId xmlns:a16="http://schemas.microsoft.com/office/drawing/2014/main" id="{1AE8B3FA-21A0-4F1D-B266-338E1E9E05B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169</xdr:row>
      <xdr:rowOff>0</xdr:rowOff>
    </xdr:from>
    <xdr:ext cx="304800" cy="317500"/>
    <xdr:sp macro="" textlink="">
      <xdr:nvSpPr>
        <xdr:cNvPr id="2052" name="AutoShape 177" descr="USA">
          <a:hlinkClick xmlns:r="http://schemas.openxmlformats.org/officeDocument/2006/relationships" r:id="rId174"/>
          <a:extLst>
            <a:ext uri="{FF2B5EF4-FFF2-40B4-BE49-F238E27FC236}">
              <a16:creationId xmlns:a16="http://schemas.microsoft.com/office/drawing/2014/main" id="{2E120A3E-589E-442C-9D14-7B3F6799167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53" name="AutoShape 177" descr="USA">
          <a:hlinkClick xmlns:r="http://schemas.openxmlformats.org/officeDocument/2006/relationships" r:id="rId174"/>
          <a:extLst>
            <a:ext uri="{FF2B5EF4-FFF2-40B4-BE49-F238E27FC236}">
              <a16:creationId xmlns:a16="http://schemas.microsoft.com/office/drawing/2014/main" id="{C557CE8E-6A2C-422E-A31E-18B12B8899A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4" name="AutoShape 171" descr="USA">
          <a:hlinkClick xmlns:r="http://schemas.openxmlformats.org/officeDocument/2006/relationships" r:id="rId165"/>
          <a:extLst>
            <a:ext uri="{FF2B5EF4-FFF2-40B4-BE49-F238E27FC236}">
              <a16:creationId xmlns:a16="http://schemas.microsoft.com/office/drawing/2014/main" id="{65D7D7C7-3D61-4A80-BDC5-75A0B20CF3C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5" name="AutoShape 177" descr="USA">
          <a:hlinkClick xmlns:r="http://schemas.openxmlformats.org/officeDocument/2006/relationships" r:id="rId174"/>
          <a:extLst>
            <a:ext uri="{FF2B5EF4-FFF2-40B4-BE49-F238E27FC236}">
              <a16:creationId xmlns:a16="http://schemas.microsoft.com/office/drawing/2014/main" id="{F6D5308B-8D5F-466D-AB3F-F0EE713D8FB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6" name="AutoShape 177" descr="USA">
          <a:hlinkClick xmlns:r="http://schemas.openxmlformats.org/officeDocument/2006/relationships" r:id="rId174"/>
          <a:extLst>
            <a:ext uri="{FF2B5EF4-FFF2-40B4-BE49-F238E27FC236}">
              <a16:creationId xmlns:a16="http://schemas.microsoft.com/office/drawing/2014/main" id="{06493558-1820-4722-9E6B-5B5A02F39CE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7" name="AutoShape 177" descr="USA">
          <a:hlinkClick xmlns:r="http://schemas.openxmlformats.org/officeDocument/2006/relationships" r:id="rId174"/>
          <a:extLst>
            <a:ext uri="{FF2B5EF4-FFF2-40B4-BE49-F238E27FC236}">
              <a16:creationId xmlns:a16="http://schemas.microsoft.com/office/drawing/2014/main" id="{BEC72EAB-1CF4-4272-A2F1-036EEF72FDA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8" name="AutoShape 177" descr="USA">
          <a:hlinkClick xmlns:r="http://schemas.openxmlformats.org/officeDocument/2006/relationships" r:id="rId174"/>
          <a:extLst>
            <a:ext uri="{FF2B5EF4-FFF2-40B4-BE49-F238E27FC236}">
              <a16:creationId xmlns:a16="http://schemas.microsoft.com/office/drawing/2014/main" id="{08BD364F-47F3-4E26-8179-035A64961F5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59" name="AutoShape 177" descr="USA">
          <a:hlinkClick xmlns:r="http://schemas.openxmlformats.org/officeDocument/2006/relationships" r:id="rId174"/>
          <a:extLst>
            <a:ext uri="{FF2B5EF4-FFF2-40B4-BE49-F238E27FC236}">
              <a16:creationId xmlns:a16="http://schemas.microsoft.com/office/drawing/2014/main" id="{7D00F2C5-F806-4547-AC20-A4B822DF337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60" name="AutoShape 177" descr="USA">
          <a:hlinkClick xmlns:r="http://schemas.openxmlformats.org/officeDocument/2006/relationships" r:id="rId174"/>
          <a:extLst>
            <a:ext uri="{FF2B5EF4-FFF2-40B4-BE49-F238E27FC236}">
              <a16:creationId xmlns:a16="http://schemas.microsoft.com/office/drawing/2014/main" id="{DED665AC-E39E-4E59-AD0D-E7B9D26DF10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170</xdr:row>
      <xdr:rowOff>0</xdr:rowOff>
    </xdr:from>
    <xdr:ext cx="304800" cy="317500"/>
    <xdr:sp macro="" textlink="">
      <xdr:nvSpPr>
        <xdr:cNvPr id="2061" name="AutoShape 177" descr="USA">
          <a:hlinkClick xmlns:r="http://schemas.openxmlformats.org/officeDocument/2006/relationships" r:id="rId174"/>
          <a:extLst>
            <a:ext uri="{FF2B5EF4-FFF2-40B4-BE49-F238E27FC236}">
              <a16:creationId xmlns:a16="http://schemas.microsoft.com/office/drawing/2014/main" id="{7B123731-EE61-44E1-AF3F-D3BC6BDAF2D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62" name="AutoShape 177" descr="USA">
          <a:hlinkClick xmlns:r="http://schemas.openxmlformats.org/officeDocument/2006/relationships" r:id="rId174"/>
          <a:extLst>
            <a:ext uri="{FF2B5EF4-FFF2-40B4-BE49-F238E27FC236}">
              <a16:creationId xmlns:a16="http://schemas.microsoft.com/office/drawing/2014/main" id="{CCFF359B-C162-4B68-A46F-C6B94B53D90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3" name="AutoShape 171" descr="USA">
          <a:hlinkClick xmlns:r="http://schemas.openxmlformats.org/officeDocument/2006/relationships" r:id="rId165"/>
          <a:extLst>
            <a:ext uri="{FF2B5EF4-FFF2-40B4-BE49-F238E27FC236}">
              <a16:creationId xmlns:a16="http://schemas.microsoft.com/office/drawing/2014/main" id="{A3655135-532A-42A6-9007-22D81DEE1DB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4" name="AutoShape 177" descr="USA">
          <a:hlinkClick xmlns:r="http://schemas.openxmlformats.org/officeDocument/2006/relationships" r:id="rId174"/>
          <a:extLst>
            <a:ext uri="{FF2B5EF4-FFF2-40B4-BE49-F238E27FC236}">
              <a16:creationId xmlns:a16="http://schemas.microsoft.com/office/drawing/2014/main" id="{2B90AF0A-BAF0-405C-ABA5-A46987E212D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5" name="AutoShape 177" descr="USA">
          <a:hlinkClick xmlns:r="http://schemas.openxmlformats.org/officeDocument/2006/relationships" r:id="rId174"/>
          <a:extLst>
            <a:ext uri="{FF2B5EF4-FFF2-40B4-BE49-F238E27FC236}">
              <a16:creationId xmlns:a16="http://schemas.microsoft.com/office/drawing/2014/main" id="{C2FD79F6-AD31-4018-8295-7FC63091668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6" name="AutoShape 177" descr="USA">
          <a:hlinkClick xmlns:r="http://schemas.openxmlformats.org/officeDocument/2006/relationships" r:id="rId174"/>
          <a:extLst>
            <a:ext uri="{FF2B5EF4-FFF2-40B4-BE49-F238E27FC236}">
              <a16:creationId xmlns:a16="http://schemas.microsoft.com/office/drawing/2014/main" id="{A48D3C5D-2D62-4534-864B-4AB92F6852A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7" name="AutoShape 177" descr="USA">
          <a:hlinkClick xmlns:r="http://schemas.openxmlformats.org/officeDocument/2006/relationships" r:id="rId174"/>
          <a:extLst>
            <a:ext uri="{FF2B5EF4-FFF2-40B4-BE49-F238E27FC236}">
              <a16:creationId xmlns:a16="http://schemas.microsoft.com/office/drawing/2014/main" id="{FE054F97-D786-4E78-893E-BCF98BF2E9A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8" name="AutoShape 177" descr="USA">
          <a:hlinkClick xmlns:r="http://schemas.openxmlformats.org/officeDocument/2006/relationships" r:id="rId174"/>
          <a:extLst>
            <a:ext uri="{FF2B5EF4-FFF2-40B4-BE49-F238E27FC236}">
              <a16:creationId xmlns:a16="http://schemas.microsoft.com/office/drawing/2014/main" id="{0DC99A3A-B8D8-46E1-AF3C-31884EF6644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69" name="AutoShape 177" descr="USA">
          <a:hlinkClick xmlns:r="http://schemas.openxmlformats.org/officeDocument/2006/relationships" r:id="rId174"/>
          <a:extLst>
            <a:ext uri="{FF2B5EF4-FFF2-40B4-BE49-F238E27FC236}">
              <a16:creationId xmlns:a16="http://schemas.microsoft.com/office/drawing/2014/main" id="{25535BB4-68EB-4280-B35C-015807372BF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171</xdr:row>
      <xdr:rowOff>0</xdr:rowOff>
    </xdr:from>
    <xdr:ext cx="304800" cy="317500"/>
    <xdr:sp macro="" textlink="">
      <xdr:nvSpPr>
        <xdr:cNvPr id="2070" name="AutoShape 177" descr="USA">
          <a:hlinkClick xmlns:r="http://schemas.openxmlformats.org/officeDocument/2006/relationships" r:id="rId174"/>
          <a:extLst>
            <a:ext uri="{FF2B5EF4-FFF2-40B4-BE49-F238E27FC236}">
              <a16:creationId xmlns:a16="http://schemas.microsoft.com/office/drawing/2014/main" id="{635F68F8-BAE9-4F37-B2B9-0061913D1BB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71" name="AutoShape 177" descr="USA">
          <a:hlinkClick xmlns:r="http://schemas.openxmlformats.org/officeDocument/2006/relationships" r:id="rId174"/>
          <a:extLst>
            <a:ext uri="{FF2B5EF4-FFF2-40B4-BE49-F238E27FC236}">
              <a16:creationId xmlns:a16="http://schemas.microsoft.com/office/drawing/2014/main" id="{56CC544B-DC8F-453B-BE71-18F136928DE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2" name="AutoShape 171" descr="USA">
          <a:hlinkClick xmlns:r="http://schemas.openxmlformats.org/officeDocument/2006/relationships" r:id="rId165"/>
          <a:extLst>
            <a:ext uri="{FF2B5EF4-FFF2-40B4-BE49-F238E27FC236}">
              <a16:creationId xmlns:a16="http://schemas.microsoft.com/office/drawing/2014/main" id="{572D53FD-8B69-4CD1-85D3-46B94C47E87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3" name="AutoShape 177" descr="USA">
          <a:hlinkClick xmlns:r="http://schemas.openxmlformats.org/officeDocument/2006/relationships" r:id="rId174"/>
          <a:extLst>
            <a:ext uri="{FF2B5EF4-FFF2-40B4-BE49-F238E27FC236}">
              <a16:creationId xmlns:a16="http://schemas.microsoft.com/office/drawing/2014/main" id="{19F007E8-73F2-4B87-BAC1-3D7FD58513D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4" name="AutoShape 177" descr="USA">
          <a:hlinkClick xmlns:r="http://schemas.openxmlformats.org/officeDocument/2006/relationships" r:id="rId174"/>
          <a:extLst>
            <a:ext uri="{FF2B5EF4-FFF2-40B4-BE49-F238E27FC236}">
              <a16:creationId xmlns:a16="http://schemas.microsoft.com/office/drawing/2014/main" id="{16BDF382-7CCA-4097-AE1A-1A06C51766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5" name="AutoShape 177" descr="USA">
          <a:hlinkClick xmlns:r="http://schemas.openxmlformats.org/officeDocument/2006/relationships" r:id="rId174"/>
          <a:extLst>
            <a:ext uri="{FF2B5EF4-FFF2-40B4-BE49-F238E27FC236}">
              <a16:creationId xmlns:a16="http://schemas.microsoft.com/office/drawing/2014/main" id="{106234D0-727C-4383-BEEC-E1A55EF38B4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6" name="AutoShape 177" descr="USA">
          <a:hlinkClick xmlns:r="http://schemas.openxmlformats.org/officeDocument/2006/relationships" r:id="rId174"/>
          <a:extLst>
            <a:ext uri="{FF2B5EF4-FFF2-40B4-BE49-F238E27FC236}">
              <a16:creationId xmlns:a16="http://schemas.microsoft.com/office/drawing/2014/main" id="{ADC071F5-38D1-41C3-AF34-875D93B52B0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7" name="AutoShape 177" descr="USA">
          <a:hlinkClick xmlns:r="http://schemas.openxmlformats.org/officeDocument/2006/relationships" r:id="rId174"/>
          <a:extLst>
            <a:ext uri="{FF2B5EF4-FFF2-40B4-BE49-F238E27FC236}">
              <a16:creationId xmlns:a16="http://schemas.microsoft.com/office/drawing/2014/main" id="{F7F7F58E-2F7B-4701-AAD0-182C7B4DA17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8" name="AutoShape 177" descr="USA">
          <a:hlinkClick xmlns:r="http://schemas.openxmlformats.org/officeDocument/2006/relationships" r:id="rId174"/>
          <a:extLst>
            <a:ext uri="{FF2B5EF4-FFF2-40B4-BE49-F238E27FC236}">
              <a16:creationId xmlns:a16="http://schemas.microsoft.com/office/drawing/2014/main" id="{62BC5940-3946-4269-BA6B-0D6650B1518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172</xdr:row>
      <xdr:rowOff>0</xdr:rowOff>
    </xdr:from>
    <xdr:ext cx="304800" cy="317500"/>
    <xdr:sp macro="" textlink="">
      <xdr:nvSpPr>
        <xdr:cNvPr id="2079" name="AutoShape 177" descr="USA">
          <a:hlinkClick xmlns:r="http://schemas.openxmlformats.org/officeDocument/2006/relationships" r:id="rId174"/>
          <a:extLst>
            <a:ext uri="{FF2B5EF4-FFF2-40B4-BE49-F238E27FC236}">
              <a16:creationId xmlns:a16="http://schemas.microsoft.com/office/drawing/2014/main" id="{041DEAF4-06A4-4FA9-9474-481E16740A5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80" name="AutoShape 177" descr="USA">
          <a:hlinkClick xmlns:r="http://schemas.openxmlformats.org/officeDocument/2006/relationships" r:id="rId174"/>
          <a:extLst>
            <a:ext uri="{FF2B5EF4-FFF2-40B4-BE49-F238E27FC236}">
              <a16:creationId xmlns:a16="http://schemas.microsoft.com/office/drawing/2014/main" id="{F7643824-F2A9-4A76-B3C5-E08D7AD70D1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1" name="AutoShape 171" descr="USA">
          <a:hlinkClick xmlns:r="http://schemas.openxmlformats.org/officeDocument/2006/relationships" r:id="rId165"/>
          <a:extLst>
            <a:ext uri="{FF2B5EF4-FFF2-40B4-BE49-F238E27FC236}">
              <a16:creationId xmlns:a16="http://schemas.microsoft.com/office/drawing/2014/main" id="{6AEA3C4C-ED1D-4FD5-80F6-AA01A04400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2" name="AutoShape 177" descr="USA">
          <a:hlinkClick xmlns:r="http://schemas.openxmlformats.org/officeDocument/2006/relationships" r:id="rId174"/>
          <a:extLst>
            <a:ext uri="{FF2B5EF4-FFF2-40B4-BE49-F238E27FC236}">
              <a16:creationId xmlns:a16="http://schemas.microsoft.com/office/drawing/2014/main" id="{7C6B30D9-E52B-487C-A478-75AF02B87C4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3" name="AutoShape 177" descr="USA">
          <a:hlinkClick xmlns:r="http://schemas.openxmlformats.org/officeDocument/2006/relationships" r:id="rId174"/>
          <a:extLst>
            <a:ext uri="{FF2B5EF4-FFF2-40B4-BE49-F238E27FC236}">
              <a16:creationId xmlns:a16="http://schemas.microsoft.com/office/drawing/2014/main" id="{AE817C2D-0C1B-4698-A82D-B672406D6A9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4" name="AutoShape 177" descr="USA">
          <a:hlinkClick xmlns:r="http://schemas.openxmlformats.org/officeDocument/2006/relationships" r:id="rId174"/>
          <a:extLst>
            <a:ext uri="{FF2B5EF4-FFF2-40B4-BE49-F238E27FC236}">
              <a16:creationId xmlns:a16="http://schemas.microsoft.com/office/drawing/2014/main" id="{3D40F152-6BC2-457C-9797-4F75C679DAF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5" name="AutoShape 177" descr="USA">
          <a:hlinkClick xmlns:r="http://schemas.openxmlformats.org/officeDocument/2006/relationships" r:id="rId174"/>
          <a:extLst>
            <a:ext uri="{FF2B5EF4-FFF2-40B4-BE49-F238E27FC236}">
              <a16:creationId xmlns:a16="http://schemas.microsoft.com/office/drawing/2014/main" id="{AC9D9FE9-A4F7-45A0-B5DA-F6EA86C413B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6" name="AutoShape 177" descr="USA">
          <a:hlinkClick xmlns:r="http://schemas.openxmlformats.org/officeDocument/2006/relationships" r:id="rId174"/>
          <a:extLst>
            <a:ext uri="{FF2B5EF4-FFF2-40B4-BE49-F238E27FC236}">
              <a16:creationId xmlns:a16="http://schemas.microsoft.com/office/drawing/2014/main" id="{7C817FAC-52CC-478B-867F-E1BB91F792B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7" name="AutoShape 177" descr="USA">
          <a:hlinkClick xmlns:r="http://schemas.openxmlformats.org/officeDocument/2006/relationships" r:id="rId174"/>
          <a:extLst>
            <a:ext uri="{FF2B5EF4-FFF2-40B4-BE49-F238E27FC236}">
              <a16:creationId xmlns:a16="http://schemas.microsoft.com/office/drawing/2014/main" id="{DF78B606-A803-406A-97F5-2233D084B00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173</xdr:row>
      <xdr:rowOff>0</xdr:rowOff>
    </xdr:from>
    <xdr:ext cx="304800" cy="317500"/>
    <xdr:sp macro="" textlink="">
      <xdr:nvSpPr>
        <xdr:cNvPr id="2088" name="AutoShape 177" descr="USA">
          <a:hlinkClick xmlns:r="http://schemas.openxmlformats.org/officeDocument/2006/relationships" r:id="rId174"/>
          <a:extLst>
            <a:ext uri="{FF2B5EF4-FFF2-40B4-BE49-F238E27FC236}">
              <a16:creationId xmlns:a16="http://schemas.microsoft.com/office/drawing/2014/main" id="{2DB1678F-35E4-4B32-A965-DD9E8DC67FD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089" name="AutoShape 177" descr="USA">
          <a:hlinkClick xmlns:r="http://schemas.openxmlformats.org/officeDocument/2006/relationships" r:id="rId174"/>
          <a:extLst>
            <a:ext uri="{FF2B5EF4-FFF2-40B4-BE49-F238E27FC236}">
              <a16:creationId xmlns:a16="http://schemas.microsoft.com/office/drawing/2014/main" id="{57B12483-6DCF-47CB-86AA-BA4947CB325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0" name="AutoShape 171" descr="USA">
          <a:hlinkClick xmlns:r="http://schemas.openxmlformats.org/officeDocument/2006/relationships" r:id="rId165"/>
          <a:extLst>
            <a:ext uri="{FF2B5EF4-FFF2-40B4-BE49-F238E27FC236}">
              <a16:creationId xmlns:a16="http://schemas.microsoft.com/office/drawing/2014/main" id="{E39F8E56-D31B-4D77-BE05-A925B926C97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1" name="AutoShape 177" descr="USA">
          <a:hlinkClick xmlns:r="http://schemas.openxmlformats.org/officeDocument/2006/relationships" r:id="rId174"/>
          <a:extLst>
            <a:ext uri="{FF2B5EF4-FFF2-40B4-BE49-F238E27FC236}">
              <a16:creationId xmlns:a16="http://schemas.microsoft.com/office/drawing/2014/main" id="{1C5A96E4-B551-4F7F-9A3E-008A61EE40B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2" name="AutoShape 177" descr="USA">
          <a:hlinkClick xmlns:r="http://schemas.openxmlformats.org/officeDocument/2006/relationships" r:id="rId174"/>
          <a:extLst>
            <a:ext uri="{FF2B5EF4-FFF2-40B4-BE49-F238E27FC236}">
              <a16:creationId xmlns:a16="http://schemas.microsoft.com/office/drawing/2014/main" id="{1CB5D563-8A2D-455B-9E6F-C73704B8B57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3" name="AutoShape 177" descr="USA">
          <a:hlinkClick xmlns:r="http://schemas.openxmlformats.org/officeDocument/2006/relationships" r:id="rId174"/>
          <a:extLst>
            <a:ext uri="{FF2B5EF4-FFF2-40B4-BE49-F238E27FC236}">
              <a16:creationId xmlns:a16="http://schemas.microsoft.com/office/drawing/2014/main" id="{D113B863-F6AA-4CAE-8AB8-43D86844D2B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4" name="AutoShape 177" descr="USA">
          <a:hlinkClick xmlns:r="http://schemas.openxmlformats.org/officeDocument/2006/relationships" r:id="rId174"/>
          <a:extLst>
            <a:ext uri="{FF2B5EF4-FFF2-40B4-BE49-F238E27FC236}">
              <a16:creationId xmlns:a16="http://schemas.microsoft.com/office/drawing/2014/main" id="{5B1B0CD5-BCC5-4944-AA94-3B87C1F1607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5" name="AutoShape 177" descr="USA">
          <a:hlinkClick xmlns:r="http://schemas.openxmlformats.org/officeDocument/2006/relationships" r:id="rId174"/>
          <a:extLst>
            <a:ext uri="{FF2B5EF4-FFF2-40B4-BE49-F238E27FC236}">
              <a16:creationId xmlns:a16="http://schemas.microsoft.com/office/drawing/2014/main" id="{E03776E0-F8B6-4C7B-93C0-5948A21F613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6" name="AutoShape 177" descr="USA">
          <a:hlinkClick xmlns:r="http://schemas.openxmlformats.org/officeDocument/2006/relationships" r:id="rId174"/>
          <a:extLst>
            <a:ext uri="{FF2B5EF4-FFF2-40B4-BE49-F238E27FC236}">
              <a16:creationId xmlns:a16="http://schemas.microsoft.com/office/drawing/2014/main" id="{EE5B545B-18F2-4E34-87B7-27C8BC095A8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174</xdr:row>
      <xdr:rowOff>0</xdr:rowOff>
    </xdr:from>
    <xdr:ext cx="304800" cy="317500"/>
    <xdr:sp macro="" textlink="">
      <xdr:nvSpPr>
        <xdr:cNvPr id="2097" name="AutoShape 177" descr="USA">
          <a:hlinkClick xmlns:r="http://schemas.openxmlformats.org/officeDocument/2006/relationships" r:id="rId174"/>
          <a:extLst>
            <a:ext uri="{FF2B5EF4-FFF2-40B4-BE49-F238E27FC236}">
              <a16:creationId xmlns:a16="http://schemas.microsoft.com/office/drawing/2014/main" id="{04A06A67-EAA6-4620-9A31-70F08DB6B46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098" name="AutoShape 177" descr="USA">
          <a:hlinkClick xmlns:r="http://schemas.openxmlformats.org/officeDocument/2006/relationships" r:id="rId174"/>
          <a:extLst>
            <a:ext uri="{FF2B5EF4-FFF2-40B4-BE49-F238E27FC236}">
              <a16:creationId xmlns:a16="http://schemas.microsoft.com/office/drawing/2014/main" id="{89A45678-BC05-4EB7-9CAC-1AA991337FF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099" name="AutoShape 171" descr="USA">
          <a:hlinkClick xmlns:r="http://schemas.openxmlformats.org/officeDocument/2006/relationships" r:id="rId165"/>
          <a:extLst>
            <a:ext uri="{FF2B5EF4-FFF2-40B4-BE49-F238E27FC236}">
              <a16:creationId xmlns:a16="http://schemas.microsoft.com/office/drawing/2014/main" id="{C5022EED-FB8B-44B7-B3C5-74C85BCB6AA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0" name="AutoShape 177" descr="USA">
          <a:hlinkClick xmlns:r="http://schemas.openxmlformats.org/officeDocument/2006/relationships" r:id="rId174"/>
          <a:extLst>
            <a:ext uri="{FF2B5EF4-FFF2-40B4-BE49-F238E27FC236}">
              <a16:creationId xmlns:a16="http://schemas.microsoft.com/office/drawing/2014/main" id="{63011013-A6CC-4B1B-99C5-6BAFBC11D57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1" name="AutoShape 177" descr="USA">
          <a:hlinkClick xmlns:r="http://schemas.openxmlformats.org/officeDocument/2006/relationships" r:id="rId174"/>
          <a:extLst>
            <a:ext uri="{FF2B5EF4-FFF2-40B4-BE49-F238E27FC236}">
              <a16:creationId xmlns:a16="http://schemas.microsoft.com/office/drawing/2014/main" id="{C26545D5-1E73-4521-946F-F4B83DCB55A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2" name="AutoShape 177" descr="USA">
          <a:hlinkClick xmlns:r="http://schemas.openxmlformats.org/officeDocument/2006/relationships" r:id="rId174"/>
          <a:extLst>
            <a:ext uri="{FF2B5EF4-FFF2-40B4-BE49-F238E27FC236}">
              <a16:creationId xmlns:a16="http://schemas.microsoft.com/office/drawing/2014/main" id="{A1AD9260-810C-4E73-943E-CA9BA85A201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3" name="AutoShape 177" descr="USA">
          <a:hlinkClick xmlns:r="http://schemas.openxmlformats.org/officeDocument/2006/relationships" r:id="rId174"/>
          <a:extLst>
            <a:ext uri="{FF2B5EF4-FFF2-40B4-BE49-F238E27FC236}">
              <a16:creationId xmlns:a16="http://schemas.microsoft.com/office/drawing/2014/main" id="{B72836C5-C2C0-41BD-83E6-8CD748EE1D0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4" name="AutoShape 177" descr="USA">
          <a:hlinkClick xmlns:r="http://schemas.openxmlformats.org/officeDocument/2006/relationships" r:id="rId174"/>
          <a:extLst>
            <a:ext uri="{FF2B5EF4-FFF2-40B4-BE49-F238E27FC236}">
              <a16:creationId xmlns:a16="http://schemas.microsoft.com/office/drawing/2014/main" id="{731E2F35-C33E-4515-A4A5-711E4A34EE6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5" name="AutoShape 177" descr="USA">
          <a:hlinkClick xmlns:r="http://schemas.openxmlformats.org/officeDocument/2006/relationships" r:id="rId174"/>
          <a:extLst>
            <a:ext uri="{FF2B5EF4-FFF2-40B4-BE49-F238E27FC236}">
              <a16:creationId xmlns:a16="http://schemas.microsoft.com/office/drawing/2014/main" id="{3389DD55-5CCE-4866-9E32-4688C4ACAA0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175</xdr:row>
      <xdr:rowOff>0</xdr:rowOff>
    </xdr:from>
    <xdr:ext cx="304800" cy="317500"/>
    <xdr:sp macro="" textlink="">
      <xdr:nvSpPr>
        <xdr:cNvPr id="2106" name="AutoShape 177" descr="USA">
          <a:hlinkClick xmlns:r="http://schemas.openxmlformats.org/officeDocument/2006/relationships" r:id="rId174"/>
          <a:extLst>
            <a:ext uri="{FF2B5EF4-FFF2-40B4-BE49-F238E27FC236}">
              <a16:creationId xmlns:a16="http://schemas.microsoft.com/office/drawing/2014/main" id="{B8EE1093-0573-4ECA-84D0-DE054AD2D80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07" name="AutoShape 177" descr="USA">
          <a:hlinkClick xmlns:r="http://schemas.openxmlformats.org/officeDocument/2006/relationships" r:id="rId174"/>
          <a:extLst>
            <a:ext uri="{FF2B5EF4-FFF2-40B4-BE49-F238E27FC236}">
              <a16:creationId xmlns:a16="http://schemas.microsoft.com/office/drawing/2014/main" id="{6B5A940A-8E86-4804-90BD-0B1CC487BA9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08" name="AutoShape 171" descr="USA">
          <a:hlinkClick xmlns:r="http://schemas.openxmlformats.org/officeDocument/2006/relationships" r:id="rId165"/>
          <a:extLst>
            <a:ext uri="{FF2B5EF4-FFF2-40B4-BE49-F238E27FC236}">
              <a16:creationId xmlns:a16="http://schemas.microsoft.com/office/drawing/2014/main" id="{E33496DB-C3A1-4401-8D9B-9C76FF049C1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09" name="AutoShape 177" descr="USA">
          <a:hlinkClick xmlns:r="http://schemas.openxmlformats.org/officeDocument/2006/relationships" r:id="rId174"/>
          <a:extLst>
            <a:ext uri="{FF2B5EF4-FFF2-40B4-BE49-F238E27FC236}">
              <a16:creationId xmlns:a16="http://schemas.microsoft.com/office/drawing/2014/main" id="{4201EBA0-5A68-49DC-968A-43146C6F7EC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0" name="AutoShape 177" descr="USA">
          <a:hlinkClick xmlns:r="http://schemas.openxmlformats.org/officeDocument/2006/relationships" r:id="rId174"/>
          <a:extLst>
            <a:ext uri="{FF2B5EF4-FFF2-40B4-BE49-F238E27FC236}">
              <a16:creationId xmlns:a16="http://schemas.microsoft.com/office/drawing/2014/main" id="{40B5BFFA-EF76-4F07-82BB-A499DECA15F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1" name="AutoShape 177" descr="USA">
          <a:hlinkClick xmlns:r="http://schemas.openxmlformats.org/officeDocument/2006/relationships" r:id="rId174"/>
          <a:extLst>
            <a:ext uri="{FF2B5EF4-FFF2-40B4-BE49-F238E27FC236}">
              <a16:creationId xmlns:a16="http://schemas.microsoft.com/office/drawing/2014/main" id="{15E45091-7D0B-40F6-8E64-334F2655157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2" name="AutoShape 177" descr="USA">
          <a:hlinkClick xmlns:r="http://schemas.openxmlformats.org/officeDocument/2006/relationships" r:id="rId174"/>
          <a:extLst>
            <a:ext uri="{FF2B5EF4-FFF2-40B4-BE49-F238E27FC236}">
              <a16:creationId xmlns:a16="http://schemas.microsoft.com/office/drawing/2014/main" id="{C23EE69C-B478-494F-BC3F-125C670AA3E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3" name="AutoShape 177" descr="USA">
          <a:hlinkClick xmlns:r="http://schemas.openxmlformats.org/officeDocument/2006/relationships" r:id="rId174"/>
          <a:extLst>
            <a:ext uri="{FF2B5EF4-FFF2-40B4-BE49-F238E27FC236}">
              <a16:creationId xmlns:a16="http://schemas.microsoft.com/office/drawing/2014/main" id="{6CEBD8B1-DB66-4276-8B10-59B3943FDC1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4" name="AutoShape 177" descr="USA">
          <a:hlinkClick xmlns:r="http://schemas.openxmlformats.org/officeDocument/2006/relationships" r:id="rId174"/>
          <a:extLst>
            <a:ext uri="{FF2B5EF4-FFF2-40B4-BE49-F238E27FC236}">
              <a16:creationId xmlns:a16="http://schemas.microsoft.com/office/drawing/2014/main" id="{279EA2D6-A595-4D87-98B6-1C30B5D20AF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176</xdr:row>
      <xdr:rowOff>0</xdr:rowOff>
    </xdr:from>
    <xdr:ext cx="304800" cy="317500"/>
    <xdr:sp macro="" textlink="">
      <xdr:nvSpPr>
        <xdr:cNvPr id="2115" name="AutoShape 177" descr="USA">
          <a:hlinkClick xmlns:r="http://schemas.openxmlformats.org/officeDocument/2006/relationships" r:id="rId174"/>
          <a:extLst>
            <a:ext uri="{FF2B5EF4-FFF2-40B4-BE49-F238E27FC236}">
              <a16:creationId xmlns:a16="http://schemas.microsoft.com/office/drawing/2014/main" id="{E3FF400E-DCBD-4754-B142-CAE9DED5D16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16" name="AutoShape 177" descr="USA">
          <a:hlinkClick xmlns:r="http://schemas.openxmlformats.org/officeDocument/2006/relationships" r:id="rId174"/>
          <a:extLst>
            <a:ext uri="{FF2B5EF4-FFF2-40B4-BE49-F238E27FC236}">
              <a16:creationId xmlns:a16="http://schemas.microsoft.com/office/drawing/2014/main" id="{16069D4C-16B3-44BA-BC14-348A20FCE38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17" name="AutoShape 171" descr="USA">
          <a:hlinkClick xmlns:r="http://schemas.openxmlformats.org/officeDocument/2006/relationships" r:id="rId165"/>
          <a:extLst>
            <a:ext uri="{FF2B5EF4-FFF2-40B4-BE49-F238E27FC236}">
              <a16:creationId xmlns:a16="http://schemas.microsoft.com/office/drawing/2014/main" id="{04611AC0-E074-4017-8AA8-24D89B3D8D7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18" name="AutoShape 177" descr="USA">
          <a:hlinkClick xmlns:r="http://schemas.openxmlformats.org/officeDocument/2006/relationships" r:id="rId174"/>
          <a:extLst>
            <a:ext uri="{FF2B5EF4-FFF2-40B4-BE49-F238E27FC236}">
              <a16:creationId xmlns:a16="http://schemas.microsoft.com/office/drawing/2014/main" id="{5FF9A22B-87DB-4EB2-AA01-1D4C3F118ABE}"/>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19" name="AutoShape 177" descr="USA">
          <a:hlinkClick xmlns:r="http://schemas.openxmlformats.org/officeDocument/2006/relationships" r:id="rId174"/>
          <a:extLst>
            <a:ext uri="{FF2B5EF4-FFF2-40B4-BE49-F238E27FC236}">
              <a16:creationId xmlns:a16="http://schemas.microsoft.com/office/drawing/2014/main" id="{DCD8C598-7192-4F72-83FD-5DB93F9CF8F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0" name="AutoShape 177" descr="USA">
          <a:hlinkClick xmlns:r="http://schemas.openxmlformats.org/officeDocument/2006/relationships" r:id="rId174"/>
          <a:extLst>
            <a:ext uri="{FF2B5EF4-FFF2-40B4-BE49-F238E27FC236}">
              <a16:creationId xmlns:a16="http://schemas.microsoft.com/office/drawing/2014/main" id="{B7FEEDFD-3295-440F-B16F-962B9748CDC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1" name="AutoShape 177" descr="USA">
          <a:hlinkClick xmlns:r="http://schemas.openxmlformats.org/officeDocument/2006/relationships" r:id="rId174"/>
          <a:extLst>
            <a:ext uri="{FF2B5EF4-FFF2-40B4-BE49-F238E27FC236}">
              <a16:creationId xmlns:a16="http://schemas.microsoft.com/office/drawing/2014/main" id="{804A57D1-6CFC-4BD8-B926-63B300CC99C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2" name="AutoShape 177" descr="USA">
          <a:hlinkClick xmlns:r="http://schemas.openxmlformats.org/officeDocument/2006/relationships" r:id="rId174"/>
          <a:extLst>
            <a:ext uri="{FF2B5EF4-FFF2-40B4-BE49-F238E27FC236}">
              <a16:creationId xmlns:a16="http://schemas.microsoft.com/office/drawing/2014/main" id="{B0B89EBE-F0AF-4A8A-90B0-E76D0898A54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3" name="AutoShape 177" descr="USA">
          <a:hlinkClick xmlns:r="http://schemas.openxmlformats.org/officeDocument/2006/relationships" r:id="rId174"/>
          <a:extLst>
            <a:ext uri="{FF2B5EF4-FFF2-40B4-BE49-F238E27FC236}">
              <a16:creationId xmlns:a16="http://schemas.microsoft.com/office/drawing/2014/main" id="{03772533-523B-4D3B-B16E-DDD3DF623DD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177</xdr:row>
      <xdr:rowOff>0</xdr:rowOff>
    </xdr:from>
    <xdr:ext cx="304800" cy="317500"/>
    <xdr:sp macro="" textlink="">
      <xdr:nvSpPr>
        <xdr:cNvPr id="2124" name="AutoShape 177" descr="USA">
          <a:hlinkClick xmlns:r="http://schemas.openxmlformats.org/officeDocument/2006/relationships" r:id="rId174"/>
          <a:extLst>
            <a:ext uri="{FF2B5EF4-FFF2-40B4-BE49-F238E27FC236}">
              <a16:creationId xmlns:a16="http://schemas.microsoft.com/office/drawing/2014/main" id="{A8102F51-6107-4CB6-B3A4-1C46CCF21F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25" name="AutoShape 177" descr="USA">
          <a:hlinkClick xmlns:r="http://schemas.openxmlformats.org/officeDocument/2006/relationships" r:id="rId174"/>
          <a:extLst>
            <a:ext uri="{FF2B5EF4-FFF2-40B4-BE49-F238E27FC236}">
              <a16:creationId xmlns:a16="http://schemas.microsoft.com/office/drawing/2014/main" id="{7366F9A2-03C4-4E18-AB5E-ED0FE6F5A9AA}"/>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6" name="AutoShape 171" descr="USA">
          <a:hlinkClick xmlns:r="http://schemas.openxmlformats.org/officeDocument/2006/relationships" r:id="rId165"/>
          <a:extLst>
            <a:ext uri="{FF2B5EF4-FFF2-40B4-BE49-F238E27FC236}">
              <a16:creationId xmlns:a16="http://schemas.microsoft.com/office/drawing/2014/main" id="{56FA92D7-5CE9-41B7-BF0E-DC6FB082001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7" name="AutoShape 177" descr="USA">
          <a:hlinkClick xmlns:r="http://schemas.openxmlformats.org/officeDocument/2006/relationships" r:id="rId174"/>
          <a:extLst>
            <a:ext uri="{FF2B5EF4-FFF2-40B4-BE49-F238E27FC236}">
              <a16:creationId xmlns:a16="http://schemas.microsoft.com/office/drawing/2014/main" id="{A33A6BD6-2BA4-4562-B542-BBA963BCE16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8" name="AutoShape 177" descr="USA">
          <a:hlinkClick xmlns:r="http://schemas.openxmlformats.org/officeDocument/2006/relationships" r:id="rId174"/>
          <a:extLst>
            <a:ext uri="{FF2B5EF4-FFF2-40B4-BE49-F238E27FC236}">
              <a16:creationId xmlns:a16="http://schemas.microsoft.com/office/drawing/2014/main" id="{B0A18FB8-B445-4FEC-AAE0-80EA731883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29" name="AutoShape 177" descr="USA">
          <a:hlinkClick xmlns:r="http://schemas.openxmlformats.org/officeDocument/2006/relationships" r:id="rId174"/>
          <a:extLst>
            <a:ext uri="{FF2B5EF4-FFF2-40B4-BE49-F238E27FC236}">
              <a16:creationId xmlns:a16="http://schemas.microsoft.com/office/drawing/2014/main" id="{FF4C13A4-759D-4B13-AF11-69C4A460C60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0" name="AutoShape 177" descr="USA">
          <a:hlinkClick xmlns:r="http://schemas.openxmlformats.org/officeDocument/2006/relationships" r:id="rId174"/>
          <a:extLst>
            <a:ext uri="{FF2B5EF4-FFF2-40B4-BE49-F238E27FC236}">
              <a16:creationId xmlns:a16="http://schemas.microsoft.com/office/drawing/2014/main" id="{992B5CB6-C551-4CAA-87A3-AC20292E8D9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1" name="AutoShape 177" descr="USA">
          <a:hlinkClick xmlns:r="http://schemas.openxmlformats.org/officeDocument/2006/relationships" r:id="rId174"/>
          <a:extLst>
            <a:ext uri="{FF2B5EF4-FFF2-40B4-BE49-F238E27FC236}">
              <a16:creationId xmlns:a16="http://schemas.microsoft.com/office/drawing/2014/main" id="{46B0404D-3164-464A-8DEF-EC61209C07F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2" name="AutoShape 177" descr="USA">
          <a:hlinkClick xmlns:r="http://schemas.openxmlformats.org/officeDocument/2006/relationships" r:id="rId174"/>
          <a:extLst>
            <a:ext uri="{FF2B5EF4-FFF2-40B4-BE49-F238E27FC236}">
              <a16:creationId xmlns:a16="http://schemas.microsoft.com/office/drawing/2014/main" id="{DA513F70-D8FE-4BDF-8CDF-DB0DEA8E84B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178</xdr:row>
      <xdr:rowOff>0</xdr:rowOff>
    </xdr:from>
    <xdr:ext cx="304800" cy="317500"/>
    <xdr:sp macro="" textlink="">
      <xdr:nvSpPr>
        <xdr:cNvPr id="2133" name="AutoShape 177" descr="USA">
          <a:hlinkClick xmlns:r="http://schemas.openxmlformats.org/officeDocument/2006/relationships" r:id="rId174"/>
          <a:extLst>
            <a:ext uri="{FF2B5EF4-FFF2-40B4-BE49-F238E27FC236}">
              <a16:creationId xmlns:a16="http://schemas.microsoft.com/office/drawing/2014/main" id="{7D0ADC76-79B5-41E8-95B0-4A01F243E88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34" name="AutoShape 177" descr="USA">
          <a:hlinkClick xmlns:r="http://schemas.openxmlformats.org/officeDocument/2006/relationships" r:id="rId174"/>
          <a:extLst>
            <a:ext uri="{FF2B5EF4-FFF2-40B4-BE49-F238E27FC236}">
              <a16:creationId xmlns:a16="http://schemas.microsoft.com/office/drawing/2014/main" id="{2270DC4E-FB9D-4B95-9CEA-C214EBB66C8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5" name="AutoShape 171" descr="USA">
          <a:hlinkClick xmlns:r="http://schemas.openxmlformats.org/officeDocument/2006/relationships" r:id="rId165"/>
          <a:extLst>
            <a:ext uri="{FF2B5EF4-FFF2-40B4-BE49-F238E27FC236}">
              <a16:creationId xmlns:a16="http://schemas.microsoft.com/office/drawing/2014/main" id="{A0B14CFC-A0D5-4CAB-9DF2-3E25E9AC3FA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6" name="AutoShape 177" descr="USA">
          <a:hlinkClick xmlns:r="http://schemas.openxmlformats.org/officeDocument/2006/relationships" r:id="rId174"/>
          <a:extLst>
            <a:ext uri="{FF2B5EF4-FFF2-40B4-BE49-F238E27FC236}">
              <a16:creationId xmlns:a16="http://schemas.microsoft.com/office/drawing/2014/main" id="{41D2A7B7-A2D2-4624-A688-1D9D7D1CD8D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7" name="AutoShape 177" descr="USA">
          <a:hlinkClick xmlns:r="http://schemas.openxmlformats.org/officeDocument/2006/relationships" r:id="rId174"/>
          <a:extLst>
            <a:ext uri="{FF2B5EF4-FFF2-40B4-BE49-F238E27FC236}">
              <a16:creationId xmlns:a16="http://schemas.microsoft.com/office/drawing/2014/main" id="{03EC62B4-29E9-45BB-AFB9-C9F6AB7CB37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8" name="AutoShape 177" descr="USA">
          <a:hlinkClick xmlns:r="http://schemas.openxmlformats.org/officeDocument/2006/relationships" r:id="rId174"/>
          <a:extLst>
            <a:ext uri="{FF2B5EF4-FFF2-40B4-BE49-F238E27FC236}">
              <a16:creationId xmlns:a16="http://schemas.microsoft.com/office/drawing/2014/main" id="{AFD5EC78-5BB6-4DD9-A606-8AAA953D7AD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39" name="AutoShape 177" descr="USA">
          <a:hlinkClick xmlns:r="http://schemas.openxmlformats.org/officeDocument/2006/relationships" r:id="rId174"/>
          <a:extLst>
            <a:ext uri="{FF2B5EF4-FFF2-40B4-BE49-F238E27FC236}">
              <a16:creationId xmlns:a16="http://schemas.microsoft.com/office/drawing/2014/main" id="{DF6A9AC0-CCAC-4CCB-AA50-D9FEE00ED11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40" name="AutoShape 177" descr="USA">
          <a:hlinkClick xmlns:r="http://schemas.openxmlformats.org/officeDocument/2006/relationships" r:id="rId174"/>
          <a:extLst>
            <a:ext uri="{FF2B5EF4-FFF2-40B4-BE49-F238E27FC236}">
              <a16:creationId xmlns:a16="http://schemas.microsoft.com/office/drawing/2014/main" id="{1CFBF354-F479-4424-AC13-110A931AA20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41" name="AutoShape 177" descr="USA">
          <a:hlinkClick xmlns:r="http://schemas.openxmlformats.org/officeDocument/2006/relationships" r:id="rId174"/>
          <a:extLst>
            <a:ext uri="{FF2B5EF4-FFF2-40B4-BE49-F238E27FC236}">
              <a16:creationId xmlns:a16="http://schemas.microsoft.com/office/drawing/2014/main" id="{0CF4ABDC-48DF-4DBF-B1EE-30D6105F9F7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179</xdr:row>
      <xdr:rowOff>0</xdr:rowOff>
    </xdr:from>
    <xdr:ext cx="304800" cy="317500"/>
    <xdr:sp macro="" textlink="">
      <xdr:nvSpPr>
        <xdr:cNvPr id="2142" name="AutoShape 177" descr="USA">
          <a:hlinkClick xmlns:r="http://schemas.openxmlformats.org/officeDocument/2006/relationships" r:id="rId174"/>
          <a:extLst>
            <a:ext uri="{FF2B5EF4-FFF2-40B4-BE49-F238E27FC236}">
              <a16:creationId xmlns:a16="http://schemas.microsoft.com/office/drawing/2014/main" id="{02609A3F-7879-45E3-AB8E-D36BA77C4D3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43" name="AutoShape 177" descr="USA">
          <a:hlinkClick xmlns:r="http://schemas.openxmlformats.org/officeDocument/2006/relationships" r:id="rId174"/>
          <a:extLst>
            <a:ext uri="{FF2B5EF4-FFF2-40B4-BE49-F238E27FC236}">
              <a16:creationId xmlns:a16="http://schemas.microsoft.com/office/drawing/2014/main" id="{6CB65382-1FBE-4E19-914D-14FD77EF3EF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4" name="AutoShape 171" descr="USA">
          <a:hlinkClick xmlns:r="http://schemas.openxmlformats.org/officeDocument/2006/relationships" r:id="rId165"/>
          <a:extLst>
            <a:ext uri="{FF2B5EF4-FFF2-40B4-BE49-F238E27FC236}">
              <a16:creationId xmlns:a16="http://schemas.microsoft.com/office/drawing/2014/main" id="{8B2B30DC-E0E2-4691-94AB-B33E4A49178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5" name="AutoShape 177" descr="USA">
          <a:hlinkClick xmlns:r="http://schemas.openxmlformats.org/officeDocument/2006/relationships" r:id="rId174"/>
          <a:extLst>
            <a:ext uri="{FF2B5EF4-FFF2-40B4-BE49-F238E27FC236}">
              <a16:creationId xmlns:a16="http://schemas.microsoft.com/office/drawing/2014/main" id="{18E0945E-DFD7-4F79-8652-1292AC55893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6" name="AutoShape 177" descr="USA">
          <a:hlinkClick xmlns:r="http://schemas.openxmlformats.org/officeDocument/2006/relationships" r:id="rId174"/>
          <a:extLst>
            <a:ext uri="{FF2B5EF4-FFF2-40B4-BE49-F238E27FC236}">
              <a16:creationId xmlns:a16="http://schemas.microsoft.com/office/drawing/2014/main" id="{77638FE4-4165-4067-B5D8-03ED72EBC71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7" name="AutoShape 177" descr="USA">
          <a:hlinkClick xmlns:r="http://schemas.openxmlformats.org/officeDocument/2006/relationships" r:id="rId174"/>
          <a:extLst>
            <a:ext uri="{FF2B5EF4-FFF2-40B4-BE49-F238E27FC236}">
              <a16:creationId xmlns:a16="http://schemas.microsoft.com/office/drawing/2014/main" id="{1302C60F-8987-4929-ABF5-438B1FD6259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8" name="AutoShape 177" descr="USA">
          <a:hlinkClick xmlns:r="http://schemas.openxmlformats.org/officeDocument/2006/relationships" r:id="rId174"/>
          <a:extLst>
            <a:ext uri="{FF2B5EF4-FFF2-40B4-BE49-F238E27FC236}">
              <a16:creationId xmlns:a16="http://schemas.microsoft.com/office/drawing/2014/main" id="{087326C3-41E9-4777-8579-507FF68D255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49" name="AutoShape 177" descr="USA">
          <a:hlinkClick xmlns:r="http://schemas.openxmlformats.org/officeDocument/2006/relationships" r:id="rId174"/>
          <a:extLst>
            <a:ext uri="{FF2B5EF4-FFF2-40B4-BE49-F238E27FC236}">
              <a16:creationId xmlns:a16="http://schemas.microsoft.com/office/drawing/2014/main" id="{3F10118A-4ED4-4867-81DD-E0E5DB4AC3A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50" name="AutoShape 177" descr="USA">
          <a:hlinkClick xmlns:r="http://schemas.openxmlformats.org/officeDocument/2006/relationships" r:id="rId174"/>
          <a:extLst>
            <a:ext uri="{FF2B5EF4-FFF2-40B4-BE49-F238E27FC236}">
              <a16:creationId xmlns:a16="http://schemas.microsoft.com/office/drawing/2014/main" id="{5CB07EF6-F138-40F0-9574-08E6599D303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180</xdr:row>
      <xdr:rowOff>0</xdr:rowOff>
    </xdr:from>
    <xdr:ext cx="304800" cy="317500"/>
    <xdr:sp macro="" textlink="">
      <xdr:nvSpPr>
        <xdr:cNvPr id="2151" name="AutoShape 177" descr="USA">
          <a:hlinkClick xmlns:r="http://schemas.openxmlformats.org/officeDocument/2006/relationships" r:id="rId174"/>
          <a:extLst>
            <a:ext uri="{FF2B5EF4-FFF2-40B4-BE49-F238E27FC236}">
              <a16:creationId xmlns:a16="http://schemas.microsoft.com/office/drawing/2014/main" id="{FE5927D1-635A-40E6-B6DD-29FEC0A7161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52" name="AutoShape 177" descr="USA">
          <a:hlinkClick xmlns:r="http://schemas.openxmlformats.org/officeDocument/2006/relationships" r:id="rId174"/>
          <a:extLst>
            <a:ext uri="{FF2B5EF4-FFF2-40B4-BE49-F238E27FC236}">
              <a16:creationId xmlns:a16="http://schemas.microsoft.com/office/drawing/2014/main" id="{D929E9CD-C6C5-4B8D-ACA0-126DA11C6AE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3" name="AutoShape 171" descr="USA">
          <a:hlinkClick xmlns:r="http://schemas.openxmlformats.org/officeDocument/2006/relationships" r:id="rId165"/>
          <a:extLst>
            <a:ext uri="{FF2B5EF4-FFF2-40B4-BE49-F238E27FC236}">
              <a16:creationId xmlns:a16="http://schemas.microsoft.com/office/drawing/2014/main" id="{6B868B8C-F123-48C7-A745-E4A1E02D624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4" name="AutoShape 177" descr="USA">
          <a:hlinkClick xmlns:r="http://schemas.openxmlformats.org/officeDocument/2006/relationships" r:id="rId174"/>
          <a:extLst>
            <a:ext uri="{FF2B5EF4-FFF2-40B4-BE49-F238E27FC236}">
              <a16:creationId xmlns:a16="http://schemas.microsoft.com/office/drawing/2014/main" id="{EBD98428-8924-44C5-89F5-C9C20A91D3A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5" name="AutoShape 177" descr="USA">
          <a:hlinkClick xmlns:r="http://schemas.openxmlformats.org/officeDocument/2006/relationships" r:id="rId174"/>
          <a:extLst>
            <a:ext uri="{FF2B5EF4-FFF2-40B4-BE49-F238E27FC236}">
              <a16:creationId xmlns:a16="http://schemas.microsoft.com/office/drawing/2014/main" id="{161810EA-6670-4F73-A9A0-A6E43EEBBD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6" name="AutoShape 177" descr="USA">
          <a:hlinkClick xmlns:r="http://schemas.openxmlformats.org/officeDocument/2006/relationships" r:id="rId174"/>
          <a:extLst>
            <a:ext uri="{FF2B5EF4-FFF2-40B4-BE49-F238E27FC236}">
              <a16:creationId xmlns:a16="http://schemas.microsoft.com/office/drawing/2014/main" id="{E26F6B46-55A4-489B-AF40-BAE27A1FD73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7" name="AutoShape 177" descr="USA">
          <a:hlinkClick xmlns:r="http://schemas.openxmlformats.org/officeDocument/2006/relationships" r:id="rId174"/>
          <a:extLst>
            <a:ext uri="{FF2B5EF4-FFF2-40B4-BE49-F238E27FC236}">
              <a16:creationId xmlns:a16="http://schemas.microsoft.com/office/drawing/2014/main" id="{EA12D621-A405-4180-8DC7-7FE1755754F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8" name="AutoShape 177" descr="USA">
          <a:hlinkClick xmlns:r="http://schemas.openxmlformats.org/officeDocument/2006/relationships" r:id="rId174"/>
          <a:extLst>
            <a:ext uri="{FF2B5EF4-FFF2-40B4-BE49-F238E27FC236}">
              <a16:creationId xmlns:a16="http://schemas.microsoft.com/office/drawing/2014/main" id="{562E3D79-4903-422F-84B8-8A9F6A88484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59" name="AutoShape 177" descr="USA">
          <a:hlinkClick xmlns:r="http://schemas.openxmlformats.org/officeDocument/2006/relationships" r:id="rId174"/>
          <a:extLst>
            <a:ext uri="{FF2B5EF4-FFF2-40B4-BE49-F238E27FC236}">
              <a16:creationId xmlns:a16="http://schemas.microsoft.com/office/drawing/2014/main" id="{76B0ADC3-95B8-4D31-9815-45E62474EB4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181</xdr:row>
      <xdr:rowOff>0</xdr:rowOff>
    </xdr:from>
    <xdr:ext cx="304800" cy="317500"/>
    <xdr:sp macro="" textlink="">
      <xdr:nvSpPr>
        <xdr:cNvPr id="2160" name="AutoShape 177" descr="USA">
          <a:hlinkClick xmlns:r="http://schemas.openxmlformats.org/officeDocument/2006/relationships" r:id="rId174"/>
          <a:extLst>
            <a:ext uri="{FF2B5EF4-FFF2-40B4-BE49-F238E27FC236}">
              <a16:creationId xmlns:a16="http://schemas.microsoft.com/office/drawing/2014/main" id="{4FBA58C5-8456-4CAC-8600-CA0F21429CD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61" name="AutoShape 177" descr="USA">
          <a:hlinkClick xmlns:r="http://schemas.openxmlformats.org/officeDocument/2006/relationships" r:id="rId174"/>
          <a:extLst>
            <a:ext uri="{FF2B5EF4-FFF2-40B4-BE49-F238E27FC236}">
              <a16:creationId xmlns:a16="http://schemas.microsoft.com/office/drawing/2014/main" id="{95FD4737-F7A9-40C3-852D-E564472A102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2" name="AutoShape 171" descr="USA">
          <a:hlinkClick xmlns:r="http://schemas.openxmlformats.org/officeDocument/2006/relationships" r:id="rId165"/>
          <a:extLst>
            <a:ext uri="{FF2B5EF4-FFF2-40B4-BE49-F238E27FC236}">
              <a16:creationId xmlns:a16="http://schemas.microsoft.com/office/drawing/2014/main" id="{9DEE0F13-2DC9-421F-AA8C-B79662E630B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3" name="AutoShape 177" descr="USA">
          <a:hlinkClick xmlns:r="http://schemas.openxmlformats.org/officeDocument/2006/relationships" r:id="rId174"/>
          <a:extLst>
            <a:ext uri="{FF2B5EF4-FFF2-40B4-BE49-F238E27FC236}">
              <a16:creationId xmlns:a16="http://schemas.microsoft.com/office/drawing/2014/main" id="{3E4F22E4-E8A0-4BB6-87CE-C4E9A119346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4" name="AutoShape 177" descr="USA">
          <a:hlinkClick xmlns:r="http://schemas.openxmlformats.org/officeDocument/2006/relationships" r:id="rId174"/>
          <a:extLst>
            <a:ext uri="{FF2B5EF4-FFF2-40B4-BE49-F238E27FC236}">
              <a16:creationId xmlns:a16="http://schemas.microsoft.com/office/drawing/2014/main" id="{D79DC8BF-740E-48C9-A6C3-74CE5812FC9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5" name="AutoShape 177" descr="USA">
          <a:hlinkClick xmlns:r="http://schemas.openxmlformats.org/officeDocument/2006/relationships" r:id="rId174"/>
          <a:extLst>
            <a:ext uri="{FF2B5EF4-FFF2-40B4-BE49-F238E27FC236}">
              <a16:creationId xmlns:a16="http://schemas.microsoft.com/office/drawing/2014/main" id="{53792001-08D8-4027-8893-F00D6810CEA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6" name="AutoShape 177" descr="USA">
          <a:hlinkClick xmlns:r="http://schemas.openxmlformats.org/officeDocument/2006/relationships" r:id="rId174"/>
          <a:extLst>
            <a:ext uri="{FF2B5EF4-FFF2-40B4-BE49-F238E27FC236}">
              <a16:creationId xmlns:a16="http://schemas.microsoft.com/office/drawing/2014/main" id="{8F89F17E-5165-4DBE-83D2-79CA7E23F76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7" name="AutoShape 177" descr="USA">
          <a:hlinkClick xmlns:r="http://schemas.openxmlformats.org/officeDocument/2006/relationships" r:id="rId174"/>
          <a:extLst>
            <a:ext uri="{FF2B5EF4-FFF2-40B4-BE49-F238E27FC236}">
              <a16:creationId xmlns:a16="http://schemas.microsoft.com/office/drawing/2014/main" id="{105744D5-0800-4997-88AD-9A06B7CC062E}"/>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8" name="AutoShape 177" descr="USA">
          <a:hlinkClick xmlns:r="http://schemas.openxmlformats.org/officeDocument/2006/relationships" r:id="rId174"/>
          <a:extLst>
            <a:ext uri="{FF2B5EF4-FFF2-40B4-BE49-F238E27FC236}">
              <a16:creationId xmlns:a16="http://schemas.microsoft.com/office/drawing/2014/main" id="{DD828113-770A-4FB0-9443-56BF6AADA8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182</xdr:row>
      <xdr:rowOff>0</xdr:rowOff>
    </xdr:from>
    <xdr:ext cx="304800" cy="317500"/>
    <xdr:sp macro="" textlink="">
      <xdr:nvSpPr>
        <xdr:cNvPr id="2169" name="AutoShape 177" descr="USA">
          <a:hlinkClick xmlns:r="http://schemas.openxmlformats.org/officeDocument/2006/relationships" r:id="rId174"/>
          <a:extLst>
            <a:ext uri="{FF2B5EF4-FFF2-40B4-BE49-F238E27FC236}">
              <a16:creationId xmlns:a16="http://schemas.microsoft.com/office/drawing/2014/main" id="{589C33ED-E464-4D71-B571-7F1A65A2249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70" name="AutoShape 177" descr="USA">
          <a:hlinkClick xmlns:r="http://schemas.openxmlformats.org/officeDocument/2006/relationships" r:id="rId174"/>
          <a:extLst>
            <a:ext uri="{FF2B5EF4-FFF2-40B4-BE49-F238E27FC236}">
              <a16:creationId xmlns:a16="http://schemas.microsoft.com/office/drawing/2014/main" id="{C46F9365-A0A2-4C77-8879-D42FC13434C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1" name="AutoShape 171" descr="USA">
          <a:hlinkClick xmlns:r="http://schemas.openxmlformats.org/officeDocument/2006/relationships" r:id="rId165"/>
          <a:extLst>
            <a:ext uri="{FF2B5EF4-FFF2-40B4-BE49-F238E27FC236}">
              <a16:creationId xmlns:a16="http://schemas.microsoft.com/office/drawing/2014/main" id="{22D57153-2DCD-4447-9376-2B5832D61A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2" name="AutoShape 177" descr="USA">
          <a:hlinkClick xmlns:r="http://schemas.openxmlformats.org/officeDocument/2006/relationships" r:id="rId174"/>
          <a:extLst>
            <a:ext uri="{FF2B5EF4-FFF2-40B4-BE49-F238E27FC236}">
              <a16:creationId xmlns:a16="http://schemas.microsoft.com/office/drawing/2014/main" id="{870E62F7-5C36-4E58-B99A-1E688964543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3" name="AutoShape 177" descr="USA">
          <a:hlinkClick xmlns:r="http://schemas.openxmlformats.org/officeDocument/2006/relationships" r:id="rId174"/>
          <a:extLst>
            <a:ext uri="{FF2B5EF4-FFF2-40B4-BE49-F238E27FC236}">
              <a16:creationId xmlns:a16="http://schemas.microsoft.com/office/drawing/2014/main" id="{3A05A78B-CBA6-4D6A-832F-7A9737C43F5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4" name="AutoShape 177" descr="USA">
          <a:hlinkClick xmlns:r="http://schemas.openxmlformats.org/officeDocument/2006/relationships" r:id="rId174"/>
          <a:extLst>
            <a:ext uri="{FF2B5EF4-FFF2-40B4-BE49-F238E27FC236}">
              <a16:creationId xmlns:a16="http://schemas.microsoft.com/office/drawing/2014/main" id="{5753ACBA-F819-4A9C-9428-6C5EAD7ECC9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5" name="AutoShape 177" descr="USA">
          <a:hlinkClick xmlns:r="http://schemas.openxmlformats.org/officeDocument/2006/relationships" r:id="rId174"/>
          <a:extLst>
            <a:ext uri="{FF2B5EF4-FFF2-40B4-BE49-F238E27FC236}">
              <a16:creationId xmlns:a16="http://schemas.microsoft.com/office/drawing/2014/main" id="{CAFAB9CB-6B1D-4768-A45D-869C7C7BFB1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6" name="AutoShape 177" descr="USA">
          <a:hlinkClick xmlns:r="http://schemas.openxmlformats.org/officeDocument/2006/relationships" r:id="rId174"/>
          <a:extLst>
            <a:ext uri="{FF2B5EF4-FFF2-40B4-BE49-F238E27FC236}">
              <a16:creationId xmlns:a16="http://schemas.microsoft.com/office/drawing/2014/main" id="{5895DBBB-0241-4853-A16B-7D5110F82D7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7" name="AutoShape 177" descr="USA">
          <a:hlinkClick xmlns:r="http://schemas.openxmlformats.org/officeDocument/2006/relationships" r:id="rId174"/>
          <a:extLst>
            <a:ext uri="{FF2B5EF4-FFF2-40B4-BE49-F238E27FC236}">
              <a16:creationId xmlns:a16="http://schemas.microsoft.com/office/drawing/2014/main" id="{4A4D290D-5E4D-4556-BBE8-2B903A24F41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183</xdr:row>
      <xdr:rowOff>0</xdr:rowOff>
    </xdr:from>
    <xdr:ext cx="304800" cy="317500"/>
    <xdr:sp macro="" textlink="">
      <xdr:nvSpPr>
        <xdr:cNvPr id="2178" name="AutoShape 177" descr="USA">
          <a:hlinkClick xmlns:r="http://schemas.openxmlformats.org/officeDocument/2006/relationships" r:id="rId174"/>
          <a:extLst>
            <a:ext uri="{FF2B5EF4-FFF2-40B4-BE49-F238E27FC236}">
              <a16:creationId xmlns:a16="http://schemas.microsoft.com/office/drawing/2014/main" id="{74BED7AC-7255-407B-83AF-D26FA26DC9B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79" name="AutoShape 177" descr="USA">
          <a:hlinkClick xmlns:r="http://schemas.openxmlformats.org/officeDocument/2006/relationships" r:id="rId174"/>
          <a:extLst>
            <a:ext uri="{FF2B5EF4-FFF2-40B4-BE49-F238E27FC236}">
              <a16:creationId xmlns:a16="http://schemas.microsoft.com/office/drawing/2014/main" id="{02068F8C-AF2C-4AE1-8823-57554D94B7C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0" name="AutoShape 171" descr="USA">
          <a:hlinkClick xmlns:r="http://schemas.openxmlformats.org/officeDocument/2006/relationships" r:id="rId165"/>
          <a:extLst>
            <a:ext uri="{FF2B5EF4-FFF2-40B4-BE49-F238E27FC236}">
              <a16:creationId xmlns:a16="http://schemas.microsoft.com/office/drawing/2014/main" id="{984C3C45-9566-42FB-9143-78C973D733F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1" name="AutoShape 177" descr="USA">
          <a:hlinkClick xmlns:r="http://schemas.openxmlformats.org/officeDocument/2006/relationships" r:id="rId174"/>
          <a:extLst>
            <a:ext uri="{FF2B5EF4-FFF2-40B4-BE49-F238E27FC236}">
              <a16:creationId xmlns:a16="http://schemas.microsoft.com/office/drawing/2014/main" id="{F9DA6114-22E3-45DF-88C0-B01DFAB0291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2" name="AutoShape 177" descr="USA">
          <a:hlinkClick xmlns:r="http://schemas.openxmlformats.org/officeDocument/2006/relationships" r:id="rId174"/>
          <a:extLst>
            <a:ext uri="{FF2B5EF4-FFF2-40B4-BE49-F238E27FC236}">
              <a16:creationId xmlns:a16="http://schemas.microsoft.com/office/drawing/2014/main" id="{FD03948C-D48D-4E88-8B90-7EEF4B21881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3" name="AutoShape 177" descr="USA">
          <a:hlinkClick xmlns:r="http://schemas.openxmlformats.org/officeDocument/2006/relationships" r:id="rId174"/>
          <a:extLst>
            <a:ext uri="{FF2B5EF4-FFF2-40B4-BE49-F238E27FC236}">
              <a16:creationId xmlns:a16="http://schemas.microsoft.com/office/drawing/2014/main" id="{B3FE188D-4C9A-4D78-9493-EE46276E0F8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4" name="AutoShape 177" descr="USA">
          <a:hlinkClick xmlns:r="http://schemas.openxmlformats.org/officeDocument/2006/relationships" r:id="rId174"/>
          <a:extLst>
            <a:ext uri="{FF2B5EF4-FFF2-40B4-BE49-F238E27FC236}">
              <a16:creationId xmlns:a16="http://schemas.microsoft.com/office/drawing/2014/main" id="{95444888-3DEF-4386-BA46-49267989559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5" name="AutoShape 177" descr="USA">
          <a:hlinkClick xmlns:r="http://schemas.openxmlformats.org/officeDocument/2006/relationships" r:id="rId174"/>
          <a:extLst>
            <a:ext uri="{FF2B5EF4-FFF2-40B4-BE49-F238E27FC236}">
              <a16:creationId xmlns:a16="http://schemas.microsoft.com/office/drawing/2014/main" id="{DE644F55-45AA-4F3E-AFD8-78B09E9EBB1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6" name="AutoShape 177" descr="USA">
          <a:hlinkClick xmlns:r="http://schemas.openxmlformats.org/officeDocument/2006/relationships" r:id="rId174"/>
          <a:extLst>
            <a:ext uri="{FF2B5EF4-FFF2-40B4-BE49-F238E27FC236}">
              <a16:creationId xmlns:a16="http://schemas.microsoft.com/office/drawing/2014/main" id="{2C6847A5-3D63-454E-8BFB-7F0D5B7BD85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184</xdr:row>
      <xdr:rowOff>0</xdr:rowOff>
    </xdr:from>
    <xdr:ext cx="304800" cy="317500"/>
    <xdr:sp macro="" textlink="">
      <xdr:nvSpPr>
        <xdr:cNvPr id="2187" name="AutoShape 177" descr="USA">
          <a:hlinkClick xmlns:r="http://schemas.openxmlformats.org/officeDocument/2006/relationships" r:id="rId174"/>
          <a:extLst>
            <a:ext uri="{FF2B5EF4-FFF2-40B4-BE49-F238E27FC236}">
              <a16:creationId xmlns:a16="http://schemas.microsoft.com/office/drawing/2014/main" id="{D4F4DB65-9976-46A5-9D85-59B4FB9BA52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188" name="AutoShape 177" descr="USA">
          <a:hlinkClick xmlns:r="http://schemas.openxmlformats.org/officeDocument/2006/relationships" r:id="rId174"/>
          <a:extLst>
            <a:ext uri="{FF2B5EF4-FFF2-40B4-BE49-F238E27FC236}">
              <a16:creationId xmlns:a16="http://schemas.microsoft.com/office/drawing/2014/main" id="{D23B0CCE-D866-4DD6-8782-68DCFE6582E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89" name="AutoShape 171" descr="USA">
          <a:hlinkClick xmlns:r="http://schemas.openxmlformats.org/officeDocument/2006/relationships" r:id="rId165"/>
          <a:extLst>
            <a:ext uri="{FF2B5EF4-FFF2-40B4-BE49-F238E27FC236}">
              <a16:creationId xmlns:a16="http://schemas.microsoft.com/office/drawing/2014/main" id="{70ACB997-F342-4044-86A8-751E670EC61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0" name="AutoShape 177" descr="USA">
          <a:hlinkClick xmlns:r="http://schemas.openxmlformats.org/officeDocument/2006/relationships" r:id="rId174"/>
          <a:extLst>
            <a:ext uri="{FF2B5EF4-FFF2-40B4-BE49-F238E27FC236}">
              <a16:creationId xmlns:a16="http://schemas.microsoft.com/office/drawing/2014/main" id="{A135D346-7B01-4649-8159-F665D15DF27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1" name="AutoShape 177" descr="USA">
          <a:hlinkClick xmlns:r="http://schemas.openxmlformats.org/officeDocument/2006/relationships" r:id="rId174"/>
          <a:extLst>
            <a:ext uri="{FF2B5EF4-FFF2-40B4-BE49-F238E27FC236}">
              <a16:creationId xmlns:a16="http://schemas.microsoft.com/office/drawing/2014/main" id="{2B0DD423-DDE9-4AEB-8EE2-A74D21BC67A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2" name="AutoShape 177" descr="USA">
          <a:hlinkClick xmlns:r="http://schemas.openxmlformats.org/officeDocument/2006/relationships" r:id="rId174"/>
          <a:extLst>
            <a:ext uri="{FF2B5EF4-FFF2-40B4-BE49-F238E27FC236}">
              <a16:creationId xmlns:a16="http://schemas.microsoft.com/office/drawing/2014/main" id="{443CEF5A-9C3C-422E-AC13-7CA211D7AF0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3" name="AutoShape 177" descr="USA">
          <a:hlinkClick xmlns:r="http://schemas.openxmlformats.org/officeDocument/2006/relationships" r:id="rId174"/>
          <a:extLst>
            <a:ext uri="{FF2B5EF4-FFF2-40B4-BE49-F238E27FC236}">
              <a16:creationId xmlns:a16="http://schemas.microsoft.com/office/drawing/2014/main" id="{F9E7DB05-9A00-4981-A7EB-8A996516235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4" name="AutoShape 177" descr="USA">
          <a:hlinkClick xmlns:r="http://schemas.openxmlformats.org/officeDocument/2006/relationships" r:id="rId174"/>
          <a:extLst>
            <a:ext uri="{FF2B5EF4-FFF2-40B4-BE49-F238E27FC236}">
              <a16:creationId xmlns:a16="http://schemas.microsoft.com/office/drawing/2014/main" id="{20B37D50-BC97-4EBA-8E83-D5F125F562C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5" name="AutoShape 177" descr="USA">
          <a:hlinkClick xmlns:r="http://schemas.openxmlformats.org/officeDocument/2006/relationships" r:id="rId174"/>
          <a:extLst>
            <a:ext uri="{FF2B5EF4-FFF2-40B4-BE49-F238E27FC236}">
              <a16:creationId xmlns:a16="http://schemas.microsoft.com/office/drawing/2014/main" id="{84A58327-790E-45AA-92FE-F44999EE55C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185</xdr:row>
      <xdr:rowOff>0</xdr:rowOff>
    </xdr:from>
    <xdr:ext cx="304800" cy="317500"/>
    <xdr:sp macro="" textlink="">
      <xdr:nvSpPr>
        <xdr:cNvPr id="2196" name="AutoShape 177" descr="USA">
          <a:hlinkClick xmlns:r="http://schemas.openxmlformats.org/officeDocument/2006/relationships" r:id="rId174"/>
          <a:extLst>
            <a:ext uri="{FF2B5EF4-FFF2-40B4-BE49-F238E27FC236}">
              <a16:creationId xmlns:a16="http://schemas.microsoft.com/office/drawing/2014/main" id="{8182A3B8-5ED1-4B38-B1F1-209153DF9FA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197" name="AutoShape 177" descr="USA">
          <a:hlinkClick xmlns:r="http://schemas.openxmlformats.org/officeDocument/2006/relationships" r:id="rId174"/>
          <a:extLst>
            <a:ext uri="{FF2B5EF4-FFF2-40B4-BE49-F238E27FC236}">
              <a16:creationId xmlns:a16="http://schemas.microsoft.com/office/drawing/2014/main" id="{21A6E4AB-9A6D-4FBC-8048-8DEF223B5F0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198" name="AutoShape 171" descr="USA">
          <a:hlinkClick xmlns:r="http://schemas.openxmlformats.org/officeDocument/2006/relationships" r:id="rId165"/>
          <a:extLst>
            <a:ext uri="{FF2B5EF4-FFF2-40B4-BE49-F238E27FC236}">
              <a16:creationId xmlns:a16="http://schemas.microsoft.com/office/drawing/2014/main" id="{28656177-125B-44F6-BC1A-90735218609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199" name="AutoShape 177" descr="USA">
          <a:hlinkClick xmlns:r="http://schemas.openxmlformats.org/officeDocument/2006/relationships" r:id="rId174"/>
          <a:extLst>
            <a:ext uri="{FF2B5EF4-FFF2-40B4-BE49-F238E27FC236}">
              <a16:creationId xmlns:a16="http://schemas.microsoft.com/office/drawing/2014/main" id="{66F4AA3B-EC38-47D7-B081-A06D2073D88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0" name="AutoShape 177" descr="USA">
          <a:hlinkClick xmlns:r="http://schemas.openxmlformats.org/officeDocument/2006/relationships" r:id="rId174"/>
          <a:extLst>
            <a:ext uri="{FF2B5EF4-FFF2-40B4-BE49-F238E27FC236}">
              <a16:creationId xmlns:a16="http://schemas.microsoft.com/office/drawing/2014/main" id="{7C73D3DB-07F1-458F-9AC0-C55B15AC5F0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1" name="AutoShape 177" descr="USA">
          <a:hlinkClick xmlns:r="http://schemas.openxmlformats.org/officeDocument/2006/relationships" r:id="rId174"/>
          <a:extLst>
            <a:ext uri="{FF2B5EF4-FFF2-40B4-BE49-F238E27FC236}">
              <a16:creationId xmlns:a16="http://schemas.microsoft.com/office/drawing/2014/main" id="{F78F0998-923D-4FCE-A157-9011A83917D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2" name="AutoShape 177" descr="USA">
          <a:hlinkClick xmlns:r="http://schemas.openxmlformats.org/officeDocument/2006/relationships" r:id="rId174"/>
          <a:extLst>
            <a:ext uri="{FF2B5EF4-FFF2-40B4-BE49-F238E27FC236}">
              <a16:creationId xmlns:a16="http://schemas.microsoft.com/office/drawing/2014/main" id="{D75B6709-F6F3-4744-BD47-8C6E1389C47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3" name="AutoShape 177" descr="USA">
          <a:hlinkClick xmlns:r="http://schemas.openxmlformats.org/officeDocument/2006/relationships" r:id="rId174"/>
          <a:extLst>
            <a:ext uri="{FF2B5EF4-FFF2-40B4-BE49-F238E27FC236}">
              <a16:creationId xmlns:a16="http://schemas.microsoft.com/office/drawing/2014/main" id="{848852A2-C35B-4DD3-95BD-F51AF1ABC31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4" name="AutoShape 177" descr="USA">
          <a:hlinkClick xmlns:r="http://schemas.openxmlformats.org/officeDocument/2006/relationships" r:id="rId174"/>
          <a:extLst>
            <a:ext uri="{FF2B5EF4-FFF2-40B4-BE49-F238E27FC236}">
              <a16:creationId xmlns:a16="http://schemas.microsoft.com/office/drawing/2014/main" id="{FDF80D7F-80D1-41F9-8C5D-F74E2348646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186</xdr:row>
      <xdr:rowOff>0</xdr:rowOff>
    </xdr:from>
    <xdr:ext cx="304800" cy="317500"/>
    <xdr:sp macro="" textlink="">
      <xdr:nvSpPr>
        <xdr:cNvPr id="2205" name="AutoShape 177" descr="USA">
          <a:hlinkClick xmlns:r="http://schemas.openxmlformats.org/officeDocument/2006/relationships" r:id="rId174"/>
          <a:extLst>
            <a:ext uri="{FF2B5EF4-FFF2-40B4-BE49-F238E27FC236}">
              <a16:creationId xmlns:a16="http://schemas.microsoft.com/office/drawing/2014/main" id="{10BE8AA3-9B90-4BDB-92D3-A2445AE83F6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06" name="AutoShape 177" descr="USA">
          <a:hlinkClick xmlns:r="http://schemas.openxmlformats.org/officeDocument/2006/relationships" r:id="rId174"/>
          <a:extLst>
            <a:ext uri="{FF2B5EF4-FFF2-40B4-BE49-F238E27FC236}">
              <a16:creationId xmlns:a16="http://schemas.microsoft.com/office/drawing/2014/main" id="{98AB5863-493D-421D-B13B-9617121BCF7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07" name="AutoShape 171" descr="USA">
          <a:hlinkClick xmlns:r="http://schemas.openxmlformats.org/officeDocument/2006/relationships" r:id="rId165"/>
          <a:extLst>
            <a:ext uri="{FF2B5EF4-FFF2-40B4-BE49-F238E27FC236}">
              <a16:creationId xmlns:a16="http://schemas.microsoft.com/office/drawing/2014/main" id="{3E5C8CC9-D0B8-496E-B101-ADBA29ABF8E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08" name="AutoShape 177" descr="USA">
          <a:hlinkClick xmlns:r="http://schemas.openxmlformats.org/officeDocument/2006/relationships" r:id="rId174"/>
          <a:extLst>
            <a:ext uri="{FF2B5EF4-FFF2-40B4-BE49-F238E27FC236}">
              <a16:creationId xmlns:a16="http://schemas.microsoft.com/office/drawing/2014/main" id="{B3234B14-1303-4BEB-99C7-02CB18BD1B6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09" name="AutoShape 177" descr="USA">
          <a:hlinkClick xmlns:r="http://schemas.openxmlformats.org/officeDocument/2006/relationships" r:id="rId174"/>
          <a:extLst>
            <a:ext uri="{FF2B5EF4-FFF2-40B4-BE49-F238E27FC236}">
              <a16:creationId xmlns:a16="http://schemas.microsoft.com/office/drawing/2014/main" id="{50A19AC3-5A7A-4B5A-86EA-A4A0371D224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0" name="AutoShape 177" descr="USA">
          <a:hlinkClick xmlns:r="http://schemas.openxmlformats.org/officeDocument/2006/relationships" r:id="rId174"/>
          <a:extLst>
            <a:ext uri="{FF2B5EF4-FFF2-40B4-BE49-F238E27FC236}">
              <a16:creationId xmlns:a16="http://schemas.microsoft.com/office/drawing/2014/main" id="{9122076C-19DC-4878-8B9D-8D1B597362B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1" name="AutoShape 177" descr="USA">
          <a:hlinkClick xmlns:r="http://schemas.openxmlformats.org/officeDocument/2006/relationships" r:id="rId174"/>
          <a:extLst>
            <a:ext uri="{FF2B5EF4-FFF2-40B4-BE49-F238E27FC236}">
              <a16:creationId xmlns:a16="http://schemas.microsoft.com/office/drawing/2014/main" id="{8654C2C1-98AD-4484-B538-F740E90FBF6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2" name="AutoShape 177" descr="USA">
          <a:hlinkClick xmlns:r="http://schemas.openxmlformats.org/officeDocument/2006/relationships" r:id="rId174"/>
          <a:extLst>
            <a:ext uri="{FF2B5EF4-FFF2-40B4-BE49-F238E27FC236}">
              <a16:creationId xmlns:a16="http://schemas.microsoft.com/office/drawing/2014/main" id="{010DCA38-61C1-4C48-B40A-9511389E397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3" name="AutoShape 177" descr="USA">
          <a:hlinkClick xmlns:r="http://schemas.openxmlformats.org/officeDocument/2006/relationships" r:id="rId174"/>
          <a:extLst>
            <a:ext uri="{FF2B5EF4-FFF2-40B4-BE49-F238E27FC236}">
              <a16:creationId xmlns:a16="http://schemas.microsoft.com/office/drawing/2014/main" id="{369C5A41-356C-4A5C-82DE-6DD35AAFED9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187</xdr:row>
      <xdr:rowOff>0</xdr:rowOff>
    </xdr:from>
    <xdr:ext cx="304800" cy="317500"/>
    <xdr:sp macro="" textlink="">
      <xdr:nvSpPr>
        <xdr:cNvPr id="2214" name="AutoShape 177" descr="USA">
          <a:hlinkClick xmlns:r="http://schemas.openxmlformats.org/officeDocument/2006/relationships" r:id="rId174"/>
          <a:extLst>
            <a:ext uri="{FF2B5EF4-FFF2-40B4-BE49-F238E27FC236}">
              <a16:creationId xmlns:a16="http://schemas.microsoft.com/office/drawing/2014/main" id="{38EA1F6C-B227-4460-8875-A722F62E489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15" name="AutoShape 177" descr="USA">
          <a:hlinkClick xmlns:r="http://schemas.openxmlformats.org/officeDocument/2006/relationships" r:id="rId174"/>
          <a:extLst>
            <a:ext uri="{FF2B5EF4-FFF2-40B4-BE49-F238E27FC236}">
              <a16:creationId xmlns:a16="http://schemas.microsoft.com/office/drawing/2014/main" id="{3A03CD01-7345-4CBE-A272-41843570841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6" name="AutoShape 171" descr="USA">
          <a:hlinkClick xmlns:r="http://schemas.openxmlformats.org/officeDocument/2006/relationships" r:id="rId165"/>
          <a:extLst>
            <a:ext uri="{FF2B5EF4-FFF2-40B4-BE49-F238E27FC236}">
              <a16:creationId xmlns:a16="http://schemas.microsoft.com/office/drawing/2014/main" id="{092FDE5A-6A6E-470F-BB7A-08E1353000A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7" name="AutoShape 177" descr="USA">
          <a:hlinkClick xmlns:r="http://schemas.openxmlformats.org/officeDocument/2006/relationships" r:id="rId174"/>
          <a:extLst>
            <a:ext uri="{FF2B5EF4-FFF2-40B4-BE49-F238E27FC236}">
              <a16:creationId xmlns:a16="http://schemas.microsoft.com/office/drawing/2014/main" id="{E848AE9B-34BB-47FF-A447-8B310126994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8" name="AutoShape 177" descr="USA">
          <a:hlinkClick xmlns:r="http://schemas.openxmlformats.org/officeDocument/2006/relationships" r:id="rId174"/>
          <a:extLst>
            <a:ext uri="{FF2B5EF4-FFF2-40B4-BE49-F238E27FC236}">
              <a16:creationId xmlns:a16="http://schemas.microsoft.com/office/drawing/2014/main" id="{9AB5BF35-E52D-4449-B261-275817E0245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19" name="AutoShape 177" descr="USA">
          <a:hlinkClick xmlns:r="http://schemas.openxmlformats.org/officeDocument/2006/relationships" r:id="rId174"/>
          <a:extLst>
            <a:ext uri="{FF2B5EF4-FFF2-40B4-BE49-F238E27FC236}">
              <a16:creationId xmlns:a16="http://schemas.microsoft.com/office/drawing/2014/main" id="{0187A272-4F36-4389-B1FD-E9BC3BA2342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0" name="AutoShape 177" descr="USA">
          <a:hlinkClick xmlns:r="http://schemas.openxmlformats.org/officeDocument/2006/relationships" r:id="rId174"/>
          <a:extLst>
            <a:ext uri="{FF2B5EF4-FFF2-40B4-BE49-F238E27FC236}">
              <a16:creationId xmlns:a16="http://schemas.microsoft.com/office/drawing/2014/main" id="{B3BCD95C-F304-4CE9-9692-C620C37B75A8}"/>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1" name="AutoShape 177" descr="USA">
          <a:hlinkClick xmlns:r="http://schemas.openxmlformats.org/officeDocument/2006/relationships" r:id="rId174"/>
          <a:extLst>
            <a:ext uri="{FF2B5EF4-FFF2-40B4-BE49-F238E27FC236}">
              <a16:creationId xmlns:a16="http://schemas.microsoft.com/office/drawing/2014/main" id="{E923DD22-F1AB-4001-BAB2-4B3A928C26B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2" name="AutoShape 177" descr="USA">
          <a:hlinkClick xmlns:r="http://schemas.openxmlformats.org/officeDocument/2006/relationships" r:id="rId174"/>
          <a:extLst>
            <a:ext uri="{FF2B5EF4-FFF2-40B4-BE49-F238E27FC236}">
              <a16:creationId xmlns:a16="http://schemas.microsoft.com/office/drawing/2014/main" id="{99EDE650-AFB2-4A1F-8347-CA0A673F78A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188</xdr:row>
      <xdr:rowOff>0</xdr:rowOff>
    </xdr:from>
    <xdr:ext cx="304800" cy="317500"/>
    <xdr:sp macro="" textlink="">
      <xdr:nvSpPr>
        <xdr:cNvPr id="2223" name="AutoShape 177" descr="USA">
          <a:hlinkClick xmlns:r="http://schemas.openxmlformats.org/officeDocument/2006/relationships" r:id="rId174"/>
          <a:extLst>
            <a:ext uri="{FF2B5EF4-FFF2-40B4-BE49-F238E27FC236}">
              <a16:creationId xmlns:a16="http://schemas.microsoft.com/office/drawing/2014/main" id="{EFE15008-F6A4-47F0-AB34-A1F031EBFF4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24" name="AutoShape 177" descr="USA">
          <a:hlinkClick xmlns:r="http://schemas.openxmlformats.org/officeDocument/2006/relationships" r:id="rId174"/>
          <a:extLst>
            <a:ext uri="{FF2B5EF4-FFF2-40B4-BE49-F238E27FC236}">
              <a16:creationId xmlns:a16="http://schemas.microsoft.com/office/drawing/2014/main" id="{498A7345-FBE0-4A7B-94F0-13B9216584C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5" name="AutoShape 171" descr="USA">
          <a:hlinkClick xmlns:r="http://schemas.openxmlformats.org/officeDocument/2006/relationships" r:id="rId165"/>
          <a:extLst>
            <a:ext uri="{FF2B5EF4-FFF2-40B4-BE49-F238E27FC236}">
              <a16:creationId xmlns:a16="http://schemas.microsoft.com/office/drawing/2014/main" id="{F11D7607-435D-48E1-A928-477660E1085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6" name="AutoShape 177" descr="USA">
          <a:hlinkClick xmlns:r="http://schemas.openxmlformats.org/officeDocument/2006/relationships" r:id="rId174"/>
          <a:extLst>
            <a:ext uri="{FF2B5EF4-FFF2-40B4-BE49-F238E27FC236}">
              <a16:creationId xmlns:a16="http://schemas.microsoft.com/office/drawing/2014/main" id="{A55CFCF5-FFD4-40F4-8047-7E1D524B7BD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7" name="AutoShape 177" descr="USA">
          <a:hlinkClick xmlns:r="http://schemas.openxmlformats.org/officeDocument/2006/relationships" r:id="rId174"/>
          <a:extLst>
            <a:ext uri="{FF2B5EF4-FFF2-40B4-BE49-F238E27FC236}">
              <a16:creationId xmlns:a16="http://schemas.microsoft.com/office/drawing/2014/main" id="{B6B74A8D-564C-4A05-B046-8EC1062A288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8" name="AutoShape 177" descr="USA">
          <a:hlinkClick xmlns:r="http://schemas.openxmlformats.org/officeDocument/2006/relationships" r:id="rId174"/>
          <a:extLst>
            <a:ext uri="{FF2B5EF4-FFF2-40B4-BE49-F238E27FC236}">
              <a16:creationId xmlns:a16="http://schemas.microsoft.com/office/drawing/2014/main" id="{0EE79205-DEED-419E-8417-867CDAB4C77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29" name="AutoShape 177" descr="USA">
          <a:hlinkClick xmlns:r="http://schemas.openxmlformats.org/officeDocument/2006/relationships" r:id="rId174"/>
          <a:extLst>
            <a:ext uri="{FF2B5EF4-FFF2-40B4-BE49-F238E27FC236}">
              <a16:creationId xmlns:a16="http://schemas.microsoft.com/office/drawing/2014/main" id="{CE78924A-30FD-447A-B91E-B96DC4BC81A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30" name="AutoShape 177" descr="USA">
          <a:hlinkClick xmlns:r="http://schemas.openxmlformats.org/officeDocument/2006/relationships" r:id="rId174"/>
          <a:extLst>
            <a:ext uri="{FF2B5EF4-FFF2-40B4-BE49-F238E27FC236}">
              <a16:creationId xmlns:a16="http://schemas.microsoft.com/office/drawing/2014/main" id="{089C5DD0-B4B5-4C0B-BA48-7238E3C8B82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31" name="AutoShape 177" descr="USA">
          <a:hlinkClick xmlns:r="http://schemas.openxmlformats.org/officeDocument/2006/relationships" r:id="rId174"/>
          <a:extLst>
            <a:ext uri="{FF2B5EF4-FFF2-40B4-BE49-F238E27FC236}">
              <a16:creationId xmlns:a16="http://schemas.microsoft.com/office/drawing/2014/main" id="{70EE0791-8661-47C4-BFB3-DBC2FD8A3E4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189</xdr:row>
      <xdr:rowOff>0</xdr:rowOff>
    </xdr:from>
    <xdr:ext cx="304800" cy="317500"/>
    <xdr:sp macro="" textlink="">
      <xdr:nvSpPr>
        <xdr:cNvPr id="2232" name="AutoShape 177" descr="USA">
          <a:hlinkClick xmlns:r="http://schemas.openxmlformats.org/officeDocument/2006/relationships" r:id="rId174"/>
          <a:extLst>
            <a:ext uri="{FF2B5EF4-FFF2-40B4-BE49-F238E27FC236}">
              <a16:creationId xmlns:a16="http://schemas.microsoft.com/office/drawing/2014/main" id="{2C1B3E2C-ED47-4A90-8667-6CA65A21570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33" name="AutoShape 177" descr="USA">
          <a:hlinkClick xmlns:r="http://schemas.openxmlformats.org/officeDocument/2006/relationships" r:id="rId174"/>
          <a:extLst>
            <a:ext uri="{FF2B5EF4-FFF2-40B4-BE49-F238E27FC236}">
              <a16:creationId xmlns:a16="http://schemas.microsoft.com/office/drawing/2014/main" id="{2F52016E-83C8-4DA6-BE8B-CD5F31E8C42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4" name="AutoShape 171" descr="USA">
          <a:hlinkClick xmlns:r="http://schemas.openxmlformats.org/officeDocument/2006/relationships" r:id="rId165"/>
          <a:extLst>
            <a:ext uri="{FF2B5EF4-FFF2-40B4-BE49-F238E27FC236}">
              <a16:creationId xmlns:a16="http://schemas.microsoft.com/office/drawing/2014/main" id="{4E06E06B-2922-45F7-ABE1-2B6394280BC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5" name="AutoShape 177" descr="USA">
          <a:hlinkClick xmlns:r="http://schemas.openxmlformats.org/officeDocument/2006/relationships" r:id="rId174"/>
          <a:extLst>
            <a:ext uri="{FF2B5EF4-FFF2-40B4-BE49-F238E27FC236}">
              <a16:creationId xmlns:a16="http://schemas.microsoft.com/office/drawing/2014/main" id="{87B842DC-59DD-4107-AF76-01B47E2A6E6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6" name="AutoShape 177" descr="USA">
          <a:hlinkClick xmlns:r="http://schemas.openxmlformats.org/officeDocument/2006/relationships" r:id="rId174"/>
          <a:extLst>
            <a:ext uri="{FF2B5EF4-FFF2-40B4-BE49-F238E27FC236}">
              <a16:creationId xmlns:a16="http://schemas.microsoft.com/office/drawing/2014/main" id="{AD131994-A89F-45D5-9351-CF86D98E024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7" name="AutoShape 177" descr="USA">
          <a:hlinkClick xmlns:r="http://schemas.openxmlformats.org/officeDocument/2006/relationships" r:id="rId174"/>
          <a:extLst>
            <a:ext uri="{FF2B5EF4-FFF2-40B4-BE49-F238E27FC236}">
              <a16:creationId xmlns:a16="http://schemas.microsoft.com/office/drawing/2014/main" id="{18ACFDC6-F58D-42D9-9832-D3852FF920F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8" name="AutoShape 177" descr="USA">
          <a:hlinkClick xmlns:r="http://schemas.openxmlformats.org/officeDocument/2006/relationships" r:id="rId174"/>
          <a:extLst>
            <a:ext uri="{FF2B5EF4-FFF2-40B4-BE49-F238E27FC236}">
              <a16:creationId xmlns:a16="http://schemas.microsoft.com/office/drawing/2014/main" id="{902F50FB-C02C-422C-AB83-EE3318E9DCD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39" name="AutoShape 177" descr="USA">
          <a:hlinkClick xmlns:r="http://schemas.openxmlformats.org/officeDocument/2006/relationships" r:id="rId174"/>
          <a:extLst>
            <a:ext uri="{FF2B5EF4-FFF2-40B4-BE49-F238E27FC236}">
              <a16:creationId xmlns:a16="http://schemas.microsoft.com/office/drawing/2014/main" id="{27CAE134-C78A-404A-92F7-5CD92EED98B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40" name="AutoShape 177" descr="USA">
          <a:hlinkClick xmlns:r="http://schemas.openxmlformats.org/officeDocument/2006/relationships" r:id="rId174"/>
          <a:extLst>
            <a:ext uri="{FF2B5EF4-FFF2-40B4-BE49-F238E27FC236}">
              <a16:creationId xmlns:a16="http://schemas.microsoft.com/office/drawing/2014/main" id="{E3F5C72D-0E17-44FD-A02B-CA49F495126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190</xdr:row>
      <xdr:rowOff>0</xdr:rowOff>
    </xdr:from>
    <xdr:ext cx="304800" cy="317500"/>
    <xdr:sp macro="" textlink="">
      <xdr:nvSpPr>
        <xdr:cNvPr id="2241" name="AutoShape 177" descr="USA">
          <a:hlinkClick xmlns:r="http://schemas.openxmlformats.org/officeDocument/2006/relationships" r:id="rId174"/>
          <a:extLst>
            <a:ext uri="{FF2B5EF4-FFF2-40B4-BE49-F238E27FC236}">
              <a16:creationId xmlns:a16="http://schemas.microsoft.com/office/drawing/2014/main" id="{527F874B-F049-442D-8B41-B32D61FD66A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42" name="AutoShape 177" descr="USA">
          <a:hlinkClick xmlns:r="http://schemas.openxmlformats.org/officeDocument/2006/relationships" r:id="rId174"/>
          <a:extLst>
            <a:ext uri="{FF2B5EF4-FFF2-40B4-BE49-F238E27FC236}">
              <a16:creationId xmlns:a16="http://schemas.microsoft.com/office/drawing/2014/main" id="{61CCE397-F250-4120-A89F-CB8CF9D6E75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3" name="AutoShape 171" descr="USA">
          <a:hlinkClick xmlns:r="http://schemas.openxmlformats.org/officeDocument/2006/relationships" r:id="rId165"/>
          <a:extLst>
            <a:ext uri="{FF2B5EF4-FFF2-40B4-BE49-F238E27FC236}">
              <a16:creationId xmlns:a16="http://schemas.microsoft.com/office/drawing/2014/main" id="{74B54BD6-93FD-463B-AA50-94CBEC89CD3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4" name="AutoShape 177" descr="USA">
          <a:hlinkClick xmlns:r="http://schemas.openxmlformats.org/officeDocument/2006/relationships" r:id="rId174"/>
          <a:extLst>
            <a:ext uri="{FF2B5EF4-FFF2-40B4-BE49-F238E27FC236}">
              <a16:creationId xmlns:a16="http://schemas.microsoft.com/office/drawing/2014/main" id="{E78E3C79-553D-4569-ABDA-AE8E940143E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5" name="AutoShape 177" descr="USA">
          <a:hlinkClick xmlns:r="http://schemas.openxmlformats.org/officeDocument/2006/relationships" r:id="rId174"/>
          <a:extLst>
            <a:ext uri="{FF2B5EF4-FFF2-40B4-BE49-F238E27FC236}">
              <a16:creationId xmlns:a16="http://schemas.microsoft.com/office/drawing/2014/main" id="{0B37F616-C129-4344-A19E-F70F8098615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6" name="AutoShape 177" descr="USA">
          <a:hlinkClick xmlns:r="http://schemas.openxmlformats.org/officeDocument/2006/relationships" r:id="rId174"/>
          <a:extLst>
            <a:ext uri="{FF2B5EF4-FFF2-40B4-BE49-F238E27FC236}">
              <a16:creationId xmlns:a16="http://schemas.microsoft.com/office/drawing/2014/main" id="{F5B891C5-FF87-4BD0-8C10-98FBE8D1B1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7" name="AutoShape 177" descr="USA">
          <a:hlinkClick xmlns:r="http://schemas.openxmlformats.org/officeDocument/2006/relationships" r:id="rId174"/>
          <a:extLst>
            <a:ext uri="{FF2B5EF4-FFF2-40B4-BE49-F238E27FC236}">
              <a16:creationId xmlns:a16="http://schemas.microsoft.com/office/drawing/2014/main" id="{80E3293E-26C8-438D-A9E3-DEE124E292BA}"/>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8" name="AutoShape 177" descr="USA">
          <a:hlinkClick xmlns:r="http://schemas.openxmlformats.org/officeDocument/2006/relationships" r:id="rId174"/>
          <a:extLst>
            <a:ext uri="{FF2B5EF4-FFF2-40B4-BE49-F238E27FC236}">
              <a16:creationId xmlns:a16="http://schemas.microsoft.com/office/drawing/2014/main" id="{40278BE4-C3C1-4600-A748-2D8268B0583F}"/>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49" name="AutoShape 177" descr="USA">
          <a:hlinkClick xmlns:r="http://schemas.openxmlformats.org/officeDocument/2006/relationships" r:id="rId174"/>
          <a:extLst>
            <a:ext uri="{FF2B5EF4-FFF2-40B4-BE49-F238E27FC236}">
              <a16:creationId xmlns:a16="http://schemas.microsoft.com/office/drawing/2014/main" id="{509B1193-EE05-4D6C-80E1-D03F48B5CAD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191</xdr:row>
      <xdr:rowOff>0</xdr:rowOff>
    </xdr:from>
    <xdr:ext cx="304800" cy="317500"/>
    <xdr:sp macro="" textlink="">
      <xdr:nvSpPr>
        <xdr:cNvPr id="2250" name="AutoShape 177" descr="USA">
          <a:hlinkClick xmlns:r="http://schemas.openxmlformats.org/officeDocument/2006/relationships" r:id="rId174"/>
          <a:extLst>
            <a:ext uri="{FF2B5EF4-FFF2-40B4-BE49-F238E27FC236}">
              <a16:creationId xmlns:a16="http://schemas.microsoft.com/office/drawing/2014/main" id="{6F2B7827-D021-453B-B09E-C7D2D2128DA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51" name="AutoShape 177" descr="USA">
          <a:hlinkClick xmlns:r="http://schemas.openxmlformats.org/officeDocument/2006/relationships" r:id="rId174"/>
          <a:extLst>
            <a:ext uri="{FF2B5EF4-FFF2-40B4-BE49-F238E27FC236}">
              <a16:creationId xmlns:a16="http://schemas.microsoft.com/office/drawing/2014/main" id="{E92E3C09-23C2-45AA-942F-988F2ADA66A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2" name="AutoShape 171" descr="USA">
          <a:hlinkClick xmlns:r="http://schemas.openxmlformats.org/officeDocument/2006/relationships" r:id="rId165"/>
          <a:extLst>
            <a:ext uri="{FF2B5EF4-FFF2-40B4-BE49-F238E27FC236}">
              <a16:creationId xmlns:a16="http://schemas.microsoft.com/office/drawing/2014/main" id="{7FB61029-B4B9-4ABC-A11B-DDE5FCF7019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3" name="AutoShape 177" descr="USA">
          <a:hlinkClick xmlns:r="http://schemas.openxmlformats.org/officeDocument/2006/relationships" r:id="rId174"/>
          <a:extLst>
            <a:ext uri="{FF2B5EF4-FFF2-40B4-BE49-F238E27FC236}">
              <a16:creationId xmlns:a16="http://schemas.microsoft.com/office/drawing/2014/main" id="{38BCC78B-4E93-433C-8747-F4EE5821AAA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4" name="AutoShape 177" descr="USA">
          <a:hlinkClick xmlns:r="http://schemas.openxmlformats.org/officeDocument/2006/relationships" r:id="rId174"/>
          <a:extLst>
            <a:ext uri="{FF2B5EF4-FFF2-40B4-BE49-F238E27FC236}">
              <a16:creationId xmlns:a16="http://schemas.microsoft.com/office/drawing/2014/main" id="{E1E9BAFD-3A4B-4366-8A2C-96623809D3C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5" name="AutoShape 177" descr="USA">
          <a:hlinkClick xmlns:r="http://schemas.openxmlformats.org/officeDocument/2006/relationships" r:id="rId174"/>
          <a:extLst>
            <a:ext uri="{FF2B5EF4-FFF2-40B4-BE49-F238E27FC236}">
              <a16:creationId xmlns:a16="http://schemas.microsoft.com/office/drawing/2014/main" id="{A9DDC37F-CA4D-441E-8D62-7EA8A9582A5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6" name="AutoShape 177" descr="USA">
          <a:hlinkClick xmlns:r="http://schemas.openxmlformats.org/officeDocument/2006/relationships" r:id="rId174"/>
          <a:extLst>
            <a:ext uri="{FF2B5EF4-FFF2-40B4-BE49-F238E27FC236}">
              <a16:creationId xmlns:a16="http://schemas.microsoft.com/office/drawing/2014/main" id="{CE6327E3-517F-4D00-ADB3-216FEDE20BA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7" name="AutoShape 177" descr="USA">
          <a:hlinkClick xmlns:r="http://schemas.openxmlformats.org/officeDocument/2006/relationships" r:id="rId174"/>
          <a:extLst>
            <a:ext uri="{FF2B5EF4-FFF2-40B4-BE49-F238E27FC236}">
              <a16:creationId xmlns:a16="http://schemas.microsoft.com/office/drawing/2014/main" id="{E4310EA8-E9B6-4235-AA06-08A3B85FA19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8" name="AutoShape 177" descr="USA">
          <a:hlinkClick xmlns:r="http://schemas.openxmlformats.org/officeDocument/2006/relationships" r:id="rId174"/>
          <a:extLst>
            <a:ext uri="{FF2B5EF4-FFF2-40B4-BE49-F238E27FC236}">
              <a16:creationId xmlns:a16="http://schemas.microsoft.com/office/drawing/2014/main" id="{B8C6CB20-A5FF-4CBC-8968-E8088A0F74B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192</xdr:row>
      <xdr:rowOff>0</xdr:rowOff>
    </xdr:from>
    <xdr:ext cx="304800" cy="317500"/>
    <xdr:sp macro="" textlink="">
      <xdr:nvSpPr>
        <xdr:cNvPr id="2259" name="AutoShape 177" descr="USA">
          <a:hlinkClick xmlns:r="http://schemas.openxmlformats.org/officeDocument/2006/relationships" r:id="rId174"/>
          <a:extLst>
            <a:ext uri="{FF2B5EF4-FFF2-40B4-BE49-F238E27FC236}">
              <a16:creationId xmlns:a16="http://schemas.microsoft.com/office/drawing/2014/main" id="{491F68FC-520D-40D3-A3CC-98F0ACAF894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60" name="AutoShape 177" descr="USA">
          <a:hlinkClick xmlns:r="http://schemas.openxmlformats.org/officeDocument/2006/relationships" r:id="rId174"/>
          <a:extLst>
            <a:ext uri="{FF2B5EF4-FFF2-40B4-BE49-F238E27FC236}">
              <a16:creationId xmlns:a16="http://schemas.microsoft.com/office/drawing/2014/main" id="{E3A294BC-D734-44E0-A708-D6550474B3C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1" name="AutoShape 171" descr="USA">
          <a:hlinkClick xmlns:r="http://schemas.openxmlformats.org/officeDocument/2006/relationships" r:id="rId165"/>
          <a:extLst>
            <a:ext uri="{FF2B5EF4-FFF2-40B4-BE49-F238E27FC236}">
              <a16:creationId xmlns:a16="http://schemas.microsoft.com/office/drawing/2014/main" id="{2D0567E9-8AA5-43B8-91AD-9F3B0DA4ECA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2" name="AutoShape 177" descr="USA">
          <a:hlinkClick xmlns:r="http://schemas.openxmlformats.org/officeDocument/2006/relationships" r:id="rId174"/>
          <a:extLst>
            <a:ext uri="{FF2B5EF4-FFF2-40B4-BE49-F238E27FC236}">
              <a16:creationId xmlns:a16="http://schemas.microsoft.com/office/drawing/2014/main" id="{42694907-4B03-43E4-951A-69CD1A80F179}"/>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3" name="AutoShape 177" descr="USA">
          <a:hlinkClick xmlns:r="http://schemas.openxmlformats.org/officeDocument/2006/relationships" r:id="rId174"/>
          <a:extLst>
            <a:ext uri="{FF2B5EF4-FFF2-40B4-BE49-F238E27FC236}">
              <a16:creationId xmlns:a16="http://schemas.microsoft.com/office/drawing/2014/main" id="{C3E0F6CA-723D-48FE-AA2E-24A40C3F420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4" name="AutoShape 177" descr="USA">
          <a:hlinkClick xmlns:r="http://schemas.openxmlformats.org/officeDocument/2006/relationships" r:id="rId174"/>
          <a:extLst>
            <a:ext uri="{FF2B5EF4-FFF2-40B4-BE49-F238E27FC236}">
              <a16:creationId xmlns:a16="http://schemas.microsoft.com/office/drawing/2014/main" id="{5E989C9A-7E68-4AFC-892C-A48F9CEF828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5" name="AutoShape 177" descr="USA">
          <a:hlinkClick xmlns:r="http://schemas.openxmlformats.org/officeDocument/2006/relationships" r:id="rId174"/>
          <a:extLst>
            <a:ext uri="{FF2B5EF4-FFF2-40B4-BE49-F238E27FC236}">
              <a16:creationId xmlns:a16="http://schemas.microsoft.com/office/drawing/2014/main" id="{EF532485-7987-473F-9912-80B244CAF7E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6" name="AutoShape 177" descr="USA">
          <a:hlinkClick xmlns:r="http://schemas.openxmlformats.org/officeDocument/2006/relationships" r:id="rId174"/>
          <a:extLst>
            <a:ext uri="{FF2B5EF4-FFF2-40B4-BE49-F238E27FC236}">
              <a16:creationId xmlns:a16="http://schemas.microsoft.com/office/drawing/2014/main" id="{5DF15743-3177-47F6-8E61-F47857B7A6E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7" name="AutoShape 177" descr="USA">
          <a:hlinkClick xmlns:r="http://schemas.openxmlformats.org/officeDocument/2006/relationships" r:id="rId174"/>
          <a:extLst>
            <a:ext uri="{FF2B5EF4-FFF2-40B4-BE49-F238E27FC236}">
              <a16:creationId xmlns:a16="http://schemas.microsoft.com/office/drawing/2014/main" id="{033F55F8-6FDA-480F-9FBF-A0C3129EA8E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193</xdr:row>
      <xdr:rowOff>0</xdr:rowOff>
    </xdr:from>
    <xdr:ext cx="304800" cy="317500"/>
    <xdr:sp macro="" textlink="">
      <xdr:nvSpPr>
        <xdr:cNvPr id="2268" name="AutoShape 177" descr="USA">
          <a:hlinkClick xmlns:r="http://schemas.openxmlformats.org/officeDocument/2006/relationships" r:id="rId174"/>
          <a:extLst>
            <a:ext uri="{FF2B5EF4-FFF2-40B4-BE49-F238E27FC236}">
              <a16:creationId xmlns:a16="http://schemas.microsoft.com/office/drawing/2014/main" id="{B9CB4D74-ABC3-4C0A-AEDC-099C6DD2986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69" name="AutoShape 177" descr="USA">
          <a:hlinkClick xmlns:r="http://schemas.openxmlformats.org/officeDocument/2006/relationships" r:id="rId174"/>
          <a:extLst>
            <a:ext uri="{FF2B5EF4-FFF2-40B4-BE49-F238E27FC236}">
              <a16:creationId xmlns:a16="http://schemas.microsoft.com/office/drawing/2014/main" id="{01B12AB1-6B6D-4F82-AC2C-6AED20D4265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0" name="AutoShape 171" descr="USA">
          <a:hlinkClick xmlns:r="http://schemas.openxmlformats.org/officeDocument/2006/relationships" r:id="rId165"/>
          <a:extLst>
            <a:ext uri="{FF2B5EF4-FFF2-40B4-BE49-F238E27FC236}">
              <a16:creationId xmlns:a16="http://schemas.microsoft.com/office/drawing/2014/main" id="{6801E757-4CF2-48B0-96A6-A47C1EEED5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1" name="AutoShape 177" descr="USA">
          <a:hlinkClick xmlns:r="http://schemas.openxmlformats.org/officeDocument/2006/relationships" r:id="rId174"/>
          <a:extLst>
            <a:ext uri="{FF2B5EF4-FFF2-40B4-BE49-F238E27FC236}">
              <a16:creationId xmlns:a16="http://schemas.microsoft.com/office/drawing/2014/main" id="{38ADB7F0-8DE5-45F0-93B0-A79075EAD77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2" name="AutoShape 177" descr="USA">
          <a:hlinkClick xmlns:r="http://schemas.openxmlformats.org/officeDocument/2006/relationships" r:id="rId174"/>
          <a:extLst>
            <a:ext uri="{FF2B5EF4-FFF2-40B4-BE49-F238E27FC236}">
              <a16:creationId xmlns:a16="http://schemas.microsoft.com/office/drawing/2014/main" id="{84356143-C40E-4F0A-B652-1587EF088CE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3" name="AutoShape 177" descr="USA">
          <a:hlinkClick xmlns:r="http://schemas.openxmlformats.org/officeDocument/2006/relationships" r:id="rId174"/>
          <a:extLst>
            <a:ext uri="{FF2B5EF4-FFF2-40B4-BE49-F238E27FC236}">
              <a16:creationId xmlns:a16="http://schemas.microsoft.com/office/drawing/2014/main" id="{8997F90C-2E23-4EAC-85B3-1A431C14ECB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4" name="AutoShape 177" descr="USA">
          <a:hlinkClick xmlns:r="http://schemas.openxmlformats.org/officeDocument/2006/relationships" r:id="rId174"/>
          <a:extLst>
            <a:ext uri="{FF2B5EF4-FFF2-40B4-BE49-F238E27FC236}">
              <a16:creationId xmlns:a16="http://schemas.microsoft.com/office/drawing/2014/main" id="{D75B03C5-249E-4AE3-8096-921321B864A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5" name="AutoShape 177" descr="USA">
          <a:hlinkClick xmlns:r="http://schemas.openxmlformats.org/officeDocument/2006/relationships" r:id="rId174"/>
          <a:extLst>
            <a:ext uri="{FF2B5EF4-FFF2-40B4-BE49-F238E27FC236}">
              <a16:creationId xmlns:a16="http://schemas.microsoft.com/office/drawing/2014/main" id="{BEDAE614-29BD-469C-A460-4402F87EF2B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6" name="AutoShape 177" descr="USA">
          <a:hlinkClick xmlns:r="http://schemas.openxmlformats.org/officeDocument/2006/relationships" r:id="rId174"/>
          <a:extLst>
            <a:ext uri="{FF2B5EF4-FFF2-40B4-BE49-F238E27FC236}">
              <a16:creationId xmlns:a16="http://schemas.microsoft.com/office/drawing/2014/main" id="{372CD716-EE7E-4AD3-9D30-6862077C595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194</xdr:row>
      <xdr:rowOff>0</xdr:rowOff>
    </xdr:from>
    <xdr:ext cx="304800" cy="317500"/>
    <xdr:sp macro="" textlink="">
      <xdr:nvSpPr>
        <xdr:cNvPr id="2277" name="AutoShape 177" descr="USA">
          <a:hlinkClick xmlns:r="http://schemas.openxmlformats.org/officeDocument/2006/relationships" r:id="rId174"/>
          <a:extLst>
            <a:ext uri="{FF2B5EF4-FFF2-40B4-BE49-F238E27FC236}">
              <a16:creationId xmlns:a16="http://schemas.microsoft.com/office/drawing/2014/main" id="{450AFC09-5925-4845-B756-857B0E1D7B8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78" name="AutoShape 177" descr="USA">
          <a:hlinkClick xmlns:r="http://schemas.openxmlformats.org/officeDocument/2006/relationships" r:id="rId174"/>
          <a:extLst>
            <a:ext uri="{FF2B5EF4-FFF2-40B4-BE49-F238E27FC236}">
              <a16:creationId xmlns:a16="http://schemas.microsoft.com/office/drawing/2014/main" id="{983BFE5F-EAF1-42A7-9F23-B2423516583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79" name="AutoShape 171" descr="USA">
          <a:hlinkClick xmlns:r="http://schemas.openxmlformats.org/officeDocument/2006/relationships" r:id="rId165"/>
          <a:extLst>
            <a:ext uri="{FF2B5EF4-FFF2-40B4-BE49-F238E27FC236}">
              <a16:creationId xmlns:a16="http://schemas.microsoft.com/office/drawing/2014/main" id="{9DD1D533-8C36-44B3-A337-13230585C42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0" name="AutoShape 177" descr="USA">
          <a:hlinkClick xmlns:r="http://schemas.openxmlformats.org/officeDocument/2006/relationships" r:id="rId174"/>
          <a:extLst>
            <a:ext uri="{FF2B5EF4-FFF2-40B4-BE49-F238E27FC236}">
              <a16:creationId xmlns:a16="http://schemas.microsoft.com/office/drawing/2014/main" id="{8925AD7B-B2F0-4D06-81C0-DA47625FC5B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1" name="AutoShape 177" descr="USA">
          <a:hlinkClick xmlns:r="http://schemas.openxmlformats.org/officeDocument/2006/relationships" r:id="rId174"/>
          <a:extLst>
            <a:ext uri="{FF2B5EF4-FFF2-40B4-BE49-F238E27FC236}">
              <a16:creationId xmlns:a16="http://schemas.microsoft.com/office/drawing/2014/main" id="{E5F819D7-5885-48E2-8CA6-A786BE438BA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2" name="AutoShape 177" descr="USA">
          <a:hlinkClick xmlns:r="http://schemas.openxmlformats.org/officeDocument/2006/relationships" r:id="rId174"/>
          <a:extLst>
            <a:ext uri="{FF2B5EF4-FFF2-40B4-BE49-F238E27FC236}">
              <a16:creationId xmlns:a16="http://schemas.microsoft.com/office/drawing/2014/main" id="{23ECF823-5A7F-4F68-A0EE-4AEEF373C5E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3" name="AutoShape 177" descr="USA">
          <a:hlinkClick xmlns:r="http://schemas.openxmlformats.org/officeDocument/2006/relationships" r:id="rId174"/>
          <a:extLst>
            <a:ext uri="{FF2B5EF4-FFF2-40B4-BE49-F238E27FC236}">
              <a16:creationId xmlns:a16="http://schemas.microsoft.com/office/drawing/2014/main" id="{67E0B0A7-A84D-47F4-92D1-00FAC2459F1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4" name="AutoShape 177" descr="USA">
          <a:hlinkClick xmlns:r="http://schemas.openxmlformats.org/officeDocument/2006/relationships" r:id="rId174"/>
          <a:extLst>
            <a:ext uri="{FF2B5EF4-FFF2-40B4-BE49-F238E27FC236}">
              <a16:creationId xmlns:a16="http://schemas.microsoft.com/office/drawing/2014/main" id="{5DA351BF-A233-4067-8D45-08C05E54C7F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5" name="AutoShape 177" descr="USA">
          <a:hlinkClick xmlns:r="http://schemas.openxmlformats.org/officeDocument/2006/relationships" r:id="rId174"/>
          <a:extLst>
            <a:ext uri="{FF2B5EF4-FFF2-40B4-BE49-F238E27FC236}">
              <a16:creationId xmlns:a16="http://schemas.microsoft.com/office/drawing/2014/main" id="{D8119888-1195-4CAE-BC6E-8FA84B1B511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195</xdr:row>
      <xdr:rowOff>0</xdr:rowOff>
    </xdr:from>
    <xdr:ext cx="304800" cy="317500"/>
    <xdr:sp macro="" textlink="">
      <xdr:nvSpPr>
        <xdr:cNvPr id="2286" name="AutoShape 177" descr="USA">
          <a:hlinkClick xmlns:r="http://schemas.openxmlformats.org/officeDocument/2006/relationships" r:id="rId174"/>
          <a:extLst>
            <a:ext uri="{FF2B5EF4-FFF2-40B4-BE49-F238E27FC236}">
              <a16:creationId xmlns:a16="http://schemas.microsoft.com/office/drawing/2014/main" id="{72E40392-0D03-43D7-93DF-129D85D7E1A5}"/>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87" name="AutoShape 177" descr="USA">
          <a:hlinkClick xmlns:r="http://schemas.openxmlformats.org/officeDocument/2006/relationships" r:id="rId174"/>
          <a:extLst>
            <a:ext uri="{FF2B5EF4-FFF2-40B4-BE49-F238E27FC236}">
              <a16:creationId xmlns:a16="http://schemas.microsoft.com/office/drawing/2014/main" id="{F8DCD19C-76D5-4B7B-B3B7-413F08D770F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88" name="AutoShape 171" descr="USA">
          <a:hlinkClick xmlns:r="http://schemas.openxmlformats.org/officeDocument/2006/relationships" r:id="rId165"/>
          <a:extLst>
            <a:ext uri="{FF2B5EF4-FFF2-40B4-BE49-F238E27FC236}">
              <a16:creationId xmlns:a16="http://schemas.microsoft.com/office/drawing/2014/main" id="{21354560-5502-4700-B8EF-2AB3715C2FF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89" name="AutoShape 177" descr="USA">
          <a:hlinkClick xmlns:r="http://schemas.openxmlformats.org/officeDocument/2006/relationships" r:id="rId174"/>
          <a:extLst>
            <a:ext uri="{FF2B5EF4-FFF2-40B4-BE49-F238E27FC236}">
              <a16:creationId xmlns:a16="http://schemas.microsoft.com/office/drawing/2014/main" id="{0975BCD0-A534-4A82-A805-BB82931E542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0" name="AutoShape 177" descr="USA">
          <a:hlinkClick xmlns:r="http://schemas.openxmlformats.org/officeDocument/2006/relationships" r:id="rId174"/>
          <a:extLst>
            <a:ext uri="{FF2B5EF4-FFF2-40B4-BE49-F238E27FC236}">
              <a16:creationId xmlns:a16="http://schemas.microsoft.com/office/drawing/2014/main" id="{3A34513D-CBFA-4B17-AF07-B3400D6B5E4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1" name="AutoShape 177" descr="USA">
          <a:hlinkClick xmlns:r="http://schemas.openxmlformats.org/officeDocument/2006/relationships" r:id="rId174"/>
          <a:extLst>
            <a:ext uri="{FF2B5EF4-FFF2-40B4-BE49-F238E27FC236}">
              <a16:creationId xmlns:a16="http://schemas.microsoft.com/office/drawing/2014/main" id="{32617940-0B5D-4908-8C6C-C0AA815D728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2" name="AutoShape 177" descr="USA">
          <a:hlinkClick xmlns:r="http://schemas.openxmlformats.org/officeDocument/2006/relationships" r:id="rId174"/>
          <a:extLst>
            <a:ext uri="{FF2B5EF4-FFF2-40B4-BE49-F238E27FC236}">
              <a16:creationId xmlns:a16="http://schemas.microsoft.com/office/drawing/2014/main" id="{46E37158-FD48-4ACC-A6EC-DE9D1DE14B63}"/>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3" name="AutoShape 177" descr="USA">
          <a:hlinkClick xmlns:r="http://schemas.openxmlformats.org/officeDocument/2006/relationships" r:id="rId174"/>
          <a:extLst>
            <a:ext uri="{FF2B5EF4-FFF2-40B4-BE49-F238E27FC236}">
              <a16:creationId xmlns:a16="http://schemas.microsoft.com/office/drawing/2014/main" id="{62E2932A-FA19-4AFA-AA20-9EC7ADE102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4" name="AutoShape 177" descr="USA">
          <a:hlinkClick xmlns:r="http://schemas.openxmlformats.org/officeDocument/2006/relationships" r:id="rId174"/>
          <a:extLst>
            <a:ext uri="{FF2B5EF4-FFF2-40B4-BE49-F238E27FC236}">
              <a16:creationId xmlns:a16="http://schemas.microsoft.com/office/drawing/2014/main" id="{EBC2BA18-5E75-4374-BC9F-EB1984C2A5B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196</xdr:row>
      <xdr:rowOff>0</xdr:rowOff>
    </xdr:from>
    <xdr:ext cx="304800" cy="317500"/>
    <xdr:sp macro="" textlink="">
      <xdr:nvSpPr>
        <xdr:cNvPr id="2295" name="AutoShape 177" descr="USA">
          <a:hlinkClick xmlns:r="http://schemas.openxmlformats.org/officeDocument/2006/relationships" r:id="rId174"/>
          <a:extLst>
            <a:ext uri="{FF2B5EF4-FFF2-40B4-BE49-F238E27FC236}">
              <a16:creationId xmlns:a16="http://schemas.microsoft.com/office/drawing/2014/main" id="{4CB801C0-4667-4100-911F-8AE6654A705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296" name="AutoShape 177" descr="USA">
          <a:hlinkClick xmlns:r="http://schemas.openxmlformats.org/officeDocument/2006/relationships" r:id="rId174"/>
          <a:extLst>
            <a:ext uri="{FF2B5EF4-FFF2-40B4-BE49-F238E27FC236}">
              <a16:creationId xmlns:a16="http://schemas.microsoft.com/office/drawing/2014/main" id="{1817D52D-9138-45C0-81B4-2C4D6A1B2D9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97" name="AutoShape 171" descr="USA">
          <a:hlinkClick xmlns:r="http://schemas.openxmlformats.org/officeDocument/2006/relationships" r:id="rId165"/>
          <a:extLst>
            <a:ext uri="{FF2B5EF4-FFF2-40B4-BE49-F238E27FC236}">
              <a16:creationId xmlns:a16="http://schemas.microsoft.com/office/drawing/2014/main" id="{70D360EA-2EFB-479D-B19E-9305DCE3BF9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98" name="AutoShape 177" descr="USA">
          <a:hlinkClick xmlns:r="http://schemas.openxmlformats.org/officeDocument/2006/relationships" r:id="rId174"/>
          <a:extLst>
            <a:ext uri="{FF2B5EF4-FFF2-40B4-BE49-F238E27FC236}">
              <a16:creationId xmlns:a16="http://schemas.microsoft.com/office/drawing/2014/main" id="{B8D62758-09EE-46DF-87F7-4069AAA5053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299" name="AutoShape 177" descr="USA">
          <a:hlinkClick xmlns:r="http://schemas.openxmlformats.org/officeDocument/2006/relationships" r:id="rId174"/>
          <a:extLst>
            <a:ext uri="{FF2B5EF4-FFF2-40B4-BE49-F238E27FC236}">
              <a16:creationId xmlns:a16="http://schemas.microsoft.com/office/drawing/2014/main" id="{56C53D14-8D95-4022-B758-B8A91843D3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0" name="AutoShape 177" descr="USA">
          <a:hlinkClick xmlns:r="http://schemas.openxmlformats.org/officeDocument/2006/relationships" r:id="rId174"/>
          <a:extLst>
            <a:ext uri="{FF2B5EF4-FFF2-40B4-BE49-F238E27FC236}">
              <a16:creationId xmlns:a16="http://schemas.microsoft.com/office/drawing/2014/main" id="{3B070C1E-FA45-4748-A1EA-602072D2A190}"/>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1" name="AutoShape 177" descr="USA">
          <a:hlinkClick xmlns:r="http://schemas.openxmlformats.org/officeDocument/2006/relationships" r:id="rId174"/>
          <a:extLst>
            <a:ext uri="{FF2B5EF4-FFF2-40B4-BE49-F238E27FC236}">
              <a16:creationId xmlns:a16="http://schemas.microsoft.com/office/drawing/2014/main" id="{57EA09B2-9894-4F69-909F-92652C604F3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2" name="AutoShape 177" descr="USA">
          <a:hlinkClick xmlns:r="http://schemas.openxmlformats.org/officeDocument/2006/relationships" r:id="rId174"/>
          <a:extLst>
            <a:ext uri="{FF2B5EF4-FFF2-40B4-BE49-F238E27FC236}">
              <a16:creationId xmlns:a16="http://schemas.microsoft.com/office/drawing/2014/main" id="{E992E272-6896-4F1B-AEE0-4773E5979C0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3" name="AutoShape 177" descr="USA">
          <a:hlinkClick xmlns:r="http://schemas.openxmlformats.org/officeDocument/2006/relationships" r:id="rId174"/>
          <a:extLst>
            <a:ext uri="{FF2B5EF4-FFF2-40B4-BE49-F238E27FC236}">
              <a16:creationId xmlns:a16="http://schemas.microsoft.com/office/drawing/2014/main" id="{8F451D85-EC91-4CDB-9F4D-D62BAC940B85}"/>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197</xdr:row>
      <xdr:rowOff>0</xdr:rowOff>
    </xdr:from>
    <xdr:ext cx="304800" cy="317500"/>
    <xdr:sp macro="" textlink="">
      <xdr:nvSpPr>
        <xdr:cNvPr id="2304" name="AutoShape 177" descr="USA">
          <a:hlinkClick xmlns:r="http://schemas.openxmlformats.org/officeDocument/2006/relationships" r:id="rId174"/>
          <a:extLst>
            <a:ext uri="{FF2B5EF4-FFF2-40B4-BE49-F238E27FC236}">
              <a16:creationId xmlns:a16="http://schemas.microsoft.com/office/drawing/2014/main" id="{89739741-7E35-45B0-BA0C-4489EBC8D60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05" name="AutoShape 177" descr="USA">
          <a:hlinkClick xmlns:r="http://schemas.openxmlformats.org/officeDocument/2006/relationships" r:id="rId174"/>
          <a:extLst>
            <a:ext uri="{FF2B5EF4-FFF2-40B4-BE49-F238E27FC236}">
              <a16:creationId xmlns:a16="http://schemas.microsoft.com/office/drawing/2014/main" id="{6943E5F6-66D5-4872-BD77-EA7D61143A7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6" name="AutoShape 171" descr="USA">
          <a:hlinkClick xmlns:r="http://schemas.openxmlformats.org/officeDocument/2006/relationships" r:id="rId165"/>
          <a:extLst>
            <a:ext uri="{FF2B5EF4-FFF2-40B4-BE49-F238E27FC236}">
              <a16:creationId xmlns:a16="http://schemas.microsoft.com/office/drawing/2014/main" id="{140DBCB4-16B8-43AB-A5ED-4E251448A21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7" name="AutoShape 177" descr="USA">
          <a:hlinkClick xmlns:r="http://schemas.openxmlformats.org/officeDocument/2006/relationships" r:id="rId174"/>
          <a:extLst>
            <a:ext uri="{FF2B5EF4-FFF2-40B4-BE49-F238E27FC236}">
              <a16:creationId xmlns:a16="http://schemas.microsoft.com/office/drawing/2014/main" id="{76BBFFEB-3F33-44F3-A6FA-881ECF15F55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8" name="AutoShape 177" descr="USA">
          <a:hlinkClick xmlns:r="http://schemas.openxmlformats.org/officeDocument/2006/relationships" r:id="rId174"/>
          <a:extLst>
            <a:ext uri="{FF2B5EF4-FFF2-40B4-BE49-F238E27FC236}">
              <a16:creationId xmlns:a16="http://schemas.microsoft.com/office/drawing/2014/main" id="{C3BA0A79-1170-4D12-B0CD-ECF52C1B6CF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09" name="AutoShape 177" descr="USA">
          <a:hlinkClick xmlns:r="http://schemas.openxmlformats.org/officeDocument/2006/relationships" r:id="rId174"/>
          <a:extLst>
            <a:ext uri="{FF2B5EF4-FFF2-40B4-BE49-F238E27FC236}">
              <a16:creationId xmlns:a16="http://schemas.microsoft.com/office/drawing/2014/main" id="{6EEF70FE-CF14-4C3E-BFA9-8259A2DC9F6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0" name="AutoShape 177" descr="USA">
          <a:hlinkClick xmlns:r="http://schemas.openxmlformats.org/officeDocument/2006/relationships" r:id="rId174"/>
          <a:extLst>
            <a:ext uri="{FF2B5EF4-FFF2-40B4-BE49-F238E27FC236}">
              <a16:creationId xmlns:a16="http://schemas.microsoft.com/office/drawing/2014/main" id="{93355D7F-F9A7-4A34-A783-F8F9811EEA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1" name="AutoShape 177" descr="USA">
          <a:hlinkClick xmlns:r="http://schemas.openxmlformats.org/officeDocument/2006/relationships" r:id="rId174"/>
          <a:extLst>
            <a:ext uri="{FF2B5EF4-FFF2-40B4-BE49-F238E27FC236}">
              <a16:creationId xmlns:a16="http://schemas.microsoft.com/office/drawing/2014/main" id="{CC5F4993-12E2-421D-8C63-E257ACB9EFF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2" name="AutoShape 177" descr="USA">
          <a:hlinkClick xmlns:r="http://schemas.openxmlformats.org/officeDocument/2006/relationships" r:id="rId174"/>
          <a:extLst>
            <a:ext uri="{FF2B5EF4-FFF2-40B4-BE49-F238E27FC236}">
              <a16:creationId xmlns:a16="http://schemas.microsoft.com/office/drawing/2014/main" id="{2AE43807-F346-40A1-B493-5E3E2A1EFC2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198</xdr:row>
      <xdr:rowOff>0</xdr:rowOff>
    </xdr:from>
    <xdr:ext cx="304800" cy="317500"/>
    <xdr:sp macro="" textlink="">
      <xdr:nvSpPr>
        <xdr:cNvPr id="2313" name="AutoShape 177" descr="USA">
          <a:hlinkClick xmlns:r="http://schemas.openxmlformats.org/officeDocument/2006/relationships" r:id="rId174"/>
          <a:extLst>
            <a:ext uri="{FF2B5EF4-FFF2-40B4-BE49-F238E27FC236}">
              <a16:creationId xmlns:a16="http://schemas.microsoft.com/office/drawing/2014/main" id="{87EC2660-5D6D-4FD3-BECC-8C5AD7763E5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14" name="AutoShape 177" descr="USA">
          <a:hlinkClick xmlns:r="http://schemas.openxmlformats.org/officeDocument/2006/relationships" r:id="rId174"/>
          <a:extLst>
            <a:ext uri="{FF2B5EF4-FFF2-40B4-BE49-F238E27FC236}">
              <a16:creationId xmlns:a16="http://schemas.microsoft.com/office/drawing/2014/main" id="{EBC9EA96-50E3-422A-B835-F4CA7AEE62B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5" name="AutoShape 171" descr="USA">
          <a:hlinkClick xmlns:r="http://schemas.openxmlformats.org/officeDocument/2006/relationships" r:id="rId165"/>
          <a:extLst>
            <a:ext uri="{FF2B5EF4-FFF2-40B4-BE49-F238E27FC236}">
              <a16:creationId xmlns:a16="http://schemas.microsoft.com/office/drawing/2014/main" id="{D033DDC4-258D-4544-B8AD-051ADD646EF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6" name="AutoShape 177" descr="USA">
          <a:hlinkClick xmlns:r="http://schemas.openxmlformats.org/officeDocument/2006/relationships" r:id="rId174"/>
          <a:extLst>
            <a:ext uri="{FF2B5EF4-FFF2-40B4-BE49-F238E27FC236}">
              <a16:creationId xmlns:a16="http://schemas.microsoft.com/office/drawing/2014/main" id="{B0EC6F6E-A886-452A-9019-3787394708C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7" name="AutoShape 177" descr="USA">
          <a:hlinkClick xmlns:r="http://schemas.openxmlformats.org/officeDocument/2006/relationships" r:id="rId174"/>
          <a:extLst>
            <a:ext uri="{FF2B5EF4-FFF2-40B4-BE49-F238E27FC236}">
              <a16:creationId xmlns:a16="http://schemas.microsoft.com/office/drawing/2014/main" id="{41542D72-EF86-47E9-888D-263A45C231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8" name="AutoShape 177" descr="USA">
          <a:hlinkClick xmlns:r="http://schemas.openxmlformats.org/officeDocument/2006/relationships" r:id="rId174"/>
          <a:extLst>
            <a:ext uri="{FF2B5EF4-FFF2-40B4-BE49-F238E27FC236}">
              <a16:creationId xmlns:a16="http://schemas.microsoft.com/office/drawing/2014/main" id="{9D2335D8-CA26-48CC-B53F-AE0E9F32F6F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19" name="AutoShape 177" descr="USA">
          <a:hlinkClick xmlns:r="http://schemas.openxmlformats.org/officeDocument/2006/relationships" r:id="rId174"/>
          <a:extLst>
            <a:ext uri="{FF2B5EF4-FFF2-40B4-BE49-F238E27FC236}">
              <a16:creationId xmlns:a16="http://schemas.microsoft.com/office/drawing/2014/main" id="{F672C2B6-2C27-4106-9841-2C4A819720B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20" name="AutoShape 177" descr="USA">
          <a:hlinkClick xmlns:r="http://schemas.openxmlformats.org/officeDocument/2006/relationships" r:id="rId174"/>
          <a:extLst>
            <a:ext uri="{FF2B5EF4-FFF2-40B4-BE49-F238E27FC236}">
              <a16:creationId xmlns:a16="http://schemas.microsoft.com/office/drawing/2014/main" id="{74DB7DAB-C07D-4D7B-8336-ACCC1CEE86B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21" name="AutoShape 177" descr="USA">
          <a:hlinkClick xmlns:r="http://schemas.openxmlformats.org/officeDocument/2006/relationships" r:id="rId174"/>
          <a:extLst>
            <a:ext uri="{FF2B5EF4-FFF2-40B4-BE49-F238E27FC236}">
              <a16:creationId xmlns:a16="http://schemas.microsoft.com/office/drawing/2014/main" id="{AF607889-F4C6-48C7-A6B5-F4F88D08ADC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199</xdr:row>
      <xdr:rowOff>0</xdr:rowOff>
    </xdr:from>
    <xdr:ext cx="304800" cy="317500"/>
    <xdr:sp macro="" textlink="">
      <xdr:nvSpPr>
        <xdr:cNvPr id="2322" name="AutoShape 177" descr="USA">
          <a:hlinkClick xmlns:r="http://schemas.openxmlformats.org/officeDocument/2006/relationships" r:id="rId174"/>
          <a:extLst>
            <a:ext uri="{FF2B5EF4-FFF2-40B4-BE49-F238E27FC236}">
              <a16:creationId xmlns:a16="http://schemas.microsoft.com/office/drawing/2014/main" id="{B4179278-06CB-4584-9099-4FC6E04D1CB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23" name="AutoShape 177" descr="USA">
          <a:hlinkClick xmlns:r="http://schemas.openxmlformats.org/officeDocument/2006/relationships" r:id="rId174"/>
          <a:extLst>
            <a:ext uri="{FF2B5EF4-FFF2-40B4-BE49-F238E27FC236}">
              <a16:creationId xmlns:a16="http://schemas.microsoft.com/office/drawing/2014/main" id="{1E8CDF9B-68AE-4677-AEAD-6E1BDD26AE8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4" name="AutoShape 171" descr="USA">
          <a:hlinkClick xmlns:r="http://schemas.openxmlformats.org/officeDocument/2006/relationships" r:id="rId165"/>
          <a:extLst>
            <a:ext uri="{FF2B5EF4-FFF2-40B4-BE49-F238E27FC236}">
              <a16:creationId xmlns:a16="http://schemas.microsoft.com/office/drawing/2014/main" id="{08C3A10C-6261-4807-841F-BD85B34A3D7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5" name="AutoShape 177" descr="USA">
          <a:hlinkClick xmlns:r="http://schemas.openxmlformats.org/officeDocument/2006/relationships" r:id="rId174"/>
          <a:extLst>
            <a:ext uri="{FF2B5EF4-FFF2-40B4-BE49-F238E27FC236}">
              <a16:creationId xmlns:a16="http://schemas.microsoft.com/office/drawing/2014/main" id="{215C54F9-1FF6-4B26-BF75-CB77325ECB3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6" name="AutoShape 177" descr="USA">
          <a:hlinkClick xmlns:r="http://schemas.openxmlformats.org/officeDocument/2006/relationships" r:id="rId174"/>
          <a:extLst>
            <a:ext uri="{FF2B5EF4-FFF2-40B4-BE49-F238E27FC236}">
              <a16:creationId xmlns:a16="http://schemas.microsoft.com/office/drawing/2014/main" id="{277DCB89-F97E-4E84-B114-6088CA1BA5E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7" name="AutoShape 177" descr="USA">
          <a:hlinkClick xmlns:r="http://schemas.openxmlformats.org/officeDocument/2006/relationships" r:id="rId174"/>
          <a:extLst>
            <a:ext uri="{FF2B5EF4-FFF2-40B4-BE49-F238E27FC236}">
              <a16:creationId xmlns:a16="http://schemas.microsoft.com/office/drawing/2014/main" id="{5E23D399-7641-4BEF-9B61-BE2447F1308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8" name="AutoShape 177" descr="USA">
          <a:hlinkClick xmlns:r="http://schemas.openxmlformats.org/officeDocument/2006/relationships" r:id="rId174"/>
          <a:extLst>
            <a:ext uri="{FF2B5EF4-FFF2-40B4-BE49-F238E27FC236}">
              <a16:creationId xmlns:a16="http://schemas.microsoft.com/office/drawing/2014/main" id="{D775D110-07B8-4F8F-855D-E7D50D4ED2B0}"/>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29" name="AutoShape 177" descr="USA">
          <a:hlinkClick xmlns:r="http://schemas.openxmlformats.org/officeDocument/2006/relationships" r:id="rId174"/>
          <a:extLst>
            <a:ext uri="{FF2B5EF4-FFF2-40B4-BE49-F238E27FC236}">
              <a16:creationId xmlns:a16="http://schemas.microsoft.com/office/drawing/2014/main" id="{05E8B499-07FF-4499-AFB2-6F7B4176F6B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30" name="AutoShape 177" descr="USA">
          <a:hlinkClick xmlns:r="http://schemas.openxmlformats.org/officeDocument/2006/relationships" r:id="rId174"/>
          <a:extLst>
            <a:ext uri="{FF2B5EF4-FFF2-40B4-BE49-F238E27FC236}">
              <a16:creationId xmlns:a16="http://schemas.microsoft.com/office/drawing/2014/main" id="{48876505-05E1-494A-854A-D4D8E72A206E}"/>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200</xdr:row>
      <xdr:rowOff>0</xdr:rowOff>
    </xdr:from>
    <xdr:ext cx="304800" cy="317500"/>
    <xdr:sp macro="" textlink="">
      <xdr:nvSpPr>
        <xdr:cNvPr id="2331" name="AutoShape 177" descr="USA">
          <a:hlinkClick xmlns:r="http://schemas.openxmlformats.org/officeDocument/2006/relationships" r:id="rId174"/>
          <a:extLst>
            <a:ext uri="{FF2B5EF4-FFF2-40B4-BE49-F238E27FC236}">
              <a16:creationId xmlns:a16="http://schemas.microsoft.com/office/drawing/2014/main" id="{CC19F90E-DDB5-4A5D-89E2-2B98BC8639A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32" name="AutoShape 177" descr="USA">
          <a:hlinkClick xmlns:r="http://schemas.openxmlformats.org/officeDocument/2006/relationships" r:id="rId174"/>
          <a:extLst>
            <a:ext uri="{FF2B5EF4-FFF2-40B4-BE49-F238E27FC236}">
              <a16:creationId xmlns:a16="http://schemas.microsoft.com/office/drawing/2014/main" id="{80427060-8D07-47A0-BB02-FD48E044AC3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3" name="AutoShape 171" descr="USA">
          <a:hlinkClick xmlns:r="http://schemas.openxmlformats.org/officeDocument/2006/relationships" r:id="rId165"/>
          <a:extLst>
            <a:ext uri="{FF2B5EF4-FFF2-40B4-BE49-F238E27FC236}">
              <a16:creationId xmlns:a16="http://schemas.microsoft.com/office/drawing/2014/main" id="{F1B61EE7-ADE7-4364-A2D7-7B665B572F8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4" name="AutoShape 177" descr="USA">
          <a:hlinkClick xmlns:r="http://schemas.openxmlformats.org/officeDocument/2006/relationships" r:id="rId174"/>
          <a:extLst>
            <a:ext uri="{FF2B5EF4-FFF2-40B4-BE49-F238E27FC236}">
              <a16:creationId xmlns:a16="http://schemas.microsoft.com/office/drawing/2014/main" id="{52F6E601-F135-40E8-BEC8-BDA68AA13F2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5" name="AutoShape 177" descr="USA">
          <a:hlinkClick xmlns:r="http://schemas.openxmlformats.org/officeDocument/2006/relationships" r:id="rId174"/>
          <a:extLst>
            <a:ext uri="{FF2B5EF4-FFF2-40B4-BE49-F238E27FC236}">
              <a16:creationId xmlns:a16="http://schemas.microsoft.com/office/drawing/2014/main" id="{18A7E005-78B0-40A0-8AD0-799DFABB600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6" name="AutoShape 177" descr="USA">
          <a:hlinkClick xmlns:r="http://schemas.openxmlformats.org/officeDocument/2006/relationships" r:id="rId174"/>
          <a:extLst>
            <a:ext uri="{FF2B5EF4-FFF2-40B4-BE49-F238E27FC236}">
              <a16:creationId xmlns:a16="http://schemas.microsoft.com/office/drawing/2014/main" id="{6914D379-41FE-4069-A382-ABD35C9EC5B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7" name="AutoShape 177" descr="USA">
          <a:hlinkClick xmlns:r="http://schemas.openxmlformats.org/officeDocument/2006/relationships" r:id="rId174"/>
          <a:extLst>
            <a:ext uri="{FF2B5EF4-FFF2-40B4-BE49-F238E27FC236}">
              <a16:creationId xmlns:a16="http://schemas.microsoft.com/office/drawing/2014/main" id="{89A61A43-7496-45F0-BCB8-2F463549118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8" name="AutoShape 177" descr="USA">
          <a:hlinkClick xmlns:r="http://schemas.openxmlformats.org/officeDocument/2006/relationships" r:id="rId174"/>
          <a:extLst>
            <a:ext uri="{FF2B5EF4-FFF2-40B4-BE49-F238E27FC236}">
              <a16:creationId xmlns:a16="http://schemas.microsoft.com/office/drawing/2014/main" id="{B787150E-BBAB-467A-9F25-1EEDAB45FE3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39" name="AutoShape 177" descr="USA">
          <a:hlinkClick xmlns:r="http://schemas.openxmlformats.org/officeDocument/2006/relationships" r:id="rId174"/>
          <a:extLst>
            <a:ext uri="{FF2B5EF4-FFF2-40B4-BE49-F238E27FC236}">
              <a16:creationId xmlns:a16="http://schemas.microsoft.com/office/drawing/2014/main" id="{0A59A60F-C6B6-48CF-9C94-C645F25C63E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201</xdr:row>
      <xdr:rowOff>0</xdr:rowOff>
    </xdr:from>
    <xdr:ext cx="304800" cy="317500"/>
    <xdr:sp macro="" textlink="">
      <xdr:nvSpPr>
        <xdr:cNvPr id="2340" name="AutoShape 177" descr="USA">
          <a:hlinkClick xmlns:r="http://schemas.openxmlformats.org/officeDocument/2006/relationships" r:id="rId174"/>
          <a:extLst>
            <a:ext uri="{FF2B5EF4-FFF2-40B4-BE49-F238E27FC236}">
              <a16:creationId xmlns:a16="http://schemas.microsoft.com/office/drawing/2014/main" id="{6B24DD09-EF46-4210-ADD0-39F42134C97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41" name="AutoShape 177" descr="USA">
          <a:hlinkClick xmlns:r="http://schemas.openxmlformats.org/officeDocument/2006/relationships" r:id="rId174"/>
          <a:extLst>
            <a:ext uri="{FF2B5EF4-FFF2-40B4-BE49-F238E27FC236}">
              <a16:creationId xmlns:a16="http://schemas.microsoft.com/office/drawing/2014/main" id="{EECBBC6F-B893-4C18-89F4-DD7FB042537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2" name="AutoShape 171" descr="USA">
          <a:hlinkClick xmlns:r="http://schemas.openxmlformats.org/officeDocument/2006/relationships" r:id="rId165"/>
          <a:extLst>
            <a:ext uri="{FF2B5EF4-FFF2-40B4-BE49-F238E27FC236}">
              <a16:creationId xmlns:a16="http://schemas.microsoft.com/office/drawing/2014/main" id="{3DE96037-C558-45A0-A12B-F1E96C35E33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3" name="AutoShape 177" descr="USA">
          <a:hlinkClick xmlns:r="http://schemas.openxmlformats.org/officeDocument/2006/relationships" r:id="rId174"/>
          <a:extLst>
            <a:ext uri="{FF2B5EF4-FFF2-40B4-BE49-F238E27FC236}">
              <a16:creationId xmlns:a16="http://schemas.microsoft.com/office/drawing/2014/main" id="{127ABB36-BF61-4087-B1F9-C535B854B99D}"/>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4" name="AutoShape 177" descr="USA">
          <a:hlinkClick xmlns:r="http://schemas.openxmlformats.org/officeDocument/2006/relationships" r:id="rId174"/>
          <a:extLst>
            <a:ext uri="{FF2B5EF4-FFF2-40B4-BE49-F238E27FC236}">
              <a16:creationId xmlns:a16="http://schemas.microsoft.com/office/drawing/2014/main" id="{1187AF51-97FC-4940-BFA5-B42307B284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5" name="AutoShape 177" descr="USA">
          <a:hlinkClick xmlns:r="http://schemas.openxmlformats.org/officeDocument/2006/relationships" r:id="rId174"/>
          <a:extLst>
            <a:ext uri="{FF2B5EF4-FFF2-40B4-BE49-F238E27FC236}">
              <a16:creationId xmlns:a16="http://schemas.microsoft.com/office/drawing/2014/main" id="{B39FC02E-6D06-4708-BAE4-EE35ADFEAFF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6" name="AutoShape 177" descr="USA">
          <a:hlinkClick xmlns:r="http://schemas.openxmlformats.org/officeDocument/2006/relationships" r:id="rId174"/>
          <a:extLst>
            <a:ext uri="{FF2B5EF4-FFF2-40B4-BE49-F238E27FC236}">
              <a16:creationId xmlns:a16="http://schemas.microsoft.com/office/drawing/2014/main" id="{6047A177-E3C4-4FF2-90FA-443FE6C18C0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7" name="AutoShape 177" descr="USA">
          <a:hlinkClick xmlns:r="http://schemas.openxmlformats.org/officeDocument/2006/relationships" r:id="rId174"/>
          <a:extLst>
            <a:ext uri="{FF2B5EF4-FFF2-40B4-BE49-F238E27FC236}">
              <a16:creationId xmlns:a16="http://schemas.microsoft.com/office/drawing/2014/main" id="{BF5DAA19-A3FB-40A3-B8ED-ABD9D581743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8" name="AutoShape 177" descr="USA">
          <a:hlinkClick xmlns:r="http://schemas.openxmlformats.org/officeDocument/2006/relationships" r:id="rId174"/>
          <a:extLst>
            <a:ext uri="{FF2B5EF4-FFF2-40B4-BE49-F238E27FC236}">
              <a16:creationId xmlns:a16="http://schemas.microsoft.com/office/drawing/2014/main" id="{F130A0D2-4BB9-4608-828F-D0A90D0A8E0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202</xdr:row>
      <xdr:rowOff>0</xdr:rowOff>
    </xdr:from>
    <xdr:ext cx="304800" cy="317500"/>
    <xdr:sp macro="" textlink="">
      <xdr:nvSpPr>
        <xdr:cNvPr id="2349" name="AutoShape 177" descr="USA">
          <a:hlinkClick xmlns:r="http://schemas.openxmlformats.org/officeDocument/2006/relationships" r:id="rId174"/>
          <a:extLst>
            <a:ext uri="{FF2B5EF4-FFF2-40B4-BE49-F238E27FC236}">
              <a16:creationId xmlns:a16="http://schemas.microsoft.com/office/drawing/2014/main" id="{A3895FE2-85F0-49D1-9404-3DB6A6D6D386}"/>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50" name="AutoShape 177" descr="USA">
          <a:hlinkClick xmlns:r="http://schemas.openxmlformats.org/officeDocument/2006/relationships" r:id="rId174"/>
          <a:extLst>
            <a:ext uri="{FF2B5EF4-FFF2-40B4-BE49-F238E27FC236}">
              <a16:creationId xmlns:a16="http://schemas.microsoft.com/office/drawing/2014/main" id="{C6706925-82F2-425D-AEB6-F45E71E2253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1" name="AutoShape 171" descr="USA">
          <a:hlinkClick xmlns:r="http://schemas.openxmlformats.org/officeDocument/2006/relationships" r:id="rId165"/>
          <a:extLst>
            <a:ext uri="{FF2B5EF4-FFF2-40B4-BE49-F238E27FC236}">
              <a16:creationId xmlns:a16="http://schemas.microsoft.com/office/drawing/2014/main" id="{BEDEC4AB-5A98-413F-9035-8E27F947AF8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2" name="AutoShape 177" descr="USA">
          <a:hlinkClick xmlns:r="http://schemas.openxmlformats.org/officeDocument/2006/relationships" r:id="rId174"/>
          <a:extLst>
            <a:ext uri="{FF2B5EF4-FFF2-40B4-BE49-F238E27FC236}">
              <a16:creationId xmlns:a16="http://schemas.microsoft.com/office/drawing/2014/main" id="{2BECE534-78BB-455F-9525-E44DE5AF865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3" name="AutoShape 177" descr="USA">
          <a:hlinkClick xmlns:r="http://schemas.openxmlformats.org/officeDocument/2006/relationships" r:id="rId174"/>
          <a:extLst>
            <a:ext uri="{FF2B5EF4-FFF2-40B4-BE49-F238E27FC236}">
              <a16:creationId xmlns:a16="http://schemas.microsoft.com/office/drawing/2014/main" id="{7C8E5F00-24DD-4E36-8051-B07A4167C9E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4" name="AutoShape 177" descr="USA">
          <a:hlinkClick xmlns:r="http://schemas.openxmlformats.org/officeDocument/2006/relationships" r:id="rId174"/>
          <a:extLst>
            <a:ext uri="{FF2B5EF4-FFF2-40B4-BE49-F238E27FC236}">
              <a16:creationId xmlns:a16="http://schemas.microsoft.com/office/drawing/2014/main" id="{FD38A137-DE47-430E-9B64-976B4B50788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5" name="AutoShape 177" descr="USA">
          <a:hlinkClick xmlns:r="http://schemas.openxmlformats.org/officeDocument/2006/relationships" r:id="rId174"/>
          <a:extLst>
            <a:ext uri="{FF2B5EF4-FFF2-40B4-BE49-F238E27FC236}">
              <a16:creationId xmlns:a16="http://schemas.microsoft.com/office/drawing/2014/main" id="{54B3947F-01D6-48D7-9E15-0EE016016F77}"/>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6" name="AutoShape 177" descr="USA">
          <a:hlinkClick xmlns:r="http://schemas.openxmlformats.org/officeDocument/2006/relationships" r:id="rId174"/>
          <a:extLst>
            <a:ext uri="{FF2B5EF4-FFF2-40B4-BE49-F238E27FC236}">
              <a16:creationId xmlns:a16="http://schemas.microsoft.com/office/drawing/2014/main" id="{55ECC581-0297-4B51-B5CF-9207059E26D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7" name="AutoShape 177" descr="USA">
          <a:hlinkClick xmlns:r="http://schemas.openxmlformats.org/officeDocument/2006/relationships" r:id="rId174"/>
          <a:extLst>
            <a:ext uri="{FF2B5EF4-FFF2-40B4-BE49-F238E27FC236}">
              <a16:creationId xmlns:a16="http://schemas.microsoft.com/office/drawing/2014/main" id="{03F5D673-713B-4C41-B003-364CF48665E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203</xdr:row>
      <xdr:rowOff>0</xdr:rowOff>
    </xdr:from>
    <xdr:ext cx="304800" cy="317500"/>
    <xdr:sp macro="" textlink="">
      <xdr:nvSpPr>
        <xdr:cNvPr id="2358" name="AutoShape 177" descr="USA">
          <a:hlinkClick xmlns:r="http://schemas.openxmlformats.org/officeDocument/2006/relationships" r:id="rId174"/>
          <a:extLst>
            <a:ext uri="{FF2B5EF4-FFF2-40B4-BE49-F238E27FC236}">
              <a16:creationId xmlns:a16="http://schemas.microsoft.com/office/drawing/2014/main" id="{13C0033F-307C-45D8-AD8E-567B14CA22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59" name="AutoShape 177" descr="USA">
          <a:hlinkClick xmlns:r="http://schemas.openxmlformats.org/officeDocument/2006/relationships" r:id="rId174"/>
          <a:extLst>
            <a:ext uri="{FF2B5EF4-FFF2-40B4-BE49-F238E27FC236}">
              <a16:creationId xmlns:a16="http://schemas.microsoft.com/office/drawing/2014/main" id="{F6C558FB-EF08-4035-854D-2D54EDBDD3A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0" name="AutoShape 171" descr="USA">
          <a:hlinkClick xmlns:r="http://schemas.openxmlformats.org/officeDocument/2006/relationships" r:id="rId165"/>
          <a:extLst>
            <a:ext uri="{FF2B5EF4-FFF2-40B4-BE49-F238E27FC236}">
              <a16:creationId xmlns:a16="http://schemas.microsoft.com/office/drawing/2014/main" id="{DD4BF324-1325-4DF6-BE79-CBB0EEF9A6B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1" name="AutoShape 177" descr="USA">
          <a:hlinkClick xmlns:r="http://schemas.openxmlformats.org/officeDocument/2006/relationships" r:id="rId174"/>
          <a:extLst>
            <a:ext uri="{FF2B5EF4-FFF2-40B4-BE49-F238E27FC236}">
              <a16:creationId xmlns:a16="http://schemas.microsoft.com/office/drawing/2014/main" id="{CC7C90AF-929B-43AA-BF9A-36C799E07C6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2" name="AutoShape 177" descr="USA">
          <a:hlinkClick xmlns:r="http://schemas.openxmlformats.org/officeDocument/2006/relationships" r:id="rId174"/>
          <a:extLst>
            <a:ext uri="{FF2B5EF4-FFF2-40B4-BE49-F238E27FC236}">
              <a16:creationId xmlns:a16="http://schemas.microsoft.com/office/drawing/2014/main" id="{F5FAB910-7B33-4935-A23A-E1A600898A8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3" name="AutoShape 177" descr="USA">
          <a:hlinkClick xmlns:r="http://schemas.openxmlformats.org/officeDocument/2006/relationships" r:id="rId174"/>
          <a:extLst>
            <a:ext uri="{FF2B5EF4-FFF2-40B4-BE49-F238E27FC236}">
              <a16:creationId xmlns:a16="http://schemas.microsoft.com/office/drawing/2014/main" id="{B3BB6821-6E89-4B7F-84CD-3C5879705EC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4" name="AutoShape 177" descr="USA">
          <a:hlinkClick xmlns:r="http://schemas.openxmlformats.org/officeDocument/2006/relationships" r:id="rId174"/>
          <a:extLst>
            <a:ext uri="{FF2B5EF4-FFF2-40B4-BE49-F238E27FC236}">
              <a16:creationId xmlns:a16="http://schemas.microsoft.com/office/drawing/2014/main" id="{32E8360D-2603-46CE-BBD7-CF98C40FA22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5" name="AutoShape 177" descr="USA">
          <a:hlinkClick xmlns:r="http://schemas.openxmlformats.org/officeDocument/2006/relationships" r:id="rId174"/>
          <a:extLst>
            <a:ext uri="{FF2B5EF4-FFF2-40B4-BE49-F238E27FC236}">
              <a16:creationId xmlns:a16="http://schemas.microsoft.com/office/drawing/2014/main" id="{402AA144-EC41-4995-8E44-55527ED9EFC7}"/>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6" name="AutoShape 177" descr="USA">
          <a:hlinkClick xmlns:r="http://schemas.openxmlformats.org/officeDocument/2006/relationships" r:id="rId174"/>
          <a:extLst>
            <a:ext uri="{FF2B5EF4-FFF2-40B4-BE49-F238E27FC236}">
              <a16:creationId xmlns:a16="http://schemas.microsoft.com/office/drawing/2014/main" id="{F00473FF-0A4A-45B4-A83D-4774C274157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204</xdr:row>
      <xdr:rowOff>0</xdr:rowOff>
    </xdr:from>
    <xdr:ext cx="304800" cy="317500"/>
    <xdr:sp macro="" textlink="">
      <xdr:nvSpPr>
        <xdr:cNvPr id="2367" name="AutoShape 177" descr="USA">
          <a:hlinkClick xmlns:r="http://schemas.openxmlformats.org/officeDocument/2006/relationships" r:id="rId174"/>
          <a:extLst>
            <a:ext uri="{FF2B5EF4-FFF2-40B4-BE49-F238E27FC236}">
              <a16:creationId xmlns:a16="http://schemas.microsoft.com/office/drawing/2014/main" id="{9F481F07-77BC-4DBF-BB11-18DC21744EA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68" name="AutoShape 177" descr="USA">
          <a:hlinkClick xmlns:r="http://schemas.openxmlformats.org/officeDocument/2006/relationships" r:id="rId174"/>
          <a:extLst>
            <a:ext uri="{FF2B5EF4-FFF2-40B4-BE49-F238E27FC236}">
              <a16:creationId xmlns:a16="http://schemas.microsoft.com/office/drawing/2014/main" id="{D2FB3E87-9394-4B5E-8749-DDFB8B42625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69" name="AutoShape 171" descr="USA">
          <a:hlinkClick xmlns:r="http://schemas.openxmlformats.org/officeDocument/2006/relationships" r:id="rId165"/>
          <a:extLst>
            <a:ext uri="{FF2B5EF4-FFF2-40B4-BE49-F238E27FC236}">
              <a16:creationId xmlns:a16="http://schemas.microsoft.com/office/drawing/2014/main" id="{52691213-382E-4156-B89E-FA48138058C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0" name="AutoShape 177" descr="USA">
          <a:hlinkClick xmlns:r="http://schemas.openxmlformats.org/officeDocument/2006/relationships" r:id="rId174"/>
          <a:extLst>
            <a:ext uri="{FF2B5EF4-FFF2-40B4-BE49-F238E27FC236}">
              <a16:creationId xmlns:a16="http://schemas.microsoft.com/office/drawing/2014/main" id="{DD362535-9D68-493E-900B-50105AB712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1" name="AutoShape 177" descr="USA">
          <a:hlinkClick xmlns:r="http://schemas.openxmlformats.org/officeDocument/2006/relationships" r:id="rId174"/>
          <a:extLst>
            <a:ext uri="{FF2B5EF4-FFF2-40B4-BE49-F238E27FC236}">
              <a16:creationId xmlns:a16="http://schemas.microsoft.com/office/drawing/2014/main" id="{DEF5D5C2-FF66-4345-8E85-F165B262529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2" name="AutoShape 177" descr="USA">
          <a:hlinkClick xmlns:r="http://schemas.openxmlformats.org/officeDocument/2006/relationships" r:id="rId174"/>
          <a:extLst>
            <a:ext uri="{FF2B5EF4-FFF2-40B4-BE49-F238E27FC236}">
              <a16:creationId xmlns:a16="http://schemas.microsoft.com/office/drawing/2014/main" id="{49EFF845-4DC5-4F16-8ECC-F2D32858151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3" name="AutoShape 177" descr="USA">
          <a:hlinkClick xmlns:r="http://schemas.openxmlformats.org/officeDocument/2006/relationships" r:id="rId174"/>
          <a:extLst>
            <a:ext uri="{FF2B5EF4-FFF2-40B4-BE49-F238E27FC236}">
              <a16:creationId xmlns:a16="http://schemas.microsoft.com/office/drawing/2014/main" id="{A71C71ED-B792-45E4-A99F-1D4BBB30618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4" name="AutoShape 177" descr="USA">
          <a:hlinkClick xmlns:r="http://schemas.openxmlformats.org/officeDocument/2006/relationships" r:id="rId174"/>
          <a:extLst>
            <a:ext uri="{FF2B5EF4-FFF2-40B4-BE49-F238E27FC236}">
              <a16:creationId xmlns:a16="http://schemas.microsoft.com/office/drawing/2014/main" id="{43A83307-8E50-4AC8-9679-6272563D60E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5" name="AutoShape 177" descr="USA">
          <a:hlinkClick xmlns:r="http://schemas.openxmlformats.org/officeDocument/2006/relationships" r:id="rId174"/>
          <a:extLst>
            <a:ext uri="{FF2B5EF4-FFF2-40B4-BE49-F238E27FC236}">
              <a16:creationId xmlns:a16="http://schemas.microsoft.com/office/drawing/2014/main" id="{2789BA83-EA4B-4B23-B570-0B2DB686F823}"/>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205</xdr:row>
      <xdr:rowOff>0</xdr:rowOff>
    </xdr:from>
    <xdr:ext cx="304800" cy="317500"/>
    <xdr:sp macro="" textlink="">
      <xdr:nvSpPr>
        <xdr:cNvPr id="2376" name="AutoShape 177" descr="USA">
          <a:hlinkClick xmlns:r="http://schemas.openxmlformats.org/officeDocument/2006/relationships" r:id="rId174"/>
          <a:extLst>
            <a:ext uri="{FF2B5EF4-FFF2-40B4-BE49-F238E27FC236}">
              <a16:creationId xmlns:a16="http://schemas.microsoft.com/office/drawing/2014/main" id="{B5E54589-0823-49BF-A2C7-91F7C1AC133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77" name="AutoShape 177" descr="USA">
          <a:hlinkClick xmlns:r="http://schemas.openxmlformats.org/officeDocument/2006/relationships" r:id="rId174"/>
          <a:extLst>
            <a:ext uri="{FF2B5EF4-FFF2-40B4-BE49-F238E27FC236}">
              <a16:creationId xmlns:a16="http://schemas.microsoft.com/office/drawing/2014/main" id="{9B812391-3A35-4756-9914-84353314227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78" name="AutoShape 171" descr="USA">
          <a:hlinkClick xmlns:r="http://schemas.openxmlformats.org/officeDocument/2006/relationships" r:id="rId165"/>
          <a:extLst>
            <a:ext uri="{FF2B5EF4-FFF2-40B4-BE49-F238E27FC236}">
              <a16:creationId xmlns:a16="http://schemas.microsoft.com/office/drawing/2014/main" id="{096D31D9-8C0E-4530-B059-209CBF15F02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79" name="AutoShape 177" descr="USA">
          <a:hlinkClick xmlns:r="http://schemas.openxmlformats.org/officeDocument/2006/relationships" r:id="rId174"/>
          <a:extLst>
            <a:ext uri="{FF2B5EF4-FFF2-40B4-BE49-F238E27FC236}">
              <a16:creationId xmlns:a16="http://schemas.microsoft.com/office/drawing/2014/main" id="{816F732D-E70E-495D-A362-928FE6F6524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0" name="AutoShape 177" descr="USA">
          <a:hlinkClick xmlns:r="http://schemas.openxmlformats.org/officeDocument/2006/relationships" r:id="rId174"/>
          <a:extLst>
            <a:ext uri="{FF2B5EF4-FFF2-40B4-BE49-F238E27FC236}">
              <a16:creationId xmlns:a16="http://schemas.microsoft.com/office/drawing/2014/main" id="{45716A28-A652-4113-8585-8F72039A507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1" name="AutoShape 177" descr="USA">
          <a:hlinkClick xmlns:r="http://schemas.openxmlformats.org/officeDocument/2006/relationships" r:id="rId174"/>
          <a:extLst>
            <a:ext uri="{FF2B5EF4-FFF2-40B4-BE49-F238E27FC236}">
              <a16:creationId xmlns:a16="http://schemas.microsoft.com/office/drawing/2014/main" id="{3658DA8D-FBAA-4C07-97B2-CEDFE527036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2" name="AutoShape 177" descr="USA">
          <a:hlinkClick xmlns:r="http://schemas.openxmlformats.org/officeDocument/2006/relationships" r:id="rId174"/>
          <a:extLst>
            <a:ext uri="{FF2B5EF4-FFF2-40B4-BE49-F238E27FC236}">
              <a16:creationId xmlns:a16="http://schemas.microsoft.com/office/drawing/2014/main" id="{C293DF2E-722B-4EBB-A957-E5353DF7DC2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3" name="AutoShape 177" descr="USA">
          <a:hlinkClick xmlns:r="http://schemas.openxmlformats.org/officeDocument/2006/relationships" r:id="rId174"/>
          <a:extLst>
            <a:ext uri="{FF2B5EF4-FFF2-40B4-BE49-F238E27FC236}">
              <a16:creationId xmlns:a16="http://schemas.microsoft.com/office/drawing/2014/main" id="{626A8B00-D1C4-43AE-9D91-408DEB3CB4D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4" name="AutoShape 177" descr="USA">
          <a:hlinkClick xmlns:r="http://schemas.openxmlformats.org/officeDocument/2006/relationships" r:id="rId174"/>
          <a:extLst>
            <a:ext uri="{FF2B5EF4-FFF2-40B4-BE49-F238E27FC236}">
              <a16:creationId xmlns:a16="http://schemas.microsoft.com/office/drawing/2014/main" id="{2BC3BE68-C17C-459C-A778-7256FD5064C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206</xdr:row>
      <xdr:rowOff>0</xdr:rowOff>
    </xdr:from>
    <xdr:ext cx="304800" cy="317500"/>
    <xdr:sp macro="" textlink="">
      <xdr:nvSpPr>
        <xdr:cNvPr id="2385" name="AutoShape 177" descr="USA">
          <a:hlinkClick xmlns:r="http://schemas.openxmlformats.org/officeDocument/2006/relationships" r:id="rId174"/>
          <a:extLst>
            <a:ext uri="{FF2B5EF4-FFF2-40B4-BE49-F238E27FC236}">
              <a16:creationId xmlns:a16="http://schemas.microsoft.com/office/drawing/2014/main" id="{131F40DF-20A2-46C4-855E-E00C4525D57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6" name="AutoShape 177" descr="USA">
          <a:hlinkClick xmlns:r="http://schemas.openxmlformats.org/officeDocument/2006/relationships" r:id="rId174"/>
          <a:extLst>
            <a:ext uri="{FF2B5EF4-FFF2-40B4-BE49-F238E27FC236}">
              <a16:creationId xmlns:a16="http://schemas.microsoft.com/office/drawing/2014/main" id="{652A0936-7072-4F56-8C28-E8E955DAEF3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7" name="AutoShape 171" descr="USA">
          <a:hlinkClick xmlns:r="http://schemas.openxmlformats.org/officeDocument/2006/relationships" r:id="rId165"/>
          <a:extLst>
            <a:ext uri="{FF2B5EF4-FFF2-40B4-BE49-F238E27FC236}">
              <a16:creationId xmlns:a16="http://schemas.microsoft.com/office/drawing/2014/main" id="{82202323-1040-45C5-9814-359182F6ED6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8" name="AutoShape 177" descr="USA">
          <a:hlinkClick xmlns:r="http://schemas.openxmlformats.org/officeDocument/2006/relationships" r:id="rId174"/>
          <a:extLst>
            <a:ext uri="{FF2B5EF4-FFF2-40B4-BE49-F238E27FC236}">
              <a16:creationId xmlns:a16="http://schemas.microsoft.com/office/drawing/2014/main" id="{BBECE159-2391-4001-8816-21C59A237D4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89" name="AutoShape 177" descr="USA">
          <a:hlinkClick xmlns:r="http://schemas.openxmlformats.org/officeDocument/2006/relationships" r:id="rId174"/>
          <a:extLst>
            <a:ext uri="{FF2B5EF4-FFF2-40B4-BE49-F238E27FC236}">
              <a16:creationId xmlns:a16="http://schemas.microsoft.com/office/drawing/2014/main" id="{7D486E0F-0E76-4FA3-A310-C7ADFE30273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0" name="AutoShape 177" descr="USA">
          <a:hlinkClick xmlns:r="http://schemas.openxmlformats.org/officeDocument/2006/relationships" r:id="rId174"/>
          <a:extLst>
            <a:ext uri="{FF2B5EF4-FFF2-40B4-BE49-F238E27FC236}">
              <a16:creationId xmlns:a16="http://schemas.microsoft.com/office/drawing/2014/main" id="{41740BE1-3AEB-48B1-A5C3-7742E51773F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1" name="AutoShape 177" descr="USA">
          <a:hlinkClick xmlns:r="http://schemas.openxmlformats.org/officeDocument/2006/relationships" r:id="rId174"/>
          <a:extLst>
            <a:ext uri="{FF2B5EF4-FFF2-40B4-BE49-F238E27FC236}">
              <a16:creationId xmlns:a16="http://schemas.microsoft.com/office/drawing/2014/main" id="{FDE38AB1-E31D-4B2B-8397-467B4A2A9EE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2" name="AutoShape 177" descr="USA">
          <a:hlinkClick xmlns:r="http://schemas.openxmlformats.org/officeDocument/2006/relationships" r:id="rId174"/>
          <a:extLst>
            <a:ext uri="{FF2B5EF4-FFF2-40B4-BE49-F238E27FC236}">
              <a16:creationId xmlns:a16="http://schemas.microsoft.com/office/drawing/2014/main" id="{DD514773-BCBF-4C03-8FE9-2348A6DA7C0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3" name="AutoShape 177" descr="USA">
          <a:hlinkClick xmlns:r="http://schemas.openxmlformats.org/officeDocument/2006/relationships" r:id="rId174"/>
          <a:extLst>
            <a:ext uri="{FF2B5EF4-FFF2-40B4-BE49-F238E27FC236}">
              <a16:creationId xmlns:a16="http://schemas.microsoft.com/office/drawing/2014/main" id="{23CF22F9-9A29-47E0-BBB3-158062936CC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4" name="AutoShape 177" descr="USA">
          <a:hlinkClick xmlns:r="http://schemas.openxmlformats.org/officeDocument/2006/relationships" r:id="rId174"/>
          <a:extLst>
            <a:ext uri="{FF2B5EF4-FFF2-40B4-BE49-F238E27FC236}">
              <a16:creationId xmlns:a16="http://schemas.microsoft.com/office/drawing/2014/main" id="{51C23B77-74C2-411C-8717-6342B326D15B}"/>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5" name="AutoShape 177" descr="USA">
          <a:hlinkClick xmlns:r="http://schemas.openxmlformats.org/officeDocument/2006/relationships" r:id="rId174"/>
          <a:extLst>
            <a:ext uri="{FF2B5EF4-FFF2-40B4-BE49-F238E27FC236}">
              <a16:creationId xmlns:a16="http://schemas.microsoft.com/office/drawing/2014/main" id="{FEDE200C-7B5A-452E-8A4B-22A9EB58E06C}"/>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6" name="AutoShape 171" descr="USA">
          <a:hlinkClick xmlns:r="http://schemas.openxmlformats.org/officeDocument/2006/relationships" r:id="rId165"/>
          <a:extLst>
            <a:ext uri="{FF2B5EF4-FFF2-40B4-BE49-F238E27FC236}">
              <a16:creationId xmlns:a16="http://schemas.microsoft.com/office/drawing/2014/main" id="{833F4B34-ABCB-4ACA-8C94-77CB94B602C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7" name="AutoShape 177" descr="USA">
          <a:hlinkClick xmlns:r="http://schemas.openxmlformats.org/officeDocument/2006/relationships" r:id="rId174"/>
          <a:extLst>
            <a:ext uri="{FF2B5EF4-FFF2-40B4-BE49-F238E27FC236}">
              <a16:creationId xmlns:a16="http://schemas.microsoft.com/office/drawing/2014/main" id="{8728CE37-33FE-4288-8E33-F30ADFAFA05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8" name="AutoShape 177" descr="USA">
          <a:hlinkClick xmlns:r="http://schemas.openxmlformats.org/officeDocument/2006/relationships" r:id="rId174"/>
          <a:extLst>
            <a:ext uri="{FF2B5EF4-FFF2-40B4-BE49-F238E27FC236}">
              <a16:creationId xmlns:a16="http://schemas.microsoft.com/office/drawing/2014/main" id="{DD791B12-554D-4739-8991-FDC02598E3B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399" name="AutoShape 177" descr="USA">
          <a:hlinkClick xmlns:r="http://schemas.openxmlformats.org/officeDocument/2006/relationships" r:id="rId174"/>
          <a:extLst>
            <a:ext uri="{FF2B5EF4-FFF2-40B4-BE49-F238E27FC236}">
              <a16:creationId xmlns:a16="http://schemas.microsoft.com/office/drawing/2014/main" id="{486E64FC-CBA0-4B62-AB0B-3BC7AE0670A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0" name="AutoShape 177" descr="USA">
          <a:hlinkClick xmlns:r="http://schemas.openxmlformats.org/officeDocument/2006/relationships" r:id="rId174"/>
          <a:extLst>
            <a:ext uri="{FF2B5EF4-FFF2-40B4-BE49-F238E27FC236}">
              <a16:creationId xmlns:a16="http://schemas.microsoft.com/office/drawing/2014/main" id="{88FA5D38-3292-4824-ACB1-4607640B4089}"/>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1" name="AutoShape 177" descr="USA">
          <a:hlinkClick xmlns:r="http://schemas.openxmlformats.org/officeDocument/2006/relationships" r:id="rId174"/>
          <a:extLst>
            <a:ext uri="{FF2B5EF4-FFF2-40B4-BE49-F238E27FC236}">
              <a16:creationId xmlns:a16="http://schemas.microsoft.com/office/drawing/2014/main" id="{7E986D75-3E48-4E0D-9CC5-C09612E3471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2" name="AutoShape 177" descr="USA">
          <a:hlinkClick xmlns:r="http://schemas.openxmlformats.org/officeDocument/2006/relationships" r:id="rId174"/>
          <a:extLst>
            <a:ext uri="{FF2B5EF4-FFF2-40B4-BE49-F238E27FC236}">
              <a16:creationId xmlns:a16="http://schemas.microsoft.com/office/drawing/2014/main" id="{DE647E4F-683C-44EB-8915-B14886417B3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3" name="AutoShape 177" descr="USA">
          <a:hlinkClick xmlns:r="http://schemas.openxmlformats.org/officeDocument/2006/relationships" r:id="rId174"/>
          <a:extLst>
            <a:ext uri="{FF2B5EF4-FFF2-40B4-BE49-F238E27FC236}">
              <a16:creationId xmlns:a16="http://schemas.microsoft.com/office/drawing/2014/main" id="{FDC4C581-59A2-4D72-AE1A-3B523A9AAB6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04" name="AutoShape 177" descr="USA">
          <a:hlinkClick xmlns:r="http://schemas.openxmlformats.org/officeDocument/2006/relationships" r:id="rId174"/>
          <a:extLst>
            <a:ext uri="{FF2B5EF4-FFF2-40B4-BE49-F238E27FC236}">
              <a16:creationId xmlns:a16="http://schemas.microsoft.com/office/drawing/2014/main" id="{7D419B46-40A4-489A-9176-75377363368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5" name="AutoShape 171" descr="USA">
          <a:hlinkClick xmlns:r="http://schemas.openxmlformats.org/officeDocument/2006/relationships" r:id="rId165"/>
          <a:extLst>
            <a:ext uri="{FF2B5EF4-FFF2-40B4-BE49-F238E27FC236}">
              <a16:creationId xmlns:a16="http://schemas.microsoft.com/office/drawing/2014/main" id="{9E8B9D37-5511-40B5-A744-5F3AEC2BB73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6" name="AutoShape 177" descr="USA">
          <a:hlinkClick xmlns:r="http://schemas.openxmlformats.org/officeDocument/2006/relationships" r:id="rId174"/>
          <a:extLst>
            <a:ext uri="{FF2B5EF4-FFF2-40B4-BE49-F238E27FC236}">
              <a16:creationId xmlns:a16="http://schemas.microsoft.com/office/drawing/2014/main" id="{3C96DAA2-D96A-4659-AD30-9A3143BD0ED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7" name="AutoShape 177" descr="USA">
          <a:hlinkClick xmlns:r="http://schemas.openxmlformats.org/officeDocument/2006/relationships" r:id="rId174"/>
          <a:extLst>
            <a:ext uri="{FF2B5EF4-FFF2-40B4-BE49-F238E27FC236}">
              <a16:creationId xmlns:a16="http://schemas.microsoft.com/office/drawing/2014/main" id="{6669F09B-E90E-4D7B-AAAF-5DDC80E510A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8" name="AutoShape 177" descr="USA">
          <a:hlinkClick xmlns:r="http://schemas.openxmlformats.org/officeDocument/2006/relationships" r:id="rId174"/>
          <a:extLst>
            <a:ext uri="{FF2B5EF4-FFF2-40B4-BE49-F238E27FC236}">
              <a16:creationId xmlns:a16="http://schemas.microsoft.com/office/drawing/2014/main" id="{92A99A2E-8867-4A9E-A6A3-1809D76617B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09" name="AutoShape 177" descr="USA">
          <a:hlinkClick xmlns:r="http://schemas.openxmlformats.org/officeDocument/2006/relationships" r:id="rId174"/>
          <a:extLst>
            <a:ext uri="{FF2B5EF4-FFF2-40B4-BE49-F238E27FC236}">
              <a16:creationId xmlns:a16="http://schemas.microsoft.com/office/drawing/2014/main" id="{495F0D7B-84AD-46BE-8AD8-6A6AEE031FD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10" name="AutoShape 177" descr="USA">
          <a:hlinkClick xmlns:r="http://schemas.openxmlformats.org/officeDocument/2006/relationships" r:id="rId174"/>
          <a:extLst>
            <a:ext uri="{FF2B5EF4-FFF2-40B4-BE49-F238E27FC236}">
              <a16:creationId xmlns:a16="http://schemas.microsoft.com/office/drawing/2014/main" id="{69D0F305-C637-405C-B021-8DC039BF3E3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11" name="AutoShape 177" descr="USA">
          <a:hlinkClick xmlns:r="http://schemas.openxmlformats.org/officeDocument/2006/relationships" r:id="rId174"/>
          <a:extLst>
            <a:ext uri="{FF2B5EF4-FFF2-40B4-BE49-F238E27FC236}">
              <a16:creationId xmlns:a16="http://schemas.microsoft.com/office/drawing/2014/main" id="{9CCA3A08-1CE5-4FDE-A126-CD68DD78825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207</xdr:row>
      <xdr:rowOff>0</xdr:rowOff>
    </xdr:from>
    <xdr:ext cx="304800" cy="317500"/>
    <xdr:sp macro="" textlink="">
      <xdr:nvSpPr>
        <xdr:cNvPr id="2412" name="AutoShape 177" descr="USA">
          <a:hlinkClick xmlns:r="http://schemas.openxmlformats.org/officeDocument/2006/relationships" r:id="rId174"/>
          <a:extLst>
            <a:ext uri="{FF2B5EF4-FFF2-40B4-BE49-F238E27FC236}">
              <a16:creationId xmlns:a16="http://schemas.microsoft.com/office/drawing/2014/main" id="{FC6C0AB2-FA30-49F8-88C3-A5D1973F91A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13" name="AutoShape 177" descr="USA">
          <a:hlinkClick xmlns:r="http://schemas.openxmlformats.org/officeDocument/2006/relationships" r:id="rId174"/>
          <a:extLst>
            <a:ext uri="{FF2B5EF4-FFF2-40B4-BE49-F238E27FC236}">
              <a16:creationId xmlns:a16="http://schemas.microsoft.com/office/drawing/2014/main" id="{8CA0B5BF-E4F3-4BF3-9B38-125EBE2EFBF0}"/>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4" name="AutoShape 171" descr="USA">
          <a:hlinkClick xmlns:r="http://schemas.openxmlformats.org/officeDocument/2006/relationships" r:id="rId165"/>
          <a:extLst>
            <a:ext uri="{FF2B5EF4-FFF2-40B4-BE49-F238E27FC236}">
              <a16:creationId xmlns:a16="http://schemas.microsoft.com/office/drawing/2014/main" id="{1F20A450-B5E4-4099-A789-ED8A0557500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5" name="AutoShape 177" descr="USA">
          <a:hlinkClick xmlns:r="http://schemas.openxmlformats.org/officeDocument/2006/relationships" r:id="rId174"/>
          <a:extLst>
            <a:ext uri="{FF2B5EF4-FFF2-40B4-BE49-F238E27FC236}">
              <a16:creationId xmlns:a16="http://schemas.microsoft.com/office/drawing/2014/main" id="{2A53F71F-C658-483D-AD45-684CAA6015D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6" name="AutoShape 177" descr="USA">
          <a:hlinkClick xmlns:r="http://schemas.openxmlformats.org/officeDocument/2006/relationships" r:id="rId174"/>
          <a:extLst>
            <a:ext uri="{FF2B5EF4-FFF2-40B4-BE49-F238E27FC236}">
              <a16:creationId xmlns:a16="http://schemas.microsoft.com/office/drawing/2014/main" id="{509BC937-499E-473D-AE11-9519C95006C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7" name="AutoShape 177" descr="USA">
          <a:hlinkClick xmlns:r="http://schemas.openxmlformats.org/officeDocument/2006/relationships" r:id="rId174"/>
          <a:extLst>
            <a:ext uri="{FF2B5EF4-FFF2-40B4-BE49-F238E27FC236}">
              <a16:creationId xmlns:a16="http://schemas.microsoft.com/office/drawing/2014/main" id="{B10EDBAB-A1AF-48B1-B0C7-57BF9795442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8" name="AutoShape 177" descr="USA">
          <a:hlinkClick xmlns:r="http://schemas.openxmlformats.org/officeDocument/2006/relationships" r:id="rId174"/>
          <a:extLst>
            <a:ext uri="{FF2B5EF4-FFF2-40B4-BE49-F238E27FC236}">
              <a16:creationId xmlns:a16="http://schemas.microsoft.com/office/drawing/2014/main" id="{6DD25033-995B-4D4F-BFE1-0D742F646D2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19" name="AutoShape 177" descr="USA">
          <a:hlinkClick xmlns:r="http://schemas.openxmlformats.org/officeDocument/2006/relationships" r:id="rId174"/>
          <a:extLst>
            <a:ext uri="{FF2B5EF4-FFF2-40B4-BE49-F238E27FC236}">
              <a16:creationId xmlns:a16="http://schemas.microsoft.com/office/drawing/2014/main" id="{2F503755-0396-4FA7-A71C-02AD3DCD059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20" name="AutoShape 177" descr="USA">
          <a:hlinkClick xmlns:r="http://schemas.openxmlformats.org/officeDocument/2006/relationships" r:id="rId174"/>
          <a:extLst>
            <a:ext uri="{FF2B5EF4-FFF2-40B4-BE49-F238E27FC236}">
              <a16:creationId xmlns:a16="http://schemas.microsoft.com/office/drawing/2014/main" id="{650F3156-6CE0-4D42-8744-9BECE36E65A9}"/>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208</xdr:row>
      <xdr:rowOff>0</xdr:rowOff>
    </xdr:from>
    <xdr:ext cx="304800" cy="317500"/>
    <xdr:sp macro="" textlink="">
      <xdr:nvSpPr>
        <xdr:cNvPr id="2421" name="AutoShape 177" descr="USA">
          <a:hlinkClick xmlns:r="http://schemas.openxmlformats.org/officeDocument/2006/relationships" r:id="rId174"/>
          <a:extLst>
            <a:ext uri="{FF2B5EF4-FFF2-40B4-BE49-F238E27FC236}">
              <a16:creationId xmlns:a16="http://schemas.microsoft.com/office/drawing/2014/main" id="{92C2D8F9-8388-4295-B88A-8D7FB588881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22" name="AutoShape 177" descr="USA">
          <a:hlinkClick xmlns:r="http://schemas.openxmlformats.org/officeDocument/2006/relationships" r:id="rId174"/>
          <a:extLst>
            <a:ext uri="{FF2B5EF4-FFF2-40B4-BE49-F238E27FC236}">
              <a16:creationId xmlns:a16="http://schemas.microsoft.com/office/drawing/2014/main" id="{1CC4D5EA-6B94-4B8F-99A2-3543A7B90A3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3" name="AutoShape 171" descr="USA">
          <a:hlinkClick xmlns:r="http://schemas.openxmlformats.org/officeDocument/2006/relationships" r:id="rId165"/>
          <a:extLst>
            <a:ext uri="{FF2B5EF4-FFF2-40B4-BE49-F238E27FC236}">
              <a16:creationId xmlns:a16="http://schemas.microsoft.com/office/drawing/2014/main" id="{5BFFBE56-F54B-420B-ACF6-117E4EF217D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4" name="AutoShape 177" descr="USA">
          <a:hlinkClick xmlns:r="http://schemas.openxmlformats.org/officeDocument/2006/relationships" r:id="rId174"/>
          <a:extLst>
            <a:ext uri="{FF2B5EF4-FFF2-40B4-BE49-F238E27FC236}">
              <a16:creationId xmlns:a16="http://schemas.microsoft.com/office/drawing/2014/main" id="{C2A72744-D259-47A4-A9BC-EE5AD75A8A1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5" name="AutoShape 177" descr="USA">
          <a:hlinkClick xmlns:r="http://schemas.openxmlformats.org/officeDocument/2006/relationships" r:id="rId174"/>
          <a:extLst>
            <a:ext uri="{FF2B5EF4-FFF2-40B4-BE49-F238E27FC236}">
              <a16:creationId xmlns:a16="http://schemas.microsoft.com/office/drawing/2014/main" id="{BD71DFB7-5966-41F9-8780-919B9D174AF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6" name="AutoShape 177" descr="USA">
          <a:hlinkClick xmlns:r="http://schemas.openxmlformats.org/officeDocument/2006/relationships" r:id="rId174"/>
          <a:extLst>
            <a:ext uri="{FF2B5EF4-FFF2-40B4-BE49-F238E27FC236}">
              <a16:creationId xmlns:a16="http://schemas.microsoft.com/office/drawing/2014/main" id="{1135373E-17EF-4D4A-8D95-5956095B11B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7" name="AutoShape 177" descr="USA">
          <a:hlinkClick xmlns:r="http://schemas.openxmlformats.org/officeDocument/2006/relationships" r:id="rId174"/>
          <a:extLst>
            <a:ext uri="{FF2B5EF4-FFF2-40B4-BE49-F238E27FC236}">
              <a16:creationId xmlns:a16="http://schemas.microsoft.com/office/drawing/2014/main" id="{B5C5F8B3-DBCC-4956-9B3D-8702D233CF8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8" name="AutoShape 177" descr="USA">
          <a:hlinkClick xmlns:r="http://schemas.openxmlformats.org/officeDocument/2006/relationships" r:id="rId174"/>
          <a:extLst>
            <a:ext uri="{FF2B5EF4-FFF2-40B4-BE49-F238E27FC236}">
              <a16:creationId xmlns:a16="http://schemas.microsoft.com/office/drawing/2014/main" id="{B93780E1-B339-4516-8D1D-59F2013CFBF0}"/>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29" name="AutoShape 177" descr="USA">
          <a:hlinkClick xmlns:r="http://schemas.openxmlformats.org/officeDocument/2006/relationships" r:id="rId174"/>
          <a:extLst>
            <a:ext uri="{FF2B5EF4-FFF2-40B4-BE49-F238E27FC236}">
              <a16:creationId xmlns:a16="http://schemas.microsoft.com/office/drawing/2014/main" id="{F237F1DA-98C1-4AE3-80DD-14FADF2128E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209</xdr:row>
      <xdr:rowOff>0</xdr:rowOff>
    </xdr:from>
    <xdr:ext cx="304800" cy="317500"/>
    <xdr:sp macro="" textlink="">
      <xdr:nvSpPr>
        <xdr:cNvPr id="2430" name="AutoShape 177" descr="USA">
          <a:hlinkClick xmlns:r="http://schemas.openxmlformats.org/officeDocument/2006/relationships" r:id="rId174"/>
          <a:extLst>
            <a:ext uri="{FF2B5EF4-FFF2-40B4-BE49-F238E27FC236}">
              <a16:creationId xmlns:a16="http://schemas.microsoft.com/office/drawing/2014/main" id="{5DD9094B-F905-4161-8508-FAC3EE489020}"/>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31" name="AutoShape 177" descr="USA">
          <a:hlinkClick xmlns:r="http://schemas.openxmlformats.org/officeDocument/2006/relationships" r:id="rId174"/>
          <a:extLst>
            <a:ext uri="{FF2B5EF4-FFF2-40B4-BE49-F238E27FC236}">
              <a16:creationId xmlns:a16="http://schemas.microsoft.com/office/drawing/2014/main" id="{63225853-D22D-4A6A-967D-E29B07E5E523}"/>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2" name="AutoShape 171" descr="USA">
          <a:hlinkClick xmlns:r="http://schemas.openxmlformats.org/officeDocument/2006/relationships" r:id="rId165"/>
          <a:extLst>
            <a:ext uri="{FF2B5EF4-FFF2-40B4-BE49-F238E27FC236}">
              <a16:creationId xmlns:a16="http://schemas.microsoft.com/office/drawing/2014/main" id="{DD07E753-650B-47FD-A2B3-9EF62155167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3" name="AutoShape 177" descr="USA">
          <a:hlinkClick xmlns:r="http://schemas.openxmlformats.org/officeDocument/2006/relationships" r:id="rId174"/>
          <a:extLst>
            <a:ext uri="{FF2B5EF4-FFF2-40B4-BE49-F238E27FC236}">
              <a16:creationId xmlns:a16="http://schemas.microsoft.com/office/drawing/2014/main" id="{D593278C-F176-4F7E-AE6D-17917BDE702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4" name="AutoShape 177" descr="USA">
          <a:hlinkClick xmlns:r="http://schemas.openxmlformats.org/officeDocument/2006/relationships" r:id="rId174"/>
          <a:extLst>
            <a:ext uri="{FF2B5EF4-FFF2-40B4-BE49-F238E27FC236}">
              <a16:creationId xmlns:a16="http://schemas.microsoft.com/office/drawing/2014/main" id="{52CE770B-1B45-4027-80E6-57E7876403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5" name="AutoShape 177" descr="USA">
          <a:hlinkClick xmlns:r="http://schemas.openxmlformats.org/officeDocument/2006/relationships" r:id="rId174"/>
          <a:extLst>
            <a:ext uri="{FF2B5EF4-FFF2-40B4-BE49-F238E27FC236}">
              <a16:creationId xmlns:a16="http://schemas.microsoft.com/office/drawing/2014/main" id="{28C64E57-A267-4E57-AB19-603A98F52C6C}"/>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6" name="AutoShape 177" descr="USA">
          <a:hlinkClick xmlns:r="http://schemas.openxmlformats.org/officeDocument/2006/relationships" r:id="rId174"/>
          <a:extLst>
            <a:ext uri="{FF2B5EF4-FFF2-40B4-BE49-F238E27FC236}">
              <a16:creationId xmlns:a16="http://schemas.microsoft.com/office/drawing/2014/main" id="{C9CB2202-8DA0-41CE-AF8A-0CF078EECB4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7" name="AutoShape 177" descr="USA">
          <a:hlinkClick xmlns:r="http://schemas.openxmlformats.org/officeDocument/2006/relationships" r:id="rId174"/>
          <a:extLst>
            <a:ext uri="{FF2B5EF4-FFF2-40B4-BE49-F238E27FC236}">
              <a16:creationId xmlns:a16="http://schemas.microsoft.com/office/drawing/2014/main" id="{456AFD67-8B4C-4B2D-8002-E732EFA20ED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8" name="AutoShape 177" descr="USA">
          <a:hlinkClick xmlns:r="http://schemas.openxmlformats.org/officeDocument/2006/relationships" r:id="rId174"/>
          <a:extLst>
            <a:ext uri="{FF2B5EF4-FFF2-40B4-BE49-F238E27FC236}">
              <a16:creationId xmlns:a16="http://schemas.microsoft.com/office/drawing/2014/main" id="{06A94D58-AC36-46DC-BAF6-A2D08BE42E2C}"/>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210</xdr:row>
      <xdr:rowOff>0</xdr:rowOff>
    </xdr:from>
    <xdr:ext cx="304800" cy="317500"/>
    <xdr:sp macro="" textlink="">
      <xdr:nvSpPr>
        <xdr:cNvPr id="2439" name="AutoShape 177" descr="USA">
          <a:hlinkClick xmlns:r="http://schemas.openxmlformats.org/officeDocument/2006/relationships" r:id="rId174"/>
          <a:extLst>
            <a:ext uri="{FF2B5EF4-FFF2-40B4-BE49-F238E27FC236}">
              <a16:creationId xmlns:a16="http://schemas.microsoft.com/office/drawing/2014/main" id="{7E7D5086-3006-44FB-BAEB-CFCE4652794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40" name="AutoShape 177" descr="USA">
          <a:hlinkClick xmlns:r="http://schemas.openxmlformats.org/officeDocument/2006/relationships" r:id="rId174"/>
          <a:extLst>
            <a:ext uri="{FF2B5EF4-FFF2-40B4-BE49-F238E27FC236}">
              <a16:creationId xmlns:a16="http://schemas.microsoft.com/office/drawing/2014/main" id="{EE0EF9EE-BAB6-4B07-98D8-E03F6559F63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1" name="AutoShape 171" descr="USA">
          <a:hlinkClick xmlns:r="http://schemas.openxmlformats.org/officeDocument/2006/relationships" r:id="rId165"/>
          <a:extLst>
            <a:ext uri="{FF2B5EF4-FFF2-40B4-BE49-F238E27FC236}">
              <a16:creationId xmlns:a16="http://schemas.microsoft.com/office/drawing/2014/main" id="{AC683AAD-B7E8-41F7-88A6-F0BB9656829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2" name="AutoShape 177" descr="USA">
          <a:hlinkClick xmlns:r="http://schemas.openxmlformats.org/officeDocument/2006/relationships" r:id="rId174"/>
          <a:extLst>
            <a:ext uri="{FF2B5EF4-FFF2-40B4-BE49-F238E27FC236}">
              <a16:creationId xmlns:a16="http://schemas.microsoft.com/office/drawing/2014/main" id="{F426916F-5B94-44B7-916C-3177E4D1B15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3" name="AutoShape 177" descr="USA">
          <a:hlinkClick xmlns:r="http://schemas.openxmlformats.org/officeDocument/2006/relationships" r:id="rId174"/>
          <a:extLst>
            <a:ext uri="{FF2B5EF4-FFF2-40B4-BE49-F238E27FC236}">
              <a16:creationId xmlns:a16="http://schemas.microsoft.com/office/drawing/2014/main" id="{AEEB0A1B-AFE2-4297-B281-EAB92B6997A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4" name="AutoShape 177" descr="USA">
          <a:hlinkClick xmlns:r="http://schemas.openxmlformats.org/officeDocument/2006/relationships" r:id="rId174"/>
          <a:extLst>
            <a:ext uri="{FF2B5EF4-FFF2-40B4-BE49-F238E27FC236}">
              <a16:creationId xmlns:a16="http://schemas.microsoft.com/office/drawing/2014/main" id="{43B3CEE3-049F-4B42-9225-775C58AC11EA}"/>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5" name="AutoShape 177" descr="USA">
          <a:hlinkClick xmlns:r="http://schemas.openxmlformats.org/officeDocument/2006/relationships" r:id="rId174"/>
          <a:extLst>
            <a:ext uri="{FF2B5EF4-FFF2-40B4-BE49-F238E27FC236}">
              <a16:creationId xmlns:a16="http://schemas.microsoft.com/office/drawing/2014/main" id="{4A027267-42D3-4E88-B892-4DADF1E40B1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6" name="AutoShape 177" descr="USA">
          <a:hlinkClick xmlns:r="http://schemas.openxmlformats.org/officeDocument/2006/relationships" r:id="rId174"/>
          <a:extLst>
            <a:ext uri="{FF2B5EF4-FFF2-40B4-BE49-F238E27FC236}">
              <a16:creationId xmlns:a16="http://schemas.microsoft.com/office/drawing/2014/main" id="{0F96C412-3AB5-46F1-AF5A-0F5A61B3CF74}"/>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7" name="AutoShape 177" descr="USA">
          <a:hlinkClick xmlns:r="http://schemas.openxmlformats.org/officeDocument/2006/relationships" r:id="rId174"/>
          <a:extLst>
            <a:ext uri="{FF2B5EF4-FFF2-40B4-BE49-F238E27FC236}">
              <a16:creationId xmlns:a16="http://schemas.microsoft.com/office/drawing/2014/main" id="{A426EDC1-977D-488C-9DEA-50CF50F2278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211</xdr:row>
      <xdr:rowOff>0</xdr:rowOff>
    </xdr:from>
    <xdr:ext cx="304800" cy="317500"/>
    <xdr:sp macro="" textlink="">
      <xdr:nvSpPr>
        <xdr:cNvPr id="2448" name="AutoShape 177" descr="USA">
          <a:hlinkClick xmlns:r="http://schemas.openxmlformats.org/officeDocument/2006/relationships" r:id="rId174"/>
          <a:extLst>
            <a:ext uri="{FF2B5EF4-FFF2-40B4-BE49-F238E27FC236}">
              <a16:creationId xmlns:a16="http://schemas.microsoft.com/office/drawing/2014/main" id="{D36F743F-70F2-4F88-AA50-A5B568B60E5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49" name="AutoShape 177" descr="USA">
          <a:hlinkClick xmlns:r="http://schemas.openxmlformats.org/officeDocument/2006/relationships" r:id="rId174"/>
          <a:extLst>
            <a:ext uri="{FF2B5EF4-FFF2-40B4-BE49-F238E27FC236}">
              <a16:creationId xmlns:a16="http://schemas.microsoft.com/office/drawing/2014/main" id="{793C0C69-BAFD-4191-BC3C-2279D2DAA7E7}"/>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0" name="AutoShape 171" descr="USA">
          <a:hlinkClick xmlns:r="http://schemas.openxmlformats.org/officeDocument/2006/relationships" r:id="rId165"/>
          <a:extLst>
            <a:ext uri="{FF2B5EF4-FFF2-40B4-BE49-F238E27FC236}">
              <a16:creationId xmlns:a16="http://schemas.microsoft.com/office/drawing/2014/main" id="{8BA13956-70F8-4ACE-ABB1-E14736D9C32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1" name="AutoShape 177" descr="USA">
          <a:hlinkClick xmlns:r="http://schemas.openxmlformats.org/officeDocument/2006/relationships" r:id="rId174"/>
          <a:extLst>
            <a:ext uri="{FF2B5EF4-FFF2-40B4-BE49-F238E27FC236}">
              <a16:creationId xmlns:a16="http://schemas.microsoft.com/office/drawing/2014/main" id="{39F2DF6F-7D99-4493-BC19-30E4B927A745}"/>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2" name="AutoShape 177" descr="USA">
          <a:hlinkClick xmlns:r="http://schemas.openxmlformats.org/officeDocument/2006/relationships" r:id="rId174"/>
          <a:extLst>
            <a:ext uri="{FF2B5EF4-FFF2-40B4-BE49-F238E27FC236}">
              <a16:creationId xmlns:a16="http://schemas.microsoft.com/office/drawing/2014/main" id="{89A261AF-D34F-4701-A777-AC1209C0466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3" name="AutoShape 177" descr="USA">
          <a:hlinkClick xmlns:r="http://schemas.openxmlformats.org/officeDocument/2006/relationships" r:id="rId174"/>
          <a:extLst>
            <a:ext uri="{FF2B5EF4-FFF2-40B4-BE49-F238E27FC236}">
              <a16:creationId xmlns:a16="http://schemas.microsoft.com/office/drawing/2014/main" id="{EDD0AC5F-AB57-474F-AFB4-6999364D56F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4" name="AutoShape 177" descr="USA">
          <a:hlinkClick xmlns:r="http://schemas.openxmlformats.org/officeDocument/2006/relationships" r:id="rId174"/>
          <a:extLst>
            <a:ext uri="{FF2B5EF4-FFF2-40B4-BE49-F238E27FC236}">
              <a16:creationId xmlns:a16="http://schemas.microsoft.com/office/drawing/2014/main" id="{429D3F47-EB11-40EC-9B1D-0C6CF5DD453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5" name="AutoShape 177" descr="USA">
          <a:hlinkClick xmlns:r="http://schemas.openxmlformats.org/officeDocument/2006/relationships" r:id="rId174"/>
          <a:extLst>
            <a:ext uri="{FF2B5EF4-FFF2-40B4-BE49-F238E27FC236}">
              <a16:creationId xmlns:a16="http://schemas.microsoft.com/office/drawing/2014/main" id="{19C8BCBB-AF61-4305-8EC1-5C2EAD06583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6" name="AutoShape 177" descr="USA">
          <a:hlinkClick xmlns:r="http://schemas.openxmlformats.org/officeDocument/2006/relationships" r:id="rId174"/>
          <a:extLst>
            <a:ext uri="{FF2B5EF4-FFF2-40B4-BE49-F238E27FC236}">
              <a16:creationId xmlns:a16="http://schemas.microsoft.com/office/drawing/2014/main" id="{5D186F36-0875-4797-9C27-6657DC080AE8}"/>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212</xdr:row>
      <xdr:rowOff>0</xdr:rowOff>
    </xdr:from>
    <xdr:ext cx="304800" cy="317500"/>
    <xdr:sp macro="" textlink="">
      <xdr:nvSpPr>
        <xdr:cNvPr id="2457" name="AutoShape 177" descr="USA">
          <a:hlinkClick xmlns:r="http://schemas.openxmlformats.org/officeDocument/2006/relationships" r:id="rId174"/>
          <a:extLst>
            <a:ext uri="{FF2B5EF4-FFF2-40B4-BE49-F238E27FC236}">
              <a16:creationId xmlns:a16="http://schemas.microsoft.com/office/drawing/2014/main" id="{CB39868B-3D24-4053-B39D-D356B87C2E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58" name="AutoShape 177" descr="USA">
          <a:hlinkClick xmlns:r="http://schemas.openxmlformats.org/officeDocument/2006/relationships" r:id="rId174"/>
          <a:extLst>
            <a:ext uri="{FF2B5EF4-FFF2-40B4-BE49-F238E27FC236}">
              <a16:creationId xmlns:a16="http://schemas.microsoft.com/office/drawing/2014/main" id="{A4BA4883-E2E1-4C43-948C-23CB18D335D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59" name="AutoShape 171" descr="USA">
          <a:hlinkClick xmlns:r="http://schemas.openxmlformats.org/officeDocument/2006/relationships" r:id="rId165"/>
          <a:extLst>
            <a:ext uri="{FF2B5EF4-FFF2-40B4-BE49-F238E27FC236}">
              <a16:creationId xmlns:a16="http://schemas.microsoft.com/office/drawing/2014/main" id="{FD1781AC-D4A3-4FDA-BCA5-4203BBA6D12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0" name="AutoShape 177" descr="USA">
          <a:hlinkClick xmlns:r="http://schemas.openxmlformats.org/officeDocument/2006/relationships" r:id="rId174"/>
          <a:extLst>
            <a:ext uri="{FF2B5EF4-FFF2-40B4-BE49-F238E27FC236}">
              <a16:creationId xmlns:a16="http://schemas.microsoft.com/office/drawing/2014/main" id="{C8E8476C-1E0F-4841-AC8F-89992EAF031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1" name="AutoShape 177" descr="USA">
          <a:hlinkClick xmlns:r="http://schemas.openxmlformats.org/officeDocument/2006/relationships" r:id="rId174"/>
          <a:extLst>
            <a:ext uri="{FF2B5EF4-FFF2-40B4-BE49-F238E27FC236}">
              <a16:creationId xmlns:a16="http://schemas.microsoft.com/office/drawing/2014/main" id="{229C8B4D-85D2-406A-9A0F-5F25603C99B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2" name="AutoShape 177" descr="USA">
          <a:hlinkClick xmlns:r="http://schemas.openxmlformats.org/officeDocument/2006/relationships" r:id="rId174"/>
          <a:extLst>
            <a:ext uri="{FF2B5EF4-FFF2-40B4-BE49-F238E27FC236}">
              <a16:creationId xmlns:a16="http://schemas.microsoft.com/office/drawing/2014/main" id="{AE86D62F-F8BE-4EE0-A709-A005DB109C6E}"/>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3" name="AutoShape 177" descr="USA">
          <a:hlinkClick xmlns:r="http://schemas.openxmlformats.org/officeDocument/2006/relationships" r:id="rId174"/>
          <a:extLst>
            <a:ext uri="{FF2B5EF4-FFF2-40B4-BE49-F238E27FC236}">
              <a16:creationId xmlns:a16="http://schemas.microsoft.com/office/drawing/2014/main" id="{60F054F6-80F3-48EE-B281-FA8D8C79B5A5}"/>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4" name="AutoShape 177" descr="USA">
          <a:hlinkClick xmlns:r="http://schemas.openxmlformats.org/officeDocument/2006/relationships" r:id="rId174"/>
          <a:extLst>
            <a:ext uri="{FF2B5EF4-FFF2-40B4-BE49-F238E27FC236}">
              <a16:creationId xmlns:a16="http://schemas.microsoft.com/office/drawing/2014/main" id="{530DBED8-DD34-4D37-AF9A-C43C5ED3AEF2}"/>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5" name="AutoShape 177" descr="USA">
          <a:hlinkClick xmlns:r="http://schemas.openxmlformats.org/officeDocument/2006/relationships" r:id="rId174"/>
          <a:extLst>
            <a:ext uri="{FF2B5EF4-FFF2-40B4-BE49-F238E27FC236}">
              <a16:creationId xmlns:a16="http://schemas.microsoft.com/office/drawing/2014/main" id="{DCA75908-6B37-4C5C-9472-2C92D884E1C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213</xdr:row>
      <xdr:rowOff>0</xdr:rowOff>
    </xdr:from>
    <xdr:ext cx="304800" cy="317500"/>
    <xdr:sp macro="" textlink="">
      <xdr:nvSpPr>
        <xdr:cNvPr id="2466" name="AutoShape 177" descr="USA">
          <a:hlinkClick xmlns:r="http://schemas.openxmlformats.org/officeDocument/2006/relationships" r:id="rId174"/>
          <a:extLst>
            <a:ext uri="{FF2B5EF4-FFF2-40B4-BE49-F238E27FC236}">
              <a16:creationId xmlns:a16="http://schemas.microsoft.com/office/drawing/2014/main" id="{04749612-EADB-47A0-AA3E-0D4FE13C232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67" name="AutoShape 177" descr="USA">
          <a:hlinkClick xmlns:r="http://schemas.openxmlformats.org/officeDocument/2006/relationships" r:id="rId174"/>
          <a:extLst>
            <a:ext uri="{FF2B5EF4-FFF2-40B4-BE49-F238E27FC236}">
              <a16:creationId xmlns:a16="http://schemas.microsoft.com/office/drawing/2014/main" id="{9BF347CD-F4E8-4DAA-8B7E-21421A48488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68" name="AutoShape 171" descr="USA">
          <a:hlinkClick xmlns:r="http://schemas.openxmlformats.org/officeDocument/2006/relationships" r:id="rId165"/>
          <a:extLst>
            <a:ext uri="{FF2B5EF4-FFF2-40B4-BE49-F238E27FC236}">
              <a16:creationId xmlns:a16="http://schemas.microsoft.com/office/drawing/2014/main" id="{07739980-71B8-4622-9968-A159C9F24C3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69" name="AutoShape 177" descr="USA">
          <a:hlinkClick xmlns:r="http://schemas.openxmlformats.org/officeDocument/2006/relationships" r:id="rId174"/>
          <a:extLst>
            <a:ext uri="{FF2B5EF4-FFF2-40B4-BE49-F238E27FC236}">
              <a16:creationId xmlns:a16="http://schemas.microsoft.com/office/drawing/2014/main" id="{F7CFC472-11CA-4286-AAF1-1A7DB652002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0" name="AutoShape 177" descr="USA">
          <a:hlinkClick xmlns:r="http://schemas.openxmlformats.org/officeDocument/2006/relationships" r:id="rId174"/>
          <a:extLst>
            <a:ext uri="{FF2B5EF4-FFF2-40B4-BE49-F238E27FC236}">
              <a16:creationId xmlns:a16="http://schemas.microsoft.com/office/drawing/2014/main" id="{345E4CB2-68C4-4DD7-AFFC-CB5ADD31FAA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1" name="AutoShape 177" descr="USA">
          <a:hlinkClick xmlns:r="http://schemas.openxmlformats.org/officeDocument/2006/relationships" r:id="rId174"/>
          <a:extLst>
            <a:ext uri="{FF2B5EF4-FFF2-40B4-BE49-F238E27FC236}">
              <a16:creationId xmlns:a16="http://schemas.microsoft.com/office/drawing/2014/main" id="{080A2E92-1A6D-427F-8D9A-543CDD9394D8}"/>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2" name="AutoShape 177" descr="USA">
          <a:hlinkClick xmlns:r="http://schemas.openxmlformats.org/officeDocument/2006/relationships" r:id="rId174"/>
          <a:extLst>
            <a:ext uri="{FF2B5EF4-FFF2-40B4-BE49-F238E27FC236}">
              <a16:creationId xmlns:a16="http://schemas.microsoft.com/office/drawing/2014/main" id="{75F8D787-122F-4CF2-BDC7-5F571A7B892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3" name="AutoShape 177" descr="USA">
          <a:hlinkClick xmlns:r="http://schemas.openxmlformats.org/officeDocument/2006/relationships" r:id="rId174"/>
          <a:extLst>
            <a:ext uri="{FF2B5EF4-FFF2-40B4-BE49-F238E27FC236}">
              <a16:creationId xmlns:a16="http://schemas.microsoft.com/office/drawing/2014/main" id="{5CF008F4-ECC7-47FB-A8B8-0727929E35D1}"/>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4" name="AutoShape 177" descr="USA">
          <a:hlinkClick xmlns:r="http://schemas.openxmlformats.org/officeDocument/2006/relationships" r:id="rId174"/>
          <a:extLst>
            <a:ext uri="{FF2B5EF4-FFF2-40B4-BE49-F238E27FC236}">
              <a16:creationId xmlns:a16="http://schemas.microsoft.com/office/drawing/2014/main" id="{8F97C416-F2E0-4486-A41C-6ED8A356144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214</xdr:row>
      <xdr:rowOff>0</xdr:rowOff>
    </xdr:from>
    <xdr:ext cx="304800" cy="317500"/>
    <xdr:sp macro="" textlink="">
      <xdr:nvSpPr>
        <xdr:cNvPr id="2475" name="AutoShape 177" descr="USA">
          <a:hlinkClick xmlns:r="http://schemas.openxmlformats.org/officeDocument/2006/relationships" r:id="rId174"/>
          <a:extLst>
            <a:ext uri="{FF2B5EF4-FFF2-40B4-BE49-F238E27FC236}">
              <a16:creationId xmlns:a16="http://schemas.microsoft.com/office/drawing/2014/main" id="{A4E07476-F304-4A0A-982A-B1F9ABA48E4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76" name="AutoShape 177" descr="USA">
          <a:hlinkClick xmlns:r="http://schemas.openxmlformats.org/officeDocument/2006/relationships" r:id="rId174"/>
          <a:extLst>
            <a:ext uri="{FF2B5EF4-FFF2-40B4-BE49-F238E27FC236}">
              <a16:creationId xmlns:a16="http://schemas.microsoft.com/office/drawing/2014/main" id="{EF332A81-4195-4FC3-8EF1-FC045457070B}"/>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77" name="AutoShape 171" descr="USA">
          <a:hlinkClick xmlns:r="http://schemas.openxmlformats.org/officeDocument/2006/relationships" r:id="rId165"/>
          <a:extLst>
            <a:ext uri="{FF2B5EF4-FFF2-40B4-BE49-F238E27FC236}">
              <a16:creationId xmlns:a16="http://schemas.microsoft.com/office/drawing/2014/main" id="{55DBEE77-C67A-4430-9531-0FDDB3A5038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78" name="AutoShape 177" descr="USA">
          <a:hlinkClick xmlns:r="http://schemas.openxmlformats.org/officeDocument/2006/relationships" r:id="rId174"/>
          <a:extLst>
            <a:ext uri="{FF2B5EF4-FFF2-40B4-BE49-F238E27FC236}">
              <a16:creationId xmlns:a16="http://schemas.microsoft.com/office/drawing/2014/main" id="{E901FEF2-6933-40B4-966E-AB801529AD5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79" name="AutoShape 177" descr="USA">
          <a:hlinkClick xmlns:r="http://schemas.openxmlformats.org/officeDocument/2006/relationships" r:id="rId174"/>
          <a:extLst>
            <a:ext uri="{FF2B5EF4-FFF2-40B4-BE49-F238E27FC236}">
              <a16:creationId xmlns:a16="http://schemas.microsoft.com/office/drawing/2014/main" id="{9AF8FEAE-8D26-4218-89CA-25D31A53477F}"/>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0" name="AutoShape 177" descr="USA">
          <a:hlinkClick xmlns:r="http://schemas.openxmlformats.org/officeDocument/2006/relationships" r:id="rId174"/>
          <a:extLst>
            <a:ext uri="{FF2B5EF4-FFF2-40B4-BE49-F238E27FC236}">
              <a16:creationId xmlns:a16="http://schemas.microsoft.com/office/drawing/2014/main" id="{B1701621-49DB-43DE-AFD3-2020A31CBC57}"/>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1" name="AutoShape 177" descr="USA">
          <a:hlinkClick xmlns:r="http://schemas.openxmlformats.org/officeDocument/2006/relationships" r:id="rId174"/>
          <a:extLst>
            <a:ext uri="{FF2B5EF4-FFF2-40B4-BE49-F238E27FC236}">
              <a16:creationId xmlns:a16="http://schemas.microsoft.com/office/drawing/2014/main" id="{3FCD56F7-9677-48E6-B6AC-40D1CE62B8EC}"/>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2" name="AutoShape 177" descr="USA">
          <a:hlinkClick xmlns:r="http://schemas.openxmlformats.org/officeDocument/2006/relationships" r:id="rId174"/>
          <a:extLst>
            <a:ext uri="{FF2B5EF4-FFF2-40B4-BE49-F238E27FC236}">
              <a16:creationId xmlns:a16="http://schemas.microsoft.com/office/drawing/2014/main" id="{171B4A9F-F151-4BAA-866C-38E646257FE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3" name="AutoShape 177" descr="USA">
          <a:hlinkClick xmlns:r="http://schemas.openxmlformats.org/officeDocument/2006/relationships" r:id="rId174"/>
          <a:extLst>
            <a:ext uri="{FF2B5EF4-FFF2-40B4-BE49-F238E27FC236}">
              <a16:creationId xmlns:a16="http://schemas.microsoft.com/office/drawing/2014/main" id="{3B802C2C-F0DF-4DC8-B50C-A3CC53FD883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215</xdr:row>
      <xdr:rowOff>0</xdr:rowOff>
    </xdr:from>
    <xdr:ext cx="304800" cy="317500"/>
    <xdr:sp macro="" textlink="">
      <xdr:nvSpPr>
        <xdr:cNvPr id="2484" name="AutoShape 177" descr="USA">
          <a:hlinkClick xmlns:r="http://schemas.openxmlformats.org/officeDocument/2006/relationships" r:id="rId174"/>
          <a:extLst>
            <a:ext uri="{FF2B5EF4-FFF2-40B4-BE49-F238E27FC236}">
              <a16:creationId xmlns:a16="http://schemas.microsoft.com/office/drawing/2014/main" id="{B088992B-3ABB-47CD-9B3F-E553E4FA25AE}"/>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85" name="AutoShape 177" descr="USA">
          <a:hlinkClick xmlns:r="http://schemas.openxmlformats.org/officeDocument/2006/relationships" r:id="rId174"/>
          <a:extLst>
            <a:ext uri="{FF2B5EF4-FFF2-40B4-BE49-F238E27FC236}">
              <a16:creationId xmlns:a16="http://schemas.microsoft.com/office/drawing/2014/main" id="{D881415D-2AEA-420D-A08F-EACA32C184C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6" name="AutoShape 171" descr="USA">
          <a:hlinkClick xmlns:r="http://schemas.openxmlformats.org/officeDocument/2006/relationships" r:id="rId165"/>
          <a:extLst>
            <a:ext uri="{FF2B5EF4-FFF2-40B4-BE49-F238E27FC236}">
              <a16:creationId xmlns:a16="http://schemas.microsoft.com/office/drawing/2014/main" id="{9A67D7B8-BC03-4CAF-BB96-F10557EBC9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7" name="AutoShape 177" descr="USA">
          <a:hlinkClick xmlns:r="http://schemas.openxmlformats.org/officeDocument/2006/relationships" r:id="rId174"/>
          <a:extLst>
            <a:ext uri="{FF2B5EF4-FFF2-40B4-BE49-F238E27FC236}">
              <a16:creationId xmlns:a16="http://schemas.microsoft.com/office/drawing/2014/main" id="{14C74A50-CF95-4FF0-A4A1-AEB5AA8A3C8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8" name="AutoShape 177" descr="USA">
          <a:hlinkClick xmlns:r="http://schemas.openxmlformats.org/officeDocument/2006/relationships" r:id="rId174"/>
          <a:extLst>
            <a:ext uri="{FF2B5EF4-FFF2-40B4-BE49-F238E27FC236}">
              <a16:creationId xmlns:a16="http://schemas.microsoft.com/office/drawing/2014/main" id="{F2220E73-4F0D-4393-82DB-95C537F59EF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89" name="AutoShape 177" descr="USA">
          <a:hlinkClick xmlns:r="http://schemas.openxmlformats.org/officeDocument/2006/relationships" r:id="rId174"/>
          <a:extLst>
            <a:ext uri="{FF2B5EF4-FFF2-40B4-BE49-F238E27FC236}">
              <a16:creationId xmlns:a16="http://schemas.microsoft.com/office/drawing/2014/main" id="{63B966C4-42AD-46C0-8AD3-C4027B962903}"/>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0" name="AutoShape 177" descr="USA">
          <a:hlinkClick xmlns:r="http://schemas.openxmlformats.org/officeDocument/2006/relationships" r:id="rId174"/>
          <a:extLst>
            <a:ext uri="{FF2B5EF4-FFF2-40B4-BE49-F238E27FC236}">
              <a16:creationId xmlns:a16="http://schemas.microsoft.com/office/drawing/2014/main" id="{5DF91C89-EED7-40C9-9942-22B6019E2EF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1" name="AutoShape 177" descr="USA">
          <a:hlinkClick xmlns:r="http://schemas.openxmlformats.org/officeDocument/2006/relationships" r:id="rId174"/>
          <a:extLst>
            <a:ext uri="{FF2B5EF4-FFF2-40B4-BE49-F238E27FC236}">
              <a16:creationId xmlns:a16="http://schemas.microsoft.com/office/drawing/2014/main" id="{EB1CAD8C-318C-49F9-9C19-8A199172371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2" name="AutoShape 177" descr="USA">
          <a:hlinkClick xmlns:r="http://schemas.openxmlformats.org/officeDocument/2006/relationships" r:id="rId174"/>
          <a:extLst>
            <a:ext uri="{FF2B5EF4-FFF2-40B4-BE49-F238E27FC236}">
              <a16:creationId xmlns:a16="http://schemas.microsoft.com/office/drawing/2014/main" id="{B78F321A-B12C-4610-BB49-2F89B496730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216</xdr:row>
      <xdr:rowOff>0</xdr:rowOff>
    </xdr:from>
    <xdr:ext cx="304800" cy="317500"/>
    <xdr:sp macro="" textlink="">
      <xdr:nvSpPr>
        <xdr:cNvPr id="2493" name="AutoShape 177" descr="USA">
          <a:hlinkClick xmlns:r="http://schemas.openxmlformats.org/officeDocument/2006/relationships" r:id="rId174"/>
          <a:extLst>
            <a:ext uri="{FF2B5EF4-FFF2-40B4-BE49-F238E27FC236}">
              <a16:creationId xmlns:a16="http://schemas.microsoft.com/office/drawing/2014/main" id="{3B57DCCE-1F61-4B7F-8830-D14C17CA8E2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494" name="AutoShape 177" descr="USA">
          <a:hlinkClick xmlns:r="http://schemas.openxmlformats.org/officeDocument/2006/relationships" r:id="rId174"/>
          <a:extLst>
            <a:ext uri="{FF2B5EF4-FFF2-40B4-BE49-F238E27FC236}">
              <a16:creationId xmlns:a16="http://schemas.microsoft.com/office/drawing/2014/main" id="{30331B3B-9DF4-4963-8AB5-5F2955129691}"/>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5" name="AutoShape 171" descr="USA">
          <a:hlinkClick xmlns:r="http://schemas.openxmlformats.org/officeDocument/2006/relationships" r:id="rId165"/>
          <a:extLst>
            <a:ext uri="{FF2B5EF4-FFF2-40B4-BE49-F238E27FC236}">
              <a16:creationId xmlns:a16="http://schemas.microsoft.com/office/drawing/2014/main" id="{397F0FA9-DEDC-4C17-A69C-F48FAEEC1C6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6" name="AutoShape 177" descr="USA">
          <a:hlinkClick xmlns:r="http://schemas.openxmlformats.org/officeDocument/2006/relationships" r:id="rId174"/>
          <a:extLst>
            <a:ext uri="{FF2B5EF4-FFF2-40B4-BE49-F238E27FC236}">
              <a16:creationId xmlns:a16="http://schemas.microsoft.com/office/drawing/2014/main" id="{6033C9DB-2431-4E99-8F99-B078D144C7D8}"/>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7" name="AutoShape 177" descr="USA">
          <a:hlinkClick xmlns:r="http://schemas.openxmlformats.org/officeDocument/2006/relationships" r:id="rId174"/>
          <a:extLst>
            <a:ext uri="{FF2B5EF4-FFF2-40B4-BE49-F238E27FC236}">
              <a16:creationId xmlns:a16="http://schemas.microsoft.com/office/drawing/2014/main" id="{42C264B7-85F4-4A89-8483-797C947B5613}"/>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8" name="AutoShape 177" descr="USA">
          <a:hlinkClick xmlns:r="http://schemas.openxmlformats.org/officeDocument/2006/relationships" r:id="rId174"/>
          <a:extLst>
            <a:ext uri="{FF2B5EF4-FFF2-40B4-BE49-F238E27FC236}">
              <a16:creationId xmlns:a16="http://schemas.microsoft.com/office/drawing/2014/main" id="{0BC3DB91-3E9E-4788-8731-5C28C32B294F}"/>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499" name="AutoShape 177" descr="USA">
          <a:hlinkClick xmlns:r="http://schemas.openxmlformats.org/officeDocument/2006/relationships" r:id="rId174"/>
          <a:extLst>
            <a:ext uri="{FF2B5EF4-FFF2-40B4-BE49-F238E27FC236}">
              <a16:creationId xmlns:a16="http://schemas.microsoft.com/office/drawing/2014/main" id="{0F3C7D0C-8E0C-4B84-86DD-4864C1FA83F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500" name="AutoShape 177" descr="USA">
          <a:hlinkClick xmlns:r="http://schemas.openxmlformats.org/officeDocument/2006/relationships" r:id="rId174"/>
          <a:extLst>
            <a:ext uri="{FF2B5EF4-FFF2-40B4-BE49-F238E27FC236}">
              <a16:creationId xmlns:a16="http://schemas.microsoft.com/office/drawing/2014/main" id="{40906D91-B3BC-40F3-A6EF-5A09CDBCA71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501" name="AutoShape 177" descr="USA">
          <a:hlinkClick xmlns:r="http://schemas.openxmlformats.org/officeDocument/2006/relationships" r:id="rId174"/>
          <a:extLst>
            <a:ext uri="{FF2B5EF4-FFF2-40B4-BE49-F238E27FC236}">
              <a16:creationId xmlns:a16="http://schemas.microsoft.com/office/drawing/2014/main" id="{64DD090A-9019-432D-AF8E-929912F79AF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217</xdr:row>
      <xdr:rowOff>0</xdr:rowOff>
    </xdr:from>
    <xdr:ext cx="304800" cy="317500"/>
    <xdr:sp macro="" textlink="">
      <xdr:nvSpPr>
        <xdr:cNvPr id="2502" name="AutoShape 177" descr="USA">
          <a:hlinkClick xmlns:r="http://schemas.openxmlformats.org/officeDocument/2006/relationships" r:id="rId174"/>
          <a:extLst>
            <a:ext uri="{FF2B5EF4-FFF2-40B4-BE49-F238E27FC236}">
              <a16:creationId xmlns:a16="http://schemas.microsoft.com/office/drawing/2014/main" id="{12F519F6-AE0F-46C4-8CA1-4839AB4F9009}"/>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03" name="AutoShape 177" descr="USA">
          <a:hlinkClick xmlns:r="http://schemas.openxmlformats.org/officeDocument/2006/relationships" r:id="rId174"/>
          <a:extLst>
            <a:ext uri="{FF2B5EF4-FFF2-40B4-BE49-F238E27FC236}">
              <a16:creationId xmlns:a16="http://schemas.microsoft.com/office/drawing/2014/main" id="{CCDBB27B-09D6-4726-8A51-08376AFD777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4" name="AutoShape 171" descr="USA">
          <a:hlinkClick xmlns:r="http://schemas.openxmlformats.org/officeDocument/2006/relationships" r:id="rId165"/>
          <a:extLst>
            <a:ext uri="{FF2B5EF4-FFF2-40B4-BE49-F238E27FC236}">
              <a16:creationId xmlns:a16="http://schemas.microsoft.com/office/drawing/2014/main" id="{7C5502F7-89BE-4C16-A263-34F27789B8A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5" name="AutoShape 177" descr="USA">
          <a:hlinkClick xmlns:r="http://schemas.openxmlformats.org/officeDocument/2006/relationships" r:id="rId174"/>
          <a:extLst>
            <a:ext uri="{FF2B5EF4-FFF2-40B4-BE49-F238E27FC236}">
              <a16:creationId xmlns:a16="http://schemas.microsoft.com/office/drawing/2014/main" id="{AF93A3B3-F14E-4143-A172-B68477EAD1D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6" name="AutoShape 177" descr="USA">
          <a:hlinkClick xmlns:r="http://schemas.openxmlformats.org/officeDocument/2006/relationships" r:id="rId174"/>
          <a:extLst>
            <a:ext uri="{FF2B5EF4-FFF2-40B4-BE49-F238E27FC236}">
              <a16:creationId xmlns:a16="http://schemas.microsoft.com/office/drawing/2014/main" id="{DBF9FDE0-1A85-489A-8E99-08422E7F154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7" name="AutoShape 177" descr="USA">
          <a:hlinkClick xmlns:r="http://schemas.openxmlformats.org/officeDocument/2006/relationships" r:id="rId174"/>
          <a:extLst>
            <a:ext uri="{FF2B5EF4-FFF2-40B4-BE49-F238E27FC236}">
              <a16:creationId xmlns:a16="http://schemas.microsoft.com/office/drawing/2014/main" id="{FF9BEC82-9542-49B7-8386-C565A3059976}"/>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8" name="AutoShape 177" descr="USA">
          <a:hlinkClick xmlns:r="http://schemas.openxmlformats.org/officeDocument/2006/relationships" r:id="rId174"/>
          <a:extLst>
            <a:ext uri="{FF2B5EF4-FFF2-40B4-BE49-F238E27FC236}">
              <a16:creationId xmlns:a16="http://schemas.microsoft.com/office/drawing/2014/main" id="{1127A3DE-BA50-4E78-B3D4-3DBB1EF69B21}"/>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09" name="AutoShape 177" descr="USA">
          <a:hlinkClick xmlns:r="http://schemas.openxmlformats.org/officeDocument/2006/relationships" r:id="rId174"/>
          <a:extLst>
            <a:ext uri="{FF2B5EF4-FFF2-40B4-BE49-F238E27FC236}">
              <a16:creationId xmlns:a16="http://schemas.microsoft.com/office/drawing/2014/main" id="{708F364C-6414-4ED3-91F5-66DA489D0875}"/>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10" name="AutoShape 177" descr="USA">
          <a:hlinkClick xmlns:r="http://schemas.openxmlformats.org/officeDocument/2006/relationships" r:id="rId174"/>
          <a:extLst>
            <a:ext uri="{FF2B5EF4-FFF2-40B4-BE49-F238E27FC236}">
              <a16:creationId xmlns:a16="http://schemas.microsoft.com/office/drawing/2014/main" id="{5CD8B86C-9D11-4638-9F4A-21E07B5815E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218</xdr:row>
      <xdr:rowOff>0</xdr:rowOff>
    </xdr:from>
    <xdr:ext cx="304800" cy="317500"/>
    <xdr:sp macro="" textlink="">
      <xdr:nvSpPr>
        <xdr:cNvPr id="2511" name="AutoShape 177" descr="USA">
          <a:hlinkClick xmlns:r="http://schemas.openxmlformats.org/officeDocument/2006/relationships" r:id="rId174"/>
          <a:extLst>
            <a:ext uri="{FF2B5EF4-FFF2-40B4-BE49-F238E27FC236}">
              <a16:creationId xmlns:a16="http://schemas.microsoft.com/office/drawing/2014/main" id="{731B1CFB-76D5-43A5-9977-B7BF28EFE51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12" name="AutoShape 177" descr="USA">
          <a:hlinkClick xmlns:r="http://schemas.openxmlformats.org/officeDocument/2006/relationships" r:id="rId174"/>
          <a:extLst>
            <a:ext uri="{FF2B5EF4-FFF2-40B4-BE49-F238E27FC236}">
              <a16:creationId xmlns:a16="http://schemas.microsoft.com/office/drawing/2014/main" id="{FC24043D-ABC8-4A10-BC0B-76E80630EFE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3" name="AutoShape 171" descr="USA">
          <a:hlinkClick xmlns:r="http://schemas.openxmlformats.org/officeDocument/2006/relationships" r:id="rId165"/>
          <a:extLst>
            <a:ext uri="{FF2B5EF4-FFF2-40B4-BE49-F238E27FC236}">
              <a16:creationId xmlns:a16="http://schemas.microsoft.com/office/drawing/2014/main" id="{27CB34D7-5415-42FB-AE04-7FFA3649887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4" name="AutoShape 177" descr="USA">
          <a:hlinkClick xmlns:r="http://schemas.openxmlformats.org/officeDocument/2006/relationships" r:id="rId174"/>
          <a:extLst>
            <a:ext uri="{FF2B5EF4-FFF2-40B4-BE49-F238E27FC236}">
              <a16:creationId xmlns:a16="http://schemas.microsoft.com/office/drawing/2014/main" id="{BFD6FD0A-5141-4629-A682-808DA763A9B4}"/>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5" name="AutoShape 177" descr="USA">
          <a:hlinkClick xmlns:r="http://schemas.openxmlformats.org/officeDocument/2006/relationships" r:id="rId174"/>
          <a:extLst>
            <a:ext uri="{FF2B5EF4-FFF2-40B4-BE49-F238E27FC236}">
              <a16:creationId xmlns:a16="http://schemas.microsoft.com/office/drawing/2014/main" id="{01FFBD42-7E0C-4305-92BB-20AC888C69CC}"/>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6" name="AutoShape 177" descr="USA">
          <a:hlinkClick xmlns:r="http://schemas.openxmlformats.org/officeDocument/2006/relationships" r:id="rId174"/>
          <a:extLst>
            <a:ext uri="{FF2B5EF4-FFF2-40B4-BE49-F238E27FC236}">
              <a16:creationId xmlns:a16="http://schemas.microsoft.com/office/drawing/2014/main" id="{181D87DC-0F30-4024-B26B-4357EFFA503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7" name="AutoShape 177" descr="USA">
          <a:hlinkClick xmlns:r="http://schemas.openxmlformats.org/officeDocument/2006/relationships" r:id="rId174"/>
          <a:extLst>
            <a:ext uri="{FF2B5EF4-FFF2-40B4-BE49-F238E27FC236}">
              <a16:creationId xmlns:a16="http://schemas.microsoft.com/office/drawing/2014/main" id="{D15BEAE9-8877-4C5C-9DAF-29F41B555ADF}"/>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8" name="AutoShape 177" descr="USA">
          <a:hlinkClick xmlns:r="http://schemas.openxmlformats.org/officeDocument/2006/relationships" r:id="rId174"/>
          <a:extLst>
            <a:ext uri="{FF2B5EF4-FFF2-40B4-BE49-F238E27FC236}">
              <a16:creationId xmlns:a16="http://schemas.microsoft.com/office/drawing/2014/main" id="{ED8FA301-A46C-4F4E-AA25-F53D820F25DD}"/>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19" name="AutoShape 177" descr="USA">
          <a:hlinkClick xmlns:r="http://schemas.openxmlformats.org/officeDocument/2006/relationships" r:id="rId174"/>
          <a:extLst>
            <a:ext uri="{FF2B5EF4-FFF2-40B4-BE49-F238E27FC236}">
              <a16:creationId xmlns:a16="http://schemas.microsoft.com/office/drawing/2014/main" id="{0A06D6EF-29BC-47B6-9B78-919088C7034B}"/>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219</xdr:row>
      <xdr:rowOff>0</xdr:rowOff>
    </xdr:from>
    <xdr:ext cx="304800" cy="317500"/>
    <xdr:sp macro="" textlink="">
      <xdr:nvSpPr>
        <xdr:cNvPr id="2520" name="AutoShape 177" descr="USA">
          <a:hlinkClick xmlns:r="http://schemas.openxmlformats.org/officeDocument/2006/relationships" r:id="rId174"/>
          <a:extLst>
            <a:ext uri="{FF2B5EF4-FFF2-40B4-BE49-F238E27FC236}">
              <a16:creationId xmlns:a16="http://schemas.microsoft.com/office/drawing/2014/main" id="{1CA0D589-AE84-4164-AB20-74C23E29BD41}"/>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21" name="AutoShape 177" descr="USA">
          <a:hlinkClick xmlns:r="http://schemas.openxmlformats.org/officeDocument/2006/relationships" r:id="rId174"/>
          <a:extLst>
            <a:ext uri="{FF2B5EF4-FFF2-40B4-BE49-F238E27FC236}">
              <a16:creationId xmlns:a16="http://schemas.microsoft.com/office/drawing/2014/main" id="{C2B2E7FE-E381-4E00-AEBB-D7B28C4A773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2" name="AutoShape 171" descr="USA">
          <a:hlinkClick xmlns:r="http://schemas.openxmlformats.org/officeDocument/2006/relationships" r:id="rId165"/>
          <a:extLst>
            <a:ext uri="{FF2B5EF4-FFF2-40B4-BE49-F238E27FC236}">
              <a16:creationId xmlns:a16="http://schemas.microsoft.com/office/drawing/2014/main" id="{3D6AAA1C-3A91-4F9B-95F4-D50F0AA7255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3" name="AutoShape 177" descr="USA">
          <a:hlinkClick xmlns:r="http://schemas.openxmlformats.org/officeDocument/2006/relationships" r:id="rId174"/>
          <a:extLst>
            <a:ext uri="{FF2B5EF4-FFF2-40B4-BE49-F238E27FC236}">
              <a16:creationId xmlns:a16="http://schemas.microsoft.com/office/drawing/2014/main" id="{63F626C2-E1D8-4C9B-9EA0-5A6DCC046193}"/>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4" name="AutoShape 177" descr="USA">
          <a:hlinkClick xmlns:r="http://schemas.openxmlformats.org/officeDocument/2006/relationships" r:id="rId174"/>
          <a:extLst>
            <a:ext uri="{FF2B5EF4-FFF2-40B4-BE49-F238E27FC236}">
              <a16:creationId xmlns:a16="http://schemas.microsoft.com/office/drawing/2014/main" id="{4727D39F-1981-4BFC-B177-6043E4C16B6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5" name="AutoShape 177" descr="USA">
          <a:hlinkClick xmlns:r="http://schemas.openxmlformats.org/officeDocument/2006/relationships" r:id="rId174"/>
          <a:extLst>
            <a:ext uri="{FF2B5EF4-FFF2-40B4-BE49-F238E27FC236}">
              <a16:creationId xmlns:a16="http://schemas.microsoft.com/office/drawing/2014/main" id="{566E16AE-483C-4CF6-9255-29E198CB064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6" name="AutoShape 177" descr="USA">
          <a:hlinkClick xmlns:r="http://schemas.openxmlformats.org/officeDocument/2006/relationships" r:id="rId174"/>
          <a:extLst>
            <a:ext uri="{FF2B5EF4-FFF2-40B4-BE49-F238E27FC236}">
              <a16:creationId xmlns:a16="http://schemas.microsoft.com/office/drawing/2014/main" id="{E6CB6EAA-E4C4-4D29-B506-6BF58343F38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7" name="AutoShape 177" descr="USA">
          <a:hlinkClick xmlns:r="http://schemas.openxmlformats.org/officeDocument/2006/relationships" r:id="rId174"/>
          <a:extLst>
            <a:ext uri="{FF2B5EF4-FFF2-40B4-BE49-F238E27FC236}">
              <a16:creationId xmlns:a16="http://schemas.microsoft.com/office/drawing/2014/main" id="{CACBF49B-A181-48D2-9D63-5E09292CD92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8" name="AutoShape 177" descr="USA">
          <a:hlinkClick xmlns:r="http://schemas.openxmlformats.org/officeDocument/2006/relationships" r:id="rId174"/>
          <a:extLst>
            <a:ext uri="{FF2B5EF4-FFF2-40B4-BE49-F238E27FC236}">
              <a16:creationId xmlns:a16="http://schemas.microsoft.com/office/drawing/2014/main" id="{EB698E2A-3D68-4576-886B-7E151D32B35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220</xdr:row>
      <xdr:rowOff>0</xdr:rowOff>
    </xdr:from>
    <xdr:ext cx="304800" cy="317500"/>
    <xdr:sp macro="" textlink="">
      <xdr:nvSpPr>
        <xdr:cNvPr id="2529" name="AutoShape 177" descr="USA">
          <a:hlinkClick xmlns:r="http://schemas.openxmlformats.org/officeDocument/2006/relationships" r:id="rId174"/>
          <a:extLst>
            <a:ext uri="{FF2B5EF4-FFF2-40B4-BE49-F238E27FC236}">
              <a16:creationId xmlns:a16="http://schemas.microsoft.com/office/drawing/2014/main" id="{0FA57B17-BE75-4672-9A9E-054759F69AB4}"/>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30" name="AutoShape 177" descr="USA">
          <a:hlinkClick xmlns:r="http://schemas.openxmlformats.org/officeDocument/2006/relationships" r:id="rId174"/>
          <a:extLst>
            <a:ext uri="{FF2B5EF4-FFF2-40B4-BE49-F238E27FC236}">
              <a16:creationId xmlns:a16="http://schemas.microsoft.com/office/drawing/2014/main" id="{13EEF2C6-7179-41C0-8F0C-02096C8AE726}"/>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1" name="AutoShape 171" descr="USA">
          <a:hlinkClick xmlns:r="http://schemas.openxmlformats.org/officeDocument/2006/relationships" r:id="rId165"/>
          <a:extLst>
            <a:ext uri="{FF2B5EF4-FFF2-40B4-BE49-F238E27FC236}">
              <a16:creationId xmlns:a16="http://schemas.microsoft.com/office/drawing/2014/main" id="{99A6B501-A683-47CB-BA71-25D49D4F5E9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2" name="AutoShape 177" descr="USA">
          <a:hlinkClick xmlns:r="http://schemas.openxmlformats.org/officeDocument/2006/relationships" r:id="rId174"/>
          <a:extLst>
            <a:ext uri="{FF2B5EF4-FFF2-40B4-BE49-F238E27FC236}">
              <a16:creationId xmlns:a16="http://schemas.microsoft.com/office/drawing/2014/main" id="{54F44AA9-92D6-4EAA-9DE6-4B1CA7BABE4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3" name="AutoShape 177" descr="USA">
          <a:hlinkClick xmlns:r="http://schemas.openxmlformats.org/officeDocument/2006/relationships" r:id="rId174"/>
          <a:extLst>
            <a:ext uri="{FF2B5EF4-FFF2-40B4-BE49-F238E27FC236}">
              <a16:creationId xmlns:a16="http://schemas.microsoft.com/office/drawing/2014/main" id="{85224A5E-9556-4E55-88B0-75FD92FEF760}"/>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4" name="AutoShape 177" descr="USA">
          <a:hlinkClick xmlns:r="http://schemas.openxmlformats.org/officeDocument/2006/relationships" r:id="rId174"/>
          <a:extLst>
            <a:ext uri="{FF2B5EF4-FFF2-40B4-BE49-F238E27FC236}">
              <a16:creationId xmlns:a16="http://schemas.microsoft.com/office/drawing/2014/main" id="{BA31F623-ED4E-4040-823E-009587A1515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5" name="AutoShape 177" descr="USA">
          <a:hlinkClick xmlns:r="http://schemas.openxmlformats.org/officeDocument/2006/relationships" r:id="rId174"/>
          <a:extLst>
            <a:ext uri="{FF2B5EF4-FFF2-40B4-BE49-F238E27FC236}">
              <a16:creationId xmlns:a16="http://schemas.microsoft.com/office/drawing/2014/main" id="{D3645D6B-613F-4B36-88B8-643EC790F3C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6" name="AutoShape 177" descr="USA">
          <a:hlinkClick xmlns:r="http://schemas.openxmlformats.org/officeDocument/2006/relationships" r:id="rId174"/>
          <a:extLst>
            <a:ext uri="{FF2B5EF4-FFF2-40B4-BE49-F238E27FC236}">
              <a16:creationId xmlns:a16="http://schemas.microsoft.com/office/drawing/2014/main" id="{C1F9E813-DB45-48E3-B48A-1ED940E6DE8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7" name="AutoShape 177" descr="USA">
          <a:hlinkClick xmlns:r="http://schemas.openxmlformats.org/officeDocument/2006/relationships" r:id="rId174"/>
          <a:extLst>
            <a:ext uri="{FF2B5EF4-FFF2-40B4-BE49-F238E27FC236}">
              <a16:creationId xmlns:a16="http://schemas.microsoft.com/office/drawing/2014/main" id="{182E3259-702A-48A5-B4F0-38EAA9533C7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221</xdr:row>
      <xdr:rowOff>0</xdr:rowOff>
    </xdr:from>
    <xdr:ext cx="304800" cy="317500"/>
    <xdr:sp macro="" textlink="">
      <xdr:nvSpPr>
        <xdr:cNvPr id="2538" name="AutoShape 177" descr="USA">
          <a:hlinkClick xmlns:r="http://schemas.openxmlformats.org/officeDocument/2006/relationships" r:id="rId174"/>
          <a:extLst>
            <a:ext uri="{FF2B5EF4-FFF2-40B4-BE49-F238E27FC236}">
              <a16:creationId xmlns:a16="http://schemas.microsoft.com/office/drawing/2014/main" id="{9F40232A-C83C-48C1-9FE9-C6E2283B6027}"/>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39" name="AutoShape 177" descr="USA">
          <a:hlinkClick xmlns:r="http://schemas.openxmlformats.org/officeDocument/2006/relationships" r:id="rId174"/>
          <a:extLst>
            <a:ext uri="{FF2B5EF4-FFF2-40B4-BE49-F238E27FC236}">
              <a16:creationId xmlns:a16="http://schemas.microsoft.com/office/drawing/2014/main" id="{00E84A81-6C80-4E8F-8FA5-2BE9A551B4C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0" name="AutoShape 171" descr="USA">
          <a:hlinkClick xmlns:r="http://schemas.openxmlformats.org/officeDocument/2006/relationships" r:id="rId165"/>
          <a:extLst>
            <a:ext uri="{FF2B5EF4-FFF2-40B4-BE49-F238E27FC236}">
              <a16:creationId xmlns:a16="http://schemas.microsoft.com/office/drawing/2014/main" id="{C70DEE26-1F0A-4C69-807E-F950D5B2CEA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1" name="AutoShape 177" descr="USA">
          <a:hlinkClick xmlns:r="http://schemas.openxmlformats.org/officeDocument/2006/relationships" r:id="rId174"/>
          <a:extLst>
            <a:ext uri="{FF2B5EF4-FFF2-40B4-BE49-F238E27FC236}">
              <a16:creationId xmlns:a16="http://schemas.microsoft.com/office/drawing/2014/main" id="{B707295B-08E3-4188-BCFA-04478289174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2" name="AutoShape 177" descr="USA">
          <a:hlinkClick xmlns:r="http://schemas.openxmlformats.org/officeDocument/2006/relationships" r:id="rId174"/>
          <a:extLst>
            <a:ext uri="{FF2B5EF4-FFF2-40B4-BE49-F238E27FC236}">
              <a16:creationId xmlns:a16="http://schemas.microsoft.com/office/drawing/2014/main" id="{A4E6A581-40F6-435D-9420-087DE0D4182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3" name="AutoShape 177" descr="USA">
          <a:hlinkClick xmlns:r="http://schemas.openxmlformats.org/officeDocument/2006/relationships" r:id="rId174"/>
          <a:extLst>
            <a:ext uri="{FF2B5EF4-FFF2-40B4-BE49-F238E27FC236}">
              <a16:creationId xmlns:a16="http://schemas.microsoft.com/office/drawing/2014/main" id="{2217F8E2-BACD-42D8-A408-0467FC0866A2}"/>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4" name="AutoShape 177" descr="USA">
          <a:hlinkClick xmlns:r="http://schemas.openxmlformats.org/officeDocument/2006/relationships" r:id="rId174"/>
          <a:extLst>
            <a:ext uri="{FF2B5EF4-FFF2-40B4-BE49-F238E27FC236}">
              <a16:creationId xmlns:a16="http://schemas.microsoft.com/office/drawing/2014/main" id="{5F99DCFE-015E-4969-897F-0872D3BC43C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5" name="AutoShape 177" descr="USA">
          <a:hlinkClick xmlns:r="http://schemas.openxmlformats.org/officeDocument/2006/relationships" r:id="rId174"/>
          <a:extLst>
            <a:ext uri="{FF2B5EF4-FFF2-40B4-BE49-F238E27FC236}">
              <a16:creationId xmlns:a16="http://schemas.microsoft.com/office/drawing/2014/main" id="{D4664674-9C37-4E9C-AC7C-2D9A690B7FDB}"/>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6" name="AutoShape 177" descr="USA">
          <a:hlinkClick xmlns:r="http://schemas.openxmlformats.org/officeDocument/2006/relationships" r:id="rId174"/>
          <a:extLst>
            <a:ext uri="{FF2B5EF4-FFF2-40B4-BE49-F238E27FC236}">
              <a16:creationId xmlns:a16="http://schemas.microsoft.com/office/drawing/2014/main" id="{B9A30302-AD01-4934-A4DA-376B18E0BFBD}"/>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222</xdr:row>
      <xdr:rowOff>0</xdr:rowOff>
    </xdr:from>
    <xdr:ext cx="304800" cy="317500"/>
    <xdr:sp macro="" textlink="">
      <xdr:nvSpPr>
        <xdr:cNvPr id="2547" name="AutoShape 177" descr="USA">
          <a:hlinkClick xmlns:r="http://schemas.openxmlformats.org/officeDocument/2006/relationships" r:id="rId174"/>
          <a:extLst>
            <a:ext uri="{FF2B5EF4-FFF2-40B4-BE49-F238E27FC236}">
              <a16:creationId xmlns:a16="http://schemas.microsoft.com/office/drawing/2014/main" id="{BC01D2AB-4DE8-4DB4-BB81-1D58AF6ABDD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48" name="AutoShape 177" descr="USA">
          <a:hlinkClick xmlns:r="http://schemas.openxmlformats.org/officeDocument/2006/relationships" r:id="rId174"/>
          <a:extLst>
            <a:ext uri="{FF2B5EF4-FFF2-40B4-BE49-F238E27FC236}">
              <a16:creationId xmlns:a16="http://schemas.microsoft.com/office/drawing/2014/main" id="{D55D879C-7478-481B-B3BB-E8027F9F2859}"/>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49" name="AutoShape 171" descr="USA">
          <a:hlinkClick xmlns:r="http://schemas.openxmlformats.org/officeDocument/2006/relationships" r:id="rId165"/>
          <a:extLst>
            <a:ext uri="{FF2B5EF4-FFF2-40B4-BE49-F238E27FC236}">
              <a16:creationId xmlns:a16="http://schemas.microsoft.com/office/drawing/2014/main" id="{A9DD7562-408C-4C04-A52D-F5D30F730ED1}"/>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0" name="AutoShape 177" descr="USA">
          <a:hlinkClick xmlns:r="http://schemas.openxmlformats.org/officeDocument/2006/relationships" r:id="rId174"/>
          <a:extLst>
            <a:ext uri="{FF2B5EF4-FFF2-40B4-BE49-F238E27FC236}">
              <a16:creationId xmlns:a16="http://schemas.microsoft.com/office/drawing/2014/main" id="{7631492D-8DC1-4D2A-8569-8E5FE76096A1}"/>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1" name="AutoShape 177" descr="USA">
          <a:hlinkClick xmlns:r="http://schemas.openxmlformats.org/officeDocument/2006/relationships" r:id="rId174"/>
          <a:extLst>
            <a:ext uri="{FF2B5EF4-FFF2-40B4-BE49-F238E27FC236}">
              <a16:creationId xmlns:a16="http://schemas.microsoft.com/office/drawing/2014/main" id="{3E9A5D41-E3FE-40C1-9CCD-6D8A36C75D36}"/>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2" name="AutoShape 177" descr="USA">
          <a:hlinkClick xmlns:r="http://schemas.openxmlformats.org/officeDocument/2006/relationships" r:id="rId174"/>
          <a:extLst>
            <a:ext uri="{FF2B5EF4-FFF2-40B4-BE49-F238E27FC236}">
              <a16:creationId xmlns:a16="http://schemas.microsoft.com/office/drawing/2014/main" id="{449349A4-A2B5-45FF-A918-96E8193914D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3" name="AutoShape 177" descr="USA">
          <a:hlinkClick xmlns:r="http://schemas.openxmlformats.org/officeDocument/2006/relationships" r:id="rId174"/>
          <a:extLst>
            <a:ext uri="{FF2B5EF4-FFF2-40B4-BE49-F238E27FC236}">
              <a16:creationId xmlns:a16="http://schemas.microsoft.com/office/drawing/2014/main" id="{59AC375F-7097-4751-BB61-F7F8BD28F8D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4" name="AutoShape 177" descr="USA">
          <a:hlinkClick xmlns:r="http://schemas.openxmlformats.org/officeDocument/2006/relationships" r:id="rId174"/>
          <a:extLst>
            <a:ext uri="{FF2B5EF4-FFF2-40B4-BE49-F238E27FC236}">
              <a16:creationId xmlns:a16="http://schemas.microsoft.com/office/drawing/2014/main" id="{52A92D0B-2F30-4335-8439-49BA62FDC11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5" name="AutoShape 177" descr="USA">
          <a:hlinkClick xmlns:r="http://schemas.openxmlformats.org/officeDocument/2006/relationships" r:id="rId174"/>
          <a:extLst>
            <a:ext uri="{FF2B5EF4-FFF2-40B4-BE49-F238E27FC236}">
              <a16:creationId xmlns:a16="http://schemas.microsoft.com/office/drawing/2014/main" id="{5D505FFD-E39A-45F3-8A9D-7119E0AE45DF}"/>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223</xdr:row>
      <xdr:rowOff>0</xdr:rowOff>
    </xdr:from>
    <xdr:ext cx="304800" cy="317500"/>
    <xdr:sp macro="" textlink="">
      <xdr:nvSpPr>
        <xdr:cNvPr id="2556" name="AutoShape 177" descr="USA">
          <a:hlinkClick xmlns:r="http://schemas.openxmlformats.org/officeDocument/2006/relationships" r:id="rId174"/>
          <a:extLst>
            <a:ext uri="{FF2B5EF4-FFF2-40B4-BE49-F238E27FC236}">
              <a16:creationId xmlns:a16="http://schemas.microsoft.com/office/drawing/2014/main" id="{BD8E2AEA-58AE-4BCA-802C-1D2C981F4933}"/>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57" name="AutoShape 177" descr="USA">
          <a:hlinkClick xmlns:r="http://schemas.openxmlformats.org/officeDocument/2006/relationships" r:id="rId174"/>
          <a:extLst>
            <a:ext uri="{FF2B5EF4-FFF2-40B4-BE49-F238E27FC236}">
              <a16:creationId xmlns:a16="http://schemas.microsoft.com/office/drawing/2014/main" id="{6BA73435-2041-4B60-BC0E-70A69C3D32C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58" name="AutoShape 171" descr="USA">
          <a:hlinkClick xmlns:r="http://schemas.openxmlformats.org/officeDocument/2006/relationships" r:id="rId165"/>
          <a:extLst>
            <a:ext uri="{FF2B5EF4-FFF2-40B4-BE49-F238E27FC236}">
              <a16:creationId xmlns:a16="http://schemas.microsoft.com/office/drawing/2014/main" id="{8C20D26E-80A3-4F9A-B4B8-AF290D07EAA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59" name="AutoShape 177" descr="USA">
          <a:hlinkClick xmlns:r="http://schemas.openxmlformats.org/officeDocument/2006/relationships" r:id="rId174"/>
          <a:extLst>
            <a:ext uri="{FF2B5EF4-FFF2-40B4-BE49-F238E27FC236}">
              <a16:creationId xmlns:a16="http://schemas.microsoft.com/office/drawing/2014/main" id="{F3E61A36-0F0C-4DC5-AAFD-10CF8D79F32C}"/>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0" name="AutoShape 177" descr="USA">
          <a:hlinkClick xmlns:r="http://schemas.openxmlformats.org/officeDocument/2006/relationships" r:id="rId174"/>
          <a:extLst>
            <a:ext uri="{FF2B5EF4-FFF2-40B4-BE49-F238E27FC236}">
              <a16:creationId xmlns:a16="http://schemas.microsoft.com/office/drawing/2014/main" id="{2F3841A4-502D-409A-AA86-7DC2260A487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1" name="AutoShape 177" descr="USA">
          <a:hlinkClick xmlns:r="http://schemas.openxmlformats.org/officeDocument/2006/relationships" r:id="rId174"/>
          <a:extLst>
            <a:ext uri="{FF2B5EF4-FFF2-40B4-BE49-F238E27FC236}">
              <a16:creationId xmlns:a16="http://schemas.microsoft.com/office/drawing/2014/main" id="{E896DB1B-D0D5-484C-84DE-8433189E0C7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2" name="AutoShape 177" descr="USA">
          <a:hlinkClick xmlns:r="http://schemas.openxmlformats.org/officeDocument/2006/relationships" r:id="rId174"/>
          <a:extLst>
            <a:ext uri="{FF2B5EF4-FFF2-40B4-BE49-F238E27FC236}">
              <a16:creationId xmlns:a16="http://schemas.microsoft.com/office/drawing/2014/main" id="{BBB88FB2-06D4-4121-A685-1B3C1C6785B2}"/>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3" name="AutoShape 177" descr="USA">
          <a:hlinkClick xmlns:r="http://schemas.openxmlformats.org/officeDocument/2006/relationships" r:id="rId174"/>
          <a:extLst>
            <a:ext uri="{FF2B5EF4-FFF2-40B4-BE49-F238E27FC236}">
              <a16:creationId xmlns:a16="http://schemas.microsoft.com/office/drawing/2014/main" id="{C1744D34-59DE-4E06-AC64-DA3071F784A3}"/>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4" name="AutoShape 177" descr="USA">
          <a:hlinkClick xmlns:r="http://schemas.openxmlformats.org/officeDocument/2006/relationships" r:id="rId174"/>
          <a:extLst>
            <a:ext uri="{FF2B5EF4-FFF2-40B4-BE49-F238E27FC236}">
              <a16:creationId xmlns:a16="http://schemas.microsoft.com/office/drawing/2014/main" id="{55168A3C-4FF3-410D-827B-347F5B5E370A}"/>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224</xdr:row>
      <xdr:rowOff>0</xdr:rowOff>
    </xdr:from>
    <xdr:ext cx="304800" cy="317500"/>
    <xdr:sp macro="" textlink="">
      <xdr:nvSpPr>
        <xdr:cNvPr id="2565" name="AutoShape 177" descr="USA">
          <a:hlinkClick xmlns:r="http://schemas.openxmlformats.org/officeDocument/2006/relationships" r:id="rId174"/>
          <a:extLst>
            <a:ext uri="{FF2B5EF4-FFF2-40B4-BE49-F238E27FC236}">
              <a16:creationId xmlns:a16="http://schemas.microsoft.com/office/drawing/2014/main" id="{F39A8966-32A5-46EC-AC9A-D5515E76423D}"/>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66" name="AutoShape 177" descr="USA">
          <a:hlinkClick xmlns:r="http://schemas.openxmlformats.org/officeDocument/2006/relationships" r:id="rId174"/>
          <a:extLst>
            <a:ext uri="{FF2B5EF4-FFF2-40B4-BE49-F238E27FC236}">
              <a16:creationId xmlns:a16="http://schemas.microsoft.com/office/drawing/2014/main" id="{E7700E6A-3E3D-4437-9236-7AAF42CA608F}"/>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67" name="AutoShape 171" descr="USA">
          <a:hlinkClick xmlns:r="http://schemas.openxmlformats.org/officeDocument/2006/relationships" r:id="rId165"/>
          <a:extLst>
            <a:ext uri="{FF2B5EF4-FFF2-40B4-BE49-F238E27FC236}">
              <a16:creationId xmlns:a16="http://schemas.microsoft.com/office/drawing/2014/main" id="{630B1F81-EDCB-4FDD-9F65-57376084FD4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68" name="AutoShape 177" descr="USA">
          <a:hlinkClick xmlns:r="http://schemas.openxmlformats.org/officeDocument/2006/relationships" r:id="rId174"/>
          <a:extLst>
            <a:ext uri="{FF2B5EF4-FFF2-40B4-BE49-F238E27FC236}">
              <a16:creationId xmlns:a16="http://schemas.microsoft.com/office/drawing/2014/main" id="{11E95C07-C207-4ABE-B73E-D2DA35F5710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69" name="AutoShape 177" descr="USA">
          <a:hlinkClick xmlns:r="http://schemas.openxmlformats.org/officeDocument/2006/relationships" r:id="rId174"/>
          <a:extLst>
            <a:ext uri="{FF2B5EF4-FFF2-40B4-BE49-F238E27FC236}">
              <a16:creationId xmlns:a16="http://schemas.microsoft.com/office/drawing/2014/main" id="{E673C3CD-F508-40BB-B566-4D53ED0EF5F8}"/>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0" name="AutoShape 177" descr="USA">
          <a:hlinkClick xmlns:r="http://schemas.openxmlformats.org/officeDocument/2006/relationships" r:id="rId174"/>
          <a:extLst>
            <a:ext uri="{FF2B5EF4-FFF2-40B4-BE49-F238E27FC236}">
              <a16:creationId xmlns:a16="http://schemas.microsoft.com/office/drawing/2014/main" id="{B5D94F2A-BD45-4225-967E-D390E7F6FE6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1" name="AutoShape 177" descr="USA">
          <a:hlinkClick xmlns:r="http://schemas.openxmlformats.org/officeDocument/2006/relationships" r:id="rId174"/>
          <a:extLst>
            <a:ext uri="{FF2B5EF4-FFF2-40B4-BE49-F238E27FC236}">
              <a16:creationId xmlns:a16="http://schemas.microsoft.com/office/drawing/2014/main" id="{835CF721-3CE3-47B2-8460-3BC1DB934654}"/>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2" name="AutoShape 177" descr="USA">
          <a:hlinkClick xmlns:r="http://schemas.openxmlformats.org/officeDocument/2006/relationships" r:id="rId174"/>
          <a:extLst>
            <a:ext uri="{FF2B5EF4-FFF2-40B4-BE49-F238E27FC236}">
              <a16:creationId xmlns:a16="http://schemas.microsoft.com/office/drawing/2014/main" id="{59BD1E1E-07ED-4B2F-9C4C-1CD482954C0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3" name="AutoShape 177" descr="USA">
          <a:hlinkClick xmlns:r="http://schemas.openxmlformats.org/officeDocument/2006/relationships" r:id="rId174"/>
          <a:extLst>
            <a:ext uri="{FF2B5EF4-FFF2-40B4-BE49-F238E27FC236}">
              <a16:creationId xmlns:a16="http://schemas.microsoft.com/office/drawing/2014/main" id="{A0D680DD-BD6A-4D79-AADC-B9697AF9CED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225</xdr:row>
      <xdr:rowOff>0</xdr:rowOff>
    </xdr:from>
    <xdr:ext cx="304800" cy="317500"/>
    <xdr:sp macro="" textlink="">
      <xdr:nvSpPr>
        <xdr:cNvPr id="2574" name="AutoShape 177" descr="USA">
          <a:hlinkClick xmlns:r="http://schemas.openxmlformats.org/officeDocument/2006/relationships" r:id="rId174"/>
          <a:extLst>
            <a:ext uri="{FF2B5EF4-FFF2-40B4-BE49-F238E27FC236}">
              <a16:creationId xmlns:a16="http://schemas.microsoft.com/office/drawing/2014/main" id="{806184BA-4F59-4154-8044-C507D1D77D6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75" name="AutoShape 177" descr="USA">
          <a:hlinkClick xmlns:r="http://schemas.openxmlformats.org/officeDocument/2006/relationships" r:id="rId174"/>
          <a:extLst>
            <a:ext uri="{FF2B5EF4-FFF2-40B4-BE49-F238E27FC236}">
              <a16:creationId xmlns:a16="http://schemas.microsoft.com/office/drawing/2014/main" id="{D93F12FF-FE63-446E-85BE-C1B294CAE52E}"/>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6" name="AutoShape 171" descr="USA">
          <a:hlinkClick xmlns:r="http://schemas.openxmlformats.org/officeDocument/2006/relationships" r:id="rId165"/>
          <a:extLst>
            <a:ext uri="{FF2B5EF4-FFF2-40B4-BE49-F238E27FC236}">
              <a16:creationId xmlns:a16="http://schemas.microsoft.com/office/drawing/2014/main" id="{1FA59A20-7488-495B-8EF5-FE91887B750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7" name="AutoShape 177" descr="USA">
          <a:hlinkClick xmlns:r="http://schemas.openxmlformats.org/officeDocument/2006/relationships" r:id="rId174"/>
          <a:extLst>
            <a:ext uri="{FF2B5EF4-FFF2-40B4-BE49-F238E27FC236}">
              <a16:creationId xmlns:a16="http://schemas.microsoft.com/office/drawing/2014/main" id="{86C58515-2D9D-4E00-B526-41F5813273CB}"/>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8" name="AutoShape 177" descr="USA">
          <a:hlinkClick xmlns:r="http://schemas.openxmlformats.org/officeDocument/2006/relationships" r:id="rId174"/>
          <a:extLst>
            <a:ext uri="{FF2B5EF4-FFF2-40B4-BE49-F238E27FC236}">
              <a16:creationId xmlns:a16="http://schemas.microsoft.com/office/drawing/2014/main" id="{8E77B036-B650-454C-899D-81042E6C86DA}"/>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79" name="AutoShape 177" descr="USA">
          <a:hlinkClick xmlns:r="http://schemas.openxmlformats.org/officeDocument/2006/relationships" r:id="rId174"/>
          <a:extLst>
            <a:ext uri="{FF2B5EF4-FFF2-40B4-BE49-F238E27FC236}">
              <a16:creationId xmlns:a16="http://schemas.microsoft.com/office/drawing/2014/main" id="{180EB48A-0822-49B8-AB37-1C754BD79A3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0" name="AutoShape 177" descr="USA">
          <a:hlinkClick xmlns:r="http://schemas.openxmlformats.org/officeDocument/2006/relationships" r:id="rId174"/>
          <a:extLst>
            <a:ext uri="{FF2B5EF4-FFF2-40B4-BE49-F238E27FC236}">
              <a16:creationId xmlns:a16="http://schemas.microsoft.com/office/drawing/2014/main" id="{AA699F98-8B9D-4732-987B-C859B49B3CE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1" name="AutoShape 177" descr="USA">
          <a:hlinkClick xmlns:r="http://schemas.openxmlformats.org/officeDocument/2006/relationships" r:id="rId174"/>
          <a:extLst>
            <a:ext uri="{FF2B5EF4-FFF2-40B4-BE49-F238E27FC236}">
              <a16:creationId xmlns:a16="http://schemas.microsoft.com/office/drawing/2014/main" id="{28AFA278-059F-412E-A00C-400596FC6D66}"/>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2" name="AutoShape 177" descr="USA">
          <a:hlinkClick xmlns:r="http://schemas.openxmlformats.org/officeDocument/2006/relationships" r:id="rId174"/>
          <a:extLst>
            <a:ext uri="{FF2B5EF4-FFF2-40B4-BE49-F238E27FC236}">
              <a16:creationId xmlns:a16="http://schemas.microsoft.com/office/drawing/2014/main" id="{4F048502-C9DB-4098-8F59-390CB6F94570}"/>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226</xdr:row>
      <xdr:rowOff>0</xdr:rowOff>
    </xdr:from>
    <xdr:ext cx="304800" cy="317500"/>
    <xdr:sp macro="" textlink="">
      <xdr:nvSpPr>
        <xdr:cNvPr id="2583" name="AutoShape 177" descr="USA">
          <a:hlinkClick xmlns:r="http://schemas.openxmlformats.org/officeDocument/2006/relationships" r:id="rId174"/>
          <a:extLst>
            <a:ext uri="{FF2B5EF4-FFF2-40B4-BE49-F238E27FC236}">
              <a16:creationId xmlns:a16="http://schemas.microsoft.com/office/drawing/2014/main" id="{C1055150-37DA-4EDC-8FC1-F691F8B666D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84" name="AutoShape 177" descr="USA">
          <a:hlinkClick xmlns:r="http://schemas.openxmlformats.org/officeDocument/2006/relationships" r:id="rId174"/>
          <a:extLst>
            <a:ext uri="{FF2B5EF4-FFF2-40B4-BE49-F238E27FC236}">
              <a16:creationId xmlns:a16="http://schemas.microsoft.com/office/drawing/2014/main" id="{B10D8C55-9324-44A6-AF6D-9943D26EFFBD}"/>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5" name="AutoShape 171" descr="USA">
          <a:hlinkClick xmlns:r="http://schemas.openxmlformats.org/officeDocument/2006/relationships" r:id="rId165"/>
          <a:extLst>
            <a:ext uri="{FF2B5EF4-FFF2-40B4-BE49-F238E27FC236}">
              <a16:creationId xmlns:a16="http://schemas.microsoft.com/office/drawing/2014/main" id="{24880A48-68A7-435C-8A1B-A79A8FD8040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6" name="AutoShape 177" descr="USA">
          <a:hlinkClick xmlns:r="http://schemas.openxmlformats.org/officeDocument/2006/relationships" r:id="rId174"/>
          <a:extLst>
            <a:ext uri="{FF2B5EF4-FFF2-40B4-BE49-F238E27FC236}">
              <a16:creationId xmlns:a16="http://schemas.microsoft.com/office/drawing/2014/main" id="{A6F3C5C7-B9B4-4E61-84A4-AF4FD9227470}"/>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7" name="AutoShape 177" descr="USA">
          <a:hlinkClick xmlns:r="http://schemas.openxmlformats.org/officeDocument/2006/relationships" r:id="rId174"/>
          <a:extLst>
            <a:ext uri="{FF2B5EF4-FFF2-40B4-BE49-F238E27FC236}">
              <a16:creationId xmlns:a16="http://schemas.microsoft.com/office/drawing/2014/main" id="{703927C3-9771-4299-9492-7FD52D317A62}"/>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8" name="AutoShape 177" descr="USA">
          <a:hlinkClick xmlns:r="http://schemas.openxmlformats.org/officeDocument/2006/relationships" r:id="rId174"/>
          <a:extLst>
            <a:ext uri="{FF2B5EF4-FFF2-40B4-BE49-F238E27FC236}">
              <a16:creationId xmlns:a16="http://schemas.microsoft.com/office/drawing/2014/main" id="{710C81E3-F35E-4291-8ACC-8F736976001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89" name="AutoShape 177" descr="USA">
          <a:hlinkClick xmlns:r="http://schemas.openxmlformats.org/officeDocument/2006/relationships" r:id="rId174"/>
          <a:extLst>
            <a:ext uri="{FF2B5EF4-FFF2-40B4-BE49-F238E27FC236}">
              <a16:creationId xmlns:a16="http://schemas.microsoft.com/office/drawing/2014/main" id="{4BF4EB4C-EA38-49B4-B55A-5070A957783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90" name="AutoShape 177" descr="USA">
          <a:hlinkClick xmlns:r="http://schemas.openxmlformats.org/officeDocument/2006/relationships" r:id="rId174"/>
          <a:extLst>
            <a:ext uri="{FF2B5EF4-FFF2-40B4-BE49-F238E27FC236}">
              <a16:creationId xmlns:a16="http://schemas.microsoft.com/office/drawing/2014/main" id="{E0527045-3EEE-4CCF-888F-6B3580968429}"/>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91" name="AutoShape 177" descr="USA">
          <a:hlinkClick xmlns:r="http://schemas.openxmlformats.org/officeDocument/2006/relationships" r:id="rId174"/>
          <a:extLst>
            <a:ext uri="{FF2B5EF4-FFF2-40B4-BE49-F238E27FC236}">
              <a16:creationId xmlns:a16="http://schemas.microsoft.com/office/drawing/2014/main" id="{D9741E5C-344C-42B6-AC70-2F5651C15684}"/>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227</xdr:row>
      <xdr:rowOff>0</xdr:rowOff>
    </xdr:from>
    <xdr:ext cx="304800" cy="317500"/>
    <xdr:sp macro="" textlink="">
      <xdr:nvSpPr>
        <xdr:cNvPr id="2592" name="AutoShape 177" descr="USA">
          <a:hlinkClick xmlns:r="http://schemas.openxmlformats.org/officeDocument/2006/relationships" r:id="rId174"/>
          <a:extLst>
            <a:ext uri="{FF2B5EF4-FFF2-40B4-BE49-F238E27FC236}">
              <a16:creationId xmlns:a16="http://schemas.microsoft.com/office/drawing/2014/main" id="{27C0E307-1B46-44A9-8139-26C3900EB03A}"/>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593" name="AutoShape 177" descr="USA">
          <a:hlinkClick xmlns:r="http://schemas.openxmlformats.org/officeDocument/2006/relationships" r:id="rId174"/>
          <a:extLst>
            <a:ext uri="{FF2B5EF4-FFF2-40B4-BE49-F238E27FC236}">
              <a16:creationId xmlns:a16="http://schemas.microsoft.com/office/drawing/2014/main" id="{25826AB1-587C-49E7-8FD4-8C23AE201702}"/>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4" name="AutoShape 171" descr="USA">
          <a:hlinkClick xmlns:r="http://schemas.openxmlformats.org/officeDocument/2006/relationships" r:id="rId165"/>
          <a:extLst>
            <a:ext uri="{FF2B5EF4-FFF2-40B4-BE49-F238E27FC236}">
              <a16:creationId xmlns:a16="http://schemas.microsoft.com/office/drawing/2014/main" id="{43476A08-632E-4FA8-885C-0B78F4864389}"/>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5" name="AutoShape 177" descr="USA">
          <a:hlinkClick xmlns:r="http://schemas.openxmlformats.org/officeDocument/2006/relationships" r:id="rId174"/>
          <a:extLst>
            <a:ext uri="{FF2B5EF4-FFF2-40B4-BE49-F238E27FC236}">
              <a16:creationId xmlns:a16="http://schemas.microsoft.com/office/drawing/2014/main" id="{AB398BD5-750D-4F41-B97F-21A6A1DD2696}"/>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6" name="AutoShape 177" descr="USA">
          <a:hlinkClick xmlns:r="http://schemas.openxmlformats.org/officeDocument/2006/relationships" r:id="rId174"/>
          <a:extLst>
            <a:ext uri="{FF2B5EF4-FFF2-40B4-BE49-F238E27FC236}">
              <a16:creationId xmlns:a16="http://schemas.microsoft.com/office/drawing/2014/main" id="{63780946-9D97-4875-9EBB-762BBA6DABC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7" name="AutoShape 177" descr="USA">
          <a:hlinkClick xmlns:r="http://schemas.openxmlformats.org/officeDocument/2006/relationships" r:id="rId174"/>
          <a:extLst>
            <a:ext uri="{FF2B5EF4-FFF2-40B4-BE49-F238E27FC236}">
              <a16:creationId xmlns:a16="http://schemas.microsoft.com/office/drawing/2014/main" id="{AAB0DDDF-DAF4-406A-8C64-3CE0D2F315AD}"/>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8" name="AutoShape 177" descr="USA">
          <a:hlinkClick xmlns:r="http://schemas.openxmlformats.org/officeDocument/2006/relationships" r:id="rId174"/>
          <a:extLst>
            <a:ext uri="{FF2B5EF4-FFF2-40B4-BE49-F238E27FC236}">
              <a16:creationId xmlns:a16="http://schemas.microsoft.com/office/drawing/2014/main" id="{953B109A-1ED7-4EEA-9EEF-3275392222AB}"/>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599" name="AutoShape 177" descr="USA">
          <a:hlinkClick xmlns:r="http://schemas.openxmlformats.org/officeDocument/2006/relationships" r:id="rId174"/>
          <a:extLst>
            <a:ext uri="{FF2B5EF4-FFF2-40B4-BE49-F238E27FC236}">
              <a16:creationId xmlns:a16="http://schemas.microsoft.com/office/drawing/2014/main" id="{AC19B5D9-6B9E-47BB-8B74-D25D72F40C8A}"/>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600" name="AutoShape 177" descr="USA">
          <a:hlinkClick xmlns:r="http://schemas.openxmlformats.org/officeDocument/2006/relationships" r:id="rId174"/>
          <a:extLst>
            <a:ext uri="{FF2B5EF4-FFF2-40B4-BE49-F238E27FC236}">
              <a16:creationId xmlns:a16="http://schemas.microsoft.com/office/drawing/2014/main" id="{E73B7AB4-5298-4B6C-85E3-F10E077BFEA2}"/>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228</xdr:row>
      <xdr:rowOff>0</xdr:rowOff>
    </xdr:from>
    <xdr:ext cx="304800" cy="317500"/>
    <xdr:sp macro="" textlink="">
      <xdr:nvSpPr>
        <xdr:cNvPr id="2601" name="AutoShape 177" descr="USA">
          <a:hlinkClick xmlns:r="http://schemas.openxmlformats.org/officeDocument/2006/relationships" r:id="rId174"/>
          <a:extLst>
            <a:ext uri="{FF2B5EF4-FFF2-40B4-BE49-F238E27FC236}">
              <a16:creationId xmlns:a16="http://schemas.microsoft.com/office/drawing/2014/main" id="{2DC7149C-C639-42BD-A6EE-C893A9E51498}"/>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02" name="AutoShape 177" descr="USA">
          <a:hlinkClick xmlns:r="http://schemas.openxmlformats.org/officeDocument/2006/relationships" r:id="rId174"/>
          <a:extLst>
            <a:ext uri="{FF2B5EF4-FFF2-40B4-BE49-F238E27FC236}">
              <a16:creationId xmlns:a16="http://schemas.microsoft.com/office/drawing/2014/main" id="{3988F9D4-AF82-44CB-AE24-D9E4B9F20EB5}"/>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3" name="AutoShape 171" descr="USA">
          <a:hlinkClick xmlns:r="http://schemas.openxmlformats.org/officeDocument/2006/relationships" r:id="rId165"/>
          <a:extLst>
            <a:ext uri="{FF2B5EF4-FFF2-40B4-BE49-F238E27FC236}">
              <a16:creationId xmlns:a16="http://schemas.microsoft.com/office/drawing/2014/main" id="{C434C6CC-87B4-4ADF-9961-D3D815C10615}"/>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4" name="AutoShape 177" descr="USA">
          <a:hlinkClick xmlns:r="http://schemas.openxmlformats.org/officeDocument/2006/relationships" r:id="rId174"/>
          <a:extLst>
            <a:ext uri="{FF2B5EF4-FFF2-40B4-BE49-F238E27FC236}">
              <a16:creationId xmlns:a16="http://schemas.microsoft.com/office/drawing/2014/main" id="{2D65296B-8678-46F6-8B71-487B40BDF9E2}"/>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5" name="AutoShape 177" descr="USA">
          <a:hlinkClick xmlns:r="http://schemas.openxmlformats.org/officeDocument/2006/relationships" r:id="rId174"/>
          <a:extLst>
            <a:ext uri="{FF2B5EF4-FFF2-40B4-BE49-F238E27FC236}">
              <a16:creationId xmlns:a16="http://schemas.microsoft.com/office/drawing/2014/main" id="{7A9DACB9-45EB-4ED4-BAED-C9BA7386BCF7}"/>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6" name="AutoShape 177" descr="USA">
          <a:hlinkClick xmlns:r="http://schemas.openxmlformats.org/officeDocument/2006/relationships" r:id="rId174"/>
          <a:extLst>
            <a:ext uri="{FF2B5EF4-FFF2-40B4-BE49-F238E27FC236}">
              <a16:creationId xmlns:a16="http://schemas.microsoft.com/office/drawing/2014/main" id="{7900A56E-0F50-43B8-A832-ED3E9E9B8BDB}"/>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7" name="AutoShape 177" descr="USA">
          <a:hlinkClick xmlns:r="http://schemas.openxmlformats.org/officeDocument/2006/relationships" r:id="rId174"/>
          <a:extLst>
            <a:ext uri="{FF2B5EF4-FFF2-40B4-BE49-F238E27FC236}">
              <a16:creationId xmlns:a16="http://schemas.microsoft.com/office/drawing/2014/main" id="{AB9F1325-62FA-49D5-B64B-2CB3F705A1FE}"/>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8" name="AutoShape 177" descr="USA">
          <a:hlinkClick xmlns:r="http://schemas.openxmlformats.org/officeDocument/2006/relationships" r:id="rId174"/>
          <a:extLst>
            <a:ext uri="{FF2B5EF4-FFF2-40B4-BE49-F238E27FC236}">
              <a16:creationId xmlns:a16="http://schemas.microsoft.com/office/drawing/2014/main" id="{621CFBAF-FC69-4428-82CB-A6ED0C3D1148}"/>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09" name="AutoShape 177" descr="USA">
          <a:hlinkClick xmlns:r="http://schemas.openxmlformats.org/officeDocument/2006/relationships" r:id="rId174"/>
          <a:extLst>
            <a:ext uri="{FF2B5EF4-FFF2-40B4-BE49-F238E27FC236}">
              <a16:creationId xmlns:a16="http://schemas.microsoft.com/office/drawing/2014/main" id="{730855AD-F463-4F0C-8FB5-47528896ADA6}"/>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229</xdr:row>
      <xdr:rowOff>0</xdr:rowOff>
    </xdr:from>
    <xdr:ext cx="304800" cy="317500"/>
    <xdr:sp macro="" textlink="">
      <xdr:nvSpPr>
        <xdr:cNvPr id="2610" name="AutoShape 177" descr="USA">
          <a:hlinkClick xmlns:r="http://schemas.openxmlformats.org/officeDocument/2006/relationships" r:id="rId174"/>
          <a:extLst>
            <a:ext uri="{FF2B5EF4-FFF2-40B4-BE49-F238E27FC236}">
              <a16:creationId xmlns:a16="http://schemas.microsoft.com/office/drawing/2014/main" id="{4511C75B-B292-43CE-A10D-86EAE21DB00F}"/>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11" name="AutoShape 177" descr="USA">
          <a:hlinkClick xmlns:r="http://schemas.openxmlformats.org/officeDocument/2006/relationships" r:id="rId174"/>
          <a:extLst>
            <a:ext uri="{FF2B5EF4-FFF2-40B4-BE49-F238E27FC236}">
              <a16:creationId xmlns:a16="http://schemas.microsoft.com/office/drawing/2014/main" id="{FC196F6D-F859-4152-AA2D-47067B728318}"/>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2" name="AutoShape 171" descr="USA">
          <a:hlinkClick xmlns:r="http://schemas.openxmlformats.org/officeDocument/2006/relationships" r:id="rId165"/>
          <a:extLst>
            <a:ext uri="{FF2B5EF4-FFF2-40B4-BE49-F238E27FC236}">
              <a16:creationId xmlns:a16="http://schemas.microsoft.com/office/drawing/2014/main" id="{D5C945E7-DEED-487B-8483-679C275D5374}"/>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3" name="AutoShape 177" descr="USA">
          <a:hlinkClick xmlns:r="http://schemas.openxmlformats.org/officeDocument/2006/relationships" r:id="rId174"/>
          <a:extLst>
            <a:ext uri="{FF2B5EF4-FFF2-40B4-BE49-F238E27FC236}">
              <a16:creationId xmlns:a16="http://schemas.microsoft.com/office/drawing/2014/main" id="{FBDA6391-F8A0-4CAF-872E-AA36307FCB3A}"/>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4" name="AutoShape 177" descr="USA">
          <a:hlinkClick xmlns:r="http://schemas.openxmlformats.org/officeDocument/2006/relationships" r:id="rId174"/>
          <a:extLst>
            <a:ext uri="{FF2B5EF4-FFF2-40B4-BE49-F238E27FC236}">
              <a16:creationId xmlns:a16="http://schemas.microsoft.com/office/drawing/2014/main" id="{394FDD19-578D-4C85-A768-216137A2E4CD}"/>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5" name="AutoShape 177" descr="USA">
          <a:hlinkClick xmlns:r="http://schemas.openxmlformats.org/officeDocument/2006/relationships" r:id="rId174"/>
          <a:extLst>
            <a:ext uri="{FF2B5EF4-FFF2-40B4-BE49-F238E27FC236}">
              <a16:creationId xmlns:a16="http://schemas.microsoft.com/office/drawing/2014/main" id="{F52E042E-441C-4973-AF0D-F8E1CB6AE3F1}"/>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6" name="AutoShape 177" descr="USA">
          <a:hlinkClick xmlns:r="http://schemas.openxmlformats.org/officeDocument/2006/relationships" r:id="rId174"/>
          <a:extLst>
            <a:ext uri="{FF2B5EF4-FFF2-40B4-BE49-F238E27FC236}">
              <a16:creationId xmlns:a16="http://schemas.microsoft.com/office/drawing/2014/main" id="{1969BC1B-3B35-49B9-9358-26F31EB38086}"/>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7" name="AutoShape 177" descr="USA">
          <a:hlinkClick xmlns:r="http://schemas.openxmlformats.org/officeDocument/2006/relationships" r:id="rId174"/>
          <a:extLst>
            <a:ext uri="{FF2B5EF4-FFF2-40B4-BE49-F238E27FC236}">
              <a16:creationId xmlns:a16="http://schemas.microsoft.com/office/drawing/2014/main" id="{6CA94487-DD1C-4A66-9EFF-5DE180DCC8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8" name="AutoShape 177" descr="USA">
          <a:hlinkClick xmlns:r="http://schemas.openxmlformats.org/officeDocument/2006/relationships" r:id="rId174"/>
          <a:extLst>
            <a:ext uri="{FF2B5EF4-FFF2-40B4-BE49-F238E27FC236}">
              <a16:creationId xmlns:a16="http://schemas.microsoft.com/office/drawing/2014/main" id="{6313722B-8C22-43BE-9C0F-62D340D8DE61}"/>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230</xdr:row>
      <xdr:rowOff>0</xdr:rowOff>
    </xdr:from>
    <xdr:ext cx="304800" cy="317500"/>
    <xdr:sp macro="" textlink="">
      <xdr:nvSpPr>
        <xdr:cNvPr id="2619" name="AutoShape 177" descr="USA">
          <a:hlinkClick xmlns:r="http://schemas.openxmlformats.org/officeDocument/2006/relationships" r:id="rId174"/>
          <a:extLst>
            <a:ext uri="{FF2B5EF4-FFF2-40B4-BE49-F238E27FC236}">
              <a16:creationId xmlns:a16="http://schemas.microsoft.com/office/drawing/2014/main" id="{29419015-B042-477D-A599-A6602D63BD32}"/>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232</xdr:row>
      <xdr:rowOff>0</xdr:rowOff>
    </xdr:from>
    <xdr:ext cx="304800" cy="317500"/>
    <xdr:sp macro="" textlink="">
      <xdr:nvSpPr>
        <xdr:cNvPr id="2620" name="AutoShape 177" descr="USA">
          <a:hlinkClick xmlns:r="http://schemas.openxmlformats.org/officeDocument/2006/relationships" r:id="rId174"/>
          <a:extLst>
            <a:ext uri="{FF2B5EF4-FFF2-40B4-BE49-F238E27FC236}">
              <a16:creationId xmlns:a16="http://schemas.microsoft.com/office/drawing/2014/main" id="{20CE48CA-BD3C-409C-B50B-B00A2C21D274}"/>
            </a:ext>
          </a:extLst>
        </xdr:cNvPr>
        <xdr:cNvSpPr>
          <a:spLocks noChangeAspect="1" noChangeArrowheads="1"/>
        </xdr:cNvSpPr>
      </xdr:nvSpPr>
      <xdr:spPr bwMode="auto">
        <a:xfrm>
          <a:off x="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1" name="AutoShape 171" descr="USA">
          <a:hlinkClick xmlns:r="http://schemas.openxmlformats.org/officeDocument/2006/relationships" r:id="rId165"/>
          <a:extLst>
            <a:ext uri="{FF2B5EF4-FFF2-40B4-BE49-F238E27FC236}">
              <a16:creationId xmlns:a16="http://schemas.microsoft.com/office/drawing/2014/main" id="{9641A068-2A45-4D87-9EA5-DF1FB860C12B}"/>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2" name="AutoShape 177" descr="USA">
          <a:hlinkClick xmlns:r="http://schemas.openxmlformats.org/officeDocument/2006/relationships" r:id="rId174"/>
          <a:extLst>
            <a:ext uri="{FF2B5EF4-FFF2-40B4-BE49-F238E27FC236}">
              <a16:creationId xmlns:a16="http://schemas.microsoft.com/office/drawing/2014/main" id="{5255DF26-DB7C-4CDE-89B6-79F1B7F4450F}"/>
            </a:ext>
          </a:extLst>
        </xdr:cNvPr>
        <xdr:cNvSpPr>
          <a:spLocks noChangeAspect="1" noChangeArrowheads="1"/>
        </xdr:cNvSpPr>
      </xdr:nvSpPr>
      <xdr:spPr bwMode="auto">
        <a:xfrm>
          <a:off x="6138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3" name="AutoShape 177" descr="USA">
          <a:hlinkClick xmlns:r="http://schemas.openxmlformats.org/officeDocument/2006/relationships" r:id="rId174"/>
          <a:extLst>
            <a:ext uri="{FF2B5EF4-FFF2-40B4-BE49-F238E27FC236}">
              <a16:creationId xmlns:a16="http://schemas.microsoft.com/office/drawing/2014/main" id="{3D00FC58-452B-47C6-8D66-403A48CCE1DE}"/>
            </a:ext>
          </a:extLst>
        </xdr:cNvPr>
        <xdr:cNvSpPr>
          <a:spLocks noChangeAspect="1" noChangeArrowheads="1"/>
        </xdr:cNvSpPr>
      </xdr:nvSpPr>
      <xdr:spPr bwMode="auto">
        <a:xfrm>
          <a:off x="12276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4" name="AutoShape 177" descr="USA">
          <a:hlinkClick xmlns:r="http://schemas.openxmlformats.org/officeDocument/2006/relationships" r:id="rId174"/>
          <a:extLst>
            <a:ext uri="{FF2B5EF4-FFF2-40B4-BE49-F238E27FC236}">
              <a16:creationId xmlns:a16="http://schemas.microsoft.com/office/drawing/2014/main" id="{4D0EA871-1F01-4F42-AE4D-A732F6A09CF9}"/>
            </a:ext>
          </a:extLst>
        </xdr:cNvPr>
        <xdr:cNvSpPr>
          <a:spLocks noChangeAspect="1" noChangeArrowheads="1"/>
        </xdr:cNvSpPr>
      </xdr:nvSpPr>
      <xdr:spPr bwMode="auto">
        <a:xfrm>
          <a:off x="2921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5" name="AutoShape 177" descr="USA">
          <a:hlinkClick xmlns:r="http://schemas.openxmlformats.org/officeDocument/2006/relationships" r:id="rId174"/>
          <a:extLst>
            <a:ext uri="{FF2B5EF4-FFF2-40B4-BE49-F238E27FC236}">
              <a16:creationId xmlns:a16="http://schemas.microsoft.com/office/drawing/2014/main" id="{A9AB5903-40EB-4B9A-A81E-325676220F9D}"/>
            </a:ext>
          </a:extLst>
        </xdr:cNvPr>
        <xdr:cNvSpPr>
          <a:spLocks noChangeAspect="1" noChangeArrowheads="1"/>
        </xdr:cNvSpPr>
      </xdr:nvSpPr>
      <xdr:spPr bwMode="auto">
        <a:xfrm>
          <a:off x="3725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6" name="AutoShape 177" descr="USA">
          <a:hlinkClick xmlns:r="http://schemas.openxmlformats.org/officeDocument/2006/relationships" r:id="rId174"/>
          <a:extLst>
            <a:ext uri="{FF2B5EF4-FFF2-40B4-BE49-F238E27FC236}">
              <a16:creationId xmlns:a16="http://schemas.microsoft.com/office/drawing/2014/main" id="{3D719DCA-F847-47C8-B84F-9AA82A368D0C}"/>
            </a:ext>
          </a:extLst>
        </xdr:cNvPr>
        <xdr:cNvSpPr>
          <a:spLocks noChangeAspect="1" noChangeArrowheads="1"/>
        </xdr:cNvSpPr>
      </xdr:nvSpPr>
      <xdr:spPr bwMode="auto">
        <a:xfrm>
          <a:off x="4487333"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7" name="AutoShape 177" descr="USA">
          <a:hlinkClick xmlns:r="http://schemas.openxmlformats.org/officeDocument/2006/relationships" r:id="rId174"/>
          <a:extLst>
            <a:ext uri="{FF2B5EF4-FFF2-40B4-BE49-F238E27FC236}">
              <a16:creationId xmlns:a16="http://schemas.microsoft.com/office/drawing/2014/main" id="{4EDD0A1A-0D5C-4C04-8FD5-B9AB073F8117}"/>
            </a:ext>
          </a:extLst>
        </xdr:cNvPr>
        <xdr:cNvSpPr>
          <a:spLocks noChangeAspect="1" noChangeArrowheads="1"/>
        </xdr:cNvSpPr>
      </xdr:nvSpPr>
      <xdr:spPr bwMode="auto">
        <a:xfrm>
          <a:off x="5101167"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231</xdr:row>
      <xdr:rowOff>0</xdr:rowOff>
    </xdr:from>
    <xdr:ext cx="304800" cy="317500"/>
    <xdr:sp macro="" textlink="">
      <xdr:nvSpPr>
        <xdr:cNvPr id="2628" name="AutoShape 177" descr="USA">
          <a:hlinkClick xmlns:r="http://schemas.openxmlformats.org/officeDocument/2006/relationships" r:id="rId174"/>
          <a:extLst>
            <a:ext uri="{FF2B5EF4-FFF2-40B4-BE49-F238E27FC236}">
              <a16:creationId xmlns:a16="http://schemas.microsoft.com/office/drawing/2014/main" id="{EF74DF4B-689B-49FA-8AD1-05E2ADCEA48C}"/>
            </a:ext>
          </a:extLst>
        </xdr:cNvPr>
        <xdr:cNvSpPr>
          <a:spLocks noChangeAspect="1" noChangeArrowheads="1"/>
        </xdr:cNvSpPr>
      </xdr:nvSpPr>
      <xdr:spPr bwMode="auto">
        <a:xfrm>
          <a:off x="5715000" y="19050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2.xml><?xml version="1.0" encoding="utf-8"?>
<xdr:wsDr xmlns:xdr="http://schemas.openxmlformats.org/drawingml/2006/spreadsheetDrawing" xmlns:a="http://schemas.openxmlformats.org/drawingml/2006/main">
  <xdr:twoCellAnchor>
    <xdr:from>
      <xdr:col>5</xdr:col>
      <xdr:colOff>590550</xdr:colOff>
      <xdr:row>3</xdr:row>
      <xdr:rowOff>0</xdr:rowOff>
    </xdr:from>
    <xdr:to>
      <xdr:col>13</xdr:col>
      <xdr:colOff>285750</xdr:colOff>
      <xdr:row>17</xdr:row>
      <xdr:rowOff>76200</xdr:rowOff>
    </xdr:to>
    <xdr:graphicFrame macro="">
      <xdr:nvGraphicFramePr>
        <xdr:cNvPr id="2" name="Chart 1">
          <a:extLst>
            <a:ext uri="{FF2B5EF4-FFF2-40B4-BE49-F238E27FC236}">
              <a16:creationId xmlns:a16="http://schemas.microsoft.com/office/drawing/2014/main" id="{9EDCF790-F015-D2E2-306C-5971B870F1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104775</xdr:colOff>
      <xdr:row>207</xdr:row>
      <xdr:rowOff>180975</xdr:rowOff>
    </xdr:from>
    <xdr:to>
      <xdr:col>13</xdr:col>
      <xdr:colOff>519622</xdr:colOff>
      <xdr:row>210</xdr:row>
      <xdr:rowOff>9583</xdr:rowOff>
    </xdr:to>
    <xdr:pic>
      <xdr:nvPicPr>
        <xdr:cNvPr id="3" name="Picture 2">
          <a:extLst>
            <a:ext uri="{FF2B5EF4-FFF2-40B4-BE49-F238E27FC236}">
              <a16:creationId xmlns:a16="http://schemas.microsoft.com/office/drawing/2014/main" id="{6860A1B9-275A-47AB-A597-2D43519868AB}"/>
            </a:ext>
          </a:extLst>
        </xdr:cNvPr>
        <xdr:cNvPicPr>
          <a:picLocks noChangeAspect="1"/>
        </xdr:cNvPicPr>
      </xdr:nvPicPr>
      <xdr:blipFill>
        <a:blip xmlns:r="http://schemas.openxmlformats.org/officeDocument/2006/relationships" r:embed="rId1"/>
        <a:stretch>
          <a:fillRect/>
        </a:stretch>
      </xdr:blipFill>
      <xdr:spPr>
        <a:xfrm>
          <a:off x="8972550" y="39614475"/>
          <a:ext cx="1634047" cy="4001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99</xdr:row>
      <xdr:rowOff>0</xdr:rowOff>
    </xdr:from>
    <xdr:to>
      <xdr:col>0</xdr:col>
      <xdr:colOff>304800</xdr:colOff>
      <xdr:row>100</xdr:row>
      <xdr:rowOff>92710</xdr:rowOff>
    </xdr:to>
    <xdr:sp macro="" textlink="">
      <xdr:nvSpPr>
        <xdr:cNvPr id="2" name="AutoShape 1" descr="ESP">
          <a:hlinkClick xmlns:r="http://schemas.openxmlformats.org/officeDocument/2006/relationships" r:id="rId1"/>
          <a:extLst>
            <a:ext uri="{FF2B5EF4-FFF2-40B4-BE49-F238E27FC236}">
              <a16:creationId xmlns:a16="http://schemas.microsoft.com/office/drawing/2014/main" id="{4F6A02A4-DA43-4C2B-A37D-E294AA469942}"/>
            </a:ext>
          </a:extLst>
        </xdr:cNvPr>
        <xdr:cNvSpPr>
          <a:spLocks noChangeAspect="1" noChangeArrowheads="1"/>
        </xdr:cNvSpPr>
      </xdr:nvSpPr>
      <xdr:spPr bwMode="auto">
        <a:xfrm>
          <a:off x="0" y="2972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92710</xdr:rowOff>
    </xdr:to>
    <xdr:sp macro="" textlink="">
      <xdr:nvSpPr>
        <xdr:cNvPr id="3" name="AutoShape 2" descr="USA">
          <a:hlinkClick xmlns:r="http://schemas.openxmlformats.org/officeDocument/2006/relationships" r:id="rId2"/>
          <a:extLst>
            <a:ext uri="{FF2B5EF4-FFF2-40B4-BE49-F238E27FC236}">
              <a16:creationId xmlns:a16="http://schemas.microsoft.com/office/drawing/2014/main" id="{F4A4B66B-D71D-4900-8077-5DFA7DEC16EF}"/>
            </a:ext>
          </a:extLst>
        </xdr:cNvPr>
        <xdr:cNvSpPr>
          <a:spLocks noChangeAspect="1" noChangeArrowheads="1"/>
        </xdr:cNvSpPr>
      </xdr:nvSpPr>
      <xdr:spPr bwMode="auto">
        <a:xfrm>
          <a:off x="0" y="496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92710</xdr:rowOff>
    </xdr:to>
    <xdr:sp macro="" textlink="">
      <xdr:nvSpPr>
        <xdr:cNvPr id="4" name="AutoShape 3" descr="USA">
          <a:hlinkClick xmlns:r="http://schemas.openxmlformats.org/officeDocument/2006/relationships" r:id="rId3"/>
          <a:extLst>
            <a:ext uri="{FF2B5EF4-FFF2-40B4-BE49-F238E27FC236}">
              <a16:creationId xmlns:a16="http://schemas.microsoft.com/office/drawing/2014/main" id="{639A7AB8-1FBC-48E2-93D8-E1487CB15CFC}"/>
            </a:ext>
          </a:extLst>
        </xdr:cNvPr>
        <xdr:cNvSpPr>
          <a:spLocks noChangeAspect="1" noChangeArrowheads="1"/>
        </xdr:cNvSpPr>
      </xdr:nvSpPr>
      <xdr:spPr bwMode="auto">
        <a:xfrm>
          <a:off x="0" y="2515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92710</xdr:rowOff>
    </xdr:to>
    <xdr:sp macro="" textlink="">
      <xdr:nvSpPr>
        <xdr:cNvPr id="5" name="AutoShape 4" descr="USA">
          <a:hlinkClick xmlns:r="http://schemas.openxmlformats.org/officeDocument/2006/relationships" r:id="rId4"/>
          <a:extLst>
            <a:ext uri="{FF2B5EF4-FFF2-40B4-BE49-F238E27FC236}">
              <a16:creationId xmlns:a16="http://schemas.microsoft.com/office/drawing/2014/main" id="{F1049FB8-3B14-4F24-9251-C8156F16CB39}"/>
            </a:ext>
          </a:extLst>
        </xdr:cNvPr>
        <xdr:cNvSpPr>
          <a:spLocks noChangeAspect="1" noChangeArrowheads="1"/>
        </xdr:cNvSpPr>
      </xdr:nvSpPr>
      <xdr:spPr bwMode="auto">
        <a:xfrm>
          <a:off x="0" y="1220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92709</xdr:rowOff>
    </xdr:to>
    <xdr:sp macro="" textlink="">
      <xdr:nvSpPr>
        <xdr:cNvPr id="6" name="AutoShape 5" descr="USA">
          <a:hlinkClick xmlns:r="http://schemas.openxmlformats.org/officeDocument/2006/relationships" r:id="rId5"/>
          <a:extLst>
            <a:ext uri="{FF2B5EF4-FFF2-40B4-BE49-F238E27FC236}">
              <a16:creationId xmlns:a16="http://schemas.microsoft.com/office/drawing/2014/main" id="{00404817-A4BF-4D18-8B43-059F6593FA2A}"/>
            </a:ext>
          </a:extLst>
        </xdr:cNvPr>
        <xdr:cNvSpPr>
          <a:spLocks noChangeAspect="1" noChangeArrowheads="1"/>
        </xdr:cNvSpPr>
      </xdr:nvSpPr>
      <xdr:spPr bwMode="auto">
        <a:xfrm>
          <a:off x="0" y="1334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92710</xdr:rowOff>
    </xdr:to>
    <xdr:sp macro="" textlink="">
      <xdr:nvSpPr>
        <xdr:cNvPr id="7" name="AutoShape 6" descr="USA">
          <a:hlinkClick xmlns:r="http://schemas.openxmlformats.org/officeDocument/2006/relationships" r:id="rId6"/>
          <a:extLst>
            <a:ext uri="{FF2B5EF4-FFF2-40B4-BE49-F238E27FC236}">
              <a16:creationId xmlns:a16="http://schemas.microsoft.com/office/drawing/2014/main" id="{E58DC09A-E4CB-41D8-83B7-CCDCED0DC15D}"/>
            </a:ext>
          </a:extLst>
        </xdr:cNvPr>
        <xdr:cNvSpPr>
          <a:spLocks noChangeAspect="1" noChangeArrowheads="1"/>
        </xdr:cNvSpPr>
      </xdr:nvSpPr>
      <xdr:spPr bwMode="auto">
        <a:xfrm>
          <a:off x="0" y="1105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8" name="AutoShape 7" descr="USA">
          <a:hlinkClick xmlns:r="http://schemas.openxmlformats.org/officeDocument/2006/relationships" r:id="rId7"/>
          <a:extLst>
            <a:ext uri="{FF2B5EF4-FFF2-40B4-BE49-F238E27FC236}">
              <a16:creationId xmlns:a16="http://schemas.microsoft.com/office/drawing/2014/main" id="{8DC06EAA-C2D0-40D9-8589-00491DF988D6}"/>
            </a:ext>
          </a:extLst>
        </xdr:cNvPr>
        <xdr:cNvSpPr>
          <a:spLocks noChangeAspect="1" noChangeArrowheads="1"/>
        </xdr:cNvSpPr>
      </xdr:nvSpPr>
      <xdr:spPr bwMode="auto">
        <a:xfrm>
          <a:off x="0" y="3487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92710</xdr:rowOff>
    </xdr:to>
    <xdr:sp macro="" textlink="">
      <xdr:nvSpPr>
        <xdr:cNvPr id="9" name="AutoShape 8" descr="USA">
          <a:hlinkClick xmlns:r="http://schemas.openxmlformats.org/officeDocument/2006/relationships" r:id="rId8"/>
          <a:extLst>
            <a:ext uri="{FF2B5EF4-FFF2-40B4-BE49-F238E27FC236}">
              <a16:creationId xmlns:a16="http://schemas.microsoft.com/office/drawing/2014/main" id="{2DE40B48-68EB-45AD-9AB7-08745D5AA37F}"/>
            </a:ext>
          </a:extLst>
        </xdr:cNvPr>
        <xdr:cNvSpPr>
          <a:spLocks noChangeAspect="1" noChangeArrowheads="1"/>
        </xdr:cNvSpPr>
      </xdr:nvSpPr>
      <xdr:spPr bwMode="auto">
        <a:xfrm>
          <a:off x="0" y="3087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92710</xdr:rowOff>
    </xdr:to>
    <xdr:sp macro="" textlink="">
      <xdr:nvSpPr>
        <xdr:cNvPr id="10" name="AutoShape 9" descr="USA">
          <a:hlinkClick xmlns:r="http://schemas.openxmlformats.org/officeDocument/2006/relationships" r:id="rId9"/>
          <a:extLst>
            <a:ext uri="{FF2B5EF4-FFF2-40B4-BE49-F238E27FC236}">
              <a16:creationId xmlns:a16="http://schemas.microsoft.com/office/drawing/2014/main" id="{BBAF5FE0-25AD-431A-85CE-44FAA3CD55A9}"/>
            </a:ext>
          </a:extLst>
        </xdr:cNvPr>
        <xdr:cNvSpPr>
          <a:spLocks noChangeAspect="1" noChangeArrowheads="1"/>
        </xdr:cNvSpPr>
      </xdr:nvSpPr>
      <xdr:spPr bwMode="auto">
        <a:xfrm>
          <a:off x="0" y="1124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1" name="AutoShape 10" descr="USA">
          <a:hlinkClick xmlns:r="http://schemas.openxmlformats.org/officeDocument/2006/relationships" r:id="rId10"/>
          <a:extLst>
            <a:ext uri="{FF2B5EF4-FFF2-40B4-BE49-F238E27FC236}">
              <a16:creationId xmlns:a16="http://schemas.microsoft.com/office/drawing/2014/main" id="{06A71B86-A357-4186-AE64-14F7B05D1E07}"/>
            </a:ext>
          </a:extLst>
        </xdr:cNvPr>
        <xdr:cNvSpPr>
          <a:spLocks noChangeAspect="1" noChangeArrowheads="1"/>
        </xdr:cNvSpPr>
      </xdr:nvSpPr>
      <xdr:spPr bwMode="auto">
        <a:xfrm>
          <a:off x="0" y="3372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130265</xdr:rowOff>
    </xdr:to>
    <xdr:sp macro="" textlink="">
      <xdr:nvSpPr>
        <xdr:cNvPr id="12" name="AutoShape 12" descr="NIR">
          <a:hlinkClick xmlns:r="http://schemas.openxmlformats.org/officeDocument/2006/relationships" r:id="rId11"/>
          <a:extLst>
            <a:ext uri="{FF2B5EF4-FFF2-40B4-BE49-F238E27FC236}">
              <a16:creationId xmlns:a16="http://schemas.microsoft.com/office/drawing/2014/main" id="{DF9474E5-B49B-4BCC-9DA8-229846E7EA5E}"/>
            </a:ext>
          </a:extLst>
        </xdr:cNvPr>
        <xdr:cNvSpPr>
          <a:spLocks noChangeAspect="1" noChangeArrowheads="1"/>
        </xdr:cNvSpPr>
      </xdr:nvSpPr>
      <xdr:spPr bwMode="auto">
        <a:xfrm>
          <a:off x="0" y="8963025"/>
          <a:ext cx="304800" cy="32076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92710</xdr:rowOff>
    </xdr:to>
    <xdr:sp macro="" textlink="">
      <xdr:nvSpPr>
        <xdr:cNvPr id="13" name="AutoShape 13" descr="USA">
          <a:hlinkClick xmlns:r="http://schemas.openxmlformats.org/officeDocument/2006/relationships" r:id="rId12"/>
          <a:extLst>
            <a:ext uri="{FF2B5EF4-FFF2-40B4-BE49-F238E27FC236}">
              <a16:creationId xmlns:a16="http://schemas.microsoft.com/office/drawing/2014/main" id="{AB33E009-1166-460B-A95C-0AE212F1DA5E}"/>
            </a:ext>
          </a:extLst>
        </xdr:cNvPr>
        <xdr:cNvSpPr>
          <a:spLocks noChangeAspect="1" noChangeArrowheads="1"/>
        </xdr:cNvSpPr>
      </xdr:nvSpPr>
      <xdr:spPr bwMode="auto">
        <a:xfrm>
          <a:off x="0" y="2801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14" name="AutoShape 14" descr="KOR">
          <a:hlinkClick xmlns:r="http://schemas.openxmlformats.org/officeDocument/2006/relationships" r:id="rId13"/>
          <a:extLst>
            <a:ext uri="{FF2B5EF4-FFF2-40B4-BE49-F238E27FC236}">
              <a16:creationId xmlns:a16="http://schemas.microsoft.com/office/drawing/2014/main" id="{907BD334-02BC-4771-8C8B-265F9114A1E1}"/>
            </a:ext>
          </a:extLst>
        </xdr:cNvPr>
        <xdr:cNvSpPr>
          <a:spLocks noChangeAspect="1" noChangeArrowheads="1"/>
        </xdr:cNvSpPr>
      </xdr:nvSpPr>
      <xdr:spPr bwMode="auto">
        <a:xfrm>
          <a:off x="0" y="2229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92709</xdr:rowOff>
    </xdr:to>
    <xdr:sp macro="" textlink="">
      <xdr:nvSpPr>
        <xdr:cNvPr id="15" name="AutoShape 15" descr="IRL">
          <a:hlinkClick xmlns:r="http://schemas.openxmlformats.org/officeDocument/2006/relationships" r:id="rId14"/>
          <a:extLst>
            <a:ext uri="{FF2B5EF4-FFF2-40B4-BE49-F238E27FC236}">
              <a16:creationId xmlns:a16="http://schemas.microsoft.com/office/drawing/2014/main" id="{0E4EC5AB-8E6D-4B6D-A316-70A24A21A8CE}"/>
            </a:ext>
          </a:extLst>
        </xdr:cNvPr>
        <xdr:cNvSpPr>
          <a:spLocks noChangeAspect="1" noChangeArrowheads="1"/>
        </xdr:cNvSpPr>
      </xdr:nvSpPr>
      <xdr:spPr bwMode="auto">
        <a:xfrm>
          <a:off x="0" y="7629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92710</xdr:rowOff>
    </xdr:to>
    <xdr:sp macro="" textlink="">
      <xdr:nvSpPr>
        <xdr:cNvPr id="16" name="AutoShape 16" descr="USA">
          <a:hlinkClick xmlns:r="http://schemas.openxmlformats.org/officeDocument/2006/relationships" r:id="rId15"/>
          <a:extLst>
            <a:ext uri="{FF2B5EF4-FFF2-40B4-BE49-F238E27FC236}">
              <a16:creationId xmlns:a16="http://schemas.microsoft.com/office/drawing/2014/main" id="{B569C227-959B-482A-BE4A-ADCF9919C95D}"/>
            </a:ext>
          </a:extLst>
        </xdr:cNvPr>
        <xdr:cNvSpPr>
          <a:spLocks noChangeAspect="1" noChangeArrowheads="1"/>
        </xdr:cNvSpPr>
      </xdr:nvSpPr>
      <xdr:spPr bwMode="auto">
        <a:xfrm>
          <a:off x="0" y="2382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92710</xdr:rowOff>
    </xdr:to>
    <xdr:sp macro="" textlink="">
      <xdr:nvSpPr>
        <xdr:cNvPr id="17" name="AutoShape 17" descr="CAN">
          <a:hlinkClick xmlns:r="http://schemas.openxmlformats.org/officeDocument/2006/relationships" r:id="rId16"/>
          <a:extLst>
            <a:ext uri="{FF2B5EF4-FFF2-40B4-BE49-F238E27FC236}">
              <a16:creationId xmlns:a16="http://schemas.microsoft.com/office/drawing/2014/main" id="{83914202-2417-477A-B58F-E6AB7813EA59}"/>
            </a:ext>
          </a:extLst>
        </xdr:cNvPr>
        <xdr:cNvSpPr>
          <a:spLocks noChangeAspect="1" noChangeArrowheads="1"/>
        </xdr:cNvSpPr>
      </xdr:nvSpPr>
      <xdr:spPr bwMode="auto">
        <a:xfrm>
          <a:off x="0" y="1639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18" name="AutoShape 18" descr="KOR">
          <a:hlinkClick xmlns:r="http://schemas.openxmlformats.org/officeDocument/2006/relationships" r:id="rId17"/>
          <a:extLst>
            <a:ext uri="{FF2B5EF4-FFF2-40B4-BE49-F238E27FC236}">
              <a16:creationId xmlns:a16="http://schemas.microsoft.com/office/drawing/2014/main" id="{D6A7C197-7EF4-4327-BE3C-D4F4034E77DA}"/>
            </a:ext>
          </a:extLst>
        </xdr:cNvPr>
        <xdr:cNvSpPr>
          <a:spLocks noChangeAspect="1" noChangeArrowheads="1"/>
        </xdr:cNvSpPr>
      </xdr:nvSpPr>
      <xdr:spPr bwMode="auto">
        <a:xfrm>
          <a:off x="0" y="1182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92711</xdr:rowOff>
    </xdr:to>
    <xdr:sp macro="" textlink="">
      <xdr:nvSpPr>
        <xdr:cNvPr id="19" name="AutoShape 19" descr="USA">
          <a:hlinkClick xmlns:r="http://schemas.openxmlformats.org/officeDocument/2006/relationships" r:id="rId18"/>
          <a:extLst>
            <a:ext uri="{FF2B5EF4-FFF2-40B4-BE49-F238E27FC236}">
              <a16:creationId xmlns:a16="http://schemas.microsoft.com/office/drawing/2014/main" id="{0BFF8034-97D4-443E-983C-461DE281617A}"/>
            </a:ext>
          </a:extLst>
        </xdr:cNvPr>
        <xdr:cNvSpPr>
          <a:spLocks noChangeAspect="1" noChangeArrowheads="1"/>
        </xdr:cNvSpPr>
      </xdr:nvSpPr>
      <xdr:spPr bwMode="auto">
        <a:xfrm>
          <a:off x="0" y="16773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20" name="AutoShape 20" descr="ENG">
          <a:hlinkClick xmlns:r="http://schemas.openxmlformats.org/officeDocument/2006/relationships" r:id="rId19"/>
          <a:extLst>
            <a:ext uri="{FF2B5EF4-FFF2-40B4-BE49-F238E27FC236}">
              <a16:creationId xmlns:a16="http://schemas.microsoft.com/office/drawing/2014/main" id="{C4C5A053-6B85-4F5E-848A-A6919B1D2717}"/>
            </a:ext>
          </a:extLst>
        </xdr:cNvPr>
        <xdr:cNvSpPr>
          <a:spLocks noChangeAspect="1" noChangeArrowheads="1"/>
        </xdr:cNvSpPr>
      </xdr:nvSpPr>
      <xdr:spPr bwMode="auto">
        <a:xfrm>
          <a:off x="0" y="3391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21" name="AutoShape 21" descr="KOR">
          <a:hlinkClick xmlns:r="http://schemas.openxmlformats.org/officeDocument/2006/relationships" r:id="rId20"/>
          <a:extLst>
            <a:ext uri="{FF2B5EF4-FFF2-40B4-BE49-F238E27FC236}">
              <a16:creationId xmlns:a16="http://schemas.microsoft.com/office/drawing/2014/main" id="{915A1233-619B-4A71-AA1E-25F2D8934F7B}"/>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92710</xdr:rowOff>
    </xdr:to>
    <xdr:sp macro="" textlink="">
      <xdr:nvSpPr>
        <xdr:cNvPr id="22" name="AutoShape 22" descr="USA">
          <a:hlinkClick xmlns:r="http://schemas.openxmlformats.org/officeDocument/2006/relationships" r:id="rId21"/>
          <a:extLst>
            <a:ext uri="{FF2B5EF4-FFF2-40B4-BE49-F238E27FC236}">
              <a16:creationId xmlns:a16="http://schemas.microsoft.com/office/drawing/2014/main" id="{1D439400-D299-483F-85E7-BDCC8FC6EF94}"/>
            </a:ext>
          </a:extLst>
        </xdr:cNvPr>
        <xdr:cNvSpPr>
          <a:spLocks noChangeAspect="1" noChangeArrowheads="1"/>
        </xdr:cNvSpPr>
      </xdr:nvSpPr>
      <xdr:spPr bwMode="auto">
        <a:xfrm>
          <a:off x="0" y="134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92710</xdr:rowOff>
    </xdr:to>
    <xdr:sp macro="" textlink="">
      <xdr:nvSpPr>
        <xdr:cNvPr id="23" name="AutoShape 23" descr="ENG">
          <a:hlinkClick xmlns:r="http://schemas.openxmlformats.org/officeDocument/2006/relationships" r:id="rId22"/>
          <a:extLst>
            <a:ext uri="{FF2B5EF4-FFF2-40B4-BE49-F238E27FC236}">
              <a16:creationId xmlns:a16="http://schemas.microsoft.com/office/drawing/2014/main" id="{67B862F7-7213-43A6-8BC8-08797A782AB3}"/>
            </a:ext>
          </a:extLst>
        </xdr:cNvPr>
        <xdr:cNvSpPr>
          <a:spLocks noChangeAspect="1" noChangeArrowheads="1"/>
        </xdr:cNvSpPr>
      </xdr:nvSpPr>
      <xdr:spPr bwMode="auto">
        <a:xfrm>
          <a:off x="0" y="1982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92709</xdr:rowOff>
    </xdr:to>
    <xdr:sp macro="" textlink="">
      <xdr:nvSpPr>
        <xdr:cNvPr id="24" name="AutoShape 24" descr="USA">
          <a:hlinkClick xmlns:r="http://schemas.openxmlformats.org/officeDocument/2006/relationships" r:id="rId23"/>
          <a:extLst>
            <a:ext uri="{FF2B5EF4-FFF2-40B4-BE49-F238E27FC236}">
              <a16:creationId xmlns:a16="http://schemas.microsoft.com/office/drawing/2014/main" id="{F20C5E20-9AD4-4D34-88B5-5180070F5F69}"/>
            </a:ext>
          </a:extLst>
        </xdr:cNvPr>
        <xdr:cNvSpPr>
          <a:spLocks noChangeAspect="1" noChangeArrowheads="1"/>
        </xdr:cNvSpPr>
      </xdr:nvSpPr>
      <xdr:spPr bwMode="auto">
        <a:xfrm>
          <a:off x="0" y="18678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92710</xdr:rowOff>
    </xdr:to>
    <xdr:sp macro="" textlink="">
      <xdr:nvSpPr>
        <xdr:cNvPr id="25" name="AutoShape 25" descr="USA">
          <a:hlinkClick xmlns:r="http://schemas.openxmlformats.org/officeDocument/2006/relationships" r:id="rId24"/>
          <a:extLst>
            <a:ext uri="{FF2B5EF4-FFF2-40B4-BE49-F238E27FC236}">
              <a16:creationId xmlns:a16="http://schemas.microsoft.com/office/drawing/2014/main" id="{724BC133-A3A5-4745-B7F5-73FEE408130E}"/>
            </a:ext>
          </a:extLst>
        </xdr:cNvPr>
        <xdr:cNvSpPr>
          <a:spLocks noChangeAspect="1" noChangeArrowheads="1"/>
        </xdr:cNvSpPr>
      </xdr:nvSpPr>
      <xdr:spPr bwMode="auto">
        <a:xfrm>
          <a:off x="0" y="1029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92710</xdr:rowOff>
    </xdr:to>
    <xdr:sp macro="" textlink="">
      <xdr:nvSpPr>
        <xdr:cNvPr id="26" name="AutoShape 26" descr="CAN">
          <a:hlinkClick xmlns:r="http://schemas.openxmlformats.org/officeDocument/2006/relationships" r:id="rId25"/>
          <a:extLst>
            <a:ext uri="{FF2B5EF4-FFF2-40B4-BE49-F238E27FC236}">
              <a16:creationId xmlns:a16="http://schemas.microsoft.com/office/drawing/2014/main" id="{9412F539-FB4A-46DD-8D1A-7D9A565883A5}"/>
            </a:ext>
          </a:extLst>
        </xdr:cNvPr>
        <xdr:cNvSpPr>
          <a:spLocks noChangeAspect="1" noChangeArrowheads="1"/>
        </xdr:cNvSpPr>
      </xdr:nvSpPr>
      <xdr:spPr bwMode="auto">
        <a:xfrm>
          <a:off x="0" y="2363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27" name="AutoShape 27" descr="CAN">
          <a:hlinkClick xmlns:r="http://schemas.openxmlformats.org/officeDocument/2006/relationships" r:id="rId26"/>
          <a:extLst>
            <a:ext uri="{FF2B5EF4-FFF2-40B4-BE49-F238E27FC236}">
              <a16:creationId xmlns:a16="http://schemas.microsoft.com/office/drawing/2014/main" id="{8E5552A1-A7EA-4485-A158-1DC3F331DA8C}"/>
            </a:ext>
          </a:extLst>
        </xdr:cNvPr>
        <xdr:cNvSpPr>
          <a:spLocks noChangeAspect="1" noChangeArrowheads="1"/>
        </xdr:cNvSpPr>
      </xdr:nvSpPr>
      <xdr:spPr bwMode="auto">
        <a:xfrm>
          <a:off x="0" y="3449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28" name="AutoShape 28" descr="CAN">
          <a:hlinkClick xmlns:r="http://schemas.openxmlformats.org/officeDocument/2006/relationships" r:id="rId27"/>
          <a:extLst>
            <a:ext uri="{FF2B5EF4-FFF2-40B4-BE49-F238E27FC236}">
              <a16:creationId xmlns:a16="http://schemas.microsoft.com/office/drawing/2014/main" id="{43524E80-1832-4A60-98AF-CA0625178A1D}"/>
            </a:ext>
          </a:extLst>
        </xdr:cNvPr>
        <xdr:cNvSpPr>
          <a:spLocks noChangeAspect="1" noChangeArrowheads="1"/>
        </xdr:cNvSpPr>
      </xdr:nvSpPr>
      <xdr:spPr bwMode="auto">
        <a:xfrm>
          <a:off x="0" y="2667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92710</xdr:rowOff>
    </xdr:to>
    <xdr:sp macro="" textlink="">
      <xdr:nvSpPr>
        <xdr:cNvPr id="29" name="AutoShape 29" descr="USA">
          <a:hlinkClick xmlns:r="http://schemas.openxmlformats.org/officeDocument/2006/relationships" r:id="rId28"/>
          <a:extLst>
            <a:ext uri="{FF2B5EF4-FFF2-40B4-BE49-F238E27FC236}">
              <a16:creationId xmlns:a16="http://schemas.microsoft.com/office/drawing/2014/main" id="{C230D006-3BAD-46BC-93DA-E0ADF9D1178D}"/>
            </a:ext>
          </a:extLst>
        </xdr:cNvPr>
        <xdr:cNvSpPr>
          <a:spLocks noChangeAspect="1" noChangeArrowheads="1"/>
        </xdr:cNvSpPr>
      </xdr:nvSpPr>
      <xdr:spPr bwMode="auto">
        <a:xfrm>
          <a:off x="0" y="1067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92709</xdr:rowOff>
    </xdr:to>
    <xdr:sp macro="" textlink="">
      <xdr:nvSpPr>
        <xdr:cNvPr id="30" name="AutoShape 30" descr="USA">
          <a:hlinkClick xmlns:r="http://schemas.openxmlformats.org/officeDocument/2006/relationships" r:id="rId29"/>
          <a:extLst>
            <a:ext uri="{FF2B5EF4-FFF2-40B4-BE49-F238E27FC236}">
              <a16:creationId xmlns:a16="http://schemas.microsoft.com/office/drawing/2014/main" id="{84248F8C-EC54-439A-8771-F5066DFFA29E}"/>
            </a:ext>
          </a:extLst>
        </xdr:cNvPr>
        <xdr:cNvSpPr>
          <a:spLocks noChangeAspect="1" noChangeArrowheads="1"/>
        </xdr:cNvSpPr>
      </xdr:nvSpPr>
      <xdr:spPr bwMode="auto">
        <a:xfrm>
          <a:off x="0" y="2486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31" name="AutoShape 31" descr="AUS">
          <a:hlinkClick xmlns:r="http://schemas.openxmlformats.org/officeDocument/2006/relationships" r:id="rId30"/>
          <a:extLst>
            <a:ext uri="{FF2B5EF4-FFF2-40B4-BE49-F238E27FC236}">
              <a16:creationId xmlns:a16="http://schemas.microsoft.com/office/drawing/2014/main" id="{F3997973-6C76-4D3C-8A42-5CF44CC73F56}"/>
            </a:ext>
          </a:extLst>
        </xdr:cNvPr>
        <xdr:cNvSpPr>
          <a:spLocks noChangeAspect="1" noChangeArrowheads="1"/>
        </xdr:cNvSpPr>
      </xdr:nvSpPr>
      <xdr:spPr bwMode="auto">
        <a:xfrm>
          <a:off x="0" y="1315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32" name="AutoShape 32" descr="USA">
          <a:hlinkClick xmlns:r="http://schemas.openxmlformats.org/officeDocument/2006/relationships" r:id="rId31"/>
          <a:extLst>
            <a:ext uri="{FF2B5EF4-FFF2-40B4-BE49-F238E27FC236}">
              <a16:creationId xmlns:a16="http://schemas.microsoft.com/office/drawing/2014/main" id="{DB25B88E-E272-4F1F-B14F-128F62EB31FB}"/>
            </a:ext>
          </a:extLst>
        </xdr:cNvPr>
        <xdr:cNvSpPr>
          <a:spLocks noChangeAspect="1" noChangeArrowheads="1"/>
        </xdr:cNvSpPr>
      </xdr:nvSpPr>
      <xdr:spPr bwMode="auto">
        <a:xfrm>
          <a:off x="0" y="2020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92711</xdr:rowOff>
    </xdr:to>
    <xdr:sp macro="" textlink="">
      <xdr:nvSpPr>
        <xdr:cNvPr id="33" name="AutoShape 33" descr="NOR">
          <a:hlinkClick xmlns:r="http://schemas.openxmlformats.org/officeDocument/2006/relationships" r:id="rId32"/>
          <a:extLst>
            <a:ext uri="{FF2B5EF4-FFF2-40B4-BE49-F238E27FC236}">
              <a16:creationId xmlns:a16="http://schemas.microsoft.com/office/drawing/2014/main" id="{C793903C-8103-409A-9BFD-53DD0EAF419B}"/>
            </a:ext>
          </a:extLst>
        </xdr:cNvPr>
        <xdr:cNvSpPr>
          <a:spLocks noChangeAspect="1" noChangeArrowheads="1"/>
        </xdr:cNvSpPr>
      </xdr:nvSpPr>
      <xdr:spPr bwMode="auto">
        <a:xfrm>
          <a:off x="0" y="2105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34" name="AutoShape 34" descr="USA">
          <a:hlinkClick xmlns:r="http://schemas.openxmlformats.org/officeDocument/2006/relationships" r:id="rId33"/>
          <a:extLst>
            <a:ext uri="{FF2B5EF4-FFF2-40B4-BE49-F238E27FC236}">
              <a16:creationId xmlns:a16="http://schemas.microsoft.com/office/drawing/2014/main" id="{5E230505-AAC9-4C88-9EF1-F4DD6B2E7397}"/>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92710</xdr:rowOff>
    </xdr:to>
    <xdr:sp macro="" textlink="">
      <xdr:nvSpPr>
        <xdr:cNvPr id="35" name="AutoShape 35" descr="USA">
          <a:hlinkClick xmlns:r="http://schemas.openxmlformats.org/officeDocument/2006/relationships" r:id="rId34"/>
          <a:extLst>
            <a:ext uri="{FF2B5EF4-FFF2-40B4-BE49-F238E27FC236}">
              <a16:creationId xmlns:a16="http://schemas.microsoft.com/office/drawing/2014/main" id="{7693984A-D0BB-4ECA-89A2-ABDA164916DA}"/>
            </a:ext>
          </a:extLst>
        </xdr:cNvPr>
        <xdr:cNvSpPr>
          <a:spLocks noChangeAspect="1" noChangeArrowheads="1"/>
        </xdr:cNvSpPr>
      </xdr:nvSpPr>
      <xdr:spPr bwMode="auto">
        <a:xfrm>
          <a:off x="0" y="401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92710</xdr:rowOff>
    </xdr:to>
    <xdr:sp macro="" textlink="">
      <xdr:nvSpPr>
        <xdr:cNvPr id="36" name="AutoShape 36" descr="USA">
          <a:hlinkClick xmlns:r="http://schemas.openxmlformats.org/officeDocument/2006/relationships" r:id="rId35"/>
          <a:extLst>
            <a:ext uri="{FF2B5EF4-FFF2-40B4-BE49-F238E27FC236}">
              <a16:creationId xmlns:a16="http://schemas.microsoft.com/office/drawing/2014/main" id="{BD963F78-DBDC-423A-AC15-DF7A1F4F91E7}"/>
            </a:ext>
          </a:extLst>
        </xdr:cNvPr>
        <xdr:cNvSpPr>
          <a:spLocks noChangeAspect="1" noChangeArrowheads="1"/>
        </xdr:cNvSpPr>
      </xdr:nvSpPr>
      <xdr:spPr bwMode="auto">
        <a:xfrm>
          <a:off x="0" y="343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92710</xdr:rowOff>
    </xdr:to>
    <xdr:sp macro="" textlink="">
      <xdr:nvSpPr>
        <xdr:cNvPr id="37" name="AutoShape 37" descr="USA">
          <a:hlinkClick xmlns:r="http://schemas.openxmlformats.org/officeDocument/2006/relationships" r:id="rId36"/>
          <a:extLst>
            <a:ext uri="{FF2B5EF4-FFF2-40B4-BE49-F238E27FC236}">
              <a16:creationId xmlns:a16="http://schemas.microsoft.com/office/drawing/2014/main" id="{6C8EA10F-73BD-4CA9-B119-D3177279960C}"/>
            </a:ext>
          </a:extLst>
        </xdr:cNvPr>
        <xdr:cNvSpPr>
          <a:spLocks noChangeAspect="1" noChangeArrowheads="1"/>
        </xdr:cNvSpPr>
      </xdr:nvSpPr>
      <xdr:spPr bwMode="auto">
        <a:xfrm>
          <a:off x="0" y="58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92710</xdr:rowOff>
    </xdr:to>
    <xdr:sp macro="" textlink="">
      <xdr:nvSpPr>
        <xdr:cNvPr id="38" name="AutoShape 38" descr="ENG">
          <a:hlinkClick xmlns:r="http://schemas.openxmlformats.org/officeDocument/2006/relationships" r:id="rId37"/>
          <a:extLst>
            <a:ext uri="{FF2B5EF4-FFF2-40B4-BE49-F238E27FC236}">
              <a16:creationId xmlns:a16="http://schemas.microsoft.com/office/drawing/2014/main" id="{67DF9EA9-6323-4089-96B6-0F1731F9F1AB}"/>
            </a:ext>
          </a:extLst>
        </xdr:cNvPr>
        <xdr:cNvSpPr>
          <a:spLocks noChangeAspect="1" noChangeArrowheads="1"/>
        </xdr:cNvSpPr>
      </xdr:nvSpPr>
      <xdr:spPr bwMode="auto">
        <a:xfrm>
          <a:off x="0" y="458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39" name="AutoShape 39" descr="USA">
          <a:hlinkClick xmlns:r="http://schemas.openxmlformats.org/officeDocument/2006/relationships" r:id="rId38"/>
          <a:extLst>
            <a:ext uri="{FF2B5EF4-FFF2-40B4-BE49-F238E27FC236}">
              <a16:creationId xmlns:a16="http://schemas.microsoft.com/office/drawing/2014/main" id="{C6F92548-7F90-4770-8575-B8B2E9985D6D}"/>
            </a:ext>
          </a:extLst>
        </xdr:cNvPr>
        <xdr:cNvSpPr>
          <a:spLocks noChangeAspect="1" noChangeArrowheads="1"/>
        </xdr:cNvSpPr>
      </xdr:nvSpPr>
      <xdr:spPr bwMode="auto">
        <a:xfrm>
          <a:off x="0" y="2115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92710</xdr:rowOff>
    </xdr:to>
    <xdr:sp macro="" textlink="">
      <xdr:nvSpPr>
        <xdr:cNvPr id="40" name="AutoShape 40" descr="BEL">
          <a:hlinkClick xmlns:r="http://schemas.openxmlformats.org/officeDocument/2006/relationships" r:id="rId39"/>
          <a:extLst>
            <a:ext uri="{FF2B5EF4-FFF2-40B4-BE49-F238E27FC236}">
              <a16:creationId xmlns:a16="http://schemas.microsoft.com/office/drawing/2014/main" id="{C9A732C8-3E40-483E-A5C1-54118D83950B}"/>
            </a:ext>
          </a:extLst>
        </xdr:cNvPr>
        <xdr:cNvSpPr>
          <a:spLocks noChangeAspect="1" noChangeArrowheads="1"/>
        </xdr:cNvSpPr>
      </xdr:nvSpPr>
      <xdr:spPr bwMode="auto">
        <a:xfrm>
          <a:off x="0" y="553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92710</xdr:rowOff>
    </xdr:to>
    <xdr:sp macro="" textlink="">
      <xdr:nvSpPr>
        <xdr:cNvPr id="41" name="AutoShape 41" descr="USA">
          <a:hlinkClick xmlns:r="http://schemas.openxmlformats.org/officeDocument/2006/relationships" r:id="rId40"/>
          <a:extLst>
            <a:ext uri="{FF2B5EF4-FFF2-40B4-BE49-F238E27FC236}">
              <a16:creationId xmlns:a16="http://schemas.microsoft.com/office/drawing/2014/main" id="{4CC08DBC-DE0A-4DB9-A742-E5FC2A407BD2}"/>
            </a:ext>
          </a:extLst>
        </xdr:cNvPr>
        <xdr:cNvSpPr>
          <a:spLocks noChangeAspect="1" noChangeArrowheads="1"/>
        </xdr:cNvSpPr>
      </xdr:nvSpPr>
      <xdr:spPr bwMode="auto">
        <a:xfrm>
          <a:off x="0" y="2458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92710</xdr:rowOff>
    </xdr:to>
    <xdr:sp macro="" textlink="">
      <xdr:nvSpPr>
        <xdr:cNvPr id="42" name="AutoShape 42" descr="USA">
          <a:hlinkClick xmlns:r="http://schemas.openxmlformats.org/officeDocument/2006/relationships" r:id="rId41"/>
          <a:extLst>
            <a:ext uri="{FF2B5EF4-FFF2-40B4-BE49-F238E27FC236}">
              <a16:creationId xmlns:a16="http://schemas.microsoft.com/office/drawing/2014/main" id="{0E0D541B-8121-4971-8130-50A6153B7032}"/>
            </a:ext>
          </a:extLst>
        </xdr:cNvPr>
        <xdr:cNvSpPr>
          <a:spLocks noChangeAspect="1" noChangeArrowheads="1"/>
        </xdr:cNvSpPr>
      </xdr:nvSpPr>
      <xdr:spPr bwMode="auto">
        <a:xfrm>
          <a:off x="0" y="172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92710</xdr:rowOff>
    </xdr:to>
    <xdr:sp macro="" textlink="">
      <xdr:nvSpPr>
        <xdr:cNvPr id="43" name="AutoShape 43" descr="USA">
          <a:hlinkClick xmlns:r="http://schemas.openxmlformats.org/officeDocument/2006/relationships" r:id="rId42"/>
          <a:extLst>
            <a:ext uri="{FF2B5EF4-FFF2-40B4-BE49-F238E27FC236}">
              <a16:creationId xmlns:a16="http://schemas.microsoft.com/office/drawing/2014/main" id="{910219B1-90A7-4BBE-B68A-CD4DE9479D60}"/>
            </a:ext>
          </a:extLst>
        </xdr:cNvPr>
        <xdr:cNvSpPr>
          <a:spLocks noChangeAspect="1" noChangeArrowheads="1"/>
        </xdr:cNvSpPr>
      </xdr:nvSpPr>
      <xdr:spPr bwMode="auto">
        <a:xfrm>
          <a:off x="0" y="2744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92711</xdr:rowOff>
    </xdr:to>
    <xdr:sp macro="" textlink="">
      <xdr:nvSpPr>
        <xdr:cNvPr id="44" name="AutoShape 44" descr="USA">
          <a:hlinkClick xmlns:r="http://schemas.openxmlformats.org/officeDocument/2006/relationships" r:id="rId43"/>
          <a:extLst>
            <a:ext uri="{FF2B5EF4-FFF2-40B4-BE49-F238E27FC236}">
              <a16:creationId xmlns:a16="http://schemas.microsoft.com/office/drawing/2014/main" id="{CE48897A-701F-474E-924B-4661170D8B90}"/>
            </a:ext>
          </a:extLst>
        </xdr:cNvPr>
        <xdr:cNvSpPr>
          <a:spLocks noChangeAspect="1" noChangeArrowheads="1"/>
        </xdr:cNvSpPr>
      </xdr:nvSpPr>
      <xdr:spPr bwMode="auto">
        <a:xfrm>
          <a:off x="0" y="10106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92710</xdr:rowOff>
    </xdr:to>
    <xdr:sp macro="" textlink="">
      <xdr:nvSpPr>
        <xdr:cNvPr id="45" name="AutoShape 45" descr="ENG">
          <a:hlinkClick xmlns:r="http://schemas.openxmlformats.org/officeDocument/2006/relationships" r:id="rId44"/>
          <a:extLst>
            <a:ext uri="{FF2B5EF4-FFF2-40B4-BE49-F238E27FC236}">
              <a16:creationId xmlns:a16="http://schemas.microsoft.com/office/drawing/2014/main" id="{44B2726B-4E69-4761-B656-A01D8C154AF3}"/>
            </a:ext>
          </a:extLst>
        </xdr:cNvPr>
        <xdr:cNvSpPr>
          <a:spLocks noChangeAspect="1" noChangeArrowheads="1"/>
        </xdr:cNvSpPr>
      </xdr:nvSpPr>
      <xdr:spPr bwMode="auto">
        <a:xfrm>
          <a:off x="0" y="2915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92709</xdr:rowOff>
    </xdr:to>
    <xdr:sp macro="" textlink="">
      <xdr:nvSpPr>
        <xdr:cNvPr id="46" name="AutoShape 46" descr="USA">
          <a:hlinkClick xmlns:r="http://schemas.openxmlformats.org/officeDocument/2006/relationships" r:id="rId45"/>
          <a:extLst>
            <a:ext uri="{FF2B5EF4-FFF2-40B4-BE49-F238E27FC236}">
              <a16:creationId xmlns:a16="http://schemas.microsoft.com/office/drawing/2014/main" id="{D157682F-04D5-4418-940C-468E49832BA5}"/>
            </a:ext>
          </a:extLst>
        </xdr:cNvPr>
        <xdr:cNvSpPr>
          <a:spLocks noChangeAspect="1" noChangeArrowheads="1"/>
        </xdr:cNvSpPr>
      </xdr:nvSpPr>
      <xdr:spPr bwMode="auto">
        <a:xfrm>
          <a:off x="0" y="21345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92709</xdr:rowOff>
    </xdr:to>
    <xdr:sp macro="" textlink="">
      <xdr:nvSpPr>
        <xdr:cNvPr id="47" name="AutoShape 47" descr="USA">
          <a:hlinkClick xmlns:r="http://schemas.openxmlformats.org/officeDocument/2006/relationships" r:id="rId46"/>
          <a:extLst>
            <a:ext uri="{FF2B5EF4-FFF2-40B4-BE49-F238E27FC236}">
              <a16:creationId xmlns:a16="http://schemas.microsoft.com/office/drawing/2014/main" id="{B3A2CAB8-EF0C-4F57-955C-72E26B4886EC}"/>
            </a:ext>
          </a:extLst>
        </xdr:cNvPr>
        <xdr:cNvSpPr>
          <a:spLocks noChangeAspect="1" noChangeArrowheads="1"/>
        </xdr:cNvSpPr>
      </xdr:nvSpPr>
      <xdr:spPr bwMode="auto">
        <a:xfrm>
          <a:off x="0" y="6296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92711</xdr:rowOff>
    </xdr:to>
    <xdr:sp macro="" textlink="">
      <xdr:nvSpPr>
        <xdr:cNvPr id="48" name="AutoShape 48" descr="CAN">
          <a:hlinkClick xmlns:r="http://schemas.openxmlformats.org/officeDocument/2006/relationships" r:id="rId47"/>
          <a:extLst>
            <a:ext uri="{FF2B5EF4-FFF2-40B4-BE49-F238E27FC236}">
              <a16:creationId xmlns:a16="http://schemas.microsoft.com/office/drawing/2014/main" id="{D9BBCDB2-24ED-49FD-ABEB-2DE1CF63E421}"/>
            </a:ext>
          </a:extLst>
        </xdr:cNvPr>
        <xdr:cNvSpPr>
          <a:spLocks noChangeAspect="1" noChangeArrowheads="1"/>
        </xdr:cNvSpPr>
      </xdr:nvSpPr>
      <xdr:spPr bwMode="auto">
        <a:xfrm>
          <a:off x="0" y="23441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92710</xdr:rowOff>
    </xdr:to>
    <xdr:sp macro="" textlink="">
      <xdr:nvSpPr>
        <xdr:cNvPr id="49" name="AutoShape 49" descr="USA">
          <a:hlinkClick xmlns:r="http://schemas.openxmlformats.org/officeDocument/2006/relationships" r:id="rId48"/>
          <a:extLst>
            <a:ext uri="{FF2B5EF4-FFF2-40B4-BE49-F238E27FC236}">
              <a16:creationId xmlns:a16="http://schemas.microsoft.com/office/drawing/2014/main" id="{B6B79F49-16DE-4F2C-875B-F0FDBD8D8F07}"/>
            </a:ext>
          </a:extLst>
        </xdr:cNvPr>
        <xdr:cNvSpPr>
          <a:spLocks noChangeAspect="1" noChangeArrowheads="1"/>
        </xdr:cNvSpPr>
      </xdr:nvSpPr>
      <xdr:spPr bwMode="auto">
        <a:xfrm>
          <a:off x="0" y="267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92711</xdr:rowOff>
    </xdr:to>
    <xdr:sp macro="" textlink="">
      <xdr:nvSpPr>
        <xdr:cNvPr id="50" name="AutoShape 50" descr="USA">
          <a:hlinkClick xmlns:r="http://schemas.openxmlformats.org/officeDocument/2006/relationships" r:id="rId49"/>
          <a:extLst>
            <a:ext uri="{FF2B5EF4-FFF2-40B4-BE49-F238E27FC236}">
              <a16:creationId xmlns:a16="http://schemas.microsoft.com/office/drawing/2014/main" id="{C891C950-DEF4-4869-A192-9994555CE8BE}"/>
            </a:ext>
          </a:extLst>
        </xdr:cNvPr>
        <xdr:cNvSpPr>
          <a:spLocks noChangeAspect="1" noChangeArrowheads="1"/>
        </xdr:cNvSpPr>
      </xdr:nvSpPr>
      <xdr:spPr bwMode="auto">
        <a:xfrm>
          <a:off x="0" y="20774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51" name="AutoShape 51" descr="USA">
          <a:hlinkClick xmlns:r="http://schemas.openxmlformats.org/officeDocument/2006/relationships" r:id="rId50"/>
          <a:extLst>
            <a:ext uri="{FF2B5EF4-FFF2-40B4-BE49-F238E27FC236}">
              <a16:creationId xmlns:a16="http://schemas.microsoft.com/office/drawing/2014/main" id="{7EB48F79-2314-4141-8963-53B2DA537A31}"/>
            </a:ext>
          </a:extLst>
        </xdr:cNvPr>
        <xdr:cNvSpPr>
          <a:spLocks noChangeAspect="1" noChangeArrowheads="1"/>
        </xdr:cNvSpPr>
      </xdr:nvSpPr>
      <xdr:spPr bwMode="auto">
        <a:xfrm>
          <a:off x="0" y="1201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52" name="AutoShape 52" descr="USA">
          <a:hlinkClick xmlns:r="http://schemas.openxmlformats.org/officeDocument/2006/relationships" r:id="rId51"/>
          <a:extLst>
            <a:ext uri="{FF2B5EF4-FFF2-40B4-BE49-F238E27FC236}">
              <a16:creationId xmlns:a16="http://schemas.microsoft.com/office/drawing/2014/main" id="{F9BFCCA3-EE58-486F-A64B-6B53DA0D9F17}"/>
            </a:ext>
          </a:extLst>
        </xdr:cNvPr>
        <xdr:cNvSpPr>
          <a:spLocks noChangeAspect="1" noChangeArrowheads="1"/>
        </xdr:cNvSpPr>
      </xdr:nvSpPr>
      <xdr:spPr bwMode="auto">
        <a:xfrm>
          <a:off x="0" y="3125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92710</xdr:rowOff>
    </xdr:to>
    <xdr:sp macro="" textlink="">
      <xdr:nvSpPr>
        <xdr:cNvPr id="53" name="AutoShape 53" descr="USA">
          <a:hlinkClick xmlns:r="http://schemas.openxmlformats.org/officeDocument/2006/relationships" r:id="rId52"/>
          <a:extLst>
            <a:ext uri="{FF2B5EF4-FFF2-40B4-BE49-F238E27FC236}">
              <a16:creationId xmlns:a16="http://schemas.microsoft.com/office/drawing/2014/main" id="{681D91F1-5F7B-4CD9-8778-56E5E3954264}"/>
            </a:ext>
          </a:extLst>
        </xdr:cNvPr>
        <xdr:cNvSpPr>
          <a:spLocks noChangeAspect="1" noChangeArrowheads="1"/>
        </xdr:cNvSpPr>
      </xdr:nvSpPr>
      <xdr:spPr bwMode="auto">
        <a:xfrm>
          <a:off x="0" y="2858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54" name="AutoShape 54" descr="AUT">
          <a:hlinkClick xmlns:r="http://schemas.openxmlformats.org/officeDocument/2006/relationships" r:id="rId53"/>
          <a:extLst>
            <a:ext uri="{FF2B5EF4-FFF2-40B4-BE49-F238E27FC236}">
              <a16:creationId xmlns:a16="http://schemas.microsoft.com/office/drawing/2014/main" id="{35F1711A-EA20-45B5-93BB-BB7F4C5D89FF}"/>
            </a:ext>
          </a:extLst>
        </xdr:cNvPr>
        <xdr:cNvSpPr>
          <a:spLocks noChangeAspect="1" noChangeArrowheads="1"/>
        </xdr:cNvSpPr>
      </xdr:nvSpPr>
      <xdr:spPr bwMode="auto">
        <a:xfrm>
          <a:off x="0" y="953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92710</xdr:rowOff>
    </xdr:to>
    <xdr:sp macro="" textlink="">
      <xdr:nvSpPr>
        <xdr:cNvPr id="55" name="AutoShape 55" descr="USA">
          <a:hlinkClick xmlns:r="http://schemas.openxmlformats.org/officeDocument/2006/relationships" r:id="rId54"/>
          <a:extLst>
            <a:ext uri="{FF2B5EF4-FFF2-40B4-BE49-F238E27FC236}">
              <a16:creationId xmlns:a16="http://schemas.microsoft.com/office/drawing/2014/main" id="{765F77DA-791B-4564-B24B-C5D141AFB795}"/>
            </a:ext>
          </a:extLst>
        </xdr:cNvPr>
        <xdr:cNvSpPr>
          <a:spLocks noChangeAspect="1" noChangeArrowheads="1"/>
        </xdr:cNvSpPr>
      </xdr:nvSpPr>
      <xdr:spPr bwMode="auto">
        <a:xfrm>
          <a:off x="0" y="934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115570</xdr:rowOff>
    </xdr:to>
    <xdr:sp macro="" textlink="">
      <xdr:nvSpPr>
        <xdr:cNvPr id="56" name="AutoShape 56" descr="USA">
          <a:hlinkClick xmlns:r="http://schemas.openxmlformats.org/officeDocument/2006/relationships" r:id="rId55"/>
          <a:extLst>
            <a:ext uri="{FF2B5EF4-FFF2-40B4-BE49-F238E27FC236}">
              <a16:creationId xmlns:a16="http://schemas.microsoft.com/office/drawing/2014/main" id="{5C190560-F399-4F35-98EC-44598EF5919B}"/>
            </a:ext>
          </a:extLst>
        </xdr:cNvPr>
        <xdr:cNvSpPr>
          <a:spLocks noChangeAspect="1" noChangeArrowheads="1"/>
        </xdr:cNvSpPr>
      </xdr:nvSpPr>
      <xdr:spPr bwMode="auto">
        <a:xfrm>
          <a:off x="0" y="35633025"/>
          <a:ext cx="304800" cy="30607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92710</xdr:rowOff>
    </xdr:to>
    <xdr:sp macro="" textlink="">
      <xdr:nvSpPr>
        <xdr:cNvPr id="57" name="AutoShape 57" descr="USA">
          <a:hlinkClick xmlns:r="http://schemas.openxmlformats.org/officeDocument/2006/relationships" r:id="rId56"/>
          <a:extLst>
            <a:ext uri="{FF2B5EF4-FFF2-40B4-BE49-F238E27FC236}">
              <a16:creationId xmlns:a16="http://schemas.microsoft.com/office/drawing/2014/main" id="{92A1EFFF-55EE-411A-91BF-F5F66CE32A86}"/>
            </a:ext>
          </a:extLst>
        </xdr:cNvPr>
        <xdr:cNvSpPr>
          <a:spLocks noChangeAspect="1" noChangeArrowheads="1"/>
        </xdr:cNvSpPr>
      </xdr:nvSpPr>
      <xdr:spPr bwMode="auto">
        <a:xfrm>
          <a:off x="0" y="324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92711</xdr:rowOff>
    </xdr:to>
    <xdr:sp macro="" textlink="">
      <xdr:nvSpPr>
        <xdr:cNvPr id="58" name="AutoShape 58" descr="ARG">
          <a:hlinkClick xmlns:r="http://schemas.openxmlformats.org/officeDocument/2006/relationships" r:id="rId57"/>
          <a:extLst>
            <a:ext uri="{FF2B5EF4-FFF2-40B4-BE49-F238E27FC236}">
              <a16:creationId xmlns:a16="http://schemas.microsoft.com/office/drawing/2014/main" id="{3B59E674-E541-41B8-998D-EAF2739EE2EF}"/>
            </a:ext>
          </a:extLst>
        </xdr:cNvPr>
        <xdr:cNvSpPr>
          <a:spLocks noChangeAspect="1" noChangeArrowheads="1"/>
        </xdr:cNvSpPr>
      </xdr:nvSpPr>
      <xdr:spPr bwMode="auto">
        <a:xfrm>
          <a:off x="0" y="15440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92710</xdr:rowOff>
    </xdr:to>
    <xdr:sp macro="" textlink="">
      <xdr:nvSpPr>
        <xdr:cNvPr id="59" name="AutoShape 59" descr="ENG">
          <a:hlinkClick xmlns:r="http://schemas.openxmlformats.org/officeDocument/2006/relationships" r:id="rId58"/>
          <a:extLst>
            <a:ext uri="{FF2B5EF4-FFF2-40B4-BE49-F238E27FC236}">
              <a16:creationId xmlns:a16="http://schemas.microsoft.com/office/drawing/2014/main" id="{F0E6ADB1-C368-4E43-9E7B-A24DFB6403FB}"/>
            </a:ext>
          </a:extLst>
        </xdr:cNvPr>
        <xdr:cNvSpPr>
          <a:spLocks noChangeAspect="1" noChangeArrowheads="1"/>
        </xdr:cNvSpPr>
      </xdr:nvSpPr>
      <xdr:spPr bwMode="auto">
        <a:xfrm>
          <a:off x="0" y="2420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60" name="AutoShape 60" descr="ENG">
          <a:hlinkClick xmlns:r="http://schemas.openxmlformats.org/officeDocument/2006/relationships" r:id="rId59"/>
          <a:extLst>
            <a:ext uri="{FF2B5EF4-FFF2-40B4-BE49-F238E27FC236}">
              <a16:creationId xmlns:a16="http://schemas.microsoft.com/office/drawing/2014/main" id="{0C43452C-7EA5-4BD4-B1C5-98920482997B}"/>
            </a:ext>
          </a:extLst>
        </xdr:cNvPr>
        <xdr:cNvSpPr>
          <a:spLocks noChangeAspect="1" noChangeArrowheads="1"/>
        </xdr:cNvSpPr>
      </xdr:nvSpPr>
      <xdr:spPr bwMode="auto">
        <a:xfrm>
          <a:off x="0" y="2687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61" name="AutoShape 61" descr="USA">
          <a:hlinkClick xmlns:r="http://schemas.openxmlformats.org/officeDocument/2006/relationships" r:id="rId60"/>
          <a:extLst>
            <a:ext uri="{FF2B5EF4-FFF2-40B4-BE49-F238E27FC236}">
              <a16:creationId xmlns:a16="http://schemas.microsoft.com/office/drawing/2014/main" id="{843923BF-1C51-4454-B84B-B9BBFC6EB8DE}"/>
            </a:ext>
          </a:extLst>
        </xdr:cNvPr>
        <xdr:cNvSpPr>
          <a:spLocks noChangeAspect="1" noChangeArrowheads="1"/>
        </xdr:cNvSpPr>
      </xdr:nvSpPr>
      <xdr:spPr bwMode="auto">
        <a:xfrm>
          <a:off x="0" y="2058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92710</xdr:rowOff>
    </xdr:to>
    <xdr:sp macro="" textlink="">
      <xdr:nvSpPr>
        <xdr:cNvPr id="62" name="AutoShape 62" descr="USA">
          <a:hlinkClick xmlns:r="http://schemas.openxmlformats.org/officeDocument/2006/relationships" r:id="rId61"/>
          <a:extLst>
            <a:ext uri="{FF2B5EF4-FFF2-40B4-BE49-F238E27FC236}">
              <a16:creationId xmlns:a16="http://schemas.microsoft.com/office/drawing/2014/main" id="{7C4DAEE6-D203-43BE-9096-DE4D009B2D54}"/>
            </a:ext>
          </a:extLst>
        </xdr:cNvPr>
        <xdr:cNvSpPr>
          <a:spLocks noChangeAspect="1" noChangeArrowheads="1"/>
        </xdr:cNvSpPr>
      </xdr:nvSpPr>
      <xdr:spPr bwMode="auto">
        <a:xfrm>
          <a:off x="0" y="1239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63" name="AutoShape 63" descr="KOR">
          <a:hlinkClick xmlns:r="http://schemas.openxmlformats.org/officeDocument/2006/relationships" r:id="rId62"/>
          <a:extLst>
            <a:ext uri="{FF2B5EF4-FFF2-40B4-BE49-F238E27FC236}">
              <a16:creationId xmlns:a16="http://schemas.microsoft.com/office/drawing/2014/main" id="{6D733DE2-3308-4655-B316-D037CED12856}"/>
            </a:ext>
          </a:extLst>
        </xdr:cNvPr>
        <xdr:cNvSpPr>
          <a:spLocks noChangeAspect="1" noChangeArrowheads="1"/>
        </xdr:cNvSpPr>
      </xdr:nvSpPr>
      <xdr:spPr bwMode="auto">
        <a:xfrm>
          <a:off x="0" y="3201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92710</xdr:rowOff>
    </xdr:to>
    <xdr:sp macro="" textlink="">
      <xdr:nvSpPr>
        <xdr:cNvPr id="64" name="AutoShape 64" descr="USA">
          <a:hlinkClick xmlns:r="http://schemas.openxmlformats.org/officeDocument/2006/relationships" r:id="rId63"/>
          <a:extLst>
            <a:ext uri="{FF2B5EF4-FFF2-40B4-BE49-F238E27FC236}">
              <a16:creationId xmlns:a16="http://schemas.microsoft.com/office/drawing/2014/main" id="{C3CBAF16-D9F7-4E1D-A75F-C198AC9CDA34}"/>
            </a:ext>
          </a:extLst>
        </xdr:cNvPr>
        <xdr:cNvSpPr>
          <a:spLocks noChangeAspect="1" noChangeArrowheads="1"/>
        </xdr:cNvSpPr>
      </xdr:nvSpPr>
      <xdr:spPr bwMode="auto">
        <a:xfrm>
          <a:off x="0" y="1696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65" name="AutoShape 65" descr="KOR">
          <a:hlinkClick xmlns:r="http://schemas.openxmlformats.org/officeDocument/2006/relationships" r:id="rId64"/>
          <a:extLst>
            <a:ext uri="{FF2B5EF4-FFF2-40B4-BE49-F238E27FC236}">
              <a16:creationId xmlns:a16="http://schemas.microsoft.com/office/drawing/2014/main" id="{3C92FC75-0525-405D-A1BB-B072EA046D52}"/>
            </a:ext>
          </a:extLst>
        </xdr:cNvPr>
        <xdr:cNvSpPr>
          <a:spLocks noChangeAspect="1" noChangeArrowheads="1"/>
        </xdr:cNvSpPr>
      </xdr:nvSpPr>
      <xdr:spPr bwMode="auto">
        <a:xfrm>
          <a:off x="0" y="2725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92709</xdr:rowOff>
    </xdr:to>
    <xdr:sp macro="" textlink="">
      <xdr:nvSpPr>
        <xdr:cNvPr id="66" name="AutoShape 66" descr="JPN">
          <a:hlinkClick xmlns:r="http://schemas.openxmlformats.org/officeDocument/2006/relationships" r:id="rId65"/>
          <a:extLst>
            <a:ext uri="{FF2B5EF4-FFF2-40B4-BE49-F238E27FC236}">
              <a16:creationId xmlns:a16="http://schemas.microsoft.com/office/drawing/2014/main" id="{A82AE3C3-1EC2-463A-8732-39E4C6172104}"/>
            </a:ext>
          </a:extLst>
        </xdr:cNvPr>
        <xdr:cNvSpPr>
          <a:spLocks noChangeAspect="1" noChangeArrowheads="1"/>
        </xdr:cNvSpPr>
      </xdr:nvSpPr>
      <xdr:spPr bwMode="auto">
        <a:xfrm>
          <a:off x="0" y="5153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92710</xdr:rowOff>
    </xdr:to>
    <xdr:sp macro="" textlink="">
      <xdr:nvSpPr>
        <xdr:cNvPr id="67" name="AutoShape 67" descr="USA">
          <a:hlinkClick xmlns:r="http://schemas.openxmlformats.org/officeDocument/2006/relationships" r:id="rId66"/>
          <a:extLst>
            <a:ext uri="{FF2B5EF4-FFF2-40B4-BE49-F238E27FC236}">
              <a16:creationId xmlns:a16="http://schemas.microsoft.com/office/drawing/2014/main" id="{F292204C-F53B-47CE-AB10-09536FAB9A03}"/>
            </a:ext>
          </a:extLst>
        </xdr:cNvPr>
        <xdr:cNvSpPr>
          <a:spLocks noChangeAspect="1" noChangeArrowheads="1"/>
        </xdr:cNvSpPr>
      </xdr:nvSpPr>
      <xdr:spPr bwMode="auto">
        <a:xfrm>
          <a:off x="0" y="1582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92710</xdr:rowOff>
    </xdr:to>
    <xdr:sp macro="" textlink="">
      <xdr:nvSpPr>
        <xdr:cNvPr id="68" name="AutoShape 68" descr="ENG">
          <a:hlinkClick xmlns:r="http://schemas.openxmlformats.org/officeDocument/2006/relationships" r:id="rId67"/>
          <a:extLst>
            <a:ext uri="{FF2B5EF4-FFF2-40B4-BE49-F238E27FC236}">
              <a16:creationId xmlns:a16="http://schemas.microsoft.com/office/drawing/2014/main" id="{DEF888B8-8751-4B93-8D19-27AB91B5C2CB}"/>
            </a:ext>
          </a:extLst>
        </xdr:cNvPr>
        <xdr:cNvSpPr>
          <a:spLocks noChangeAspect="1" noChangeArrowheads="1"/>
        </xdr:cNvSpPr>
      </xdr:nvSpPr>
      <xdr:spPr bwMode="auto">
        <a:xfrm>
          <a:off x="0" y="1772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69" name="AutoShape 69" descr="KOR">
          <a:hlinkClick xmlns:r="http://schemas.openxmlformats.org/officeDocument/2006/relationships" r:id="rId68"/>
          <a:extLst>
            <a:ext uri="{FF2B5EF4-FFF2-40B4-BE49-F238E27FC236}">
              <a16:creationId xmlns:a16="http://schemas.microsoft.com/office/drawing/2014/main" id="{296E2E09-1FBA-4C31-BDB5-1FA5948E671F}"/>
            </a:ext>
          </a:extLst>
        </xdr:cNvPr>
        <xdr:cNvSpPr>
          <a:spLocks noChangeAspect="1" noChangeArrowheads="1"/>
        </xdr:cNvSpPr>
      </xdr:nvSpPr>
      <xdr:spPr bwMode="auto">
        <a:xfrm>
          <a:off x="0" y="2991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92710</xdr:rowOff>
    </xdr:to>
    <xdr:sp macro="" textlink="">
      <xdr:nvSpPr>
        <xdr:cNvPr id="70" name="AutoShape 70" descr="USA">
          <a:hlinkClick xmlns:r="http://schemas.openxmlformats.org/officeDocument/2006/relationships" r:id="rId69"/>
          <a:extLst>
            <a:ext uri="{FF2B5EF4-FFF2-40B4-BE49-F238E27FC236}">
              <a16:creationId xmlns:a16="http://schemas.microsoft.com/office/drawing/2014/main" id="{AEFFB72D-12D5-4BC2-B2F6-352C043738DE}"/>
            </a:ext>
          </a:extLst>
        </xdr:cNvPr>
        <xdr:cNvSpPr>
          <a:spLocks noChangeAspect="1" noChangeArrowheads="1"/>
        </xdr:cNvSpPr>
      </xdr:nvSpPr>
      <xdr:spPr bwMode="auto">
        <a:xfrm>
          <a:off x="0" y="1829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92710</xdr:rowOff>
    </xdr:to>
    <xdr:sp macro="" textlink="">
      <xdr:nvSpPr>
        <xdr:cNvPr id="71" name="AutoShape 71" descr="COL">
          <a:hlinkClick xmlns:r="http://schemas.openxmlformats.org/officeDocument/2006/relationships" r:id="rId70"/>
          <a:extLst>
            <a:ext uri="{FF2B5EF4-FFF2-40B4-BE49-F238E27FC236}">
              <a16:creationId xmlns:a16="http://schemas.microsoft.com/office/drawing/2014/main" id="{7737C886-8E0C-49B1-A3D8-90BA58E48B25}"/>
            </a:ext>
          </a:extLst>
        </xdr:cNvPr>
        <xdr:cNvSpPr>
          <a:spLocks noChangeAspect="1" noChangeArrowheads="1"/>
        </xdr:cNvSpPr>
      </xdr:nvSpPr>
      <xdr:spPr bwMode="auto">
        <a:xfrm>
          <a:off x="0" y="3182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92710</xdr:rowOff>
    </xdr:to>
    <xdr:sp macro="" textlink="">
      <xdr:nvSpPr>
        <xdr:cNvPr id="72" name="AutoShape 72" descr="USA">
          <a:hlinkClick xmlns:r="http://schemas.openxmlformats.org/officeDocument/2006/relationships" r:id="rId71"/>
          <a:extLst>
            <a:ext uri="{FF2B5EF4-FFF2-40B4-BE49-F238E27FC236}">
              <a16:creationId xmlns:a16="http://schemas.microsoft.com/office/drawing/2014/main" id="{F4CDB1B3-3CDC-4D53-892F-84101D6D6AFA}"/>
            </a:ext>
          </a:extLst>
        </xdr:cNvPr>
        <xdr:cNvSpPr>
          <a:spLocks noChangeAspect="1" noChangeArrowheads="1"/>
        </xdr:cNvSpPr>
      </xdr:nvSpPr>
      <xdr:spPr bwMode="auto">
        <a:xfrm>
          <a:off x="0" y="724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73" name="AutoShape 73" descr="USA">
          <a:hlinkClick xmlns:r="http://schemas.openxmlformats.org/officeDocument/2006/relationships" r:id="rId72"/>
          <a:extLst>
            <a:ext uri="{FF2B5EF4-FFF2-40B4-BE49-F238E27FC236}">
              <a16:creationId xmlns:a16="http://schemas.microsoft.com/office/drawing/2014/main" id="{CB3D8EF7-2860-4DA7-932A-8EAB45AE12F6}"/>
            </a:ext>
          </a:extLst>
        </xdr:cNvPr>
        <xdr:cNvSpPr>
          <a:spLocks noChangeAspect="1" noChangeArrowheads="1"/>
        </xdr:cNvSpPr>
      </xdr:nvSpPr>
      <xdr:spPr bwMode="auto">
        <a:xfrm>
          <a:off x="0" y="3410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74" name="AutoShape 74" descr="USA">
          <a:hlinkClick xmlns:r="http://schemas.openxmlformats.org/officeDocument/2006/relationships" r:id="rId73"/>
          <a:extLst>
            <a:ext uri="{FF2B5EF4-FFF2-40B4-BE49-F238E27FC236}">
              <a16:creationId xmlns:a16="http://schemas.microsoft.com/office/drawing/2014/main" id="{D1C7ECDB-1948-4E52-96BF-FF8764CC2175}"/>
            </a:ext>
          </a:extLst>
        </xdr:cNvPr>
        <xdr:cNvSpPr>
          <a:spLocks noChangeAspect="1" noChangeArrowheads="1"/>
        </xdr:cNvSpPr>
      </xdr:nvSpPr>
      <xdr:spPr bwMode="auto">
        <a:xfrm>
          <a:off x="0" y="2306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92710</xdr:rowOff>
    </xdr:to>
    <xdr:sp macro="" textlink="">
      <xdr:nvSpPr>
        <xdr:cNvPr id="75" name="AutoShape 75" descr="USA">
          <a:hlinkClick xmlns:r="http://schemas.openxmlformats.org/officeDocument/2006/relationships" r:id="rId74"/>
          <a:extLst>
            <a:ext uri="{FF2B5EF4-FFF2-40B4-BE49-F238E27FC236}">
              <a16:creationId xmlns:a16="http://schemas.microsoft.com/office/drawing/2014/main" id="{477786E9-EA79-4F36-84DA-DB23FEFE9531}"/>
            </a:ext>
          </a:extLst>
        </xdr:cNvPr>
        <xdr:cNvSpPr>
          <a:spLocks noChangeAspect="1" noChangeArrowheads="1"/>
        </xdr:cNvSpPr>
      </xdr:nvSpPr>
      <xdr:spPr bwMode="auto">
        <a:xfrm>
          <a:off x="0" y="229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92710</xdr:rowOff>
    </xdr:to>
    <xdr:sp macro="" textlink="">
      <xdr:nvSpPr>
        <xdr:cNvPr id="76" name="AutoShape 76" descr="SWE">
          <a:hlinkClick xmlns:r="http://schemas.openxmlformats.org/officeDocument/2006/relationships" r:id="rId75"/>
          <a:extLst>
            <a:ext uri="{FF2B5EF4-FFF2-40B4-BE49-F238E27FC236}">
              <a16:creationId xmlns:a16="http://schemas.microsoft.com/office/drawing/2014/main" id="{7DE51B01-C9F1-4BFC-B526-51BDEBC1D49F}"/>
            </a:ext>
          </a:extLst>
        </xdr:cNvPr>
        <xdr:cNvSpPr>
          <a:spLocks noChangeAspect="1" noChangeArrowheads="1"/>
        </xdr:cNvSpPr>
      </xdr:nvSpPr>
      <xdr:spPr bwMode="auto">
        <a:xfrm>
          <a:off x="0" y="191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77" name="AutoShape 77" descr="USA">
          <a:hlinkClick xmlns:r="http://schemas.openxmlformats.org/officeDocument/2006/relationships" r:id="rId76"/>
          <a:extLst>
            <a:ext uri="{FF2B5EF4-FFF2-40B4-BE49-F238E27FC236}">
              <a16:creationId xmlns:a16="http://schemas.microsoft.com/office/drawing/2014/main" id="{830DB890-15E0-4685-89B7-69B9086F554C}"/>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92711</xdr:rowOff>
    </xdr:to>
    <xdr:sp macro="" textlink="">
      <xdr:nvSpPr>
        <xdr:cNvPr id="78" name="AutoShape 78" descr="USA">
          <a:hlinkClick xmlns:r="http://schemas.openxmlformats.org/officeDocument/2006/relationships" r:id="rId77"/>
          <a:extLst>
            <a:ext uri="{FF2B5EF4-FFF2-40B4-BE49-F238E27FC236}">
              <a16:creationId xmlns:a16="http://schemas.microsoft.com/office/drawing/2014/main" id="{778236B4-2F4B-40AC-A213-28BF62D980C6}"/>
            </a:ext>
          </a:extLst>
        </xdr:cNvPr>
        <xdr:cNvSpPr>
          <a:spLocks noChangeAspect="1" noChangeArrowheads="1"/>
        </xdr:cNvSpPr>
      </xdr:nvSpPr>
      <xdr:spPr bwMode="auto">
        <a:xfrm>
          <a:off x="0" y="8772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79" name="AutoShape 79" descr="USA">
          <a:hlinkClick xmlns:r="http://schemas.openxmlformats.org/officeDocument/2006/relationships" r:id="rId78"/>
          <a:extLst>
            <a:ext uri="{FF2B5EF4-FFF2-40B4-BE49-F238E27FC236}">
              <a16:creationId xmlns:a16="http://schemas.microsoft.com/office/drawing/2014/main" id="{DBF20942-5595-4931-9AF7-222E43583DAD}"/>
            </a:ext>
          </a:extLst>
        </xdr:cNvPr>
        <xdr:cNvSpPr>
          <a:spLocks noChangeAspect="1" noChangeArrowheads="1"/>
        </xdr:cNvSpPr>
      </xdr:nvSpPr>
      <xdr:spPr bwMode="auto">
        <a:xfrm>
          <a:off x="0" y="2896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92710</xdr:rowOff>
    </xdr:to>
    <xdr:sp macro="" textlink="">
      <xdr:nvSpPr>
        <xdr:cNvPr id="80" name="AutoShape 80" descr="USA">
          <a:hlinkClick xmlns:r="http://schemas.openxmlformats.org/officeDocument/2006/relationships" r:id="rId79"/>
          <a:extLst>
            <a:ext uri="{FF2B5EF4-FFF2-40B4-BE49-F238E27FC236}">
              <a16:creationId xmlns:a16="http://schemas.microsoft.com/office/drawing/2014/main" id="{49F8A9B6-BF5F-403A-ACAA-A6EC15917AE0}"/>
            </a:ext>
          </a:extLst>
        </xdr:cNvPr>
        <xdr:cNvSpPr>
          <a:spLocks noChangeAspect="1" noChangeArrowheads="1"/>
        </xdr:cNvSpPr>
      </xdr:nvSpPr>
      <xdr:spPr bwMode="auto">
        <a:xfrm>
          <a:off x="0" y="1486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92711</xdr:rowOff>
    </xdr:to>
    <xdr:sp macro="" textlink="">
      <xdr:nvSpPr>
        <xdr:cNvPr id="81" name="AutoShape 81" descr="RSA">
          <a:hlinkClick xmlns:r="http://schemas.openxmlformats.org/officeDocument/2006/relationships" r:id="rId80"/>
          <a:extLst>
            <a:ext uri="{FF2B5EF4-FFF2-40B4-BE49-F238E27FC236}">
              <a16:creationId xmlns:a16="http://schemas.microsoft.com/office/drawing/2014/main" id="{B3DA684C-022E-46CE-BFD3-815B4BF3B5C4}"/>
            </a:ext>
          </a:extLst>
        </xdr:cNvPr>
        <xdr:cNvSpPr>
          <a:spLocks noChangeAspect="1" noChangeArrowheads="1"/>
        </xdr:cNvSpPr>
      </xdr:nvSpPr>
      <xdr:spPr bwMode="auto">
        <a:xfrm>
          <a:off x="0" y="19440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82" name="AutoShape 82" descr="USA">
          <a:hlinkClick xmlns:r="http://schemas.openxmlformats.org/officeDocument/2006/relationships" r:id="rId81"/>
          <a:extLst>
            <a:ext uri="{FF2B5EF4-FFF2-40B4-BE49-F238E27FC236}">
              <a16:creationId xmlns:a16="http://schemas.microsoft.com/office/drawing/2014/main" id="{FCBC91EE-1088-45C4-8003-4E9AB70BC4FC}"/>
            </a:ext>
          </a:extLst>
        </xdr:cNvPr>
        <xdr:cNvSpPr>
          <a:spLocks noChangeAspect="1" noChangeArrowheads="1"/>
        </xdr:cNvSpPr>
      </xdr:nvSpPr>
      <xdr:spPr bwMode="auto">
        <a:xfrm>
          <a:off x="0" y="2629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83" name="AutoShape 83" descr="USA">
          <a:hlinkClick xmlns:r="http://schemas.openxmlformats.org/officeDocument/2006/relationships" r:id="rId82"/>
          <a:extLst>
            <a:ext uri="{FF2B5EF4-FFF2-40B4-BE49-F238E27FC236}">
              <a16:creationId xmlns:a16="http://schemas.microsoft.com/office/drawing/2014/main" id="{51F68759-560B-45D9-B479-2953AD41754F}"/>
            </a:ext>
          </a:extLst>
        </xdr:cNvPr>
        <xdr:cNvSpPr>
          <a:spLocks noChangeAspect="1" noChangeArrowheads="1"/>
        </xdr:cNvSpPr>
      </xdr:nvSpPr>
      <xdr:spPr bwMode="auto">
        <a:xfrm>
          <a:off x="0" y="2706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94615</xdr:rowOff>
    </xdr:to>
    <xdr:sp macro="" textlink="">
      <xdr:nvSpPr>
        <xdr:cNvPr id="84" name="AutoShape 84" descr="USA">
          <a:hlinkClick xmlns:r="http://schemas.openxmlformats.org/officeDocument/2006/relationships" r:id="rId83"/>
          <a:extLst>
            <a:ext uri="{FF2B5EF4-FFF2-40B4-BE49-F238E27FC236}">
              <a16:creationId xmlns:a16="http://schemas.microsoft.com/office/drawing/2014/main" id="{E66AD45A-6927-4B64-AABF-E23A6271E2F6}"/>
            </a:ext>
          </a:extLst>
        </xdr:cNvPr>
        <xdr:cNvSpPr>
          <a:spLocks noChangeAspect="1" noChangeArrowheads="1"/>
        </xdr:cNvSpPr>
      </xdr:nvSpPr>
      <xdr:spPr bwMode="auto">
        <a:xfrm>
          <a:off x="0" y="35442525"/>
          <a:ext cx="304800" cy="28511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92710</xdr:rowOff>
    </xdr:to>
    <xdr:sp macro="" textlink="">
      <xdr:nvSpPr>
        <xdr:cNvPr id="85" name="AutoShape 85" descr="TPE">
          <a:hlinkClick xmlns:r="http://schemas.openxmlformats.org/officeDocument/2006/relationships" r:id="rId84"/>
          <a:extLst>
            <a:ext uri="{FF2B5EF4-FFF2-40B4-BE49-F238E27FC236}">
              <a16:creationId xmlns:a16="http://schemas.microsoft.com/office/drawing/2014/main" id="{2B4A92E0-624A-471B-B82E-5573118251E1}"/>
            </a:ext>
          </a:extLst>
        </xdr:cNvPr>
        <xdr:cNvSpPr>
          <a:spLocks noChangeAspect="1" noChangeArrowheads="1"/>
        </xdr:cNvSpPr>
      </xdr:nvSpPr>
      <xdr:spPr bwMode="auto">
        <a:xfrm>
          <a:off x="0" y="3239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86" name="AutoShape 86" descr="USA">
          <a:hlinkClick xmlns:r="http://schemas.openxmlformats.org/officeDocument/2006/relationships" r:id="rId85"/>
          <a:extLst>
            <a:ext uri="{FF2B5EF4-FFF2-40B4-BE49-F238E27FC236}">
              <a16:creationId xmlns:a16="http://schemas.microsoft.com/office/drawing/2014/main" id="{EB32BD42-2C7D-48C4-917D-C6477D9E98D9}"/>
            </a:ext>
          </a:extLst>
        </xdr:cNvPr>
        <xdr:cNvSpPr>
          <a:spLocks noChangeAspect="1" noChangeArrowheads="1"/>
        </xdr:cNvSpPr>
      </xdr:nvSpPr>
      <xdr:spPr bwMode="auto">
        <a:xfrm>
          <a:off x="0" y="2191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92710</xdr:rowOff>
    </xdr:to>
    <xdr:sp macro="" textlink="">
      <xdr:nvSpPr>
        <xdr:cNvPr id="87" name="AutoShape 87" descr="AUS">
          <a:hlinkClick xmlns:r="http://schemas.openxmlformats.org/officeDocument/2006/relationships" r:id="rId86"/>
          <a:extLst>
            <a:ext uri="{FF2B5EF4-FFF2-40B4-BE49-F238E27FC236}">
              <a16:creationId xmlns:a16="http://schemas.microsoft.com/office/drawing/2014/main" id="{9F2C4651-7C78-4756-8FFD-D96674678FB1}"/>
            </a:ext>
          </a:extLst>
        </xdr:cNvPr>
        <xdr:cNvSpPr>
          <a:spLocks noChangeAspect="1" noChangeArrowheads="1"/>
        </xdr:cNvSpPr>
      </xdr:nvSpPr>
      <xdr:spPr bwMode="auto">
        <a:xfrm>
          <a:off x="0" y="2648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92711</xdr:rowOff>
    </xdr:to>
    <xdr:sp macro="" textlink="">
      <xdr:nvSpPr>
        <xdr:cNvPr id="88" name="AutoShape 88" descr="GER">
          <a:hlinkClick xmlns:r="http://schemas.openxmlformats.org/officeDocument/2006/relationships" r:id="rId87"/>
          <a:extLst>
            <a:ext uri="{FF2B5EF4-FFF2-40B4-BE49-F238E27FC236}">
              <a16:creationId xmlns:a16="http://schemas.microsoft.com/office/drawing/2014/main" id="{95D668A8-BC58-4E34-8552-A9380E589F48}"/>
            </a:ext>
          </a:extLst>
        </xdr:cNvPr>
        <xdr:cNvSpPr>
          <a:spLocks noChangeAspect="1" noChangeArrowheads="1"/>
        </xdr:cNvSpPr>
      </xdr:nvSpPr>
      <xdr:spPr bwMode="auto">
        <a:xfrm>
          <a:off x="0" y="11439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89" name="AutoShape 89" descr="ENG">
          <a:hlinkClick xmlns:r="http://schemas.openxmlformats.org/officeDocument/2006/relationships" r:id="rId88"/>
          <a:extLst>
            <a:ext uri="{FF2B5EF4-FFF2-40B4-BE49-F238E27FC236}">
              <a16:creationId xmlns:a16="http://schemas.microsoft.com/office/drawing/2014/main" id="{4159ADD9-C53A-4AEA-A017-551868B001FA}"/>
            </a:ext>
          </a:extLst>
        </xdr:cNvPr>
        <xdr:cNvSpPr>
          <a:spLocks noChangeAspect="1" noChangeArrowheads="1"/>
        </xdr:cNvSpPr>
      </xdr:nvSpPr>
      <xdr:spPr bwMode="auto">
        <a:xfrm>
          <a:off x="0" y="3315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92709</xdr:rowOff>
    </xdr:to>
    <xdr:sp macro="" textlink="">
      <xdr:nvSpPr>
        <xdr:cNvPr id="90" name="AutoShape 90" descr="ENG">
          <a:hlinkClick xmlns:r="http://schemas.openxmlformats.org/officeDocument/2006/relationships" r:id="rId89"/>
          <a:extLst>
            <a:ext uri="{FF2B5EF4-FFF2-40B4-BE49-F238E27FC236}">
              <a16:creationId xmlns:a16="http://schemas.microsoft.com/office/drawing/2014/main" id="{3FF3616E-77DC-4A4B-8985-FF1EEB0256AE}"/>
            </a:ext>
          </a:extLst>
        </xdr:cNvPr>
        <xdr:cNvSpPr>
          <a:spLocks noChangeAspect="1" noChangeArrowheads="1"/>
        </xdr:cNvSpPr>
      </xdr:nvSpPr>
      <xdr:spPr bwMode="auto">
        <a:xfrm>
          <a:off x="0" y="18488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91" name="AutoShape 91" descr="ENG">
          <a:hlinkClick xmlns:r="http://schemas.openxmlformats.org/officeDocument/2006/relationships" r:id="rId90"/>
          <a:extLst>
            <a:ext uri="{FF2B5EF4-FFF2-40B4-BE49-F238E27FC236}">
              <a16:creationId xmlns:a16="http://schemas.microsoft.com/office/drawing/2014/main" id="{F97BECAF-ED2B-46F3-817A-38F450376213}"/>
            </a:ext>
          </a:extLst>
        </xdr:cNvPr>
        <xdr:cNvSpPr>
          <a:spLocks noChangeAspect="1" noChangeArrowheads="1"/>
        </xdr:cNvSpPr>
      </xdr:nvSpPr>
      <xdr:spPr bwMode="auto">
        <a:xfrm>
          <a:off x="0" y="2172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92710</xdr:rowOff>
    </xdr:to>
    <xdr:sp macro="" textlink="">
      <xdr:nvSpPr>
        <xdr:cNvPr id="92" name="AutoShape 92" descr="USA">
          <a:hlinkClick xmlns:r="http://schemas.openxmlformats.org/officeDocument/2006/relationships" r:id="rId91"/>
          <a:extLst>
            <a:ext uri="{FF2B5EF4-FFF2-40B4-BE49-F238E27FC236}">
              <a16:creationId xmlns:a16="http://schemas.microsoft.com/office/drawing/2014/main" id="{4082C05B-9571-4EA9-95B0-5635FC95890B}"/>
            </a:ext>
          </a:extLst>
        </xdr:cNvPr>
        <xdr:cNvSpPr>
          <a:spLocks noChangeAspect="1" noChangeArrowheads="1"/>
        </xdr:cNvSpPr>
      </xdr:nvSpPr>
      <xdr:spPr bwMode="auto">
        <a:xfrm>
          <a:off x="0" y="153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92710</xdr:rowOff>
    </xdr:to>
    <xdr:sp macro="" textlink="">
      <xdr:nvSpPr>
        <xdr:cNvPr id="93" name="AutoShape 93" descr="RSA">
          <a:hlinkClick xmlns:r="http://schemas.openxmlformats.org/officeDocument/2006/relationships" r:id="rId92"/>
          <a:extLst>
            <a:ext uri="{FF2B5EF4-FFF2-40B4-BE49-F238E27FC236}">
              <a16:creationId xmlns:a16="http://schemas.microsoft.com/office/drawing/2014/main" id="{2AD220CC-8726-469D-8750-6E2680310E09}"/>
            </a:ext>
          </a:extLst>
        </xdr:cNvPr>
        <xdr:cNvSpPr>
          <a:spLocks noChangeAspect="1" noChangeArrowheads="1"/>
        </xdr:cNvSpPr>
      </xdr:nvSpPr>
      <xdr:spPr bwMode="auto">
        <a:xfrm>
          <a:off x="0" y="3106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92710</xdr:rowOff>
    </xdr:to>
    <xdr:sp macro="" textlink="">
      <xdr:nvSpPr>
        <xdr:cNvPr id="94" name="AutoShape 94" descr="USA">
          <a:hlinkClick xmlns:r="http://schemas.openxmlformats.org/officeDocument/2006/relationships" r:id="rId93"/>
          <a:extLst>
            <a:ext uri="{FF2B5EF4-FFF2-40B4-BE49-F238E27FC236}">
              <a16:creationId xmlns:a16="http://schemas.microsoft.com/office/drawing/2014/main" id="{6189BD04-5DFE-4F92-9F2F-F22103BAB7DB}"/>
            </a:ext>
          </a:extLst>
        </xdr:cNvPr>
        <xdr:cNvSpPr>
          <a:spLocks noChangeAspect="1" noChangeArrowheads="1"/>
        </xdr:cNvSpPr>
      </xdr:nvSpPr>
      <xdr:spPr bwMode="auto">
        <a:xfrm>
          <a:off x="0" y="1258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92710</xdr:rowOff>
    </xdr:to>
    <xdr:sp macro="" textlink="">
      <xdr:nvSpPr>
        <xdr:cNvPr id="95" name="AutoShape 95" descr="USA">
          <a:hlinkClick xmlns:r="http://schemas.openxmlformats.org/officeDocument/2006/relationships" r:id="rId94"/>
          <a:extLst>
            <a:ext uri="{FF2B5EF4-FFF2-40B4-BE49-F238E27FC236}">
              <a16:creationId xmlns:a16="http://schemas.microsoft.com/office/drawing/2014/main" id="{687AFC4C-8C0D-43FF-8912-7B3FD13B3338}"/>
            </a:ext>
          </a:extLst>
        </xdr:cNvPr>
        <xdr:cNvSpPr>
          <a:spLocks noChangeAspect="1" noChangeArrowheads="1"/>
        </xdr:cNvSpPr>
      </xdr:nvSpPr>
      <xdr:spPr bwMode="auto">
        <a:xfrm>
          <a:off x="0" y="1753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96" name="AutoShape 96" descr="USA">
          <a:hlinkClick xmlns:r="http://schemas.openxmlformats.org/officeDocument/2006/relationships" r:id="rId95"/>
          <a:extLst>
            <a:ext uri="{FF2B5EF4-FFF2-40B4-BE49-F238E27FC236}">
              <a16:creationId xmlns:a16="http://schemas.microsoft.com/office/drawing/2014/main" id="{A6C0558E-812C-404D-9082-7633CF4326D1}"/>
            </a:ext>
          </a:extLst>
        </xdr:cNvPr>
        <xdr:cNvSpPr>
          <a:spLocks noChangeAspect="1" noChangeArrowheads="1"/>
        </xdr:cNvSpPr>
      </xdr:nvSpPr>
      <xdr:spPr bwMode="auto">
        <a:xfrm>
          <a:off x="0" y="2153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130901</xdr:rowOff>
    </xdr:to>
    <xdr:sp macro="" textlink="">
      <xdr:nvSpPr>
        <xdr:cNvPr id="97" name="AutoShape 97" descr="IRL">
          <a:hlinkClick xmlns:r="http://schemas.openxmlformats.org/officeDocument/2006/relationships" r:id="rId96"/>
          <a:extLst>
            <a:ext uri="{FF2B5EF4-FFF2-40B4-BE49-F238E27FC236}">
              <a16:creationId xmlns:a16="http://schemas.microsoft.com/office/drawing/2014/main" id="{3732A5BB-E5FD-4DFA-A4CF-B2705FA3DE16}"/>
            </a:ext>
          </a:extLst>
        </xdr:cNvPr>
        <xdr:cNvSpPr>
          <a:spLocks noChangeAspect="1" noChangeArrowheads="1"/>
        </xdr:cNvSpPr>
      </xdr:nvSpPr>
      <xdr:spPr bwMode="auto">
        <a:xfrm>
          <a:off x="0" y="14106525"/>
          <a:ext cx="304800" cy="32140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92710</xdr:rowOff>
    </xdr:to>
    <xdr:sp macro="" textlink="">
      <xdr:nvSpPr>
        <xdr:cNvPr id="98" name="AutoShape 98" descr="USA">
          <a:hlinkClick xmlns:r="http://schemas.openxmlformats.org/officeDocument/2006/relationships" r:id="rId97"/>
          <a:extLst>
            <a:ext uri="{FF2B5EF4-FFF2-40B4-BE49-F238E27FC236}">
              <a16:creationId xmlns:a16="http://schemas.microsoft.com/office/drawing/2014/main" id="{E2DD5745-514A-4A92-A188-13C210235240}"/>
            </a:ext>
          </a:extLst>
        </xdr:cNvPr>
        <xdr:cNvSpPr>
          <a:spLocks noChangeAspect="1" noChangeArrowheads="1"/>
        </xdr:cNvSpPr>
      </xdr:nvSpPr>
      <xdr:spPr bwMode="auto">
        <a:xfrm>
          <a:off x="0" y="839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92709</xdr:rowOff>
    </xdr:to>
    <xdr:sp macro="" textlink="">
      <xdr:nvSpPr>
        <xdr:cNvPr id="99" name="AutoShape 99" descr="USA">
          <a:hlinkClick xmlns:r="http://schemas.openxmlformats.org/officeDocument/2006/relationships" r:id="rId98"/>
          <a:extLst>
            <a:ext uri="{FF2B5EF4-FFF2-40B4-BE49-F238E27FC236}">
              <a16:creationId xmlns:a16="http://schemas.microsoft.com/office/drawing/2014/main" id="{983338E0-E723-4D81-91FC-18867EAD26D3}"/>
            </a:ext>
          </a:extLst>
        </xdr:cNvPr>
        <xdr:cNvSpPr>
          <a:spLocks noChangeAspect="1" noChangeArrowheads="1"/>
        </xdr:cNvSpPr>
      </xdr:nvSpPr>
      <xdr:spPr bwMode="auto">
        <a:xfrm>
          <a:off x="0" y="1715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92711</xdr:rowOff>
    </xdr:to>
    <xdr:sp macro="" textlink="">
      <xdr:nvSpPr>
        <xdr:cNvPr id="100" name="AutoShape 100" descr="USA">
          <a:hlinkClick xmlns:r="http://schemas.openxmlformats.org/officeDocument/2006/relationships" r:id="rId99"/>
          <a:extLst>
            <a:ext uri="{FF2B5EF4-FFF2-40B4-BE49-F238E27FC236}">
              <a16:creationId xmlns:a16="http://schemas.microsoft.com/office/drawing/2014/main" id="{FF18D40F-9BF8-4837-87DE-942591196EE5}"/>
            </a:ext>
          </a:extLst>
        </xdr:cNvPr>
        <xdr:cNvSpPr>
          <a:spLocks noChangeAspect="1" noChangeArrowheads="1"/>
        </xdr:cNvSpPr>
      </xdr:nvSpPr>
      <xdr:spPr bwMode="auto">
        <a:xfrm>
          <a:off x="0" y="28775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92710</xdr:rowOff>
    </xdr:to>
    <xdr:sp macro="" textlink="">
      <xdr:nvSpPr>
        <xdr:cNvPr id="101" name="AutoShape 101" descr="AUS">
          <a:hlinkClick xmlns:r="http://schemas.openxmlformats.org/officeDocument/2006/relationships" r:id="rId100"/>
          <a:extLst>
            <a:ext uri="{FF2B5EF4-FFF2-40B4-BE49-F238E27FC236}">
              <a16:creationId xmlns:a16="http://schemas.microsoft.com/office/drawing/2014/main" id="{69CCAC48-7324-4C77-849A-58C61D7A7CB7}"/>
            </a:ext>
          </a:extLst>
        </xdr:cNvPr>
        <xdr:cNvSpPr>
          <a:spLocks noChangeAspect="1" noChangeArrowheads="1"/>
        </xdr:cNvSpPr>
      </xdr:nvSpPr>
      <xdr:spPr bwMode="auto">
        <a:xfrm>
          <a:off x="0" y="305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92709</xdr:rowOff>
    </xdr:to>
    <xdr:sp macro="" textlink="">
      <xdr:nvSpPr>
        <xdr:cNvPr id="102" name="AutoShape 102" descr="USA">
          <a:hlinkClick xmlns:r="http://schemas.openxmlformats.org/officeDocument/2006/relationships" r:id="rId101"/>
          <a:extLst>
            <a:ext uri="{FF2B5EF4-FFF2-40B4-BE49-F238E27FC236}">
              <a16:creationId xmlns:a16="http://schemas.microsoft.com/office/drawing/2014/main" id="{10D51AC8-BBA4-4F2C-ABB1-626A3399DB3A}"/>
            </a:ext>
          </a:extLst>
        </xdr:cNvPr>
        <xdr:cNvSpPr>
          <a:spLocks noChangeAspect="1" noChangeArrowheads="1"/>
        </xdr:cNvSpPr>
      </xdr:nvSpPr>
      <xdr:spPr bwMode="auto">
        <a:xfrm>
          <a:off x="0" y="28394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92710</xdr:rowOff>
    </xdr:to>
    <xdr:sp macro="" textlink="">
      <xdr:nvSpPr>
        <xdr:cNvPr id="103" name="AutoShape 103" descr="USA">
          <a:hlinkClick xmlns:r="http://schemas.openxmlformats.org/officeDocument/2006/relationships" r:id="rId102"/>
          <a:extLst>
            <a:ext uri="{FF2B5EF4-FFF2-40B4-BE49-F238E27FC236}">
              <a16:creationId xmlns:a16="http://schemas.microsoft.com/office/drawing/2014/main" id="{5C95BA8D-F1A3-4E67-A1CF-0B875F2E87F6}"/>
            </a:ext>
          </a:extLst>
        </xdr:cNvPr>
        <xdr:cNvSpPr>
          <a:spLocks noChangeAspect="1" noChangeArrowheads="1"/>
        </xdr:cNvSpPr>
      </xdr:nvSpPr>
      <xdr:spPr bwMode="auto">
        <a:xfrm>
          <a:off x="0" y="534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104" name="AutoShape 104" descr="USA">
          <a:hlinkClick xmlns:r="http://schemas.openxmlformats.org/officeDocument/2006/relationships" r:id="rId103"/>
          <a:extLst>
            <a:ext uri="{FF2B5EF4-FFF2-40B4-BE49-F238E27FC236}">
              <a16:creationId xmlns:a16="http://schemas.microsoft.com/office/drawing/2014/main" id="{32C0425F-4A80-4DDF-BFC0-586D76ADA5EF}"/>
            </a:ext>
          </a:extLst>
        </xdr:cNvPr>
        <xdr:cNvSpPr>
          <a:spLocks noChangeAspect="1" noChangeArrowheads="1"/>
        </xdr:cNvSpPr>
      </xdr:nvSpPr>
      <xdr:spPr bwMode="auto">
        <a:xfrm>
          <a:off x="0" y="3144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92709</xdr:rowOff>
    </xdr:to>
    <xdr:sp macro="" textlink="">
      <xdr:nvSpPr>
        <xdr:cNvPr id="105" name="AutoShape 105" descr="USA">
          <a:hlinkClick xmlns:r="http://schemas.openxmlformats.org/officeDocument/2006/relationships" r:id="rId104"/>
          <a:extLst>
            <a:ext uri="{FF2B5EF4-FFF2-40B4-BE49-F238E27FC236}">
              <a16:creationId xmlns:a16="http://schemas.microsoft.com/office/drawing/2014/main" id="{C573C1EC-F4FC-40E0-BF36-AADA411DEAC5}"/>
            </a:ext>
          </a:extLst>
        </xdr:cNvPr>
        <xdr:cNvSpPr>
          <a:spLocks noChangeAspect="1" noChangeArrowheads="1"/>
        </xdr:cNvSpPr>
      </xdr:nvSpPr>
      <xdr:spPr bwMode="auto">
        <a:xfrm>
          <a:off x="0" y="24965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106" name="AutoShape 106" descr="USA">
          <a:hlinkClick xmlns:r="http://schemas.openxmlformats.org/officeDocument/2006/relationships" r:id="rId105"/>
          <a:extLst>
            <a:ext uri="{FF2B5EF4-FFF2-40B4-BE49-F238E27FC236}">
              <a16:creationId xmlns:a16="http://schemas.microsoft.com/office/drawing/2014/main" id="{3EA8AA40-C637-4707-95C7-5DC6CCDF0CD1}"/>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92710</xdr:rowOff>
    </xdr:to>
    <xdr:sp macro="" textlink="">
      <xdr:nvSpPr>
        <xdr:cNvPr id="107" name="AutoShape 107" descr="USA">
          <a:hlinkClick xmlns:r="http://schemas.openxmlformats.org/officeDocument/2006/relationships" r:id="rId106"/>
          <a:extLst>
            <a:ext uri="{FF2B5EF4-FFF2-40B4-BE49-F238E27FC236}">
              <a16:creationId xmlns:a16="http://schemas.microsoft.com/office/drawing/2014/main" id="{A9E16D45-AFA6-41F4-9303-B0EB517A1CCA}"/>
            </a:ext>
          </a:extLst>
        </xdr:cNvPr>
        <xdr:cNvSpPr>
          <a:spLocks noChangeAspect="1" noChangeArrowheads="1"/>
        </xdr:cNvSpPr>
      </xdr:nvSpPr>
      <xdr:spPr bwMode="auto">
        <a:xfrm>
          <a:off x="0" y="591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92710</xdr:rowOff>
    </xdr:to>
    <xdr:sp macro="" textlink="">
      <xdr:nvSpPr>
        <xdr:cNvPr id="108" name="AutoShape 108" descr="USA">
          <a:hlinkClick xmlns:r="http://schemas.openxmlformats.org/officeDocument/2006/relationships" r:id="rId107"/>
          <a:extLst>
            <a:ext uri="{FF2B5EF4-FFF2-40B4-BE49-F238E27FC236}">
              <a16:creationId xmlns:a16="http://schemas.microsoft.com/office/drawing/2014/main" id="{6026B6CF-BE69-456C-B04A-D6A1F633D451}"/>
            </a:ext>
          </a:extLst>
        </xdr:cNvPr>
        <xdr:cNvSpPr>
          <a:spLocks noChangeAspect="1" noChangeArrowheads="1"/>
        </xdr:cNvSpPr>
      </xdr:nvSpPr>
      <xdr:spPr bwMode="auto">
        <a:xfrm>
          <a:off x="0" y="1886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92710</xdr:rowOff>
    </xdr:to>
    <xdr:sp macro="" textlink="">
      <xdr:nvSpPr>
        <xdr:cNvPr id="109" name="AutoShape 109" descr="USA">
          <a:hlinkClick xmlns:r="http://schemas.openxmlformats.org/officeDocument/2006/relationships" r:id="rId108"/>
          <a:extLst>
            <a:ext uri="{FF2B5EF4-FFF2-40B4-BE49-F238E27FC236}">
              <a16:creationId xmlns:a16="http://schemas.microsoft.com/office/drawing/2014/main" id="{B9B34EC9-5FB0-429F-BCC8-BC450C122770}"/>
            </a:ext>
          </a:extLst>
        </xdr:cNvPr>
        <xdr:cNvSpPr>
          <a:spLocks noChangeAspect="1" noChangeArrowheads="1"/>
        </xdr:cNvSpPr>
      </xdr:nvSpPr>
      <xdr:spPr bwMode="auto">
        <a:xfrm>
          <a:off x="0" y="381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10" name="AutoShape 110" descr="SWE">
          <a:hlinkClick xmlns:r="http://schemas.openxmlformats.org/officeDocument/2006/relationships" r:id="rId109"/>
          <a:extLst>
            <a:ext uri="{FF2B5EF4-FFF2-40B4-BE49-F238E27FC236}">
              <a16:creationId xmlns:a16="http://schemas.microsoft.com/office/drawing/2014/main" id="{D2884E83-DA85-4699-89C7-6593728EB4E3}"/>
            </a:ext>
          </a:extLst>
        </xdr:cNvPr>
        <xdr:cNvSpPr>
          <a:spLocks noChangeAspect="1" noChangeArrowheads="1"/>
        </xdr:cNvSpPr>
      </xdr:nvSpPr>
      <xdr:spPr bwMode="auto">
        <a:xfrm>
          <a:off x="0" y="3334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92710</xdr:rowOff>
    </xdr:to>
    <xdr:sp macro="" textlink="">
      <xdr:nvSpPr>
        <xdr:cNvPr id="111" name="AutoShape 111" descr="CAN">
          <a:hlinkClick xmlns:r="http://schemas.openxmlformats.org/officeDocument/2006/relationships" r:id="rId110"/>
          <a:extLst>
            <a:ext uri="{FF2B5EF4-FFF2-40B4-BE49-F238E27FC236}">
              <a16:creationId xmlns:a16="http://schemas.microsoft.com/office/drawing/2014/main" id="{14951594-A995-45F1-8B4C-B8394967B10A}"/>
            </a:ext>
          </a:extLst>
        </xdr:cNvPr>
        <xdr:cNvSpPr>
          <a:spLocks noChangeAspect="1" noChangeArrowheads="1"/>
        </xdr:cNvSpPr>
      </xdr:nvSpPr>
      <xdr:spPr bwMode="auto">
        <a:xfrm>
          <a:off x="0" y="3068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92710</xdr:rowOff>
    </xdr:to>
    <xdr:sp macro="" textlink="">
      <xdr:nvSpPr>
        <xdr:cNvPr id="112" name="AutoShape 112" descr="USA">
          <a:hlinkClick xmlns:r="http://schemas.openxmlformats.org/officeDocument/2006/relationships" r:id="rId111"/>
          <a:extLst>
            <a:ext uri="{FF2B5EF4-FFF2-40B4-BE49-F238E27FC236}">
              <a16:creationId xmlns:a16="http://schemas.microsoft.com/office/drawing/2014/main" id="{95A0A7AC-05AB-4A7C-BCAC-8E925A84CED6}"/>
            </a:ext>
          </a:extLst>
        </xdr:cNvPr>
        <xdr:cNvSpPr>
          <a:spLocks noChangeAspect="1" noChangeArrowheads="1"/>
        </xdr:cNvSpPr>
      </xdr:nvSpPr>
      <xdr:spPr bwMode="auto">
        <a:xfrm>
          <a:off x="0" y="1905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92710</xdr:rowOff>
    </xdr:to>
    <xdr:sp macro="" textlink="">
      <xdr:nvSpPr>
        <xdr:cNvPr id="113" name="AutoShape 113" descr="RSA">
          <a:hlinkClick xmlns:r="http://schemas.openxmlformats.org/officeDocument/2006/relationships" r:id="rId112"/>
          <a:extLst>
            <a:ext uri="{FF2B5EF4-FFF2-40B4-BE49-F238E27FC236}">
              <a16:creationId xmlns:a16="http://schemas.microsoft.com/office/drawing/2014/main" id="{FC9EE87E-CF0A-420A-B353-B262F96EC2F0}"/>
            </a:ext>
          </a:extLst>
        </xdr:cNvPr>
        <xdr:cNvSpPr>
          <a:spLocks noChangeAspect="1" noChangeArrowheads="1"/>
        </xdr:cNvSpPr>
      </xdr:nvSpPr>
      <xdr:spPr bwMode="auto">
        <a:xfrm>
          <a:off x="0" y="3010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114" name="AutoShape 114" descr="USA">
          <a:hlinkClick xmlns:r="http://schemas.openxmlformats.org/officeDocument/2006/relationships" r:id="rId113"/>
          <a:extLst>
            <a:ext uri="{FF2B5EF4-FFF2-40B4-BE49-F238E27FC236}">
              <a16:creationId xmlns:a16="http://schemas.microsoft.com/office/drawing/2014/main" id="{5CDCED5F-841B-4C1C-9AEB-ADDADDE74F27}"/>
            </a:ext>
          </a:extLst>
        </xdr:cNvPr>
        <xdr:cNvSpPr>
          <a:spLocks noChangeAspect="1" noChangeArrowheads="1"/>
        </xdr:cNvSpPr>
      </xdr:nvSpPr>
      <xdr:spPr bwMode="auto">
        <a:xfrm>
          <a:off x="0" y="3220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92710</xdr:rowOff>
    </xdr:to>
    <xdr:sp macro="" textlink="">
      <xdr:nvSpPr>
        <xdr:cNvPr id="115" name="AutoShape 115" descr="USA">
          <a:hlinkClick xmlns:r="http://schemas.openxmlformats.org/officeDocument/2006/relationships" r:id="rId114"/>
          <a:extLst>
            <a:ext uri="{FF2B5EF4-FFF2-40B4-BE49-F238E27FC236}">
              <a16:creationId xmlns:a16="http://schemas.microsoft.com/office/drawing/2014/main" id="{E9E33C70-C305-4FF9-A9FE-E017C61874B8}"/>
            </a:ext>
          </a:extLst>
        </xdr:cNvPr>
        <xdr:cNvSpPr>
          <a:spLocks noChangeAspect="1" noChangeArrowheads="1"/>
        </xdr:cNvSpPr>
      </xdr:nvSpPr>
      <xdr:spPr bwMode="auto">
        <a:xfrm>
          <a:off x="0" y="2325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92710</xdr:rowOff>
    </xdr:to>
    <xdr:sp macro="" textlink="">
      <xdr:nvSpPr>
        <xdr:cNvPr id="116" name="AutoShape 116" descr="USA">
          <a:hlinkClick xmlns:r="http://schemas.openxmlformats.org/officeDocument/2006/relationships" r:id="rId115"/>
          <a:extLst>
            <a:ext uri="{FF2B5EF4-FFF2-40B4-BE49-F238E27FC236}">
              <a16:creationId xmlns:a16="http://schemas.microsoft.com/office/drawing/2014/main" id="{F3D3E110-D062-4C04-81D2-290F4545299E}"/>
            </a:ext>
          </a:extLst>
        </xdr:cNvPr>
        <xdr:cNvSpPr>
          <a:spLocks noChangeAspect="1" noChangeArrowheads="1"/>
        </xdr:cNvSpPr>
      </xdr:nvSpPr>
      <xdr:spPr bwMode="auto">
        <a:xfrm>
          <a:off x="0" y="3029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92710</xdr:rowOff>
    </xdr:to>
    <xdr:sp macro="" textlink="">
      <xdr:nvSpPr>
        <xdr:cNvPr id="117" name="AutoShape 117" descr="AUS">
          <a:hlinkClick xmlns:r="http://schemas.openxmlformats.org/officeDocument/2006/relationships" r:id="rId116"/>
          <a:extLst>
            <a:ext uri="{FF2B5EF4-FFF2-40B4-BE49-F238E27FC236}">
              <a16:creationId xmlns:a16="http://schemas.microsoft.com/office/drawing/2014/main" id="{D69FE12F-4094-4F9B-8774-BA668C7CBA80}"/>
            </a:ext>
          </a:extLst>
        </xdr:cNvPr>
        <xdr:cNvSpPr>
          <a:spLocks noChangeAspect="1" noChangeArrowheads="1"/>
        </xdr:cNvSpPr>
      </xdr:nvSpPr>
      <xdr:spPr bwMode="auto">
        <a:xfrm>
          <a:off x="0" y="1620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92709</xdr:rowOff>
    </xdr:to>
    <xdr:sp macro="" textlink="">
      <xdr:nvSpPr>
        <xdr:cNvPr id="118" name="AutoShape 118" descr="USA">
          <a:hlinkClick xmlns:r="http://schemas.openxmlformats.org/officeDocument/2006/relationships" r:id="rId117"/>
          <a:extLst>
            <a:ext uri="{FF2B5EF4-FFF2-40B4-BE49-F238E27FC236}">
              <a16:creationId xmlns:a16="http://schemas.microsoft.com/office/drawing/2014/main" id="{B2E7B557-0145-4215-9733-608E3393492D}"/>
            </a:ext>
          </a:extLst>
        </xdr:cNvPr>
        <xdr:cNvSpPr>
          <a:spLocks noChangeAspect="1" noChangeArrowheads="1"/>
        </xdr:cNvSpPr>
      </xdr:nvSpPr>
      <xdr:spPr bwMode="auto">
        <a:xfrm>
          <a:off x="0" y="2096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92709</xdr:rowOff>
    </xdr:to>
    <xdr:sp macro="" textlink="">
      <xdr:nvSpPr>
        <xdr:cNvPr id="119" name="AutoShape 119" descr="USA">
          <a:hlinkClick xmlns:r="http://schemas.openxmlformats.org/officeDocument/2006/relationships" r:id="rId118"/>
          <a:extLst>
            <a:ext uri="{FF2B5EF4-FFF2-40B4-BE49-F238E27FC236}">
              <a16:creationId xmlns:a16="http://schemas.microsoft.com/office/drawing/2014/main" id="{EABDFAFE-7A7C-4DBB-8AC0-D6131B73F170}"/>
            </a:ext>
          </a:extLst>
        </xdr:cNvPr>
        <xdr:cNvSpPr>
          <a:spLocks noChangeAspect="1" noChangeArrowheads="1"/>
        </xdr:cNvSpPr>
      </xdr:nvSpPr>
      <xdr:spPr bwMode="auto">
        <a:xfrm>
          <a:off x="0" y="11630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92710</xdr:rowOff>
    </xdr:to>
    <xdr:sp macro="" textlink="">
      <xdr:nvSpPr>
        <xdr:cNvPr id="120" name="AutoShape 120" descr="RSA">
          <a:hlinkClick xmlns:r="http://schemas.openxmlformats.org/officeDocument/2006/relationships" r:id="rId119"/>
          <a:extLst>
            <a:ext uri="{FF2B5EF4-FFF2-40B4-BE49-F238E27FC236}">
              <a16:creationId xmlns:a16="http://schemas.microsoft.com/office/drawing/2014/main" id="{CE1FE308-23D1-4D71-9CB3-1E5F849C055B}"/>
            </a:ext>
          </a:extLst>
        </xdr:cNvPr>
        <xdr:cNvSpPr>
          <a:spLocks noChangeAspect="1" noChangeArrowheads="1"/>
        </xdr:cNvSpPr>
      </xdr:nvSpPr>
      <xdr:spPr bwMode="auto">
        <a:xfrm>
          <a:off x="0" y="1734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92710</xdr:rowOff>
    </xdr:to>
    <xdr:sp macro="" textlink="">
      <xdr:nvSpPr>
        <xdr:cNvPr id="121" name="AutoShape 121" descr="USA">
          <a:hlinkClick xmlns:r="http://schemas.openxmlformats.org/officeDocument/2006/relationships" r:id="rId120"/>
          <a:extLst>
            <a:ext uri="{FF2B5EF4-FFF2-40B4-BE49-F238E27FC236}">
              <a16:creationId xmlns:a16="http://schemas.microsoft.com/office/drawing/2014/main" id="{08431129-2B17-444B-AB8C-CE6A629A5DFA}"/>
            </a:ext>
          </a:extLst>
        </xdr:cNvPr>
        <xdr:cNvSpPr>
          <a:spLocks noChangeAspect="1" noChangeArrowheads="1"/>
        </xdr:cNvSpPr>
      </xdr:nvSpPr>
      <xdr:spPr bwMode="auto">
        <a:xfrm>
          <a:off x="0" y="686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92710</xdr:rowOff>
    </xdr:to>
    <xdr:sp macro="" textlink="">
      <xdr:nvSpPr>
        <xdr:cNvPr id="122" name="AutoShape 122" descr="AUT">
          <a:hlinkClick xmlns:r="http://schemas.openxmlformats.org/officeDocument/2006/relationships" r:id="rId121"/>
          <a:extLst>
            <a:ext uri="{FF2B5EF4-FFF2-40B4-BE49-F238E27FC236}">
              <a16:creationId xmlns:a16="http://schemas.microsoft.com/office/drawing/2014/main" id="{AEEB2181-773E-4BCD-A14A-DB6D8CCF7FC4}"/>
            </a:ext>
          </a:extLst>
        </xdr:cNvPr>
        <xdr:cNvSpPr>
          <a:spLocks noChangeAspect="1" noChangeArrowheads="1"/>
        </xdr:cNvSpPr>
      </xdr:nvSpPr>
      <xdr:spPr bwMode="auto">
        <a:xfrm>
          <a:off x="0" y="3087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92710</xdr:rowOff>
    </xdr:to>
    <xdr:sp macro="" textlink="">
      <xdr:nvSpPr>
        <xdr:cNvPr id="123" name="AutoShape 123" descr="CHI">
          <a:hlinkClick xmlns:r="http://schemas.openxmlformats.org/officeDocument/2006/relationships" r:id="rId122"/>
          <a:extLst>
            <a:ext uri="{FF2B5EF4-FFF2-40B4-BE49-F238E27FC236}">
              <a16:creationId xmlns:a16="http://schemas.microsoft.com/office/drawing/2014/main" id="{E5CEEC68-842C-4440-98FF-25D5ADF67DF2}"/>
            </a:ext>
          </a:extLst>
        </xdr:cNvPr>
        <xdr:cNvSpPr>
          <a:spLocks noChangeAspect="1" noChangeArrowheads="1"/>
        </xdr:cNvSpPr>
      </xdr:nvSpPr>
      <xdr:spPr bwMode="auto">
        <a:xfrm>
          <a:off x="0" y="2763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124" name="AutoShape 124" descr="RSA">
          <a:hlinkClick xmlns:r="http://schemas.openxmlformats.org/officeDocument/2006/relationships" r:id="rId123"/>
          <a:extLst>
            <a:ext uri="{FF2B5EF4-FFF2-40B4-BE49-F238E27FC236}">
              <a16:creationId xmlns:a16="http://schemas.microsoft.com/office/drawing/2014/main" id="{9902CBF3-3EEE-4484-A86B-1AA7F29077D8}"/>
            </a:ext>
          </a:extLst>
        </xdr:cNvPr>
        <xdr:cNvSpPr>
          <a:spLocks noChangeAspect="1" noChangeArrowheads="1"/>
        </xdr:cNvSpPr>
      </xdr:nvSpPr>
      <xdr:spPr bwMode="auto">
        <a:xfrm>
          <a:off x="0" y="991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91440</xdr:rowOff>
    </xdr:to>
    <xdr:sp macro="" textlink="">
      <xdr:nvSpPr>
        <xdr:cNvPr id="125" name="AutoShape 125" descr="SWE">
          <a:hlinkClick xmlns:r="http://schemas.openxmlformats.org/officeDocument/2006/relationships" r:id="rId124"/>
          <a:extLst>
            <a:ext uri="{FF2B5EF4-FFF2-40B4-BE49-F238E27FC236}">
              <a16:creationId xmlns:a16="http://schemas.microsoft.com/office/drawing/2014/main" id="{5551192C-E47A-4078-9085-8FF91D3303B3}"/>
            </a:ext>
          </a:extLst>
        </xdr:cNvPr>
        <xdr:cNvSpPr>
          <a:spLocks noChangeAspect="1" noChangeArrowheads="1"/>
        </xdr:cNvSpPr>
      </xdr:nvSpPr>
      <xdr:spPr bwMode="auto">
        <a:xfrm>
          <a:off x="0" y="4200525"/>
          <a:ext cx="304800" cy="2819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92711</xdr:rowOff>
    </xdr:to>
    <xdr:sp macro="" textlink="">
      <xdr:nvSpPr>
        <xdr:cNvPr id="126" name="AutoShape 126" descr="USA">
          <a:hlinkClick xmlns:r="http://schemas.openxmlformats.org/officeDocument/2006/relationships" r:id="rId125"/>
          <a:extLst>
            <a:ext uri="{FF2B5EF4-FFF2-40B4-BE49-F238E27FC236}">
              <a16:creationId xmlns:a16="http://schemas.microsoft.com/office/drawing/2014/main" id="{355E2C09-1BDA-499D-AE0B-C96387927941}"/>
            </a:ext>
          </a:extLst>
        </xdr:cNvPr>
        <xdr:cNvSpPr>
          <a:spLocks noChangeAspect="1" noChangeArrowheads="1"/>
        </xdr:cNvSpPr>
      </xdr:nvSpPr>
      <xdr:spPr bwMode="auto">
        <a:xfrm>
          <a:off x="0" y="6105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92710</xdr:rowOff>
    </xdr:to>
    <xdr:sp macro="" textlink="">
      <xdr:nvSpPr>
        <xdr:cNvPr id="127" name="AutoShape 127" descr="SWE">
          <a:hlinkClick xmlns:r="http://schemas.openxmlformats.org/officeDocument/2006/relationships" r:id="rId126"/>
          <a:extLst>
            <a:ext uri="{FF2B5EF4-FFF2-40B4-BE49-F238E27FC236}">
              <a16:creationId xmlns:a16="http://schemas.microsoft.com/office/drawing/2014/main" id="{D01DD8C8-86AF-4ED5-9A21-E4C2EBE49E82}"/>
            </a:ext>
          </a:extLst>
        </xdr:cNvPr>
        <xdr:cNvSpPr>
          <a:spLocks noChangeAspect="1" noChangeArrowheads="1"/>
        </xdr:cNvSpPr>
      </xdr:nvSpPr>
      <xdr:spPr bwMode="auto">
        <a:xfrm>
          <a:off x="0" y="2001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128" name="AutoShape 128" descr="USA">
          <a:hlinkClick xmlns:r="http://schemas.openxmlformats.org/officeDocument/2006/relationships" r:id="rId127"/>
          <a:extLst>
            <a:ext uri="{FF2B5EF4-FFF2-40B4-BE49-F238E27FC236}">
              <a16:creationId xmlns:a16="http://schemas.microsoft.com/office/drawing/2014/main" id="{3149DDC8-5E65-4706-86A7-4B2968C5E1C9}"/>
            </a:ext>
          </a:extLst>
        </xdr:cNvPr>
        <xdr:cNvSpPr>
          <a:spLocks noChangeAspect="1" noChangeArrowheads="1"/>
        </xdr:cNvSpPr>
      </xdr:nvSpPr>
      <xdr:spPr bwMode="auto">
        <a:xfrm>
          <a:off x="0" y="991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92711</xdr:rowOff>
    </xdr:to>
    <xdr:sp macro="" textlink="">
      <xdr:nvSpPr>
        <xdr:cNvPr id="129" name="AutoShape 129" descr="USA">
          <a:hlinkClick xmlns:r="http://schemas.openxmlformats.org/officeDocument/2006/relationships" r:id="rId128"/>
          <a:extLst>
            <a:ext uri="{FF2B5EF4-FFF2-40B4-BE49-F238E27FC236}">
              <a16:creationId xmlns:a16="http://schemas.microsoft.com/office/drawing/2014/main" id="{0491C112-F643-421E-A090-D1399028E39E}"/>
            </a:ext>
          </a:extLst>
        </xdr:cNvPr>
        <xdr:cNvSpPr>
          <a:spLocks noChangeAspect="1" noChangeArrowheads="1"/>
        </xdr:cNvSpPr>
      </xdr:nvSpPr>
      <xdr:spPr bwMode="auto">
        <a:xfrm>
          <a:off x="0" y="22107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130" name="AutoShape 130" descr="SCO">
          <a:hlinkClick xmlns:r="http://schemas.openxmlformats.org/officeDocument/2006/relationships" r:id="rId129"/>
          <a:extLst>
            <a:ext uri="{FF2B5EF4-FFF2-40B4-BE49-F238E27FC236}">
              <a16:creationId xmlns:a16="http://schemas.microsoft.com/office/drawing/2014/main" id="{3741F195-51E0-47AA-A12C-70B3C6E12361}"/>
            </a:ext>
          </a:extLst>
        </xdr:cNvPr>
        <xdr:cNvSpPr>
          <a:spLocks noChangeAspect="1" noChangeArrowheads="1"/>
        </xdr:cNvSpPr>
      </xdr:nvSpPr>
      <xdr:spPr bwMode="auto">
        <a:xfrm>
          <a:off x="0" y="1372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131" name="AutoShape 131" descr="USA">
          <a:hlinkClick xmlns:r="http://schemas.openxmlformats.org/officeDocument/2006/relationships" r:id="rId130"/>
          <a:extLst>
            <a:ext uri="{FF2B5EF4-FFF2-40B4-BE49-F238E27FC236}">
              <a16:creationId xmlns:a16="http://schemas.microsoft.com/office/drawing/2014/main" id="{6170E27E-12B9-464E-B276-57575BBAB180}"/>
            </a:ext>
          </a:extLst>
        </xdr:cNvPr>
        <xdr:cNvSpPr>
          <a:spLocks noChangeAspect="1" noChangeArrowheads="1"/>
        </xdr:cNvSpPr>
      </xdr:nvSpPr>
      <xdr:spPr bwMode="auto">
        <a:xfrm>
          <a:off x="0" y="3525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92710</xdr:rowOff>
    </xdr:to>
    <xdr:sp macro="" textlink="">
      <xdr:nvSpPr>
        <xdr:cNvPr id="132" name="AutoShape 132" descr="USA">
          <a:hlinkClick xmlns:r="http://schemas.openxmlformats.org/officeDocument/2006/relationships" r:id="rId131"/>
          <a:extLst>
            <a:ext uri="{FF2B5EF4-FFF2-40B4-BE49-F238E27FC236}">
              <a16:creationId xmlns:a16="http://schemas.microsoft.com/office/drawing/2014/main" id="{F2CD502A-FF23-4E16-A920-467F7AB69173}"/>
            </a:ext>
          </a:extLst>
        </xdr:cNvPr>
        <xdr:cNvSpPr>
          <a:spLocks noChangeAspect="1" noChangeArrowheads="1"/>
        </xdr:cNvSpPr>
      </xdr:nvSpPr>
      <xdr:spPr bwMode="auto">
        <a:xfrm>
          <a:off x="0" y="77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133" name="AutoShape 133" descr="AUS">
          <a:hlinkClick xmlns:r="http://schemas.openxmlformats.org/officeDocument/2006/relationships" r:id="rId132"/>
          <a:extLst>
            <a:ext uri="{FF2B5EF4-FFF2-40B4-BE49-F238E27FC236}">
              <a16:creationId xmlns:a16="http://schemas.microsoft.com/office/drawing/2014/main" id="{4F9BC2F0-20BB-446C-81CE-8B7927B2A388}"/>
            </a:ext>
          </a:extLst>
        </xdr:cNvPr>
        <xdr:cNvSpPr>
          <a:spLocks noChangeAspect="1" noChangeArrowheads="1"/>
        </xdr:cNvSpPr>
      </xdr:nvSpPr>
      <xdr:spPr bwMode="auto">
        <a:xfrm>
          <a:off x="0" y="2039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92710</xdr:rowOff>
    </xdr:to>
    <xdr:sp macro="" textlink="">
      <xdr:nvSpPr>
        <xdr:cNvPr id="134" name="AutoShape 134" descr="AUS">
          <a:hlinkClick xmlns:r="http://schemas.openxmlformats.org/officeDocument/2006/relationships" r:id="rId133"/>
          <a:extLst>
            <a:ext uri="{FF2B5EF4-FFF2-40B4-BE49-F238E27FC236}">
              <a16:creationId xmlns:a16="http://schemas.microsoft.com/office/drawing/2014/main" id="{A54A61F6-6548-45DF-99ED-0240CDF55368}"/>
            </a:ext>
          </a:extLst>
        </xdr:cNvPr>
        <xdr:cNvSpPr>
          <a:spLocks noChangeAspect="1" noChangeArrowheads="1"/>
        </xdr:cNvSpPr>
      </xdr:nvSpPr>
      <xdr:spPr bwMode="auto">
        <a:xfrm>
          <a:off x="0" y="96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92710</xdr:rowOff>
    </xdr:to>
    <xdr:sp macro="" textlink="">
      <xdr:nvSpPr>
        <xdr:cNvPr id="135" name="AutoShape 135" descr="USA">
          <a:hlinkClick xmlns:r="http://schemas.openxmlformats.org/officeDocument/2006/relationships" r:id="rId134"/>
          <a:extLst>
            <a:ext uri="{FF2B5EF4-FFF2-40B4-BE49-F238E27FC236}">
              <a16:creationId xmlns:a16="http://schemas.microsoft.com/office/drawing/2014/main" id="{C5EBACF9-EE38-40B3-BD86-4446AD88A07E}"/>
            </a:ext>
          </a:extLst>
        </xdr:cNvPr>
        <xdr:cNvSpPr>
          <a:spLocks noChangeAspect="1" noChangeArrowheads="1"/>
        </xdr:cNvSpPr>
      </xdr:nvSpPr>
      <xdr:spPr bwMode="auto">
        <a:xfrm>
          <a:off x="0" y="439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136" name="AutoShape 136" descr="USA">
          <a:hlinkClick xmlns:r="http://schemas.openxmlformats.org/officeDocument/2006/relationships" r:id="rId135"/>
          <a:extLst>
            <a:ext uri="{FF2B5EF4-FFF2-40B4-BE49-F238E27FC236}">
              <a16:creationId xmlns:a16="http://schemas.microsoft.com/office/drawing/2014/main" id="{463FF37E-F94A-4973-B271-DA3148A39454}"/>
            </a:ext>
          </a:extLst>
        </xdr:cNvPr>
        <xdr:cNvSpPr>
          <a:spLocks noChangeAspect="1" noChangeArrowheads="1"/>
        </xdr:cNvSpPr>
      </xdr:nvSpPr>
      <xdr:spPr bwMode="auto">
        <a:xfrm>
          <a:off x="0" y="2953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92710</xdr:rowOff>
    </xdr:to>
    <xdr:sp macro="" textlink="">
      <xdr:nvSpPr>
        <xdr:cNvPr id="137" name="AutoShape 137" descr="USA">
          <a:hlinkClick xmlns:r="http://schemas.openxmlformats.org/officeDocument/2006/relationships" r:id="rId136"/>
          <a:extLst>
            <a:ext uri="{FF2B5EF4-FFF2-40B4-BE49-F238E27FC236}">
              <a16:creationId xmlns:a16="http://schemas.microsoft.com/office/drawing/2014/main" id="{ACE58194-13E1-4D10-8F5E-F527C9DD477A}"/>
            </a:ext>
          </a:extLst>
        </xdr:cNvPr>
        <xdr:cNvSpPr>
          <a:spLocks noChangeAspect="1" noChangeArrowheads="1"/>
        </xdr:cNvSpPr>
      </xdr:nvSpPr>
      <xdr:spPr bwMode="auto">
        <a:xfrm>
          <a:off x="0" y="820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92710</xdr:rowOff>
    </xdr:to>
    <xdr:sp macro="" textlink="">
      <xdr:nvSpPr>
        <xdr:cNvPr id="138" name="AutoShape 138" descr="USA">
          <a:hlinkClick xmlns:r="http://schemas.openxmlformats.org/officeDocument/2006/relationships" r:id="rId137"/>
          <a:extLst>
            <a:ext uri="{FF2B5EF4-FFF2-40B4-BE49-F238E27FC236}">
              <a16:creationId xmlns:a16="http://schemas.microsoft.com/office/drawing/2014/main" id="{490F46E1-F562-484E-87A4-53F645CBD52E}"/>
            </a:ext>
          </a:extLst>
        </xdr:cNvPr>
        <xdr:cNvSpPr>
          <a:spLocks noChangeAspect="1" noChangeArrowheads="1"/>
        </xdr:cNvSpPr>
      </xdr:nvSpPr>
      <xdr:spPr bwMode="auto">
        <a:xfrm>
          <a:off x="0" y="1391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92710</xdr:rowOff>
    </xdr:to>
    <xdr:sp macro="" textlink="">
      <xdr:nvSpPr>
        <xdr:cNvPr id="139" name="AutoShape 139" descr="USA">
          <a:hlinkClick xmlns:r="http://schemas.openxmlformats.org/officeDocument/2006/relationships" r:id="rId138"/>
          <a:extLst>
            <a:ext uri="{FF2B5EF4-FFF2-40B4-BE49-F238E27FC236}">
              <a16:creationId xmlns:a16="http://schemas.microsoft.com/office/drawing/2014/main" id="{0197D493-26DA-488C-88FC-9E1243E581E0}"/>
            </a:ext>
          </a:extLst>
        </xdr:cNvPr>
        <xdr:cNvSpPr>
          <a:spLocks noChangeAspect="1" noChangeArrowheads="1"/>
        </xdr:cNvSpPr>
      </xdr:nvSpPr>
      <xdr:spPr bwMode="auto">
        <a:xfrm>
          <a:off x="0" y="1791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92710</xdr:rowOff>
    </xdr:to>
    <xdr:sp macro="" textlink="">
      <xdr:nvSpPr>
        <xdr:cNvPr id="140" name="AutoShape 140" descr="USA">
          <a:hlinkClick xmlns:r="http://schemas.openxmlformats.org/officeDocument/2006/relationships" r:id="rId139"/>
          <a:extLst>
            <a:ext uri="{FF2B5EF4-FFF2-40B4-BE49-F238E27FC236}">
              <a16:creationId xmlns:a16="http://schemas.microsoft.com/office/drawing/2014/main" id="{A58E9ADD-1F2C-47AD-9952-9C7E59F8B3AB}"/>
            </a:ext>
          </a:extLst>
        </xdr:cNvPr>
        <xdr:cNvSpPr>
          <a:spLocks noChangeAspect="1" noChangeArrowheads="1"/>
        </xdr:cNvSpPr>
      </xdr:nvSpPr>
      <xdr:spPr bwMode="auto">
        <a:xfrm>
          <a:off x="0" y="1467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92709</xdr:rowOff>
    </xdr:to>
    <xdr:sp macro="" textlink="">
      <xdr:nvSpPr>
        <xdr:cNvPr id="141" name="AutoShape 141" descr="USA">
          <a:hlinkClick xmlns:r="http://schemas.openxmlformats.org/officeDocument/2006/relationships" r:id="rId140"/>
          <a:extLst>
            <a:ext uri="{FF2B5EF4-FFF2-40B4-BE49-F238E27FC236}">
              <a16:creationId xmlns:a16="http://schemas.microsoft.com/office/drawing/2014/main" id="{516F2AC8-93F1-41C5-94BE-D255C6E5B3B6}"/>
            </a:ext>
          </a:extLst>
        </xdr:cNvPr>
        <xdr:cNvSpPr>
          <a:spLocks noChangeAspect="1" noChangeArrowheads="1"/>
        </xdr:cNvSpPr>
      </xdr:nvSpPr>
      <xdr:spPr bwMode="auto">
        <a:xfrm>
          <a:off x="0" y="10868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91440</xdr:rowOff>
    </xdr:to>
    <xdr:sp macro="" textlink="">
      <xdr:nvSpPr>
        <xdr:cNvPr id="142" name="AutoShape 142" descr="USA">
          <a:hlinkClick xmlns:r="http://schemas.openxmlformats.org/officeDocument/2006/relationships" r:id="rId141"/>
          <a:extLst>
            <a:ext uri="{FF2B5EF4-FFF2-40B4-BE49-F238E27FC236}">
              <a16:creationId xmlns:a16="http://schemas.microsoft.com/office/drawing/2014/main" id="{B389F94D-E471-4280-BE9A-2868956A011D}"/>
            </a:ext>
          </a:extLst>
        </xdr:cNvPr>
        <xdr:cNvSpPr>
          <a:spLocks noChangeAspect="1" noChangeArrowheads="1"/>
        </xdr:cNvSpPr>
      </xdr:nvSpPr>
      <xdr:spPr bwMode="auto">
        <a:xfrm>
          <a:off x="0" y="4200525"/>
          <a:ext cx="304800" cy="2819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92710</xdr:rowOff>
    </xdr:to>
    <xdr:sp macro="" textlink="">
      <xdr:nvSpPr>
        <xdr:cNvPr id="143" name="AutoShape 143" descr="USA">
          <a:hlinkClick xmlns:r="http://schemas.openxmlformats.org/officeDocument/2006/relationships" r:id="rId142"/>
          <a:extLst>
            <a:ext uri="{FF2B5EF4-FFF2-40B4-BE49-F238E27FC236}">
              <a16:creationId xmlns:a16="http://schemas.microsoft.com/office/drawing/2014/main" id="{004F07D1-3EAD-4449-8CAC-CF124FBAFFBA}"/>
            </a:ext>
          </a:extLst>
        </xdr:cNvPr>
        <xdr:cNvSpPr>
          <a:spLocks noChangeAspect="1" noChangeArrowheads="1"/>
        </xdr:cNvSpPr>
      </xdr:nvSpPr>
      <xdr:spPr bwMode="auto">
        <a:xfrm>
          <a:off x="0" y="801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92710</xdr:rowOff>
    </xdr:to>
    <xdr:sp macro="" textlink="">
      <xdr:nvSpPr>
        <xdr:cNvPr id="144" name="AutoShape 144" descr="USA">
          <a:hlinkClick xmlns:r="http://schemas.openxmlformats.org/officeDocument/2006/relationships" r:id="rId143"/>
          <a:extLst>
            <a:ext uri="{FF2B5EF4-FFF2-40B4-BE49-F238E27FC236}">
              <a16:creationId xmlns:a16="http://schemas.microsoft.com/office/drawing/2014/main" id="{151D1377-904D-423C-B8FA-2863F625F692}"/>
            </a:ext>
          </a:extLst>
        </xdr:cNvPr>
        <xdr:cNvSpPr>
          <a:spLocks noChangeAspect="1" noChangeArrowheads="1"/>
        </xdr:cNvSpPr>
      </xdr:nvSpPr>
      <xdr:spPr bwMode="auto">
        <a:xfrm>
          <a:off x="0" y="8582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92710</xdr:rowOff>
    </xdr:to>
    <xdr:sp macro="" textlink="">
      <xdr:nvSpPr>
        <xdr:cNvPr id="145" name="AutoShape 145" descr="USA">
          <a:hlinkClick xmlns:r="http://schemas.openxmlformats.org/officeDocument/2006/relationships" r:id="rId144"/>
          <a:extLst>
            <a:ext uri="{FF2B5EF4-FFF2-40B4-BE49-F238E27FC236}">
              <a16:creationId xmlns:a16="http://schemas.microsoft.com/office/drawing/2014/main" id="{0BB460F1-984C-433F-951D-1C24AAF8E24D}"/>
            </a:ext>
          </a:extLst>
        </xdr:cNvPr>
        <xdr:cNvSpPr>
          <a:spLocks noChangeAspect="1" noChangeArrowheads="1"/>
        </xdr:cNvSpPr>
      </xdr:nvSpPr>
      <xdr:spPr bwMode="auto">
        <a:xfrm>
          <a:off x="0" y="17535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92710</xdr:rowOff>
    </xdr:to>
    <xdr:sp macro="" textlink="">
      <xdr:nvSpPr>
        <xdr:cNvPr id="146" name="AutoShape 146" descr="USA">
          <a:hlinkClick xmlns:r="http://schemas.openxmlformats.org/officeDocument/2006/relationships" r:id="rId145"/>
          <a:extLst>
            <a:ext uri="{FF2B5EF4-FFF2-40B4-BE49-F238E27FC236}">
              <a16:creationId xmlns:a16="http://schemas.microsoft.com/office/drawing/2014/main" id="{CD870501-A6BB-4AEC-9C6E-08B7C820E7B1}"/>
            </a:ext>
          </a:extLst>
        </xdr:cNvPr>
        <xdr:cNvSpPr>
          <a:spLocks noChangeAspect="1" noChangeArrowheads="1"/>
        </xdr:cNvSpPr>
      </xdr:nvSpPr>
      <xdr:spPr bwMode="auto">
        <a:xfrm>
          <a:off x="0" y="1925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92710</xdr:rowOff>
    </xdr:to>
    <xdr:sp macro="" textlink="">
      <xdr:nvSpPr>
        <xdr:cNvPr id="147" name="AutoShape 147" descr="USA">
          <a:hlinkClick xmlns:r="http://schemas.openxmlformats.org/officeDocument/2006/relationships" r:id="rId146"/>
          <a:extLst>
            <a:ext uri="{FF2B5EF4-FFF2-40B4-BE49-F238E27FC236}">
              <a16:creationId xmlns:a16="http://schemas.microsoft.com/office/drawing/2014/main" id="{4BAF6F79-8CF0-40EF-BEAA-C79536ABBC7F}"/>
            </a:ext>
          </a:extLst>
        </xdr:cNvPr>
        <xdr:cNvSpPr>
          <a:spLocks noChangeAspect="1" noChangeArrowheads="1"/>
        </xdr:cNvSpPr>
      </xdr:nvSpPr>
      <xdr:spPr bwMode="auto">
        <a:xfrm>
          <a:off x="0" y="5724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92710</xdr:rowOff>
    </xdr:to>
    <xdr:sp macro="" textlink="">
      <xdr:nvSpPr>
        <xdr:cNvPr id="148" name="AutoShape 148" descr="USA">
          <a:hlinkClick xmlns:r="http://schemas.openxmlformats.org/officeDocument/2006/relationships" r:id="rId147"/>
          <a:extLst>
            <a:ext uri="{FF2B5EF4-FFF2-40B4-BE49-F238E27FC236}">
              <a16:creationId xmlns:a16="http://schemas.microsoft.com/office/drawing/2014/main" id="{19508572-E978-4E04-BF61-CF87F00FF810}"/>
            </a:ext>
          </a:extLst>
        </xdr:cNvPr>
        <xdr:cNvSpPr>
          <a:spLocks noChangeAspect="1" noChangeArrowheads="1"/>
        </xdr:cNvSpPr>
      </xdr:nvSpPr>
      <xdr:spPr bwMode="auto">
        <a:xfrm>
          <a:off x="0" y="1048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92710</xdr:rowOff>
    </xdr:to>
    <xdr:sp macro="" textlink="">
      <xdr:nvSpPr>
        <xdr:cNvPr id="149" name="AutoShape 149" descr="USA">
          <a:hlinkClick xmlns:r="http://schemas.openxmlformats.org/officeDocument/2006/relationships" r:id="rId148"/>
          <a:extLst>
            <a:ext uri="{FF2B5EF4-FFF2-40B4-BE49-F238E27FC236}">
              <a16:creationId xmlns:a16="http://schemas.microsoft.com/office/drawing/2014/main" id="{1A930F62-3916-4511-AEC6-5E1DB0CBED00}"/>
            </a:ext>
          </a:extLst>
        </xdr:cNvPr>
        <xdr:cNvSpPr>
          <a:spLocks noChangeAspect="1" noChangeArrowheads="1"/>
        </xdr:cNvSpPr>
      </xdr:nvSpPr>
      <xdr:spPr bwMode="auto">
        <a:xfrm>
          <a:off x="0" y="7058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50" name="AutoShape 150" descr="KOR">
          <a:hlinkClick xmlns:r="http://schemas.openxmlformats.org/officeDocument/2006/relationships" r:id="rId149"/>
          <a:extLst>
            <a:ext uri="{FF2B5EF4-FFF2-40B4-BE49-F238E27FC236}">
              <a16:creationId xmlns:a16="http://schemas.microsoft.com/office/drawing/2014/main" id="{79E3E625-A27B-455C-A4DD-9F06E7A4B67A}"/>
            </a:ext>
          </a:extLst>
        </xdr:cNvPr>
        <xdr:cNvSpPr>
          <a:spLocks noChangeAspect="1" noChangeArrowheads="1"/>
        </xdr:cNvSpPr>
      </xdr:nvSpPr>
      <xdr:spPr bwMode="auto">
        <a:xfrm>
          <a:off x="0" y="3353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151" name="AutoShape 151" descr="USA">
          <a:hlinkClick xmlns:r="http://schemas.openxmlformats.org/officeDocument/2006/relationships" r:id="rId150"/>
          <a:extLst>
            <a:ext uri="{FF2B5EF4-FFF2-40B4-BE49-F238E27FC236}">
              <a16:creationId xmlns:a16="http://schemas.microsoft.com/office/drawing/2014/main" id="{65F1FE17-4CE0-463E-9538-3DFCB0B95BDF}"/>
            </a:ext>
          </a:extLst>
        </xdr:cNvPr>
        <xdr:cNvSpPr>
          <a:spLocks noChangeAspect="1" noChangeArrowheads="1"/>
        </xdr:cNvSpPr>
      </xdr:nvSpPr>
      <xdr:spPr bwMode="auto">
        <a:xfrm>
          <a:off x="0" y="3163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92710</xdr:rowOff>
    </xdr:to>
    <xdr:sp macro="" textlink="">
      <xdr:nvSpPr>
        <xdr:cNvPr id="152" name="AutoShape 152" descr="USA">
          <a:hlinkClick xmlns:r="http://schemas.openxmlformats.org/officeDocument/2006/relationships" r:id="rId151"/>
          <a:extLst>
            <a:ext uri="{FF2B5EF4-FFF2-40B4-BE49-F238E27FC236}">
              <a16:creationId xmlns:a16="http://schemas.microsoft.com/office/drawing/2014/main" id="{95A518E8-006A-4FC1-9562-89A5ABD55376}"/>
            </a:ext>
          </a:extLst>
        </xdr:cNvPr>
        <xdr:cNvSpPr>
          <a:spLocks noChangeAspect="1" noChangeArrowheads="1"/>
        </xdr:cNvSpPr>
      </xdr:nvSpPr>
      <xdr:spPr bwMode="auto">
        <a:xfrm>
          <a:off x="0" y="1963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92710</xdr:rowOff>
    </xdr:to>
    <xdr:sp macro="" textlink="">
      <xdr:nvSpPr>
        <xdr:cNvPr id="153" name="AutoShape 153" descr="USA">
          <a:hlinkClick xmlns:r="http://schemas.openxmlformats.org/officeDocument/2006/relationships" r:id="rId152"/>
          <a:extLst>
            <a:ext uri="{FF2B5EF4-FFF2-40B4-BE49-F238E27FC236}">
              <a16:creationId xmlns:a16="http://schemas.microsoft.com/office/drawing/2014/main" id="{BA76B853-31F3-4B04-BCDA-2097C239A2C9}"/>
            </a:ext>
          </a:extLst>
        </xdr:cNvPr>
        <xdr:cNvSpPr>
          <a:spLocks noChangeAspect="1" noChangeArrowheads="1"/>
        </xdr:cNvSpPr>
      </xdr:nvSpPr>
      <xdr:spPr bwMode="auto">
        <a:xfrm>
          <a:off x="0" y="3048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92711</xdr:rowOff>
    </xdr:to>
    <xdr:sp macro="" textlink="">
      <xdr:nvSpPr>
        <xdr:cNvPr id="154" name="AutoShape 154" descr="USA">
          <a:hlinkClick xmlns:r="http://schemas.openxmlformats.org/officeDocument/2006/relationships" r:id="rId153"/>
          <a:extLst>
            <a:ext uri="{FF2B5EF4-FFF2-40B4-BE49-F238E27FC236}">
              <a16:creationId xmlns:a16="http://schemas.microsoft.com/office/drawing/2014/main" id="{1ED33D16-2F18-4155-993E-F400B6722901}"/>
            </a:ext>
          </a:extLst>
        </xdr:cNvPr>
        <xdr:cNvSpPr>
          <a:spLocks noChangeAspect="1" noChangeArrowheads="1"/>
        </xdr:cNvSpPr>
      </xdr:nvSpPr>
      <xdr:spPr bwMode="auto">
        <a:xfrm>
          <a:off x="0" y="7439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92710</xdr:rowOff>
    </xdr:to>
    <xdr:sp macro="" textlink="">
      <xdr:nvSpPr>
        <xdr:cNvPr id="155" name="AutoShape 155" descr="USA">
          <a:hlinkClick xmlns:r="http://schemas.openxmlformats.org/officeDocument/2006/relationships" r:id="rId154"/>
          <a:extLst>
            <a:ext uri="{FF2B5EF4-FFF2-40B4-BE49-F238E27FC236}">
              <a16:creationId xmlns:a16="http://schemas.microsoft.com/office/drawing/2014/main" id="{ACCE8EFF-DF66-42D6-9322-EEC9434327AD}"/>
            </a:ext>
          </a:extLst>
        </xdr:cNvPr>
        <xdr:cNvSpPr>
          <a:spLocks noChangeAspect="1" noChangeArrowheads="1"/>
        </xdr:cNvSpPr>
      </xdr:nvSpPr>
      <xdr:spPr bwMode="auto">
        <a:xfrm>
          <a:off x="0" y="2591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91440</xdr:rowOff>
    </xdr:to>
    <xdr:sp macro="" textlink="">
      <xdr:nvSpPr>
        <xdr:cNvPr id="156" name="AutoShape 156" descr="SCO">
          <a:hlinkClick xmlns:r="http://schemas.openxmlformats.org/officeDocument/2006/relationships" r:id="rId155"/>
          <a:extLst>
            <a:ext uri="{FF2B5EF4-FFF2-40B4-BE49-F238E27FC236}">
              <a16:creationId xmlns:a16="http://schemas.microsoft.com/office/drawing/2014/main" id="{3EAB860C-B3B9-413B-8F1A-56E19D80D1FA}"/>
            </a:ext>
          </a:extLst>
        </xdr:cNvPr>
        <xdr:cNvSpPr>
          <a:spLocks noChangeAspect="1" noChangeArrowheads="1"/>
        </xdr:cNvSpPr>
      </xdr:nvSpPr>
      <xdr:spPr bwMode="auto">
        <a:xfrm>
          <a:off x="0" y="4200525"/>
          <a:ext cx="304800" cy="28194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92710</xdr:rowOff>
    </xdr:to>
    <xdr:sp macro="" textlink="">
      <xdr:nvSpPr>
        <xdr:cNvPr id="157" name="AutoShape 157" descr="AUS">
          <a:hlinkClick xmlns:r="http://schemas.openxmlformats.org/officeDocument/2006/relationships" r:id="rId156"/>
          <a:extLst>
            <a:ext uri="{FF2B5EF4-FFF2-40B4-BE49-F238E27FC236}">
              <a16:creationId xmlns:a16="http://schemas.microsoft.com/office/drawing/2014/main" id="{F89AF019-5A37-408E-8451-1678638FEBD5}"/>
            </a:ext>
          </a:extLst>
        </xdr:cNvPr>
        <xdr:cNvSpPr>
          <a:spLocks noChangeAspect="1" noChangeArrowheads="1"/>
        </xdr:cNvSpPr>
      </xdr:nvSpPr>
      <xdr:spPr bwMode="auto">
        <a:xfrm>
          <a:off x="0" y="972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92710</xdr:rowOff>
    </xdr:to>
    <xdr:sp macro="" textlink="">
      <xdr:nvSpPr>
        <xdr:cNvPr id="158" name="AutoShape 158" descr="USA">
          <a:hlinkClick xmlns:r="http://schemas.openxmlformats.org/officeDocument/2006/relationships" r:id="rId157"/>
          <a:extLst>
            <a:ext uri="{FF2B5EF4-FFF2-40B4-BE49-F238E27FC236}">
              <a16:creationId xmlns:a16="http://schemas.microsoft.com/office/drawing/2014/main" id="{BAC704E1-6F31-4FED-8C27-8F6CB9E454EF}"/>
            </a:ext>
          </a:extLst>
        </xdr:cNvPr>
        <xdr:cNvSpPr>
          <a:spLocks noChangeAspect="1" noChangeArrowheads="1"/>
        </xdr:cNvSpPr>
      </xdr:nvSpPr>
      <xdr:spPr bwMode="auto">
        <a:xfrm>
          <a:off x="0" y="286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92710</xdr:rowOff>
    </xdr:to>
    <xdr:sp macro="" textlink="">
      <xdr:nvSpPr>
        <xdr:cNvPr id="159" name="AutoShape 159" descr="ARG">
          <a:hlinkClick xmlns:r="http://schemas.openxmlformats.org/officeDocument/2006/relationships" r:id="rId158"/>
          <a:extLst>
            <a:ext uri="{FF2B5EF4-FFF2-40B4-BE49-F238E27FC236}">
              <a16:creationId xmlns:a16="http://schemas.microsoft.com/office/drawing/2014/main" id="{2EE9AE7C-F8AF-45EE-AD35-D0337BF7BD17}"/>
            </a:ext>
          </a:extLst>
        </xdr:cNvPr>
        <xdr:cNvSpPr>
          <a:spLocks noChangeAspect="1" noChangeArrowheads="1"/>
        </xdr:cNvSpPr>
      </xdr:nvSpPr>
      <xdr:spPr bwMode="auto">
        <a:xfrm>
          <a:off x="0" y="362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160" name="AutoShape 160" descr="ARG">
          <a:hlinkClick xmlns:r="http://schemas.openxmlformats.org/officeDocument/2006/relationships" r:id="rId159"/>
          <a:extLst>
            <a:ext uri="{FF2B5EF4-FFF2-40B4-BE49-F238E27FC236}">
              <a16:creationId xmlns:a16="http://schemas.microsoft.com/office/drawing/2014/main" id="{54B50229-8F3C-4D2A-BD40-1E3B1621F777}"/>
            </a:ext>
          </a:extLst>
        </xdr:cNvPr>
        <xdr:cNvSpPr>
          <a:spLocks noChangeAspect="1" noChangeArrowheads="1"/>
        </xdr:cNvSpPr>
      </xdr:nvSpPr>
      <xdr:spPr bwMode="auto">
        <a:xfrm>
          <a:off x="0" y="3506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92710</xdr:rowOff>
    </xdr:to>
    <xdr:sp macro="" textlink="">
      <xdr:nvSpPr>
        <xdr:cNvPr id="161" name="AutoShape 161" descr="GER">
          <a:hlinkClick xmlns:r="http://schemas.openxmlformats.org/officeDocument/2006/relationships" r:id="rId160"/>
          <a:extLst>
            <a:ext uri="{FF2B5EF4-FFF2-40B4-BE49-F238E27FC236}">
              <a16:creationId xmlns:a16="http://schemas.microsoft.com/office/drawing/2014/main" id="{6B7969CF-9DCB-4182-8E23-2B5D4F0722CC}"/>
            </a:ext>
          </a:extLst>
        </xdr:cNvPr>
        <xdr:cNvSpPr>
          <a:spLocks noChangeAspect="1" noChangeArrowheads="1"/>
        </xdr:cNvSpPr>
      </xdr:nvSpPr>
      <xdr:spPr bwMode="auto">
        <a:xfrm>
          <a:off x="0" y="2439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92710</xdr:rowOff>
    </xdr:to>
    <xdr:sp macro="" textlink="">
      <xdr:nvSpPr>
        <xdr:cNvPr id="162" name="AutoShape 162" descr="USA">
          <a:hlinkClick xmlns:r="http://schemas.openxmlformats.org/officeDocument/2006/relationships" r:id="rId161"/>
          <a:extLst>
            <a:ext uri="{FF2B5EF4-FFF2-40B4-BE49-F238E27FC236}">
              <a16:creationId xmlns:a16="http://schemas.microsoft.com/office/drawing/2014/main" id="{1B542907-52F9-40C2-930E-C1134049CBD2}"/>
            </a:ext>
          </a:extLst>
        </xdr:cNvPr>
        <xdr:cNvSpPr>
          <a:spLocks noChangeAspect="1" noChangeArrowheads="1"/>
        </xdr:cNvSpPr>
      </xdr:nvSpPr>
      <xdr:spPr bwMode="auto">
        <a:xfrm>
          <a:off x="0" y="1448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163" name="AutoShape 163" descr="FRA">
          <a:hlinkClick xmlns:r="http://schemas.openxmlformats.org/officeDocument/2006/relationships" r:id="rId162"/>
          <a:extLst>
            <a:ext uri="{FF2B5EF4-FFF2-40B4-BE49-F238E27FC236}">
              <a16:creationId xmlns:a16="http://schemas.microsoft.com/office/drawing/2014/main" id="{6C23D9D4-27B7-4C3D-AB27-92B031B4A4B7}"/>
            </a:ext>
          </a:extLst>
        </xdr:cNvPr>
        <xdr:cNvSpPr>
          <a:spLocks noChangeAspect="1" noChangeArrowheads="1"/>
        </xdr:cNvSpPr>
      </xdr:nvSpPr>
      <xdr:spPr bwMode="auto">
        <a:xfrm>
          <a:off x="0" y="1201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92711</xdr:rowOff>
    </xdr:to>
    <xdr:sp macro="" textlink="">
      <xdr:nvSpPr>
        <xdr:cNvPr id="164" name="AutoShape 164" descr="CHN">
          <a:hlinkClick xmlns:r="http://schemas.openxmlformats.org/officeDocument/2006/relationships" r:id="rId163"/>
          <a:extLst>
            <a:ext uri="{FF2B5EF4-FFF2-40B4-BE49-F238E27FC236}">
              <a16:creationId xmlns:a16="http://schemas.microsoft.com/office/drawing/2014/main" id="{52F04F1F-1AC0-4FBF-B395-176940D0F7F9}"/>
            </a:ext>
          </a:extLst>
        </xdr:cNvPr>
        <xdr:cNvSpPr>
          <a:spLocks noChangeAspect="1" noChangeArrowheads="1"/>
        </xdr:cNvSpPr>
      </xdr:nvSpPr>
      <xdr:spPr bwMode="auto">
        <a:xfrm>
          <a:off x="0" y="24774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92710</xdr:rowOff>
    </xdr:to>
    <xdr:sp macro="" textlink="">
      <xdr:nvSpPr>
        <xdr:cNvPr id="165" name="AutoShape 165" descr="NZL">
          <a:hlinkClick xmlns:r="http://schemas.openxmlformats.org/officeDocument/2006/relationships" r:id="rId164"/>
          <a:extLst>
            <a:ext uri="{FF2B5EF4-FFF2-40B4-BE49-F238E27FC236}">
              <a16:creationId xmlns:a16="http://schemas.microsoft.com/office/drawing/2014/main" id="{C87E97F9-9334-4136-A74C-56C6F6977629}"/>
            </a:ext>
          </a:extLst>
        </xdr:cNvPr>
        <xdr:cNvSpPr>
          <a:spLocks noChangeAspect="1" noChangeArrowheads="1"/>
        </xdr:cNvSpPr>
      </xdr:nvSpPr>
      <xdr:spPr bwMode="auto">
        <a:xfrm>
          <a:off x="0" y="915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92709</xdr:rowOff>
    </xdr:to>
    <xdr:sp macro="" textlink="">
      <xdr:nvSpPr>
        <xdr:cNvPr id="166" name="AutoShape 166" descr="VEN">
          <a:hlinkClick xmlns:r="http://schemas.openxmlformats.org/officeDocument/2006/relationships" r:id="rId165"/>
          <a:extLst>
            <a:ext uri="{FF2B5EF4-FFF2-40B4-BE49-F238E27FC236}">
              <a16:creationId xmlns:a16="http://schemas.microsoft.com/office/drawing/2014/main" id="{81A14A2C-E0B8-4005-A6C8-F0AC513B76AE}"/>
            </a:ext>
          </a:extLst>
        </xdr:cNvPr>
        <xdr:cNvSpPr>
          <a:spLocks noChangeAspect="1" noChangeArrowheads="1"/>
        </xdr:cNvSpPr>
      </xdr:nvSpPr>
      <xdr:spPr bwMode="auto">
        <a:xfrm>
          <a:off x="0" y="142970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167" name="AutoShape 167" descr="USA">
          <a:hlinkClick xmlns:r="http://schemas.openxmlformats.org/officeDocument/2006/relationships" r:id="rId166"/>
          <a:extLst>
            <a:ext uri="{FF2B5EF4-FFF2-40B4-BE49-F238E27FC236}">
              <a16:creationId xmlns:a16="http://schemas.microsoft.com/office/drawing/2014/main" id="{1FD90DB8-D57A-4F9A-98FD-D4ACDCDBD51B}"/>
            </a:ext>
          </a:extLst>
        </xdr:cNvPr>
        <xdr:cNvSpPr>
          <a:spLocks noChangeAspect="1" noChangeArrowheads="1"/>
        </xdr:cNvSpPr>
      </xdr:nvSpPr>
      <xdr:spPr bwMode="auto">
        <a:xfrm>
          <a:off x="0" y="2820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168" name="AutoShape 168" descr="USA">
          <a:hlinkClick xmlns:r="http://schemas.openxmlformats.org/officeDocument/2006/relationships" r:id="rId167"/>
          <a:extLst>
            <a:ext uri="{FF2B5EF4-FFF2-40B4-BE49-F238E27FC236}">
              <a16:creationId xmlns:a16="http://schemas.microsoft.com/office/drawing/2014/main" id="{21001916-72C7-4B89-A708-9990225E284F}"/>
            </a:ext>
          </a:extLst>
        </xdr:cNvPr>
        <xdr:cNvSpPr>
          <a:spLocks noChangeAspect="1" noChangeArrowheads="1"/>
        </xdr:cNvSpPr>
      </xdr:nvSpPr>
      <xdr:spPr bwMode="auto">
        <a:xfrm>
          <a:off x="0" y="2248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169" name="AutoShape 169" descr="ITA">
          <a:hlinkClick xmlns:r="http://schemas.openxmlformats.org/officeDocument/2006/relationships" r:id="rId168"/>
          <a:extLst>
            <a:ext uri="{FF2B5EF4-FFF2-40B4-BE49-F238E27FC236}">
              <a16:creationId xmlns:a16="http://schemas.microsoft.com/office/drawing/2014/main" id="{E581ACBA-BAD0-47B7-90FB-121DBE351660}"/>
            </a:ext>
          </a:extLst>
        </xdr:cNvPr>
        <xdr:cNvSpPr>
          <a:spLocks noChangeAspect="1" noChangeArrowheads="1"/>
        </xdr:cNvSpPr>
      </xdr:nvSpPr>
      <xdr:spPr bwMode="auto">
        <a:xfrm>
          <a:off x="0" y="1353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92709</xdr:rowOff>
    </xdr:to>
    <xdr:sp macro="" textlink="">
      <xdr:nvSpPr>
        <xdr:cNvPr id="170" name="AutoShape 170" descr="USA">
          <a:hlinkClick xmlns:r="http://schemas.openxmlformats.org/officeDocument/2006/relationships" r:id="rId169"/>
          <a:extLst>
            <a:ext uri="{FF2B5EF4-FFF2-40B4-BE49-F238E27FC236}">
              <a16:creationId xmlns:a16="http://schemas.microsoft.com/office/drawing/2014/main" id="{47FD8777-B181-457C-9836-627D59246634}"/>
            </a:ext>
          </a:extLst>
        </xdr:cNvPr>
        <xdr:cNvSpPr>
          <a:spLocks noChangeAspect="1" noChangeArrowheads="1"/>
        </xdr:cNvSpPr>
      </xdr:nvSpPr>
      <xdr:spPr bwMode="auto">
        <a:xfrm>
          <a:off x="0" y="15630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92710</xdr:rowOff>
    </xdr:to>
    <xdr:sp macro="" textlink="">
      <xdr:nvSpPr>
        <xdr:cNvPr id="171" name="AutoShape 171" descr="USA">
          <a:hlinkClick xmlns:r="http://schemas.openxmlformats.org/officeDocument/2006/relationships" r:id="rId170"/>
          <a:extLst>
            <a:ext uri="{FF2B5EF4-FFF2-40B4-BE49-F238E27FC236}">
              <a16:creationId xmlns:a16="http://schemas.microsoft.com/office/drawing/2014/main" id="{C5D2D414-AB7B-4A73-A963-1D15F222A4FF}"/>
            </a:ext>
          </a:extLst>
        </xdr:cNvPr>
        <xdr:cNvSpPr>
          <a:spLocks noChangeAspect="1" noChangeArrowheads="1"/>
        </xdr:cNvSpPr>
      </xdr:nvSpPr>
      <xdr:spPr bwMode="auto">
        <a:xfrm>
          <a:off x="0" y="39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172" name="AutoShape 172" descr="USA">
          <a:hlinkClick xmlns:r="http://schemas.openxmlformats.org/officeDocument/2006/relationships" r:id="rId171"/>
          <a:extLst>
            <a:ext uri="{FF2B5EF4-FFF2-40B4-BE49-F238E27FC236}">
              <a16:creationId xmlns:a16="http://schemas.microsoft.com/office/drawing/2014/main" id="{38B85226-77D4-4FC4-ABE4-93F22F5CEAFA}"/>
            </a:ext>
          </a:extLst>
        </xdr:cNvPr>
        <xdr:cNvSpPr>
          <a:spLocks noChangeAspect="1" noChangeArrowheads="1"/>
        </xdr:cNvSpPr>
      </xdr:nvSpPr>
      <xdr:spPr bwMode="auto">
        <a:xfrm>
          <a:off x="0" y="3429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173" name="AutoShape 173" descr="USA">
          <a:hlinkClick xmlns:r="http://schemas.openxmlformats.org/officeDocument/2006/relationships" r:id="rId172"/>
          <a:extLst>
            <a:ext uri="{FF2B5EF4-FFF2-40B4-BE49-F238E27FC236}">
              <a16:creationId xmlns:a16="http://schemas.microsoft.com/office/drawing/2014/main" id="{656C0204-4F99-4472-844C-1749DB91A8DB}"/>
            </a:ext>
          </a:extLst>
        </xdr:cNvPr>
        <xdr:cNvSpPr>
          <a:spLocks noChangeAspect="1" noChangeArrowheads="1"/>
        </xdr:cNvSpPr>
      </xdr:nvSpPr>
      <xdr:spPr bwMode="auto">
        <a:xfrm>
          <a:off x="0" y="2782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92711</xdr:rowOff>
    </xdr:to>
    <xdr:sp macro="" textlink="">
      <xdr:nvSpPr>
        <xdr:cNvPr id="174" name="AutoShape 174" descr="JPN">
          <a:hlinkClick xmlns:r="http://schemas.openxmlformats.org/officeDocument/2006/relationships" r:id="rId173"/>
          <a:extLst>
            <a:ext uri="{FF2B5EF4-FFF2-40B4-BE49-F238E27FC236}">
              <a16:creationId xmlns:a16="http://schemas.microsoft.com/office/drawing/2014/main" id="{9D2A2594-D55F-4F83-8EA0-5C28E59070EC}"/>
            </a:ext>
          </a:extLst>
        </xdr:cNvPr>
        <xdr:cNvSpPr>
          <a:spLocks noChangeAspect="1" noChangeArrowheads="1"/>
        </xdr:cNvSpPr>
      </xdr:nvSpPr>
      <xdr:spPr bwMode="auto">
        <a:xfrm>
          <a:off x="0" y="12773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175" name="AutoShape 175" descr="USA">
          <a:hlinkClick xmlns:r="http://schemas.openxmlformats.org/officeDocument/2006/relationships" r:id="rId174"/>
          <a:extLst>
            <a:ext uri="{FF2B5EF4-FFF2-40B4-BE49-F238E27FC236}">
              <a16:creationId xmlns:a16="http://schemas.microsoft.com/office/drawing/2014/main" id="{9206BE98-6A8B-4806-8D02-67E32DD785B8}"/>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176" name="AutoShape 176" descr="USA">
          <a:hlinkClick xmlns:r="http://schemas.openxmlformats.org/officeDocument/2006/relationships" r:id="rId175"/>
          <a:extLst>
            <a:ext uri="{FF2B5EF4-FFF2-40B4-BE49-F238E27FC236}">
              <a16:creationId xmlns:a16="http://schemas.microsoft.com/office/drawing/2014/main" id="{6F6C6B16-9D13-4190-97D7-761F373E400E}"/>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92711</xdr:rowOff>
    </xdr:to>
    <xdr:sp macro="" textlink="">
      <xdr:nvSpPr>
        <xdr:cNvPr id="177" name="AutoShape 177" descr="USA">
          <a:hlinkClick xmlns:r="http://schemas.openxmlformats.org/officeDocument/2006/relationships" r:id="rId176"/>
          <a:extLst>
            <a:ext uri="{FF2B5EF4-FFF2-40B4-BE49-F238E27FC236}">
              <a16:creationId xmlns:a16="http://schemas.microsoft.com/office/drawing/2014/main" id="{113825F2-C440-4E9D-B5A3-50D482083397}"/>
            </a:ext>
          </a:extLst>
        </xdr:cNvPr>
        <xdr:cNvSpPr>
          <a:spLocks noChangeAspect="1" noChangeArrowheads="1"/>
        </xdr:cNvSpPr>
      </xdr:nvSpPr>
      <xdr:spPr bwMode="auto">
        <a:xfrm>
          <a:off x="0" y="4772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111760</xdr:rowOff>
    </xdr:to>
    <xdr:sp macro="" textlink="">
      <xdr:nvSpPr>
        <xdr:cNvPr id="178" name="AutoShape 178" descr="USA">
          <a:hlinkClick xmlns:r="http://schemas.openxmlformats.org/officeDocument/2006/relationships" r:id="rId177"/>
          <a:extLst>
            <a:ext uri="{FF2B5EF4-FFF2-40B4-BE49-F238E27FC236}">
              <a16:creationId xmlns:a16="http://schemas.microsoft.com/office/drawing/2014/main" id="{DE7C39EA-25AB-4C93-82AE-C1E7C2FBF814}"/>
            </a:ext>
          </a:extLst>
        </xdr:cNvPr>
        <xdr:cNvSpPr>
          <a:spLocks noChangeAspect="1" noChangeArrowheads="1"/>
        </xdr:cNvSpPr>
      </xdr:nvSpPr>
      <xdr:spPr bwMode="auto">
        <a:xfrm>
          <a:off x="0" y="32585025"/>
          <a:ext cx="304800" cy="30226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92710</xdr:rowOff>
    </xdr:to>
    <xdr:sp macro="" textlink="">
      <xdr:nvSpPr>
        <xdr:cNvPr id="179" name="AutoShape 179" descr="CHN">
          <a:hlinkClick xmlns:r="http://schemas.openxmlformats.org/officeDocument/2006/relationships" r:id="rId178"/>
          <a:extLst>
            <a:ext uri="{FF2B5EF4-FFF2-40B4-BE49-F238E27FC236}">
              <a16:creationId xmlns:a16="http://schemas.microsoft.com/office/drawing/2014/main" id="{717B8E69-48EE-45E9-9A3A-BB530962BCD3}"/>
            </a:ext>
          </a:extLst>
        </xdr:cNvPr>
        <xdr:cNvSpPr>
          <a:spLocks noChangeAspect="1" noChangeArrowheads="1"/>
        </xdr:cNvSpPr>
      </xdr:nvSpPr>
      <xdr:spPr bwMode="auto">
        <a:xfrm>
          <a:off x="0" y="1601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92710</xdr:rowOff>
    </xdr:to>
    <xdr:sp macro="" textlink="">
      <xdr:nvSpPr>
        <xdr:cNvPr id="180" name="AutoShape 180" descr="USA">
          <a:hlinkClick xmlns:r="http://schemas.openxmlformats.org/officeDocument/2006/relationships" r:id="rId179"/>
          <a:extLst>
            <a:ext uri="{FF2B5EF4-FFF2-40B4-BE49-F238E27FC236}">
              <a16:creationId xmlns:a16="http://schemas.microsoft.com/office/drawing/2014/main" id="{590BEBC3-BE62-44EB-A705-7971659A1E0C}"/>
            </a:ext>
          </a:extLst>
        </xdr:cNvPr>
        <xdr:cNvSpPr>
          <a:spLocks noChangeAspect="1" noChangeArrowheads="1"/>
        </xdr:cNvSpPr>
      </xdr:nvSpPr>
      <xdr:spPr bwMode="auto">
        <a:xfrm>
          <a:off x="0" y="1505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92710</xdr:rowOff>
    </xdr:to>
    <xdr:sp macro="" textlink="">
      <xdr:nvSpPr>
        <xdr:cNvPr id="181" name="AutoShape 181" descr="USA">
          <a:hlinkClick xmlns:r="http://schemas.openxmlformats.org/officeDocument/2006/relationships" r:id="rId180"/>
          <a:extLst>
            <a:ext uri="{FF2B5EF4-FFF2-40B4-BE49-F238E27FC236}">
              <a16:creationId xmlns:a16="http://schemas.microsoft.com/office/drawing/2014/main" id="{8FC14EF9-6026-4ADD-9809-DDC98FA685AE}"/>
            </a:ext>
          </a:extLst>
        </xdr:cNvPr>
        <xdr:cNvSpPr>
          <a:spLocks noChangeAspect="1" noChangeArrowheads="1"/>
        </xdr:cNvSpPr>
      </xdr:nvSpPr>
      <xdr:spPr bwMode="auto">
        <a:xfrm>
          <a:off x="0" y="2534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92710</xdr:rowOff>
    </xdr:to>
    <xdr:sp macro="" textlink="">
      <xdr:nvSpPr>
        <xdr:cNvPr id="182" name="AutoShape 182" descr="USA">
          <a:hlinkClick xmlns:r="http://schemas.openxmlformats.org/officeDocument/2006/relationships" r:id="rId181"/>
          <a:extLst>
            <a:ext uri="{FF2B5EF4-FFF2-40B4-BE49-F238E27FC236}">
              <a16:creationId xmlns:a16="http://schemas.microsoft.com/office/drawing/2014/main" id="{B1B95223-7C03-4BAE-80C1-CE5D27A0E846}"/>
            </a:ext>
          </a:extLst>
        </xdr:cNvPr>
        <xdr:cNvSpPr>
          <a:spLocks noChangeAspect="1" noChangeArrowheads="1"/>
        </xdr:cNvSpPr>
      </xdr:nvSpPr>
      <xdr:spPr bwMode="auto">
        <a:xfrm>
          <a:off x="0" y="1124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92710</xdr:rowOff>
    </xdr:to>
    <xdr:sp macro="" textlink="">
      <xdr:nvSpPr>
        <xdr:cNvPr id="183" name="AutoShape 183" descr="IRL">
          <a:hlinkClick xmlns:r="http://schemas.openxmlformats.org/officeDocument/2006/relationships" r:id="rId182"/>
          <a:extLst>
            <a:ext uri="{FF2B5EF4-FFF2-40B4-BE49-F238E27FC236}">
              <a16:creationId xmlns:a16="http://schemas.microsoft.com/office/drawing/2014/main" id="{D17EA563-FC18-473A-8E38-1024D5C28EFE}"/>
            </a:ext>
          </a:extLst>
        </xdr:cNvPr>
        <xdr:cNvSpPr>
          <a:spLocks noChangeAspect="1" noChangeArrowheads="1"/>
        </xdr:cNvSpPr>
      </xdr:nvSpPr>
      <xdr:spPr bwMode="auto">
        <a:xfrm>
          <a:off x="0" y="39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92710</xdr:rowOff>
    </xdr:to>
    <xdr:sp macro="" textlink="">
      <xdr:nvSpPr>
        <xdr:cNvPr id="184" name="AutoShape 184" descr="USA">
          <a:hlinkClick xmlns:r="http://schemas.openxmlformats.org/officeDocument/2006/relationships" r:id="rId183"/>
          <a:extLst>
            <a:ext uri="{FF2B5EF4-FFF2-40B4-BE49-F238E27FC236}">
              <a16:creationId xmlns:a16="http://schemas.microsoft.com/office/drawing/2014/main" id="{A1AAEF9B-8714-4B51-9837-AB1A329FA941}"/>
            </a:ext>
          </a:extLst>
        </xdr:cNvPr>
        <xdr:cNvSpPr>
          <a:spLocks noChangeAspect="1" noChangeArrowheads="1"/>
        </xdr:cNvSpPr>
      </xdr:nvSpPr>
      <xdr:spPr bwMode="auto">
        <a:xfrm>
          <a:off x="0" y="1296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117475</xdr:rowOff>
    </xdr:to>
    <xdr:sp macro="" textlink="">
      <xdr:nvSpPr>
        <xdr:cNvPr id="185" name="AutoShape 185" descr="USA">
          <a:hlinkClick xmlns:r="http://schemas.openxmlformats.org/officeDocument/2006/relationships" r:id="rId184"/>
          <a:extLst>
            <a:ext uri="{FF2B5EF4-FFF2-40B4-BE49-F238E27FC236}">
              <a16:creationId xmlns:a16="http://schemas.microsoft.com/office/drawing/2014/main" id="{C3EB38F4-B5DF-4AFC-A27D-ED84CACA8F6C}"/>
            </a:ext>
          </a:extLst>
        </xdr:cNvPr>
        <xdr:cNvSpPr>
          <a:spLocks noChangeAspect="1" noChangeArrowheads="1"/>
        </xdr:cNvSpPr>
      </xdr:nvSpPr>
      <xdr:spPr bwMode="auto">
        <a:xfrm>
          <a:off x="0" y="3563302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92710</xdr:rowOff>
    </xdr:to>
    <xdr:sp macro="" textlink="">
      <xdr:nvSpPr>
        <xdr:cNvPr id="187" name="AutoShape 187" descr="USA">
          <a:hlinkClick xmlns:r="http://schemas.openxmlformats.org/officeDocument/2006/relationships" r:id="rId185"/>
          <a:extLst>
            <a:ext uri="{FF2B5EF4-FFF2-40B4-BE49-F238E27FC236}">
              <a16:creationId xmlns:a16="http://schemas.microsoft.com/office/drawing/2014/main" id="{7B728E85-31C9-488A-8442-00A8351A8818}"/>
            </a:ext>
          </a:extLst>
        </xdr:cNvPr>
        <xdr:cNvSpPr>
          <a:spLocks noChangeAspect="1" noChangeArrowheads="1"/>
        </xdr:cNvSpPr>
      </xdr:nvSpPr>
      <xdr:spPr bwMode="auto">
        <a:xfrm>
          <a:off x="0" y="1524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188" name="AutoShape 188" descr="USA">
          <a:hlinkClick xmlns:r="http://schemas.openxmlformats.org/officeDocument/2006/relationships" r:id="rId186"/>
          <a:extLst>
            <a:ext uri="{FF2B5EF4-FFF2-40B4-BE49-F238E27FC236}">
              <a16:creationId xmlns:a16="http://schemas.microsoft.com/office/drawing/2014/main" id="{E4AEC953-FB94-4474-A2E2-6CBE3DACBDF4}"/>
            </a:ext>
          </a:extLst>
        </xdr:cNvPr>
        <xdr:cNvSpPr>
          <a:spLocks noChangeAspect="1" noChangeArrowheads="1"/>
        </xdr:cNvSpPr>
      </xdr:nvSpPr>
      <xdr:spPr bwMode="auto">
        <a:xfrm>
          <a:off x="0" y="2934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92711</xdr:rowOff>
    </xdr:to>
    <xdr:sp macro="" textlink="">
      <xdr:nvSpPr>
        <xdr:cNvPr id="189" name="AutoShape 189" descr="USA">
          <a:hlinkClick xmlns:r="http://schemas.openxmlformats.org/officeDocument/2006/relationships" r:id="rId187"/>
          <a:extLst>
            <a:ext uri="{FF2B5EF4-FFF2-40B4-BE49-F238E27FC236}">
              <a16:creationId xmlns:a16="http://schemas.microsoft.com/office/drawing/2014/main" id="{EED315B0-8E63-4708-BA19-443D2091C106}"/>
            </a:ext>
          </a:extLst>
        </xdr:cNvPr>
        <xdr:cNvSpPr>
          <a:spLocks noChangeAspect="1" noChangeArrowheads="1"/>
        </xdr:cNvSpPr>
      </xdr:nvSpPr>
      <xdr:spPr bwMode="auto">
        <a:xfrm>
          <a:off x="0" y="8772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190" name="AutoShape 190" descr="USA">
          <a:hlinkClick xmlns:r="http://schemas.openxmlformats.org/officeDocument/2006/relationships" r:id="rId188"/>
          <a:extLst>
            <a:ext uri="{FF2B5EF4-FFF2-40B4-BE49-F238E27FC236}">
              <a16:creationId xmlns:a16="http://schemas.microsoft.com/office/drawing/2014/main" id="{8AE81308-850B-4DE3-BEF5-074D7EF5624C}"/>
            </a:ext>
          </a:extLst>
        </xdr:cNvPr>
        <xdr:cNvSpPr>
          <a:spLocks noChangeAspect="1" noChangeArrowheads="1"/>
        </xdr:cNvSpPr>
      </xdr:nvSpPr>
      <xdr:spPr bwMode="auto">
        <a:xfrm>
          <a:off x="0" y="3468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92710</xdr:rowOff>
    </xdr:to>
    <xdr:sp macro="" textlink="">
      <xdr:nvSpPr>
        <xdr:cNvPr id="191" name="AutoShape 191" descr="USA">
          <a:hlinkClick xmlns:r="http://schemas.openxmlformats.org/officeDocument/2006/relationships" r:id="rId189"/>
          <a:extLst>
            <a:ext uri="{FF2B5EF4-FFF2-40B4-BE49-F238E27FC236}">
              <a16:creationId xmlns:a16="http://schemas.microsoft.com/office/drawing/2014/main" id="{5DBF7465-A91C-4DE1-BACA-374F88DCAC46}"/>
            </a:ext>
          </a:extLst>
        </xdr:cNvPr>
        <xdr:cNvSpPr>
          <a:spLocks noChangeAspect="1" noChangeArrowheads="1"/>
        </xdr:cNvSpPr>
      </xdr:nvSpPr>
      <xdr:spPr bwMode="auto">
        <a:xfrm>
          <a:off x="0" y="667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92709</xdr:rowOff>
    </xdr:to>
    <xdr:sp macro="" textlink="">
      <xdr:nvSpPr>
        <xdr:cNvPr id="192" name="AutoShape 192" descr="USA">
          <a:hlinkClick xmlns:r="http://schemas.openxmlformats.org/officeDocument/2006/relationships" r:id="rId190"/>
          <a:extLst>
            <a:ext uri="{FF2B5EF4-FFF2-40B4-BE49-F238E27FC236}">
              <a16:creationId xmlns:a16="http://schemas.microsoft.com/office/drawing/2014/main" id="{0CE7E0BD-81C5-446A-AA7F-7139FA4C86E3}"/>
            </a:ext>
          </a:extLst>
        </xdr:cNvPr>
        <xdr:cNvSpPr>
          <a:spLocks noChangeAspect="1" noChangeArrowheads="1"/>
        </xdr:cNvSpPr>
      </xdr:nvSpPr>
      <xdr:spPr bwMode="auto">
        <a:xfrm>
          <a:off x="0" y="24012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92711</xdr:rowOff>
    </xdr:to>
    <xdr:sp macro="" textlink="">
      <xdr:nvSpPr>
        <xdr:cNvPr id="193" name="AutoShape 193" descr="USA">
          <a:hlinkClick xmlns:r="http://schemas.openxmlformats.org/officeDocument/2006/relationships" r:id="rId191"/>
          <a:extLst>
            <a:ext uri="{FF2B5EF4-FFF2-40B4-BE49-F238E27FC236}">
              <a16:creationId xmlns:a16="http://schemas.microsoft.com/office/drawing/2014/main" id="{0A72F6A1-B7C1-499A-B29C-DF04C0ECF698}"/>
            </a:ext>
          </a:extLst>
        </xdr:cNvPr>
        <xdr:cNvSpPr>
          <a:spLocks noChangeAspect="1" noChangeArrowheads="1"/>
        </xdr:cNvSpPr>
      </xdr:nvSpPr>
      <xdr:spPr bwMode="auto">
        <a:xfrm>
          <a:off x="0" y="327755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92710</xdr:rowOff>
    </xdr:to>
    <xdr:sp macro="" textlink="">
      <xdr:nvSpPr>
        <xdr:cNvPr id="194" name="AutoShape 194" descr="USA">
          <a:hlinkClick xmlns:r="http://schemas.openxmlformats.org/officeDocument/2006/relationships" r:id="rId192"/>
          <a:extLst>
            <a:ext uri="{FF2B5EF4-FFF2-40B4-BE49-F238E27FC236}">
              <a16:creationId xmlns:a16="http://schemas.microsoft.com/office/drawing/2014/main" id="{683F3048-0842-4C31-B8A0-086A934C3999}"/>
            </a:ext>
          </a:extLst>
        </xdr:cNvPr>
        <xdr:cNvSpPr>
          <a:spLocks noChangeAspect="1" noChangeArrowheads="1"/>
        </xdr:cNvSpPr>
      </xdr:nvSpPr>
      <xdr:spPr bwMode="auto">
        <a:xfrm>
          <a:off x="0" y="1486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92711</xdr:rowOff>
    </xdr:to>
    <xdr:sp macro="" textlink="">
      <xdr:nvSpPr>
        <xdr:cNvPr id="195" name="AutoShape 195" descr="USA">
          <a:hlinkClick xmlns:r="http://schemas.openxmlformats.org/officeDocument/2006/relationships" r:id="rId193"/>
          <a:extLst>
            <a:ext uri="{FF2B5EF4-FFF2-40B4-BE49-F238E27FC236}">
              <a16:creationId xmlns:a16="http://schemas.microsoft.com/office/drawing/2014/main" id="{3FC6192E-FB51-4B7E-83D4-7A062819FFF4}"/>
            </a:ext>
          </a:extLst>
        </xdr:cNvPr>
        <xdr:cNvSpPr>
          <a:spLocks noChangeAspect="1" noChangeArrowheads="1"/>
        </xdr:cNvSpPr>
      </xdr:nvSpPr>
      <xdr:spPr bwMode="auto">
        <a:xfrm>
          <a:off x="0" y="26108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92710</xdr:rowOff>
    </xdr:to>
    <xdr:sp macro="" textlink="">
      <xdr:nvSpPr>
        <xdr:cNvPr id="196" name="AutoShape 196" descr="SVK">
          <a:hlinkClick xmlns:r="http://schemas.openxmlformats.org/officeDocument/2006/relationships" r:id="rId194"/>
          <a:extLst>
            <a:ext uri="{FF2B5EF4-FFF2-40B4-BE49-F238E27FC236}">
              <a16:creationId xmlns:a16="http://schemas.microsoft.com/office/drawing/2014/main" id="{AC8FF7A5-636F-4024-8B2C-6EACE7BC448E}"/>
            </a:ext>
          </a:extLst>
        </xdr:cNvPr>
        <xdr:cNvSpPr>
          <a:spLocks noChangeAspect="1" noChangeArrowheads="1"/>
        </xdr:cNvSpPr>
      </xdr:nvSpPr>
      <xdr:spPr bwMode="auto">
        <a:xfrm>
          <a:off x="0" y="115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197" name="AutoShape 197" descr="USA">
          <a:hlinkClick xmlns:r="http://schemas.openxmlformats.org/officeDocument/2006/relationships" r:id="rId195"/>
          <a:extLst>
            <a:ext uri="{FF2B5EF4-FFF2-40B4-BE49-F238E27FC236}">
              <a16:creationId xmlns:a16="http://schemas.microsoft.com/office/drawing/2014/main" id="{C5F7B7E0-03A1-4A21-A941-94AC2651CBBF}"/>
            </a:ext>
          </a:extLst>
        </xdr:cNvPr>
        <xdr:cNvSpPr>
          <a:spLocks noChangeAspect="1" noChangeArrowheads="1"/>
        </xdr:cNvSpPr>
      </xdr:nvSpPr>
      <xdr:spPr bwMode="auto">
        <a:xfrm>
          <a:off x="0" y="21536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92710</xdr:rowOff>
    </xdr:to>
    <xdr:sp macro="" textlink="">
      <xdr:nvSpPr>
        <xdr:cNvPr id="198" name="AutoShape 198" descr="ARG">
          <a:hlinkClick xmlns:r="http://schemas.openxmlformats.org/officeDocument/2006/relationships" r:id="rId196"/>
          <a:extLst>
            <a:ext uri="{FF2B5EF4-FFF2-40B4-BE49-F238E27FC236}">
              <a16:creationId xmlns:a16="http://schemas.microsoft.com/office/drawing/2014/main" id="{55D6BE28-A0DE-4CE1-A30A-BF73DBB86E0E}"/>
            </a:ext>
          </a:extLst>
        </xdr:cNvPr>
        <xdr:cNvSpPr>
          <a:spLocks noChangeAspect="1" noChangeArrowheads="1"/>
        </xdr:cNvSpPr>
      </xdr:nvSpPr>
      <xdr:spPr bwMode="auto">
        <a:xfrm>
          <a:off x="0" y="3087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92710</xdr:rowOff>
    </xdr:to>
    <xdr:sp macro="" textlink="">
      <xdr:nvSpPr>
        <xdr:cNvPr id="199" name="AutoShape 199" descr="AUS">
          <a:hlinkClick xmlns:r="http://schemas.openxmlformats.org/officeDocument/2006/relationships" r:id="rId197"/>
          <a:extLst>
            <a:ext uri="{FF2B5EF4-FFF2-40B4-BE49-F238E27FC236}">
              <a16:creationId xmlns:a16="http://schemas.microsoft.com/office/drawing/2014/main" id="{B002C7E9-FCD7-49E2-AFA1-058BD3713762}"/>
            </a:ext>
          </a:extLst>
        </xdr:cNvPr>
        <xdr:cNvSpPr>
          <a:spLocks noChangeAspect="1" noChangeArrowheads="1"/>
        </xdr:cNvSpPr>
      </xdr:nvSpPr>
      <xdr:spPr bwMode="auto">
        <a:xfrm>
          <a:off x="0" y="58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92710</xdr:rowOff>
    </xdr:to>
    <xdr:sp macro="" textlink="">
      <xdr:nvSpPr>
        <xdr:cNvPr id="200" name="AutoShape 200" descr="CAN">
          <a:hlinkClick xmlns:r="http://schemas.openxmlformats.org/officeDocument/2006/relationships" r:id="rId198"/>
          <a:extLst>
            <a:ext uri="{FF2B5EF4-FFF2-40B4-BE49-F238E27FC236}">
              <a16:creationId xmlns:a16="http://schemas.microsoft.com/office/drawing/2014/main" id="{CEF5362D-D9DE-4927-9473-9DDDC34D8905}"/>
            </a:ext>
          </a:extLst>
        </xdr:cNvPr>
        <xdr:cNvSpPr>
          <a:spLocks noChangeAspect="1" noChangeArrowheads="1"/>
        </xdr:cNvSpPr>
      </xdr:nvSpPr>
      <xdr:spPr bwMode="auto">
        <a:xfrm>
          <a:off x="0" y="7820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201" name="AutoShape 201" descr="USA">
          <a:hlinkClick xmlns:r="http://schemas.openxmlformats.org/officeDocument/2006/relationships" r:id="rId199"/>
          <a:extLst>
            <a:ext uri="{FF2B5EF4-FFF2-40B4-BE49-F238E27FC236}">
              <a16:creationId xmlns:a16="http://schemas.microsoft.com/office/drawing/2014/main" id="{FF07B79B-3914-42E7-A4E9-50BC72EC3B10}"/>
            </a:ext>
          </a:extLst>
        </xdr:cNvPr>
        <xdr:cNvSpPr>
          <a:spLocks noChangeAspect="1" noChangeArrowheads="1"/>
        </xdr:cNvSpPr>
      </xdr:nvSpPr>
      <xdr:spPr bwMode="auto">
        <a:xfrm>
          <a:off x="0" y="2820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202" name="AutoShape 202" descr="ENG">
          <a:hlinkClick xmlns:r="http://schemas.openxmlformats.org/officeDocument/2006/relationships" r:id="rId200"/>
          <a:extLst>
            <a:ext uri="{FF2B5EF4-FFF2-40B4-BE49-F238E27FC236}">
              <a16:creationId xmlns:a16="http://schemas.microsoft.com/office/drawing/2014/main" id="{3BD7032B-5954-4F19-B2A9-8C4B7C25B482}"/>
            </a:ext>
          </a:extLst>
        </xdr:cNvPr>
        <xdr:cNvSpPr>
          <a:spLocks noChangeAspect="1" noChangeArrowheads="1"/>
        </xdr:cNvSpPr>
      </xdr:nvSpPr>
      <xdr:spPr bwMode="auto">
        <a:xfrm>
          <a:off x="0" y="20202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03" name="AutoShape 203" descr="COL">
          <a:hlinkClick xmlns:r="http://schemas.openxmlformats.org/officeDocument/2006/relationships" r:id="rId201"/>
          <a:extLst>
            <a:ext uri="{FF2B5EF4-FFF2-40B4-BE49-F238E27FC236}">
              <a16:creationId xmlns:a16="http://schemas.microsoft.com/office/drawing/2014/main" id="{4D5F68C9-41AC-4A29-9181-27EE5946A2B5}"/>
            </a:ext>
          </a:extLst>
        </xdr:cNvPr>
        <xdr:cNvSpPr>
          <a:spLocks noChangeAspect="1" noChangeArrowheads="1"/>
        </xdr:cNvSpPr>
      </xdr:nvSpPr>
      <xdr:spPr bwMode="auto">
        <a:xfrm>
          <a:off x="0" y="22869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04" name="AutoShape 204" descr="USA">
          <a:hlinkClick xmlns:r="http://schemas.openxmlformats.org/officeDocument/2006/relationships" r:id="rId202"/>
          <a:extLst>
            <a:ext uri="{FF2B5EF4-FFF2-40B4-BE49-F238E27FC236}">
              <a16:creationId xmlns:a16="http://schemas.microsoft.com/office/drawing/2014/main" id="{329CEA00-5E1E-4018-8840-E16E28009DA3}"/>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92710</xdr:rowOff>
    </xdr:to>
    <xdr:sp macro="" textlink="">
      <xdr:nvSpPr>
        <xdr:cNvPr id="205" name="AutoShape 205" descr="USA">
          <a:hlinkClick xmlns:r="http://schemas.openxmlformats.org/officeDocument/2006/relationships" r:id="rId203"/>
          <a:extLst>
            <a:ext uri="{FF2B5EF4-FFF2-40B4-BE49-F238E27FC236}">
              <a16:creationId xmlns:a16="http://schemas.microsoft.com/office/drawing/2014/main" id="{41BD26D7-85B3-423D-A77D-8E50A58E13E1}"/>
            </a:ext>
          </a:extLst>
        </xdr:cNvPr>
        <xdr:cNvSpPr>
          <a:spLocks noChangeAspect="1" noChangeArrowheads="1"/>
        </xdr:cNvSpPr>
      </xdr:nvSpPr>
      <xdr:spPr bwMode="auto">
        <a:xfrm>
          <a:off x="0" y="2572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92709</xdr:rowOff>
    </xdr:to>
    <xdr:sp macro="" textlink="">
      <xdr:nvSpPr>
        <xdr:cNvPr id="206" name="AutoShape 206" descr="SWE">
          <a:hlinkClick xmlns:r="http://schemas.openxmlformats.org/officeDocument/2006/relationships" r:id="rId204"/>
          <a:extLst>
            <a:ext uri="{FF2B5EF4-FFF2-40B4-BE49-F238E27FC236}">
              <a16:creationId xmlns:a16="http://schemas.microsoft.com/office/drawing/2014/main" id="{7AC6082F-8FC3-4D1D-8AE4-7108DB1BD6DF}"/>
            </a:ext>
          </a:extLst>
        </xdr:cNvPr>
        <xdr:cNvSpPr>
          <a:spLocks noChangeAspect="1" noChangeArrowheads="1"/>
        </xdr:cNvSpPr>
      </xdr:nvSpPr>
      <xdr:spPr bwMode="auto">
        <a:xfrm>
          <a:off x="0" y="21345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207" name="AutoShape 207" descr="KOR">
          <a:hlinkClick xmlns:r="http://schemas.openxmlformats.org/officeDocument/2006/relationships" r:id="rId205"/>
          <a:extLst>
            <a:ext uri="{FF2B5EF4-FFF2-40B4-BE49-F238E27FC236}">
              <a16:creationId xmlns:a16="http://schemas.microsoft.com/office/drawing/2014/main" id="{987AF796-F7A8-430D-834F-9C377BB27C59}"/>
            </a:ext>
          </a:extLst>
        </xdr:cNvPr>
        <xdr:cNvSpPr>
          <a:spLocks noChangeAspect="1" noChangeArrowheads="1"/>
        </xdr:cNvSpPr>
      </xdr:nvSpPr>
      <xdr:spPr bwMode="auto">
        <a:xfrm>
          <a:off x="0" y="2972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08" name="AutoShape 208" descr="USA">
          <a:hlinkClick xmlns:r="http://schemas.openxmlformats.org/officeDocument/2006/relationships" r:id="rId206"/>
          <a:extLst>
            <a:ext uri="{FF2B5EF4-FFF2-40B4-BE49-F238E27FC236}">
              <a16:creationId xmlns:a16="http://schemas.microsoft.com/office/drawing/2014/main" id="{270FC159-3570-415B-BFAB-7FCF8451611B}"/>
            </a:ext>
          </a:extLst>
        </xdr:cNvPr>
        <xdr:cNvSpPr>
          <a:spLocks noChangeAspect="1" noChangeArrowheads="1"/>
        </xdr:cNvSpPr>
      </xdr:nvSpPr>
      <xdr:spPr bwMode="auto">
        <a:xfrm>
          <a:off x="0" y="22679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92711</xdr:rowOff>
    </xdr:to>
    <xdr:sp macro="" textlink="">
      <xdr:nvSpPr>
        <xdr:cNvPr id="209" name="AutoShape 209" descr="USA">
          <a:hlinkClick xmlns:r="http://schemas.openxmlformats.org/officeDocument/2006/relationships" r:id="rId207"/>
          <a:extLst>
            <a:ext uri="{FF2B5EF4-FFF2-40B4-BE49-F238E27FC236}">
              <a16:creationId xmlns:a16="http://schemas.microsoft.com/office/drawing/2014/main" id="{59808DF8-CB6E-415E-88FC-9EF90EBD06B5}"/>
            </a:ext>
          </a:extLst>
        </xdr:cNvPr>
        <xdr:cNvSpPr>
          <a:spLocks noChangeAspect="1" noChangeArrowheads="1"/>
        </xdr:cNvSpPr>
      </xdr:nvSpPr>
      <xdr:spPr bwMode="auto">
        <a:xfrm>
          <a:off x="0" y="26108025"/>
          <a:ext cx="304800" cy="283211"/>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92709</xdr:rowOff>
    </xdr:to>
    <xdr:sp macro="" textlink="">
      <xdr:nvSpPr>
        <xdr:cNvPr id="210" name="AutoShape 210" descr="USA">
          <a:hlinkClick xmlns:r="http://schemas.openxmlformats.org/officeDocument/2006/relationships" r:id="rId208"/>
          <a:extLst>
            <a:ext uri="{FF2B5EF4-FFF2-40B4-BE49-F238E27FC236}">
              <a16:creationId xmlns:a16="http://schemas.microsoft.com/office/drawing/2014/main" id="{0FFEBE69-4466-40A5-939B-F8091BDF5645}"/>
            </a:ext>
          </a:extLst>
        </xdr:cNvPr>
        <xdr:cNvSpPr>
          <a:spLocks noChangeAspect="1" noChangeArrowheads="1"/>
        </xdr:cNvSpPr>
      </xdr:nvSpPr>
      <xdr:spPr bwMode="auto">
        <a:xfrm>
          <a:off x="0" y="25536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11" name="AutoShape 211" descr="USA">
          <a:hlinkClick xmlns:r="http://schemas.openxmlformats.org/officeDocument/2006/relationships" r:id="rId209"/>
          <a:extLst>
            <a:ext uri="{FF2B5EF4-FFF2-40B4-BE49-F238E27FC236}">
              <a16:creationId xmlns:a16="http://schemas.microsoft.com/office/drawing/2014/main" id="{359660A1-80D5-4011-89CA-B8DA1BC11FFE}"/>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92709</xdr:rowOff>
    </xdr:to>
    <xdr:sp macro="" textlink="">
      <xdr:nvSpPr>
        <xdr:cNvPr id="212" name="AutoShape 212" descr="USA">
          <a:hlinkClick xmlns:r="http://schemas.openxmlformats.org/officeDocument/2006/relationships" r:id="rId210"/>
          <a:extLst>
            <a:ext uri="{FF2B5EF4-FFF2-40B4-BE49-F238E27FC236}">
              <a16:creationId xmlns:a16="http://schemas.microsoft.com/office/drawing/2014/main" id="{1717B462-4A56-49B0-95E1-C0D6982774A9}"/>
            </a:ext>
          </a:extLst>
        </xdr:cNvPr>
        <xdr:cNvSpPr>
          <a:spLocks noChangeAspect="1" noChangeArrowheads="1"/>
        </xdr:cNvSpPr>
      </xdr:nvSpPr>
      <xdr:spPr bwMode="auto">
        <a:xfrm>
          <a:off x="0" y="25536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13" name="AutoShape 213" descr="USA">
          <a:hlinkClick xmlns:r="http://schemas.openxmlformats.org/officeDocument/2006/relationships" r:id="rId211"/>
          <a:extLst>
            <a:ext uri="{FF2B5EF4-FFF2-40B4-BE49-F238E27FC236}">
              <a16:creationId xmlns:a16="http://schemas.microsoft.com/office/drawing/2014/main" id="{95E82C73-3207-4712-8805-C16043BE1615}"/>
            </a:ext>
          </a:extLst>
        </xdr:cNvPr>
        <xdr:cNvSpPr>
          <a:spLocks noChangeAspect="1" noChangeArrowheads="1"/>
        </xdr:cNvSpPr>
      </xdr:nvSpPr>
      <xdr:spPr bwMode="auto">
        <a:xfrm>
          <a:off x="0" y="2248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92710</xdr:rowOff>
    </xdr:to>
    <xdr:sp macro="" textlink="">
      <xdr:nvSpPr>
        <xdr:cNvPr id="214" name="AutoShape 214" descr="AUS">
          <a:hlinkClick xmlns:r="http://schemas.openxmlformats.org/officeDocument/2006/relationships" r:id="rId212"/>
          <a:extLst>
            <a:ext uri="{FF2B5EF4-FFF2-40B4-BE49-F238E27FC236}">
              <a16:creationId xmlns:a16="http://schemas.microsoft.com/office/drawing/2014/main" id="{734EA62A-900A-47EF-91B2-34EC559DD4C6}"/>
            </a:ext>
          </a:extLst>
        </xdr:cNvPr>
        <xdr:cNvSpPr>
          <a:spLocks noChangeAspect="1" noChangeArrowheads="1"/>
        </xdr:cNvSpPr>
      </xdr:nvSpPr>
      <xdr:spPr bwMode="auto">
        <a:xfrm>
          <a:off x="0" y="22488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15" name="AutoShape 215" descr="USA">
          <a:hlinkClick xmlns:r="http://schemas.openxmlformats.org/officeDocument/2006/relationships" r:id="rId213"/>
          <a:extLst>
            <a:ext uri="{FF2B5EF4-FFF2-40B4-BE49-F238E27FC236}">
              <a16:creationId xmlns:a16="http://schemas.microsoft.com/office/drawing/2014/main" id="{A0C8ED55-A24A-41B6-92A2-035626A29587}"/>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216" name="AutoShape 216" descr="TPE">
          <a:hlinkClick xmlns:r="http://schemas.openxmlformats.org/officeDocument/2006/relationships" r:id="rId214"/>
          <a:extLst>
            <a:ext uri="{FF2B5EF4-FFF2-40B4-BE49-F238E27FC236}">
              <a16:creationId xmlns:a16="http://schemas.microsoft.com/office/drawing/2014/main" id="{424EC7CD-4BEB-4D83-AE38-3C84DD9491E2}"/>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92710</xdr:rowOff>
    </xdr:to>
    <xdr:sp macro="" textlink="">
      <xdr:nvSpPr>
        <xdr:cNvPr id="217" name="AutoShape 217" descr="USA">
          <a:hlinkClick xmlns:r="http://schemas.openxmlformats.org/officeDocument/2006/relationships" r:id="rId215"/>
          <a:extLst>
            <a:ext uri="{FF2B5EF4-FFF2-40B4-BE49-F238E27FC236}">
              <a16:creationId xmlns:a16="http://schemas.microsoft.com/office/drawing/2014/main" id="{3C895AAB-D8E2-4F44-AFA5-B1100730EEEF}"/>
            </a:ext>
          </a:extLst>
        </xdr:cNvPr>
        <xdr:cNvSpPr>
          <a:spLocks noChangeAspect="1" noChangeArrowheads="1"/>
        </xdr:cNvSpPr>
      </xdr:nvSpPr>
      <xdr:spPr bwMode="auto">
        <a:xfrm>
          <a:off x="0" y="12011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92709</xdr:rowOff>
    </xdr:to>
    <xdr:sp macro="" textlink="">
      <xdr:nvSpPr>
        <xdr:cNvPr id="218" name="AutoShape 218" descr="COL">
          <a:hlinkClick xmlns:r="http://schemas.openxmlformats.org/officeDocument/2006/relationships" r:id="rId216"/>
          <a:extLst>
            <a:ext uri="{FF2B5EF4-FFF2-40B4-BE49-F238E27FC236}">
              <a16:creationId xmlns:a16="http://schemas.microsoft.com/office/drawing/2014/main" id="{ADC097F6-040E-4A00-9317-7B45FDA062B0}"/>
            </a:ext>
          </a:extLst>
        </xdr:cNvPr>
        <xdr:cNvSpPr>
          <a:spLocks noChangeAspect="1" noChangeArrowheads="1"/>
        </xdr:cNvSpPr>
      </xdr:nvSpPr>
      <xdr:spPr bwMode="auto">
        <a:xfrm>
          <a:off x="0" y="13344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92710</xdr:rowOff>
    </xdr:to>
    <xdr:sp macro="" textlink="">
      <xdr:nvSpPr>
        <xdr:cNvPr id="219" name="AutoShape 219" descr="USA">
          <a:hlinkClick xmlns:r="http://schemas.openxmlformats.org/officeDocument/2006/relationships" r:id="rId217"/>
          <a:extLst>
            <a:ext uri="{FF2B5EF4-FFF2-40B4-BE49-F238E27FC236}">
              <a16:creationId xmlns:a16="http://schemas.microsoft.com/office/drawing/2014/main" id="{A72515C2-AB95-413D-8706-C4843AD6FF8A}"/>
            </a:ext>
          </a:extLst>
        </xdr:cNvPr>
        <xdr:cNvSpPr>
          <a:spLocks noChangeAspect="1" noChangeArrowheads="1"/>
        </xdr:cNvSpPr>
      </xdr:nvSpPr>
      <xdr:spPr bwMode="auto">
        <a:xfrm>
          <a:off x="0" y="771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92710</xdr:rowOff>
    </xdr:to>
    <xdr:sp macro="" textlink="">
      <xdr:nvSpPr>
        <xdr:cNvPr id="220" name="AutoShape 220" descr="USA">
          <a:hlinkClick xmlns:r="http://schemas.openxmlformats.org/officeDocument/2006/relationships" r:id="rId218"/>
          <a:extLst>
            <a:ext uri="{FF2B5EF4-FFF2-40B4-BE49-F238E27FC236}">
              <a16:creationId xmlns:a16="http://schemas.microsoft.com/office/drawing/2014/main" id="{1612D888-CB5C-4775-B44B-D0BCC41B1E2E}"/>
            </a:ext>
          </a:extLst>
        </xdr:cNvPr>
        <xdr:cNvSpPr>
          <a:spLocks noChangeAspect="1" noChangeArrowheads="1"/>
        </xdr:cNvSpPr>
      </xdr:nvSpPr>
      <xdr:spPr bwMode="auto">
        <a:xfrm>
          <a:off x="0" y="2934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221" name="AutoShape 221" descr="USA">
          <a:hlinkClick xmlns:r="http://schemas.openxmlformats.org/officeDocument/2006/relationships" r:id="rId219"/>
          <a:extLst>
            <a:ext uri="{FF2B5EF4-FFF2-40B4-BE49-F238E27FC236}">
              <a16:creationId xmlns:a16="http://schemas.microsoft.com/office/drawing/2014/main" id="{E356F5E5-AAE6-4556-ADD4-BFBE70C826A6}"/>
            </a:ext>
          </a:extLst>
        </xdr:cNvPr>
        <xdr:cNvSpPr>
          <a:spLocks noChangeAspect="1" noChangeArrowheads="1"/>
        </xdr:cNvSpPr>
      </xdr:nvSpPr>
      <xdr:spPr bwMode="auto">
        <a:xfrm>
          <a:off x="0" y="3201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92710</xdr:rowOff>
    </xdr:to>
    <xdr:sp macro="" textlink="">
      <xdr:nvSpPr>
        <xdr:cNvPr id="222" name="AutoShape 222" descr="USA">
          <a:hlinkClick xmlns:r="http://schemas.openxmlformats.org/officeDocument/2006/relationships" r:id="rId220"/>
          <a:extLst>
            <a:ext uri="{FF2B5EF4-FFF2-40B4-BE49-F238E27FC236}">
              <a16:creationId xmlns:a16="http://schemas.microsoft.com/office/drawing/2014/main" id="{AA0EAD7E-AD11-4540-B7EE-A306A8DF40B0}"/>
            </a:ext>
          </a:extLst>
        </xdr:cNvPr>
        <xdr:cNvSpPr>
          <a:spLocks noChangeAspect="1" noChangeArrowheads="1"/>
        </xdr:cNvSpPr>
      </xdr:nvSpPr>
      <xdr:spPr bwMode="auto">
        <a:xfrm>
          <a:off x="0" y="16583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92710</xdr:rowOff>
    </xdr:to>
    <xdr:sp macro="" textlink="">
      <xdr:nvSpPr>
        <xdr:cNvPr id="223" name="AutoShape 223" descr="USA">
          <a:hlinkClick xmlns:r="http://schemas.openxmlformats.org/officeDocument/2006/relationships" r:id="rId221"/>
          <a:extLst>
            <a:ext uri="{FF2B5EF4-FFF2-40B4-BE49-F238E27FC236}">
              <a16:creationId xmlns:a16="http://schemas.microsoft.com/office/drawing/2014/main" id="{2448EE4E-4AB3-465A-ADD5-F4C64058D6D4}"/>
            </a:ext>
          </a:extLst>
        </xdr:cNvPr>
        <xdr:cNvSpPr>
          <a:spLocks noChangeAspect="1" noChangeArrowheads="1"/>
        </xdr:cNvSpPr>
      </xdr:nvSpPr>
      <xdr:spPr bwMode="auto">
        <a:xfrm>
          <a:off x="0" y="3468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92710</xdr:rowOff>
    </xdr:to>
    <xdr:sp macro="" textlink="">
      <xdr:nvSpPr>
        <xdr:cNvPr id="224" name="AutoShape 224" descr="IND">
          <a:hlinkClick xmlns:r="http://schemas.openxmlformats.org/officeDocument/2006/relationships" r:id="rId222"/>
          <a:extLst>
            <a:ext uri="{FF2B5EF4-FFF2-40B4-BE49-F238E27FC236}">
              <a16:creationId xmlns:a16="http://schemas.microsoft.com/office/drawing/2014/main" id="{44243FFA-3DE3-44ED-B093-2482859701AD}"/>
            </a:ext>
          </a:extLst>
        </xdr:cNvPr>
        <xdr:cNvSpPr>
          <a:spLocks noChangeAspect="1" noChangeArrowheads="1"/>
        </xdr:cNvSpPr>
      </xdr:nvSpPr>
      <xdr:spPr bwMode="auto">
        <a:xfrm>
          <a:off x="0" y="21155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94615</xdr:rowOff>
    </xdr:to>
    <xdr:sp macro="" textlink="">
      <xdr:nvSpPr>
        <xdr:cNvPr id="225" name="AutoShape 225" descr="USA">
          <a:hlinkClick xmlns:r="http://schemas.openxmlformats.org/officeDocument/2006/relationships" r:id="rId223"/>
          <a:extLst>
            <a:ext uri="{FF2B5EF4-FFF2-40B4-BE49-F238E27FC236}">
              <a16:creationId xmlns:a16="http://schemas.microsoft.com/office/drawing/2014/main" id="{15ACBC4F-0184-465E-A478-85D0B0F8CF11}"/>
            </a:ext>
          </a:extLst>
        </xdr:cNvPr>
        <xdr:cNvSpPr>
          <a:spLocks noChangeAspect="1" noChangeArrowheads="1"/>
        </xdr:cNvSpPr>
      </xdr:nvSpPr>
      <xdr:spPr bwMode="auto">
        <a:xfrm>
          <a:off x="0" y="35442525"/>
          <a:ext cx="304800" cy="28511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92709</xdr:rowOff>
    </xdr:to>
    <xdr:sp macro="" textlink="">
      <xdr:nvSpPr>
        <xdr:cNvPr id="226" name="AutoShape 226" descr="USA">
          <a:hlinkClick xmlns:r="http://schemas.openxmlformats.org/officeDocument/2006/relationships" r:id="rId224"/>
          <a:extLst>
            <a:ext uri="{FF2B5EF4-FFF2-40B4-BE49-F238E27FC236}">
              <a16:creationId xmlns:a16="http://schemas.microsoft.com/office/drawing/2014/main" id="{E24DC189-8E98-4310-990F-D3A8153BDD5F}"/>
            </a:ext>
          </a:extLst>
        </xdr:cNvPr>
        <xdr:cNvSpPr>
          <a:spLocks noChangeAspect="1" noChangeArrowheads="1"/>
        </xdr:cNvSpPr>
      </xdr:nvSpPr>
      <xdr:spPr bwMode="auto">
        <a:xfrm>
          <a:off x="0" y="15630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92710</xdr:rowOff>
    </xdr:to>
    <xdr:sp macro="" textlink="">
      <xdr:nvSpPr>
        <xdr:cNvPr id="227" name="AutoShape 227" descr="USA">
          <a:hlinkClick xmlns:r="http://schemas.openxmlformats.org/officeDocument/2006/relationships" r:id="rId225"/>
          <a:extLst>
            <a:ext uri="{FF2B5EF4-FFF2-40B4-BE49-F238E27FC236}">
              <a16:creationId xmlns:a16="http://schemas.microsoft.com/office/drawing/2014/main" id="{24A9FCC6-12D0-46A3-99FE-0E4915EEADBF}"/>
            </a:ext>
          </a:extLst>
        </xdr:cNvPr>
        <xdr:cNvSpPr>
          <a:spLocks noChangeAspect="1" noChangeArrowheads="1"/>
        </xdr:cNvSpPr>
      </xdr:nvSpPr>
      <xdr:spPr bwMode="auto">
        <a:xfrm>
          <a:off x="0" y="25917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92710</xdr:rowOff>
    </xdr:to>
    <xdr:sp macro="" textlink="">
      <xdr:nvSpPr>
        <xdr:cNvPr id="228" name="AutoShape 228" descr="USA">
          <a:hlinkClick xmlns:r="http://schemas.openxmlformats.org/officeDocument/2006/relationships" r:id="rId226"/>
          <a:extLst>
            <a:ext uri="{FF2B5EF4-FFF2-40B4-BE49-F238E27FC236}">
              <a16:creationId xmlns:a16="http://schemas.microsoft.com/office/drawing/2014/main" id="{932E312E-AF5B-4217-B192-92C6979656B8}"/>
            </a:ext>
          </a:extLst>
        </xdr:cNvPr>
        <xdr:cNvSpPr>
          <a:spLocks noChangeAspect="1" noChangeArrowheads="1"/>
        </xdr:cNvSpPr>
      </xdr:nvSpPr>
      <xdr:spPr bwMode="auto">
        <a:xfrm>
          <a:off x="0" y="2058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92709</xdr:rowOff>
    </xdr:to>
    <xdr:sp macro="" textlink="">
      <xdr:nvSpPr>
        <xdr:cNvPr id="229" name="AutoShape 229" descr="RSA">
          <a:hlinkClick xmlns:r="http://schemas.openxmlformats.org/officeDocument/2006/relationships" r:id="rId227"/>
          <a:extLst>
            <a:ext uri="{FF2B5EF4-FFF2-40B4-BE49-F238E27FC236}">
              <a16:creationId xmlns:a16="http://schemas.microsoft.com/office/drawing/2014/main" id="{809256CC-FD1A-4E73-8064-C44849588567}"/>
            </a:ext>
          </a:extLst>
        </xdr:cNvPr>
        <xdr:cNvSpPr>
          <a:spLocks noChangeAspect="1" noChangeArrowheads="1"/>
        </xdr:cNvSpPr>
      </xdr:nvSpPr>
      <xdr:spPr bwMode="auto">
        <a:xfrm>
          <a:off x="0" y="15630525"/>
          <a:ext cx="304800" cy="28320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92710</xdr:rowOff>
    </xdr:to>
    <xdr:sp macro="" textlink="">
      <xdr:nvSpPr>
        <xdr:cNvPr id="230" name="AutoShape 230" descr="USA">
          <a:hlinkClick xmlns:r="http://schemas.openxmlformats.org/officeDocument/2006/relationships" r:id="rId228"/>
          <a:extLst>
            <a:ext uri="{FF2B5EF4-FFF2-40B4-BE49-F238E27FC236}">
              <a16:creationId xmlns:a16="http://schemas.microsoft.com/office/drawing/2014/main" id="{6DEB57BB-BCD4-458E-A2C2-462C431ECD3F}"/>
            </a:ext>
          </a:extLst>
        </xdr:cNvPr>
        <xdr:cNvSpPr>
          <a:spLocks noChangeAspect="1" noChangeArrowheads="1"/>
        </xdr:cNvSpPr>
      </xdr:nvSpPr>
      <xdr:spPr bwMode="auto">
        <a:xfrm>
          <a:off x="0" y="390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92710</xdr:rowOff>
    </xdr:to>
    <xdr:sp macro="" textlink="">
      <xdr:nvSpPr>
        <xdr:cNvPr id="231" name="AutoShape 231" descr="USA">
          <a:hlinkClick xmlns:r="http://schemas.openxmlformats.org/officeDocument/2006/relationships" r:id="rId229"/>
          <a:extLst>
            <a:ext uri="{FF2B5EF4-FFF2-40B4-BE49-F238E27FC236}">
              <a16:creationId xmlns:a16="http://schemas.microsoft.com/office/drawing/2014/main" id="{C0DB6D49-F907-4CEC-A8FA-3B8722078390}"/>
            </a:ext>
          </a:extLst>
        </xdr:cNvPr>
        <xdr:cNvSpPr>
          <a:spLocks noChangeAspect="1" noChangeArrowheads="1"/>
        </xdr:cNvSpPr>
      </xdr:nvSpPr>
      <xdr:spPr bwMode="auto">
        <a:xfrm>
          <a:off x="0" y="3220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92710</xdr:rowOff>
    </xdr:to>
    <xdr:sp macro="" textlink="">
      <xdr:nvSpPr>
        <xdr:cNvPr id="232" name="AutoShape 232" descr="USA">
          <a:hlinkClick xmlns:r="http://schemas.openxmlformats.org/officeDocument/2006/relationships" r:id="rId230"/>
          <a:extLst>
            <a:ext uri="{FF2B5EF4-FFF2-40B4-BE49-F238E27FC236}">
              <a16:creationId xmlns:a16="http://schemas.microsoft.com/office/drawing/2014/main" id="{25D67C99-207B-4C23-9471-D566F59F14F6}"/>
            </a:ext>
          </a:extLst>
        </xdr:cNvPr>
        <xdr:cNvSpPr>
          <a:spLocks noChangeAspect="1" noChangeArrowheads="1"/>
        </xdr:cNvSpPr>
      </xdr:nvSpPr>
      <xdr:spPr bwMode="auto">
        <a:xfrm>
          <a:off x="0" y="6486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92710</xdr:rowOff>
    </xdr:to>
    <xdr:sp macro="" textlink="">
      <xdr:nvSpPr>
        <xdr:cNvPr id="233" name="AutoShape 233" descr="USA">
          <a:hlinkClick xmlns:r="http://schemas.openxmlformats.org/officeDocument/2006/relationships" r:id="rId231"/>
          <a:extLst>
            <a:ext uri="{FF2B5EF4-FFF2-40B4-BE49-F238E27FC236}">
              <a16:creationId xmlns:a16="http://schemas.microsoft.com/office/drawing/2014/main" id="{2ABE1D7A-783E-46AB-A6DE-F38F8989895E}"/>
            </a:ext>
          </a:extLst>
        </xdr:cNvPr>
        <xdr:cNvSpPr>
          <a:spLocks noChangeAspect="1" noChangeArrowheads="1"/>
        </xdr:cNvSpPr>
      </xdr:nvSpPr>
      <xdr:spPr bwMode="auto">
        <a:xfrm>
          <a:off x="0" y="282035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92710</xdr:rowOff>
    </xdr:to>
    <xdr:sp macro="" textlink="">
      <xdr:nvSpPr>
        <xdr:cNvPr id="234" name="AutoShape 234" descr="SWE">
          <a:hlinkClick xmlns:r="http://schemas.openxmlformats.org/officeDocument/2006/relationships" r:id="rId232"/>
          <a:extLst>
            <a:ext uri="{FF2B5EF4-FFF2-40B4-BE49-F238E27FC236}">
              <a16:creationId xmlns:a16="http://schemas.microsoft.com/office/drawing/2014/main" id="{3762CFFC-4D61-4FDD-92ED-B39B4A22F3BB}"/>
            </a:ext>
          </a:extLst>
        </xdr:cNvPr>
        <xdr:cNvSpPr>
          <a:spLocks noChangeAspect="1" noChangeArrowheads="1"/>
        </xdr:cNvSpPr>
      </xdr:nvSpPr>
      <xdr:spPr bwMode="auto">
        <a:xfrm>
          <a:off x="0" y="33347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92710</xdr:rowOff>
    </xdr:to>
    <xdr:sp macro="" textlink="">
      <xdr:nvSpPr>
        <xdr:cNvPr id="235" name="AutoShape 235" descr="KOR">
          <a:hlinkClick xmlns:r="http://schemas.openxmlformats.org/officeDocument/2006/relationships" r:id="rId233"/>
          <a:extLst>
            <a:ext uri="{FF2B5EF4-FFF2-40B4-BE49-F238E27FC236}">
              <a16:creationId xmlns:a16="http://schemas.microsoft.com/office/drawing/2014/main" id="{558B4FDF-9426-49B0-BA8E-1A2230AD58C9}"/>
            </a:ext>
          </a:extLst>
        </xdr:cNvPr>
        <xdr:cNvSpPr>
          <a:spLocks noChangeAspect="1" noChangeArrowheads="1"/>
        </xdr:cNvSpPr>
      </xdr:nvSpPr>
      <xdr:spPr bwMode="auto">
        <a:xfrm>
          <a:off x="0" y="1724025"/>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0</xdr:col>
      <xdr:colOff>0</xdr:colOff>
      <xdr:row>95</xdr:row>
      <xdr:rowOff>0</xdr:rowOff>
    </xdr:from>
    <xdr:ext cx="304800" cy="283210"/>
    <xdr:sp macro="" textlink="">
      <xdr:nvSpPr>
        <xdr:cNvPr id="186" name="AutoShape 155" descr="USA">
          <a:hlinkClick xmlns:r="http://schemas.openxmlformats.org/officeDocument/2006/relationships" r:id="rId154"/>
          <a:extLst>
            <a:ext uri="{FF2B5EF4-FFF2-40B4-BE49-F238E27FC236}">
              <a16:creationId xmlns:a16="http://schemas.microsoft.com/office/drawing/2014/main" id="{274B7695-8CD8-4D80-843B-7D6F98BA715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94</xdr:row>
      <xdr:rowOff>0</xdr:rowOff>
    </xdr:from>
    <xdr:ext cx="304800" cy="283210"/>
    <xdr:sp macro="" textlink="">
      <xdr:nvSpPr>
        <xdr:cNvPr id="236" name="AutoShape 205" descr="USA">
          <a:hlinkClick xmlns:r="http://schemas.openxmlformats.org/officeDocument/2006/relationships" r:id="rId203"/>
          <a:extLst>
            <a:ext uri="{FF2B5EF4-FFF2-40B4-BE49-F238E27FC236}">
              <a16:creationId xmlns:a16="http://schemas.microsoft.com/office/drawing/2014/main" id="{50CA8803-672C-4B2E-AA28-9B04030B915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95</xdr:row>
      <xdr:rowOff>0</xdr:rowOff>
    </xdr:from>
    <xdr:ext cx="304800" cy="283210"/>
    <xdr:sp macro="" textlink="">
      <xdr:nvSpPr>
        <xdr:cNvPr id="237" name="AutoShape 227" descr="USA">
          <a:hlinkClick xmlns:r="http://schemas.openxmlformats.org/officeDocument/2006/relationships" r:id="rId225"/>
          <a:extLst>
            <a:ext uri="{FF2B5EF4-FFF2-40B4-BE49-F238E27FC236}">
              <a16:creationId xmlns:a16="http://schemas.microsoft.com/office/drawing/2014/main" id="{003BEE39-E577-4458-B818-72968C65F22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38" name="AutoShape 155" descr="USA">
          <a:hlinkClick xmlns:r="http://schemas.openxmlformats.org/officeDocument/2006/relationships" r:id="rId154"/>
          <a:extLst>
            <a:ext uri="{FF2B5EF4-FFF2-40B4-BE49-F238E27FC236}">
              <a16:creationId xmlns:a16="http://schemas.microsoft.com/office/drawing/2014/main" id="{48EF5FAC-9A46-4552-82C6-CC0B589AFE0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95</xdr:row>
      <xdr:rowOff>0</xdr:rowOff>
    </xdr:from>
    <xdr:ext cx="304800" cy="283210"/>
    <xdr:sp macro="" textlink="">
      <xdr:nvSpPr>
        <xdr:cNvPr id="239" name="AutoShape 205" descr="USA">
          <a:hlinkClick xmlns:r="http://schemas.openxmlformats.org/officeDocument/2006/relationships" r:id="rId203"/>
          <a:extLst>
            <a:ext uri="{FF2B5EF4-FFF2-40B4-BE49-F238E27FC236}">
              <a16:creationId xmlns:a16="http://schemas.microsoft.com/office/drawing/2014/main" id="{BE633F63-C819-4E75-8E60-156B0D5E8D2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40" name="AutoShape 227" descr="USA">
          <a:hlinkClick xmlns:r="http://schemas.openxmlformats.org/officeDocument/2006/relationships" r:id="rId225"/>
          <a:extLst>
            <a:ext uri="{FF2B5EF4-FFF2-40B4-BE49-F238E27FC236}">
              <a16:creationId xmlns:a16="http://schemas.microsoft.com/office/drawing/2014/main" id="{2D6F0E0A-B1EC-4185-A36E-F794EF2F66E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41" name="AutoShape 205" descr="USA">
          <a:hlinkClick xmlns:r="http://schemas.openxmlformats.org/officeDocument/2006/relationships" r:id="rId203"/>
          <a:extLst>
            <a:ext uri="{FF2B5EF4-FFF2-40B4-BE49-F238E27FC236}">
              <a16:creationId xmlns:a16="http://schemas.microsoft.com/office/drawing/2014/main" id="{52641379-3C30-4196-813B-F70706F001A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2" name="AutoShape 155" descr="USA">
          <a:hlinkClick xmlns:r="http://schemas.openxmlformats.org/officeDocument/2006/relationships" r:id="rId154"/>
          <a:extLst>
            <a:ext uri="{FF2B5EF4-FFF2-40B4-BE49-F238E27FC236}">
              <a16:creationId xmlns:a16="http://schemas.microsoft.com/office/drawing/2014/main" id="{56E55D94-AAA5-4D41-8835-56EE1777779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96</xdr:row>
      <xdr:rowOff>0</xdr:rowOff>
    </xdr:from>
    <xdr:ext cx="304800" cy="283210"/>
    <xdr:sp macro="" textlink="">
      <xdr:nvSpPr>
        <xdr:cNvPr id="243" name="AutoShape 205" descr="USA">
          <a:hlinkClick xmlns:r="http://schemas.openxmlformats.org/officeDocument/2006/relationships" r:id="rId203"/>
          <a:extLst>
            <a:ext uri="{FF2B5EF4-FFF2-40B4-BE49-F238E27FC236}">
              <a16:creationId xmlns:a16="http://schemas.microsoft.com/office/drawing/2014/main" id="{BFDAAD17-F573-4841-9276-ECF75DADF79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4" name="AutoShape 227" descr="USA">
          <a:hlinkClick xmlns:r="http://schemas.openxmlformats.org/officeDocument/2006/relationships" r:id="rId225"/>
          <a:extLst>
            <a:ext uri="{FF2B5EF4-FFF2-40B4-BE49-F238E27FC236}">
              <a16:creationId xmlns:a16="http://schemas.microsoft.com/office/drawing/2014/main" id="{53C7A647-DEE5-450D-A47E-A0545178454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5" name="AutoShape 205" descr="USA">
          <a:hlinkClick xmlns:r="http://schemas.openxmlformats.org/officeDocument/2006/relationships" r:id="rId203"/>
          <a:extLst>
            <a:ext uri="{FF2B5EF4-FFF2-40B4-BE49-F238E27FC236}">
              <a16:creationId xmlns:a16="http://schemas.microsoft.com/office/drawing/2014/main" id="{7C9A1D0A-E8A9-4104-9E1D-42BC923C0BF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46" name="AutoShape 155" descr="USA">
          <a:hlinkClick xmlns:r="http://schemas.openxmlformats.org/officeDocument/2006/relationships" r:id="rId154"/>
          <a:extLst>
            <a:ext uri="{FF2B5EF4-FFF2-40B4-BE49-F238E27FC236}">
              <a16:creationId xmlns:a16="http://schemas.microsoft.com/office/drawing/2014/main" id="{36ABA293-0D6E-47FD-9973-E3D2E2E0617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97</xdr:row>
      <xdr:rowOff>0</xdr:rowOff>
    </xdr:from>
    <xdr:ext cx="304800" cy="283210"/>
    <xdr:sp macro="" textlink="">
      <xdr:nvSpPr>
        <xdr:cNvPr id="247" name="AutoShape 205" descr="USA">
          <a:hlinkClick xmlns:r="http://schemas.openxmlformats.org/officeDocument/2006/relationships" r:id="rId203"/>
          <a:extLst>
            <a:ext uri="{FF2B5EF4-FFF2-40B4-BE49-F238E27FC236}">
              <a16:creationId xmlns:a16="http://schemas.microsoft.com/office/drawing/2014/main" id="{6DD981E4-0540-4540-BB1E-1759AFFCAEA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48" name="AutoShape 227" descr="USA">
          <a:hlinkClick xmlns:r="http://schemas.openxmlformats.org/officeDocument/2006/relationships" r:id="rId225"/>
          <a:extLst>
            <a:ext uri="{FF2B5EF4-FFF2-40B4-BE49-F238E27FC236}">
              <a16:creationId xmlns:a16="http://schemas.microsoft.com/office/drawing/2014/main" id="{AA36722B-285E-4715-917F-225EA9DD697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49" name="AutoShape 205" descr="USA">
          <a:hlinkClick xmlns:r="http://schemas.openxmlformats.org/officeDocument/2006/relationships" r:id="rId203"/>
          <a:extLst>
            <a:ext uri="{FF2B5EF4-FFF2-40B4-BE49-F238E27FC236}">
              <a16:creationId xmlns:a16="http://schemas.microsoft.com/office/drawing/2014/main" id="{E157B341-2A56-49D0-B2E5-5E70E69B94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0" name="AutoShape 155" descr="USA">
          <a:hlinkClick xmlns:r="http://schemas.openxmlformats.org/officeDocument/2006/relationships" r:id="rId154"/>
          <a:extLst>
            <a:ext uri="{FF2B5EF4-FFF2-40B4-BE49-F238E27FC236}">
              <a16:creationId xmlns:a16="http://schemas.microsoft.com/office/drawing/2014/main" id="{BB7008BB-8556-445E-B66C-368E0B7DFFE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98</xdr:row>
      <xdr:rowOff>0</xdr:rowOff>
    </xdr:from>
    <xdr:ext cx="304800" cy="283210"/>
    <xdr:sp macro="" textlink="">
      <xdr:nvSpPr>
        <xdr:cNvPr id="251" name="AutoShape 205" descr="USA">
          <a:hlinkClick xmlns:r="http://schemas.openxmlformats.org/officeDocument/2006/relationships" r:id="rId203"/>
          <a:extLst>
            <a:ext uri="{FF2B5EF4-FFF2-40B4-BE49-F238E27FC236}">
              <a16:creationId xmlns:a16="http://schemas.microsoft.com/office/drawing/2014/main" id="{3F304BDE-6D70-4BCB-80D6-B7852055175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2" name="AutoShape 227" descr="USA">
          <a:hlinkClick xmlns:r="http://schemas.openxmlformats.org/officeDocument/2006/relationships" r:id="rId225"/>
          <a:extLst>
            <a:ext uri="{FF2B5EF4-FFF2-40B4-BE49-F238E27FC236}">
              <a16:creationId xmlns:a16="http://schemas.microsoft.com/office/drawing/2014/main" id="{277F192B-02B5-4575-8043-1D472F78F40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3" name="AutoShape 205" descr="USA">
          <a:hlinkClick xmlns:r="http://schemas.openxmlformats.org/officeDocument/2006/relationships" r:id="rId203"/>
          <a:extLst>
            <a:ext uri="{FF2B5EF4-FFF2-40B4-BE49-F238E27FC236}">
              <a16:creationId xmlns:a16="http://schemas.microsoft.com/office/drawing/2014/main" id="{CFBD9C65-3B32-41DF-89D2-E39CCDF9916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4" name="AutoShape 155" descr="USA">
          <a:hlinkClick xmlns:r="http://schemas.openxmlformats.org/officeDocument/2006/relationships" r:id="rId154"/>
          <a:extLst>
            <a:ext uri="{FF2B5EF4-FFF2-40B4-BE49-F238E27FC236}">
              <a16:creationId xmlns:a16="http://schemas.microsoft.com/office/drawing/2014/main" id="{1DFABEAE-515B-40DE-A0FE-6DBAABAF5E8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99</xdr:row>
      <xdr:rowOff>0</xdr:rowOff>
    </xdr:from>
    <xdr:ext cx="304800" cy="283210"/>
    <xdr:sp macro="" textlink="">
      <xdr:nvSpPr>
        <xdr:cNvPr id="255" name="AutoShape 205" descr="USA">
          <a:hlinkClick xmlns:r="http://schemas.openxmlformats.org/officeDocument/2006/relationships" r:id="rId203"/>
          <a:extLst>
            <a:ext uri="{FF2B5EF4-FFF2-40B4-BE49-F238E27FC236}">
              <a16:creationId xmlns:a16="http://schemas.microsoft.com/office/drawing/2014/main" id="{D733CB91-518B-4572-91B5-5E09E75396C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6" name="AutoShape 227" descr="USA">
          <a:hlinkClick xmlns:r="http://schemas.openxmlformats.org/officeDocument/2006/relationships" r:id="rId225"/>
          <a:extLst>
            <a:ext uri="{FF2B5EF4-FFF2-40B4-BE49-F238E27FC236}">
              <a16:creationId xmlns:a16="http://schemas.microsoft.com/office/drawing/2014/main" id="{FA2DFAA2-FD8B-43D3-8B3A-7C79DEB0454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7" name="AutoShape 205" descr="USA">
          <a:hlinkClick xmlns:r="http://schemas.openxmlformats.org/officeDocument/2006/relationships" r:id="rId203"/>
          <a:extLst>
            <a:ext uri="{FF2B5EF4-FFF2-40B4-BE49-F238E27FC236}">
              <a16:creationId xmlns:a16="http://schemas.microsoft.com/office/drawing/2014/main" id="{98639D0A-B788-450B-861E-C383FBDDDE6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58" name="AutoShape 155" descr="USA">
          <a:hlinkClick xmlns:r="http://schemas.openxmlformats.org/officeDocument/2006/relationships" r:id="rId154"/>
          <a:extLst>
            <a:ext uri="{FF2B5EF4-FFF2-40B4-BE49-F238E27FC236}">
              <a16:creationId xmlns:a16="http://schemas.microsoft.com/office/drawing/2014/main" id="{4CD3EC44-8279-4701-91D7-E905FBDD5C6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100</xdr:row>
      <xdr:rowOff>0</xdr:rowOff>
    </xdr:from>
    <xdr:ext cx="304800" cy="283210"/>
    <xdr:sp macro="" textlink="">
      <xdr:nvSpPr>
        <xdr:cNvPr id="259" name="AutoShape 205" descr="USA">
          <a:hlinkClick xmlns:r="http://schemas.openxmlformats.org/officeDocument/2006/relationships" r:id="rId203"/>
          <a:extLst>
            <a:ext uri="{FF2B5EF4-FFF2-40B4-BE49-F238E27FC236}">
              <a16:creationId xmlns:a16="http://schemas.microsoft.com/office/drawing/2014/main" id="{D811575F-FAE3-406D-A1CA-898DF60FB9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60" name="AutoShape 227" descr="USA">
          <a:hlinkClick xmlns:r="http://schemas.openxmlformats.org/officeDocument/2006/relationships" r:id="rId225"/>
          <a:extLst>
            <a:ext uri="{FF2B5EF4-FFF2-40B4-BE49-F238E27FC236}">
              <a16:creationId xmlns:a16="http://schemas.microsoft.com/office/drawing/2014/main" id="{458863FB-FDFB-4EFB-B9D2-57082522DE1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61" name="AutoShape 205" descr="USA">
          <a:hlinkClick xmlns:r="http://schemas.openxmlformats.org/officeDocument/2006/relationships" r:id="rId203"/>
          <a:extLst>
            <a:ext uri="{FF2B5EF4-FFF2-40B4-BE49-F238E27FC236}">
              <a16:creationId xmlns:a16="http://schemas.microsoft.com/office/drawing/2014/main" id="{279EA489-823C-4A7D-82EA-32923B8C269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2" name="AutoShape 155" descr="USA">
          <a:hlinkClick xmlns:r="http://schemas.openxmlformats.org/officeDocument/2006/relationships" r:id="rId154"/>
          <a:extLst>
            <a:ext uri="{FF2B5EF4-FFF2-40B4-BE49-F238E27FC236}">
              <a16:creationId xmlns:a16="http://schemas.microsoft.com/office/drawing/2014/main" id="{0A092E5D-B7BF-4715-9387-9411909BD39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101</xdr:row>
      <xdr:rowOff>0</xdr:rowOff>
    </xdr:from>
    <xdr:ext cx="304800" cy="283210"/>
    <xdr:sp macro="" textlink="">
      <xdr:nvSpPr>
        <xdr:cNvPr id="263" name="AutoShape 205" descr="USA">
          <a:hlinkClick xmlns:r="http://schemas.openxmlformats.org/officeDocument/2006/relationships" r:id="rId203"/>
          <a:extLst>
            <a:ext uri="{FF2B5EF4-FFF2-40B4-BE49-F238E27FC236}">
              <a16:creationId xmlns:a16="http://schemas.microsoft.com/office/drawing/2014/main" id="{AFAA1D26-380E-437B-A727-1338DB00ADF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4" name="AutoShape 227" descr="USA">
          <a:hlinkClick xmlns:r="http://schemas.openxmlformats.org/officeDocument/2006/relationships" r:id="rId225"/>
          <a:extLst>
            <a:ext uri="{FF2B5EF4-FFF2-40B4-BE49-F238E27FC236}">
              <a16:creationId xmlns:a16="http://schemas.microsoft.com/office/drawing/2014/main" id="{BBE84D29-84BF-496A-8789-500EEAC6A1A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5" name="AutoShape 205" descr="USA">
          <a:hlinkClick xmlns:r="http://schemas.openxmlformats.org/officeDocument/2006/relationships" r:id="rId203"/>
          <a:extLst>
            <a:ext uri="{FF2B5EF4-FFF2-40B4-BE49-F238E27FC236}">
              <a16:creationId xmlns:a16="http://schemas.microsoft.com/office/drawing/2014/main" id="{7D53F802-6167-4EC3-971D-DE4FB2B59C0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66" name="AutoShape 155" descr="USA">
          <a:hlinkClick xmlns:r="http://schemas.openxmlformats.org/officeDocument/2006/relationships" r:id="rId154"/>
          <a:extLst>
            <a:ext uri="{FF2B5EF4-FFF2-40B4-BE49-F238E27FC236}">
              <a16:creationId xmlns:a16="http://schemas.microsoft.com/office/drawing/2014/main" id="{B6C85977-E697-4E6E-B0E4-059C7FA3066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102</xdr:row>
      <xdr:rowOff>0</xdr:rowOff>
    </xdr:from>
    <xdr:ext cx="304800" cy="283210"/>
    <xdr:sp macro="" textlink="">
      <xdr:nvSpPr>
        <xdr:cNvPr id="267" name="AutoShape 205" descr="USA">
          <a:hlinkClick xmlns:r="http://schemas.openxmlformats.org/officeDocument/2006/relationships" r:id="rId203"/>
          <a:extLst>
            <a:ext uri="{FF2B5EF4-FFF2-40B4-BE49-F238E27FC236}">
              <a16:creationId xmlns:a16="http://schemas.microsoft.com/office/drawing/2014/main" id="{BBB2DE9A-6401-488A-8B80-5E565F76282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68" name="AutoShape 227" descr="USA">
          <a:hlinkClick xmlns:r="http://schemas.openxmlformats.org/officeDocument/2006/relationships" r:id="rId225"/>
          <a:extLst>
            <a:ext uri="{FF2B5EF4-FFF2-40B4-BE49-F238E27FC236}">
              <a16:creationId xmlns:a16="http://schemas.microsoft.com/office/drawing/2014/main" id="{D101F244-9E77-4447-8545-553486A0816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69" name="AutoShape 205" descr="USA">
          <a:hlinkClick xmlns:r="http://schemas.openxmlformats.org/officeDocument/2006/relationships" r:id="rId203"/>
          <a:extLst>
            <a:ext uri="{FF2B5EF4-FFF2-40B4-BE49-F238E27FC236}">
              <a16:creationId xmlns:a16="http://schemas.microsoft.com/office/drawing/2014/main" id="{26BE5F40-CAB0-4A49-A282-B9276DA48A4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0" name="AutoShape 155" descr="USA">
          <a:hlinkClick xmlns:r="http://schemas.openxmlformats.org/officeDocument/2006/relationships" r:id="rId154"/>
          <a:extLst>
            <a:ext uri="{FF2B5EF4-FFF2-40B4-BE49-F238E27FC236}">
              <a16:creationId xmlns:a16="http://schemas.microsoft.com/office/drawing/2014/main" id="{E9825A40-2460-4758-84F4-924A9DA05D1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103</xdr:row>
      <xdr:rowOff>0</xdr:rowOff>
    </xdr:from>
    <xdr:ext cx="304800" cy="283210"/>
    <xdr:sp macro="" textlink="">
      <xdr:nvSpPr>
        <xdr:cNvPr id="271" name="AutoShape 205" descr="USA">
          <a:hlinkClick xmlns:r="http://schemas.openxmlformats.org/officeDocument/2006/relationships" r:id="rId203"/>
          <a:extLst>
            <a:ext uri="{FF2B5EF4-FFF2-40B4-BE49-F238E27FC236}">
              <a16:creationId xmlns:a16="http://schemas.microsoft.com/office/drawing/2014/main" id="{F089BFB3-B8B1-4CBD-9E5B-C1EC73DB5536}"/>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2" name="AutoShape 227" descr="USA">
          <a:hlinkClick xmlns:r="http://schemas.openxmlformats.org/officeDocument/2006/relationships" r:id="rId225"/>
          <a:extLst>
            <a:ext uri="{FF2B5EF4-FFF2-40B4-BE49-F238E27FC236}">
              <a16:creationId xmlns:a16="http://schemas.microsoft.com/office/drawing/2014/main" id="{3157CC3C-93FC-48B2-979C-9E5B77DC508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3" name="AutoShape 205" descr="USA">
          <a:hlinkClick xmlns:r="http://schemas.openxmlformats.org/officeDocument/2006/relationships" r:id="rId203"/>
          <a:extLst>
            <a:ext uri="{FF2B5EF4-FFF2-40B4-BE49-F238E27FC236}">
              <a16:creationId xmlns:a16="http://schemas.microsoft.com/office/drawing/2014/main" id="{2B3B645B-689C-4C6A-9D1A-42CC0CF2E87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4" name="AutoShape 155" descr="USA">
          <a:hlinkClick xmlns:r="http://schemas.openxmlformats.org/officeDocument/2006/relationships" r:id="rId154"/>
          <a:extLst>
            <a:ext uri="{FF2B5EF4-FFF2-40B4-BE49-F238E27FC236}">
              <a16:creationId xmlns:a16="http://schemas.microsoft.com/office/drawing/2014/main" id="{8C312F52-F48D-48BF-9D2C-8A4F8545149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104</xdr:row>
      <xdr:rowOff>0</xdr:rowOff>
    </xdr:from>
    <xdr:ext cx="304800" cy="283210"/>
    <xdr:sp macro="" textlink="">
      <xdr:nvSpPr>
        <xdr:cNvPr id="275" name="AutoShape 205" descr="USA">
          <a:hlinkClick xmlns:r="http://schemas.openxmlformats.org/officeDocument/2006/relationships" r:id="rId203"/>
          <a:extLst>
            <a:ext uri="{FF2B5EF4-FFF2-40B4-BE49-F238E27FC236}">
              <a16:creationId xmlns:a16="http://schemas.microsoft.com/office/drawing/2014/main" id="{D34670E4-0F75-4340-B8A8-7BE29BFD6A5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6" name="AutoShape 227" descr="USA">
          <a:hlinkClick xmlns:r="http://schemas.openxmlformats.org/officeDocument/2006/relationships" r:id="rId225"/>
          <a:extLst>
            <a:ext uri="{FF2B5EF4-FFF2-40B4-BE49-F238E27FC236}">
              <a16:creationId xmlns:a16="http://schemas.microsoft.com/office/drawing/2014/main" id="{7E7EB2DF-C449-48B6-AA4D-FA6283734E4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7" name="AutoShape 205" descr="USA">
          <a:hlinkClick xmlns:r="http://schemas.openxmlformats.org/officeDocument/2006/relationships" r:id="rId203"/>
          <a:extLst>
            <a:ext uri="{FF2B5EF4-FFF2-40B4-BE49-F238E27FC236}">
              <a16:creationId xmlns:a16="http://schemas.microsoft.com/office/drawing/2014/main" id="{47F711FE-A245-4A15-9C00-4BA87ECAB09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78" name="AutoShape 155" descr="USA">
          <a:hlinkClick xmlns:r="http://schemas.openxmlformats.org/officeDocument/2006/relationships" r:id="rId154"/>
          <a:extLst>
            <a:ext uri="{FF2B5EF4-FFF2-40B4-BE49-F238E27FC236}">
              <a16:creationId xmlns:a16="http://schemas.microsoft.com/office/drawing/2014/main" id="{814150A2-2872-4E4E-88B1-5611653403E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105</xdr:row>
      <xdr:rowOff>0</xdr:rowOff>
    </xdr:from>
    <xdr:ext cx="304800" cy="283210"/>
    <xdr:sp macro="" textlink="">
      <xdr:nvSpPr>
        <xdr:cNvPr id="279" name="AutoShape 205" descr="USA">
          <a:hlinkClick xmlns:r="http://schemas.openxmlformats.org/officeDocument/2006/relationships" r:id="rId203"/>
          <a:extLst>
            <a:ext uri="{FF2B5EF4-FFF2-40B4-BE49-F238E27FC236}">
              <a16:creationId xmlns:a16="http://schemas.microsoft.com/office/drawing/2014/main" id="{59E2117F-87FE-48E4-8F35-2D05219E01B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80" name="AutoShape 227" descr="USA">
          <a:hlinkClick xmlns:r="http://schemas.openxmlformats.org/officeDocument/2006/relationships" r:id="rId225"/>
          <a:extLst>
            <a:ext uri="{FF2B5EF4-FFF2-40B4-BE49-F238E27FC236}">
              <a16:creationId xmlns:a16="http://schemas.microsoft.com/office/drawing/2014/main" id="{4D987D5B-0080-4DA6-8B7E-EFB78BBC200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81" name="AutoShape 205" descr="USA">
          <a:hlinkClick xmlns:r="http://schemas.openxmlformats.org/officeDocument/2006/relationships" r:id="rId203"/>
          <a:extLst>
            <a:ext uri="{FF2B5EF4-FFF2-40B4-BE49-F238E27FC236}">
              <a16:creationId xmlns:a16="http://schemas.microsoft.com/office/drawing/2014/main" id="{7BEBDCB7-80CA-45FB-B3AF-E7CB003DBA5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2" name="AutoShape 155" descr="USA">
          <a:hlinkClick xmlns:r="http://schemas.openxmlformats.org/officeDocument/2006/relationships" r:id="rId154"/>
          <a:extLst>
            <a:ext uri="{FF2B5EF4-FFF2-40B4-BE49-F238E27FC236}">
              <a16:creationId xmlns:a16="http://schemas.microsoft.com/office/drawing/2014/main" id="{58CA9B17-F078-40E8-AB12-CFEB8CC71BD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106</xdr:row>
      <xdr:rowOff>0</xdr:rowOff>
    </xdr:from>
    <xdr:ext cx="304800" cy="283210"/>
    <xdr:sp macro="" textlink="">
      <xdr:nvSpPr>
        <xdr:cNvPr id="283" name="AutoShape 205" descr="USA">
          <a:hlinkClick xmlns:r="http://schemas.openxmlformats.org/officeDocument/2006/relationships" r:id="rId203"/>
          <a:extLst>
            <a:ext uri="{FF2B5EF4-FFF2-40B4-BE49-F238E27FC236}">
              <a16:creationId xmlns:a16="http://schemas.microsoft.com/office/drawing/2014/main" id="{EC5CCB6A-0CF5-42CC-BB09-3E8C66475FB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4" name="AutoShape 227" descr="USA">
          <a:hlinkClick xmlns:r="http://schemas.openxmlformats.org/officeDocument/2006/relationships" r:id="rId225"/>
          <a:extLst>
            <a:ext uri="{FF2B5EF4-FFF2-40B4-BE49-F238E27FC236}">
              <a16:creationId xmlns:a16="http://schemas.microsoft.com/office/drawing/2014/main" id="{682E3AB6-37D9-41DB-9729-FD67ADD1C0F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5" name="AutoShape 205" descr="USA">
          <a:hlinkClick xmlns:r="http://schemas.openxmlformats.org/officeDocument/2006/relationships" r:id="rId203"/>
          <a:extLst>
            <a:ext uri="{FF2B5EF4-FFF2-40B4-BE49-F238E27FC236}">
              <a16:creationId xmlns:a16="http://schemas.microsoft.com/office/drawing/2014/main" id="{5053C33B-D0CF-4782-A284-B0065E84070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86" name="AutoShape 155" descr="USA">
          <a:hlinkClick xmlns:r="http://schemas.openxmlformats.org/officeDocument/2006/relationships" r:id="rId154"/>
          <a:extLst>
            <a:ext uri="{FF2B5EF4-FFF2-40B4-BE49-F238E27FC236}">
              <a16:creationId xmlns:a16="http://schemas.microsoft.com/office/drawing/2014/main" id="{6E92CAA1-683E-4A66-A78C-38B9A8BCF00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107</xdr:row>
      <xdr:rowOff>0</xdr:rowOff>
    </xdr:from>
    <xdr:ext cx="304800" cy="283210"/>
    <xdr:sp macro="" textlink="">
      <xdr:nvSpPr>
        <xdr:cNvPr id="287" name="AutoShape 205" descr="USA">
          <a:hlinkClick xmlns:r="http://schemas.openxmlformats.org/officeDocument/2006/relationships" r:id="rId203"/>
          <a:extLst>
            <a:ext uri="{FF2B5EF4-FFF2-40B4-BE49-F238E27FC236}">
              <a16:creationId xmlns:a16="http://schemas.microsoft.com/office/drawing/2014/main" id="{41594205-F2BE-4319-8FBD-93E16DBD970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88" name="AutoShape 227" descr="USA">
          <a:hlinkClick xmlns:r="http://schemas.openxmlformats.org/officeDocument/2006/relationships" r:id="rId225"/>
          <a:extLst>
            <a:ext uri="{FF2B5EF4-FFF2-40B4-BE49-F238E27FC236}">
              <a16:creationId xmlns:a16="http://schemas.microsoft.com/office/drawing/2014/main" id="{AF572424-9515-4671-9F67-F89E067EAD8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89" name="AutoShape 205" descr="USA">
          <a:hlinkClick xmlns:r="http://schemas.openxmlformats.org/officeDocument/2006/relationships" r:id="rId203"/>
          <a:extLst>
            <a:ext uri="{FF2B5EF4-FFF2-40B4-BE49-F238E27FC236}">
              <a16:creationId xmlns:a16="http://schemas.microsoft.com/office/drawing/2014/main" id="{7DFDD6EF-E28E-4336-8F26-3C70500CE00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0" name="AutoShape 155" descr="USA">
          <a:hlinkClick xmlns:r="http://schemas.openxmlformats.org/officeDocument/2006/relationships" r:id="rId154"/>
          <a:extLst>
            <a:ext uri="{FF2B5EF4-FFF2-40B4-BE49-F238E27FC236}">
              <a16:creationId xmlns:a16="http://schemas.microsoft.com/office/drawing/2014/main" id="{9854E06B-1ED0-4B73-956E-8ED405E9CE6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108</xdr:row>
      <xdr:rowOff>0</xdr:rowOff>
    </xdr:from>
    <xdr:ext cx="304800" cy="283210"/>
    <xdr:sp macro="" textlink="">
      <xdr:nvSpPr>
        <xdr:cNvPr id="291" name="AutoShape 205" descr="USA">
          <a:hlinkClick xmlns:r="http://schemas.openxmlformats.org/officeDocument/2006/relationships" r:id="rId203"/>
          <a:extLst>
            <a:ext uri="{FF2B5EF4-FFF2-40B4-BE49-F238E27FC236}">
              <a16:creationId xmlns:a16="http://schemas.microsoft.com/office/drawing/2014/main" id="{C3743797-B4DC-407D-8528-047A7D302C9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2" name="AutoShape 227" descr="USA">
          <a:hlinkClick xmlns:r="http://schemas.openxmlformats.org/officeDocument/2006/relationships" r:id="rId225"/>
          <a:extLst>
            <a:ext uri="{FF2B5EF4-FFF2-40B4-BE49-F238E27FC236}">
              <a16:creationId xmlns:a16="http://schemas.microsoft.com/office/drawing/2014/main" id="{B96AED31-0A88-44FA-B73C-7167F68A587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3" name="AutoShape 205" descr="USA">
          <a:hlinkClick xmlns:r="http://schemas.openxmlformats.org/officeDocument/2006/relationships" r:id="rId203"/>
          <a:extLst>
            <a:ext uri="{FF2B5EF4-FFF2-40B4-BE49-F238E27FC236}">
              <a16:creationId xmlns:a16="http://schemas.microsoft.com/office/drawing/2014/main" id="{0A5C21FD-3F30-4EA4-AD35-0877703498B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4" name="AutoShape 155" descr="USA">
          <a:hlinkClick xmlns:r="http://schemas.openxmlformats.org/officeDocument/2006/relationships" r:id="rId154"/>
          <a:extLst>
            <a:ext uri="{FF2B5EF4-FFF2-40B4-BE49-F238E27FC236}">
              <a16:creationId xmlns:a16="http://schemas.microsoft.com/office/drawing/2014/main" id="{A2F16D85-6DD4-4768-A17C-EB5B6937D29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109</xdr:row>
      <xdr:rowOff>0</xdr:rowOff>
    </xdr:from>
    <xdr:ext cx="304800" cy="283210"/>
    <xdr:sp macro="" textlink="">
      <xdr:nvSpPr>
        <xdr:cNvPr id="295" name="AutoShape 205" descr="USA">
          <a:hlinkClick xmlns:r="http://schemas.openxmlformats.org/officeDocument/2006/relationships" r:id="rId203"/>
          <a:extLst>
            <a:ext uri="{FF2B5EF4-FFF2-40B4-BE49-F238E27FC236}">
              <a16:creationId xmlns:a16="http://schemas.microsoft.com/office/drawing/2014/main" id="{7D4BF24E-C813-49E9-800E-5D5A5CBAE4B3}"/>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6" name="AutoShape 227" descr="USA">
          <a:hlinkClick xmlns:r="http://schemas.openxmlformats.org/officeDocument/2006/relationships" r:id="rId225"/>
          <a:extLst>
            <a:ext uri="{FF2B5EF4-FFF2-40B4-BE49-F238E27FC236}">
              <a16:creationId xmlns:a16="http://schemas.microsoft.com/office/drawing/2014/main" id="{AC0003A4-1B78-4EC9-B141-FF48E69106B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7" name="AutoShape 205" descr="USA">
          <a:hlinkClick xmlns:r="http://schemas.openxmlformats.org/officeDocument/2006/relationships" r:id="rId203"/>
          <a:extLst>
            <a:ext uri="{FF2B5EF4-FFF2-40B4-BE49-F238E27FC236}">
              <a16:creationId xmlns:a16="http://schemas.microsoft.com/office/drawing/2014/main" id="{433F714B-E4AB-49F6-B3BB-5C8BA37922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298" name="AutoShape 155" descr="USA">
          <a:hlinkClick xmlns:r="http://schemas.openxmlformats.org/officeDocument/2006/relationships" r:id="rId154"/>
          <a:extLst>
            <a:ext uri="{FF2B5EF4-FFF2-40B4-BE49-F238E27FC236}">
              <a16:creationId xmlns:a16="http://schemas.microsoft.com/office/drawing/2014/main" id="{459B43A6-83B2-427A-931E-FA51DEA71F4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110</xdr:row>
      <xdr:rowOff>0</xdr:rowOff>
    </xdr:from>
    <xdr:ext cx="304800" cy="283210"/>
    <xdr:sp macro="" textlink="">
      <xdr:nvSpPr>
        <xdr:cNvPr id="299" name="AutoShape 205" descr="USA">
          <a:hlinkClick xmlns:r="http://schemas.openxmlformats.org/officeDocument/2006/relationships" r:id="rId203"/>
          <a:extLst>
            <a:ext uri="{FF2B5EF4-FFF2-40B4-BE49-F238E27FC236}">
              <a16:creationId xmlns:a16="http://schemas.microsoft.com/office/drawing/2014/main" id="{C9147D7B-BA06-4CD3-B76D-3E1842741D4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300" name="AutoShape 227" descr="USA">
          <a:hlinkClick xmlns:r="http://schemas.openxmlformats.org/officeDocument/2006/relationships" r:id="rId225"/>
          <a:extLst>
            <a:ext uri="{FF2B5EF4-FFF2-40B4-BE49-F238E27FC236}">
              <a16:creationId xmlns:a16="http://schemas.microsoft.com/office/drawing/2014/main" id="{AF4E7E89-24A7-4146-860F-68DB33EB9A6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301" name="AutoShape 205" descr="USA">
          <a:hlinkClick xmlns:r="http://schemas.openxmlformats.org/officeDocument/2006/relationships" r:id="rId203"/>
          <a:extLst>
            <a:ext uri="{FF2B5EF4-FFF2-40B4-BE49-F238E27FC236}">
              <a16:creationId xmlns:a16="http://schemas.microsoft.com/office/drawing/2014/main" id="{5B4EF470-E709-4A74-A63B-14C31559092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2" name="AutoShape 155" descr="USA">
          <a:hlinkClick xmlns:r="http://schemas.openxmlformats.org/officeDocument/2006/relationships" r:id="rId154"/>
          <a:extLst>
            <a:ext uri="{FF2B5EF4-FFF2-40B4-BE49-F238E27FC236}">
              <a16:creationId xmlns:a16="http://schemas.microsoft.com/office/drawing/2014/main" id="{96057309-BCA1-49E8-81A2-9261ACF9709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111</xdr:row>
      <xdr:rowOff>0</xdr:rowOff>
    </xdr:from>
    <xdr:ext cx="304800" cy="283210"/>
    <xdr:sp macro="" textlink="">
      <xdr:nvSpPr>
        <xdr:cNvPr id="303" name="AutoShape 205" descr="USA">
          <a:hlinkClick xmlns:r="http://schemas.openxmlformats.org/officeDocument/2006/relationships" r:id="rId203"/>
          <a:extLst>
            <a:ext uri="{FF2B5EF4-FFF2-40B4-BE49-F238E27FC236}">
              <a16:creationId xmlns:a16="http://schemas.microsoft.com/office/drawing/2014/main" id="{70A066C2-1C61-4473-91B4-628310A82E4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4" name="AutoShape 227" descr="USA">
          <a:hlinkClick xmlns:r="http://schemas.openxmlformats.org/officeDocument/2006/relationships" r:id="rId225"/>
          <a:extLst>
            <a:ext uri="{FF2B5EF4-FFF2-40B4-BE49-F238E27FC236}">
              <a16:creationId xmlns:a16="http://schemas.microsoft.com/office/drawing/2014/main" id="{4E714C1A-7FFD-4112-BF6B-420CB61BAC5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5" name="AutoShape 205" descr="USA">
          <a:hlinkClick xmlns:r="http://schemas.openxmlformats.org/officeDocument/2006/relationships" r:id="rId203"/>
          <a:extLst>
            <a:ext uri="{FF2B5EF4-FFF2-40B4-BE49-F238E27FC236}">
              <a16:creationId xmlns:a16="http://schemas.microsoft.com/office/drawing/2014/main" id="{A270A24F-D540-499C-A859-C756849D45C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06" name="AutoShape 155" descr="USA">
          <a:hlinkClick xmlns:r="http://schemas.openxmlformats.org/officeDocument/2006/relationships" r:id="rId154"/>
          <a:extLst>
            <a:ext uri="{FF2B5EF4-FFF2-40B4-BE49-F238E27FC236}">
              <a16:creationId xmlns:a16="http://schemas.microsoft.com/office/drawing/2014/main" id="{7E348B00-886C-4444-9D0C-72963AE4DCF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112</xdr:row>
      <xdr:rowOff>0</xdr:rowOff>
    </xdr:from>
    <xdr:ext cx="304800" cy="283210"/>
    <xdr:sp macro="" textlink="">
      <xdr:nvSpPr>
        <xdr:cNvPr id="307" name="AutoShape 205" descr="USA">
          <a:hlinkClick xmlns:r="http://schemas.openxmlformats.org/officeDocument/2006/relationships" r:id="rId203"/>
          <a:extLst>
            <a:ext uri="{FF2B5EF4-FFF2-40B4-BE49-F238E27FC236}">
              <a16:creationId xmlns:a16="http://schemas.microsoft.com/office/drawing/2014/main" id="{58AE9A70-DEB5-49BA-86A1-E3C497DB32B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08" name="AutoShape 227" descr="USA">
          <a:hlinkClick xmlns:r="http://schemas.openxmlformats.org/officeDocument/2006/relationships" r:id="rId225"/>
          <a:extLst>
            <a:ext uri="{FF2B5EF4-FFF2-40B4-BE49-F238E27FC236}">
              <a16:creationId xmlns:a16="http://schemas.microsoft.com/office/drawing/2014/main" id="{F058CD9E-2208-4B1D-84D5-3B4AB824319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09" name="AutoShape 205" descr="USA">
          <a:hlinkClick xmlns:r="http://schemas.openxmlformats.org/officeDocument/2006/relationships" r:id="rId203"/>
          <a:extLst>
            <a:ext uri="{FF2B5EF4-FFF2-40B4-BE49-F238E27FC236}">
              <a16:creationId xmlns:a16="http://schemas.microsoft.com/office/drawing/2014/main" id="{B2338584-7752-4406-A10F-3D7E1AE1E1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0" name="AutoShape 155" descr="USA">
          <a:hlinkClick xmlns:r="http://schemas.openxmlformats.org/officeDocument/2006/relationships" r:id="rId154"/>
          <a:extLst>
            <a:ext uri="{FF2B5EF4-FFF2-40B4-BE49-F238E27FC236}">
              <a16:creationId xmlns:a16="http://schemas.microsoft.com/office/drawing/2014/main" id="{0A6B98C7-5227-499E-8DCD-6EEFC1A5B95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113</xdr:row>
      <xdr:rowOff>0</xdr:rowOff>
    </xdr:from>
    <xdr:ext cx="304800" cy="283210"/>
    <xdr:sp macro="" textlink="">
      <xdr:nvSpPr>
        <xdr:cNvPr id="311" name="AutoShape 205" descr="USA">
          <a:hlinkClick xmlns:r="http://schemas.openxmlformats.org/officeDocument/2006/relationships" r:id="rId203"/>
          <a:extLst>
            <a:ext uri="{FF2B5EF4-FFF2-40B4-BE49-F238E27FC236}">
              <a16:creationId xmlns:a16="http://schemas.microsoft.com/office/drawing/2014/main" id="{307FF256-B403-4529-9016-6D02C574524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2" name="AutoShape 227" descr="USA">
          <a:hlinkClick xmlns:r="http://schemas.openxmlformats.org/officeDocument/2006/relationships" r:id="rId225"/>
          <a:extLst>
            <a:ext uri="{FF2B5EF4-FFF2-40B4-BE49-F238E27FC236}">
              <a16:creationId xmlns:a16="http://schemas.microsoft.com/office/drawing/2014/main" id="{2232B48E-2091-4E45-9B9E-9BEF2988797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3" name="AutoShape 205" descr="USA">
          <a:hlinkClick xmlns:r="http://schemas.openxmlformats.org/officeDocument/2006/relationships" r:id="rId203"/>
          <a:extLst>
            <a:ext uri="{FF2B5EF4-FFF2-40B4-BE49-F238E27FC236}">
              <a16:creationId xmlns:a16="http://schemas.microsoft.com/office/drawing/2014/main" id="{AFBDA1E7-C449-41E5-A41B-A47E204CBE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4" name="AutoShape 155" descr="USA">
          <a:hlinkClick xmlns:r="http://schemas.openxmlformats.org/officeDocument/2006/relationships" r:id="rId154"/>
          <a:extLst>
            <a:ext uri="{FF2B5EF4-FFF2-40B4-BE49-F238E27FC236}">
              <a16:creationId xmlns:a16="http://schemas.microsoft.com/office/drawing/2014/main" id="{9A531E73-3D49-42C8-977D-F6D95A04A77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114</xdr:row>
      <xdr:rowOff>0</xdr:rowOff>
    </xdr:from>
    <xdr:ext cx="304800" cy="283210"/>
    <xdr:sp macro="" textlink="">
      <xdr:nvSpPr>
        <xdr:cNvPr id="315" name="AutoShape 205" descr="USA">
          <a:hlinkClick xmlns:r="http://schemas.openxmlformats.org/officeDocument/2006/relationships" r:id="rId203"/>
          <a:extLst>
            <a:ext uri="{FF2B5EF4-FFF2-40B4-BE49-F238E27FC236}">
              <a16:creationId xmlns:a16="http://schemas.microsoft.com/office/drawing/2014/main" id="{90A91441-3F14-4FAF-AB6F-2EC06A4F549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6" name="AutoShape 227" descr="USA">
          <a:hlinkClick xmlns:r="http://schemas.openxmlformats.org/officeDocument/2006/relationships" r:id="rId225"/>
          <a:extLst>
            <a:ext uri="{FF2B5EF4-FFF2-40B4-BE49-F238E27FC236}">
              <a16:creationId xmlns:a16="http://schemas.microsoft.com/office/drawing/2014/main" id="{83B0A770-4518-4650-9276-079F7A414CF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7" name="AutoShape 205" descr="USA">
          <a:hlinkClick xmlns:r="http://schemas.openxmlformats.org/officeDocument/2006/relationships" r:id="rId203"/>
          <a:extLst>
            <a:ext uri="{FF2B5EF4-FFF2-40B4-BE49-F238E27FC236}">
              <a16:creationId xmlns:a16="http://schemas.microsoft.com/office/drawing/2014/main" id="{9ACB1017-5BAC-4425-8AC5-1FC199A179B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18" name="AutoShape 155" descr="USA">
          <a:hlinkClick xmlns:r="http://schemas.openxmlformats.org/officeDocument/2006/relationships" r:id="rId154"/>
          <a:extLst>
            <a:ext uri="{FF2B5EF4-FFF2-40B4-BE49-F238E27FC236}">
              <a16:creationId xmlns:a16="http://schemas.microsoft.com/office/drawing/2014/main" id="{AF78EA4A-D612-4E57-A75C-E37C86AD7F8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115</xdr:row>
      <xdr:rowOff>0</xdr:rowOff>
    </xdr:from>
    <xdr:ext cx="304800" cy="283210"/>
    <xdr:sp macro="" textlink="">
      <xdr:nvSpPr>
        <xdr:cNvPr id="319" name="AutoShape 205" descr="USA">
          <a:hlinkClick xmlns:r="http://schemas.openxmlformats.org/officeDocument/2006/relationships" r:id="rId203"/>
          <a:extLst>
            <a:ext uri="{FF2B5EF4-FFF2-40B4-BE49-F238E27FC236}">
              <a16:creationId xmlns:a16="http://schemas.microsoft.com/office/drawing/2014/main" id="{03146837-E0C7-4604-91B0-01DF19BC3CA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20" name="AutoShape 227" descr="USA">
          <a:hlinkClick xmlns:r="http://schemas.openxmlformats.org/officeDocument/2006/relationships" r:id="rId225"/>
          <a:extLst>
            <a:ext uri="{FF2B5EF4-FFF2-40B4-BE49-F238E27FC236}">
              <a16:creationId xmlns:a16="http://schemas.microsoft.com/office/drawing/2014/main" id="{FC14F75D-320C-4A93-9F2B-1C77620510E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21" name="AutoShape 205" descr="USA">
          <a:hlinkClick xmlns:r="http://schemas.openxmlformats.org/officeDocument/2006/relationships" r:id="rId203"/>
          <a:extLst>
            <a:ext uri="{FF2B5EF4-FFF2-40B4-BE49-F238E27FC236}">
              <a16:creationId xmlns:a16="http://schemas.microsoft.com/office/drawing/2014/main" id="{B3B18B6B-BD17-45E9-A14B-53449CD1FC2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2" name="AutoShape 155" descr="USA">
          <a:hlinkClick xmlns:r="http://schemas.openxmlformats.org/officeDocument/2006/relationships" r:id="rId154"/>
          <a:extLst>
            <a:ext uri="{FF2B5EF4-FFF2-40B4-BE49-F238E27FC236}">
              <a16:creationId xmlns:a16="http://schemas.microsoft.com/office/drawing/2014/main" id="{8B17CA82-6C23-477F-AB81-E024B2FAA19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116</xdr:row>
      <xdr:rowOff>0</xdr:rowOff>
    </xdr:from>
    <xdr:ext cx="304800" cy="283210"/>
    <xdr:sp macro="" textlink="">
      <xdr:nvSpPr>
        <xdr:cNvPr id="323" name="AutoShape 205" descr="USA">
          <a:hlinkClick xmlns:r="http://schemas.openxmlformats.org/officeDocument/2006/relationships" r:id="rId203"/>
          <a:extLst>
            <a:ext uri="{FF2B5EF4-FFF2-40B4-BE49-F238E27FC236}">
              <a16:creationId xmlns:a16="http://schemas.microsoft.com/office/drawing/2014/main" id="{C598E9E5-B11A-4BFA-98D9-79D58A1E38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4" name="AutoShape 227" descr="USA">
          <a:hlinkClick xmlns:r="http://schemas.openxmlformats.org/officeDocument/2006/relationships" r:id="rId225"/>
          <a:extLst>
            <a:ext uri="{FF2B5EF4-FFF2-40B4-BE49-F238E27FC236}">
              <a16:creationId xmlns:a16="http://schemas.microsoft.com/office/drawing/2014/main" id="{56CC8F57-3945-48E4-8E1D-4F300D92B55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5" name="AutoShape 205" descr="USA">
          <a:hlinkClick xmlns:r="http://schemas.openxmlformats.org/officeDocument/2006/relationships" r:id="rId203"/>
          <a:extLst>
            <a:ext uri="{FF2B5EF4-FFF2-40B4-BE49-F238E27FC236}">
              <a16:creationId xmlns:a16="http://schemas.microsoft.com/office/drawing/2014/main" id="{9B2F167B-6732-4728-900C-7E85C99DF5C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26" name="AutoShape 155" descr="USA">
          <a:hlinkClick xmlns:r="http://schemas.openxmlformats.org/officeDocument/2006/relationships" r:id="rId154"/>
          <a:extLst>
            <a:ext uri="{FF2B5EF4-FFF2-40B4-BE49-F238E27FC236}">
              <a16:creationId xmlns:a16="http://schemas.microsoft.com/office/drawing/2014/main" id="{A58735BA-95D8-4E17-B083-8671F19ADAF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117</xdr:row>
      <xdr:rowOff>0</xdr:rowOff>
    </xdr:from>
    <xdr:ext cx="304800" cy="283210"/>
    <xdr:sp macro="" textlink="">
      <xdr:nvSpPr>
        <xdr:cNvPr id="327" name="AutoShape 205" descr="USA">
          <a:hlinkClick xmlns:r="http://schemas.openxmlformats.org/officeDocument/2006/relationships" r:id="rId203"/>
          <a:extLst>
            <a:ext uri="{FF2B5EF4-FFF2-40B4-BE49-F238E27FC236}">
              <a16:creationId xmlns:a16="http://schemas.microsoft.com/office/drawing/2014/main" id="{0481C595-4287-4AE8-92B4-D644AEFA86B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28" name="AutoShape 227" descr="USA">
          <a:hlinkClick xmlns:r="http://schemas.openxmlformats.org/officeDocument/2006/relationships" r:id="rId225"/>
          <a:extLst>
            <a:ext uri="{FF2B5EF4-FFF2-40B4-BE49-F238E27FC236}">
              <a16:creationId xmlns:a16="http://schemas.microsoft.com/office/drawing/2014/main" id="{C12A02AB-F04E-4F12-ABA9-DC29000AE52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29" name="AutoShape 205" descr="USA">
          <a:hlinkClick xmlns:r="http://schemas.openxmlformats.org/officeDocument/2006/relationships" r:id="rId203"/>
          <a:extLst>
            <a:ext uri="{FF2B5EF4-FFF2-40B4-BE49-F238E27FC236}">
              <a16:creationId xmlns:a16="http://schemas.microsoft.com/office/drawing/2014/main" id="{DFB55FF6-447B-414B-8CF8-DF9AE4489D1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0" name="AutoShape 155" descr="USA">
          <a:hlinkClick xmlns:r="http://schemas.openxmlformats.org/officeDocument/2006/relationships" r:id="rId154"/>
          <a:extLst>
            <a:ext uri="{FF2B5EF4-FFF2-40B4-BE49-F238E27FC236}">
              <a16:creationId xmlns:a16="http://schemas.microsoft.com/office/drawing/2014/main" id="{C903066C-C8C2-4462-8D65-949735704C3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118</xdr:row>
      <xdr:rowOff>0</xdr:rowOff>
    </xdr:from>
    <xdr:ext cx="304800" cy="283210"/>
    <xdr:sp macro="" textlink="">
      <xdr:nvSpPr>
        <xdr:cNvPr id="331" name="AutoShape 205" descr="USA">
          <a:hlinkClick xmlns:r="http://schemas.openxmlformats.org/officeDocument/2006/relationships" r:id="rId203"/>
          <a:extLst>
            <a:ext uri="{FF2B5EF4-FFF2-40B4-BE49-F238E27FC236}">
              <a16:creationId xmlns:a16="http://schemas.microsoft.com/office/drawing/2014/main" id="{39F89BA3-9AFD-4513-AE99-335ADE2B81B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2" name="AutoShape 227" descr="USA">
          <a:hlinkClick xmlns:r="http://schemas.openxmlformats.org/officeDocument/2006/relationships" r:id="rId225"/>
          <a:extLst>
            <a:ext uri="{FF2B5EF4-FFF2-40B4-BE49-F238E27FC236}">
              <a16:creationId xmlns:a16="http://schemas.microsoft.com/office/drawing/2014/main" id="{5551B6C5-48F5-4854-87CD-2E7CC62A9B3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3" name="AutoShape 205" descr="USA">
          <a:hlinkClick xmlns:r="http://schemas.openxmlformats.org/officeDocument/2006/relationships" r:id="rId203"/>
          <a:extLst>
            <a:ext uri="{FF2B5EF4-FFF2-40B4-BE49-F238E27FC236}">
              <a16:creationId xmlns:a16="http://schemas.microsoft.com/office/drawing/2014/main" id="{D675E085-25DF-4C3F-87CF-D80BD692715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4" name="AutoShape 155" descr="USA">
          <a:hlinkClick xmlns:r="http://schemas.openxmlformats.org/officeDocument/2006/relationships" r:id="rId154"/>
          <a:extLst>
            <a:ext uri="{FF2B5EF4-FFF2-40B4-BE49-F238E27FC236}">
              <a16:creationId xmlns:a16="http://schemas.microsoft.com/office/drawing/2014/main" id="{E53A8E38-EE18-48F6-B708-A07B8C7CD55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119</xdr:row>
      <xdr:rowOff>0</xdr:rowOff>
    </xdr:from>
    <xdr:ext cx="304800" cy="283210"/>
    <xdr:sp macro="" textlink="">
      <xdr:nvSpPr>
        <xdr:cNvPr id="335" name="AutoShape 205" descr="USA">
          <a:hlinkClick xmlns:r="http://schemas.openxmlformats.org/officeDocument/2006/relationships" r:id="rId203"/>
          <a:extLst>
            <a:ext uri="{FF2B5EF4-FFF2-40B4-BE49-F238E27FC236}">
              <a16:creationId xmlns:a16="http://schemas.microsoft.com/office/drawing/2014/main" id="{C0EE0024-3875-4CEC-9CC9-E8B92CD4C88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6" name="AutoShape 227" descr="USA">
          <a:hlinkClick xmlns:r="http://schemas.openxmlformats.org/officeDocument/2006/relationships" r:id="rId225"/>
          <a:extLst>
            <a:ext uri="{FF2B5EF4-FFF2-40B4-BE49-F238E27FC236}">
              <a16:creationId xmlns:a16="http://schemas.microsoft.com/office/drawing/2014/main" id="{87991DEE-1AA7-4F16-AB4A-264B89B0372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7" name="AutoShape 205" descr="USA">
          <a:hlinkClick xmlns:r="http://schemas.openxmlformats.org/officeDocument/2006/relationships" r:id="rId203"/>
          <a:extLst>
            <a:ext uri="{FF2B5EF4-FFF2-40B4-BE49-F238E27FC236}">
              <a16:creationId xmlns:a16="http://schemas.microsoft.com/office/drawing/2014/main" id="{B0D0B051-B07B-4042-9A68-260BE35334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38" name="AutoShape 155" descr="USA">
          <a:hlinkClick xmlns:r="http://schemas.openxmlformats.org/officeDocument/2006/relationships" r:id="rId154"/>
          <a:extLst>
            <a:ext uri="{FF2B5EF4-FFF2-40B4-BE49-F238E27FC236}">
              <a16:creationId xmlns:a16="http://schemas.microsoft.com/office/drawing/2014/main" id="{9668287C-53C3-4BC7-A47D-97EC672BEC8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120</xdr:row>
      <xdr:rowOff>0</xdr:rowOff>
    </xdr:from>
    <xdr:ext cx="304800" cy="283210"/>
    <xdr:sp macro="" textlink="">
      <xdr:nvSpPr>
        <xdr:cNvPr id="339" name="AutoShape 205" descr="USA">
          <a:hlinkClick xmlns:r="http://schemas.openxmlformats.org/officeDocument/2006/relationships" r:id="rId203"/>
          <a:extLst>
            <a:ext uri="{FF2B5EF4-FFF2-40B4-BE49-F238E27FC236}">
              <a16:creationId xmlns:a16="http://schemas.microsoft.com/office/drawing/2014/main" id="{F81C7593-8F4C-4137-928D-F395D59152C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40" name="AutoShape 227" descr="USA">
          <a:hlinkClick xmlns:r="http://schemas.openxmlformats.org/officeDocument/2006/relationships" r:id="rId225"/>
          <a:extLst>
            <a:ext uri="{FF2B5EF4-FFF2-40B4-BE49-F238E27FC236}">
              <a16:creationId xmlns:a16="http://schemas.microsoft.com/office/drawing/2014/main" id="{7073B33B-C284-4925-9C6F-3721A3B1438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41" name="AutoShape 205" descr="USA">
          <a:hlinkClick xmlns:r="http://schemas.openxmlformats.org/officeDocument/2006/relationships" r:id="rId203"/>
          <a:extLst>
            <a:ext uri="{FF2B5EF4-FFF2-40B4-BE49-F238E27FC236}">
              <a16:creationId xmlns:a16="http://schemas.microsoft.com/office/drawing/2014/main" id="{DEF0616A-43C1-4A24-9603-B84FBEB51EB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2" name="AutoShape 155" descr="USA">
          <a:hlinkClick xmlns:r="http://schemas.openxmlformats.org/officeDocument/2006/relationships" r:id="rId154"/>
          <a:extLst>
            <a:ext uri="{FF2B5EF4-FFF2-40B4-BE49-F238E27FC236}">
              <a16:creationId xmlns:a16="http://schemas.microsoft.com/office/drawing/2014/main" id="{26315B30-5183-4B77-B6CB-47CF2C871A8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121</xdr:row>
      <xdr:rowOff>0</xdr:rowOff>
    </xdr:from>
    <xdr:ext cx="304800" cy="283210"/>
    <xdr:sp macro="" textlink="">
      <xdr:nvSpPr>
        <xdr:cNvPr id="343" name="AutoShape 205" descr="USA">
          <a:hlinkClick xmlns:r="http://schemas.openxmlformats.org/officeDocument/2006/relationships" r:id="rId203"/>
          <a:extLst>
            <a:ext uri="{FF2B5EF4-FFF2-40B4-BE49-F238E27FC236}">
              <a16:creationId xmlns:a16="http://schemas.microsoft.com/office/drawing/2014/main" id="{301DA429-4D2A-4975-B2CC-7B03F01EB4D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4" name="AutoShape 227" descr="USA">
          <a:hlinkClick xmlns:r="http://schemas.openxmlformats.org/officeDocument/2006/relationships" r:id="rId225"/>
          <a:extLst>
            <a:ext uri="{FF2B5EF4-FFF2-40B4-BE49-F238E27FC236}">
              <a16:creationId xmlns:a16="http://schemas.microsoft.com/office/drawing/2014/main" id="{46E2B953-D3B3-4480-AB64-90CDBC3BCD7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5" name="AutoShape 205" descr="USA">
          <a:hlinkClick xmlns:r="http://schemas.openxmlformats.org/officeDocument/2006/relationships" r:id="rId203"/>
          <a:extLst>
            <a:ext uri="{FF2B5EF4-FFF2-40B4-BE49-F238E27FC236}">
              <a16:creationId xmlns:a16="http://schemas.microsoft.com/office/drawing/2014/main" id="{5E75CA52-3E7B-4878-935B-DE2B415EAD6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46" name="AutoShape 155" descr="USA">
          <a:hlinkClick xmlns:r="http://schemas.openxmlformats.org/officeDocument/2006/relationships" r:id="rId154"/>
          <a:extLst>
            <a:ext uri="{FF2B5EF4-FFF2-40B4-BE49-F238E27FC236}">
              <a16:creationId xmlns:a16="http://schemas.microsoft.com/office/drawing/2014/main" id="{786816EA-CF44-4B16-89EF-A5E20A8AB33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122</xdr:row>
      <xdr:rowOff>0</xdr:rowOff>
    </xdr:from>
    <xdr:ext cx="304800" cy="283210"/>
    <xdr:sp macro="" textlink="">
      <xdr:nvSpPr>
        <xdr:cNvPr id="347" name="AutoShape 205" descr="USA">
          <a:hlinkClick xmlns:r="http://schemas.openxmlformats.org/officeDocument/2006/relationships" r:id="rId203"/>
          <a:extLst>
            <a:ext uri="{FF2B5EF4-FFF2-40B4-BE49-F238E27FC236}">
              <a16:creationId xmlns:a16="http://schemas.microsoft.com/office/drawing/2014/main" id="{04FFCDC9-493A-4922-BBDF-0C09E963E9B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48" name="AutoShape 227" descr="USA">
          <a:hlinkClick xmlns:r="http://schemas.openxmlformats.org/officeDocument/2006/relationships" r:id="rId225"/>
          <a:extLst>
            <a:ext uri="{FF2B5EF4-FFF2-40B4-BE49-F238E27FC236}">
              <a16:creationId xmlns:a16="http://schemas.microsoft.com/office/drawing/2014/main" id="{69DFD00F-7B3A-4212-A3A2-F59612B2596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49" name="AutoShape 205" descr="USA">
          <a:hlinkClick xmlns:r="http://schemas.openxmlformats.org/officeDocument/2006/relationships" r:id="rId203"/>
          <a:extLst>
            <a:ext uri="{FF2B5EF4-FFF2-40B4-BE49-F238E27FC236}">
              <a16:creationId xmlns:a16="http://schemas.microsoft.com/office/drawing/2014/main" id="{F1EEBC4D-EB06-4102-A09B-6553E082E22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0" name="AutoShape 155" descr="USA">
          <a:hlinkClick xmlns:r="http://schemas.openxmlformats.org/officeDocument/2006/relationships" r:id="rId154"/>
          <a:extLst>
            <a:ext uri="{FF2B5EF4-FFF2-40B4-BE49-F238E27FC236}">
              <a16:creationId xmlns:a16="http://schemas.microsoft.com/office/drawing/2014/main" id="{7EF8ACAC-927E-4EF4-820C-E03A061A4E3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123</xdr:row>
      <xdr:rowOff>0</xdr:rowOff>
    </xdr:from>
    <xdr:ext cx="304800" cy="283210"/>
    <xdr:sp macro="" textlink="">
      <xdr:nvSpPr>
        <xdr:cNvPr id="351" name="AutoShape 205" descr="USA">
          <a:hlinkClick xmlns:r="http://schemas.openxmlformats.org/officeDocument/2006/relationships" r:id="rId203"/>
          <a:extLst>
            <a:ext uri="{FF2B5EF4-FFF2-40B4-BE49-F238E27FC236}">
              <a16:creationId xmlns:a16="http://schemas.microsoft.com/office/drawing/2014/main" id="{2EA59BA2-46CC-439F-B5D1-9E2C02DB77B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2" name="AutoShape 227" descr="USA">
          <a:hlinkClick xmlns:r="http://schemas.openxmlformats.org/officeDocument/2006/relationships" r:id="rId225"/>
          <a:extLst>
            <a:ext uri="{FF2B5EF4-FFF2-40B4-BE49-F238E27FC236}">
              <a16:creationId xmlns:a16="http://schemas.microsoft.com/office/drawing/2014/main" id="{4DEB3F99-43C4-4EE3-998C-ED1EE7EB5FC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3" name="AutoShape 205" descr="USA">
          <a:hlinkClick xmlns:r="http://schemas.openxmlformats.org/officeDocument/2006/relationships" r:id="rId203"/>
          <a:extLst>
            <a:ext uri="{FF2B5EF4-FFF2-40B4-BE49-F238E27FC236}">
              <a16:creationId xmlns:a16="http://schemas.microsoft.com/office/drawing/2014/main" id="{4E55E935-FD27-4EB2-AF20-7D5215BDB64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4" name="AutoShape 155" descr="USA">
          <a:hlinkClick xmlns:r="http://schemas.openxmlformats.org/officeDocument/2006/relationships" r:id="rId154"/>
          <a:extLst>
            <a:ext uri="{FF2B5EF4-FFF2-40B4-BE49-F238E27FC236}">
              <a16:creationId xmlns:a16="http://schemas.microsoft.com/office/drawing/2014/main" id="{59E76D77-81D5-4EE0-BB57-598CC6E481B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124</xdr:row>
      <xdr:rowOff>0</xdr:rowOff>
    </xdr:from>
    <xdr:ext cx="304800" cy="283210"/>
    <xdr:sp macro="" textlink="">
      <xdr:nvSpPr>
        <xdr:cNvPr id="355" name="AutoShape 205" descr="USA">
          <a:hlinkClick xmlns:r="http://schemas.openxmlformats.org/officeDocument/2006/relationships" r:id="rId203"/>
          <a:extLst>
            <a:ext uri="{FF2B5EF4-FFF2-40B4-BE49-F238E27FC236}">
              <a16:creationId xmlns:a16="http://schemas.microsoft.com/office/drawing/2014/main" id="{0EA63105-4306-4F9A-BE28-C8EF6B5AD78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6" name="AutoShape 227" descr="USA">
          <a:hlinkClick xmlns:r="http://schemas.openxmlformats.org/officeDocument/2006/relationships" r:id="rId225"/>
          <a:extLst>
            <a:ext uri="{FF2B5EF4-FFF2-40B4-BE49-F238E27FC236}">
              <a16:creationId xmlns:a16="http://schemas.microsoft.com/office/drawing/2014/main" id="{0A9A005A-FCBE-48A2-8210-35A13369C03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7" name="AutoShape 205" descr="USA">
          <a:hlinkClick xmlns:r="http://schemas.openxmlformats.org/officeDocument/2006/relationships" r:id="rId203"/>
          <a:extLst>
            <a:ext uri="{FF2B5EF4-FFF2-40B4-BE49-F238E27FC236}">
              <a16:creationId xmlns:a16="http://schemas.microsoft.com/office/drawing/2014/main" id="{201843E9-9C9B-473B-A1FB-88BF0D01169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58" name="AutoShape 155" descr="USA">
          <a:hlinkClick xmlns:r="http://schemas.openxmlformats.org/officeDocument/2006/relationships" r:id="rId154"/>
          <a:extLst>
            <a:ext uri="{FF2B5EF4-FFF2-40B4-BE49-F238E27FC236}">
              <a16:creationId xmlns:a16="http://schemas.microsoft.com/office/drawing/2014/main" id="{1AEB2EB8-BD64-48E6-BAFE-528C3DFBB45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125</xdr:row>
      <xdr:rowOff>0</xdr:rowOff>
    </xdr:from>
    <xdr:ext cx="304800" cy="283210"/>
    <xdr:sp macro="" textlink="">
      <xdr:nvSpPr>
        <xdr:cNvPr id="359" name="AutoShape 205" descr="USA">
          <a:hlinkClick xmlns:r="http://schemas.openxmlformats.org/officeDocument/2006/relationships" r:id="rId203"/>
          <a:extLst>
            <a:ext uri="{FF2B5EF4-FFF2-40B4-BE49-F238E27FC236}">
              <a16:creationId xmlns:a16="http://schemas.microsoft.com/office/drawing/2014/main" id="{0F65B105-3255-495D-9A90-4922B2C4BEB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60" name="AutoShape 227" descr="USA">
          <a:hlinkClick xmlns:r="http://schemas.openxmlformats.org/officeDocument/2006/relationships" r:id="rId225"/>
          <a:extLst>
            <a:ext uri="{FF2B5EF4-FFF2-40B4-BE49-F238E27FC236}">
              <a16:creationId xmlns:a16="http://schemas.microsoft.com/office/drawing/2014/main" id="{68A131FA-66A8-4EB7-AE81-2990B200EB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61" name="AutoShape 205" descr="USA">
          <a:hlinkClick xmlns:r="http://schemas.openxmlformats.org/officeDocument/2006/relationships" r:id="rId203"/>
          <a:extLst>
            <a:ext uri="{FF2B5EF4-FFF2-40B4-BE49-F238E27FC236}">
              <a16:creationId xmlns:a16="http://schemas.microsoft.com/office/drawing/2014/main" id="{F870BCD4-4E5D-4E83-A955-69CA191003D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2" name="AutoShape 155" descr="USA">
          <a:hlinkClick xmlns:r="http://schemas.openxmlformats.org/officeDocument/2006/relationships" r:id="rId154"/>
          <a:extLst>
            <a:ext uri="{FF2B5EF4-FFF2-40B4-BE49-F238E27FC236}">
              <a16:creationId xmlns:a16="http://schemas.microsoft.com/office/drawing/2014/main" id="{A4446400-BD62-465C-AA62-09B11398ED7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126</xdr:row>
      <xdr:rowOff>0</xdr:rowOff>
    </xdr:from>
    <xdr:ext cx="304800" cy="283210"/>
    <xdr:sp macro="" textlink="">
      <xdr:nvSpPr>
        <xdr:cNvPr id="363" name="AutoShape 205" descr="USA">
          <a:hlinkClick xmlns:r="http://schemas.openxmlformats.org/officeDocument/2006/relationships" r:id="rId203"/>
          <a:extLst>
            <a:ext uri="{FF2B5EF4-FFF2-40B4-BE49-F238E27FC236}">
              <a16:creationId xmlns:a16="http://schemas.microsoft.com/office/drawing/2014/main" id="{BB0DEA6C-A835-4E02-B055-41D0054BA64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4" name="AutoShape 227" descr="USA">
          <a:hlinkClick xmlns:r="http://schemas.openxmlformats.org/officeDocument/2006/relationships" r:id="rId225"/>
          <a:extLst>
            <a:ext uri="{FF2B5EF4-FFF2-40B4-BE49-F238E27FC236}">
              <a16:creationId xmlns:a16="http://schemas.microsoft.com/office/drawing/2014/main" id="{927DFDB8-89B9-420F-B53A-A150963E908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5" name="AutoShape 205" descr="USA">
          <a:hlinkClick xmlns:r="http://schemas.openxmlformats.org/officeDocument/2006/relationships" r:id="rId203"/>
          <a:extLst>
            <a:ext uri="{FF2B5EF4-FFF2-40B4-BE49-F238E27FC236}">
              <a16:creationId xmlns:a16="http://schemas.microsoft.com/office/drawing/2014/main" id="{4900BF31-BE4E-4264-AF62-0B0ACEE82AD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66" name="AutoShape 155" descr="USA">
          <a:hlinkClick xmlns:r="http://schemas.openxmlformats.org/officeDocument/2006/relationships" r:id="rId154"/>
          <a:extLst>
            <a:ext uri="{FF2B5EF4-FFF2-40B4-BE49-F238E27FC236}">
              <a16:creationId xmlns:a16="http://schemas.microsoft.com/office/drawing/2014/main" id="{7B3A616C-05BE-4318-88A3-B3560128D85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127</xdr:row>
      <xdr:rowOff>0</xdr:rowOff>
    </xdr:from>
    <xdr:ext cx="304800" cy="283210"/>
    <xdr:sp macro="" textlink="">
      <xdr:nvSpPr>
        <xdr:cNvPr id="367" name="AutoShape 205" descr="USA">
          <a:hlinkClick xmlns:r="http://schemas.openxmlformats.org/officeDocument/2006/relationships" r:id="rId203"/>
          <a:extLst>
            <a:ext uri="{FF2B5EF4-FFF2-40B4-BE49-F238E27FC236}">
              <a16:creationId xmlns:a16="http://schemas.microsoft.com/office/drawing/2014/main" id="{9D803CBB-1C52-458B-AEF7-B0BD92DF304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68" name="AutoShape 227" descr="USA">
          <a:hlinkClick xmlns:r="http://schemas.openxmlformats.org/officeDocument/2006/relationships" r:id="rId225"/>
          <a:extLst>
            <a:ext uri="{FF2B5EF4-FFF2-40B4-BE49-F238E27FC236}">
              <a16:creationId xmlns:a16="http://schemas.microsoft.com/office/drawing/2014/main" id="{61A21232-CF85-4211-B6C8-D33B72F7D75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69" name="AutoShape 205" descr="USA">
          <a:hlinkClick xmlns:r="http://schemas.openxmlformats.org/officeDocument/2006/relationships" r:id="rId203"/>
          <a:extLst>
            <a:ext uri="{FF2B5EF4-FFF2-40B4-BE49-F238E27FC236}">
              <a16:creationId xmlns:a16="http://schemas.microsoft.com/office/drawing/2014/main" id="{881F66AB-F463-42DE-B143-8279C421336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0" name="AutoShape 155" descr="USA">
          <a:hlinkClick xmlns:r="http://schemas.openxmlformats.org/officeDocument/2006/relationships" r:id="rId154"/>
          <a:extLst>
            <a:ext uri="{FF2B5EF4-FFF2-40B4-BE49-F238E27FC236}">
              <a16:creationId xmlns:a16="http://schemas.microsoft.com/office/drawing/2014/main" id="{0C170279-3EA2-4B1A-8F15-8DEC33B26DD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128</xdr:row>
      <xdr:rowOff>0</xdr:rowOff>
    </xdr:from>
    <xdr:ext cx="304800" cy="283210"/>
    <xdr:sp macro="" textlink="">
      <xdr:nvSpPr>
        <xdr:cNvPr id="371" name="AutoShape 205" descr="USA">
          <a:hlinkClick xmlns:r="http://schemas.openxmlformats.org/officeDocument/2006/relationships" r:id="rId203"/>
          <a:extLst>
            <a:ext uri="{FF2B5EF4-FFF2-40B4-BE49-F238E27FC236}">
              <a16:creationId xmlns:a16="http://schemas.microsoft.com/office/drawing/2014/main" id="{01AE611C-172B-47D3-B534-6CCDA552872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2" name="AutoShape 227" descr="USA">
          <a:hlinkClick xmlns:r="http://schemas.openxmlformats.org/officeDocument/2006/relationships" r:id="rId225"/>
          <a:extLst>
            <a:ext uri="{FF2B5EF4-FFF2-40B4-BE49-F238E27FC236}">
              <a16:creationId xmlns:a16="http://schemas.microsoft.com/office/drawing/2014/main" id="{A28AEF4F-33DC-455D-9227-E8AEF49EA5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3" name="AutoShape 205" descr="USA">
          <a:hlinkClick xmlns:r="http://schemas.openxmlformats.org/officeDocument/2006/relationships" r:id="rId203"/>
          <a:extLst>
            <a:ext uri="{FF2B5EF4-FFF2-40B4-BE49-F238E27FC236}">
              <a16:creationId xmlns:a16="http://schemas.microsoft.com/office/drawing/2014/main" id="{D3B9AB34-8330-4E6D-9525-EE05A1ACECE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4" name="AutoShape 155" descr="USA">
          <a:hlinkClick xmlns:r="http://schemas.openxmlformats.org/officeDocument/2006/relationships" r:id="rId154"/>
          <a:extLst>
            <a:ext uri="{FF2B5EF4-FFF2-40B4-BE49-F238E27FC236}">
              <a16:creationId xmlns:a16="http://schemas.microsoft.com/office/drawing/2014/main" id="{D2A5FA65-644C-4C19-86F9-53926280ED9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129</xdr:row>
      <xdr:rowOff>0</xdr:rowOff>
    </xdr:from>
    <xdr:ext cx="304800" cy="283210"/>
    <xdr:sp macro="" textlink="">
      <xdr:nvSpPr>
        <xdr:cNvPr id="375" name="AutoShape 205" descr="USA">
          <a:hlinkClick xmlns:r="http://schemas.openxmlformats.org/officeDocument/2006/relationships" r:id="rId203"/>
          <a:extLst>
            <a:ext uri="{FF2B5EF4-FFF2-40B4-BE49-F238E27FC236}">
              <a16:creationId xmlns:a16="http://schemas.microsoft.com/office/drawing/2014/main" id="{3CBAE188-366B-4111-8766-FAC5BBB4912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6" name="AutoShape 227" descr="USA">
          <a:hlinkClick xmlns:r="http://schemas.openxmlformats.org/officeDocument/2006/relationships" r:id="rId225"/>
          <a:extLst>
            <a:ext uri="{FF2B5EF4-FFF2-40B4-BE49-F238E27FC236}">
              <a16:creationId xmlns:a16="http://schemas.microsoft.com/office/drawing/2014/main" id="{96E02FCE-2969-44DE-AFC2-22811AE928F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7" name="AutoShape 205" descr="USA">
          <a:hlinkClick xmlns:r="http://schemas.openxmlformats.org/officeDocument/2006/relationships" r:id="rId203"/>
          <a:extLst>
            <a:ext uri="{FF2B5EF4-FFF2-40B4-BE49-F238E27FC236}">
              <a16:creationId xmlns:a16="http://schemas.microsoft.com/office/drawing/2014/main" id="{72699E42-CAB2-4E2A-A341-2603DF34A57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78" name="AutoShape 155" descr="USA">
          <a:hlinkClick xmlns:r="http://schemas.openxmlformats.org/officeDocument/2006/relationships" r:id="rId154"/>
          <a:extLst>
            <a:ext uri="{FF2B5EF4-FFF2-40B4-BE49-F238E27FC236}">
              <a16:creationId xmlns:a16="http://schemas.microsoft.com/office/drawing/2014/main" id="{F2D654A9-49F1-474A-B2BE-EBEB7141A5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130</xdr:row>
      <xdr:rowOff>0</xdr:rowOff>
    </xdr:from>
    <xdr:ext cx="304800" cy="283210"/>
    <xdr:sp macro="" textlink="">
      <xdr:nvSpPr>
        <xdr:cNvPr id="379" name="AutoShape 205" descr="USA">
          <a:hlinkClick xmlns:r="http://schemas.openxmlformats.org/officeDocument/2006/relationships" r:id="rId203"/>
          <a:extLst>
            <a:ext uri="{FF2B5EF4-FFF2-40B4-BE49-F238E27FC236}">
              <a16:creationId xmlns:a16="http://schemas.microsoft.com/office/drawing/2014/main" id="{76B8A819-B4B0-4312-B8DB-2669831057C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80" name="AutoShape 227" descr="USA">
          <a:hlinkClick xmlns:r="http://schemas.openxmlformats.org/officeDocument/2006/relationships" r:id="rId225"/>
          <a:extLst>
            <a:ext uri="{FF2B5EF4-FFF2-40B4-BE49-F238E27FC236}">
              <a16:creationId xmlns:a16="http://schemas.microsoft.com/office/drawing/2014/main" id="{DD168159-02E4-453A-A78D-A8E058C262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81" name="AutoShape 205" descr="USA">
          <a:hlinkClick xmlns:r="http://schemas.openxmlformats.org/officeDocument/2006/relationships" r:id="rId203"/>
          <a:extLst>
            <a:ext uri="{FF2B5EF4-FFF2-40B4-BE49-F238E27FC236}">
              <a16:creationId xmlns:a16="http://schemas.microsoft.com/office/drawing/2014/main" id="{F810595A-BD62-4AE7-A711-C3D31CF7EAF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2" name="AutoShape 155" descr="USA">
          <a:hlinkClick xmlns:r="http://schemas.openxmlformats.org/officeDocument/2006/relationships" r:id="rId154"/>
          <a:extLst>
            <a:ext uri="{FF2B5EF4-FFF2-40B4-BE49-F238E27FC236}">
              <a16:creationId xmlns:a16="http://schemas.microsoft.com/office/drawing/2014/main" id="{962F2734-F63A-4732-BBFE-FFD7FB85DD7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131</xdr:row>
      <xdr:rowOff>0</xdr:rowOff>
    </xdr:from>
    <xdr:ext cx="304800" cy="283210"/>
    <xdr:sp macro="" textlink="">
      <xdr:nvSpPr>
        <xdr:cNvPr id="383" name="AutoShape 205" descr="USA">
          <a:hlinkClick xmlns:r="http://schemas.openxmlformats.org/officeDocument/2006/relationships" r:id="rId203"/>
          <a:extLst>
            <a:ext uri="{FF2B5EF4-FFF2-40B4-BE49-F238E27FC236}">
              <a16:creationId xmlns:a16="http://schemas.microsoft.com/office/drawing/2014/main" id="{19E5D8E4-E0D8-4AC2-847A-95950EEAFCC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4" name="AutoShape 227" descr="USA">
          <a:hlinkClick xmlns:r="http://schemas.openxmlformats.org/officeDocument/2006/relationships" r:id="rId225"/>
          <a:extLst>
            <a:ext uri="{FF2B5EF4-FFF2-40B4-BE49-F238E27FC236}">
              <a16:creationId xmlns:a16="http://schemas.microsoft.com/office/drawing/2014/main" id="{11833DFA-89E8-4388-90A8-78E261ABFB1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5" name="AutoShape 205" descr="USA">
          <a:hlinkClick xmlns:r="http://schemas.openxmlformats.org/officeDocument/2006/relationships" r:id="rId203"/>
          <a:extLst>
            <a:ext uri="{FF2B5EF4-FFF2-40B4-BE49-F238E27FC236}">
              <a16:creationId xmlns:a16="http://schemas.microsoft.com/office/drawing/2014/main" id="{FA1F7D50-F9F2-4269-B784-263A0B23739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86" name="AutoShape 155" descr="USA">
          <a:hlinkClick xmlns:r="http://schemas.openxmlformats.org/officeDocument/2006/relationships" r:id="rId154"/>
          <a:extLst>
            <a:ext uri="{FF2B5EF4-FFF2-40B4-BE49-F238E27FC236}">
              <a16:creationId xmlns:a16="http://schemas.microsoft.com/office/drawing/2014/main" id="{B92497FD-5579-423D-AC88-F2EC4283033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132</xdr:row>
      <xdr:rowOff>0</xdr:rowOff>
    </xdr:from>
    <xdr:ext cx="304800" cy="283210"/>
    <xdr:sp macro="" textlink="">
      <xdr:nvSpPr>
        <xdr:cNvPr id="387" name="AutoShape 205" descr="USA">
          <a:hlinkClick xmlns:r="http://schemas.openxmlformats.org/officeDocument/2006/relationships" r:id="rId203"/>
          <a:extLst>
            <a:ext uri="{FF2B5EF4-FFF2-40B4-BE49-F238E27FC236}">
              <a16:creationId xmlns:a16="http://schemas.microsoft.com/office/drawing/2014/main" id="{174F6E8D-71F2-410B-8CCA-A32A2F87F6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88" name="AutoShape 227" descr="USA">
          <a:hlinkClick xmlns:r="http://schemas.openxmlformats.org/officeDocument/2006/relationships" r:id="rId225"/>
          <a:extLst>
            <a:ext uri="{FF2B5EF4-FFF2-40B4-BE49-F238E27FC236}">
              <a16:creationId xmlns:a16="http://schemas.microsoft.com/office/drawing/2014/main" id="{D6DCA1F7-F74D-4219-A942-9FDFB64BA25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89" name="AutoShape 205" descr="USA">
          <a:hlinkClick xmlns:r="http://schemas.openxmlformats.org/officeDocument/2006/relationships" r:id="rId203"/>
          <a:extLst>
            <a:ext uri="{FF2B5EF4-FFF2-40B4-BE49-F238E27FC236}">
              <a16:creationId xmlns:a16="http://schemas.microsoft.com/office/drawing/2014/main" id="{42011C50-CE0B-4616-975B-3A0ED49D055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0" name="AutoShape 155" descr="USA">
          <a:hlinkClick xmlns:r="http://schemas.openxmlformats.org/officeDocument/2006/relationships" r:id="rId154"/>
          <a:extLst>
            <a:ext uri="{FF2B5EF4-FFF2-40B4-BE49-F238E27FC236}">
              <a16:creationId xmlns:a16="http://schemas.microsoft.com/office/drawing/2014/main" id="{18D95486-4C8F-459A-95CC-31A4393DD14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133</xdr:row>
      <xdr:rowOff>0</xdr:rowOff>
    </xdr:from>
    <xdr:ext cx="304800" cy="283210"/>
    <xdr:sp macro="" textlink="">
      <xdr:nvSpPr>
        <xdr:cNvPr id="391" name="AutoShape 205" descr="USA">
          <a:hlinkClick xmlns:r="http://schemas.openxmlformats.org/officeDocument/2006/relationships" r:id="rId203"/>
          <a:extLst>
            <a:ext uri="{FF2B5EF4-FFF2-40B4-BE49-F238E27FC236}">
              <a16:creationId xmlns:a16="http://schemas.microsoft.com/office/drawing/2014/main" id="{CE14E158-A8A0-419B-B659-91B18E5EA2B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2" name="AutoShape 227" descr="USA">
          <a:hlinkClick xmlns:r="http://schemas.openxmlformats.org/officeDocument/2006/relationships" r:id="rId225"/>
          <a:extLst>
            <a:ext uri="{FF2B5EF4-FFF2-40B4-BE49-F238E27FC236}">
              <a16:creationId xmlns:a16="http://schemas.microsoft.com/office/drawing/2014/main" id="{17760192-2C47-4169-BFFE-938B827933F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3" name="AutoShape 205" descr="USA">
          <a:hlinkClick xmlns:r="http://schemas.openxmlformats.org/officeDocument/2006/relationships" r:id="rId203"/>
          <a:extLst>
            <a:ext uri="{FF2B5EF4-FFF2-40B4-BE49-F238E27FC236}">
              <a16:creationId xmlns:a16="http://schemas.microsoft.com/office/drawing/2014/main" id="{D5D7EBD2-ADF6-4C5C-A190-5FC25860767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4" name="AutoShape 155" descr="USA">
          <a:hlinkClick xmlns:r="http://schemas.openxmlformats.org/officeDocument/2006/relationships" r:id="rId154"/>
          <a:extLst>
            <a:ext uri="{FF2B5EF4-FFF2-40B4-BE49-F238E27FC236}">
              <a16:creationId xmlns:a16="http://schemas.microsoft.com/office/drawing/2014/main" id="{394C8F89-8C50-4590-B419-D70EF0B83A5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134</xdr:row>
      <xdr:rowOff>0</xdr:rowOff>
    </xdr:from>
    <xdr:ext cx="304800" cy="283210"/>
    <xdr:sp macro="" textlink="">
      <xdr:nvSpPr>
        <xdr:cNvPr id="395" name="AutoShape 205" descr="USA">
          <a:hlinkClick xmlns:r="http://schemas.openxmlformats.org/officeDocument/2006/relationships" r:id="rId203"/>
          <a:extLst>
            <a:ext uri="{FF2B5EF4-FFF2-40B4-BE49-F238E27FC236}">
              <a16:creationId xmlns:a16="http://schemas.microsoft.com/office/drawing/2014/main" id="{0324D5A6-AADF-4541-82FB-80F7086F6B8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6" name="AutoShape 227" descr="USA">
          <a:hlinkClick xmlns:r="http://schemas.openxmlformats.org/officeDocument/2006/relationships" r:id="rId225"/>
          <a:extLst>
            <a:ext uri="{FF2B5EF4-FFF2-40B4-BE49-F238E27FC236}">
              <a16:creationId xmlns:a16="http://schemas.microsoft.com/office/drawing/2014/main" id="{A0D22644-747D-4AAE-9FDB-7B872C7F76E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7" name="AutoShape 205" descr="USA">
          <a:hlinkClick xmlns:r="http://schemas.openxmlformats.org/officeDocument/2006/relationships" r:id="rId203"/>
          <a:extLst>
            <a:ext uri="{FF2B5EF4-FFF2-40B4-BE49-F238E27FC236}">
              <a16:creationId xmlns:a16="http://schemas.microsoft.com/office/drawing/2014/main" id="{15ED3018-FE21-4FA8-A181-54B7A6C6E4A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398" name="AutoShape 155" descr="USA">
          <a:hlinkClick xmlns:r="http://schemas.openxmlformats.org/officeDocument/2006/relationships" r:id="rId154"/>
          <a:extLst>
            <a:ext uri="{FF2B5EF4-FFF2-40B4-BE49-F238E27FC236}">
              <a16:creationId xmlns:a16="http://schemas.microsoft.com/office/drawing/2014/main" id="{12013D4E-19E5-440A-8561-AF664DED3B8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135</xdr:row>
      <xdr:rowOff>0</xdr:rowOff>
    </xdr:from>
    <xdr:ext cx="304800" cy="283210"/>
    <xdr:sp macro="" textlink="">
      <xdr:nvSpPr>
        <xdr:cNvPr id="399" name="AutoShape 205" descr="USA">
          <a:hlinkClick xmlns:r="http://schemas.openxmlformats.org/officeDocument/2006/relationships" r:id="rId203"/>
          <a:extLst>
            <a:ext uri="{FF2B5EF4-FFF2-40B4-BE49-F238E27FC236}">
              <a16:creationId xmlns:a16="http://schemas.microsoft.com/office/drawing/2014/main" id="{8DDF205D-FACB-4146-B1FA-84E9F7E6236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400" name="AutoShape 227" descr="USA">
          <a:hlinkClick xmlns:r="http://schemas.openxmlformats.org/officeDocument/2006/relationships" r:id="rId225"/>
          <a:extLst>
            <a:ext uri="{FF2B5EF4-FFF2-40B4-BE49-F238E27FC236}">
              <a16:creationId xmlns:a16="http://schemas.microsoft.com/office/drawing/2014/main" id="{36640712-8570-4AFC-B557-C69D4B0783F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401" name="AutoShape 205" descr="USA">
          <a:hlinkClick xmlns:r="http://schemas.openxmlformats.org/officeDocument/2006/relationships" r:id="rId203"/>
          <a:extLst>
            <a:ext uri="{FF2B5EF4-FFF2-40B4-BE49-F238E27FC236}">
              <a16:creationId xmlns:a16="http://schemas.microsoft.com/office/drawing/2014/main" id="{2EC53D41-B1AC-40A2-A91A-AC428AF5FB2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2" name="AutoShape 155" descr="USA">
          <a:hlinkClick xmlns:r="http://schemas.openxmlformats.org/officeDocument/2006/relationships" r:id="rId154"/>
          <a:extLst>
            <a:ext uri="{FF2B5EF4-FFF2-40B4-BE49-F238E27FC236}">
              <a16:creationId xmlns:a16="http://schemas.microsoft.com/office/drawing/2014/main" id="{5E05382A-A801-4180-B8B8-36E80C93EFA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136</xdr:row>
      <xdr:rowOff>0</xdr:rowOff>
    </xdr:from>
    <xdr:ext cx="304800" cy="283210"/>
    <xdr:sp macro="" textlink="">
      <xdr:nvSpPr>
        <xdr:cNvPr id="403" name="AutoShape 205" descr="USA">
          <a:hlinkClick xmlns:r="http://schemas.openxmlformats.org/officeDocument/2006/relationships" r:id="rId203"/>
          <a:extLst>
            <a:ext uri="{FF2B5EF4-FFF2-40B4-BE49-F238E27FC236}">
              <a16:creationId xmlns:a16="http://schemas.microsoft.com/office/drawing/2014/main" id="{780DA712-618E-440B-B900-1689AE43A21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4" name="AutoShape 227" descr="USA">
          <a:hlinkClick xmlns:r="http://schemas.openxmlformats.org/officeDocument/2006/relationships" r:id="rId225"/>
          <a:extLst>
            <a:ext uri="{FF2B5EF4-FFF2-40B4-BE49-F238E27FC236}">
              <a16:creationId xmlns:a16="http://schemas.microsoft.com/office/drawing/2014/main" id="{DDDF9569-CFA3-4907-B965-235490E0E49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5" name="AutoShape 205" descr="USA">
          <a:hlinkClick xmlns:r="http://schemas.openxmlformats.org/officeDocument/2006/relationships" r:id="rId203"/>
          <a:extLst>
            <a:ext uri="{FF2B5EF4-FFF2-40B4-BE49-F238E27FC236}">
              <a16:creationId xmlns:a16="http://schemas.microsoft.com/office/drawing/2014/main" id="{65542D18-413E-4D45-9F7D-312CE407597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06" name="AutoShape 155" descr="USA">
          <a:hlinkClick xmlns:r="http://schemas.openxmlformats.org/officeDocument/2006/relationships" r:id="rId154"/>
          <a:extLst>
            <a:ext uri="{FF2B5EF4-FFF2-40B4-BE49-F238E27FC236}">
              <a16:creationId xmlns:a16="http://schemas.microsoft.com/office/drawing/2014/main" id="{EB0FEA21-DBE5-4554-AC30-96AC2A824B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137</xdr:row>
      <xdr:rowOff>0</xdr:rowOff>
    </xdr:from>
    <xdr:ext cx="304800" cy="283210"/>
    <xdr:sp macro="" textlink="">
      <xdr:nvSpPr>
        <xdr:cNvPr id="407" name="AutoShape 205" descr="USA">
          <a:hlinkClick xmlns:r="http://schemas.openxmlformats.org/officeDocument/2006/relationships" r:id="rId203"/>
          <a:extLst>
            <a:ext uri="{FF2B5EF4-FFF2-40B4-BE49-F238E27FC236}">
              <a16:creationId xmlns:a16="http://schemas.microsoft.com/office/drawing/2014/main" id="{65EF4993-C1D1-472E-9EE1-5278298ACAA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08" name="AutoShape 227" descr="USA">
          <a:hlinkClick xmlns:r="http://schemas.openxmlformats.org/officeDocument/2006/relationships" r:id="rId225"/>
          <a:extLst>
            <a:ext uri="{FF2B5EF4-FFF2-40B4-BE49-F238E27FC236}">
              <a16:creationId xmlns:a16="http://schemas.microsoft.com/office/drawing/2014/main" id="{033CFCDD-A0D8-4DD1-8414-AD0353C2B7F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09" name="AutoShape 205" descr="USA">
          <a:hlinkClick xmlns:r="http://schemas.openxmlformats.org/officeDocument/2006/relationships" r:id="rId203"/>
          <a:extLst>
            <a:ext uri="{FF2B5EF4-FFF2-40B4-BE49-F238E27FC236}">
              <a16:creationId xmlns:a16="http://schemas.microsoft.com/office/drawing/2014/main" id="{31A23BF3-3100-4D70-BC28-9F21423449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0" name="AutoShape 155" descr="USA">
          <a:hlinkClick xmlns:r="http://schemas.openxmlformats.org/officeDocument/2006/relationships" r:id="rId154"/>
          <a:extLst>
            <a:ext uri="{FF2B5EF4-FFF2-40B4-BE49-F238E27FC236}">
              <a16:creationId xmlns:a16="http://schemas.microsoft.com/office/drawing/2014/main" id="{F22FB290-DCB4-4DD5-B834-136030FC68A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138</xdr:row>
      <xdr:rowOff>0</xdr:rowOff>
    </xdr:from>
    <xdr:ext cx="304800" cy="283210"/>
    <xdr:sp macro="" textlink="">
      <xdr:nvSpPr>
        <xdr:cNvPr id="411" name="AutoShape 205" descr="USA">
          <a:hlinkClick xmlns:r="http://schemas.openxmlformats.org/officeDocument/2006/relationships" r:id="rId203"/>
          <a:extLst>
            <a:ext uri="{FF2B5EF4-FFF2-40B4-BE49-F238E27FC236}">
              <a16:creationId xmlns:a16="http://schemas.microsoft.com/office/drawing/2014/main" id="{42D4AFD9-2E87-498A-A684-C87421EB1D1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2" name="AutoShape 227" descr="USA">
          <a:hlinkClick xmlns:r="http://schemas.openxmlformats.org/officeDocument/2006/relationships" r:id="rId225"/>
          <a:extLst>
            <a:ext uri="{FF2B5EF4-FFF2-40B4-BE49-F238E27FC236}">
              <a16:creationId xmlns:a16="http://schemas.microsoft.com/office/drawing/2014/main" id="{F858BB9E-F08B-4C31-9D34-AA6B7B18A8C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3" name="AutoShape 205" descr="USA">
          <a:hlinkClick xmlns:r="http://schemas.openxmlformats.org/officeDocument/2006/relationships" r:id="rId203"/>
          <a:extLst>
            <a:ext uri="{FF2B5EF4-FFF2-40B4-BE49-F238E27FC236}">
              <a16:creationId xmlns:a16="http://schemas.microsoft.com/office/drawing/2014/main" id="{D6207965-8B71-4410-AC90-DB13098D30E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4" name="AutoShape 155" descr="USA">
          <a:hlinkClick xmlns:r="http://schemas.openxmlformats.org/officeDocument/2006/relationships" r:id="rId154"/>
          <a:extLst>
            <a:ext uri="{FF2B5EF4-FFF2-40B4-BE49-F238E27FC236}">
              <a16:creationId xmlns:a16="http://schemas.microsoft.com/office/drawing/2014/main" id="{EC589C78-20EC-4A63-A757-64B1686E9D4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139</xdr:row>
      <xdr:rowOff>0</xdr:rowOff>
    </xdr:from>
    <xdr:ext cx="304800" cy="283210"/>
    <xdr:sp macro="" textlink="">
      <xdr:nvSpPr>
        <xdr:cNvPr id="415" name="AutoShape 205" descr="USA">
          <a:hlinkClick xmlns:r="http://schemas.openxmlformats.org/officeDocument/2006/relationships" r:id="rId203"/>
          <a:extLst>
            <a:ext uri="{FF2B5EF4-FFF2-40B4-BE49-F238E27FC236}">
              <a16:creationId xmlns:a16="http://schemas.microsoft.com/office/drawing/2014/main" id="{34786C58-C97D-4001-B5E3-81A8AAE5A6A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6" name="AutoShape 227" descr="USA">
          <a:hlinkClick xmlns:r="http://schemas.openxmlformats.org/officeDocument/2006/relationships" r:id="rId225"/>
          <a:extLst>
            <a:ext uri="{FF2B5EF4-FFF2-40B4-BE49-F238E27FC236}">
              <a16:creationId xmlns:a16="http://schemas.microsoft.com/office/drawing/2014/main" id="{F5D7A941-A509-4257-BBBB-E1323DEC83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7" name="AutoShape 205" descr="USA">
          <a:hlinkClick xmlns:r="http://schemas.openxmlformats.org/officeDocument/2006/relationships" r:id="rId203"/>
          <a:extLst>
            <a:ext uri="{FF2B5EF4-FFF2-40B4-BE49-F238E27FC236}">
              <a16:creationId xmlns:a16="http://schemas.microsoft.com/office/drawing/2014/main" id="{D2DA2A2E-FC42-42EB-A39F-1F3F9F5FAF7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18" name="AutoShape 155" descr="USA">
          <a:hlinkClick xmlns:r="http://schemas.openxmlformats.org/officeDocument/2006/relationships" r:id="rId154"/>
          <a:extLst>
            <a:ext uri="{FF2B5EF4-FFF2-40B4-BE49-F238E27FC236}">
              <a16:creationId xmlns:a16="http://schemas.microsoft.com/office/drawing/2014/main" id="{BB2A3B0F-05CF-42C0-9035-E2A91095082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140</xdr:row>
      <xdr:rowOff>0</xdr:rowOff>
    </xdr:from>
    <xdr:ext cx="304800" cy="283210"/>
    <xdr:sp macro="" textlink="">
      <xdr:nvSpPr>
        <xdr:cNvPr id="419" name="AutoShape 205" descr="USA">
          <a:hlinkClick xmlns:r="http://schemas.openxmlformats.org/officeDocument/2006/relationships" r:id="rId203"/>
          <a:extLst>
            <a:ext uri="{FF2B5EF4-FFF2-40B4-BE49-F238E27FC236}">
              <a16:creationId xmlns:a16="http://schemas.microsoft.com/office/drawing/2014/main" id="{61F84801-B1A3-405E-96BB-41FA7565ABA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20" name="AutoShape 227" descr="USA">
          <a:hlinkClick xmlns:r="http://schemas.openxmlformats.org/officeDocument/2006/relationships" r:id="rId225"/>
          <a:extLst>
            <a:ext uri="{FF2B5EF4-FFF2-40B4-BE49-F238E27FC236}">
              <a16:creationId xmlns:a16="http://schemas.microsoft.com/office/drawing/2014/main" id="{041BEBA9-EA41-49F6-A81F-FFA833993A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21" name="AutoShape 205" descr="USA">
          <a:hlinkClick xmlns:r="http://schemas.openxmlformats.org/officeDocument/2006/relationships" r:id="rId203"/>
          <a:extLst>
            <a:ext uri="{FF2B5EF4-FFF2-40B4-BE49-F238E27FC236}">
              <a16:creationId xmlns:a16="http://schemas.microsoft.com/office/drawing/2014/main" id="{705F1B76-DAC5-49F5-90B9-7DC2C1FD90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2" name="AutoShape 155" descr="USA">
          <a:hlinkClick xmlns:r="http://schemas.openxmlformats.org/officeDocument/2006/relationships" r:id="rId154"/>
          <a:extLst>
            <a:ext uri="{FF2B5EF4-FFF2-40B4-BE49-F238E27FC236}">
              <a16:creationId xmlns:a16="http://schemas.microsoft.com/office/drawing/2014/main" id="{635C7072-8586-4D96-B392-F8B9044A4BD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141</xdr:row>
      <xdr:rowOff>0</xdr:rowOff>
    </xdr:from>
    <xdr:ext cx="304800" cy="283210"/>
    <xdr:sp macro="" textlink="">
      <xdr:nvSpPr>
        <xdr:cNvPr id="423" name="AutoShape 205" descr="USA">
          <a:hlinkClick xmlns:r="http://schemas.openxmlformats.org/officeDocument/2006/relationships" r:id="rId203"/>
          <a:extLst>
            <a:ext uri="{FF2B5EF4-FFF2-40B4-BE49-F238E27FC236}">
              <a16:creationId xmlns:a16="http://schemas.microsoft.com/office/drawing/2014/main" id="{4ADEE359-A48A-4875-B57F-9F019EA2030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4" name="AutoShape 227" descr="USA">
          <a:hlinkClick xmlns:r="http://schemas.openxmlformats.org/officeDocument/2006/relationships" r:id="rId225"/>
          <a:extLst>
            <a:ext uri="{FF2B5EF4-FFF2-40B4-BE49-F238E27FC236}">
              <a16:creationId xmlns:a16="http://schemas.microsoft.com/office/drawing/2014/main" id="{F8973657-2C32-4AE1-8F22-97643A5E3FB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5" name="AutoShape 205" descr="USA">
          <a:hlinkClick xmlns:r="http://schemas.openxmlformats.org/officeDocument/2006/relationships" r:id="rId203"/>
          <a:extLst>
            <a:ext uri="{FF2B5EF4-FFF2-40B4-BE49-F238E27FC236}">
              <a16:creationId xmlns:a16="http://schemas.microsoft.com/office/drawing/2014/main" id="{33FD0D99-FD55-433E-AD30-C39032D0E0E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26" name="AutoShape 155" descr="USA">
          <a:hlinkClick xmlns:r="http://schemas.openxmlformats.org/officeDocument/2006/relationships" r:id="rId154"/>
          <a:extLst>
            <a:ext uri="{FF2B5EF4-FFF2-40B4-BE49-F238E27FC236}">
              <a16:creationId xmlns:a16="http://schemas.microsoft.com/office/drawing/2014/main" id="{5F03A0F2-C437-416D-B9F0-5CF6A9B4A51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142</xdr:row>
      <xdr:rowOff>0</xdr:rowOff>
    </xdr:from>
    <xdr:ext cx="304800" cy="283210"/>
    <xdr:sp macro="" textlink="">
      <xdr:nvSpPr>
        <xdr:cNvPr id="427" name="AutoShape 205" descr="USA">
          <a:hlinkClick xmlns:r="http://schemas.openxmlformats.org/officeDocument/2006/relationships" r:id="rId203"/>
          <a:extLst>
            <a:ext uri="{FF2B5EF4-FFF2-40B4-BE49-F238E27FC236}">
              <a16:creationId xmlns:a16="http://schemas.microsoft.com/office/drawing/2014/main" id="{569EFC9E-3FE6-4790-9429-AE9001D8B01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28" name="AutoShape 227" descr="USA">
          <a:hlinkClick xmlns:r="http://schemas.openxmlformats.org/officeDocument/2006/relationships" r:id="rId225"/>
          <a:extLst>
            <a:ext uri="{FF2B5EF4-FFF2-40B4-BE49-F238E27FC236}">
              <a16:creationId xmlns:a16="http://schemas.microsoft.com/office/drawing/2014/main" id="{7CAED53D-FA11-414A-8A60-2974206947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29" name="AutoShape 205" descr="USA">
          <a:hlinkClick xmlns:r="http://schemas.openxmlformats.org/officeDocument/2006/relationships" r:id="rId203"/>
          <a:extLst>
            <a:ext uri="{FF2B5EF4-FFF2-40B4-BE49-F238E27FC236}">
              <a16:creationId xmlns:a16="http://schemas.microsoft.com/office/drawing/2014/main" id="{16D414D7-F3D5-42D2-9190-6A31025A0E7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0" name="AutoShape 155" descr="USA">
          <a:hlinkClick xmlns:r="http://schemas.openxmlformats.org/officeDocument/2006/relationships" r:id="rId154"/>
          <a:extLst>
            <a:ext uri="{FF2B5EF4-FFF2-40B4-BE49-F238E27FC236}">
              <a16:creationId xmlns:a16="http://schemas.microsoft.com/office/drawing/2014/main" id="{3E615A0F-E329-4D4E-996B-2A2CCA1650E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143</xdr:row>
      <xdr:rowOff>0</xdr:rowOff>
    </xdr:from>
    <xdr:ext cx="304800" cy="283210"/>
    <xdr:sp macro="" textlink="">
      <xdr:nvSpPr>
        <xdr:cNvPr id="431" name="AutoShape 205" descr="USA">
          <a:hlinkClick xmlns:r="http://schemas.openxmlformats.org/officeDocument/2006/relationships" r:id="rId203"/>
          <a:extLst>
            <a:ext uri="{FF2B5EF4-FFF2-40B4-BE49-F238E27FC236}">
              <a16:creationId xmlns:a16="http://schemas.microsoft.com/office/drawing/2014/main" id="{E60501E9-1878-43DE-8C6B-D88A9498548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2" name="AutoShape 227" descr="USA">
          <a:hlinkClick xmlns:r="http://schemas.openxmlformats.org/officeDocument/2006/relationships" r:id="rId225"/>
          <a:extLst>
            <a:ext uri="{FF2B5EF4-FFF2-40B4-BE49-F238E27FC236}">
              <a16:creationId xmlns:a16="http://schemas.microsoft.com/office/drawing/2014/main" id="{55BA57CC-1375-4876-8D03-7B3C7ABC57C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3" name="AutoShape 205" descr="USA">
          <a:hlinkClick xmlns:r="http://schemas.openxmlformats.org/officeDocument/2006/relationships" r:id="rId203"/>
          <a:extLst>
            <a:ext uri="{FF2B5EF4-FFF2-40B4-BE49-F238E27FC236}">
              <a16:creationId xmlns:a16="http://schemas.microsoft.com/office/drawing/2014/main" id="{4BDCBCBC-9B76-431C-8318-C3271E1BE96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4" name="AutoShape 155" descr="USA">
          <a:hlinkClick xmlns:r="http://schemas.openxmlformats.org/officeDocument/2006/relationships" r:id="rId154"/>
          <a:extLst>
            <a:ext uri="{FF2B5EF4-FFF2-40B4-BE49-F238E27FC236}">
              <a16:creationId xmlns:a16="http://schemas.microsoft.com/office/drawing/2014/main" id="{F9547D50-B60D-4A30-B581-271294310D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144</xdr:row>
      <xdr:rowOff>0</xdr:rowOff>
    </xdr:from>
    <xdr:ext cx="304800" cy="283210"/>
    <xdr:sp macro="" textlink="">
      <xdr:nvSpPr>
        <xdr:cNvPr id="435" name="AutoShape 205" descr="USA">
          <a:hlinkClick xmlns:r="http://schemas.openxmlformats.org/officeDocument/2006/relationships" r:id="rId203"/>
          <a:extLst>
            <a:ext uri="{FF2B5EF4-FFF2-40B4-BE49-F238E27FC236}">
              <a16:creationId xmlns:a16="http://schemas.microsoft.com/office/drawing/2014/main" id="{8FE5E1C7-D853-4604-AC93-8752EF7F695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6" name="AutoShape 227" descr="USA">
          <a:hlinkClick xmlns:r="http://schemas.openxmlformats.org/officeDocument/2006/relationships" r:id="rId225"/>
          <a:extLst>
            <a:ext uri="{FF2B5EF4-FFF2-40B4-BE49-F238E27FC236}">
              <a16:creationId xmlns:a16="http://schemas.microsoft.com/office/drawing/2014/main" id="{0D84D591-3FC7-49C4-AFE6-0CCEABC0906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7" name="AutoShape 205" descr="USA">
          <a:hlinkClick xmlns:r="http://schemas.openxmlformats.org/officeDocument/2006/relationships" r:id="rId203"/>
          <a:extLst>
            <a:ext uri="{FF2B5EF4-FFF2-40B4-BE49-F238E27FC236}">
              <a16:creationId xmlns:a16="http://schemas.microsoft.com/office/drawing/2014/main" id="{ABEEBFB7-6AAD-415A-A41D-0A147FC06F7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38" name="AutoShape 155" descr="USA">
          <a:hlinkClick xmlns:r="http://schemas.openxmlformats.org/officeDocument/2006/relationships" r:id="rId154"/>
          <a:extLst>
            <a:ext uri="{FF2B5EF4-FFF2-40B4-BE49-F238E27FC236}">
              <a16:creationId xmlns:a16="http://schemas.microsoft.com/office/drawing/2014/main" id="{8342A0AB-874A-4BBD-A13F-CB6A3F69B33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145</xdr:row>
      <xdr:rowOff>0</xdr:rowOff>
    </xdr:from>
    <xdr:ext cx="304800" cy="283210"/>
    <xdr:sp macro="" textlink="">
      <xdr:nvSpPr>
        <xdr:cNvPr id="439" name="AutoShape 205" descr="USA">
          <a:hlinkClick xmlns:r="http://schemas.openxmlformats.org/officeDocument/2006/relationships" r:id="rId203"/>
          <a:extLst>
            <a:ext uri="{FF2B5EF4-FFF2-40B4-BE49-F238E27FC236}">
              <a16:creationId xmlns:a16="http://schemas.microsoft.com/office/drawing/2014/main" id="{F5404E5C-F5E3-42E4-AFC2-5B598F94A34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40" name="AutoShape 227" descr="USA">
          <a:hlinkClick xmlns:r="http://schemas.openxmlformats.org/officeDocument/2006/relationships" r:id="rId225"/>
          <a:extLst>
            <a:ext uri="{FF2B5EF4-FFF2-40B4-BE49-F238E27FC236}">
              <a16:creationId xmlns:a16="http://schemas.microsoft.com/office/drawing/2014/main" id="{5F445477-67BB-4B84-99A4-CA9BC3598E7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41" name="AutoShape 205" descr="USA">
          <a:hlinkClick xmlns:r="http://schemas.openxmlformats.org/officeDocument/2006/relationships" r:id="rId203"/>
          <a:extLst>
            <a:ext uri="{FF2B5EF4-FFF2-40B4-BE49-F238E27FC236}">
              <a16:creationId xmlns:a16="http://schemas.microsoft.com/office/drawing/2014/main" id="{8D1FD94F-9145-40CB-8B15-718751E817D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2" name="AutoShape 155" descr="USA">
          <a:hlinkClick xmlns:r="http://schemas.openxmlformats.org/officeDocument/2006/relationships" r:id="rId154"/>
          <a:extLst>
            <a:ext uri="{FF2B5EF4-FFF2-40B4-BE49-F238E27FC236}">
              <a16:creationId xmlns:a16="http://schemas.microsoft.com/office/drawing/2014/main" id="{6BD76B7B-9CCE-4AD6-94D4-0B06F91CD07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146</xdr:row>
      <xdr:rowOff>0</xdr:rowOff>
    </xdr:from>
    <xdr:ext cx="304800" cy="283210"/>
    <xdr:sp macro="" textlink="">
      <xdr:nvSpPr>
        <xdr:cNvPr id="443" name="AutoShape 205" descr="USA">
          <a:hlinkClick xmlns:r="http://schemas.openxmlformats.org/officeDocument/2006/relationships" r:id="rId203"/>
          <a:extLst>
            <a:ext uri="{FF2B5EF4-FFF2-40B4-BE49-F238E27FC236}">
              <a16:creationId xmlns:a16="http://schemas.microsoft.com/office/drawing/2014/main" id="{12293776-9D0C-4143-B884-57025C74C79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4" name="AutoShape 227" descr="USA">
          <a:hlinkClick xmlns:r="http://schemas.openxmlformats.org/officeDocument/2006/relationships" r:id="rId225"/>
          <a:extLst>
            <a:ext uri="{FF2B5EF4-FFF2-40B4-BE49-F238E27FC236}">
              <a16:creationId xmlns:a16="http://schemas.microsoft.com/office/drawing/2014/main" id="{C6AA36AE-DD2D-4FE1-99FF-7B00C2856F2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5" name="AutoShape 205" descr="USA">
          <a:hlinkClick xmlns:r="http://schemas.openxmlformats.org/officeDocument/2006/relationships" r:id="rId203"/>
          <a:extLst>
            <a:ext uri="{FF2B5EF4-FFF2-40B4-BE49-F238E27FC236}">
              <a16:creationId xmlns:a16="http://schemas.microsoft.com/office/drawing/2014/main" id="{1DE23364-6818-4D83-9271-75A2D370FD1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46" name="AutoShape 155" descr="USA">
          <a:hlinkClick xmlns:r="http://schemas.openxmlformats.org/officeDocument/2006/relationships" r:id="rId154"/>
          <a:extLst>
            <a:ext uri="{FF2B5EF4-FFF2-40B4-BE49-F238E27FC236}">
              <a16:creationId xmlns:a16="http://schemas.microsoft.com/office/drawing/2014/main" id="{287A5B00-B832-429C-B8EB-3F8EF0A1AA2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147</xdr:row>
      <xdr:rowOff>0</xdr:rowOff>
    </xdr:from>
    <xdr:ext cx="304800" cy="283210"/>
    <xdr:sp macro="" textlink="">
      <xdr:nvSpPr>
        <xdr:cNvPr id="447" name="AutoShape 205" descr="USA">
          <a:hlinkClick xmlns:r="http://schemas.openxmlformats.org/officeDocument/2006/relationships" r:id="rId203"/>
          <a:extLst>
            <a:ext uri="{FF2B5EF4-FFF2-40B4-BE49-F238E27FC236}">
              <a16:creationId xmlns:a16="http://schemas.microsoft.com/office/drawing/2014/main" id="{92A617F5-A971-4FDE-B570-F4BDFE2C55E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48" name="AutoShape 227" descr="USA">
          <a:hlinkClick xmlns:r="http://schemas.openxmlformats.org/officeDocument/2006/relationships" r:id="rId225"/>
          <a:extLst>
            <a:ext uri="{FF2B5EF4-FFF2-40B4-BE49-F238E27FC236}">
              <a16:creationId xmlns:a16="http://schemas.microsoft.com/office/drawing/2014/main" id="{24036CA1-AC55-49A4-888C-EAE8BA5DE50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49" name="AutoShape 205" descr="USA">
          <a:hlinkClick xmlns:r="http://schemas.openxmlformats.org/officeDocument/2006/relationships" r:id="rId203"/>
          <a:extLst>
            <a:ext uri="{FF2B5EF4-FFF2-40B4-BE49-F238E27FC236}">
              <a16:creationId xmlns:a16="http://schemas.microsoft.com/office/drawing/2014/main" id="{D33EC449-0B19-4CB3-8BD4-718FA1D2BD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0" name="AutoShape 155" descr="USA">
          <a:hlinkClick xmlns:r="http://schemas.openxmlformats.org/officeDocument/2006/relationships" r:id="rId154"/>
          <a:extLst>
            <a:ext uri="{FF2B5EF4-FFF2-40B4-BE49-F238E27FC236}">
              <a16:creationId xmlns:a16="http://schemas.microsoft.com/office/drawing/2014/main" id="{80DC06FA-5475-4559-835A-F5B44C1B98D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148</xdr:row>
      <xdr:rowOff>0</xdr:rowOff>
    </xdr:from>
    <xdr:ext cx="304800" cy="283210"/>
    <xdr:sp macro="" textlink="">
      <xdr:nvSpPr>
        <xdr:cNvPr id="451" name="AutoShape 205" descr="USA">
          <a:hlinkClick xmlns:r="http://schemas.openxmlformats.org/officeDocument/2006/relationships" r:id="rId203"/>
          <a:extLst>
            <a:ext uri="{FF2B5EF4-FFF2-40B4-BE49-F238E27FC236}">
              <a16:creationId xmlns:a16="http://schemas.microsoft.com/office/drawing/2014/main" id="{7D798A43-153C-4BD2-90FD-67C2D2EC138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2" name="AutoShape 227" descr="USA">
          <a:hlinkClick xmlns:r="http://schemas.openxmlformats.org/officeDocument/2006/relationships" r:id="rId225"/>
          <a:extLst>
            <a:ext uri="{FF2B5EF4-FFF2-40B4-BE49-F238E27FC236}">
              <a16:creationId xmlns:a16="http://schemas.microsoft.com/office/drawing/2014/main" id="{F67DEE8D-095A-426C-961B-A215EA06BE0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3" name="AutoShape 205" descr="USA">
          <a:hlinkClick xmlns:r="http://schemas.openxmlformats.org/officeDocument/2006/relationships" r:id="rId203"/>
          <a:extLst>
            <a:ext uri="{FF2B5EF4-FFF2-40B4-BE49-F238E27FC236}">
              <a16:creationId xmlns:a16="http://schemas.microsoft.com/office/drawing/2014/main" id="{FDCD6005-CE39-4150-9186-75103F0378A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4" name="AutoShape 155" descr="USA">
          <a:hlinkClick xmlns:r="http://schemas.openxmlformats.org/officeDocument/2006/relationships" r:id="rId154"/>
          <a:extLst>
            <a:ext uri="{FF2B5EF4-FFF2-40B4-BE49-F238E27FC236}">
              <a16:creationId xmlns:a16="http://schemas.microsoft.com/office/drawing/2014/main" id="{4460B3EE-5FF8-41B0-8134-8DC0C646A98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149</xdr:row>
      <xdr:rowOff>0</xdr:rowOff>
    </xdr:from>
    <xdr:ext cx="304800" cy="283210"/>
    <xdr:sp macro="" textlink="">
      <xdr:nvSpPr>
        <xdr:cNvPr id="455" name="AutoShape 205" descr="USA">
          <a:hlinkClick xmlns:r="http://schemas.openxmlformats.org/officeDocument/2006/relationships" r:id="rId203"/>
          <a:extLst>
            <a:ext uri="{FF2B5EF4-FFF2-40B4-BE49-F238E27FC236}">
              <a16:creationId xmlns:a16="http://schemas.microsoft.com/office/drawing/2014/main" id="{90AE8BF0-5C43-4577-8F48-BC808FD1E82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6" name="AutoShape 227" descr="USA">
          <a:hlinkClick xmlns:r="http://schemas.openxmlformats.org/officeDocument/2006/relationships" r:id="rId225"/>
          <a:extLst>
            <a:ext uri="{FF2B5EF4-FFF2-40B4-BE49-F238E27FC236}">
              <a16:creationId xmlns:a16="http://schemas.microsoft.com/office/drawing/2014/main" id="{22604AB3-E19E-4542-9D9E-F69A145C0C4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7" name="AutoShape 205" descr="USA">
          <a:hlinkClick xmlns:r="http://schemas.openxmlformats.org/officeDocument/2006/relationships" r:id="rId203"/>
          <a:extLst>
            <a:ext uri="{FF2B5EF4-FFF2-40B4-BE49-F238E27FC236}">
              <a16:creationId xmlns:a16="http://schemas.microsoft.com/office/drawing/2014/main" id="{4EB80584-A28A-4A5C-8B99-D7385BB8AF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58" name="AutoShape 155" descr="USA">
          <a:hlinkClick xmlns:r="http://schemas.openxmlformats.org/officeDocument/2006/relationships" r:id="rId154"/>
          <a:extLst>
            <a:ext uri="{FF2B5EF4-FFF2-40B4-BE49-F238E27FC236}">
              <a16:creationId xmlns:a16="http://schemas.microsoft.com/office/drawing/2014/main" id="{0DD6D209-65EF-43C3-B89E-6021D44A835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150</xdr:row>
      <xdr:rowOff>0</xdr:rowOff>
    </xdr:from>
    <xdr:ext cx="304800" cy="283210"/>
    <xdr:sp macro="" textlink="">
      <xdr:nvSpPr>
        <xdr:cNvPr id="459" name="AutoShape 205" descr="USA">
          <a:hlinkClick xmlns:r="http://schemas.openxmlformats.org/officeDocument/2006/relationships" r:id="rId203"/>
          <a:extLst>
            <a:ext uri="{FF2B5EF4-FFF2-40B4-BE49-F238E27FC236}">
              <a16:creationId xmlns:a16="http://schemas.microsoft.com/office/drawing/2014/main" id="{174E190A-8105-4B20-9A38-2523FB0BD15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60" name="AutoShape 227" descr="USA">
          <a:hlinkClick xmlns:r="http://schemas.openxmlformats.org/officeDocument/2006/relationships" r:id="rId225"/>
          <a:extLst>
            <a:ext uri="{FF2B5EF4-FFF2-40B4-BE49-F238E27FC236}">
              <a16:creationId xmlns:a16="http://schemas.microsoft.com/office/drawing/2014/main" id="{8A4666D6-BDA1-4741-8568-3C7F269153B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61" name="AutoShape 205" descr="USA">
          <a:hlinkClick xmlns:r="http://schemas.openxmlformats.org/officeDocument/2006/relationships" r:id="rId203"/>
          <a:extLst>
            <a:ext uri="{FF2B5EF4-FFF2-40B4-BE49-F238E27FC236}">
              <a16:creationId xmlns:a16="http://schemas.microsoft.com/office/drawing/2014/main" id="{08D87F49-276A-4B91-A1B9-12F34EA9DB1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2" name="AutoShape 155" descr="USA">
          <a:hlinkClick xmlns:r="http://schemas.openxmlformats.org/officeDocument/2006/relationships" r:id="rId154"/>
          <a:extLst>
            <a:ext uri="{FF2B5EF4-FFF2-40B4-BE49-F238E27FC236}">
              <a16:creationId xmlns:a16="http://schemas.microsoft.com/office/drawing/2014/main" id="{321941F5-D7E8-4D5B-ACDB-E2DD1570F03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151</xdr:row>
      <xdr:rowOff>0</xdr:rowOff>
    </xdr:from>
    <xdr:ext cx="304800" cy="283210"/>
    <xdr:sp macro="" textlink="">
      <xdr:nvSpPr>
        <xdr:cNvPr id="463" name="AutoShape 205" descr="USA">
          <a:hlinkClick xmlns:r="http://schemas.openxmlformats.org/officeDocument/2006/relationships" r:id="rId203"/>
          <a:extLst>
            <a:ext uri="{FF2B5EF4-FFF2-40B4-BE49-F238E27FC236}">
              <a16:creationId xmlns:a16="http://schemas.microsoft.com/office/drawing/2014/main" id="{A7A15AA1-2AFF-4D30-B219-40C9DC5BA0C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4" name="AutoShape 227" descr="USA">
          <a:hlinkClick xmlns:r="http://schemas.openxmlformats.org/officeDocument/2006/relationships" r:id="rId225"/>
          <a:extLst>
            <a:ext uri="{FF2B5EF4-FFF2-40B4-BE49-F238E27FC236}">
              <a16:creationId xmlns:a16="http://schemas.microsoft.com/office/drawing/2014/main" id="{E769C48E-02A9-431B-81FC-230C59BF302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5" name="AutoShape 205" descr="USA">
          <a:hlinkClick xmlns:r="http://schemas.openxmlformats.org/officeDocument/2006/relationships" r:id="rId203"/>
          <a:extLst>
            <a:ext uri="{FF2B5EF4-FFF2-40B4-BE49-F238E27FC236}">
              <a16:creationId xmlns:a16="http://schemas.microsoft.com/office/drawing/2014/main" id="{613D3E07-A90E-4553-85B7-DA8817312FD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66" name="AutoShape 155" descr="USA">
          <a:hlinkClick xmlns:r="http://schemas.openxmlformats.org/officeDocument/2006/relationships" r:id="rId154"/>
          <a:extLst>
            <a:ext uri="{FF2B5EF4-FFF2-40B4-BE49-F238E27FC236}">
              <a16:creationId xmlns:a16="http://schemas.microsoft.com/office/drawing/2014/main" id="{F2B50170-2C97-49EA-A6ED-1105AD20CF9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152</xdr:row>
      <xdr:rowOff>0</xdr:rowOff>
    </xdr:from>
    <xdr:ext cx="304800" cy="283210"/>
    <xdr:sp macro="" textlink="">
      <xdr:nvSpPr>
        <xdr:cNvPr id="467" name="AutoShape 205" descr="USA">
          <a:hlinkClick xmlns:r="http://schemas.openxmlformats.org/officeDocument/2006/relationships" r:id="rId203"/>
          <a:extLst>
            <a:ext uri="{FF2B5EF4-FFF2-40B4-BE49-F238E27FC236}">
              <a16:creationId xmlns:a16="http://schemas.microsoft.com/office/drawing/2014/main" id="{8F0818CA-A2B1-4D5A-B9FF-0BCFF76B18B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68" name="AutoShape 227" descr="USA">
          <a:hlinkClick xmlns:r="http://schemas.openxmlformats.org/officeDocument/2006/relationships" r:id="rId225"/>
          <a:extLst>
            <a:ext uri="{FF2B5EF4-FFF2-40B4-BE49-F238E27FC236}">
              <a16:creationId xmlns:a16="http://schemas.microsoft.com/office/drawing/2014/main" id="{37DC2E68-54FA-410A-9830-12E00ABD2CF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69" name="AutoShape 205" descr="USA">
          <a:hlinkClick xmlns:r="http://schemas.openxmlformats.org/officeDocument/2006/relationships" r:id="rId203"/>
          <a:extLst>
            <a:ext uri="{FF2B5EF4-FFF2-40B4-BE49-F238E27FC236}">
              <a16:creationId xmlns:a16="http://schemas.microsoft.com/office/drawing/2014/main" id="{6179734E-7366-4BF3-AE29-2E1DF7319A1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0" name="AutoShape 155" descr="USA">
          <a:hlinkClick xmlns:r="http://schemas.openxmlformats.org/officeDocument/2006/relationships" r:id="rId154"/>
          <a:extLst>
            <a:ext uri="{FF2B5EF4-FFF2-40B4-BE49-F238E27FC236}">
              <a16:creationId xmlns:a16="http://schemas.microsoft.com/office/drawing/2014/main" id="{E49D12CA-2A74-4DED-8862-272D54A2192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153</xdr:row>
      <xdr:rowOff>0</xdr:rowOff>
    </xdr:from>
    <xdr:ext cx="304800" cy="283210"/>
    <xdr:sp macro="" textlink="">
      <xdr:nvSpPr>
        <xdr:cNvPr id="471" name="AutoShape 205" descr="USA">
          <a:hlinkClick xmlns:r="http://schemas.openxmlformats.org/officeDocument/2006/relationships" r:id="rId203"/>
          <a:extLst>
            <a:ext uri="{FF2B5EF4-FFF2-40B4-BE49-F238E27FC236}">
              <a16:creationId xmlns:a16="http://schemas.microsoft.com/office/drawing/2014/main" id="{0BBEFFDD-D4FC-4328-A87D-0DB3FE6B198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2" name="AutoShape 227" descr="USA">
          <a:hlinkClick xmlns:r="http://schemas.openxmlformats.org/officeDocument/2006/relationships" r:id="rId225"/>
          <a:extLst>
            <a:ext uri="{FF2B5EF4-FFF2-40B4-BE49-F238E27FC236}">
              <a16:creationId xmlns:a16="http://schemas.microsoft.com/office/drawing/2014/main" id="{EAF50924-05C8-4605-B540-71A12030467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3" name="AutoShape 205" descr="USA">
          <a:hlinkClick xmlns:r="http://schemas.openxmlformats.org/officeDocument/2006/relationships" r:id="rId203"/>
          <a:extLst>
            <a:ext uri="{FF2B5EF4-FFF2-40B4-BE49-F238E27FC236}">
              <a16:creationId xmlns:a16="http://schemas.microsoft.com/office/drawing/2014/main" id="{28EFA5E7-ACE7-4AEB-B58C-E39C1A21CD6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4" name="AutoShape 155" descr="USA">
          <a:hlinkClick xmlns:r="http://schemas.openxmlformats.org/officeDocument/2006/relationships" r:id="rId154"/>
          <a:extLst>
            <a:ext uri="{FF2B5EF4-FFF2-40B4-BE49-F238E27FC236}">
              <a16:creationId xmlns:a16="http://schemas.microsoft.com/office/drawing/2014/main" id="{90AD27BD-D4F4-4052-BC3C-A4A498902BD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154</xdr:row>
      <xdr:rowOff>0</xdr:rowOff>
    </xdr:from>
    <xdr:ext cx="304800" cy="283210"/>
    <xdr:sp macro="" textlink="">
      <xdr:nvSpPr>
        <xdr:cNvPr id="475" name="AutoShape 205" descr="USA">
          <a:hlinkClick xmlns:r="http://schemas.openxmlformats.org/officeDocument/2006/relationships" r:id="rId203"/>
          <a:extLst>
            <a:ext uri="{FF2B5EF4-FFF2-40B4-BE49-F238E27FC236}">
              <a16:creationId xmlns:a16="http://schemas.microsoft.com/office/drawing/2014/main" id="{1798EC05-0C65-4722-AB7C-78B42BF81F8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6" name="AutoShape 227" descr="USA">
          <a:hlinkClick xmlns:r="http://schemas.openxmlformats.org/officeDocument/2006/relationships" r:id="rId225"/>
          <a:extLst>
            <a:ext uri="{FF2B5EF4-FFF2-40B4-BE49-F238E27FC236}">
              <a16:creationId xmlns:a16="http://schemas.microsoft.com/office/drawing/2014/main" id="{633B3F54-E11C-4356-851C-667625503F7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7" name="AutoShape 205" descr="USA">
          <a:hlinkClick xmlns:r="http://schemas.openxmlformats.org/officeDocument/2006/relationships" r:id="rId203"/>
          <a:extLst>
            <a:ext uri="{FF2B5EF4-FFF2-40B4-BE49-F238E27FC236}">
              <a16:creationId xmlns:a16="http://schemas.microsoft.com/office/drawing/2014/main" id="{4AAEC939-EABC-44D2-89BA-F5DF47C30F1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78" name="AutoShape 155" descr="USA">
          <a:hlinkClick xmlns:r="http://schemas.openxmlformats.org/officeDocument/2006/relationships" r:id="rId154"/>
          <a:extLst>
            <a:ext uri="{FF2B5EF4-FFF2-40B4-BE49-F238E27FC236}">
              <a16:creationId xmlns:a16="http://schemas.microsoft.com/office/drawing/2014/main" id="{58C4A051-4258-4BD7-A9AE-03C93C657FE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155</xdr:row>
      <xdr:rowOff>0</xdr:rowOff>
    </xdr:from>
    <xdr:ext cx="304800" cy="283210"/>
    <xdr:sp macro="" textlink="">
      <xdr:nvSpPr>
        <xdr:cNvPr id="479" name="AutoShape 205" descr="USA">
          <a:hlinkClick xmlns:r="http://schemas.openxmlformats.org/officeDocument/2006/relationships" r:id="rId203"/>
          <a:extLst>
            <a:ext uri="{FF2B5EF4-FFF2-40B4-BE49-F238E27FC236}">
              <a16:creationId xmlns:a16="http://schemas.microsoft.com/office/drawing/2014/main" id="{C72F00D6-A4C3-49E0-9957-86250E56BF0A}"/>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80" name="AutoShape 227" descr="USA">
          <a:hlinkClick xmlns:r="http://schemas.openxmlformats.org/officeDocument/2006/relationships" r:id="rId225"/>
          <a:extLst>
            <a:ext uri="{FF2B5EF4-FFF2-40B4-BE49-F238E27FC236}">
              <a16:creationId xmlns:a16="http://schemas.microsoft.com/office/drawing/2014/main" id="{CFB3C6C1-AB3C-4843-8442-C553BE4DBB6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81" name="AutoShape 205" descr="USA">
          <a:hlinkClick xmlns:r="http://schemas.openxmlformats.org/officeDocument/2006/relationships" r:id="rId203"/>
          <a:extLst>
            <a:ext uri="{FF2B5EF4-FFF2-40B4-BE49-F238E27FC236}">
              <a16:creationId xmlns:a16="http://schemas.microsoft.com/office/drawing/2014/main" id="{84E3F962-3902-4AEC-9C23-5B2909EDFC4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2" name="AutoShape 155" descr="USA">
          <a:hlinkClick xmlns:r="http://schemas.openxmlformats.org/officeDocument/2006/relationships" r:id="rId154"/>
          <a:extLst>
            <a:ext uri="{FF2B5EF4-FFF2-40B4-BE49-F238E27FC236}">
              <a16:creationId xmlns:a16="http://schemas.microsoft.com/office/drawing/2014/main" id="{FF02961A-F6AA-4424-861F-F24626AE455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156</xdr:row>
      <xdr:rowOff>0</xdr:rowOff>
    </xdr:from>
    <xdr:ext cx="304800" cy="283210"/>
    <xdr:sp macro="" textlink="">
      <xdr:nvSpPr>
        <xdr:cNvPr id="483" name="AutoShape 205" descr="USA">
          <a:hlinkClick xmlns:r="http://schemas.openxmlformats.org/officeDocument/2006/relationships" r:id="rId203"/>
          <a:extLst>
            <a:ext uri="{FF2B5EF4-FFF2-40B4-BE49-F238E27FC236}">
              <a16:creationId xmlns:a16="http://schemas.microsoft.com/office/drawing/2014/main" id="{425BF6AF-79F1-4EAF-915D-1E2314D2C0C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4" name="AutoShape 227" descr="USA">
          <a:hlinkClick xmlns:r="http://schemas.openxmlformats.org/officeDocument/2006/relationships" r:id="rId225"/>
          <a:extLst>
            <a:ext uri="{FF2B5EF4-FFF2-40B4-BE49-F238E27FC236}">
              <a16:creationId xmlns:a16="http://schemas.microsoft.com/office/drawing/2014/main" id="{64A5A61A-5846-40B2-A102-02A1B805FF1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5" name="AutoShape 205" descr="USA">
          <a:hlinkClick xmlns:r="http://schemas.openxmlformats.org/officeDocument/2006/relationships" r:id="rId203"/>
          <a:extLst>
            <a:ext uri="{FF2B5EF4-FFF2-40B4-BE49-F238E27FC236}">
              <a16:creationId xmlns:a16="http://schemas.microsoft.com/office/drawing/2014/main" id="{1162E485-4271-48C3-902E-1183E64027B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86" name="AutoShape 155" descr="USA">
          <a:hlinkClick xmlns:r="http://schemas.openxmlformats.org/officeDocument/2006/relationships" r:id="rId154"/>
          <a:extLst>
            <a:ext uri="{FF2B5EF4-FFF2-40B4-BE49-F238E27FC236}">
              <a16:creationId xmlns:a16="http://schemas.microsoft.com/office/drawing/2014/main" id="{D6CEEC30-F751-45B4-A30B-5547745D3B7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157</xdr:row>
      <xdr:rowOff>0</xdr:rowOff>
    </xdr:from>
    <xdr:ext cx="304800" cy="283210"/>
    <xdr:sp macro="" textlink="">
      <xdr:nvSpPr>
        <xdr:cNvPr id="487" name="AutoShape 205" descr="USA">
          <a:hlinkClick xmlns:r="http://schemas.openxmlformats.org/officeDocument/2006/relationships" r:id="rId203"/>
          <a:extLst>
            <a:ext uri="{FF2B5EF4-FFF2-40B4-BE49-F238E27FC236}">
              <a16:creationId xmlns:a16="http://schemas.microsoft.com/office/drawing/2014/main" id="{F8049B30-7D11-4AC5-9EEB-4188412D202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88" name="AutoShape 227" descr="USA">
          <a:hlinkClick xmlns:r="http://schemas.openxmlformats.org/officeDocument/2006/relationships" r:id="rId225"/>
          <a:extLst>
            <a:ext uri="{FF2B5EF4-FFF2-40B4-BE49-F238E27FC236}">
              <a16:creationId xmlns:a16="http://schemas.microsoft.com/office/drawing/2014/main" id="{CF6E54A3-8522-47DB-9CC8-496D09A267A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89" name="AutoShape 205" descr="USA">
          <a:hlinkClick xmlns:r="http://schemas.openxmlformats.org/officeDocument/2006/relationships" r:id="rId203"/>
          <a:extLst>
            <a:ext uri="{FF2B5EF4-FFF2-40B4-BE49-F238E27FC236}">
              <a16:creationId xmlns:a16="http://schemas.microsoft.com/office/drawing/2014/main" id="{8D6F9696-D2B5-4ED1-92FA-16FEB643C90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0" name="AutoShape 155" descr="USA">
          <a:hlinkClick xmlns:r="http://schemas.openxmlformats.org/officeDocument/2006/relationships" r:id="rId154"/>
          <a:extLst>
            <a:ext uri="{FF2B5EF4-FFF2-40B4-BE49-F238E27FC236}">
              <a16:creationId xmlns:a16="http://schemas.microsoft.com/office/drawing/2014/main" id="{7D7AE682-4429-4F77-8AFE-4EED2F80EF0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158</xdr:row>
      <xdr:rowOff>0</xdr:rowOff>
    </xdr:from>
    <xdr:ext cx="304800" cy="283210"/>
    <xdr:sp macro="" textlink="">
      <xdr:nvSpPr>
        <xdr:cNvPr id="491" name="AutoShape 205" descr="USA">
          <a:hlinkClick xmlns:r="http://schemas.openxmlformats.org/officeDocument/2006/relationships" r:id="rId203"/>
          <a:extLst>
            <a:ext uri="{FF2B5EF4-FFF2-40B4-BE49-F238E27FC236}">
              <a16:creationId xmlns:a16="http://schemas.microsoft.com/office/drawing/2014/main" id="{1A52CA2A-43DF-4E22-9F1A-0471660F6E4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2" name="AutoShape 227" descr="USA">
          <a:hlinkClick xmlns:r="http://schemas.openxmlformats.org/officeDocument/2006/relationships" r:id="rId225"/>
          <a:extLst>
            <a:ext uri="{FF2B5EF4-FFF2-40B4-BE49-F238E27FC236}">
              <a16:creationId xmlns:a16="http://schemas.microsoft.com/office/drawing/2014/main" id="{9EABD96E-472D-435C-ACCF-89DFB986541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3" name="AutoShape 205" descr="USA">
          <a:hlinkClick xmlns:r="http://schemas.openxmlformats.org/officeDocument/2006/relationships" r:id="rId203"/>
          <a:extLst>
            <a:ext uri="{FF2B5EF4-FFF2-40B4-BE49-F238E27FC236}">
              <a16:creationId xmlns:a16="http://schemas.microsoft.com/office/drawing/2014/main" id="{2E7434D6-97E1-4D9C-A2EE-A56C5DDC2AA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4" name="AutoShape 155" descr="USA">
          <a:hlinkClick xmlns:r="http://schemas.openxmlformats.org/officeDocument/2006/relationships" r:id="rId154"/>
          <a:extLst>
            <a:ext uri="{FF2B5EF4-FFF2-40B4-BE49-F238E27FC236}">
              <a16:creationId xmlns:a16="http://schemas.microsoft.com/office/drawing/2014/main" id="{9AD23B4B-E3F4-4433-9CEF-FFA91D21ED3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159</xdr:row>
      <xdr:rowOff>0</xdr:rowOff>
    </xdr:from>
    <xdr:ext cx="304800" cy="283210"/>
    <xdr:sp macro="" textlink="">
      <xdr:nvSpPr>
        <xdr:cNvPr id="495" name="AutoShape 205" descr="USA">
          <a:hlinkClick xmlns:r="http://schemas.openxmlformats.org/officeDocument/2006/relationships" r:id="rId203"/>
          <a:extLst>
            <a:ext uri="{FF2B5EF4-FFF2-40B4-BE49-F238E27FC236}">
              <a16:creationId xmlns:a16="http://schemas.microsoft.com/office/drawing/2014/main" id="{AE84F181-6275-4932-92D1-AFB59C3C9BD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6" name="AutoShape 227" descr="USA">
          <a:hlinkClick xmlns:r="http://schemas.openxmlformats.org/officeDocument/2006/relationships" r:id="rId225"/>
          <a:extLst>
            <a:ext uri="{FF2B5EF4-FFF2-40B4-BE49-F238E27FC236}">
              <a16:creationId xmlns:a16="http://schemas.microsoft.com/office/drawing/2014/main" id="{7A95C282-9406-4382-BCEA-CC48C541E4F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7" name="AutoShape 205" descr="USA">
          <a:hlinkClick xmlns:r="http://schemas.openxmlformats.org/officeDocument/2006/relationships" r:id="rId203"/>
          <a:extLst>
            <a:ext uri="{FF2B5EF4-FFF2-40B4-BE49-F238E27FC236}">
              <a16:creationId xmlns:a16="http://schemas.microsoft.com/office/drawing/2014/main" id="{DF60104B-06C1-43B1-A97D-916F3343CCE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498" name="AutoShape 155" descr="USA">
          <a:hlinkClick xmlns:r="http://schemas.openxmlformats.org/officeDocument/2006/relationships" r:id="rId154"/>
          <a:extLst>
            <a:ext uri="{FF2B5EF4-FFF2-40B4-BE49-F238E27FC236}">
              <a16:creationId xmlns:a16="http://schemas.microsoft.com/office/drawing/2014/main" id="{4EEDBCE5-ED49-44D2-BC87-0B4732771E9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160</xdr:row>
      <xdr:rowOff>0</xdr:rowOff>
    </xdr:from>
    <xdr:ext cx="304800" cy="283210"/>
    <xdr:sp macro="" textlink="">
      <xdr:nvSpPr>
        <xdr:cNvPr id="499" name="AutoShape 205" descr="USA">
          <a:hlinkClick xmlns:r="http://schemas.openxmlformats.org/officeDocument/2006/relationships" r:id="rId203"/>
          <a:extLst>
            <a:ext uri="{FF2B5EF4-FFF2-40B4-BE49-F238E27FC236}">
              <a16:creationId xmlns:a16="http://schemas.microsoft.com/office/drawing/2014/main" id="{2C1F26B6-FFB7-4B03-A938-5472249EF329}"/>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500" name="AutoShape 227" descr="USA">
          <a:hlinkClick xmlns:r="http://schemas.openxmlformats.org/officeDocument/2006/relationships" r:id="rId225"/>
          <a:extLst>
            <a:ext uri="{FF2B5EF4-FFF2-40B4-BE49-F238E27FC236}">
              <a16:creationId xmlns:a16="http://schemas.microsoft.com/office/drawing/2014/main" id="{AA1FA3A7-15B6-4A6A-B35C-90A850A625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501" name="AutoShape 205" descr="USA">
          <a:hlinkClick xmlns:r="http://schemas.openxmlformats.org/officeDocument/2006/relationships" r:id="rId203"/>
          <a:extLst>
            <a:ext uri="{FF2B5EF4-FFF2-40B4-BE49-F238E27FC236}">
              <a16:creationId xmlns:a16="http://schemas.microsoft.com/office/drawing/2014/main" id="{2B5F5702-3BB4-4375-AFFA-6C03ECD336E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2" name="AutoShape 155" descr="USA">
          <a:hlinkClick xmlns:r="http://schemas.openxmlformats.org/officeDocument/2006/relationships" r:id="rId154"/>
          <a:extLst>
            <a:ext uri="{FF2B5EF4-FFF2-40B4-BE49-F238E27FC236}">
              <a16:creationId xmlns:a16="http://schemas.microsoft.com/office/drawing/2014/main" id="{75269334-C340-41D0-8097-9EDDB333A3B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161</xdr:row>
      <xdr:rowOff>0</xdr:rowOff>
    </xdr:from>
    <xdr:ext cx="304800" cy="283210"/>
    <xdr:sp macro="" textlink="">
      <xdr:nvSpPr>
        <xdr:cNvPr id="503" name="AutoShape 205" descr="USA">
          <a:hlinkClick xmlns:r="http://schemas.openxmlformats.org/officeDocument/2006/relationships" r:id="rId203"/>
          <a:extLst>
            <a:ext uri="{FF2B5EF4-FFF2-40B4-BE49-F238E27FC236}">
              <a16:creationId xmlns:a16="http://schemas.microsoft.com/office/drawing/2014/main" id="{11E2AAF0-F011-41BF-B7B4-D4C8282207DD}"/>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4" name="AutoShape 227" descr="USA">
          <a:hlinkClick xmlns:r="http://schemas.openxmlformats.org/officeDocument/2006/relationships" r:id="rId225"/>
          <a:extLst>
            <a:ext uri="{FF2B5EF4-FFF2-40B4-BE49-F238E27FC236}">
              <a16:creationId xmlns:a16="http://schemas.microsoft.com/office/drawing/2014/main" id="{9A8EFF82-C2F6-4660-A066-ADDDC2C31A9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5" name="AutoShape 205" descr="USA">
          <a:hlinkClick xmlns:r="http://schemas.openxmlformats.org/officeDocument/2006/relationships" r:id="rId203"/>
          <a:extLst>
            <a:ext uri="{FF2B5EF4-FFF2-40B4-BE49-F238E27FC236}">
              <a16:creationId xmlns:a16="http://schemas.microsoft.com/office/drawing/2014/main" id="{19B7F277-A640-4407-9A33-9A3533584F6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06" name="AutoShape 155" descr="USA">
          <a:hlinkClick xmlns:r="http://schemas.openxmlformats.org/officeDocument/2006/relationships" r:id="rId154"/>
          <a:extLst>
            <a:ext uri="{FF2B5EF4-FFF2-40B4-BE49-F238E27FC236}">
              <a16:creationId xmlns:a16="http://schemas.microsoft.com/office/drawing/2014/main" id="{DB060D93-1569-418A-AD49-C229E37B6FC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162</xdr:row>
      <xdr:rowOff>0</xdr:rowOff>
    </xdr:from>
    <xdr:ext cx="304800" cy="283210"/>
    <xdr:sp macro="" textlink="">
      <xdr:nvSpPr>
        <xdr:cNvPr id="507" name="AutoShape 205" descr="USA">
          <a:hlinkClick xmlns:r="http://schemas.openxmlformats.org/officeDocument/2006/relationships" r:id="rId203"/>
          <a:extLst>
            <a:ext uri="{FF2B5EF4-FFF2-40B4-BE49-F238E27FC236}">
              <a16:creationId xmlns:a16="http://schemas.microsoft.com/office/drawing/2014/main" id="{64434404-BDAA-4A60-B0DC-9A2415BC6A73}"/>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08" name="AutoShape 227" descr="USA">
          <a:hlinkClick xmlns:r="http://schemas.openxmlformats.org/officeDocument/2006/relationships" r:id="rId225"/>
          <a:extLst>
            <a:ext uri="{FF2B5EF4-FFF2-40B4-BE49-F238E27FC236}">
              <a16:creationId xmlns:a16="http://schemas.microsoft.com/office/drawing/2014/main" id="{BE21F601-000B-4EA9-A0F4-E23DA7CF7A9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09" name="AutoShape 205" descr="USA">
          <a:hlinkClick xmlns:r="http://schemas.openxmlformats.org/officeDocument/2006/relationships" r:id="rId203"/>
          <a:extLst>
            <a:ext uri="{FF2B5EF4-FFF2-40B4-BE49-F238E27FC236}">
              <a16:creationId xmlns:a16="http://schemas.microsoft.com/office/drawing/2014/main" id="{5074CCF4-56B6-43A9-95B3-EA12C0F32D9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0" name="AutoShape 155" descr="USA">
          <a:hlinkClick xmlns:r="http://schemas.openxmlformats.org/officeDocument/2006/relationships" r:id="rId154"/>
          <a:extLst>
            <a:ext uri="{FF2B5EF4-FFF2-40B4-BE49-F238E27FC236}">
              <a16:creationId xmlns:a16="http://schemas.microsoft.com/office/drawing/2014/main" id="{B5A648B4-96A7-47A4-B227-C0B0445FF34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163</xdr:row>
      <xdr:rowOff>0</xdr:rowOff>
    </xdr:from>
    <xdr:ext cx="304800" cy="283210"/>
    <xdr:sp macro="" textlink="">
      <xdr:nvSpPr>
        <xdr:cNvPr id="511" name="AutoShape 205" descr="USA">
          <a:hlinkClick xmlns:r="http://schemas.openxmlformats.org/officeDocument/2006/relationships" r:id="rId203"/>
          <a:extLst>
            <a:ext uri="{FF2B5EF4-FFF2-40B4-BE49-F238E27FC236}">
              <a16:creationId xmlns:a16="http://schemas.microsoft.com/office/drawing/2014/main" id="{03F8EE8F-A376-4BA3-8E03-7C872862FD6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2" name="AutoShape 227" descr="USA">
          <a:hlinkClick xmlns:r="http://schemas.openxmlformats.org/officeDocument/2006/relationships" r:id="rId225"/>
          <a:extLst>
            <a:ext uri="{FF2B5EF4-FFF2-40B4-BE49-F238E27FC236}">
              <a16:creationId xmlns:a16="http://schemas.microsoft.com/office/drawing/2014/main" id="{1A30E95A-29B5-4F41-AA52-0C00112E0CA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3" name="AutoShape 205" descr="USA">
          <a:hlinkClick xmlns:r="http://schemas.openxmlformats.org/officeDocument/2006/relationships" r:id="rId203"/>
          <a:extLst>
            <a:ext uri="{FF2B5EF4-FFF2-40B4-BE49-F238E27FC236}">
              <a16:creationId xmlns:a16="http://schemas.microsoft.com/office/drawing/2014/main" id="{F19B70E8-30A3-4553-B9A1-35DC8369968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4" name="AutoShape 155" descr="USA">
          <a:hlinkClick xmlns:r="http://schemas.openxmlformats.org/officeDocument/2006/relationships" r:id="rId154"/>
          <a:extLst>
            <a:ext uri="{FF2B5EF4-FFF2-40B4-BE49-F238E27FC236}">
              <a16:creationId xmlns:a16="http://schemas.microsoft.com/office/drawing/2014/main" id="{A457D68B-C77F-41F9-A3D6-ADB84EEDCD4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164</xdr:row>
      <xdr:rowOff>0</xdr:rowOff>
    </xdr:from>
    <xdr:ext cx="304800" cy="283210"/>
    <xdr:sp macro="" textlink="">
      <xdr:nvSpPr>
        <xdr:cNvPr id="515" name="AutoShape 205" descr="USA">
          <a:hlinkClick xmlns:r="http://schemas.openxmlformats.org/officeDocument/2006/relationships" r:id="rId203"/>
          <a:extLst>
            <a:ext uri="{FF2B5EF4-FFF2-40B4-BE49-F238E27FC236}">
              <a16:creationId xmlns:a16="http://schemas.microsoft.com/office/drawing/2014/main" id="{AF6B68B4-770C-4312-B70C-330EEA91DCE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6" name="AutoShape 227" descr="USA">
          <a:hlinkClick xmlns:r="http://schemas.openxmlformats.org/officeDocument/2006/relationships" r:id="rId225"/>
          <a:extLst>
            <a:ext uri="{FF2B5EF4-FFF2-40B4-BE49-F238E27FC236}">
              <a16:creationId xmlns:a16="http://schemas.microsoft.com/office/drawing/2014/main" id="{C191CCFB-971E-4C8E-BB01-B3B7AAD6CAD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7" name="AutoShape 205" descr="USA">
          <a:hlinkClick xmlns:r="http://schemas.openxmlformats.org/officeDocument/2006/relationships" r:id="rId203"/>
          <a:extLst>
            <a:ext uri="{FF2B5EF4-FFF2-40B4-BE49-F238E27FC236}">
              <a16:creationId xmlns:a16="http://schemas.microsoft.com/office/drawing/2014/main" id="{7D80F64E-CE98-4A5E-9314-F27FAA25A05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18" name="AutoShape 155" descr="USA">
          <a:hlinkClick xmlns:r="http://schemas.openxmlformats.org/officeDocument/2006/relationships" r:id="rId154"/>
          <a:extLst>
            <a:ext uri="{FF2B5EF4-FFF2-40B4-BE49-F238E27FC236}">
              <a16:creationId xmlns:a16="http://schemas.microsoft.com/office/drawing/2014/main" id="{F4425118-3E85-4286-AFC4-B043B52515B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165</xdr:row>
      <xdr:rowOff>0</xdr:rowOff>
    </xdr:from>
    <xdr:ext cx="304800" cy="283210"/>
    <xdr:sp macro="" textlink="">
      <xdr:nvSpPr>
        <xdr:cNvPr id="519" name="AutoShape 205" descr="USA">
          <a:hlinkClick xmlns:r="http://schemas.openxmlformats.org/officeDocument/2006/relationships" r:id="rId203"/>
          <a:extLst>
            <a:ext uri="{FF2B5EF4-FFF2-40B4-BE49-F238E27FC236}">
              <a16:creationId xmlns:a16="http://schemas.microsoft.com/office/drawing/2014/main" id="{644C3F31-44E8-42FD-A153-278B4AECF2C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20" name="AutoShape 227" descr="USA">
          <a:hlinkClick xmlns:r="http://schemas.openxmlformats.org/officeDocument/2006/relationships" r:id="rId225"/>
          <a:extLst>
            <a:ext uri="{FF2B5EF4-FFF2-40B4-BE49-F238E27FC236}">
              <a16:creationId xmlns:a16="http://schemas.microsoft.com/office/drawing/2014/main" id="{DC98A387-EE01-4E48-900E-A9FAAC81221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21" name="AutoShape 205" descr="USA">
          <a:hlinkClick xmlns:r="http://schemas.openxmlformats.org/officeDocument/2006/relationships" r:id="rId203"/>
          <a:extLst>
            <a:ext uri="{FF2B5EF4-FFF2-40B4-BE49-F238E27FC236}">
              <a16:creationId xmlns:a16="http://schemas.microsoft.com/office/drawing/2014/main" id="{AD1ECDBE-374E-43F7-A8DA-F56599E2B04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2" name="AutoShape 155" descr="USA">
          <a:hlinkClick xmlns:r="http://schemas.openxmlformats.org/officeDocument/2006/relationships" r:id="rId154"/>
          <a:extLst>
            <a:ext uri="{FF2B5EF4-FFF2-40B4-BE49-F238E27FC236}">
              <a16:creationId xmlns:a16="http://schemas.microsoft.com/office/drawing/2014/main" id="{15DED235-9B90-4652-A46D-D9ACF5BB36F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166</xdr:row>
      <xdr:rowOff>0</xdr:rowOff>
    </xdr:from>
    <xdr:ext cx="304800" cy="283210"/>
    <xdr:sp macro="" textlink="">
      <xdr:nvSpPr>
        <xdr:cNvPr id="523" name="AutoShape 205" descr="USA">
          <a:hlinkClick xmlns:r="http://schemas.openxmlformats.org/officeDocument/2006/relationships" r:id="rId203"/>
          <a:extLst>
            <a:ext uri="{FF2B5EF4-FFF2-40B4-BE49-F238E27FC236}">
              <a16:creationId xmlns:a16="http://schemas.microsoft.com/office/drawing/2014/main" id="{DB6F2508-FF7B-4F4F-B7BA-849F9A507641}"/>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4" name="AutoShape 227" descr="USA">
          <a:hlinkClick xmlns:r="http://schemas.openxmlformats.org/officeDocument/2006/relationships" r:id="rId225"/>
          <a:extLst>
            <a:ext uri="{FF2B5EF4-FFF2-40B4-BE49-F238E27FC236}">
              <a16:creationId xmlns:a16="http://schemas.microsoft.com/office/drawing/2014/main" id="{27CF3993-7C4B-4813-9F7C-E49C809DF70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5" name="AutoShape 205" descr="USA">
          <a:hlinkClick xmlns:r="http://schemas.openxmlformats.org/officeDocument/2006/relationships" r:id="rId203"/>
          <a:extLst>
            <a:ext uri="{FF2B5EF4-FFF2-40B4-BE49-F238E27FC236}">
              <a16:creationId xmlns:a16="http://schemas.microsoft.com/office/drawing/2014/main" id="{C44D8276-8CEF-47F0-846C-6BEC28C88EA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26" name="AutoShape 155" descr="USA">
          <a:hlinkClick xmlns:r="http://schemas.openxmlformats.org/officeDocument/2006/relationships" r:id="rId154"/>
          <a:extLst>
            <a:ext uri="{FF2B5EF4-FFF2-40B4-BE49-F238E27FC236}">
              <a16:creationId xmlns:a16="http://schemas.microsoft.com/office/drawing/2014/main" id="{B55C4822-D6BE-4641-B322-722BFFE653A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167</xdr:row>
      <xdr:rowOff>0</xdr:rowOff>
    </xdr:from>
    <xdr:ext cx="304800" cy="283210"/>
    <xdr:sp macro="" textlink="">
      <xdr:nvSpPr>
        <xdr:cNvPr id="527" name="AutoShape 205" descr="USA">
          <a:hlinkClick xmlns:r="http://schemas.openxmlformats.org/officeDocument/2006/relationships" r:id="rId203"/>
          <a:extLst>
            <a:ext uri="{FF2B5EF4-FFF2-40B4-BE49-F238E27FC236}">
              <a16:creationId xmlns:a16="http://schemas.microsoft.com/office/drawing/2014/main" id="{72FEDE9E-F7C1-4F16-908E-D73A35F91BD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28" name="AutoShape 227" descr="USA">
          <a:hlinkClick xmlns:r="http://schemas.openxmlformats.org/officeDocument/2006/relationships" r:id="rId225"/>
          <a:extLst>
            <a:ext uri="{FF2B5EF4-FFF2-40B4-BE49-F238E27FC236}">
              <a16:creationId xmlns:a16="http://schemas.microsoft.com/office/drawing/2014/main" id="{569EA29A-DE0B-4D49-A5D9-2C9F4EA9F3D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29" name="AutoShape 205" descr="USA">
          <a:hlinkClick xmlns:r="http://schemas.openxmlformats.org/officeDocument/2006/relationships" r:id="rId203"/>
          <a:extLst>
            <a:ext uri="{FF2B5EF4-FFF2-40B4-BE49-F238E27FC236}">
              <a16:creationId xmlns:a16="http://schemas.microsoft.com/office/drawing/2014/main" id="{8F343FA0-AC5E-458A-983B-07E360A78CB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0" name="AutoShape 155" descr="USA">
          <a:hlinkClick xmlns:r="http://schemas.openxmlformats.org/officeDocument/2006/relationships" r:id="rId154"/>
          <a:extLst>
            <a:ext uri="{FF2B5EF4-FFF2-40B4-BE49-F238E27FC236}">
              <a16:creationId xmlns:a16="http://schemas.microsoft.com/office/drawing/2014/main" id="{C20A6FC9-4F81-4F66-AC37-E9171AFA4E5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168</xdr:row>
      <xdr:rowOff>0</xdr:rowOff>
    </xdr:from>
    <xdr:ext cx="304800" cy="283210"/>
    <xdr:sp macro="" textlink="">
      <xdr:nvSpPr>
        <xdr:cNvPr id="531" name="AutoShape 205" descr="USA">
          <a:hlinkClick xmlns:r="http://schemas.openxmlformats.org/officeDocument/2006/relationships" r:id="rId203"/>
          <a:extLst>
            <a:ext uri="{FF2B5EF4-FFF2-40B4-BE49-F238E27FC236}">
              <a16:creationId xmlns:a16="http://schemas.microsoft.com/office/drawing/2014/main" id="{120E33E7-F5C6-4E1E-93B3-B8393D3B602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2" name="AutoShape 227" descr="USA">
          <a:hlinkClick xmlns:r="http://schemas.openxmlformats.org/officeDocument/2006/relationships" r:id="rId225"/>
          <a:extLst>
            <a:ext uri="{FF2B5EF4-FFF2-40B4-BE49-F238E27FC236}">
              <a16:creationId xmlns:a16="http://schemas.microsoft.com/office/drawing/2014/main" id="{C5DF9432-B929-4185-828E-7251D094F98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3" name="AutoShape 205" descr="USA">
          <a:hlinkClick xmlns:r="http://schemas.openxmlformats.org/officeDocument/2006/relationships" r:id="rId203"/>
          <a:extLst>
            <a:ext uri="{FF2B5EF4-FFF2-40B4-BE49-F238E27FC236}">
              <a16:creationId xmlns:a16="http://schemas.microsoft.com/office/drawing/2014/main" id="{A3C70FC1-117E-4165-B74D-4FF1A5F559F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4" name="AutoShape 155" descr="USA">
          <a:hlinkClick xmlns:r="http://schemas.openxmlformats.org/officeDocument/2006/relationships" r:id="rId154"/>
          <a:extLst>
            <a:ext uri="{FF2B5EF4-FFF2-40B4-BE49-F238E27FC236}">
              <a16:creationId xmlns:a16="http://schemas.microsoft.com/office/drawing/2014/main" id="{E7F912B3-53C7-43D0-8AD7-0C1803CD4C3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169</xdr:row>
      <xdr:rowOff>0</xdr:rowOff>
    </xdr:from>
    <xdr:ext cx="304800" cy="283210"/>
    <xdr:sp macro="" textlink="">
      <xdr:nvSpPr>
        <xdr:cNvPr id="535" name="AutoShape 205" descr="USA">
          <a:hlinkClick xmlns:r="http://schemas.openxmlformats.org/officeDocument/2006/relationships" r:id="rId203"/>
          <a:extLst>
            <a:ext uri="{FF2B5EF4-FFF2-40B4-BE49-F238E27FC236}">
              <a16:creationId xmlns:a16="http://schemas.microsoft.com/office/drawing/2014/main" id="{E84133DB-F603-480B-9564-05275E47822E}"/>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6" name="AutoShape 227" descr="USA">
          <a:hlinkClick xmlns:r="http://schemas.openxmlformats.org/officeDocument/2006/relationships" r:id="rId225"/>
          <a:extLst>
            <a:ext uri="{FF2B5EF4-FFF2-40B4-BE49-F238E27FC236}">
              <a16:creationId xmlns:a16="http://schemas.microsoft.com/office/drawing/2014/main" id="{AF8733D8-D5F8-4097-B0BC-A1C90F54FD5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7" name="AutoShape 205" descr="USA">
          <a:hlinkClick xmlns:r="http://schemas.openxmlformats.org/officeDocument/2006/relationships" r:id="rId203"/>
          <a:extLst>
            <a:ext uri="{FF2B5EF4-FFF2-40B4-BE49-F238E27FC236}">
              <a16:creationId xmlns:a16="http://schemas.microsoft.com/office/drawing/2014/main" id="{F4985CEC-2275-4331-BC36-C44CD41C6F9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38" name="AutoShape 155" descr="USA">
          <a:hlinkClick xmlns:r="http://schemas.openxmlformats.org/officeDocument/2006/relationships" r:id="rId154"/>
          <a:extLst>
            <a:ext uri="{FF2B5EF4-FFF2-40B4-BE49-F238E27FC236}">
              <a16:creationId xmlns:a16="http://schemas.microsoft.com/office/drawing/2014/main" id="{FDDFB3AC-BB18-4B78-B928-C64F8306B65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170</xdr:row>
      <xdr:rowOff>0</xdr:rowOff>
    </xdr:from>
    <xdr:ext cx="304800" cy="283210"/>
    <xdr:sp macro="" textlink="">
      <xdr:nvSpPr>
        <xdr:cNvPr id="539" name="AutoShape 205" descr="USA">
          <a:hlinkClick xmlns:r="http://schemas.openxmlformats.org/officeDocument/2006/relationships" r:id="rId203"/>
          <a:extLst>
            <a:ext uri="{FF2B5EF4-FFF2-40B4-BE49-F238E27FC236}">
              <a16:creationId xmlns:a16="http://schemas.microsoft.com/office/drawing/2014/main" id="{1F688392-6B27-494F-8BDA-BE5D2F49539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40" name="AutoShape 227" descr="USA">
          <a:hlinkClick xmlns:r="http://schemas.openxmlformats.org/officeDocument/2006/relationships" r:id="rId225"/>
          <a:extLst>
            <a:ext uri="{FF2B5EF4-FFF2-40B4-BE49-F238E27FC236}">
              <a16:creationId xmlns:a16="http://schemas.microsoft.com/office/drawing/2014/main" id="{01A80F79-B608-4ABB-8D1A-E5291D11B27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41" name="AutoShape 205" descr="USA">
          <a:hlinkClick xmlns:r="http://schemas.openxmlformats.org/officeDocument/2006/relationships" r:id="rId203"/>
          <a:extLst>
            <a:ext uri="{FF2B5EF4-FFF2-40B4-BE49-F238E27FC236}">
              <a16:creationId xmlns:a16="http://schemas.microsoft.com/office/drawing/2014/main" id="{07378C87-FB5A-4E85-8098-7EF6D5E3B0C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2" name="AutoShape 155" descr="USA">
          <a:hlinkClick xmlns:r="http://schemas.openxmlformats.org/officeDocument/2006/relationships" r:id="rId154"/>
          <a:extLst>
            <a:ext uri="{FF2B5EF4-FFF2-40B4-BE49-F238E27FC236}">
              <a16:creationId xmlns:a16="http://schemas.microsoft.com/office/drawing/2014/main" id="{B48C0365-277B-41D4-A264-DD86BA8FF97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171</xdr:row>
      <xdr:rowOff>0</xdr:rowOff>
    </xdr:from>
    <xdr:ext cx="304800" cy="283210"/>
    <xdr:sp macro="" textlink="">
      <xdr:nvSpPr>
        <xdr:cNvPr id="543" name="AutoShape 205" descr="USA">
          <a:hlinkClick xmlns:r="http://schemas.openxmlformats.org/officeDocument/2006/relationships" r:id="rId203"/>
          <a:extLst>
            <a:ext uri="{FF2B5EF4-FFF2-40B4-BE49-F238E27FC236}">
              <a16:creationId xmlns:a16="http://schemas.microsoft.com/office/drawing/2014/main" id="{3218BC9C-A45A-4283-A6AA-354C2C58940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4" name="AutoShape 227" descr="USA">
          <a:hlinkClick xmlns:r="http://schemas.openxmlformats.org/officeDocument/2006/relationships" r:id="rId225"/>
          <a:extLst>
            <a:ext uri="{FF2B5EF4-FFF2-40B4-BE49-F238E27FC236}">
              <a16:creationId xmlns:a16="http://schemas.microsoft.com/office/drawing/2014/main" id="{5A01A22F-AF14-4FC5-9E5D-3C1648A4F50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5" name="AutoShape 205" descr="USA">
          <a:hlinkClick xmlns:r="http://schemas.openxmlformats.org/officeDocument/2006/relationships" r:id="rId203"/>
          <a:extLst>
            <a:ext uri="{FF2B5EF4-FFF2-40B4-BE49-F238E27FC236}">
              <a16:creationId xmlns:a16="http://schemas.microsoft.com/office/drawing/2014/main" id="{A4774156-E281-402A-BAC4-F67FA27BDCA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46" name="AutoShape 155" descr="USA">
          <a:hlinkClick xmlns:r="http://schemas.openxmlformats.org/officeDocument/2006/relationships" r:id="rId154"/>
          <a:extLst>
            <a:ext uri="{FF2B5EF4-FFF2-40B4-BE49-F238E27FC236}">
              <a16:creationId xmlns:a16="http://schemas.microsoft.com/office/drawing/2014/main" id="{F02332BB-CA9D-45C7-A327-0107411147B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172</xdr:row>
      <xdr:rowOff>0</xdr:rowOff>
    </xdr:from>
    <xdr:ext cx="304800" cy="283210"/>
    <xdr:sp macro="" textlink="">
      <xdr:nvSpPr>
        <xdr:cNvPr id="547" name="AutoShape 205" descr="USA">
          <a:hlinkClick xmlns:r="http://schemas.openxmlformats.org/officeDocument/2006/relationships" r:id="rId203"/>
          <a:extLst>
            <a:ext uri="{FF2B5EF4-FFF2-40B4-BE49-F238E27FC236}">
              <a16:creationId xmlns:a16="http://schemas.microsoft.com/office/drawing/2014/main" id="{46845723-000D-4FA1-8014-511FF1864709}"/>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48" name="AutoShape 227" descr="USA">
          <a:hlinkClick xmlns:r="http://schemas.openxmlformats.org/officeDocument/2006/relationships" r:id="rId225"/>
          <a:extLst>
            <a:ext uri="{FF2B5EF4-FFF2-40B4-BE49-F238E27FC236}">
              <a16:creationId xmlns:a16="http://schemas.microsoft.com/office/drawing/2014/main" id="{72F3E2CB-A294-43EC-B2C6-10D1502130F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49" name="AutoShape 205" descr="USA">
          <a:hlinkClick xmlns:r="http://schemas.openxmlformats.org/officeDocument/2006/relationships" r:id="rId203"/>
          <a:extLst>
            <a:ext uri="{FF2B5EF4-FFF2-40B4-BE49-F238E27FC236}">
              <a16:creationId xmlns:a16="http://schemas.microsoft.com/office/drawing/2014/main" id="{F16C8C92-F9AF-4C10-9F53-C8676FBD1F3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0" name="AutoShape 155" descr="USA">
          <a:hlinkClick xmlns:r="http://schemas.openxmlformats.org/officeDocument/2006/relationships" r:id="rId154"/>
          <a:extLst>
            <a:ext uri="{FF2B5EF4-FFF2-40B4-BE49-F238E27FC236}">
              <a16:creationId xmlns:a16="http://schemas.microsoft.com/office/drawing/2014/main" id="{6E5EA015-CEDF-4B2B-948A-F3226769529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173</xdr:row>
      <xdr:rowOff>0</xdr:rowOff>
    </xdr:from>
    <xdr:ext cx="304800" cy="283210"/>
    <xdr:sp macro="" textlink="">
      <xdr:nvSpPr>
        <xdr:cNvPr id="551" name="AutoShape 205" descr="USA">
          <a:hlinkClick xmlns:r="http://schemas.openxmlformats.org/officeDocument/2006/relationships" r:id="rId203"/>
          <a:extLst>
            <a:ext uri="{FF2B5EF4-FFF2-40B4-BE49-F238E27FC236}">
              <a16:creationId xmlns:a16="http://schemas.microsoft.com/office/drawing/2014/main" id="{762B9BD5-6C71-4DBD-AE76-349411D9EAB0}"/>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2" name="AutoShape 227" descr="USA">
          <a:hlinkClick xmlns:r="http://schemas.openxmlformats.org/officeDocument/2006/relationships" r:id="rId225"/>
          <a:extLst>
            <a:ext uri="{FF2B5EF4-FFF2-40B4-BE49-F238E27FC236}">
              <a16:creationId xmlns:a16="http://schemas.microsoft.com/office/drawing/2014/main" id="{D625A717-2461-40D2-972C-372FA5BDA94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3" name="AutoShape 205" descr="USA">
          <a:hlinkClick xmlns:r="http://schemas.openxmlformats.org/officeDocument/2006/relationships" r:id="rId203"/>
          <a:extLst>
            <a:ext uri="{FF2B5EF4-FFF2-40B4-BE49-F238E27FC236}">
              <a16:creationId xmlns:a16="http://schemas.microsoft.com/office/drawing/2014/main" id="{0EBC278F-EE40-47E6-BB24-A50FBDFF5B7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4" name="AutoShape 155" descr="USA">
          <a:hlinkClick xmlns:r="http://schemas.openxmlformats.org/officeDocument/2006/relationships" r:id="rId154"/>
          <a:extLst>
            <a:ext uri="{FF2B5EF4-FFF2-40B4-BE49-F238E27FC236}">
              <a16:creationId xmlns:a16="http://schemas.microsoft.com/office/drawing/2014/main" id="{1A125CC2-10BD-4A9B-B644-01986C415AB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174</xdr:row>
      <xdr:rowOff>0</xdr:rowOff>
    </xdr:from>
    <xdr:ext cx="304800" cy="283210"/>
    <xdr:sp macro="" textlink="">
      <xdr:nvSpPr>
        <xdr:cNvPr id="555" name="AutoShape 205" descr="USA">
          <a:hlinkClick xmlns:r="http://schemas.openxmlformats.org/officeDocument/2006/relationships" r:id="rId203"/>
          <a:extLst>
            <a:ext uri="{FF2B5EF4-FFF2-40B4-BE49-F238E27FC236}">
              <a16:creationId xmlns:a16="http://schemas.microsoft.com/office/drawing/2014/main" id="{7DF242B9-AD63-4E19-AC91-402E904D5E95}"/>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6" name="AutoShape 227" descr="USA">
          <a:hlinkClick xmlns:r="http://schemas.openxmlformats.org/officeDocument/2006/relationships" r:id="rId225"/>
          <a:extLst>
            <a:ext uri="{FF2B5EF4-FFF2-40B4-BE49-F238E27FC236}">
              <a16:creationId xmlns:a16="http://schemas.microsoft.com/office/drawing/2014/main" id="{8859486D-67B5-44C5-8A7E-DEF3B1A0B9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7" name="AutoShape 205" descr="USA">
          <a:hlinkClick xmlns:r="http://schemas.openxmlformats.org/officeDocument/2006/relationships" r:id="rId203"/>
          <a:extLst>
            <a:ext uri="{FF2B5EF4-FFF2-40B4-BE49-F238E27FC236}">
              <a16:creationId xmlns:a16="http://schemas.microsoft.com/office/drawing/2014/main" id="{BE517E2F-22F0-47D9-A7D3-9254B69820D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58" name="AutoShape 155" descr="USA">
          <a:hlinkClick xmlns:r="http://schemas.openxmlformats.org/officeDocument/2006/relationships" r:id="rId154"/>
          <a:extLst>
            <a:ext uri="{FF2B5EF4-FFF2-40B4-BE49-F238E27FC236}">
              <a16:creationId xmlns:a16="http://schemas.microsoft.com/office/drawing/2014/main" id="{0755CB57-948D-4943-AC15-657BA795BFA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175</xdr:row>
      <xdr:rowOff>0</xdr:rowOff>
    </xdr:from>
    <xdr:ext cx="304800" cy="283210"/>
    <xdr:sp macro="" textlink="">
      <xdr:nvSpPr>
        <xdr:cNvPr id="559" name="AutoShape 205" descr="USA">
          <a:hlinkClick xmlns:r="http://schemas.openxmlformats.org/officeDocument/2006/relationships" r:id="rId203"/>
          <a:extLst>
            <a:ext uri="{FF2B5EF4-FFF2-40B4-BE49-F238E27FC236}">
              <a16:creationId xmlns:a16="http://schemas.microsoft.com/office/drawing/2014/main" id="{5ACAD204-4822-4B18-AF5B-F2C07B5687E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60" name="AutoShape 227" descr="USA">
          <a:hlinkClick xmlns:r="http://schemas.openxmlformats.org/officeDocument/2006/relationships" r:id="rId225"/>
          <a:extLst>
            <a:ext uri="{FF2B5EF4-FFF2-40B4-BE49-F238E27FC236}">
              <a16:creationId xmlns:a16="http://schemas.microsoft.com/office/drawing/2014/main" id="{F7A2104D-97EE-422F-9551-4791D183DCC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61" name="AutoShape 205" descr="USA">
          <a:hlinkClick xmlns:r="http://schemas.openxmlformats.org/officeDocument/2006/relationships" r:id="rId203"/>
          <a:extLst>
            <a:ext uri="{FF2B5EF4-FFF2-40B4-BE49-F238E27FC236}">
              <a16:creationId xmlns:a16="http://schemas.microsoft.com/office/drawing/2014/main" id="{59CF0EEA-029D-4089-9227-1F2D982480D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2" name="AutoShape 155" descr="USA">
          <a:hlinkClick xmlns:r="http://schemas.openxmlformats.org/officeDocument/2006/relationships" r:id="rId154"/>
          <a:extLst>
            <a:ext uri="{FF2B5EF4-FFF2-40B4-BE49-F238E27FC236}">
              <a16:creationId xmlns:a16="http://schemas.microsoft.com/office/drawing/2014/main" id="{50B5C1F4-BF84-4DAB-B21E-2553503F622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176</xdr:row>
      <xdr:rowOff>0</xdr:rowOff>
    </xdr:from>
    <xdr:ext cx="304800" cy="283210"/>
    <xdr:sp macro="" textlink="">
      <xdr:nvSpPr>
        <xdr:cNvPr id="563" name="AutoShape 205" descr="USA">
          <a:hlinkClick xmlns:r="http://schemas.openxmlformats.org/officeDocument/2006/relationships" r:id="rId203"/>
          <a:extLst>
            <a:ext uri="{FF2B5EF4-FFF2-40B4-BE49-F238E27FC236}">
              <a16:creationId xmlns:a16="http://schemas.microsoft.com/office/drawing/2014/main" id="{BC8AAEBB-42C8-4AAC-9C1E-B3C87FD54486}"/>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4" name="AutoShape 227" descr="USA">
          <a:hlinkClick xmlns:r="http://schemas.openxmlformats.org/officeDocument/2006/relationships" r:id="rId225"/>
          <a:extLst>
            <a:ext uri="{FF2B5EF4-FFF2-40B4-BE49-F238E27FC236}">
              <a16:creationId xmlns:a16="http://schemas.microsoft.com/office/drawing/2014/main" id="{D0AA5005-1679-40C6-8D73-426B4929649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5" name="AutoShape 205" descr="USA">
          <a:hlinkClick xmlns:r="http://schemas.openxmlformats.org/officeDocument/2006/relationships" r:id="rId203"/>
          <a:extLst>
            <a:ext uri="{FF2B5EF4-FFF2-40B4-BE49-F238E27FC236}">
              <a16:creationId xmlns:a16="http://schemas.microsoft.com/office/drawing/2014/main" id="{0D135944-06F5-4A5B-AAAB-12E470CB56D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66" name="AutoShape 155" descr="USA">
          <a:hlinkClick xmlns:r="http://schemas.openxmlformats.org/officeDocument/2006/relationships" r:id="rId154"/>
          <a:extLst>
            <a:ext uri="{FF2B5EF4-FFF2-40B4-BE49-F238E27FC236}">
              <a16:creationId xmlns:a16="http://schemas.microsoft.com/office/drawing/2014/main" id="{1B568C7C-CB95-4591-96CD-54534AEBE04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177</xdr:row>
      <xdr:rowOff>0</xdr:rowOff>
    </xdr:from>
    <xdr:ext cx="304800" cy="283210"/>
    <xdr:sp macro="" textlink="">
      <xdr:nvSpPr>
        <xdr:cNvPr id="567" name="AutoShape 205" descr="USA">
          <a:hlinkClick xmlns:r="http://schemas.openxmlformats.org/officeDocument/2006/relationships" r:id="rId203"/>
          <a:extLst>
            <a:ext uri="{FF2B5EF4-FFF2-40B4-BE49-F238E27FC236}">
              <a16:creationId xmlns:a16="http://schemas.microsoft.com/office/drawing/2014/main" id="{1B1EBC31-A73F-4F24-BCFA-ABC718DE4173}"/>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68" name="AutoShape 227" descr="USA">
          <a:hlinkClick xmlns:r="http://schemas.openxmlformats.org/officeDocument/2006/relationships" r:id="rId225"/>
          <a:extLst>
            <a:ext uri="{FF2B5EF4-FFF2-40B4-BE49-F238E27FC236}">
              <a16:creationId xmlns:a16="http://schemas.microsoft.com/office/drawing/2014/main" id="{82E51EAB-7254-4AAA-A6A0-A5080740A5E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69" name="AutoShape 205" descr="USA">
          <a:hlinkClick xmlns:r="http://schemas.openxmlformats.org/officeDocument/2006/relationships" r:id="rId203"/>
          <a:extLst>
            <a:ext uri="{FF2B5EF4-FFF2-40B4-BE49-F238E27FC236}">
              <a16:creationId xmlns:a16="http://schemas.microsoft.com/office/drawing/2014/main" id="{C695EE8E-96B6-4D86-9558-2C5D8F11C29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0" name="AutoShape 155" descr="USA">
          <a:hlinkClick xmlns:r="http://schemas.openxmlformats.org/officeDocument/2006/relationships" r:id="rId154"/>
          <a:extLst>
            <a:ext uri="{FF2B5EF4-FFF2-40B4-BE49-F238E27FC236}">
              <a16:creationId xmlns:a16="http://schemas.microsoft.com/office/drawing/2014/main" id="{1EDA03EB-95E8-432D-8FE9-F8DC7919E95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178</xdr:row>
      <xdr:rowOff>0</xdr:rowOff>
    </xdr:from>
    <xdr:ext cx="304800" cy="283210"/>
    <xdr:sp macro="" textlink="">
      <xdr:nvSpPr>
        <xdr:cNvPr id="571" name="AutoShape 205" descr="USA">
          <a:hlinkClick xmlns:r="http://schemas.openxmlformats.org/officeDocument/2006/relationships" r:id="rId203"/>
          <a:extLst>
            <a:ext uri="{FF2B5EF4-FFF2-40B4-BE49-F238E27FC236}">
              <a16:creationId xmlns:a16="http://schemas.microsoft.com/office/drawing/2014/main" id="{60293282-EB80-4E7E-8405-24FBACE1D7E6}"/>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2" name="AutoShape 227" descr="USA">
          <a:hlinkClick xmlns:r="http://schemas.openxmlformats.org/officeDocument/2006/relationships" r:id="rId225"/>
          <a:extLst>
            <a:ext uri="{FF2B5EF4-FFF2-40B4-BE49-F238E27FC236}">
              <a16:creationId xmlns:a16="http://schemas.microsoft.com/office/drawing/2014/main" id="{7C0C3718-D484-4E06-AD0B-24B6BE56190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3" name="AutoShape 205" descr="USA">
          <a:hlinkClick xmlns:r="http://schemas.openxmlformats.org/officeDocument/2006/relationships" r:id="rId203"/>
          <a:extLst>
            <a:ext uri="{FF2B5EF4-FFF2-40B4-BE49-F238E27FC236}">
              <a16:creationId xmlns:a16="http://schemas.microsoft.com/office/drawing/2014/main" id="{A7DD6244-FDCD-4386-A321-DE11887B9DB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4" name="AutoShape 155" descr="USA">
          <a:hlinkClick xmlns:r="http://schemas.openxmlformats.org/officeDocument/2006/relationships" r:id="rId154"/>
          <a:extLst>
            <a:ext uri="{FF2B5EF4-FFF2-40B4-BE49-F238E27FC236}">
              <a16:creationId xmlns:a16="http://schemas.microsoft.com/office/drawing/2014/main" id="{A1791246-A462-47AC-B600-1847272B535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179</xdr:row>
      <xdr:rowOff>0</xdr:rowOff>
    </xdr:from>
    <xdr:ext cx="304800" cy="283210"/>
    <xdr:sp macro="" textlink="">
      <xdr:nvSpPr>
        <xdr:cNvPr id="575" name="AutoShape 205" descr="USA">
          <a:hlinkClick xmlns:r="http://schemas.openxmlformats.org/officeDocument/2006/relationships" r:id="rId203"/>
          <a:extLst>
            <a:ext uri="{FF2B5EF4-FFF2-40B4-BE49-F238E27FC236}">
              <a16:creationId xmlns:a16="http://schemas.microsoft.com/office/drawing/2014/main" id="{D3634BD0-BC14-4CA5-8FAB-80AB8AE79CA4}"/>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6" name="AutoShape 227" descr="USA">
          <a:hlinkClick xmlns:r="http://schemas.openxmlformats.org/officeDocument/2006/relationships" r:id="rId225"/>
          <a:extLst>
            <a:ext uri="{FF2B5EF4-FFF2-40B4-BE49-F238E27FC236}">
              <a16:creationId xmlns:a16="http://schemas.microsoft.com/office/drawing/2014/main" id="{C8375A1F-B5C1-4C41-ACC2-E5618B7F2B3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7" name="AutoShape 205" descr="USA">
          <a:hlinkClick xmlns:r="http://schemas.openxmlformats.org/officeDocument/2006/relationships" r:id="rId203"/>
          <a:extLst>
            <a:ext uri="{FF2B5EF4-FFF2-40B4-BE49-F238E27FC236}">
              <a16:creationId xmlns:a16="http://schemas.microsoft.com/office/drawing/2014/main" id="{03EA0E3E-450E-477A-B211-A245D620B957}"/>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78" name="AutoShape 155" descr="USA">
          <a:hlinkClick xmlns:r="http://schemas.openxmlformats.org/officeDocument/2006/relationships" r:id="rId154"/>
          <a:extLst>
            <a:ext uri="{FF2B5EF4-FFF2-40B4-BE49-F238E27FC236}">
              <a16:creationId xmlns:a16="http://schemas.microsoft.com/office/drawing/2014/main" id="{C8719A70-A5F9-4501-A6EF-E7B47B728AF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180</xdr:row>
      <xdr:rowOff>0</xdr:rowOff>
    </xdr:from>
    <xdr:ext cx="304800" cy="283210"/>
    <xdr:sp macro="" textlink="">
      <xdr:nvSpPr>
        <xdr:cNvPr id="579" name="AutoShape 205" descr="USA">
          <a:hlinkClick xmlns:r="http://schemas.openxmlformats.org/officeDocument/2006/relationships" r:id="rId203"/>
          <a:extLst>
            <a:ext uri="{FF2B5EF4-FFF2-40B4-BE49-F238E27FC236}">
              <a16:creationId xmlns:a16="http://schemas.microsoft.com/office/drawing/2014/main" id="{53B0B189-B2A8-4E59-900E-BBBEA5A81F99}"/>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80" name="AutoShape 227" descr="USA">
          <a:hlinkClick xmlns:r="http://schemas.openxmlformats.org/officeDocument/2006/relationships" r:id="rId225"/>
          <a:extLst>
            <a:ext uri="{FF2B5EF4-FFF2-40B4-BE49-F238E27FC236}">
              <a16:creationId xmlns:a16="http://schemas.microsoft.com/office/drawing/2014/main" id="{9C1ADA32-2F20-47B0-8F79-216FCD067500}"/>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81" name="AutoShape 205" descr="USA">
          <a:hlinkClick xmlns:r="http://schemas.openxmlformats.org/officeDocument/2006/relationships" r:id="rId203"/>
          <a:extLst>
            <a:ext uri="{FF2B5EF4-FFF2-40B4-BE49-F238E27FC236}">
              <a16:creationId xmlns:a16="http://schemas.microsoft.com/office/drawing/2014/main" id="{8E9A992F-7E2F-4FCB-AC9C-EAFC6812685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2" name="AutoShape 155" descr="USA">
          <a:hlinkClick xmlns:r="http://schemas.openxmlformats.org/officeDocument/2006/relationships" r:id="rId154"/>
          <a:extLst>
            <a:ext uri="{FF2B5EF4-FFF2-40B4-BE49-F238E27FC236}">
              <a16:creationId xmlns:a16="http://schemas.microsoft.com/office/drawing/2014/main" id="{B74CE571-2184-4A4D-806A-5CC9A50151E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181</xdr:row>
      <xdr:rowOff>0</xdr:rowOff>
    </xdr:from>
    <xdr:ext cx="304800" cy="283210"/>
    <xdr:sp macro="" textlink="">
      <xdr:nvSpPr>
        <xdr:cNvPr id="583" name="AutoShape 205" descr="USA">
          <a:hlinkClick xmlns:r="http://schemas.openxmlformats.org/officeDocument/2006/relationships" r:id="rId203"/>
          <a:extLst>
            <a:ext uri="{FF2B5EF4-FFF2-40B4-BE49-F238E27FC236}">
              <a16:creationId xmlns:a16="http://schemas.microsoft.com/office/drawing/2014/main" id="{41CD5433-BF2F-4F14-A958-5D8835356A8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4" name="AutoShape 227" descr="USA">
          <a:hlinkClick xmlns:r="http://schemas.openxmlformats.org/officeDocument/2006/relationships" r:id="rId225"/>
          <a:extLst>
            <a:ext uri="{FF2B5EF4-FFF2-40B4-BE49-F238E27FC236}">
              <a16:creationId xmlns:a16="http://schemas.microsoft.com/office/drawing/2014/main" id="{97950A78-FACE-4843-B601-E5D33398261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5" name="AutoShape 205" descr="USA">
          <a:hlinkClick xmlns:r="http://schemas.openxmlformats.org/officeDocument/2006/relationships" r:id="rId203"/>
          <a:extLst>
            <a:ext uri="{FF2B5EF4-FFF2-40B4-BE49-F238E27FC236}">
              <a16:creationId xmlns:a16="http://schemas.microsoft.com/office/drawing/2014/main" id="{C6122EFB-2F13-4B7D-A22A-B078015859A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86" name="AutoShape 155" descr="USA">
          <a:hlinkClick xmlns:r="http://schemas.openxmlformats.org/officeDocument/2006/relationships" r:id="rId154"/>
          <a:extLst>
            <a:ext uri="{FF2B5EF4-FFF2-40B4-BE49-F238E27FC236}">
              <a16:creationId xmlns:a16="http://schemas.microsoft.com/office/drawing/2014/main" id="{6A8A6E5F-CC4F-47A4-9389-8D4C19BDFD3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182</xdr:row>
      <xdr:rowOff>0</xdr:rowOff>
    </xdr:from>
    <xdr:ext cx="304800" cy="283210"/>
    <xdr:sp macro="" textlink="">
      <xdr:nvSpPr>
        <xdr:cNvPr id="587" name="AutoShape 205" descr="USA">
          <a:hlinkClick xmlns:r="http://schemas.openxmlformats.org/officeDocument/2006/relationships" r:id="rId203"/>
          <a:extLst>
            <a:ext uri="{FF2B5EF4-FFF2-40B4-BE49-F238E27FC236}">
              <a16:creationId xmlns:a16="http://schemas.microsoft.com/office/drawing/2014/main" id="{71574EDF-2A6E-4264-ABB5-B5DF87FCDB8D}"/>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88" name="AutoShape 227" descr="USA">
          <a:hlinkClick xmlns:r="http://schemas.openxmlformats.org/officeDocument/2006/relationships" r:id="rId225"/>
          <a:extLst>
            <a:ext uri="{FF2B5EF4-FFF2-40B4-BE49-F238E27FC236}">
              <a16:creationId xmlns:a16="http://schemas.microsoft.com/office/drawing/2014/main" id="{6D2E98CF-CF28-44A4-BA5A-AEAFD0268C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89" name="AutoShape 205" descr="USA">
          <a:hlinkClick xmlns:r="http://schemas.openxmlformats.org/officeDocument/2006/relationships" r:id="rId203"/>
          <a:extLst>
            <a:ext uri="{FF2B5EF4-FFF2-40B4-BE49-F238E27FC236}">
              <a16:creationId xmlns:a16="http://schemas.microsoft.com/office/drawing/2014/main" id="{5CB342CB-4F02-4971-AA92-0B640B509ADB}"/>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0" name="AutoShape 155" descr="USA">
          <a:hlinkClick xmlns:r="http://schemas.openxmlformats.org/officeDocument/2006/relationships" r:id="rId154"/>
          <a:extLst>
            <a:ext uri="{FF2B5EF4-FFF2-40B4-BE49-F238E27FC236}">
              <a16:creationId xmlns:a16="http://schemas.microsoft.com/office/drawing/2014/main" id="{4BF8F40D-592E-4BC0-9EBD-34E534D1094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183</xdr:row>
      <xdr:rowOff>0</xdr:rowOff>
    </xdr:from>
    <xdr:ext cx="304800" cy="283210"/>
    <xdr:sp macro="" textlink="">
      <xdr:nvSpPr>
        <xdr:cNvPr id="591" name="AutoShape 205" descr="USA">
          <a:hlinkClick xmlns:r="http://schemas.openxmlformats.org/officeDocument/2006/relationships" r:id="rId203"/>
          <a:extLst>
            <a:ext uri="{FF2B5EF4-FFF2-40B4-BE49-F238E27FC236}">
              <a16:creationId xmlns:a16="http://schemas.microsoft.com/office/drawing/2014/main" id="{C2842B61-4994-4D04-9D43-BD2EAAE3D1CC}"/>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2" name="AutoShape 227" descr="USA">
          <a:hlinkClick xmlns:r="http://schemas.openxmlformats.org/officeDocument/2006/relationships" r:id="rId225"/>
          <a:extLst>
            <a:ext uri="{FF2B5EF4-FFF2-40B4-BE49-F238E27FC236}">
              <a16:creationId xmlns:a16="http://schemas.microsoft.com/office/drawing/2014/main" id="{B4026B55-844F-419A-91E7-870E1D83332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3" name="AutoShape 205" descr="USA">
          <a:hlinkClick xmlns:r="http://schemas.openxmlformats.org/officeDocument/2006/relationships" r:id="rId203"/>
          <a:extLst>
            <a:ext uri="{FF2B5EF4-FFF2-40B4-BE49-F238E27FC236}">
              <a16:creationId xmlns:a16="http://schemas.microsoft.com/office/drawing/2014/main" id="{61C58995-6026-41EE-8AD9-2390F93FDB3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4" name="AutoShape 155" descr="USA">
          <a:hlinkClick xmlns:r="http://schemas.openxmlformats.org/officeDocument/2006/relationships" r:id="rId154"/>
          <a:extLst>
            <a:ext uri="{FF2B5EF4-FFF2-40B4-BE49-F238E27FC236}">
              <a16:creationId xmlns:a16="http://schemas.microsoft.com/office/drawing/2014/main" id="{BE3F831F-2364-4F7C-A139-8DF425F912A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184</xdr:row>
      <xdr:rowOff>0</xdr:rowOff>
    </xdr:from>
    <xdr:ext cx="304800" cy="283210"/>
    <xdr:sp macro="" textlink="">
      <xdr:nvSpPr>
        <xdr:cNvPr id="595" name="AutoShape 205" descr="USA">
          <a:hlinkClick xmlns:r="http://schemas.openxmlformats.org/officeDocument/2006/relationships" r:id="rId203"/>
          <a:extLst>
            <a:ext uri="{FF2B5EF4-FFF2-40B4-BE49-F238E27FC236}">
              <a16:creationId xmlns:a16="http://schemas.microsoft.com/office/drawing/2014/main" id="{6B3DD685-EC7A-45AA-8DE0-FCCAA9F8DC77}"/>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6" name="AutoShape 227" descr="USA">
          <a:hlinkClick xmlns:r="http://schemas.openxmlformats.org/officeDocument/2006/relationships" r:id="rId225"/>
          <a:extLst>
            <a:ext uri="{FF2B5EF4-FFF2-40B4-BE49-F238E27FC236}">
              <a16:creationId xmlns:a16="http://schemas.microsoft.com/office/drawing/2014/main" id="{9053349B-CB95-4BA1-BD96-83E5D7C36DE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7" name="AutoShape 205" descr="USA">
          <a:hlinkClick xmlns:r="http://schemas.openxmlformats.org/officeDocument/2006/relationships" r:id="rId203"/>
          <a:extLst>
            <a:ext uri="{FF2B5EF4-FFF2-40B4-BE49-F238E27FC236}">
              <a16:creationId xmlns:a16="http://schemas.microsoft.com/office/drawing/2014/main" id="{0CDD07A2-82AE-47B4-877E-D83B957F041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598" name="AutoShape 155" descr="USA">
          <a:hlinkClick xmlns:r="http://schemas.openxmlformats.org/officeDocument/2006/relationships" r:id="rId154"/>
          <a:extLst>
            <a:ext uri="{FF2B5EF4-FFF2-40B4-BE49-F238E27FC236}">
              <a16:creationId xmlns:a16="http://schemas.microsoft.com/office/drawing/2014/main" id="{33460DA3-F416-4747-8941-750397B51BFA}"/>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185</xdr:row>
      <xdr:rowOff>0</xdr:rowOff>
    </xdr:from>
    <xdr:ext cx="304800" cy="283210"/>
    <xdr:sp macro="" textlink="">
      <xdr:nvSpPr>
        <xdr:cNvPr id="599" name="AutoShape 205" descr="USA">
          <a:hlinkClick xmlns:r="http://schemas.openxmlformats.org/officeDocument/2006/relationships" r:id="rId203"/>
          <a:extLst>
            <a:ext uri="{FF2B5EF4-FFF2-40B4-BE49-F238E27FC236}">
              <a16:creationId xmlns:a16="http://schemas.microsoft.com/office/drawing/2014/main" id="{15987DB7-68B6-4DC1-80BB-30A9C663E8F8}"/>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600" name="AutoShape 227" descr="USA">
          <a:hlinkClick xmlns:r="http://schemas.openxmlformats.org/officeDocument/2006/relationships" r:id="rId225"/>
          <a:extLst>
            <a:ext uri="{FF2B5EF4-FFF2-40B4-BE49-F238E27FC236}">
              <a16:creationId xmlns:a16="http://schemas.microsoft.com/office/drawing/2014/main" id="{5BF64E75-F15F-4CF4-A817-18DC19C77B2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601" name="AutoShape 205" descr="USA">
          <a:hlinkClick xmlns:r="http://schemas.openxmlformats.org/officeDocument/2006/relationships" r:id="rId203"/>
          <a:extLst>
            <a:ext uri="{FF2B5EF4-FFF2-40B4-BE49-F238E27FC236}">
              <a16:creationId xmlns:a16="http://schemas.microsoft.com/office/drawing/2014/main" id="{E60F5919-3437-4BC2-A802-AEE55B4E451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2" name="AutoShape 155" descr="USA">
          <a:hlinkClick xmlns:r="http://schemas.openxmlformats.org/officeDocument/2006/relationships" r:id="rId154"/>
          <a:extLst>
            <a:ext uri="{FF2B5EF4-FFF2-40B4-BE49-F238E27FC236}">
              <a16:creationId xmlns:a16="http://schemas.microsoft.com/office/drawing/2014/main" id="{C4B3DFE2-622C-4EB1-A93C-EB4E78E05B3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186</xdr:row>
      <xdr:rowOff>0</xdr:rowOff>
    </xdr:from>
    <xdr:ext cx="304800" cy="283210"/>
    <xdr:sp macro="" textlink="">
      <xdr:nvSpPr>
        <xdr:cNvPr id="603" name="AutoShape 205" descr="USA">
          <a:hlinkClick xmlns:r="http://schemas.openxmlformats.org/officeDocument/2006/relationships" r:id="rId203"/>
          <a:extLst>
            <a:ext uri="{FF2B5EF4-FFF2-40B4-BE49-F238E27FC236}">
              <a16:creationId xmlns:a16="http://schemas.microsoft.com/office/drawing/2014/main" id="{E29ED49E-AE45-46B2-AC43-BBFCA8A24F0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4" name="AutoShape 227" descr="USA">
          <a:hlinkClick xmlns:r="http://schemas.openxmlformats.org/officeDocument/2006/relationships" r:id="rId225"/>
          <a:extLst>
            <a:ext uri="{FF2B5EF4-FFF2-40B4-BE49-F238E27FC236}">
              <a16:creationId xmlns:a16="http://schemas.microsoft.com/office/drawing/2014/main" id="{2449608F-4FD6-4E55-AA88-B8CB88B1EFAD}"/>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5" name="AutoShape 205" descr="USA">
          <a:hlinkClick xmlns:r="http://schemas.openxmlformats.org/officeDocument/2006/relationships" r:id="rId203"/>
          <a:extLst>
            <a:ext uri="{FF2B5EF4-FFF2-40B4-BE49-F238E27FC236}">
              <a16:creationId xmlns:a16="http://schemas.microsoft.com/office/drawing/2014/main" id="{4CA9DEDB-F51A-4D41-BF34-251F9F23AEA5}"/>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06" name="AutoShape 155" descr="USA">
          <a:hlinkClick xmlns:r="http://schemas.openxmlformats.org/officeDocument/2006/relationships" r:id="rId154"/>
          <a:extLst>
            <a:ext uri="{FF2B5EF4-FFF2-40B4-BE49-F238E27FC236}">
              <a16:creationId xmlns:a16="http://schemas.microsoft.com/office/drawing/2014/main" id="{3C8C4889-54A5-447E-9439-21D4551272A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187</xdr:row>
      <xdr:rowOff>0</xdr:rowOff>
    </xdr:from>
    <xdr:ext cx="304800" cy="283210"/>
    <xdr:sp macro="" textlink="">
      <xdr:nvSpPr>
        <xdr:cNvPr id="607" name="AutoShape 205" descr="USA">
          <a:hlinkClick xmlns:r="http://schemas.openxmlformats.org/officeDocument/2006/relationships" r:id="rId203"/>
          <a:extLst>
            <a:ext uri="{FF2B5EF4-FFF2-40B4-BE49-F238E27FC236}">
              <a16:creationId xmlns:a16="http://schemas.microsoft.com/office/drawing/2014/main" id="{7B12FBA8-5F90-429B-B01A-0E0EA2D1C58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08" name="AutoShape 227" descr="USA">
          <a:hlinkClick xmlns:r="http://schemas.openxmlformats.org/officeDocument/2006/relationships" r:id="rId225"/>
          <a:extLst>
            <a:ext uri="{FF2B5EF4-FFF2-40B4-BE49-F238E27FC236}">
              <a16:creationId xmlns:a16="http://schemas.microsoft.com/office/drawing/2014/main" id="{ABBCD29D-B984-4060-BDD6-DA914566EA6C}"/>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09" name="AutoShape 205" descr="USA">
          <a:hlinkClick xmlns:r="http://schemas.openxmlformats.org/officeDocument/2006/relationships" r:id="rId203"/>
          <a:extLst>
            <a:ext uri="{FF2B5EF4-FFF2-40B4-BE49-F238E27FC236}">
              <a16:creationId xmlns:a16="http://schemas.microsoft.com/office/drawing/2014/main" id="{855D7BF0-57E7-4B75-8F47-1B95DCA27A9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0" name="AutoShape 155" descr="USA">
          <a:hlinkClick xmlns:r="http://schemas.openxmlformats.org/officeDocument/2006/relationships" r:id="rId154"/>
          <a:extLst>
            <a:ext uri="{FF2B5EF4-FFF2-40B4-BE49-F238E27FC236}">
              <a16:creationId xmlns:a16="http://schemas.microsoft.com/office/drawing/2014/main" id="{FCB306F6-C53A-415D-8946-EB228ADD2738}"/>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11" name="AutoShape 205" descr="USA">
          <a:hlinkClick xmlns:r="http://schemas.openxmlformats.org/officeDocument/2006/relationships" r:id="rId203"/>
          <a:extLst>
            <a:ext uri="{FF2B5EF4-FFF2-40B4-BE49-F238E27FC236}">
              <a16:creationId xmlns:a16="http://schemas.microsoft.com/office/drawing/2014/main" id="{D0B3C151-BEBF-43EE-BB45-F090C89C310B}"/>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2" name="AutoShape 227" descr="USA">
          <a:hlinkClick xmlns:r="http://schemas.openxmlformats.org/officeDocument/2006/relationships" r:id="rId225"/>
          <a:extLst>
            <a:ext uri="{FF2B5EF4-FFF2-40B4-BE49-F238E27FC236}">
              <a16:creationId xmlns:a16="http://schemas.microsoft.com/office/drawing/2014/main" id="{FF82DC50-1779-42F2-AB20-EDA383111E31}"/>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3" name="AutoShape 205" descr="USA">
          <a:hlinkClick xmlns:r="http://schemas.openxmlformats.org/officeDocument/2006/relationships" r:id="rId203"/>
          <a:extLst>
            <a:ext uri="{FF2B5EF4-FFF2-40B4-BE49-F238E27FC236}">
              <a16:creationId xmlns:a16="http://schemas.microsoft.com/office/drawing/2014/main" id="{8753DC8A-E595-41A1-9B29-90EB81D6B5C4}"/>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4" name="AutoShape 155" descr="USA">
          <a:hlinkClick xmlns:r="http://schemas.openxmlformats.org/officeDocument/2006/relationships" r:id="rId154"/>
          <a:extLst>
            <a:ext uri="{FF2B5EF4-FFF2-40B4-BE49-F238E27FC236}">
              <a16:creationId xmlns:a16="http://schemas.microsoft.com/office/drawing/2014/main" id="{F4CF73E3-5E93-4FF8-ACA4-CC7246238A79}"/>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15" name="AutoShape 205" descr="USA">
          <a:hlinkClick xmlns:r="http://schemas.openxmlformats.org/officeDocument/2006/relationships" r:id="rId203"/>
          <a:extLst>
            <a:ext uri="{FF2B5EF4-FFF2-40B4-BE49-F238E27FC236}">
              <a16:creationId xmlns:a16="http://schemas.microsoft.com/office/drawing/2014/main" id="{105F7DDC-B3D4-4BB5-ABE5-3A89BD505292}"/>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6" name="AutoShape 227" descr="USA">
          <a:hlinkClick xmlns:r="http://schemas.openxmlformats.org/officeDocument/2006/relationships" r:id="rId225"/>
          <a:extLst>
            <a:ext uri="{FF2B5EF4-FFF2-40B4-BE49-F238E27FC236}">
              <a16:creationId xmlns:a16="http://schemas.microsoft.com/office/drawing/2014/main" id="{F1593C99-DA1E-4F8F-87D3-202BCE577B36}"/>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7" name="AutoShape 205" descr="USA">
          <a:hlinkClick xmlns:r="http://schemas.openxmlformats.org/officeDocument/2006/relationships" r:id="rId203"/>
          <a:extLst>
            <a:ext uri="{FF2B5EF4-FFF2-40B4-BE49-F238E27FC236}">
              <a16:creationId xmlns:a16="http://schemas.microsoft.com/office/drawing/2014/main" id="{470A0804-7A77-4EE4-BC87-DDFA4E3AAE7F}"/>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18" name="AutoShape 155" descr="USA">
          <a:hlinkClick xmlns:r="http://schemas.openxmlformats.org/officeDocument/2006/relationships" r:id="rId154"/>
          <a:extLst>
            <a:ext uri="{FF2B5EF4-FFF2-40B4-BE49-F238E27FC236}">
              <a16:creationId xmlns:a16="http://schemas.microsoft.com/office/drawing/2014/main" id="{9FF7434E-FBA5-4F3D-B6CC-CF75E515F35E}"/>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19" name="AutoShape 205" descr="USA">
          <a:hlinkClick xmlns:r="http://schemas.openxmlformats.org/officeDocument/2006/relationships" r:id="rId203"/>
          <a:extLst>
            <a:ext uri="{FF2B5EF4-FFF2-40B4-BE49-F238E27FC236}">
              <a16:creationId xmlns:a16="http://schemas.microsoft.com/office/drawing/2014/main" id="{531E11DF-056D-44CB-B5D7-F76ADFD820DF}"/>
            </a:ext>
          </a:extLst>
        </xdr:cNvPr>
        <xdr:cNvSpPr>
          <a:spLocks noChangeAspect="1" noChangeArrowheads="1"/>
        </xdr:cNvSpPr>
      </xdr:nvSpPr>
      <xdr:spPr bwMode="auto">
        <a:xfrm>
          <a:off x="0" y="17730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20" name="AutoShape 227" descr="USA">
          <a:hlinkClick xmlns:r="http://schemas.openxmlformats.org/officeDocument/2006/relationships" r:id="rId225"/>
          <a:extLst>
            <a:ext uri="{FF2B5EF4-FFF2-40B4-BE49-F238E27FC236}">
              <a16:creationId xmlns:a16="http://schemas.microsoft.com/office/drawing/2014/main" id="{86FB4DE1-C2A2-4D66-B4CC-867CB7CC62A2}"/>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21" name="AutoShape 205" descr="USA">
          <a:hlinkClick xmlns:r="http://schemas.openxmlformats.org/officeDocument/2006/relationships" r:id="rId203"/>
          <a:extLst>
            <a:ext uri="{FF2B5EF4-FFF2-40B4-BE49-F238E27FC236}">
              <a16:creationId xmlns:a16="http://schemas.microsoft.com/office/drawing/2014/main" id="{A296CCF5-1EC5-47EA-9228-0A752F9EDDD3}"/>
            </a:ext>
          </a:extLst>
        </xdr:cNvPr>
        <xdr:cNvSpPr>
          <a:spLocks noChangeAspect="1" noChangeArrowheads="1"/>
        </xdr:cNvSpPr>
      </xdr:nvSpPr>
      <xdr:spPr bwMode="auto">
        <a:xfrm>
          <a:off x="0" y="17920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2" name="AutoShape 155" descr="USA">
          <a:hlinkClick xmlns:r="http://schemas.openxmlformats.org/officeDocument/2006/relationships" r:id="rId154"/>
          <a:extLst>
            <a:ext uri="{FF2B5EF4-FFF2-40B4-BE49-F238E27FC236}">
              <a16:creationId xmlns:a16="http://schemas.microsoft.com/office/drawing/2014/main" id="{C19FED2B-EAA8-420D-BCE9-5FA0D4AFA88A}"/>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3" name="AutoShape 227" descr="USA">
          <a:hlinkClick xmlns:r="http://schemas.openxmlformats.org/officeDocument/2006/relationships" r:id="rId225"/>
          <a:extLst>
            <a:ext uri="{FF2B5EF4-FFF2-40B4-BE49-F238E27FC236}">
              <a16:creationId xmlns:a16="http://schemas.microsoft.com/office/drawing/2014/main" id="{02AFD22C-34D1-4A8A-B7D8-51CC53FAB3B6}"/>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4" name="AutoShape 205" descr="USA">
          <a:hlinkClick xmlns:r="http://schemas.openxmlformats.org/officeDocument/2006/relationships" r:id="rId203"/>
          <a:extLst>
            <a:ext uri="{FF2B5EF4-FFF2-40B4-BE49-F238E27FC236}">
              <a16:creationId xmlns:a16="http://schemas.microsoft.com/office/drawing/2014/main" id="{A7C41B39-8952-4C22-BC00-04154CB77375}"/>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5" name="AutoShape 155" descr="USA">
          <a:hlinkClick xmlns:r="http://schemas.openxmlformats.org/officeDocument/2006/relationships" r:id="rId154"/>
          <a:extLst>
            <a:ext uri="{FF2B5EF4-FFF2-40B4-BE49-F238E27FC236}">
              <a16:creationId xmlns:a16="http://schemas.microsoft.com/office/drawing/2014/main" id="{C5B7574E-8495-4506-967B-6587EA23893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26" name="AutoShape 205" descr="USA">
          <a:hlinkClick xmlns:r="http://schemas.openxmlformats.org/officeDocument/2006/relationships" r:id="rId203"/>
          <a:extLst>
            <a:ext uri="{FF2B5EF4-FFF2-40B4-BE49-F238E27FC236}">
              <a16:creationId xmlns:a16="http://schemas.microsoft.com/office/drawing/2014/main" id="{94795652-F49B-46F7-B9C0-66EB9C0081C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7" name="AutoShape 227" descr="USA">
          <a:hlinkClick xmlns:r="http://schemas.openxmlformats.org/officeDocument/2006/relationships" r:id="rId225"/>
          <a:extLst>
            <a:ext uri="{FF2B5EF4-FFF2-40B4-BE49-F238E27FC236}">
              <a16:creationId xmlns:a16="http://schemas.microsoft.com/office/drawing/2014/main" id="{A9710EA8-C607-444C-900F-63F1666A4CF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8" name="AutoShape 205" descr="USA">
          <a:hlinkClick xmlns:r="http://schemas.openxmlformats.org/officeDocument/2006/relationships" r:id="rId203"/>
          <a:extLst>
            <a:ext uri="{FF2B5EF4-FFF2-40B4-BE49-F238E27FC236}">
              <a16:creationId xmlns:a16="http://schemas.microsoft.com/office/drawing/2014/main" id="{17B0B451-0D66-489D-AE79-39872E60636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29" name="AutoShape 205" descr="USA">
          <a:hlinkClick xmlns:r="http://schemas.openxmlformats.org/officeDocument/2006/relationships" r:id="rId203"/>
          <a:extLst>
            <a:ext uri="{FF2B5EF4-FFF2-40B4-BE49-F238E27FC236}">
              <a16:creationId xmlns:a16="http://schemas.microsoft.com/office/drawing/2014/main" id="{06E61C8E-CA46-4AAB-B281-D9754A9A86E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0" name="AutoShape 155" descr="USA">
          <a:hlinkClick xmlns:r="http://schemas.openxmlformats.org/officeDocument/2006/relationships" r:id="rId154"/>
          <a:extLst>
            <a:ext uri="{FF2B5EF4-FFF2-40B4-BE49-F238E27FC236}">
              <a16:creationId xmlns:a16="http://schemas.microsoft.com/office/drawing/2014/main" id="{CC33D589-088C-45EC-B23A-70AE055B625C}"/>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1" name="AutoShape 227" descr="USA">
          <a:hlinkClick xmlns:r="http://schemas.openxmlformats.org/officeDocument/2006/relationships" r:id="rId225"/>
          <a:extLst>
            <a:ext uri="{FF2B5EF4-FFF2-40B4-BE49-F238E27FC236}">
              <a16:creationId xmlns:a16="http://schemas.microsoft.com/office/drawing/2014/main" id="{26110DEE-CD65-411E-88D8-B470E6431E3D}"/>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2" name="AutoShape 205" descr="USA">
          <a:hlinkClick xmlns:r="http://schemas.openxmlformats.org/officeDocument/2006/relationships" r:id="rId203"/>
          <a:extLst>
            <a:ext uri="{FF2B5EF4-FFF2-40B4-BE49-F238E27FC236}">
              <a16:creationId xmlns:a16="http://schemas.microsoft.com/office/drawing/2014/main" id="{7ACE9151-0FA7-4A3C-94F4-E91013A89AF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3" name="AutoShape 155" descr="USA">
          <a:hlinkClick xmlns:r="http://schemas.openxmlformats.org/officeDocument/2006/relationships" r:id="rId154"/>
          <a:extLst>
            <a:ext uri="{FF2B5EF4-FFF2-40B4-BE49-F238E27FC236}">
              <a16:creationId xmlns:a16="http://schemas.microsoft.com/office/drawing/2014/main" id="{C1242E30-395A-49AF-83FA-738C96CAF4C3}"/>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34" name="AutoShape 205" descr="USA">
          <a:hlinkClick xmlns:r="http://schemas.openxmlformats.org/officeDocument/2006/relationships" r:id="rId203"/>
          <a:extLst>
            <a:ext uri="{FF2B5EF4-FFF2-40B4-BE49-F238E27FC236}">
              <a16:creationId xmlns:a16="http://schemas.microsoft.com/office/drawing/2014/main" id="{299D7561-7E28-4335-9DBD-4F04764C4AE1}"/>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5" name="AutoShape 227" descr="USA">
          <a:hlinkClick xmlns:r="http://schemas.openxmlformats.org/officeDocument/2006/relationships" r:id="rId225"/>
          <a:extLst>
            <a:ext uri="{FF2B5EF4-FFF2-40B4-BE49-F238E27FC236}">
              <a16:creationId xmlns:a16="http://schemas.microsoft.com/office/drawing/2014/main" id="{5A86F80E-0489-45BB-AE9F-C47C005613CA}"/>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6" name="AutoShape 205" descr="USA">
          <a:hlinkClick xmlns:r="http://schemas.openxmlformats.org/officeDocument/2006/relationships" r:id="rId203"/>
          <a:extLst>
            <a:ext uri="{FF2B5EF4-FFF2-40B4-BE49-F238E27FC236}">
              <a16:creationId xmlns:a16="http://schemas.microsoft.com/office/drawing/2014/main" id="{43296535-39F4-485F-A44D-16E399E0E54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7" name="AutoShape 205" descr="USA">
          <a:hlinkClick xmlns:r="http://schemas.openxmlformats.org/officeDocument/2006/relationships" r:id="rId203"/>
          <a:extLst>
            <a:ext uri="{FF2B5EF4-FFF2-40B4-BE49-F238E27FC236}">
              <a16:creationId xmlns:a16="http://schemas.microsoft.com/office/drawing/2014/main" id="{B35A6714-C985-4D2F-9998-8247C61A4AED}"/>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8" name="AutoShape 155" descr="USA">
          <a:hlinkClick xmlns:r="http://schemas.openxmlformats.org/officeDocument/2006/relationships" r:id="rId154"/>
          <a:extLst>
            <a:ext uri="{FF2B5EF4-FFF2-40B4-BE49-F238E27FC236}">
              <a16:creationId xmlns:a16="http://schemas.microsoft.com/office/drawing/2014/main" id="{8B7EF779-5103-4873-8756-46F33CB0DEA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39" name="AutoShape 227" descr="USA">
          <a:hlinkClick xmlns:r="http://schemas.openxmlformats.org/officeDocument/2006/relationships" r:id="rId225"/>
          <a:extLst>
            <a:ext uri="{FF2B5EF4-FFF2-40B4-BE49-F238E27FC236}">
              <a16:creationId xmlns:a16="http://schemas.microsoft.com/office/drawing/2014/main" id="{A5A500AA-C9D4-4418-AE46-391850E1CE2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0" name="AutoShape 205" descr="USA">
          <a:hlinkClick xmlns:r="http://schemas.openxmlformats.org/officeDocument/2006/relationships" r:id="rId203"/>
          <a:extLst>
            <a:ext uri="{FF2B5EF4-FFF2-40B4-BE49-F238E27FC236}">
              <a16:creationId xmlns:a16="http://schemas.microsoft.com/office/drawing/2014/main" id="{0A9F7E25-BE2D-4720-86C4-0F3FFB1C77B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1" name="AutoShape 205" descr="USA">
          <a:hlinkClick xmlns:r="http://schemas.openxmlformats.org/officeDocument/2006/relationships" r:id="rId203"/>
          <a:extLst>
            <a:ext uri="{FF2B5EF4-FFF2-40B4-BE49-F238E27FC236}">
              <a16:creationId xmlns:a16="http://schemas.microsoft.com/office/drawing/2014/main" id="{5B4F7785-29C7-4B43-8B6B-2D3B6B1BDC7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2" name="AutoShape 155" descr="USA">
          <a:hlinkClick xmlns:r="http://schemas.openxmlformats.org/officeDocument/2006/relationships" r:id="rId154"/>
          <a:extLst>
            <a:ext uri="{FF2B5EF4-FFF2-40B4-BE49-F238E27FC236}">
              <a16:creationId xmlns:a16="http://schemas.microsoft.com/office/drawing/2014/main" id="{12CAB4FD-4A1E-418A-8828-251743301D6B}"/>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3" name="AutoShape 227" descr="USA">
          <a:hlinkClick xmlns:r="http://schemas.openxmlformats.org/officeDocument/2006/relationships" r:id="rId225"/>
          <a:extLst>
            <a:ext uri="{FF2B5EF4-FFF2-40B4-BE49-F238E27FC236}">
              <a16:creationId xmlns:a16="http://schemas.microsoft.com/office/drawing/2014/main" id="{9EDE8925-6957-4482-B9B1-AB9B9FA64652}"/>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4" name="AutoShape 205" descr="USA">
          <a:hlinkClick xmlns:r="http://schemas.openxmlformats.org/officeDocument/2006/relationships" r:id="rId203"/>
          <a:extLst>
            <a:ext uri="{FF2B5EF4-FFF2-40B4-BE49-F238E27FC236}">
              <a16:creationId xmlns:a16="http://schemas.microsoft.com/office/drawing/2014/main" id="{48E1416D-3752-43F9-9395-D1F07C105F4F}"/>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5" name="AutoShape 155" descr="USA">
          <a:hlinkClick xmlns:r="http://schemas.openxmlformats.org/officeDocument/2006/relationships" r:id="rId154"/>
          <a:extLst>
            <a:ext uri="{FF2B5EF4-FFF2-40B4-BE49-F238E27FC236}">
              <a16:creationId xmlns:a16="http://schemas.microsoft.com/office/drawing/2014/main" id="{CF7C6BC8-0F6D-4BA3-8821-2B567DA9D67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190</xdr:row>
      <xdr:rowOff>0</xdr:rowOff>
    </xdr:from>
    <xdr:ext cx="304800" cy="283210"/>
    <xdr:sp macro="" textlink="">
      <xdr:nvSpPr>
        <xdr:cNvPr id="646" name="AutoShape 205" descr="USA">
          <a:hlinkClick xmlns:r="http://schemas.openxmlformats.org/officeDocument/2006/relationships" r:id="rId203"/>
          <a:extLst>
            <a:ext uri="{FF2B5EF4-FFF2-40B4-BE49-F238E27FC236}">
              <a16:creationId xmlns:a16="http://schemas.microsoft.com/office/drawing/2014/main" id="{CD11ADCD-617A-48B6-8F91-EC375701F05E}"/>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7" name="AutoShape 227" descr="USA">
          <a:hlinkClick xmlns:r="http://schemas.openxmlformats.org/officeDocument/2006/relationships" r:id="rId225"/>
          <a:extLst>
            <a:ext uri="{FF2B5EF4-FFF2-40B4-BE49-F238E27FC236}">
              <a16:creationId xmlns:a16="http://schemas.microsoft.com/office/drawing/2014/main" id="{FE272033-EEB3-4041-9C8A-E1085BC8840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8" name="AutoShape 205" descr="USA">
          <a:hlinkClick xmlns:r="http://schemas.openxmlformats.org/officeDocument/2006/relationships" r:id="rId203"/>
          <a:extLst>
            <a:ext uri="{FF2B5EF4-FFF2-40B4-BE49-F238E27FC236}">
              <a16:creationId xmlns:a16="http://schemas.microsoft.com/office/drawing/2014/main" id="{A4890281-BCF8-45A0-B2E6-BE8653F9B45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49" name="AutoShape 205" descr="USA">
          <a:hlinkClick xmlns:r="http://schemas.openxmlformats.org/officeDocument/2006/relationships" r:id="rId203"/>
          <a:extLst>
            <a:ext uri="{FF2B5EF4-FFF2-40B4-BE49-F238E27FC236}">
              <a16:creationId xmlns:a16="http://schemas.microsoft.com/office/drawing/2014/main" id="{1F383D65-1430-45C7-9822-5A2363FA03D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0" name="AutoShape 155" descr="USA">
          <a:hlinkClick xmlns:r="http://schemas.openxmlformats.org/officeDocument/2006/relationships" r:id="rId154"/>
          <a:extLst>
            <a:ext uri="{FF2B5EF4-FFF2-40B4-BE49-F238E27FC236}">
              <a16:creationId xmlns:a16="http://schemas.microsoft.com/office/drawing/2014/main" id="{00CAF8EB-1FEF-4A05-9C3A-4D269A98F4B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1" name="AutoShape 227" descr="USA">
          <a:hlinkClick xmlns:r="http://schemas.openxmlformats.org/officeDocument/2006/relationships" r:id="rId225"/>
          <a:extLst>
            <a:ext uri="{FF2B5EF4-FFF2-40B4-BE49-F238E27FC236}">
              <a16:creationId xmlns:a16="http://schemas.microsoft.com/office/drawing/2014/main" id="{BAB8EE3B-BEB5-4DFC-B820-65E1B24731C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2" name="AutoShape 205" descr="USA">
          <a:hlinkClick xmlns:r="http://schemas.openxmlformats.org/officeDocument/2006/relationships" r:id="rId203"/>
          <a:extLst>
            <a:ext uri="{FF2B5EF4-FFF2-40B4-BE49-F238E27FC236}">
              <a16:creationId xmlns:a16="http://schemas.microsoft.com/office/drawing/2014/main" id="{912BF8CD-A67C-4F31-8A32-22C9528342D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3" name="AutoShape 205" descr="USA">
          <a:hlinkClick xmlns:r="http://schemas.openxmlformats.org/officeDocument/2006/relationships" r:id="rId203"/>
          <a:extLst>
            <a:ext uri="{FF2B5EF4-FFF2-40B4-BE49-F238E27FC236}">
              <a16:creationId xmlns:a16="http://schemas.microsoft.com/office/drawing/2014/main" id="{05BFA029-E9B3-4671-9382-C6F5F787227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4" name="AutoShape 155" descr="USA">
          <a:hlinkClick xmlns:r="http://schemas.openxmlformats.org/officeDocument/2006/relationships" r:id="rId154"/>
          <a:extLst>
            <a:ext uri="{FF2B5EF4-FFF2-40B4-BE49-F238E27FC236}">
              <a16:creationId xmlns:a16="http://schemas.microsoft.com/office/drawing/2014/main" id="{98F901B6-E3D9-4D4D-AC64-4AB62B0A8AFC}"/>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5" name="AutoShape 227" descr="USA">
          <a:hlinkClick xmlns:r="http://schemas.openxmlformats.org/officeDocument/2006/relationships" r:id="rId225"/>
          <a:extLst>
            <a:ext uri="{FF2B5EF4-FFF2-40B4-BE49-F238E27FC236}">
              <a16:creationId xmlns:a16="http://schemas.microsoft.com/office/drawing/2014/main" id="{B41E75F1-1C33-4D64-9921-E31CCFF70709}"/>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6" name="AutoShape 205" descr="USA">
          <a:hlinkClick xmlns:r="http://schemas.openxmlformats.org/officeDocument/2006/relationships" r:id="rId203"/>
          <a:extLst>
            <a:ext uri="{FF2B5EF4-FFF2-40B4-BE49-F238E27FC236}">
              <a16:creationId xmlns:a16="http://schemas.microsoft.com/office/drawing/2014/main" id="{21129A77-C27E-4849-B8D3-91443BB3FF61}"/>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57" name="AutoShape 155" descr="USA">
          <a:hlinkClick xmlns:r="http://schemas.openxmlformats.org/officeDocument/2006/relationships" r:id="rId154"/>
          <a:extLst>
            <a:ext uri="{FF2B5EF4-FFF2-40B4-BE49-F238E27FC236}">
              <a16:creationId xmlns:a16="http://schemas.microsoft.com/office/drawing/2014/main" id="{8E5C4B01-A9F3-4404-BE05-4572341BEA08}"/>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191</xdr:row>
      <xdr:rowOff>0</xdr:rowOff>
    </xdr:from>
    <xdr:ext cx="304800" cy="283210"/>
    <xdr:sp macro="" textlink="">
      <xdr:nvSpPr>
        <xdr:cNvPr id="658" name="AutoShape 205" descr="USA">
          <a:hlinkClick xmlns:r="http://schemas.openxmlformats.org/officeDocument/2006/relationships" r:id="rId203"/>
          <a:extLst>
            <a:ext uri="{FF2B5EF4-FFF2-40B4-BE49-F238E27FC236}">
              <a16:creationId xmlns:a16="http://schemas.microsoft.com/office/drawing/2014/main" id="{3D3D5A03-DD2B-4CF3-85FA-89B530AB844C}"/>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59" name="AutoShape 227" descr="USA">
          <a:hlinkClick xmlns:r="http://schemas.openxmlformats.org/officeDocument/2006/relationships" r:id="rId225"/>
          <a:extLst>
            <a:ext uri="{FF2B5EF4-FFF2-40B4-BE49-F238E27FC236}">
              <a16:creationId xmlns:a16="http://schemas.microsoft.com/office/drawing/2014/main" id="{5728570E-693E-4375-BBFC-037EDEC30EF6}"/>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0" name="AutoShape 205" descr="USA">
          <a:hlinkClick xmlns:r="http://schemas.openxmlformats.org/officeDocument/2006/relationships" r:id="rId203"/>
          <a:extLst>
            <a:ext uri="{FF2B5EF4-FFF2-40B4-BE49-F238E27FC236}">
              <a16:creationId xmlns:a16="http://schemas.microsoft.com/office/drawing/2014/main" id="{9966AE25-6998-4170-A596-A3A8A6792352}"/>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1" name="AutoShape 205" descr="USA">
          <a:hlinkClick xmlns:r="http://schemas.openxmlformats.org/officeDocument/2006/relationships" r:id="rId203"/>
          <a:extLst>
            <a:ext uri="{FF2B5EF4-FFF2-40B4-BE49-F238E27FC236}">
              <a16:creationId xmlns:a16="http://schemas.microsoft.com/office/drawing/2014/main" id="{7E1DCAE6-27B6-4D3A-92B1-01CC2913DC3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2" name="AutoShape 155" descr="USA">
          <a:hlinkClick xmlns:r="http://schemas.openxmlformats.org/officeDocument/2006/relationships" r:id="rId154"/>
          <a:extLst>
            <a:ext uri="{FF2B5EF4-FFF2-40B4-BE49-F238E27FC236}">
              <a16:creationId xmlns:a16="http://schemas.microsoft.com/office/drawing/2014/main" id="{57DF9DDB-D275-46F8-9461-24C1C20AB71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3" name="AutoShape 227" descr="USA">
          <a:hlinkClick xmlns:r="http://schemas.openxmlformats.org/officeDocument/2006/relationships" r:id="rId225"/>
          <a:extLst>
            <a:ext uri="{FF2B5EF4-FFF2-40B4-BE49-F238E27FC236}">
              <a16:creationId xmlns:a16="http://schemas.microsoft.com/office/drawing/2014/main" id="{D9AEAE8C-F533-47E8-BD8C-1A7F3E086FA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4" name="AutoShape 205" descr="USA">
          <a:hlinkClick xmlns:r="http://schemas.openxmlformats.org/officeDocument/2006/relationships" r:id="rId203"/>
          <a:extLst>
            <a:ext uri="{FF2B5EF4-FFF2-40B4-BE49-F238E27FC236}">
              <a16:creationId xmlns:a16="http://schemas.microsoft.com/office/drawing/2014/main" id="{35B11F89-868F-47A8-9C1C-789761A2692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5" name="AutoShape 205" descr="USA">
          <a:hlinkClick xmlns:r="http://schemas.openxmlformats.org/officeDocument/2006/relationships" r:id="rId203"/>
          <a:extLst>
            <a:ext uri="{FF2B5EF4-FFF2-40B4-BE49-F238E27FC236}">
              <a16:creationId xmlns:a16="http://schemas.microsoft.com/office/drawing/2014/main" id="{18FEF15B-587E-41BC-8777-55F2028E66B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6" name="AutoShape 155" descr="USA">
          <a:hlinkClick xmlns:r="http://schemas.openxmlformats.org/officeDocument/2006/relationships" r:id="rId154"/>
          <a:extLst>
            <a:ext uri="{FF2B5EF4-FFF2-40B4-BE49-F238E27FC236}">
              <a16:creationId xmlns:a16="http://schemas.microsoft.com/office/drawing/2014/main" id="{6A3A9BD5-7150-4D68-A3B5-9BDC2C131044}"/>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7" name="AutoShape 227" descr="USA">
          <a:hlinkClick xmlns:r="http://schemas.openxmlformats.org/officeDocument/2006/relationships" r:id="rId225"/>
          <a:extLst>
            <a:ext uri="{FF2B5EF4-FFF2-40B4-BE49-F238E27FC236}">
              <a16:creationId xmlns:a16="http://schemas.microsoft.com/office/drawing/2014/main" id="{84596261-D437-4D63-B843-47A3C55E636B}"/>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68" name="AutoShape 205" descr="USA">
          <a:hlinkClick xmlns:r="http://schemas.openxmlformats.org/officeDocument/2006/relationships" r:id="rId203"/>
          <a:extLst>
            <a:ext uri="{FF2B5EF4-FFF2-40B4-BE49-F238E27FC236}">
              <a16:creationId xmlns:a16="http://schemas.microsoft.com/office/drawing/2014/main" id="{178FF2DF-9D16-4CD9-A848-9760F4805B8D}"/>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69" name="AutoShape 155" descr="USA">
          <a:hlinkClick xmlns:r="http://schemas.openxmlformats.org/officeDocument/2006/relationships" r:id="rId154"/>
          <a:extLst>
            <a:ext uri="{FF2B5EF4-FFF2-40B4-BE49-F238E27FC236}">
              <a16:creationId xmlns:a16="http://schemas.microsoft.com/office/drawing/2014/main" id="{E778FF54-C4FE-4EFD-937A-A614D24D457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192</xdr:row>
      <xdr:rowOff>0</xdr:rowOff>
    </xdr:from>
    <xdr:ext cx="304800" cy="283210"/>
    <xdr:sp macro="" textlink="">
      <xdr:nvSpPr>
        <xdr:cNvPr id="670" name="AutoShape 205" descr="USA">
          <a:hlinkClick xmlns:r="http://schemas.openxmlformats.org/officeDocument/2006/relationships" r:id="rId203"/>
          <a:extLst>
            <a:ext uri="{FF2B5EF4-FFF2-40B4-BE49-F238E27FC236}">
              <a16:creationId xmlns:a16="http://schemas.microsoft.com/office/drawing/2014/main" id="{C4AAEC2A-15D6-4330-8299-7A9F8559DAF8}"/>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1" name="AutoShape 227" descr="USA">
          <a:hlinkClick xmlns:r="http://schemas.openxmlformats.org/officeDocument/2006/relationships" r:id="rId225"/>
          <a:extLst>
            <a:ext uri="{FF2B5EF4-FFF2-40B4-BE49-F238E27FC236}">
              <a16:creationId xmlns:a16="http://schemas.microsoft.com/office/drawing/2014/main" id="{55CA4D6C-6F3E-4313-891A-F16A720C826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2" name="AutoShape 205" descr="USA">
          <a:hlinkClick xmlns:r="http://schemas.openxmlformats.org/officeDocument/2006/relationships" r:id="rId203"/>
          <a:extLst>
            <a:ext uri="{FF2B5EF4-FFF2-40B4-BE49-F238E27FC236}">
              <a16:creationId xmlns:a16="http://schemas.microsoft.com/office/drawing/2014/main" id="{C1B186D6-069D-4C2B-AECF-66E90CFA9F60}"/>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3" name="AutoShape 205" descr="USA">
          <a:hlinkClick xmlns:r="http://schemas.openxmlformats.org/officeDocument/2006/relationships" r:id="rId203"/>
          <a:extLst>
            <a:ext uri="{FF2B5EF4-FFF2-40B4-BE49-F238E27FC236}">
              <a16:creationId xmlns:a16="http://schemas.microsoft.com/office/drawing/2014/main" id="{25C4AA97-48B3-4C2C-B1C0-0A4FE8084109}"/>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4" name="AutoShape 155" descr="USA">
          <a:hlinkClick xmlns:r="http://schemas.openxmlformats.org/officeDocument/2006/relationships" r:id="rId154"/>
          <a:extLst>
            <a:ext uri="{FF2B5EF4-FFF2-40B4-BE49-F238E27FC236}">
              <a16:creationId xmlns:a16="http://schemas.microsoft.com/office/drawing/2014/main" id="{74E4A8F6-8E34-454D-9874-77C3A680FC7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5" name="AutoShape 227" descr="USA">
          <a:hlinkClick xmlns:r="http://schemas.openxmlformats.org/officeDocument/2006/relationships" r:id="rId225"/>
          <a:extLst>
            <a:ext uri="{FF2B5EF4-FFF2-40B4-BE49-F238E27FC236}">
              <a16:creationId xmlns:a16="http://schemas.microsoft.com/office/drawing/2014/main" id="{BEE504AF-B368-48DF-8970-38C45DFEA4FF}"/>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6" name="AutoShape 205" descr="USA">
          <a:hlinkClick xmlns:r="http://schemas.openxmlformats.org/officeDocument/2006/relationships" r:id="rId203"/>
          <a:extLst>
            <a:ext uri="{FF2B5EF4-FFF2-40B4-BE49-F238E27FC236}">
              <a16:creationId xmlns:a16="http://schemas.microsoft.com/office/drawing/2014/main" id="{22A41ACD-F154-4873-9A5F-C1B0A367B857}"/>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7" name="AutoShape 205" descr="USA">
          <a:hlinkClick xmlns:r="http://schemas.openxmlformats.org/officeDocument/2006/relationships" r:id="rId203"/>
          <a:extLst>
            <a:ext uri="{FF2B5EF4-FFF2-40B4-BE49-F238E27FC236}">
              <a16:creationId xmlns:a16="http://schemas.microsoft.com/office/drawing/2014/main" id="{3290B291-B2F8-44FA-8D77-FC41B506EDD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8" name="AutoShape 155" descr="USA">
          <a:hlinkClick xmlns:r="http://schemas.openxmlformats.org/officeDocument/2006/relationships" r:id="rId154"/>
          <a:extLst>
            <a:ext uri="{FF2B5EF4-FFF2-40B4-BE49-F238E27FC236}">
              <a16:creationId xmlns:a16="http://schemas.microsoft.com/office/drawing/2014/main" id="{A78BE13D-80AF-4903-BBF5-718712650C30}"/>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79" name="AutoShape 227" descr="USA">
          <a:hlinkClick xmlns:r="http://schemas.openxmlformats.org/officeDocument/2006/relationships" r:id="rId225"/>
          <a:extLst>
            <a:ext uri="{FF2B5EF4-FFF2-40B4-BE49-F238E27FC236}">
              <a16:creationId xmlns:a16="http://schemas.microsoft.com/office/drawing/2014/main" id="{673335D9-9FF3-4C54-A51E-6E1C86CAE85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80" name="AutoShape 205" descr="USA">
          <a:hlinkClick xmlns:r="http://schemas.openxmlformats.org/officeDocument/2006/relationships" r:id="rId203"/>
          <a:extLst>
            <a:ext uri="{FF2B5EF4-FFF2-40B4-BE49-F238E27FC236}">
              <a16:creationId xmlns:a16="http://schemas.microsoft.com/office/drawing/2014/main" id="{3F0A9ED4-F501-4F00-A552-894B15B4EEDD}"/>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1" name="AutoShape 155" descr="USA">
          <a:hlinkClick xmlns:r="http://schemas.openxmlformats.org/officeDocument/2006/relationships" r:id="rId154"/>
          <a:extLst>
            <a:ext uri="{FF2B5EF4-FFF2-40B4-BE49-F238E27FC236}">
              <a16:creationId xmlns:a16="http://schemas.microsoft.com/office/drawing/2014/main" id="{924AD910-A76B-4D8E-A2AE-3FF728283AC6}"/>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193</xdr:row>
      <xdr:rowOff>0</xdr:rowOff>
    </xdr:from>
    <xdr:ext cx="304800" cy="283210"/>
    <xdr:sp macro="" textlink="">
      <xdr:nvSpPr>
        <xdr:cNvPr id="682" name="AutoShape 205" descr="USA">
          <a:hlinkClick xmlns:r="http://schemas.openxmlformats.org/officeDocument/2006/relationships" r:id="rId203"/>
          <a:extLst>
            <a:ext uri="{FF2B5EF4-FFF2-40B4-BE49-F238E27FC236}">
              <a16:creationId xmlns:a16="http://schemas.microsoft.com/office/drawing/2014/main" id="{DAC769ED-7CE0-4366-9A4F-54673226FC8A}"/>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3" name="AutoShape 227" descr="USA">
          <a:hlinkClick xmlns:r="http://schemas.openxmlformats.org/officeDocument/2006/relationships" r:id="rId225"/>
          <a:extLst>
            <a:ext uri="{FF2B5EF4-FFF2-40B4-BE49-F238E27FC236}">
              <a16:creationId xmlns:a16="http://schemas.microsoft.com/office/drawing/2014/main" id="{434DCD08-94AA-49F7-81B5-8AABA03AB99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4" name="AutoShape 205" descr="USA">
          <a:hlinkClick xmlns:r="http://schemas.openxmlformats.org/officeDocument/2006/relationships" r:id="rId203"/>
          <a:extLst>
            <a:ext uri="{FF2B5EF4-FFF2-40B4-BE49-F238E27FC236}">
              <a16:creationId xmlns:a16="http://schemas.microsoft.com/office/drawing/2014/main" id="{D2E20EDD-CCAC-4B4C-A2DD-28C68AC58F5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5" name="AutoShape 205" descr="USA">
          <a:hlinkClick xmlns:r="http://schemas.openxmlformats.org/officeDocument/2006/relationships" r:id="rId203"/>
          <a:extLst>
            <a:ext uri="{FF2B5EF4-FFF2-40B4-BE49-F238E27FC236}">
              <a16:creationId xmlns:a16="http://schemas.microsoft.com/office/drawing/2014/main" id="{BC71A557-7980-4587-94F4-6670D91C181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6" name="AutoShape 155" descr="USA">
          <a:hlinkClick xmlns:r="http://schemas.openxmlformats.org/officeDocument/2006/relationships" r:id="rId154"/>
          <a:extLst>
            <a:ext uri="{FF2B5EF4-FFF2-40B4-BE49-F238E27FC236}">
              <a16:creationId xmlns:a16="http://schemas.microsoft.com/office/drawing/2014/main" id="{59588688-E7C9-44E3-8DB1-D3D70A4C684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7" name="AutoShape 227" descr="USA">
          <a:hlinkClick xmlns:r="http://schemas.openxmlformats.org/officeDocument/2006/relationships" r:id="rId225"/>
          <a:extLst>
            <a:ext uri="{FF2B5EF4-FFF2-40B4-BE49-F238E27FC236}">
              <a16:creationId xmlns:a16="http://schemas.microsoft.com/office/drawing/2014/main" id="{B128D0F9-8BEC-43B6-8EC6-74B5754705BE}"/>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8" name="AutoShape 205" descr="USA">
          <a:hlinkClick xmlns:r="http://schemas.openxmlformats.org/officeDocument/2006/relationships" r:id="rId203"/>
          <a:extLst>
            <a:ext uri="{FF2B5EF4-FFF2-40B4-BE49-F238E27FC236}">
              <a16:creationId xmlns:a16="http://schemas.microsoft.com/office/drawing/2014/main" id="{BA3D7E41-C36B-473B-B723-F40CC2573DA5}"/>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194</xdr:row>
      <xdr:rowOff>0</xdr:rowOff>
    </xdr:from>
    <xdr:ext cx="304800" cy="283210"/>
    <xdr:sp macro="" textlink="">
      <xdr:nvSpPr>
        <xdr:cNvPr id="689" name="AutoShape 205" descr="USA">
          <a:hlinkClick xmlns:r="http://schemas.openxmlformats.org/officeDocument/2006/relationships" r:id="rId203"/>
          <a:extLst>
            <a:ext uri="{FF2B5EF4-FFF2-40B4-BE49-F238E27FC236}">
              <a16:creationId xmlns:a16="http://schemas.microsoft.com/office/drawing/2014/main" id="{74533803-32E9-41F6-B379-A9D9C8129DF4}"/>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0" name="AutoShape 155" descr="USA">
          <a:hlinkClick xmlns:r="http://schemas.openxmlformats.org/officeDocument/2006/relationships" r:id="rId154"/>
          <a:extLst>
            <a:ext uri="{FF2B5EF4-FFF2-40B4-BE49-F238E27FC236}">
              <a16:creationId xmlns:a16="http://schemas.microsoft.com/office/drawing/2014/main" id="{5618F67B-9B80-447F-B572-1265DDA3FD8E}"/>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1" name="AutoShape 227" descr="USA">
          <a:hlinkClick xmlns:r="http://schemas.openxmlformats.org/officeDocument/2006/relationships" r:id="rId225"/>
          <a:extLst>
            <a:ext uri="{FF2B5EF4-FFF2-40B4-BE49-F238E27FC236}">
              <a16:creationId xmlns:a16="http://schemas.microsoft.com/office/drawing/2014/main" id="{1ED154EF-6950-4099-BA23-9A7AE5DFE033}"/>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2" name="AutoShape 205" descr="USA">
          <a:hlinkClick xmlns:r="http://schemas.openxmlformats.org/officeDocument/2006/relationships" r:id="rId203"/>
          <a:extLst>
            <a:ext uri="{FF2B5EF4-FFF2-40B4-BE49-F238E27FC236}">
              <a16:creationId xmlns:a16="http://schemas.microsoft.com/office/drawing/2014/main" id="{864D6F84-98E8-46CC-9636-F2684002BA97}"/>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3" name="AutoShape 155" descr="USA">
          <a:hlinkClick xmlns:r="http://schemas.openxmlformats.org/officeDocument/2006/relationships" r:id="rId154"/>
          <a:extLst>
            <a:ext uri="{FF2B5EF4-FFF2-40B4-BE49-F238E27FC236}">
              <a16:creationId xmlns:a16="http://schemas.microsoft.com/office/drawing/2014/main" id="{225434FD-57E4-4BE7-8BD8-054019EEF5E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188</xdr:row>
      <xdr:rowOff>0</xdr:rowOff>
    </xdr:from>
    <xdr:ext cx="304800" cy="283210"/>
    <xdr:sp macro="" textlink="">
      <xdr:nvSpPr>
        <xdr:cNvPr id="694" name="AutoShape 205" descr="USA">
          <a:hlinkClick xmlns:r="http://schemas.openxmlformats.org/officeDocument/2006/relationships" r:id="rId203"/>
          <a:extLst>
            <a:ext uri="{FF2B5EF4-FFF2-40B4-BE49-F238E27FC236}">
              <a16:creationId xmlns:a16="http://schemas.microsoft.com/office/drawing/2014/main" id="{20052D8E-A1B4-4201-B65E-532CFC6650D1}"/>
            </a:ext>
          </a:extLst>
        </xdr:cNvPr>
        <xdr:cNvSpPr>
          <a:spLocks noChangeAspect="1" noChangeArrowheads="1"/>
        </xdr:cNvSpPr>
      </xdr:nvSpPr>
      <xdr:spPr bwMode="auto">
        <a:xfrm>
          <a:off x="0" y="356371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5" name="AutoShape 227" descr="USA">
          <a:hlinkClick xmlns:r="http://schemas.openxmlformats.org/officeDocument/2006/relationships" r:id="rId225"/>
          <a:extLst>
            <a:ext uri="{FF2B5EF4-FFF2-40B4-BE49-F238E27FC236}">
              <a16:creationId xmlns:a16="http://schemas.microsoft.com/office/drawing/2014/main" id="{50CE42AA-91DD-4B7D-AAAF-3104E37ACA51}"/>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6" name="AutoShape 205" descr="USA">
          <a:hlinkClick xmlns:r="http://schemas.openxmlformats.org/officeDocument/2006/relationships" r:id="rId203"/>
          <a:extLst>
            <a:ext uri="{FF2B5EF4-FFF2-40B4-BE49-F238E27FC236}">
              <a16:creationId xmlns:a16="http://schemas.microsoft.com/office/drawing/2014/main" id="{FA9F23B9-61E2-4529-8D70-413BB3A82067}"/>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7" name="AutoShape 205" descr="USA">
          <a:hlinkClick xmlns:r="http://schemas.openxmlformats.org/officeDocument/2006/relationships" r:id="rId203"/>
          <a:extLst>
            <a:ext uri="{FF2B5EF4-FFF2-40B4-BE49-F238E27FC236}">
              <a16:creationId xmlns:a16="http://schemas.microsoft.com/office/drawing/2014/main" id="{AA42DB41-F7C3-475A-BF02-EC4A6C31659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8" name="AutoShape 155" descr="USA">
          <a:hlinkClick xmlns:r="http://schemas.openxmlformats.org/officeDocument/2006/relationships" r:id="rId154"/>
          <a:extLst>
            <a:ext uri="{FF2B5EF4-FFF2-40B4-BE49-F238E27FC236}">
              <a16:creationId xmlns:a16="http://schemas.microsoft.com/office/drawing/2014/main" id="{D6710A64-89B7-4B07-AA9C-BDA9D859BDF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699" name="AutoShape 227" descr="USA">
          <a:hlinkClick xmlns:r="http://schemas.openxmlformats.org/officeDocument/2006/relationships" r:id="rId225"/>
          <a:extLst>
            <a:ext uri="{FF2B5EF4-FFF2-40B4-BE49-F238E27FC236}">
              <a16:creationId xmlns:a16="http://schemas.microsoft.com/office/drawing/2014/main" id="{8A25B3B6-5F5F-4B40-B717-7E281F48DFCC}"/>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700" name="AutoShape 205" descr="USA">
          <a:hlinkClick xmlns:r="http://schemas.openxmlformats.org/officeDocument/2006/relationships" r:id="rId203"/>
          <a:extLst>
            <a:ext uri="{FF2B5EF4-FFF2-40B4-BE49-F238E27FC236}">
              <a16:creationId xmlns:a16="http://schemas.microsoft.com/office/drawing/2014/main" id="{8A7F2EAC-47A7-4563-859F-FBD12448C88B}"/>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0</xdr:col>
      <xdr:colOff>0</xdr:colOff>
      <xdr:row>189</xdr:row>
      <xdr:rowOff>0</xdr:rowOff>
    </xdr:from>
    <xdr:ext cx="304800" cy="283210"/>
    <xdr:sp macro="" textlink="">
      <xdr:nvSpPr>
        <xdr:cNvPr id="701" name="AutoShape 205" descr="USA">
          <a:hlinkClick xmlns:r="http://schemas.openxmlformats.org/officeDocument/2006/relationships" r:id="rId203"/>
          <a:extLst>
            <a:ext uri="{FF2B5EF4-FFF2-40B4-BE49-F238E27FC236}">
              <a16:creationId xmlns:a16="http://schemas.microsoft.com/office/drawing/2014/main" id="{49ADA046-9EC8-4EFA-BE80-87F6594F25C1}"/>
            </a:ext>
          </a:extLst>
        </xdr:cNvPr>
        <xdr:cNvSpPr>
          <a:spLocks noChangeAspect="1" noChangeArrowheads="1"/>
        </xdr:cNvSpPr>
      </xdr:nvSpPr>
      <xdr:spPr bwMode="auto">
        <a:xfrm>
          <a:off x="0" y="35827607"/>
          <a:ext cx="304800" cy="28321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133350</xdr:colOff>
      <xdr:row>0</xdr:row>
      <xdr:rowOff>133350</xdr:rowOff>
    </xdr:to>
    <xdr:sp macro="" textlink="">
      <xdr:nvSpPr>
        <xdr:cNvPr id="10241" name="AutoShape 1" descr="search icon">
          <a:extLst>
            <a:ext uri="{FF2B5EF4-FFF2-40B4-BE49-F238E27FC236}">
              <a16:creationId xmlns:a16="http://schemas.microsoft.com/office/drawing/2014/main" id="{91D66E06-D10E-01B4-FBDE-E5C439DD43D9}"/>
            </a:ext>
          </a:extLst>
        </xdr:cNvPr>
        <xdr:cNvSpPr>
          <a:spLocks noChangeAspect="1" noChangeArrowheads="1"/>
        </xdr:cNvSpPr>
      </xdr:nvSpPr>
      <xdr:spPr bwMode="auto">
        <a:xfrm>
          <a:off x="0" y="0"/>
          <a:ext cx="133350" cy="1333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133350</xdr:colOff>
      <xdr:row>0</xdr:row>
      <xdr:rowOff>133350</xdr:rowOff>
    </xdr:to>
    <xdr:sp macro="" textlink="">
      <xdr:nvSpPr>
        <xdr:cNvPr id="10242" name="AutoShape 2" descr="search icon">
          <a:extLst>
            <a:ext uri="{FF2B5EF4-FFF2-40B4-BE49-F238E27FC236}">
              <a16:creationId xmlns:a16="http://schemas.microsoft.com/office/drawing/2014/main" id="{987B5ED3-3593-C000-C6A3-47A356851165}"/>
            </a:ext>
          </a:extLst>
        </xdr:cNvPr>
        <xdr:cNvSpPr>
          <a:spLocks noChangeAspect="1" noChangeArrowheads="1"/>
        </xdr:cNvSpPr>
      </xdr:nvSpPr>
      <xdr:spPr bwMode="auto">
        <a:xfrm>
          <a:off x="0" y="209550"/>
          <a:ext cx="133350" cy="1333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133350</xdr:colOff>
      <xdr:row>0</xdr:row>
      <xdr:rowOff>133350</xdr:rowOff>
    </xdr:to>
    <xdr:sp macro="" textlink="">
      <xdr:nvSpPr>
        <xdr:cNvPr id="10243" name="AutoShape 3" descr="setting icon">
          <a:extLst>
            <a:ext uri="{FF2B5EF4-FFF2-40B4-BE49-F238E27FC236}">
              <a16:creationId xmlns:a16="http://schemas.microsoft.com/office/drawing/2014/main" id="{D2D29364-E0EF-3160-C69A-1563A12F55FC}"/>
            </a:ext>
          </a:extLst>
        </xdr:cNvPr>
        <xdr:cNvSpPr>
          <a:spLocks noChangeAspect="1" noChangeArrowheads="1"/>
        </xdr:cNvSpPr>
      </xdr:nvSpPr>
      <xdr:spPr bwMode="auto">
        <a:xfrm>
          <a:off x="0" y="419100"/>
          <a:ext cx="133350" cy="1333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200025</xdr:rowOff>
    </xdr:to>
    <xdr:sp macro="" textlink="">
      <xdr:nvSpPr>
        <xdr:cNvPr id="10245" name="AutoShape 5" descr="Skybet">
          <a:hlinkClick xmlns:r="http://schemas.openxmlformats.org/officeDocument/2006/relationships" r:id="rId1" tgtFrame="_blank"/>
          <a:extLst>
            <a:ext uri="{FF2B5EF4-FFF2-40B4-BE49-F238E27FC236}">
              <a16:creationId xmlns:a16="http://schemas.microsoft.com/office/drawing/2014/main" id="{F022AADB-8690-215E-6FB0-8D8E8B81D840}"/>
            </a:ext>
          </a:extLst>
        </xdr:cNvPr>
        <xdr:cNvSpPr>
          <a:spLocks noChangeAspect="1" noChangeArrowheads="1"/>
        </xdr:cNvSpPr>
      </xdr:nvSpPr>
      <xdr:spPr bwMode="auto">
        <a:xfrm>
          <a:off x="0" y="1173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200025</xdr:rowOff>
    </xdr:to>
    <xdr:sp macro="" textlink="">
      <xdr:nvSpPr>
        <xdr:cNvPr id="10246" name="AutoShape 6" descr="bet365">
          <a:hlinkClick xmlns:r="http://schemas.openxmlformats.org/officeDocument/2006/relationships" r:id="rId2" tgtFrame="_blank"/>
          <a:extLst>
            <a:ext uri="{FF2B5EF4-FFF2-40B4-BE49-F238E27FC236}">
              <a16:creationId xmlns:a16="http://schemas.microsoft.com/office/drawing/2014/main" id="{F3701CBD-86E3-5678-ED5C-43E302EB164F}"/>
            </a:ext>
          </a:extLst>
        </xdr:cNvPr>
        <xdr:cNvSpPr>
          <a:spLocks noChangeAspect="1" noChangeArrowheads="1"/>
        </xdr:cNvSpPr>
      </xdr:nvSpPr>
      <xdr:spPr bwMode="auto">
        <a:xfrm>
          <a:off x="0" y="1325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0</xdr:row>
      <xdr:rowOff>200025</xdr:rowOff>
    </xdr:to>
    <xdr:sp macro="" textlink="">
      <xdr:nvSpPr>
        <xdr:cNvPr id="10247" name="AutoShape 7" descr="BetMGM UK">
          <a:hlinkClick xmlns:r="http://schemas.openxmlformats.org/officeDocument/2006/relationships" r:id="rId3" tgtFrame="_blank"/>
          <a:extLst>
            <a:ext uri="{FF2B5EF4-FFF2-40B4-BE49-F238E27FC236}">
              <a16:creationId xmlns:a16="http://schemas.microsoft.com/office/drawing/2014/main" id="{DA1A20D4-222B-E445-D343-82554DDB876A}"/>
            </a:ext>
          </a:extLst>
        </xdr:cNvPr>
        <xdr:cNvSpPr>
          <a:spLocks noChangeAspect="1" noChangeArrowheads="1"/>
        </xdr:cNvSpPr>
      </xdr:nvSpPr>
      <xdr:spPr bwMode="auto">
        <a:xfrm>
          <a:off x="0" y="1421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0</xdr:row>
      <xdr:rowOff>0</xdr:rowOff>
    </xdr:from>
    <xdr:to>
      <xdr:col>2</xdr:col>
      <xdr:colOff>304800</xdr:colOff>
      <xdr:row>0</xdr:row>
      <xdr:rowOff>200025</xdr:rowOff>
    </xdr:to>
    <xdr:sp macro="" textlink="">
      <xdr:nvSpPr>
        <xdr:cNvPr id="10249" name="AutoShape 9" descr="Skybet">
          <a:hlinkClick xmlns:r="http://schemas.openxmlformats.org/officeDocument/2006/relationships" r:id="rId4" tgtFrame="_blank" tooltip="Skybet"/>
          <a:extLst>
            <a:ext uri="{FF2B5EF4-FFF2-40B4-BE49-F238E27FC236}">
              <a16:creationId xmlns:a16="http://schemas.microsoft.com/office/drawing/2014/main" id="{41E577D5-BC0F-BC0F-CAA1-E33D2B092B6F}"/>
            </a:ext>
          </a:extLst>
        </xdr:cNvPr>
        <xdr:cNvSpPr>
          <a:spLocks noChangeAspect="1" noChangeArrowheads="1"/>
        </xdr:cNvSpPr>
      </xdr:nvSpPr>
      <xdr:spPr bwMode="auto">
        <a:xfrm>
          <a:off x="1219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0</xdr:row>
      <xdr:rowOff>0</xdr:rowOff>
    </xdr:from>
    <xdr:to>
      <xdr:col>3</xdr:col>
      <xdr:colOff>304800</xdr:colOff>
      <xdr:row>0</xdr:row>
      <xdr:rowOff>200025</xdr:rowOff>
    </xdr:to>
    <xdr:sp macro="" textlink="">
      <xdr:nvSpPr>
        <xdr:cNvPr id="10250" name="AutoShape 10" descr="Paddy Power">
          <a:hlinkClick xmlns:r="http://schemas.openxmlformats.org/officeDocument/2006/relationships" r:id="rId4" tgtFrame="_blank" tooltip="Paddy Power"/>
          <a:extLst>
            <a:ext uri="{FF2B5EF4-FFF2-40B4-BE49-F238E27FC236}">
              <a16:creationId xmlns:a16="http://schemas.microsoft.com/office/drawing/2014/main" id="{3F139D9E-FAFE-E549-5E64-CCFC335CFF04}"/>
            </a:ext>
          </a:extLst>
        </xdr:cNvPr>
        <xdr:cNvSpPr>
          <a:spLocks noChangeAspect="1" noChangeArrowheads="1"/>
        </xdr:cNvSpPr>
      </xdr:nvSpPr>
      <xdr:spPr bwMode="auto">
        <a:xfrm>
          <a:off x="1828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0</xdr:row>
      <xdr:rowOff>0</xdr:rowOff>
    </xdr:from>
    <xdr:to>
      <xdr:col>4</xdr:col>
      <xdr:colOff>304800</xdr:colOff>
      <xdr:row>0</xdr:row>
      <xdr:rowOff>200025</xdr:rowOff>
    </xdr:to>
    <xdr:sp macro="" textlink="">
      <xdr:nvSpPr>
        <xdr:cNvPr id="10251" name="AutoShape 11" descr="William Hill">
          <a:hlinkClick xmlns:r="http://schemas.openxmlformats.org/officeDocument/2006/relationships" r:id="rId4" tgtFrame="_blank" tooltip="William Hill"/>
          <a:extLst>
            <a:ext uri="{FF2B5EF4-FFF2-40B4-BE49-F238E27FC236}">
              <a16:creationId xmlns:a16="http://schemas.microsoft.com/office/drawing/2014/main" id="{547BAD40-1D5E-5ABE-6F9E-A02B24D6D91F}"/>
            </a:ext>
          </a:extLst>
        </xdr:cNvPr>
        <xdr:cNvSpPr>
          <a:spLocks noChangeAspect="1" noChangeArrowheads="1"/>
        </xdr:cNvSpPr>
      </xdr:nvSpPr>
      <xdr:spPr bwMode="auto">
        <a:xfrm>
          <a:off x="2438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0</xdr:row>
      <xdr:rowOff>0</xdr:rowOff>
    </xdr:from>
    <xdr:to>
      <xdr:col>5</xdr:col>
      <xdr:colOff>304800</xdr:colOff>
      <xdr:row>0</xdr:row>
      <xdr:rowOff>200025</xdr:rowOff>
    </xdr:to>
    <xdr:sp macro="" textlink="">
      <xdr:nvSpPr>
        <xdr:cNvPr id="10252" name="AutoShape 12" descr="888sport">
          <a:hlinkClick xmlns:r="http://schemas.openxmlformats.org/officeDocument/2006/relationships" r:id="rId4" tgtFrame="_blank" tooltip="888sport"/>
          <a:extLst>
            <a:ext uri="{FF2B5EF4-FFF2-40B4-BE49-F238E27FC236}">
              <a16:creationId xmlns:a16="http://schemas.microsoft.com/office/drawing/2014/main" id="{18DAC7EC-EC42-DCE0-039E-AAFAD3DF7954}"/>
            </a:ext>
          </a:extLst>
        </xdr:cNvPr>
        <xdr:cNvSpPr>
          <a:spLocks noChangeAspect="1" noChangeArrowheads="1"/>
        </xdr:cNvSpPr>
      </xdr:nvSpPr>
      <xdr:spPr bwMode="auto">
        <a:xfrm>
          <a:off x="3048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0</xdr:row>
      <xdr:rowOff>0</xdr:rowOff>
    </xdr:from>
    <xdr:to>
      <xdr:col>6</xdr:col>
      <xdr:colOff>304800</xdr:colOff>
      <xdr:row>0</xdr:row>
      <xdr:rowOff>200025</xdr:rowOff>
    </xdr:to>
    <xdr:sp macro="" textlink="">
      <xdr:nvSpPr>
        <xdr:cNvPr id="10253" name="AutoShape 13" descr="Betfair Sportsbook">
          <a:hlinkClick xmlns:r="http://schemas.openxmlformats.org/officeDocument/2006/relationships" r:id="rId4" tgtFrame="_blank" tooltip="Betfair Sportsbook"/>
          <a:extLst>
            <a:ext uri="{FF2B5EF4-FFF2-40B4-BE49-F238E27FC236}">
              <a16:creationId xmlns:a16="http://schemas.microsoft.com/office/drawing/2014/main" id="{F61140D7-96FC-E835-F960-EB4DD008D252}"/>
            </a:ext>
          </a:extLst>
        </xdr:cNvPr>
        <xdr:cNvSpPr>
          <a:spLocks noChangeAspect="1" noChangeArrowheads="1"/>
        </xdr:cNvSpPr>
      </xdr:nvSpPr>
      <xdr:spPr bwMode="auto">
        <a:xfrm>
          <a:off x="3657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0</xdr:row>
      <xdr:rowOff>0</xdr:rowOff>
    </xdr:from>
    <xdr:to>
      <xdr:col>7</xdr:col>
      <xdr:colOff>304800</xdr:colOff>
      <xdr:row>0</xdr:row>
      <xdr:rowOff>200025</xdr:rowOff>
    </xdr:to>
    <xdr:sp macro="" textlink="">
      <xdr:nvSpPr>
        <xdr:cNvPr id="10254" name="AutoShape 14" descr="Bet Victor">
          <a:hlinkClick xmlns:r="http://schemas.openxmlformats.org/officeDocument/2006/relationships" r:id="rId4" tgtFrame="_blank" tooltip="Bet Victor"/>
          <a:extLst>
            <a:ext uri="{FF2B5EF4-FFF2-40B4-BE49-F238E27FC236}">
              <a16:creationId xmlns:a16="http://schemas.microsoft.com/office/drawing/2014/main" id="{D68DC625-2F77-A29E-7F81-A563422A32EB}"/>
            </a:ext>
          </a:extLst>
        </xdr:cNvPr>
        <xdr:cNvSpPr>
          <a:spLocks noChangeAspect="1" noChangeArrowheads="1"/>
        </xdr:cNvSpPr>
      </xdr:nvSpPr>
      <xdr:spPr bwMode="auto">
        <a:xfrm>
          <a:off x="4267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0</xdr:row>
      <xdr:rowOff>0</xdr:rowOff>
    </xdr:from>
    <xdr:to>
      <xdr:col>8</xdr:col>
      <xdr:colOff>304800</xdr:colOff>
      <xdr:row>0</xdr:row>
      <xdr:rowOff>200025</xdr:rowOff>
    </xdr:to>
    <xdr:sp macro="" textlink="">
      <xdr:nvSpPr>
        <xdr:cNvPr id="10255" name="AutoShape 15" descr="Coral">
          <a:hlinkClick xmlns:r="http://schemas.openxmlformats.org/officeDocument/2006/relationships" r:id="rId4" tgtFrame="_blank" tooltip="Coral"/>
          <a:extLst>
            <a:ext uri="{FF2B5EF4-FFF2-40B4-BE49-F238E27FC236}">
              <a16:creationId xmlns:a16="http://schemas.microsoft.com/office/drawing/2014/main" id="{EEC4D36C-2EE1-CF3F-AFF1-BDCD3C155F64}"/>
            </a:ext>
          </a:extLst>
        </xdr:cNvPr>
        <xdr:cNvSpPr>
          <a:spLocks noChangeAspect="1" noChangeArrowheads="1"/>
        </xdr:cNvSpPr>
      </xdr:nvSpPr>
      <xdr:spPr bwMode="auto">
        <a:xfrm>
          <a:off x="4876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0</xdr:row>
      <xdr:rowOff>0</xdr:rowOff>
    </xdr:from>
    <xdr:to>
      <xdr:col>9</xdr:col>
      <xdr:colOff>304800</xdr:colOff>
      <xdr:row>0</xdr:row>
      <xdr:rowOff>200025</xdr:rowOff>
    </xdr:to>
    <xdr:sp macro="" textlink="">
      <xdr:nvSpPr>
        <xdr:cNvPr id="10256" name="AutoShape 16" descr="Unibet">
          <a:hlinkClick xmlns:r="http://schemas.openxmlformats.org/officeDocument/2006/relationships" r:id="rId4" tgtFrame="_blank" tooltip="Unibet"/>
          <a:extLst>
            <a:ext uri="{FF2B5EF4-FFF2-40B4-BE49-F238E27FC236}">
              <a16:creationId xmlns:a16="http://schemas.microsoft.com/office/drawing/2014/main" id="{94E4C631-C631-3CF8-E957-88DD1DE35586}"/>
            </a:ext>
          </a:extLst>
        </xdr:cNvPr>
        <xdr:cNvSpPr>
          <a:spLocks noChangeAspect="1" noChangeArrowheads="1"/>
        </xdr:cNvSpPr>
      </xdr:nvSpPr>
      <xdr:spPr bwMode="auto">
        <a:xfrm>
          <a:off x="5486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0</xdr:row>
      <xdr:rowOff>0</xdr:rowOff>
    </xdr:from>
    <xdr:to>
      <xdr:col>10</xdr:col>
      <xdr:colOff>304800</xdr:colOff>
      <xdr:row>0</xdr:row>
      <xdr:rowOff>200025</xdr:rowOff>
    </xdr:to>
    <xdr:sp macro="" textlink="">
      <xdr:nvSpPr>
        <xdr:cNvPr id="10257" name="AutoShape 17" descr="Spreadex">
          <a:hlinkClick xmlns:r="http://schemas.openxmlformats.org/officeDocument/2006/relationships" r:id="rId4" tgtFrame="_blank" tooltip="Spreadex"/>
          <a:extLst>
            <a:ext uri="{FF2B5EF4-FFF2-40B4-BE49-F238E27FC236}">
              <a16:creationId xmlns:a16="http://schemas.microsoft.com/office/drawing/2014/main" id="{FD1589E9-20D4-F96F-9FBE-F78613499911}"/>
            </a:ext>
          </a:extLst>
        </xdr:cNvPr>
        <xdr:cNvSpPr>
          <a:spLocks noChangeAspect="1" noChangeArrowheads="1"/>
        </xdr:cNvSpPr>
      </xdr:nvSpPr>
      <xdr:spPr bwMode="auto">
        <a:xfrm>
          <a:off x="6096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0</xdr:row>
      <xdr:rowOff>0</xdr:rowOff>
    </xdr:from>
    <xdr:to>
      <xdr:col>11</xdr:col>
      <xdr:colOff>304800</xdr:colOff>
      <xdr:row>0</xdr:row>
      <xdr:rowOff>200025</xdr:rowOff>
    </xdr:to>
    <xdr:sp macro="" textlink="">
      <xdr:nvSpPr>
        <xdr:cNvPr id="10258" name="AutoShape 18" descr="Betfred">
          <a:hlinkClick xmlns:r="http://schemas.openxmlformats.org/officeDocument/2006/relationships" r:id="rId4" tgtFrame="_blank" tooltip="Betfred"/>
          <a:extLst>
            <a:ext uri="{FF2B5EF4-FFF2-40B4-BE49-F238E27FC236}">
              <a16:creationId xmlns:a16="http://schemas.microsoft.com/office/drawing/2014/main" id="{A5F23378-1078-CF2B-B29C-95603C5B0184}"/>
            </a:ext>
          </a:extLst>
        </xdr:cNvPr>
        <xdr:cNvSpPr>
          <a:spLocks noChangeAspect="1" noChangeArrowheads="1"/>
        </xdr:cNvSpPr>
      </xdr:nvSpPr>
      <xdr:spPr bwMode="auto">
        <a:xfrm>
          <a:off x="6705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0</xdr:row>
      <xdr:rowOff>0</xdr:rowOff>
    </xdr:from>
    <xdr:to>
      <xdr:col>12</xdr:col>
      <xdr:colOff>304800</xdr:colOff>
      <xdr:row>0</xdr:row>
      <xdr:rowOff>200025</xdr:rowOff>
    </xdr:to>
    <xdr:sp macro="" textlink="">
      <xdr:nvSpPr>
        <xdr:cNvPr id="10259" name="AutoShape 19" descr="BetMGM UK">
          <a:hlinkClick xmlns:r="http://schemas.openxmlformats.org/officeDocument/2006/relationships" r:id="rId4" tgtFrame="_blank" tooltip="BetMGM UK"/>
          <a:extLst>
            <a:ext uri="{FF2B5EF4-FFF2-40B4-BE49-F238E27FC236}">
              <a16:creationId xmlns:a16="http://schemas.microsoft.com/office/drawing/2014/main" id="{6A8DB572-1DF8-2720-4EA3-5F5D9B7F8057}"/>
            </a:ext>
          </a:extLst>
        </xdr:cNvPr>
        <xdr:cNvSpPr>
          <a:spLocks noChangeAspect="1" noChangeArrowheads="1"/>
        </xdr:cNvSpPr>
      </xdr:nvSpPr>
      <xdr:spPr bwMode="auto">
        <a:xfrm>
          <a:off x="7315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0</xdr:row>
      <xdr:rowOff>0</xdr:rowOff>
    </xdr:from>
    <xdr:to>
      <xdr:col>13</xdr:col>
      <xdr:colOff>304800</xdr:colOff>
      <xdr:row>0</xdr:row>
      <xdr:rowOff>200025</xdr:rowOff>
    </xdr:to>
    <xdr:sp macro="" textlink="">
      <xdr:nvSpPr>
        <xdr:cNvPr id="10260" name="AutoShape 20" descr="BoyleSports">
          <a:hlinkClick xmlns:r="http://schemas.openxmlformats.org/officeDocument/2006/relationships" r:id="rId4" tgtFrame="_blank" tooltip="BoyleSports"/>
          <a:extLst>
            <a:ext uri="{FF2B5EF4-FFF2-40B4-BE49-F238E27FC236}">
              <a16:creationId xmlns:a16="http://schemas.microsoft.com/office/drawing/2014/main" id="{66C2E584-72D0-75EC-C09A-228A1B863229}"/>
            </a:ext>
          </a:extLst>
        </xdr:cNvPr>
        <xdr:cNvSpPr>
          <a:spLocks noChangeAspect="1" noChangeArrowheads="1"/>
        </xdr:cNvSpPr>
      </xdr:nvSpPr>
      <xdr:spPr bwMode="auto">
        <a:xfrm>
          <a:off x="7924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0</xdr:row>
      <xdr:rowOff>0</xdr:rowOff>
    </xdr:from>
    <xdr:to>
      <xdr:col>14</xdr:col>
      <xdr:colOff>304800</xdr:colOff>
      <xdr:row>0</xdr:row>
      <xdr:rowOff>200025</xdr:rowOff>
    </xdr:to>
    <xdr:sp macro="" textlink="">
      <xdr:nvSpPr>
        <xdr:cNvPr id="10261" name="AutoShape 21" descr="10bet">
          <a:hlinkClick xmlns:r="http://schemas.openxmlformats.org/officeDocument/2006/relationships" r:id="rId4" tgtFrame="_blank" tooltip="10bet"/>
          <a:extLst>
            <a:ext uri="{FF2B5EF4-FFF2-40B4-BE49-F238E27FC236}">
              <a16:creationId xmlns:a16="http://schemas.microsoft.com/office/drawing/2014/main" id="{F6ECAEDC-27ED-75F2-FD27-F3A74506D8CC}"/>
            </a:ext>
          </a:extLst>
        </xdr:cNvPr>
        <xdr:cNvSpPr>
          <a:spLocks noChangeAspect="1" noChangeArrowheads="1"/>
        </xdr:cNvSpPr>
      </xdr:nvSpPr>
      <xdr:spPr bwMode="auto">
        <a:xfrm>
          <a:off x="8534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0</xdr:row>
      <xdr:rowOff>0</xdr:rowOff>
    </xdr:from>
    <xdr:to>
      <xdr:col>15</xdr:col>
      <xdr:colOff>304800</xdr:colOff>
      <xdr:row>0</xdr:row>
      <xdr:rowOff>200025</xdr:rowOff>
    </xdr:to>
    <xdr:sp macro="" textlink="">
      <xdr:nvSpPr>
        <xdr:cNvPr id="10262" name="AutoShape 22" descr="Star Sports">
          <a:hlinkClick xmlns:r="http://schemas.openxmlformats.org/officeDocument/2006/relationships" r:id="rId4" tgtFrame="_blank" tooltip="Star Sports"/>
          <a:extLst>
            <a:ext uri="{FF2B5EF4-FFF2-40B4-BE49-F238E27FC236}">
              <a16:creationId xmlns:a16="http://schemas.microsoft.com/office/drawing/2014/main" id="{48582067-D9EB-3CD8-2F7C-EB0EA2C53F23}"/>
            </a:ext>
          </a:extLst>
        </xdr:cNvPr>
        <xdr:cNvSpPr>
          <a:spLocks noChangeAspect="1" noChangeArrowheads="1"/>
        </xdr:cNvSpPr>
      </xdr:nvSpPr>
      <xdr:spPr bwMode="auto">
        <a:xfrm>
          <a:off x="9144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0</xdr:row>
      <xdr:rowOff>0</xdr:rowOff>
    </xdr:from>
    <xdr:to>
      <xdr:col>16</xdr:col>
      <xdr:colOff>304800</xdr:colOff>
      <xdr:row>0</xdr:row>
      <xdr:rowOff>200025</xdr:rowOff>
    </xdr:to>
    <xdr:sp macro="" textlink="">
      <xdr:nvSpPr>
        <xdr:cNvPr id="10263" name="AutoShape 23" descr="BetUK">
          <a:hlinkClick xmlns:r="http://schemas.openxmlformats.org/officeDocument/2006/relationships" r:id="rId4" tgtFrame="_blank" tooltip="BetUK"/>
          <a:extLst>
            <a:ext uri="{FF2B5EF4-FFF2-40B4-BE49-F238E27FC236}">
              <a16:creationId xmlns:a16="http://schemas.microsoft.com/office/drawing/2014/main" id="{BC74C23B-4F62-6F07-1059-397F56ABF908}"/>
            </a:ext>
          </a:extLst>
        </xdr:cNvPr>
        <xdr:cNvSpPr>
          <a:spLocks noChangeAspect="1" noChangeArrowheads="1"/>
        </xdr:cNvSpPr>
      </xdr:nvSpPr>
      <xdr:spPr bwMode="auto">
        <a:xfrm>
          <a:off x="9753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17</xdr:col>
      <xdr:colOff>0</xdr:colOff>
      <xdr:row>0</xdr:row>
      <xdr:rowOff>0</xdr:rowOff>
    </xdr:from>
    <xdr:to>
      <xdr:col>17</xdr:col>
      <xdr:colOff>304800</xdr:colOff>
      <xdr:row>0</xdr:row>
      <xdr:rowOff>200025</xdr:rowOff>
    </xdr:to>
    <xdr:sp macro="" textlink="">
      <xdr:nvSpPr>
        <xdr:cNvPr id="10264" name="AutoShape 24" descr="Sporting Index">
          <a:hlinkClick xmlns:r="http://schemas.openxmlformats.org/officeDocument/2006/relationships" r:id="rId4" tgtFrame="_blank" tooltip="Sporting Index"/>
          <a:extLst>
            <a:ext uri="{FF2B5EF4-FFF2-40B4-BE49-F238E27FC236}">
              <a16:creationId xmlns:a16="http://schemas.microsoft.com/office/drawing/2014/main" id="{4F5DD60F-5ED4-F613-7B06-0AAB30BA628B}"/>
            </a:ext>
          </a:extLst>
        </xdr:cNvPr>
        <xdr:cNvSpPr>
          <a:spLocks noChangeAspect="1" noChangeArrowheads="1"/>
        </xdr:cNvSpPr>
      </xdr:nvSpPr>
      <xdr:spPr bwMode="auto">
        <a:xfrm>
          <a:off x="10363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0</xdr:colOff>
      <xdr:row>0</xdr:row>
      <xdr:rowOff>0</xdr:rowOff>
    </xdr:from>
    <xdr:to>
      <xdr:col>18</xdr:col>
      <xdr:colOff>304800</xdr:colOff>
      <xdr:row>0</xdr:row>
      <xdr:rowOff>200025</xdr:rowOff>
    </xdr:to>
    <xdr:sp macro="" textlink="">
      <xdr:nvSpPr>
        <xdr:cNvPr id="10265" name="AutoShape 25" descr="LiveScore Bet">
          <a:hlinkClick xmlns:r="http://schemas.openxmlformats.org/officeDocument/2006/relationships" r:id="rId4" tgtFrame="_blank" tooltip="LiveScore Bet"/>
          <a:extLst>
            <a:ext uri="{FF2B5EF4-FFF2-40B4-BE49-F238E27FC236}">
              <a16:creationId xmlns:a16="http://schemas.microsoft.com/office/drawing/2014/main" id="{0070083E-C092-A666-BFE7-2E464FFD25D3}"/>
            </a:ext>
          </a:extLst>
        </xdr:cNvPr>
        <xdr:cNvSpPr>
          <a:spLocks noChangeAspect="1" noChangeArrowheads="1"/>
        </xdr:cNvSpPr>
      </xdr:nvSpPr>
      <xdr:spPr bwMode="auto">
        <a:xfrm>
          <a:off x="10972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0</xdr:colOff>
      <xdr:row>0</xdr:row>
      <xdr:rowOff>0</xdr:rowOff>
    </xdr:from>
    <xdr:to>
      <xdr:col>19</xdr:col>
      <xdr:colOff>304800</xdr:colOff>
      <xdr:row>0</xdr:row>
      <xdr:rowOff>200025</xdr:rowOff>
    </xdr:to>
    <xdr:sp macro="" textlink="">
      <xdr:nvSpPr>
        <xdr:cNvPr id="10266" name="AutoShape 26" descr="QuinnBet">
          <a:hlinkClick xmlns:r="http://schemas.openxmlformats.org/officeDocument/2006/relationships" r:id="rId4" tgtFrame="_blank" tooltip="QuinnBet"/>
          <a:extLst>
            <a:ext uri="{FF2B5EF4-FFF2-40B4-BE49-F238E27FC236}">
              <a16:creationId xmlns:a16="http://schemas.microsoft.com/office/drawing/2014/main" id="{92D0A18E-0481-3E7F-A784-2EB202746485}"/>
            </a:ext>
          </a:extLst>
        </xdr:cNvPr>
        <xdr:cNvSpPr>
          <a:spLocks noChangeAspect="1" noChangeArrowheads="1"/>
        </xdr:cNvSpPr>
      </xdr:nvSpPr>
      <xdr:spPr bwMode="auto">
        <a:xfrm>
          <a:off x="115824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20</xdr:col>
      <xdr:colOff>0</xdr:colOff>
      <xdr:row>0</xdr:row>
      <xdr:rowOff>0</xdr:rowOff>
    </xdr:from>
    <xdr:to>
      <xdr:col>20</xdr:col>
      <xdr:colOff>304800</xdr:colOff>
      <xdr:row>0</xdr:row>
      <xdr:rowOff>200025</xdr:rowOff>
    </xdr:to>
    <xdr:sp macro="" textlink="">
      <xdr:nvSpPr>
        <xdr:cNvPr id="10267" name="AutoShape 27" descr="Betway">
          <a:hlinkClick xmlns:r="http://schemas.openxmlformats.org/officeDocument/2006/relationships" r:id="rId4" tgtFrame="_blank" tooltip="Betway"/>
          <a:extLst>
            <a:ext uri="{FF2B5EF4-FFF2-40B4-BE49-F238E27FC236}">
              <a16:creationId xmlns:a16="http://schemas.microsoft.com/office/drawing/2014/main" id="{76C9F0C2-F205-7238-1FE4-A14FE6708A35}"/>
            </a:ext>
          </a:extLst>
        </xdr:cNvPr>
        <xdr:cNvSpPr>
          <a:spLocks noChangeAspect="1" noChangeArrowheads="1"/>
        </xdr:cNvSpPr>
      </xdr:nvSpPr>
      <xdr:spPr bwMode="auto">
        <a:xfrm>
          <a:off x="12192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21</xdr:col>
      <xdr:colOff>0</xdr:colOff>
      <xdr:row>0</xdr:row>
      <xdr:rowOff>0</xdr:rowOff>
    </xdr:from>
    <xdr:to>
      <xdr:col>21</xdr:col>
      <xdr:colOff>304800</xdr:colOff>
      <xdr:row>0</xdr:row>
      <xdr:rowOff>200025</xdr:rowOff>
    </xdr:to>
    <xdr:sp macro="" textlink="">
      <xdr:nvSpPr>
        <xdr:cNvPr id="10268" name="AutoShape 28" descr="Ladbrokes">
          <a:hlinkClick xmlns:r="http://schemas.openxmlformats.org/officeDocument/2006/relationships" r:id="rId4" tgtFrame="_blank" tooltip="Ladbrokes"/>
          <a:extLst>
            <a:ext uri="{FF2B5EF4-FFF2-40B4-BE49-F238E27FC236}">
              <a16:creationId xmlns:a16="http://schemas.microsoft.com/office/drawing/2014/main" id="{4DC4C889-7BD1-DD76-A513-4D54AAB7C7D9}"/>
            </a:ext>
          </a:extLst>
        </xdr:cNvPr>
        <xdr:cNvSpPr>
          <a:spLocks noChangeAspect="1" noChangeArrowheads="1"/>
        </xdr:cNvSpPr>
      </xdr:nvSpPr>
      <xdr:spPr bwMode="auto">
        <a:xfrm>
          <a:off x="12801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22</xdr:col>
      <xdr:colOff>0</xdr:colOff>
      <xdr:row>0</xdr:row>
      <xdr:rowOff>0</xdr:rowOff>
    </xdr:from>
    <xdr:to>
      <xdr:col>22</xdr:col>
      <xdr:colOff>304800</xdr:colOff>
      <xdr:row>0</xdr:row>
      <xdr:rowOff>200025</xdr:rowOff>
    </xdr:to>
    <xdr:sp macro="" textlink="">
      <xdr:nvSpPr>
        <xdr:cNvPr id="10269" name="AutoShape 29" descr="BetGoodwin">
          <a:hlinkClick xmlns:r="http://schemas.openxmlformats.org/officeDocument/2006/relationships" r:id="rId4" tgtFrame="_blank" tooltip="BetGoodwin"/>
          <a:extLst>
            <a:ext uri="{FF2B5EF4-FFF2-40B4-BE49-F238E27FC236}">
              <a16:creationId xmlns:a16="http://schemas.microsoft.com/office/drawing/2014/main" id="{F117AF7B-3E5F-C6B7-CAA3-AEF24AAFEA06}"/>
            </a:ext>
          </a:extLst>
        </xdr:cNvPr>
        <xdr:cNvSpPr>
          <a:spLocks noChangeAspect="1" noChangeArrowheads="1"/>
        </xdr:cNvSpPr>
      </xdr:nvSpPr>
      <xdr:spPr bwMode="auto">
        <a:xfrm>
          <a:off x="134112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23</xdr:col>
      <xdr:colOff>0</xdr:colOff>
      <xdr:row>0</xdr:row>
      <xdr:rowOff>0</xdr:rowOff>
    </xdr:from>
    <xdr:to>
      <xdr:col>23</xdr:col>
      <xdr:colOff>304800</xdr:colOff>
      <xdr:row>0</xdr:row>
      <xdr:rowOff>200025</xdr:rowOff>
    </xdr:to>
    <xdr:sp macro="" textlink="">
      <xdr:nvSpPr>
        <xdr:cNvPr id="10270" name="AutoShape 30" descr="VBet">
          <a:hlinkClick xmlns:r="http://schemas.openxmlformats.org/officeDocument/2006/relationships" r:id="rId4" tgtFrame="_blank" tooltip="VBet"/>
          <a:extLst>
            <a:ext uri="{FF2B5EF4-FFF2-40B4-BE49-F238E27FC236}">
              <a16:creationId xmlns:a16="http://schemas.microsoft.com/office/drawing/2014/main" id="{3994EFB2-B85D-ADAE-39C7-B7F8AA1C9F23}"/>
            </a:ext>
          </a:extLst>
        </xdr:cNvPr>
        <xdr:cNvSpPr>
          <a:spLocks noChangeAspect="1" noChangeArrowheads="1"/>
        </xdr:cNvSpPr>
      </xdr:nvSpPr>
      <xdr:spPr bwMode="auto">
        <a:xfrm>
          <a:off x="140208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24</xdr:col>
      <xdr:colOff>0</xdr:colOff>
      <xdr:row>0</xdr:row>
      <xdr:rowOff>0</xdr:rowOff>
    </xdr:from>
    <xdr:to>
      <xdr:col>24</xdr:col>
      <xdr:colOff>304800</xdr:colOff>
      <xdr:row>0</xdr:row>
      <xdr:rowOff>200025</xdr:rowOff>
    </xdr:to>
    <xdr:sp macro="" textlink="">
      <xdr:nvSpPr>
        <xdr:cNvPr id="10271" name="AutoShape 31" descr="Betfair">
          <a:hlinkClick xmlns:r="http://schemas.openxmlformats.org/officeDocument/2006/relationships" r:id="rId4" tgtFrame="_blank" tooltip="Betfair"/>
          <a:extLst>
            <a:ext uri="{FF2B5EF4-FFF2-40B4-BE49-F238E27FC236}">
              <a16:creationId xmlns:a16="http://schemas.microsoft.com/office/drawing/2014/main" id="{9BC1B512-667B-7D0B-5AAF-4BF0D5704FCA}"/>
            </a:ext>
          </a:extLst>
        </xdr:cNvPr>
        <xdr:cNvSpPr>
          <a:spLocks noChangeAspect="1" noChangeArrowheads="1"/>
        </xdr:cNvSpPr>
      </xdr:nvSpPr>
      <xdr:spPr bwMode="auto">
        <a:xfrm>
          <a:off x="152400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26</xdr:col>
      <xdr:colOff>0</xdr:colOff>
      <xdr:row>0</xdr:row>
      <xdr:rowOff>0</xdr:rowOff>
    </xdr:from>
    <xdr:to>
      <xdr:col>26</xdr:col>
      <xdr:colOff>304800</xdr:colOff>
      <xdr:row>0</xdr:row>
      <xdr:rowOff>200025</xdr:rowOff>
    </xdr:to>
    <xdr:sp macro="" textlink="">
      <xdr:nvSpPr>
        <xdr:cNvPr id="10272" name="AutoShape 32" descr="Matchbook">
          <a:hlinkClick xmlns:r="http://schemas.openxmlformats.org/officeDocument/2006/relationships" r:id="rId4" tgtFrame="_blank" tooltip="Matchbook"/>
          <a:extLst>
            <a:ext uri="{FF2B5EF4-FFF2-40B4-BE49-F238E27FC236}">
              <a16:creationId xmlns:a16="http://schemas.microsoft.com/office/drawing/2014/main" id="{D6AC2867-E16B-C4C8-1DD6-84EDA9363201}"/>
            </a:ext>
          </a:extLst>
        </xdr:cNvPr>
        <xdr:cNvSpPr>
          <a:spLocks noChangeAspect="1" noChangeArrowheads="1"/>
        </xdr:cNvSpPr>
      </xdr:nvSpPr>
      <xdr:spPr bwMode="auto">
        <a:xfrm>
          <a:off x="15849600" y="176117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0</xdr:row>
      <xdr:rowOff>381000</xdr:rowOff>
    </xdr:to>
    <xdr:sp macro="" textlink="">
      <xdr:nvSpPr>
        <xdr:cNvPr id="10276" name="AutoShape 36">
          <a:hlinkClick xmlns:r="http://schemas.openxmlformats.org/officeDocument/2006/relationships" r:id="rId5" tgtFrame="_blank"/>
          <a:extLst>
            <a:ext uri="{FF2B5EF4-FFF2-40B4-BE49-F238E27FC236}">
              <a16:creationId xmlns:a16="http://schemas.microsoft.com/office/drawing/2014/main" id="{DE0A0E3A-D4D1-280A-EDC9-7B618ACAB73B}"/>
            </a:ext>
          </a:extLst>
        </xdr:cNvPr>
        <xdr:cNvSpPr>
          <a:spLocks noChangeAspect="1" noChangeArrowheads="1"/>
        </xdr:cNvSpPr>
      </xdr:nvSpPr>
      <xdr:spPr bwMode="auto">
        <a:xfrm>
          <a:off x="0" y="13908405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381000</xdr:colOff>
      <xdr:row>0</xdr:row>
      <xdr:rowOff>381000</xdr:rowOff>
    </xdr:to>
    <xdr:sp macro="" textlink="">
      <xdr:nvSpPr>
        <xdr:cNvPr id="10277" name="AutoShape 37">
          <a:hlinkClick xmlns:r="http://schemas.openxmlformats.org/officeDocument/2006/relationships" r:id="rId6" tgtFrame="_blank"/>
          <a:extLst>
            <a:ext uri="{FF2B5EF4-FFF2-40B4-BE49-F238E27FC236}">
              <a16:creationId xmlns:a16="http://schemas.microsoft.com/office/drawing/2014/main" id="{59C4DAE4-1583-3659-387C-8E45AE0EC178}"/>
            </a:ext>
          </a:extLst>
        </xdr:cNvPr>
        <xdr:cNvSpPr>
          <a:spLocks noChangeAspect="1" noChangeArrowheads="1"/>
        </xdr:cNvSpPr>
      </xdr:nvSpPr>
      <xdr:spPr bwMode="auto">
        <a:xfrm>
          <a:off x="390525" y="139084050"/>
          <a:ext cx="3810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514350</xdr:colOff>
      <xdr:row>0</xdr:row>
      <xdr:rowOff>123825</xdr:rowOff>
    </xdr:to>
    <xdr:sp macro="" textlink="">
      <xdr:nvSpPr>
        <xdr:cNvPr id="10281" name="AutoShape 41">
          <a:hlinkClick xmlns:r="http://schemas.openxmlformats.org/officeDocument/2006/relationships" r:id="rId7" tgtFrame="_blank" tooltip="GamStop"/>
          <a:extLst>
            <a:ext uri="{FF2B5EF4-FFF2-40B4-BE49-F238E27FC236}">
              <a16:creationId xmlns:a16="http://schemas.microsoft.com/office/drawing/2014/main" id="{06A92545-1BDD-FD01-78F4-A69C1DA7321E}"/>
            </a:ext>
          </a:extLst>
        </xdr:cNvPr>
        <xdr:cNvSpPr>
          <a:spLocks noChangeAspect="1" noChangeArrowheads="1"/>
        </xdr:cNvSpPr>
      </xdr:nvSpPr>
      <xdr:spPr bwMode="auto">
        <a:xfrm>
          <a:off x="0" y="142341600"/>
          <a:ext cx="514350"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523875</xdr:colOff>
      <xdr:row>0</xdr:row>
      <xdr:rowOff>171450</xdr:rowOff>
    </xdr:to>
    <xdr:sp macro="" textlink="">
      <xdr:nvSpPr>
        <xdr:cNvPr id="10283" name="AutoShape 43">
          <a:hlinkClick xmlns:r="http://schemas.openxmlformats.org/officeDocument/2006/relationships" r:id="rId8" tgtFrame="_blank" tooltip="Raig"/>
          <a:extLst>
            <a:ext uri="{FF2B5EF4-FFF2-40B4-BE49-F238E27FC236}">
              <a16:creationId xmlns:a16="http://schemas.microsoft.com/office/drawing/2014/main" id="{E23CD10D-BB9E-CF77-B471-1E02D4605005}"/>
            </a:ext>
          </a:extLst>
        </xdr:cNvPr>
        <xdr:cNvSpPr>
          <a:spLocks noChangeAspect="1" noChangeArrowheads="1"/>
        </xdr:cNvSpPr>
      </xdr:nvSpPr>
      <xdr:spPr bwMode="auto">
        <a:xfrm>
          <a:off x="2200275" y="142341600"/>
          <a:ext cx="523875" cy="171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609598</xdr:colOff>
      <xdr:row>6</xdr:row>
      <xdr:rowOff>186417</xdr:rowOff>
    </xdr:from>
    <xdr:to>
      <xdr:col>20</xdr:col>
      <xdr:colOff>605085</xdr:colOff>
      <xdr:row>27</xdr:row>
      <xdr:rowOff>180622</xdr:rowOff>
    </xdr:to>
    <xdr:graphicFrame macro="">
      <xdr:nvGraphicFramePr>
        <xdr:cNvPr id="8" name="Chart 1">
          <a:extLst>
            <a:ext uri="{FF2B5EF4-FFF2-40B4-BE49-F238E27FC236}">
              <a16:creationId xmlns:a16="http://schemas.microsoft.com/office/drawing/2014/main" id="{5664A370-0D8D-40FA-BCA6-94C057409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1733095</xdr:colOff>
      <xdr:row>7</xdr:row>
      <xdr:rowOff>159575</xdr:rowOff>
    </xdr:from>
    <xdr:ext cx="1070246" cy="1339729"/>
    <xdr:pic>
      <xdr:nvPicPr>
        <xdr:cNvPr id="3" name="Picture 2" descr="PGA Tour - Wikipedia">
          <a:extLst>
            <a:ext uri="{FF2B5EF4-FFF2-40B4-BE49-F238E27FC236}">
              <a16:creationId xmlns:a16="http://schemas.microsoft.com/office/drawing/2014/main" id="{CD8EEC5F-3E12-41AB-9885-F830D1BEF9C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1040381" y="1506682"/>
          <a:ext cx="1070246" cy="133972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xdr:twoCellAnchor>
    <xdr:from>
      <xdr:col>10</xdr:col>
      <xdr:colOff>0</xdr:colOff>
      <xdr:row>1</xdr:row>
      <xdr:rowOff>0</xdr:rowOff>
    </xdr:from>
    <xdr:to>
      <xdr:col>21</xdr:col>
      <xdr:colOff>11206</xdr:colOff>
      <xdr:row>31</xdr:row>
      <xdr:rowOff>168088</xdr:rowOff>
    </xdr:to>
    <xdr:graphicFrame macro="">
      <xdr:nvGraphicFramePr>
        <xdr:cNvPr id="3" name="Chart 2">
          <a:extLst>
            <a:ext uri="{FF2B5EF4-FFF2-40B4-BE49-F238E27FC236}">
              <a16:creationId xmlns:a16="http://schemas.microsoft.com/office/drawing/2014/main" id="{0DED13DD-6666-43A2-8E49-A3CF99D474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17</xdr:col>
      <xdr:colOff>890462</xdr:colOff>
      <xdr:row>77</xdr:row>
      <xdr:rowOff>9402</xdr:rowOff>
    </xdr:from>
    <xdr:to>
      <xdr:col>22</xdr:col>
      <xdr:colOff>381000</xdr:colOff>
      <xdr:row>95</xdr:row>
      <xdr:rowOff>107156</xdr:rowOff>
    </xdr:to>
    <xdr:graphicFrame macro="">
      <xdr:nvGraphicFramePr>
        <xdr:cNvPr id="6" name="Chart 5">
          <a:extLst>
            <a:ext uri="{FF2B5EF4-FFF2-40B4-BE49-F238E27FC236}">
              <a16:creationId xmlns:a16="http://schemas.microsoft.com/office/drawing/2014/main" id="{3FF3581E-B61D-4C50-8F2C-B4C621E74C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605336</xdr:colOff>
      <xdr:row>52</xdr:row>
      <xdr:rowOff>174208</xdr:rowOff>
    </xdr:from>
    <xdr:to>
      <xdr:col>18</xdr:col>
      <xdr:colOff>631031</xdr:colOff>
      <xdr:row>69</xdr:row>
      <xdr:rowOff>11905</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2A13F6FF-667A-4B11-0D3C-7708DAAC39F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1540036" y="10270708"/>
              <a:ext cx="5121570" cy="307619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5952</xdr:colOff>
      <xdr:row>17</xdr:row>
      <xdr:rowOff>176213</xdr:rowOff>
    </xdr:from>
    <xdr:to>
      <xdr:col>18</xdr:col>
      <xdr:colOff>11906</xdr:colOff>
      <xdr:row>32</xdr:row>
      <xdr:rowOff>154781</xdr:rowOff>
    </xdr:to>
    <mc:AlternateContent xmlns:mc="http://schemas.openxmlformats.org/markup-compatibility/2006">
      <mc:Choice xmlns:cx2="http://schemas.microsoft.com/office/drawing/2015/10/21/chartex" Requires="cx2">
        <xdr:graphicFrame macro="">
          <xdr:nvGraphicFramePr>
            <xdr:cNvPr id="3" name="Chart 2">
              <a:extLst>
                <a:ext uri="{FF2B5EF4-FFF2-40B4-BE49-F238E27FC236}">
                  <a16:creationId xmlns:a16="http://schemas.microsoft.com/office/drawing/2014/main" id="{36B574EA-C89D-1B52-64EF-ADC2440F550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550252" y="3519488"/>
              <a:ext cx="4492229" cy="283606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24</xdr:col>
      <xdr:colOff>636984</xdr:colOff>
      <xdr:row>17</xdr:row>
      <xdr:rowOff>176212</xdr:rowOff>
    </xdr:from>
    <xdr:to>
      <xdr:col>29</xdr:col>
      <xdr:colOff>23812</xdr:colOff>
      <xdr:row>33</xdr:row>
      <xdr:rowOff>0</xdr:rowOff>
    </xdr:to>
    <mc:AlternateContent xmlns:mc="http://schemas.openxmlformats.org/markup-compatibility/2006">
      <mc:Choice xmlns:cx2="http://schemas.microsoft.com/office/drawing/2015/10/21/chartex" Requires="cx2">
        <xdr:graphicFrame macro="">
          <xdr:nvGraphicFramePr>
            <xdr:cNvPr id="4" name="Chart 3">
              <a:extLst>
                <a:ext uri="{FF2B5EF4-FFF2-40B4-BE49-F238E27FC236}">
                  <a16:creationId xmlns:a16="http://schemas.microsoft.com/office/drawing/2014/main" id="{A8EE9E40-ABC2-B1E8-AEE1-86B11B3525A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2201584" y="3519487"/>
              <a:ext cx="4739878" cy="287178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25</xdr:col>
      <xdr:colOff>17859</xdr:colOff>
      <xdr:row>52</xdr:row>
      <xdr:rowOff>170259</xdr:rowOff>
    </xdr:from>
    <xdr:to>
      <xdr:col>29</xdr:col>
      <xdr:colOff>23812</xdr:colOff>
      <xdr:row>68</xdr:row>
      <xdr:rowOff>166687</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CDA19BB8-BD7E-6BD4-F94F-2C51C1F2CB8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22239684" y="10266759"/>
              <a:ext cx="4701778" cy="304442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17</xdr:col>
      <xdr:colOff>898922</xdr:colOff>
      <xdr:row>101</xdr:row>
      <xdr:rowOff>3569</xdr:rowOff>
    </xdr:from>
    <xdr:to>
      <xdr:col>22</xdr:col>
      <xdr:colOff>392906</xdr:colOff>
      <xdr:row>119</xdr:row>
      <xdr:rowOff>166686</xdr:rowOff>
    </xdr:to>
    <xdr:graphicFrame macro="">
      <xdr:nvGraphicFramePr>
        <xdr:cNvPr id="7" name="Chart 6">
          <a:extLst>
            <a:ext uri="{FF2B5EF4-FFF2-40B4-BE49-F238E27FC236}">
              <a16:creationId xmlns:a16="http://schemas.microsoft.com/office/drawing/2014/main" id="{925C42C6-ADA5-97E1-4361-0C4F7D2C54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22</xdr:col>
      <xdr:colOff>0</xdr:colOff>
      <xdr:row>45</xdr:row>
      <xdr:rowOff>0</xdr:rowOff>
    </xdr:from>
    <xdr:to>
      <xdr:col>27</xdr:col>
      <xdr:colOff>559594</xdr:colOff>
      <xdr:row>56</xdr:row>
      <xdr:rowOff>190500</xdr:rowOff>
    </xdr:to>
    <mc:AlternateContent xmlns:mc="http://schemas.openxmlformats.org/markup-compatibility/2006">
      <mc:Choice xmlns:cx2="http://schemas.microsoft.com/office/drawing/2015/10/21/chartex" Requires="cx2">
        <xdr:graphicFrame macro="">
          <xdr:nvGraphicFramePr>
            <xdr:cNvPr id="4" name="Chart 3">
              <a:extLst>
                <a:ext uri="{FF2B5EF4-FFF2-40B4-BE49-F238E27FC236}">
                  <a16:creationId xmlns:a16="http://schemas.microsoft.com/office/drawing/2014/main" id="{084B6C8C-15C4-3C67-AEAB-372382F4F2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5992475" y="8715375"/>
              <a:ext cx="3750469" cy="23145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17859</xdr:colOff>
      <xdr:row>18</xdr:row>
      <xdr:rowOff>176213</xdr:rowOff>
    </xdr:from>
    <xdr:to>
      <xdr:col>27</xdr:col>
      <xdr:colOff>583405</xdr:colOff>
      <xdr:row>31</xdr:row>
      <xdr:rowOff>154781</xdr:rowOff>
    </xdr:to>
    <mc:AlternateContent xmlns:mc="http://schemas.openxmlformats.org/markup-compatibility/2006">
      <mc:Choice xmlns:cx2="http://schemas.microsoft.com/office/drawing/2015/10/21/chartex" Requires="cx2">
        <xdr:graphicFrame macro="">
          <xdr:nvGraphicFramePr>
            <xdr:cNvPr id="5" name="Chart 4">
              <a:extLst>
                <a:ext uri="{FF2B5EF4-FFF2-40B4-BE49-F238E27FC236}">
                  <a16:creationId xmlns:a16="http://schemas.microsoft.com/office/drawing/2014/main" id="{98585A3E-2DE3-AB70-9AFF-899280A1744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6010334" y="3700463"/>
              <a:ext cx="3756421" cy="249316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C:/Users/alex_/PGA%20Predictor/2024%20PGA%20Predictor_Pebble.xlsm" TargetMode="External"/><Relationship Id="rId1" Type="http://schemas.openxmlformats.org/officeDocument/2006/relationships/externalLinkPath" Target="2024%20PGA%20Predictor_Peb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IELD"/>
      <sheetName val="DIST"/>
      <sheetName val="ACC"/>
      <sheetName val="APP"/>
      <sheetName val="ARG"/>
      <sheetName val="PUTT"/>
      <sheetName val="SG"/>
      <sheetName val="SGT-5"/>
      <sheetName val="FEDEX"/>
      <sheetName val="CORR Y-1"/>
      <sheetName val="CORR 2Y-1"/>
      <sheetName val="Odds Raw"/>
      <sheetName val="Odds"/>
      <sheetName val="2023"/>
      <sheetName val="Raw Data"/>
      <sheetName val="Course Adjusted Result PGA"/>
      <sheetName val="Course Adjusted Result 2024"/>
      <sheetName val="Picks"/>
      <sheetName val="P&amp;L"/>
      <sheetName val="Pebble"/>
      <sheetName val="Farmers"/>
      <sheetName val="WinnerKPIs"/>
      <sheetName val="Radar Model Fit"/>
      <sheetName val="T10KPIs"/>
      <sheetName val="AMEX"/>
      <sheetName val="Sony Open"/>
      <sheetName val="Sentry"/>
      <sheetName val="2023 Season"/>
      <sheetName val="2023 Sentry"/>
      <sheetName val="2023 Sony"/>
      <sheetName val="2023 AMEX"/>
      <sheetName val="2023 Farmers"/>
      <sheetName val="2023 Pebble"/>
      <sheetName val="2023 Pheonix"/>
      <sheetName val="2023 Genesis"/>
      <sheetName val="2023 Honda"/>
      <sheetName val="2023 Puerto Rico"/>
      <sheetName val="2023 Arnold Palmer"/>
      <sheetName val="2023 PLAYERS"/>
      <sheetName val="2023 Valspar"/>
      <sheetName val="2022 Sentry"/>
      <sheetName val="2022 Sony Open"/>
      <sheetName val="2022 RBC Heritage"/>
      <sheetName val="2022 Farmers"/>
      <sheetName val="2022 Pebble"/>
      <sheetName val="2022 Pheonix"/>
      <sheetName val="2022 Genesis"/>
      <sheetName val="2022 Honda"/>
      <sheetName val="2022 Arnold Palmer"/>
      <sheetName val="2022 PLAYERS"/>
      <sheetName val="2022 Valspar"/>
      <sheetName val="2022 Corales"/>
      <sheetName val="2022 Texas Ope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A2" t="str">
            <v>Rory McIlroy</v>
          </cell>
          <cell r="B2">
            <v>3.1</v>
          </cell>
          <cell r="C2">
            <v>2.63</v>
          </cell>
          <cell r="D2">
            <v>2.75</v>
          </cell>
          <cell r="E2">
            <v>2.8</v>
          </cell>
          <cell r="F2">
            <v>2.88</v>
          </cell>
          <cell r="G2">
            <v>2.75</v>
          </cell>
          <cell r="H2">
            <v>3.1</v>
          </cell>
          <cell r="I2">
            <v>2.75</v>
          </cell>
          <cell r="J2">
            <v>2.85</v>
          </cell>
          <cell r="K2">
            <v>3.1</v>
          </cell>
          <cell r="L2">
            <v>3.1</v>
          </cell>
          <cell r="M2">
            <v>2.85</v>
          </cell>
          <cell r="N2">
            <v>2.2999999999999998</v>
          </cell>
          <cell r="O2">
            <v>2.88</v>
          </cell>
          <cell r="P2">
            <v>2.85</v>
          </cell>
          <cell r="Q2">
            <v>3.1</v>
          </cell>
          <cell r="R2">
            <v>3.1</v>
          </cell>
          <cell r="S2">
            <v>2.75</v>
          </cell>
          <cell r="T2">
            <v>3.1</v>
          </cell>
          <cell r="U2">
            <v>2.69</v>
          </cell>
          <cell r="V2">
            <v>3.5</v>
          </cell>
          <cell r="W2">
            <v>2.65</v>
          </cell>
        </row>
        <row r="3">
          <cell r="A3" t="str">
            <v>Scottie Scheffler</v>
          </cell>
          <cell r="B3">
            <v>3.1</v>
          </cell>
          <cell r="C3">
            <v>2.88</v>
          </cell>
          <cell r="D3">
            <v>2.75</v>
          </cell>
          <cell r="E3">
            <v>2.88</v>
          </cell>
          <cell r="F3">
            <v>3</v>
          </cell>
          <cell r="G3">
            <v>2.75</v>
          </cell>
          <cell r="H3">
            <v>3</v>
          </cell>
          <cell r="I3">
            <v>2.75</v>
          </cell>
          <cell r="J3">
            <v>3</v>
          </cell>
          <cell r="K3">
            <v>2.8</v>
          </cell>
          <cell r="L3">
            <v>3</v>
          </cell>
          <cell r="M3">
            <v>3</v>
          </cell>
          <cell r="N3">
            <v>2.38</v>
          </cell>
          <cell r="O3">
            <v>2.88</v>
          </cell>
          <cell r="P3">
            <v>3</v>
          </cell>
          <cell r="Q3">
            <v>2.8</v>
          </cell>
          <cell r="R3">
            <v>3</v>
          </cell>
          <cell r="S3">
            <v>2.75</v>
          </cell>
          <cell r="T3">
            <v>3</v>
          </cell>
          <cell r="U3">
            <v>2.81</v>
          </cell>
          <cell r="V3">
            <v>3.4</v>
          </cell>
          <cell r="W3">
            <v>2.41</v>
          </cell>
        </row>
        <row r="4">
          <cell r="A4" t="str">
            <v>Viktor Hovland</v>
          </cell>
          <cell r="B4">
            <v>4</v>
          </cell>
          <cell r="C4">
            <v>3.75</v>
          </cell>
          <cell r="D4">
            <v>3.5</v>
          </cell>
          <cell r="E4">
            <v>3.4</v>
          </cell>
          <cell r="F4">
            <v>3.75</v>
          </cell>
          <cell r="G4">
            <v>3.5</v>
          </cell>
          <cell r="H4">
            <v>4</v>
          </cell>
          <cell r="I4">
            <v>3.5</v>
          </cell>
          <cell r="J4">
            <v>3.4</v>
          </cell>
          <cell r="K4">
            <v>3.8</v>
          </cell>
          <cell r="L4">
            <v>4</v>
          </cell>
          <cell r="M4">
            <v>3.4</v>
          </cell>
          <cell r="N4">
            <v>3.2</v>
          </cell>
          <cell r="O4">
            <v>3.75</v>
          </cell>
          <cell r="P4">
            <v>3.4</v>
          </cell>
          <cell r="Q4">
            <v>3.8</v>
          </cell>
          <cell r="R4">
            <v>4</v>
          </cell>
          <cell r="S4">
            <v>3.5</v>
          </cell>
          <cell r="T4">
            <v>4</v>
          </cell>
          <cell r="U4">
            <v>3.63</v>
          </cell>
          <cell r="V4">
            <v>4.33</v>
          </cell>
          <cell r="W4">
            <v>3.3</v>
          </cell>
        </row>
        <row r="5">
          <cell r="A5" t="str">
            <v>Xander Schauffele</v>
          </cell>
          <cell r="B5">
            <v>4</v>
          </cell>
          <cell r="C5">
            <v>4</v>
          </cell>
          <cell r="D5">
            <v>3.5</v>
          </cell>
          <cell r="E5">
            <v>3.75</v>
          </cell>
          <cell r="F5">
            <v>3.75</v>
          </cell>
          <cell r="G5">
            <v>3.5</v>
          </cell>
          <cell r="H5">
            <v>3.75</v>
          </cell>
          <cell r="I5">
            <v>3.5</v>
          </cell>
          <cell r="J5">
            <v>4</v>
          </cell>
          <cell r="K5">
            <v>3.6</v>
          </cell>
          <cell r="L5">
            <v>3.75</v>
          </cell>
          <cell r="M5">
            <v>4</v>
          </cell>
          <cell r="N5">
            <v>3.75</v>
          </cell>
          <cell r="O5">
            <v>4</v>
          </cell>
          <cell r="P5">
            <v>4</v>
          </cell>
          <cell r="Q5">
            <v>3.6</v>
          </cell>
          <cell r="R5">
            <v>3.75</v>
          </cell>
          <cell r="S5">
            <v>3.5</v>
          </cell>
          <cell r="T5">
            <v>3.75</v>
          </cell>
          <cell r="U5">
            <v>3.75</v>
          </cell>
          <cell r="V5">
            <v>3.74</v>
          </cell>
          <cell r="W5">
            <v>2.92</v>
          </cell>
        </row>
        <row r="6">
          <cell r="A6" t="str">
            <v>Max Homa</v>
          </cell>
          <cell r="B6">
            <v>4</v>
          </cell>
          <cell r="C6">
            <v>5</v>
          </cell>
          <cell r="D6">
            <v>4.33</v>
          </cell>
          <cell r="E6">
            <v>4.5</v>
          </cell>
          <cell r="F6">
            <v>4.33</v>
          </cell>
          <cell r="G6">
            <v>4.33</v>
          </cell>
          <cell r="H6">
            <v>4.5999999999999996</v>
          </cell>
          <cell r="I6">
            <v>4.5</v>
          </cell>
          <cell r="J6">
            <v>5</v>
          </cell>
          <cell r="K6">
            <v>4.5</v>
          </cell>
          <cell r="L6">
            <v>4.5999999999999996</v>
          </cell>
          <cell r="M6">
            <v>5</v>
          </cell>
          <cell r="N6">
            <v>4.5</v>
          </cell>
          <cell r="O6">
            <v>5</v>
          </cell>
          <cell r="P6">
            <v>5</v>
          </cell>
          <cell r="Q6">
            <v>4.5</v>
          </cell>
          <cell r="R6">
            <v>4.33</v>
          </cell>
          <cell r="S6">
            <v>4.5</v>
          </cell>
          <cell r="T6">
            <v>4.33</v>
          </cell>
          <cell r="U6">
            <v>4.75</v>
          </cell>
          <cell r="V6">
            <v>5.51</v>
          </cell>
          <cell r="W6">
            <v>5.31</v>
          </cell>
        </row>
        <row r="7">
          <cell r="A7" t="str">
            <v>Jordan Spieth</v>
          </cell>
          <cell r="B7">
            <v>5.25</v>
          </cell>
          <cell r="C7">
            <v>5</v>
          </cell>
          <cell r="D7">
            <v>4.5</v>
          </cell>
          <cell r="E7">
            <v>5</v>
          </cell>
          <cell r="F7">
            <v>4.8</v>
          </cell>
          <cell r="G7">
            <v>4.5</v>
          </cell>
          <cell r="H7">
            <v>4.5999999999999996</v>
          </cell>
          <cell r="I7">
            <v>5</v>
          </cell>
          <cell r="J7">
            <v>5</v>
          </cell>
          <cell r="K7">
            <v>4.75</v>
          </cell>
          <cell r="L7">
            <v>4.5999999999999996</v>
          </cell>
          <cell r="M7">
            <v>5</v>
          </cell>
          <cell r="N7">
            <v>4</v>
          </cell>
          <cell r="O7">
            <v>5</v>
          </cell>
          <cell r="P7">
            <v>5</v>
          </cell>
          <cell r="Q7">
            <v>4.75</v>
          </cell>
          <cell r="R7">
            <v>5</v>
          </cell>
          <cell r="S7">
            <v>5</v>
          </cell>
          <cell r="T7">
            <v>5</v>
          </cell>
          <cell r="U7">
            <v>5</v>
          </cell>
          <cell r="V7">
            <v>6.29</v>
          </cell>
          <cell r="W7">
            <v>6.49</v>
          </cell>
        </row>
        <row r="8">
          <cell r="A8" t="str">
            <v>Collin Morikawa</v>
          </cell>
          <cell r="B8">
            <v>5.25</v>
          </cell>
          <cell r="C8">
            <v>5.5</v>
          </cell>
          <cell r="D8">
            <v>4.5</v>
          </cell>
          <cell r="E8">
            <v>5</v>
          </cell>
          <cell r="F8">
            <v>5</v>
          </cell>
          <cell r="G8">
            <v>4.5</v>
          </cell>
          <cell r="H8">
            <v>5</v>
          </cell>
          <cell r="I8">
            <v>5</v>
          </cell>
          <cell r="J8">
            <v>5</v>
          </cell>
          <cell r="K8">
            <v>4.5</v>
          </cell>
          <cell r="L8">
            <v>5</v>
          </cell>
          <cell r="M8">
            <v>5</v>
          </cell>
          <cell r="N8">
            <v>5</v>
          </cell>
          <cell r="O8">
            <v>5.5</v>
          </cell>
          <cell r="P8">
            <v>5</v>
          </cell>
          <cell r="Q8">
            <v>4.5</v>
          </cell>
          <cell r="R8">
            <v>5</v>
          </cell>
          <cell r="S8">
            <v>5</v>
          </cell>
          <cell r="T8">
            <v>5</v>
          </cell>
          <cell r="U8">
            <v>5.3</v>
          </cell>
          <cell r="V8">
            <v>5.31</v>
          </cell>
          <cell r="W8">
            <v>4.04</v>
          </cell>
        </row>
        <row r="9">
          <cell r="A9" t="str">
            <v>Patrick Cantlay</v>
          </cell>
          <cell r="B9">
            <v>5.25</v>
          </cell>
          <cell r="C9">
            <v>5.5</v>
          </cell>
          <cell r="D9">
            <v>5</v>
          </cell>
          <cell r="E9">
            <v>5</v>
          </cell>
          <cell r="F9">
            <v>4.33</v>
          </cell>
          <cell r="G9">
            <v>5</v>
          </cell>
          <cell r="H9">
            <v>5</v>
          </cell>
          <cell r="I9">
            <v>5</v>
          </cell>
          <cell r="J9">
            <v>5</v>
          </cell>
          <cell r="K9">
            <v>4.75</v>
          </cell>
          <cell r="L9">
            <v>5</v>
          </cell>
          <cell r="M9">
            <v>5</v>
          </cell>
          <cell r="N9">
            <v>4.5</v>
          </cell>
          <cell r="O9">
            <v>5</v>
          </cell>
          <cell r="P9">
            <v>5</v>
          </cell>
          <cell r="Q9">
            <v>4.75</v>
          </cell>
          <cell r="R9">
            <v>5</v>
          </cell>
          <cell r="S9">
            <v>5</v>
          </cell>
          <cell r="T9">
            <v>5</v>
          </cell>
          <cell r="U9">
            <v>5.3</v>
          </cell>
          <cell r="V9">
            <v>5.51</v>
          </cell>
          <cell r="W9">
            <v>5.21</v>
          </cell>
        </row>
        <row r="10">
          <cell r="A10" t="str">
            <v>Justin Thomas</v>
          </cell>
          <cell r="B10">
            <v>6</v>
          </cell>
          <cell r="C10">
            <v>6.5</v>
          </cell>
          <cell r="D10">
            <v>6.5</v>
          </cell>
          <cell r="E10">
            <v>5</v>
          </cell>
          <cell r="F10">
            <v>6</v>
          </cell>
          <cell r="G10">
            <v>6.5</v>
          </cell>
          <cell r="H10">
            <v>6</v>
          </cell>
          <cell r="I10">
            <v>5.5</v>
          </cell>
          <cell r="J10">
            <v>5</v>
          </cell>
          <cell r="K10">
            <v>5</v>
          </cell>
          <cell r="L10">
            <v>6</v>
          </cell>
          <cell r="M10">
            <v>5</v>
          </cell>
          <cell r="N10">
            <v>5</v>
          </cell>
          <cell r="O10">
            <v>6</v>
          </cell>
          <cell r="P10">
            <v>5</v>
          </cell>
          <cell r="Q10">
            <v>5</v>
          </cell>
          <cell r="R10">
            <v>6</v>
          </cell>
          <cell r="S10">
            <v>5.5</v>
          </cell>
          <cell r="T10">
            <v>6</v>
          </cell>
          <cell r="U10">
            <v>6</v>
          </cell>
          <cell r="V10">
            <v>6.49</v>
          </cell>
          <cell r="W10">
            <v>4.82</v>
          </cell>
        </row>
        <row r="11">
          <cell r="A11" t="str">
            <v>Ludvig Åberg</v>
          </cell>
          <cell r="B11">
            <v>7.5</v>
          </cell>
          <cell r="C11">
            <v>6.5</v>
          </cell>
          <cell r="D11">
            <v>6.5</v>
          </cell>
          <cell r="E11">
            <v>6.5</v>
          </cell>
          <cell r="F11">
            <v>6.5</v>
          </cell>
          <cell r="G11">
            <v>6.5</v>
          </cell>
          <cell r="H11">
            <v>7</v>
          </cell>
          <cell r="I11">
            <v>6</v>
          </cell>
          <cell r="J11">
            <v>6</v>
          </cell>
          <cell r="K11">
            <v>6.5</v>
          </cell>
          <cell r="L11">
            <v>7</v>
          </cell>
          <cell r="M11">
            <v>6</v>
          </cell>
          <cell r="N11">
            <v>5.25</v>
          </cell>
          <cell r="O11">
            <v>7</v>
          </cell>
          <cell r="P11">
            <v>6</v>
          </cell>
          <cell r="Q11">
            <v>6.5</v>
          </cell>
          <cell r="R11" t="str">
            <v>NULL</v>
          </cell>
          <cell r="S11">
            <v>6</v>
          </cell>
          <cell r="T11" t="str">
            <v>NULL</v>
          </cell>
          <cell r="U11">
            <v>6.3</v>
          </cell>
          <cell r="V11">
            <v>8.06</v>
          </cell>
          <cell r="W11">
            <v>7.27</v>
          </cell>
        </row>
        <row r="12">
          <cell r="A12" t="str">
            <v>Tony Finau</v>
          </cell>
          <cell r="B12">
            <v>7</v>
          </cell>
          <cell r="C12">
            <v>7</v>
          </cell>
          <cell r="D12">
            <v>6</v>
          </cell>
          <cell r="E12">
            <v>6</v>
          </cell>
          <cell r="F12">
            <v>7</v>
          </cell>
          <cell r="G12">
            <v>6</v>
          </cell>
          <cell r="H12">
            <v>8</v>
          </cell>
          <cell r="I12">
            <v>6.5</v>
          </cell>
          <cell r="J12">
            <v>6</v>
          </cell>
          <cell r="K12">
            <v>8</v>
          </cell>
          <cell r="L12">
            <v>8</v>
          </cell>
          <cell r="M12">
            <v>6</v>
          </cell>
          <cell r="N12">
            <v>5.25</v>
          </cell>
          <cell r="O12">
            <v>7</v>
          </cell>
          <cell r="P12">
            <v>6</v>
          </cell>
          <cell r="Q12">
            <v>8</v>
          </cell>
          <cell r="R12">
            <v>7.5</v>
          </cell>
          <cell r="S12">
            <v>6.5</v>
          </cell>
          <cell r="T12">
            <v>7.5</v>
          </cell>
          <cell r="U12">
            <v>6.8</v>
          </cell>
          <cell r="V12">
            <v>9.23</v>
          </cell>
          <cell r="W12">
            <v>6.29</v>
          </cell>
        </row>
        <row r="13">
          <cell r="A13" t="str">
            <v>Matt Fitzpatrick</v>
          </cell>
          <cell r="B13">
            <v>7</v>
          </cell>
          <cell r="C13">
            <v>8</v>
          </cell>
          <cell r="D13">
            <v>8</v>
          </cell>
          <cell r="E13">
            <v>6.5</v>
          </cell>
          <cell r="F13">
            <v>7.5</v>
          </cell>
          <cell r="G13">
            <v>8</v>
          </cell>
          <cell r="H13">
            <v>7.5</v>
          </cell>
          <cell r="I13">
            <v>8</v>
          </cell>
          <cell r="J13">
            <v>6.5</v>
          </cell>
          <cell r="K13">
            <v>7.5</v>
          </cell>
          <cell r="L13">
            <v>7.5</v>
          </cell>
          <cell r="M13">
            <v>6.5</v>
          </cell>
          <cell r="N13">
            <v>6.5</v>
          </cell>
          <cell r="O13">
            <v>7.5</v>
          </cell>
          <cell r="P13">
            <v>6.5</v>
          </cell>
          <cell r="Q13">
            <v>7.5</v>
          </cell>
          <cell r="R13">
            <v>7.5</v>
          </cell>
          <cell r="S13">
            <v>8</v>
          </cell>
          <cell r="T13">
            <v>7.5</v>
          </cell>
          <cell r="U13">
            <v>8</v>
          </cell>
          <cell r="V13">
            <v>8.84</v>
          </cell>
          <cell r="W13">
            <v>9.0399999999999991</v>
          </cell>
        </row>
        <row r="14">
          <cell r="A14" t="str">
            <v>Tommy Fleetwood</v>
          </cell>
          <cell r="B14">
            <v>8.5</v>
          </cell>
          <cell r="C14">
            <v>8.5</v>
          </cell>
          <cell r="D14">
            <v>7</v>
          </cell>
          <cell r="E14">
            <v>6</v>
          </cell>
          <cell r="F14">
            <v>8</v>
          </cell>
          <cell r="G14">
            <v>7</v>
          </cell>
          <cell r="H14">
            <v>7.5</v>
          </cell>
          <cell r="I14">
            <v>8</v>
          </cell>
          <cell r="J14">
            <v>6</v>
          </cell>
          <cell r="K14">
            <v>7</v>
          </cell>
          <cell r="L14">
            <v>7.5</v>
          </cell>
          <cell r="M14">
            <v>6</v>
          </cell>
          <cell r="N14">
            <v>6.5</v>
          </cell>
          <cell r="O14">
            <v>8</v>
          </cell>
          <cell r="P14">
            <v>6</v>
          </cell>
          <cell r="Q14">
            <v>7</v>
          </cell>
          <cell r="R14">
            <v>8</v>
          </cell>
          <cell r="S14">
            <v>8</v>
          </cell>
          <cell r="T14">
            <v>8</v>
          </cell>
          <cell r="U14">
            <v>8.3000000000000007</v>
          </cell>
          <cell r="V14">
            <v>8.84</v>
          </cell>
          <cell r="W14">
            <v>7.27</v>
          </cell>
        </row>
        <row r="15">
          <cell r="A15" t="str">
            <v>Sungjae Im</v>
          </cell>
          <cell r="B15">
            <v>8</v>
          </cell>
          <cell r="C15">
            <v>7.5</v>
          </cell>
          <cell r="D15">
            <v>6.5</v>
          </cell>
          <cell r="E15">
            <v>7.5</v>
          </cell>
          <cell r="F15">
            <v>8</v>
          </cell>
          <cell r="G15">
            <v>6.5</v>
          </cell>
          <cell r="H15">
            <v>8.5</v>
          </cell>
          <cell r="I15">
            <v>7.5</v>
          </cell>
          <cell r="J15">
            <v>7.5</v>
          </cell>
          <cell r="K15">
            <v>7</v>
          </cell>
          <cell r="L15">
            <v>8.5</v>
          </cell>
          <cell r="M15">
            <v>7.5</v>
          </cell>
          <cell r="N15">
            <v>7</v>
          </cell>
          <cell r="O15">
            <v>8</v>
          </cell>
          <cell r="P15">
            <v>7.5</v>
          </cell>
          <cell r="Q15">
            <v>7</v>
          </cell>
          <cell r="R15">
            <v>8</v>
          </cell>
          <cell r="S15">
            <v>7.5</v>
          </cell>
          <cell r="T15">
            <v>8</v>
          </cell>
          <cell r="U15">
            <v>7.5</v>
          </cell>
          <cell r="V15">
            <v>8.64</v>
          </cell>
          <cell r="W15">
            <v>6.49</v>
          </cell>
        </row>
        <row r="16">
          <cell r="A16" t="str">
            <v>Sam Burns</v>
          </cell>
          <cell r="B16">
            <v>8.5</v>
          </cell>
          <cell r="C16">
            <v>7.5</v>
          </cell>
          <cell r="D16">
            <v>8</v>
          </cell>
          <cell r="E16">
            <v>6.5</v>
          </cell>
          <cell r="F16">
            <v>8</v>
          </cell>
          <cell r="G16">
            <v>8</v>
          </cell>
          <cell r="H16">
            <v>9</v>
          </cell>
          <cell r="I16">
            <v>7.5</v>
          </cell>
          <cell r="J16">
            <v>6.5</v>
          </cell>
          <cell r="K16">
            <v>8.5</v>
          </cell>
          <cell r="L16">
            <v>9</v>
          </cell>
          <cell r="M16">
            <v>6.5</v>
          </cell>
          <cell r="N16">
            <v>7</v>
          </cell>
          <cell r="O16">
            <v>8</v>
          </cell>
          <cell r="P16">
            <v>6.5</v>
          </cell>
          <cell r="Q16">
            <v>8.5</v>
          </cell>
          <cell r="R16">
            <v>8.5</v>
          </cell>
          <cell r="S16">
            <v>7.5</v>
          </cell>
          <cell r="T16">
            <v>8.5</v>
          </cell>
          <cell r="U16">
            <v>7.5</v>
          </cell>
          <cell r="V16">
            <v>9.82</v>
          </cell>
          <cell r="W16">
            <v>9.0399999999999991</v>
          </cell>
        </row>
        <row r="17">
          <cell r="A17" t="str">
            <v>Nicolai Højgaard</v>
          </cell>
          <cell r="B17">
            <v>10</v>
          </cell>
          <cell r="C17">
            <v>8.5</v>
          </cell>
          <cell r="D17">
            <v>10</v>
          </cell>
          <cell r="E17">
            <v>9</v>
          </cell>
          <cell r="F17">
            <v>10</v>
          </cell>
          <cell r="G17">
            <v>10</v>
          </cell>
          <cell r="H17">
            <v>10</v>
          </cell>
          <cell r="I17">
            <v>8.5</v>
          </cell>
          <cell r="J17">
            <v>9</v>
          </cell>
          <cell r="K17">
            <v>9</v>
          </cell>
          <cell r="L17">
            <v>10</v>
          </cell>
          <cell r="M17">
            <v>9</v>
          </cell>
          <cell r="N17">
            <v>7.5</v>
          </cell>
          <cell r="O17">
            <v>10</v>
          </cell>
          <cell r="P17">
            <v>9</v>
          </cell>
          <cell r="Q17">
            <v>9</v>
          </cell>
          <cell r="R17">
            <v>10</v>
          </cell>
          <cell r="S17">
            <v>8.5</v>
          </cell>
          <cell r="T17">
            <v>10</v>
          </cell>
          <cell r="U17">
            <v>8.5</v>
          </cell>
          <cell r="V17">
            <v>13.3</v>
          </cell>
          <cell r="W17">
            <v>12.3</v>
          </cell>
        </row>
        <row r="18">
          <cell r="A18" t="str">
            <v>Jason Day</v>
          </cell>
          <cell r="B18">
            <v>10</v>
          </cell>
          <cell r="C18">
            <v>9</v>
          </cell>
          <cell r="D18">
            <v>9</v>
          </cell>
          <cell r="E18">
            <v>8</v>
          </cell>
          <cell r="F18">
            <v>9.5</v>
          </cell>
          <cell r="G18">
            <v>9</v>
          </cell>
          <cell r="H18">
            <v>10</v>
          </cell>
          <cell r="I18">
            <v>8.5</v>
          </cell>
          <cell r="J18">
            <v>8</v>
          </cell>
          <cell r="K18">
            <v>10</v>
          </cell>
          <cell r="L18">
            <v>10</v>
          </cell>
          <cell r="M18">
            <v>8</v>
          </cell>
          <cell r="N18">
            <v>6.5</v>
          </cell>
          <cell r="O18">
            <v>10</v>
          </cell>
          <cell r="P18">
            <v>8</v>
          </cell>
          <cell r="Q18">
            <v>10</v>
          </cell>
          <cell r="R18">
            <v>10</v>
          </cell>
          <cell r="S18">
            <v>8.5</v>
          </cell>
          <cell r="T18">
            <v>10</v>
          </cell>
          <cell r="U18">
            <v>8.8000000000000007</v>
          </cell>
          <cell r="V18">
            <v>13.7</v>
          </cell>
          <cell r="W18">
            <v>11.8</v>
          </cell>
        </row>
        <row r="19">
          <cell r="A19" t="str">
            <v>Russell Henley</v>
          </cell>
          <cell r="B19">
            <v>9.5</v>
          </cell>
          <cell r="C19">
            <v>9</v>
          </cell>
          <cell r="D19">
            <v>9</v>
          </cell>
          <cell r="E19">
            <v>8</v>
          </cell>
          <cell r="F19">
            <v>10.5</v>
          </cell>
          <cell r="G19">
            <v>9</v>
          </cell>
          <cell r="H19">
            <v>10</v>
          </cell>
          <cell r="I19">
            <v>8.5</v>
          </cell>
          <cell r="J19">
            <v>8</v>
          </cell>
          <cell r="K19">
            <v>10</v>
          </cell>
          <cell r="L19">
            <v>10</v>
          </cell>
          <cell r="M19">
            <v>8</v>
          </cell>
          <cell r="N19">
            <v>8</v>
          </cell>
          <cell r="O19">
            <v>10</v>
          </cell>
          <cell r="P19">
            <v>8</v>
          </cell>
          <cell r="Q19">
            <v>10</v>
          </cell>
          <cell r="R19">
            <v>9.5</v>
          </cell>
          <cell r="S19">
            <v>8.5</v>
          </cell>
          <cell r="T19">
            <v>9.5</v>
          </cell>
          <cell r="U19">
            <v>8.8000000000000007</v>
          </cell>
          <cell r="V19">
            <v>11.3</v>
          </cell>
          <cell r="W19">
            <v>7.27</v>
          </cell>
        </row>
        <row r="20">
          <cell r="A20" t="str">
            <v>Byeong Hun An</v>
          </cell>
          <cell r="B20">
            <v>11</v>
          </cell>
          <cell r="C20">
            <v>9</v>
          </cell>
          <cell r="D20">
            <v>7.5</v>
          </cell>
          <cell r="E20">
            <v>8</v>
          </cell>
          <cell r="F20">
            <v>9.5</v>
          </cell>
          <cell r="G20">
            <v>7.5</v>
          </cell>
          <cell r="H20">
            <v>9</v>
          </cell>
          <cell r="I20">
            <v>8</v>
          </cell>
          <cell r="J20">
            <v>8</v>
          </cell>
          <cell r="K20">
            <v>8</v>
          </cell>
          <cell r="L20">
            <v>9</v>
          </cell>
          <cell r="M20">
            <v>8</v>
          </cell>
          <cell r="N20">
            <v>8</v>
          </cell>
          <cell r="O20">
            <v>9.5</v>
          </cell>
          <cell r="P20">
            <v>8</v>
          </cell>
          <cell r="Q20">
            <v>8</v>
          </cell>
          <cell r="R20">
            <v>9.5</v>
          </cell>
          <cell r="S20">
            <v>8</v>
          </cell>
          <cell r="T20">
            <v>9.5</v>
          </cell>
          <cell r="U20" t="str">
            <v>NULL</v>
          </cell>
          <cell r="V20">
            <v>13.3</v>
          </cell>
          <cell r="W20">
            <v>13.7</v>
          </cell>
        </row>
        <row r="21">
          <cell r="A21" t="str">
            <v>Tom Kim</v>
          </cell>
          <cell r="B21">
            <v>8.5</v>
          </cell>
          <cell r="C21">
            <v>8.5</v>
          </cell>
          <cell r="D21">
            <v>10</v>
          </cell>
          <cell r="E21">
            <v>9</v>
          </cell>
          <cell r="F21">
            <v>9.5</v>
          </cell>
          <cell r="G21">
            <v>10</v>
          </cell>
          <cell r="H21">
            <v>12</v>
          </cell>
          <cell r="I21">
            <v>9</v>
          </cell>
          <cell r="J21">
            <v>9</v>
          </cell>
          <cell r="K21">
            <v>11</v>
          </cell>
          <cell r="L21">
            <v>12</v>
          </cell>
          <cell r="M21">
            <v>9</v>
          </cell>
          <cell r="N21">
            <v>6.5</v>
          </cell>
          <cell r="O21">
            <v>10</v>
          </cell>
          <cell r="P21">
            <v>9</v>
          </cell>
          <cell r="Q21">
            <v>11</v>
          </cell>
          <cell r="R21">
            <v>8</v>
          </cell>
          <cell r="S21">
            <v>9</v>
          </cell>
          <cell r="T21">
            <v>8</v>
          </cell>
          <cell r="U21">
            <v>8.8000000000000007</v>
          </cell>
          <cell r="V21">
            <v>12.8</v>
          </cell>
          <cell r="W21">
            <v>8.25</v>
          </cell>
        </row>
        <row r="22">
          <cell r="A22" t="str">
            <v>Cameron Young</v>
          </cell>
          <cell r="B22">
            <v>12</v>
          </cell>
          <cell r="C22">
            <v>7.5</v>
          </cell>
          <cell r="D22">
            <v>8</v>
          </cell>
          <cell r="E22">
            <v>8</v>
          </cell>
          <cell r="F22">
            <v>8</v>
          </cell>
          <cell r="G22">
            <v>8</v>
          </cell>
          <cell r="H22">
            <v>10</v>
          </cell>
          <cell r="I22">
            <v>7.5</v>
          </cell>
          <cell r="J22">
            <v>8</v>
          </cell>
          <cell r="K22">
            <v>9.5</v>
          </cell>
          <cell r="L22">
            <v>10</v>
          </cell>
          <cell r="M22">
            <v>8</v>
          </cell>
          <cell r="N22">
            <v>7</v>
          </cell>
          <cell r="O22">
            <v>9</v>
          </cell>
          <cell r="P22">
            <v>8</v>
          </cell>
          <cell r="Q22">
            <v>9.5</v>
          </cell>
          <cell r="R22">
            <v>11</v>
          </cell>
          <cell r="S22">
            <v>7.5</v>
          </cell>
          <cell r="T22">
            <v>11</v>
          </cell>
          <cell r="U22">
            <v>7.5</v>
          </cell>
          <cell r="V22">
            <v>12.3</v>
          </cell>
          <cell r="W22">
            <v>11.3</v>
          </cell>
        </row>
        <row r="23">
          <cell r="A23" t="str">
            <v>J.T. Poston</v>
          </cell>
          <cell r="B23">
            <v>12</v>
          </cell>
          <cell r="C23">
            <v>9</v>
          </cell>
          <cell r="D23">
            <v>8.5</v>
          </cell>
          <cell r="E23">
            <v>9.5</v>
          </cell>
          <cell r="F23">
            <v>10</v>
          </cell>
          <cell r="G23">
            <v>8.5</v>
          </cell>
          <cell r="H23">
            <v>9.5</v>
          </cell>
          <cell r="I23">
            <v>9</v>
          </cell>
          <cell r="J23">
            <v>9.5</v>
          </cell>
          <cell r="K23">
            <v>9</v>
          </cell>
          <cell r="L23">
            <v>9.5</v>
          </cell>
          <cell r="M23">
            <v>9.5</v>
          </cell>
          <cell r="N23">
            <v>9</v>
          </cell>
          <cell r="O23">
            <v>10</v>
          </cell>
          <cell r="P23">
            <v>9.5</v>
          </cell>
          <cell r="Q23">
            <v>9</v>
          </cell>
          <cell r="R23">
            <v>10</v>
          </cell>
          <cell r="S23">
            <v>9</v>
          </cell>
          <cell r="T23">
            <v>10</v>
          </cell>
          <cell r="U23">
            <v>9</v>
          </cell>
          <cell r="V23">
            <v>10.3</v>
          </cell>
          <cell r="W23">
            <v>9.82</v>
          </cell>
        </row>
        <row r="24">
          <cell r="A24" t="str">
            <v>Hideki Matsuyama</v>
          </cell>
          <cell r="B24">
            <v>13</v>
          </cell>
          <cell r="C24">
            <v>10</v>
          </cell>
          <cell r="D24">
            <v>10</v>
          </cell>
          <cell r="E24">
            <v>10</v>
          </cell>
          <cell r="F24">
            <v>11</v>
          </cell>
          <cell r="G24">
            <v>10</v>
          </cell>
          <cell r="H24">
            <v>13</v>
          </cell>
          <cell r="I24">
            <v>10</v>
          </cell>
          <cell r="J24">
            <v>10</v>
          </cell>
          <cell r="K24">
            <v>13</v>
          </cell>
          <cell r="L24">
            <v>13</v>
          </cell>
          <cell r="M24">
            <v>10</v>
          </cell>
          <cell r="N24">
            <v>9</v>
          </cell>
          <cell r="O24">
            <v>11</v>
          </cell>
          <cell r="P24">
            <v>10</v>
          </cell>
          <cell r="Q24">
            <v>13</v>
          </cell>
          <cell r="R24">
            <v>13</v>
          </cell>
          <cell r="S24">
            <v>10</v>
          </cell>
          <cell r="T24">
            <v>13</v>
          </cell>
          <cell r="U24">
            <v>10</v>
          </cell>
          <cell r="V24">
            <v>15.2</v>
          </cell>
          <cell r="W24">
            <v>9.43</v>
          </cell>
        </row>
        <row r="25">
          <cell r="A25" t="str">
            <v>Beau Hossler</v>
          </cell>
          <cell r="B25">
            <v>13</v>
          </cell>
          <cell r="C25">
            <v>11</v>
          </cell>
          <cell r="D25">
            <v>10</v>
          </cell>
          <cell r="E25">
            <v>11</v>
          </cell>
          <cell r="F25">
            <v>11</v>
          </cell>
          <cell r="G25">
            <v>10</v>
          </cell>
          <cell r="H25">
            <v>12</v>
          </cell>
          <cell r="I25">
            <v>10</v>
          </cell>
          <cell r="J25">
            <v>10</v>
          </cell>
          <cell r="K25">
            <v>10</v>
          </cell>
          <cell r="L25">
            <v>12</v>
          </cell>
          <cell r="M25">
            <v>10</v>
          </cell>
          <cell r="N25">
            <v>9</v>
          </cell>
          <cell r="O25">
            <v>11</v>
          </cell>
          <cell r="P25">
            <v>10</v>
          </cell>
          <cell r="Q25">
            <v>10</v>
          </cell>
          <cell r="R25">
            <v>12</v>
          </cell>
          <cell r="S25">
            <v>10</v>
          </cell>
          <cell r="T25">
            <v>12</v>
          </cell>
          <cell r="U25">
            <v>11</v>
          </cell>
          <cell r="V25">
            <v>14.7</v>
          </cell>
          <cell r="W25">
            <v>15.7</v>
          </cell>
        </row>
        <row r="26">
          <cell r="A26" t="str">
            <v>Eric Cole</v>
          </cell>
          <cell r="B26">
            <v>11</v>
          </cell>
          <cell r="C26">
            <v>13</v>
          </cell>
          <cell r="D26">
            <v>11</v>
          </cell>
          <cell r="E26">
            <v>12</v>
          </cell>
          <cell r="F26">
            <v>11</v>
          </cell>
          <cell r="G26">
            <v>11</v>
          </cell>
          <cell r="H26">
            <v>12</v>
          </cell>
          <cell r="I26">
            <v>12</v>
          </cell>
          <cell r="J26">
            <v>12</v>
          </cell>
          <cell r="K26">
            <v>11</v>
          </cell>
          <cell r="L26">
            <v>12</v>
          </cell>
          <cell r="M26">
            <v>12</v>
          </cell>
          <cell r="N26">
            <v>10</v>
          </cell>
          <cell r="O26">
            <v>11</v>
          </cell>
          <cell r="P26">
            <v>12</v>
          </cell>
          <cell r="Q26">
            <v>11</v>
          </cell>
          <cell r="R26">
            <v>12</v>
          </cell>
          <cell r="S26">
            <v>12</v>
          </cell>
          <cell r="T26">
            <v>12</v>
          </cell>
          <cell r="U26">
            <v>13</v>
          </cell>
          <cell r="V26">
            <v>15.7</v>
          </cell>
          <cell r="W26">
            <v>15.7</v>
          </cell>
        </row>
        <row r="27">
          <cell r="A27" t="str">
            <v>Denny McCarthy</v>
          </cell>
          <cell r="B27">
            <v>12</v>
          </cell>
          <cell r="C27">
            <v>13</v>
          </cell>
          <cell r="D27">
            <v>11</v>
          </cell>
          <cell r="E27">
            <v>13</v>
          </cell>
          <cell r="F27">
            <v>13</v>
          </cell>
          <cell r="G27">
            <v>11</v>
          </cell>
          <cell r="H27">
            <v>15</v>
          </cell>
          <cell r="I27">
            <v>13</v>
          </cell>
          <cell r="J27">
            <v>13</v>
          </cell>
          <cell r="K27">
            <v>15</v>
          </cell>
          <cell r="L27">
            <v>15</v>
          </cell>
          <cell r="M27">
            <v>13</v>
          </cell>
          <cell r="N27">
            <v>12</v>
          </cell>
          <cell r="O27">
            <v>13</v>
          </cell>
          <cell r="P27">
            <v>13</v>
          </cell>
          <cell r="Q27">
            <v>15</v>
          </cell>
          <cell r="R27">
            <v>13</v>
          </cell>
          <cell r="S27">
            <v>13</v>
          </cell>
          <cell r="T27">
            <v>13</v>
          </cell>
          <cell r="U27">
            <v>13</v>
          </cell>
          <cell r="V27">
            <v>17.7</v>
          </cell>
          <cell r="W27">
            <v>23</v>
          </cell>
        </row>
        <row r="28">
          <cell r="A28" t="str">
            <v>Brian Harman</v>
          </cell>
          <cell r="B28">
            <v>15</v>
          </cell>
          <cell r="C28">
            <v>13</v>
          </cell>
          <cell r="D28">
            <v>13</v>
          </cell>
          <cell r="E28">
            <v>13</v>
          </cell>
          <cell r="F28">
            <v>15</v>
          </cell>
          <cell r="G28">
            <v>13</v>
          </cell>
          <cell r="H28">
            <v>15</v>
          </cell>
          <cell r="I28">
            <v>13</v>
          </cell>
          <cell r="J28">
            <v>13</v>
          </cell>
          <cell r="K28">
            <v>15</v>
          </cell>
          <cell r="L28">
            <v>15</v>
          </cell>
          <cell r="M28">
            <v>13</v>
          </cell>
          <cell r="N28">
            <v>12</v>
          </cell>
          <cell r="O28">
            <v>15</v>
          </cell>
          <cell r="P28">
            <v>13</v>
          </cell>
          <cell r="Q28">
            <v>15</v>
          </cell>
          <cell r="R28">
            <v>15</v>
          </cell>
          <cell r="S28">
            <v>13</v>
          </cell>
          <cell r="T28">
            <v>15</v>
          </cell>
          <cell r="U28">
            <v>13</v>
          </cell>
          <cell r="V28">
            <v>17.2</v>
          </cell>
          <cell r="W28">
            <v>18.600000000000001</v>
          </cell>
        </row>
        <row r="29">
          <cell r="A29" t="str">
            <v>Si Woo Kim</v>
          </cell>
          <cell r="B29">
            <v>13</v>
          </cell>
          <cell r="C29">
            <v>15</v>
          </cell>
          <cell r="D29">
            <v>13</v>
          </cell>
          <cell r="E29">
            <v>15</v>
          </cell>
          <cell r="F29">
            <v>15</v>
          </cell>
          <cell r="G29">
            <v>13</v>
          </cell>
          <cell r="H29">
            <v>15</v>
          </cell>
          <cell r="I29">
            <v>13</v>
          </cell>
          <cell r="J29">
            <v>15</v>
          </cell>
          <cell r="K29">
            <v>15</v>
          </cell>
          <cell r="L29">
            <v>15</v>
          </cell>
          <cell r="M29">
            <v>15</v>
          </cell>
          <cell r="N29">
            <v>12</v>
          </cell>
          <cell r="O29">
            <v>15</v>
          </cell>
          <cell r="P29">
            <v>15</v>
          </cell>
          <cell r="Q29">
            <v>15</v>
          </cell>
          <cell r="R29">
            <v>15</v>
          </cell>
          <cell r="S29">
            <v>13</v>
          </cell>
          <cell r="T29">
            <v>15</v>
          </cell>
          <cell r="U29">
            <v>14</v>
          </cell>
          <cell r="V29">
            <v>18.100000000000001</v>
          </cell>
          <cell r="W29">
            <v>13.3</v>
          </cell>
        </row>
        <row r="30">
          <cell r="A30" t="str">
            <v>Sahith Theegala</v>
          </cell>
          <cell r="B30">
            <v>15</v>
          </cell>
          <cell r="C30">
            <v>13</v>
          </cell>
          <cell r="D30">
            <v>12</v>
          </cell>
          <cell r="E30">
            <v>13</v>
          </cell>
          <cell r="F30">
            <v>15</v>
          </cell>
          <cell r="G30">
            <v>12</v>
          </cell>
          <cell r="H30">
            <v>15</v>
          </cell>
          <cell r="I30">
            <v>12</v>
          </cell>
          <cell r="J30">
            <v>13</v>
          </cell>
          <cell r="K30">
            <v>12</v>
          </cell>
          <cell r="L30">
            <v>15</v>
          </cell>
          <cell r="M30">
            <v>13</v>
          </cell>
          <cell r="N30">
            <v>12</v>
          </cell>
          <cell r="O30">
            <v>15</v>
          </cell>
          <cell r="P30">
            <v>13</v>
          </cell>
          <cell r="Q30">
            <v>12</v>
          </cell>
          <cell r="R30">
            <v>15</v>
          </cell>
          <cell r="S30">
            <v>12</v>
          </cell>
          <cell r="T30">
            <v>15</v>
          </cell>
          <cell r="U30">
            <v>13</v>
          </cell>
          <cell r="V30">
            <v>17.2</v>
          </cell>
          <cell r="W30">
            <v>11.8</v>
          </cell>
        </row>
        <row r="31">
          <cell r="A31" t="str">
            <v>Adam Scott</v>
          </cell>
          <cell r="B31">
            <v>15</v>
          </cell>
          <cell r="C31">
            <v>11</v>
          </cell>
          <cell r="D31">
            <v>12</v>
          </cell>
          <cell r="E31">
            <v>11</v>
          </cell>
          <cell r="F31">
            <v>10</v>
          </cell>
          <cell r="G31">
            <v>12</v>
          </cell>
          <cell r="H31">
            <v>12</v>
          </cell>
          <cell r="I31">
            <v>11</v>
          </cell>
          <cell r="J31">
            <v>11</v>
          </cell>
          <cell r="K31">
            <v>11</v>
          </cell>
          <cell r="L31">
            <v>12</v>
          </cell>
          <cell r="M31">
            <v>11</v>
          </cell>
          <cell r="N31">
            <v>10.5</v>
          </cell>
          <cell r="O31">
            <v>12</v>
          </cell>
          <cell r="P31">
            <v>11</v>
          </cell>
          <cell r="Q31">
            <v>11</v>
          </cell>
          <cell r="R31">
            <v>13</v>
          </cell>
          <cell r="S31">
            <v>11</v>
          </cell>
          <cell r="T31">
            <v>13</v>
          </cell>
          <cell r="U31">
            <v>11</v>
          </cell>
          <cell r="V31">
            <v>14.2</v>
          </cell>
          <cell r="W31">
            <v>14.2</v>
          </cell>
        </row>
        <row r="32">
          <cell r="A32" t="str">
            <v>Keegan Bradley</v>
          </cell>
          <cell r="B32">
            <v>15</v>
          </cell>
          <cell r="C32">
            <v>13</v>
          </cell>
          <cell r="D32">
            <v>11</v>
          </cell>
          <cell r="E32">
            <v>10</v>
          </cell>
          <cell r="F32">
            <v>15</v>
          </cell>
          <cell r="G32">
            <v>11</v>
          </cell>
          <cell r="H32">
            <v>13</v>
          </cell>
          <cell r="I32">
            <v>11</v>
          </cell>
          <cell r="J32">
            <v>10</v>
          </cell>
          <cell r="K32">
            <v>12</v>
          </cell>
          <cell r="L32">
            <v>13</v>
          </cell>
          <cell r="M32">
            <v>10</v>
          </cell>
          <cell r="N32">
            <v>12</v>
          </cell>
          <cell r="O32">
            <v>15</v>
          </cell>
          <cell r="P32">
            <v>10</v>
          </cell>
          <cell r="Q32">
            <v>12</v>
          </cell>
          <cell r="R32">
            <v>13</v>
          </cell>
          <cell r="S32">
            <v>11</v>
          </cell>
          <cell r="T32">
            <v>13</v>
          </cell>
          <cell r="U32">
            <v>12</v>
          </cell>
          <cell r="V32">
            <v>17.7</v>
          </cell>
          <cell r="W32">
            <v>11.8</v>
          </cell>
        </row>
        <row r="33">
          <cell r="A33" t="str">
            <v>Wyndham Clark</v>
          </cell>
          <cell r="B33">
            <v>15</v>
          </cell>
          <cell r="C33">
            <v>15</v>
          </cell>
          <cell r="D33">
            <v>15</v>
          </cell>
          <cell r="E33">
            <v>13</v>
          </cell>
          <cell r="F33">
            <v>13</v>
          </cell>
          <cell r="G33">
            <v>15</v>
          </cell>
          <cell r="H33">
            <v>13</v>
          </cell>
          <cell r="I33">
            <v>13</v>
          </cell>
          <cell r="J33">
            <v>15</v>
          </cell>
          <cell r="K33">
            <v>15</v>
          </cell>
          <cell r="L33">
            <v>13</v>
          </cell>
          <cell r="M33">
            <v>15</v>
          </cell>
          <cell r="N33">
            <v>12</v>
          </cell>
          <cell r="O33">
            <v>15</v>
          </cell>
          <cell r="P33">
            <v>15</v>
          </cell>
          <cell r="Q33">
            <v>15</v>
          </cell>
          <cell r="R33">
            <v>13</v>
          </cell>
          <cell r="S33">
            <v>13</v>
          </cell>
          <cell r="T33">
            <v>13</v>
          </cell>
          <cell r="U33">
            <v>14</v>
          </cell>
          <cell r="V33">
            <v>16.7</v>
          </cell>
          <cell r="W33">
            <v>18.600000000000001</v>
          </cell>
        </row>
        <row r="34">
          <cell r="A34" t="str">
            <v>Chris Kirk</v>
          </cell>
          <cell r="B34">
            <v>17</v>
          </cell>
          <cell r="C34">
            <v>15</v>
          </cell>
          <cell r="D34">
            <v>13</v>
          </cell>
          <cell r="E34">
            <v>15</v>
          </cell>
          <cell r="F34">
            <v>15</v>
          </cell>
          <cell r="G34">
            <v>13</v>
          </cell>
          <cell r="H34">
            <v>15</v>
          </cell>
          <cell r="I34">
            <v>13</v>
          </cell>
          <cell r="J34">
            <v>13</v>
          </cell>
          <cell r="K34">
            <v>15</v>
          </cell>
          <cell r="L34">
            <v>15</v>
          </cell>
          <cell r="M34">
            <v>13</v>
          </cell>
          <cell r="N34">
            <v>12</v>
          </cell>
          <cell r="O34">
            <v>15</v>
          </cell>
          <cell r="P34">
            <v>13</v>
          </cell>
          <cell r="Q34">
            <v>15</v>
          </cell>
          <cell r="R34">
            <v>15</v>
          </cell>
          <cell r="S34">
            <v>13</v>
          </cell>
          <cell r="T34">
            <v>15</v>
          </cell>
          <cell r="U34">
            <v>14</v>
          </cell>
          <cell r="V34">
            <v>17.2</v>
          </cell>
          <cell r="W34">
            <v>18.600000000000001</v>
          </cell>
        </row>
        <row r="35">
          <cell r="A35" t="str">
            <v>Adam Hadwin</v>
          </cell>
          <cell r="B35">
            <v>15</v>
          </cell>
          <cell r="C35">
            <v>15</v>
          </cell>
          <cell r="D35">
            <v>13</v>
          </cell>
          <cell r="E35">
            <v>15</v>
          </cell>
          <cell r="F35">
            <v>15</v>
          </cell>
          <cell r="G35">
            <v>13</v>
          </cell>
          <cell r="H35">
            <v>15</v>
          </cell>
          <cell r="I35">
            <v>13</v>
          </cell>
          <cell r="J35">
            <v>13</v>
          </cell>
          <cell r="K35">
            <v>13</v>
          </cell>
          <cell r="L35">
            <v>15</v>
          </cell>
          <cell r="M35">
            <v>13</v>
          </cell>
          <cell r="N35">
            <v>12</v>
          </cell>
          <cell r="O35">
            <v>17</v>
          </cell>
          <cell r="P35">
            <v>13</v>
          </cell>
          <cell r="Q35">
            <v>13</v>
          </cell>
          <cell r="R35">
            <v>15</v>
          </cell>
          <cell r="S35">
            <v>13</v>
          </cell>
          <cell r="T35">
            <v>15</v>
          </cell>
          <cell r="U35">
            <v>14</v>
          </cell>
          <cell r="V35">
            <v>18.100000000000001</v>
          </cell>
          <cell r="W35">
            <v>15.2</v>
          </cell>
        </row>
        <row r="36">
          <cell r="A36" t="str">
            <v>Corey Conners</v>
          </cell>
          <cell r="B36">
            <v>17</v>
          </cell>
          <cell r="C36">
            <v>15</v>
          </cell>
          <cell r="D36">
            <v>13</v>
          </cell>
          <cell r="E36">
            <v>15</v>
          </cell>
          <cell r="F36">
            <v>17</v>
          </cell>
          <cell r="G36">
            <v>13</v>
          </cell>
          <cell r="H36">
            <v>17</v>
          </cell>
          <cell r="I36">
            <v>15</v>
          </cell>
          <cell r="J36">
            <v>15</v>
          </cell>
          <cell r="K36">
            <v>17</v>
          </cell>
          <cell r="L36">
            <v>17</v>
          </cell>
          <cell r="M36">
            <v>15</v>
          </cell>
          <cell r="N36">
            <v>12</v>
          </cell>
          <cell r="O36">
            <v>17</v>
          </cell>
          <cell r="P36">
            <v>15</v>
          </cell>
          <cell r="Q36">
            <v>17</v>
          </cell>
          <cell r="R36">
            <v>17</v>
          </cell>
          <cell r="S36">
            <v>15</v>
          </cell>
          <cell r="T36">
            <v>17</v>
          </cell>
          <cell r="U36">
            <v>15</v>
          </cell>
          <cell r="V36">
            <v>18.100000000000001</v>
          </cell>
          <cell r="W36">
            <v>12.3</v>
          </cell>
        </row>
        <row r="37">
          <cell r="A37" t="str">
            <v>Justin Rose</v>
          </cell>
          <cell r="B37">
            <v>15</v>
          </cell>
          <cell r="C37">
            <v>13</v>
          </cell>
          <cell r="D37">
            <v>13</v>
          </cell>
          <cell r="E37">
            <v>13</v>
          </cell>
          <cell r="F37">
            <v>16</v>
          </cell>
          <cell r="G37">
            <v>13</v>
          </cell>
          <cell r="H37">
            <v>17</v>
          </cell>
          <cell r="I37">
            <v>13</v>
          </cell>
          <cell r="J37">
            <v>13</v>
          </cell>
          <cell r="K37">
            <v>17</v>
          </cell>
          <cell r="L37">
            <v>17</v>
          </cell>
          <cell r="M37">
            <v>13</v>
          </cell>
          <cell r="N37">
            <v>12</v>
          </cell>
          <cell r="O37">
            <v>15</v>
          </cell>
          <cell r="P37">
            <v>13</v>
          </cell>
          <cell r="Q37">
            <v>17</v>
          </cell>
          <cell r="R37">
            <v>15</v>
          </cell>
          <cell r="S37">
            <v>13</v>
          </cell>
          <cell r="T37">
            <v>15</v>
          </cell>
          <cell r="U37">
            <v>13</v>
          </cell>
          <cell r="V37">
            <v>21</v>
          </cell>
          <cell r="W37">
            <v>18.100000000000001</v>
          </cell>
        </row>
        <row r="38">
          <cell r="A38" t="str">
            <v>Stephan Jaeger</v>
          </cell>
          <cell r="B38">
            <v>19</v>
          </cell>
          <cell r="C38">
            <v>15</v>
          </cell>
          <cell r="D38">
            <v>12</v>
          </cell>
          <cell r="E38">
            <v>15</v>
          </cell>
          <cell r="F38">
            <v>17</v>
          </cell>
          <cell r="G38">
            <v>12</v>
          </cell>
          <cell r="H38">
            <v>15</v>
          </cell>
          <cell r="I38">
            <v>13</v>
          </cell>
          <cell r="J38">
            <v>13</v>
          </cell>
          <cell r="K38">
            <v>13</v>
          </cell>
          <cell r="L38">
            <v>15</v>
          </cell>
          <cell r="M38">
            <v>13</v>
          </cell>
          <cell r="N38">
            <v>14</v>
          </cell>
          <cell r="O38">
            <v>17</v>
          </cell>
          <cell r="P38">
            <v>13</v>
          </cell>
          <cell r="Q38">
            <v>13</v>
          </cell>
          <cell r="R38">
            <v>17</v>
          </cell>
          <cell r="S38">
            <v>13</v>
          </cell>
          <cell r="T38">
            <v>17</v>
          </cell>
          <cell r="U38">
            <v>14</v>
          </cell>
          <cell r="V38">
            <v>19.100000000000001</v>
          </cell>
          <cell r="W38">
            <v>17.7</v>
          </cell>
        </row>
        <row r="39">
          <cell r="A39" t="str">
            <v>Sepp Straka</v>
          </cell>
          <cell r="B39">
            <v>19</v>
          </cell>
          <cell r="C39">
            <v>13</v>
          </cell>
          <cell r="D39">
            <v>13</v>
          </cell>
          <cell r="E39">
            <v>17</v>
          </cell>
          <cell r="F39">
            <v>17</v>
          </cell>
          <cell r="G39">
            <v>13</v>
          </cell>
          <cell r="H39">
            <v>17</v>
          </cell>
          <cell r="I39">
            <v>15</v>
          </cell>
          <cell r="J39">
            <v>17</v>
          </cell>
          <cell r="K39">
            <v>15</v>
          </cell>
          <cell r="L39">
            <v>17</v>
          </cell>
          <cell r="M39">
            <v>17</v>
          </cell>
          <cell r="N39">
            <v>12</v>
          </cell>
          <cell r="O39">
            <v>17</v>
          </cell>
          <cell r="P39">
            <v>17</v>
          </cell>
          <cell r="Q39">
            <v>15</v>
          </cell>
          <cell r="R39">
            <v>17</v>
          </cell>
          <cell r="S39">
            <v>15</v>
          </cell>
          <cell r="T39">
            <v>17</v>
          </cell>
          <cell r="U39">
            <v>14</v>
          </cell>
          <cell r="V39">
            <v>23</v>
          </cell>
          <cell r="W39">
            <v>16.2</v>
          </cell>
        </row>
        <row r="40">
          <cell r="A40" t="str">
            <v>Christiaan Bezuidenhout</v>
          </cell>
          <cell r="B40">
            <v>17</v>
          </cell>
          <cell r="C40">
            <v>17</v>
          </cell>
          <cell r="D40">
            <v>15</v>
          </cell>
          <cell r="E40">
            <v>15</v>
          </cell>
          <cell r="F40">
            <v>19</v>
          </cell>
          <cell r="G40">
            <v>15</v>
          </cell>
          <cell r="H40">
            <v>19</v>
          </cell>
          <cell r="I40">
            <v>17</v>
          </cell>
          <cell r="J40">
            <v>15</v>
          </cell>
          <cell r="K40">
            <v>15</v>
          </cell>
          <cell r="L40">
            <v>19</v>
          </cell>
          <cell r="M40">
            <v>15</v>
          </cell>
          <cell r="N40">
            <v>14</v>
          </cell>
          <cell r="O40">
            <v>19</v>
          </cell>
          <cell r="P40">
            <v>15</v>
          </cell>
          <cell r="Q40">
            <v>15</v>
          </cell>
          <cell r="R40">
            <v>17</v>
          </cell>
          <cell r="S40">
            <v>17</v>
          </cell>
          <cell r="T40">
            <v>17</v>
          </cell>
          <cell r="U40">
            <v>17</v>
          </cell>
          <cell r="V40">
            <v>22</v>
          </cell>
          <cell r="W40">
            <v>14.2</v>
          </cell>
        </row>
        <row r="41">
          <cell r="A41" t="str">
            <v>Matthieu Pavon</v>
          </cell>
          <cell r="B41">
            <v>15</v>
          </cell>
          <cell r="C41">
            <v>17</v>
          </cell>
          <cell r="D41">
            <v>15</v>
          </cell>
          <cell r="E41">
            <v>17</v>
          </cell>
          <cell r="F41">
            <v>17</v>
          </cell>
          <cell r="G41">
            <v>15</v>
          </cell>
          <cell r="H41">
            <v>19</v>
          </cell>
          <cell r="I41">
            <v>17</v>
          </cell>
          <cell r="J41">
            <v>17</v>
          </cell>
          <cell r="K41">
            <v>17</v>
          </cell>
          <cell r="L41">
            <v>19</v>
          </cell>
          <cell r="M41">
            <v>17</v>
          </cell>
          <cell r="N41">
            <v>14</v>
          </cell>
          <cell r="O41">
            <v>17</v>
          </cell>
          <cell r="P41">
            <v>17</v>
          </cell>
          <cell r="Q41">
            <v>17</v>
          </cell>
          <cell r="R41">
            <v>17</v>
          </cell>
          <cell r="S41">
            <v>17</v>
          </cell>
          <cell r="T41">
            <v>17</v>
          </cell>
          <cell r="U41">
            <v>17</v>
          </cell>
          <cell r="V41">
            <v>22</v>
          </cell>
          <cell r="W41">
            <v>17.7</v>
          </cell>
        </row>
        <row r="42">
          <cell r="A42" t="str">
            <v>Patrick Rodgers</v>
          </cell>
          <cell r="B42">
            <v>17</v>
          </cell>
          <cell r="C42">
            <v>17</v>
          </cell>
          <cell r="D42">
            <v>12</v>
          </cell>
          <cell r="E42">
            <v>13</v>
          </cell>
          <cell r="F42">
            <v>17</v>
          </cell>
          <cell r="G42">
            <v>12</v>
          </cell>
          <cell r="H42">
            <v>17</v>
          </cell>
          <cell r="I42">
            <v>15</v>
          </cell>
          <cell r="J42">
            <v>13</v>
          </cell>
          <cell r="K42">
            <v>13</v>
          </cell>
          <cell r="L42">
            <v>17</v>
          </cell>
          <cell r="M42">
            <v>13</v>
          </cell>
          <cell r="N42">
            <v>14</v>
          </cell>
          <cell r="O42">
            <v>19</v>
          </cell>
          <cell r="P42">
            <v>13</v>
          </cell>
          <cell r="Q42">
            <v>13</v>
          </cell>
          <cell r="R42">
            <v>17</v>
          </cell>
          <cell r="S42">
            <v>15</v>
          </cell>
          <cell r="T42">
            <v>17</v>
          </cell>
          <cell r="U42">
            <v>17</v>
          </cell>
          <cell r="V42">
            <v>21</v>
          </cell>
          <cell r="W42">
            <v>16.2</v>
          </cell>
        </row>
        <row r="43">
          <cell r="A43" t="str">
            <v>Cam Davis</v>
          </cell>
          <cell r="B43">
            <v>17</v>
          </cell>
          <cell r="C43">
            <v>19</v>
          </cell>
          <cell r="D43">
            <v>13</v>
          </cell>
          <cell r="E43">
            <v>17</v>
          </cell>
          <cell r="F43">
            <v>15</v>
          </cell>
          <cell r="G43">
            <v>13</v>
          </cell>
          <cell r="H43">
            <v>15</v>
          </cell>
          <cell r="I43">
            <v>15</v>
          </cell>
          <cell r="J43">
            <v>17</v>
          </cell>
          <cell r="K43">
            <v>17</v>
          </cell>
          <cell r="L43">
            <v>15</v>
          </cell>
          <cell r="M43">
            <v>17</v>
          </cell>
          <cell r="N43">
            <v>14</v>
          </cell>
          <cell r="O43">
            <v>15</v>
          </cell>
          <cell r="P43">
            <v>17</v>
          </cell>
          <cell r="Q43">
            <v>17</v>
          </cell>
          <cell r="R43">
            <v>15</v>
          </cell>
          <cell r="S43">
            <v>15</v>
          </cell>
          <cell r="T43">
            <v>15</v>
          </cell>
          <cell r="U43" t="str">
            <v>NULL</v>
          </cell>
          <cell r="V43">
            <v>23</v>
          </cell>
          <cell r="W43">
            <v>25</v>
          </cell>
        </row>
        <row r="44">
          <cell r="A44" t="str">
            <v>Alex Noren</v>
          </cell>
          <cell r="B44">
            <v>17</v>
          </cell>
          <cell r="C44">
            <v>17</v>
          </cell>
          <cell r="D44">
            <v>15</v>
          </cell>
          <cell r="E44">
            <v>13</v>
          </cell>
          <cell r="F44">
            <v>19</v>
          </cell>
          <cell r="G44">
            <v>15</v>
          </cell>
          <cell r="H44">
            <v>17</v>
          </cell>
          <cell r="I44">
            <v>15</v>
          </cell>
          <cell r="J44">
            <v>13</v>
          </cell>
          <cell r="K44">
            <v>19</v>
          </cell>
          <cell r="L44">
            <v>17</v>
          </cell>
          <cell r="M44">
            <v>13</v>
          </cell>
          <cell r="N44">
            <v>14</v>
          </cell>
          <cell r="O44">
            <v>19</v>
          </cell>
          <cell r="P44">
            <v>13</v>
          </cell>
          <cell r="Q44">
            <v>19</v>
          </cell>
          <cell r="R44">
            <v>17</v>
          </cell>
          <cell r="S44">
            <v>15</v>
          </cell>
          <cell r="T44">
            <v>17</v>
          </cell>
          <cell r="U44">
            <v>17</v>
          </cell>
          <cell r="V44">
            <v>21</v>
          </cell>
          <cell r="W44">
            <v>23</v>
          </cell>
        </row>
        <row r="45">
          <cell r="A45" t="str">
            <v>Harris English</v>
          </cell>
          <cell r="B45">
            <v>15</v>
          </cell>
          <cell r="C45">
            <v>17</v>
          </cell>
          <cell r="D45">
            <v>13</v>
          </cell>
          <cell r="E45">
            <v>17</v>
          </cell>
          <cell r="F45">
            <v>19</v>
          </cell>
          <cell r="G45">
            <v>13</v>
          </cell>
          <cell r="H45">
            <v>17</v>
          </cell>
          <cell r="I45">
            <v>15</v>
          </cell>
          <cell r="J45">
            <v>13</v>
          </cell>
          <cell r="K45">
            <v>13</v>
          </cell>
          <cell r="L45">
            <v>17</v>
          </cell>
          <cell r="M45">
            <v>13</v>
          </cell>
          <cell r="N45">
            <v>14</v>
          </cell>
          <cell r="O45">
            <v>19</v>
          </cell>
          <cell r="P45">
            <v>13</v>
          </cell>
          <cell r="Q45">
            <v>13</v>
          </cell>
          <cell r="R45">
            <v>17</v>
          </cell>
          <cell r="S45">
            <v>15</v>
          </cell>
          <cell r="T45">
            <v>17</v>
          </cell>
          <cell r="U45">
            <v>17</v>
          </cell>
          <cell r="V45">
            <v>23</v>
          </cell>
          <cell r="W45">
            <v>14.7</v>
          </cell>
        </row>
        <row r="46">
          <cell r="A46" t="str">
            <v>Kevin Yu</v>
          </cell>
          <cell r="B46">
            <v>17</v>
          </cell>
          <cell r="C46">
            <v>17</v>
          </cell>
          <cell r="D46">
            <v>13</v>
          </cell>
          <cell r="E46">
            <v>15</v>
          </cell>
          <cell r="F46">
            <v>16</v>
          </cell>
          <cell r="G46">
            <v>13</v>
          </cell>
          <cell r="H46">
            <v>21</v>
          </cell>
          <cell r="I46">
            <v>15</v>
          </cell>
          <cell r="J46">
            <v>15</v>
          </cell>
          <cell r="K46">
            <v>19</v>
          </cell>
          <cell r="L46">
            <v>21</v>
          </cell>
          <cell r="M46">
            <v>15</v>
          </cell>
          <cell r="N46">
            <v>12</v>
          </cell>
          <cell r="O46">
            <v>15</v>
          </cell>
          <cell r="P46">
            <v>15</v>
          </cell>
          <cell r="Q46">
            <v>19</v>
          </cell>
          <cell r="R46">
            <v>19</v>
          </cell>
          <cell r="S46">
            <v>15</v>
          </cell>
          <cell r="T46">
            <v>19</v>
          </cell>
          <cell r="U46">
            <v>17</v>
          </cell>
          <cell r="V46">
            <v>21</v>
          </cell>
          <cell r="W46">
            <v>19.100000000000001</v>
          </cell>
        </row>
        <row r="47">
          <cell r="A47" t="str">
            <v>Brendon Todd</v>
          </cell>
          <cell r="B47">
            <v>15</v>
          </cell>
          <cell r="C47">
            <v>17</v>
          </cell>
          <cell r="D47">
            <v>15</v>
          </cell>
          <cell r="E47">
            <v>17</v>
          </cell>
          <cell r="F47">
            <v>17</v>
          </cell>
          <cell r="G47">
            <v>15</v>
          </cell>
          <cell r="H47">
            <v>19</v>
          </cell>
          <cell r="I47">
            <v>17</v>
          </cell>
          <cell r="J47">
            <v>17</v>
          </cell>
          <cell r="K47">
            <v>21</v>
          </cell>
          <cell r="L47">
            <v>19</v>
          </cell>
          <cell r="M47">
            <v>17</v>
          </cell>
          <cell r="N47">
            <v>14</v>
          </cell>
          <cell r="O47">
            <v>17</v>
          </cell>
          <cell r="P47">
            <v>17</v>
          </cell>
          <cell r="Q47">
            <v>21</v>
          </cell>
          <cell r="R47">
            <v>17</v>
          </cell>
          <cell r="S47">
            <v>17</v>
          </cell>
          <cell r="T47">
            <v>17</v>
          </cell>
          <cell r="U47">
            <v>17</v>
          </cell>
          <cell r="V47">
            <v>23</v>
          </cell>
          <cell r="W47">
            <v>21</v>
          </cell>
        </row>
        <row r="48">
          <cell r="A48" t="str">
            <v>Taylor Montgomery</v>
          </cell>
          <cell r="B48">
            <v>17</v>
          </cell>
          <cell r="C48">
            <v>17</v>
          </cell>
          <cell r="D48">
            <v>17</v>
          </cell>
          <cell r="E48">
            <v>17</v>
          </cell>
          <cell r="F48">
            <v>17</v>
          </cell>
          <cell r="G48">
            <v>17</v>
          </cell>
          <cell r="H48">
            <v>21</v>
          </cell>
          <cell r="I48">
            <v>17</v>
          </cell>
          <cell r="J48">
            <v>17</v>
          </cell>
          <cell r="K48">
            <v>21</v>
          </cell>
          <cell r="L48">
            <v>21</v>
          </cell>
          <cell r="M48">
            <v>17</v>
          </cell>
          <cell r="N48">
            <v>14</v>
          </cell>
          <cell r="O48">
            <v>17</v>
          </cell>
          <cell r="P48">
            <v>17</v>
          </cell>
          <cell r="Q48">
            <v>21</v>
          </cell>
          <cell r="R48">
            <v>19</v>
          </cell>
          <cell r="S48">
            <v>17</v>
          </cell>
          <cell r="T48">
            <v>19</v>
          </cell>
          <cell r="U48">
            <v>17</v>
          </cell>
          <cell r="V48">
            <v>24</v>
          </cell>
          <cell r="W48">
            <v>17.2</v>
          </cell>
        </row>
        <row r="49">
          <cell r="A49" t="str">
            <v>Andrew Putnam</v>
          </cell>
          <cell r="B49">
            <v>21</v>
          </cell>
          <cell r="C49">
            <v>19</v>
          </cell>
          <cell r="D49">
            <v>15</v>
          </cell>
          <cell r="E49">
            <v>19</v>
          </cell>
          <cell r="F49">
            <v>21</v>
          </cell>
          <cell r="G49">
            <v>15</v>
          </cell>
          <cell r="H49">
            <v>17</v>
          </cell>
          <cell r="I49">
            <v>17</v>
          </cell>
          <cell r="J49">
            <v>17</v>
          </cell>
          <cell r="K49">
            <v>19</v>
          </cell>
          <cell r="L49">
            <v>17</v>
          </cell>
          <cell r="M49">
            <v>17</v>
          </cell>
          <cell r="N49">
            <v>17</v>
          </cell>
          <cell r="O49">
            <v>21</v>
          </cell>
          <cell r="P49">
            <v>17</v>
          </cell>
          <cell r="Q49">
            <v>19</v>
          </cell>
          <cell r="R49">
            <v>19</v>
          </cell>
          <cell r="S49">
            <v>17</v>
          </cell>
          <cell r="T49">
            <v>19</v>
          </cell>
          <cell r="U49">
            <v>19</v>
          </cell>
          <cell r="V49">
            <v>25</v>
          </cell>
          <cell r="W49">
            <v>19.600000000000001</v>
          </cell>
        </row>
        <row r="50">
          <cell r="A50" t="str">
            <v>Kurt Kitayama</v>
          </cell>
          <cell r="B50">
            <v>19</v>
          </cell>
          <cell r="C50">
            <v>21</v>
          </cell>
          <cell r="D50">
            <v>19</v>
          </cell>
          <cell r="E50">
            <v>21</v>
          </cell>
          <cell r="F50">
            <v>21</v>
          </cell>
          <cell r="G50">
            <v>19</v>
          </cell>
          <cell r="H50">
            <v>23</v>
          </cell>
          <cell r="I50">
            <v>21</v>
          </cell>
          <cell r="J50">
            <v>17</v>
          </cell>
          <cell r="K50">
            <v>23</v>
          </cell>
          <cell r="L50">
            <v>23</v>
          </cell>
          <cell r="M50">
            <v>17</v>
          </cell>
          <cell r="N50">
            <v>17</v>
          </cell>
          <cell r="O50">
            <v>23</v>
          </cell>
          <cell r="P50">
            <v>17</v>
          </cell>
          <cell r="Q50">
            <v>23</v>
          </cell>
          <cell r="R50">
            <v>21</v>
          </cell>
          <cell r="S50">
            <v>21</v>
          </cell>
          <cell r="T50">
            <v>21</v>
          </cell>
          <cell r="U50">
            <v>21</v>
          </cell>
          <cell r="V50">
            <v>28</v>
          </cell>
          <cell r="W50">
            <v>26</v>
          </cell>
        </row>
        <row r="51">
          <cell r="A51" t="str">
            <v>Adam Schenk</v>
          </cell>
          <cell r="B51">
            <v>23</v>
          </cell>
          <cell r="C51">
            <v>19</v>
          </cell>
          <cell r="D51">
            <v>15</v>
          </cell>
          <cell r="E51">
            <v>17</v>
          </cell>
          <cell r="F51">
            <v>23</v>
          </cell>
          <cell r="G51">
            <v>15</v>
          </cell>
          <cell r="H51">
            <v>19</v>
          </cell>
          <cell r="I51">
            <v>19</v>
          </cell>
          <cell r="J51">
            <v>17</v>
          </cell>
          <cell r="K51">
            <v>17</v>
          </cell>
          <cell r="L51">
            <v>19</v>
          </cell>
          <cell r="M51">
            <v>17</v>
          </cell>
          <cell r="N51">
            <v>21</v>
          </cell>
          <cell r="O51">
            <v>23</v>
          </cell>
          <cell r="P51">
            <v>17</v>
          </cell>
          <cell r="Q51">
            <v>17</v>
          </cell>
          <cell r="R51">
            <v>21</v>
          </cell>
          <cell r="S51">
            <v>19</v>
          </cell>
          <cell r="T51">
            <v>21</v>
          </cell>
          <cell r="U51">
            <v>19</v>
          </cell>
          <cell r="V51">
            <v>28</v>
          </cell>
          <cell r="W51">
            <v>23</v>
          </cell>
        </row>
        <row r="52">
          <cell r="A52" t="str">
            <v>Tom Hoge</v>
          </cell>
          <cell r="B52">
            <v>21</v>
          </cell>
          <cell r="C52">
            <v>19</v>
          </cell>
          <cell r="D52">
            <v>17</v>
          </cell>
          <cell r="E52">
            <v>19</v>
          </cell>
          <cell r="F52">
            <v>19</v>
          </cell>
          <cell r="G52">
            <v>17</v>
          </cell>
          <cell r="H52">
            <v>23</v>
          </cell>
          <cell r="I52">
            <v>19</v>
          </cell>
          <cell r="J52">
            <v>21</v>
          </cell>
          <cell r="K52">
            <v>23</v>
          </cell>
          <cell r="L52">
            <v>23</v>
          </cell>
          <cell r="M52">
            <v>21</v>
          </cell>
          <cell r="N52">
            <v>15</v>
          </cell>
          <cell r="O52">
            <v>21</v>
          </cell>
          <cell r="P52">
            <v>21</v>
          </cell>
          <cell r="Q52">
            <v>23</v>
          </cell>
          <cell r="R52">
            <v>21</v>
          </cell>
          <cell r="S52">
            <v>19</v>
          </cell>
          <cell r="T52">
            <v>21</v>
          </cell>
          <cell r="U52">
            <v>19</v>
          </cell>
          <cell r="V52">
            <v>33</v>
          </cell>
          <cell r="W52">
            <v>26</v>
          </cell>
        </row>
        <row r="53">
          <cell r="A53" t="str">
            <v>Keith Mitchell</v>
          </cell>
          <cell r="B53">
            <v>17</v>
          </cell>
          <cell r="C53">
            <v>19</v>
          </cell>
          <cell r="D53">
            <v>13</v>
          </cell>
          <cell r="E53">
            <v>15</v>
          </cell>
          <cell r="F53">
            <v>16</v>
          </cell>
          <cell r="G53">
            <v>13</v>
          </cell>
          <cell r="H53">
            <v>19</v>
          </cell>
          <cell r="I53">
            <v>17</v>
          </cell>
          <cell r="J53">
            <v>15</v>
          </cell>
          <cell r="K53">
            <v>23</v>
          </cell>
          <cell r="L53">
            <v>19</v>
          </cell>
          <cell r="M53">
            <v>15</v>
          </cell>
          <cell r="N53">
            <v>14</v>
          </cell>
          <cell r="O53">
            <v>15</v>
          </cell>
          <cell r="P53">
            <v>15</v>
          </cell>
          <cell r="Q53">
            <v>23</v>
          </cell>
          <cell r="R53">
            <v>17</v>
          </cell>
          <cell r="S53">
            <v>17</v>
          </cell>
          <cell r="T53">
            <v>17</v>
          </cell>
          <cell r="U53">
            <v>19</v>
          </cell>
          <cell r="V53">
            <v>25</v>
          </cell>
          <cell r="W53">
            <v>21</v>
          </cell>
        </row>
        <row r="54">
          <cell r="A54" t="str">
            <v>Nick Taylor</v>
          </cell>
          <cell r="B54">
            <v>13</v>
          </cell>
          <cell r="C54">
            <v>19</v>
          </cell>
          <cell r="D54">
            <v>13</v>
          </cell>
          <cell r="E54">
            <v>17</v>
          </cell>
          <cell r="F54">
            <v>16</v>
          </cell>
          <cell r="G54">
            <v>13</v>
          </cell>
          <cell r="H54">
            <v>23</v>
          </cell>
          <cell r="I54">
            <v>15</v>
          </cell>
          <cell r="J54">
            <v>17</v>
          </cell>
          <cell r="K54">
            <v>19</v>
          </cell>
          <cell r="L54">
            <v>23</v>
          </cell>
          <cell r="M54">
            <v>17</v>
          </cell>
          <cell r="N54">
            <v>12</v>
          </cell>
          <cell r="O54">
            <v>10</v>
          </cell>
          <cell r="P54">
            <v>17</v>
          </cell>
          <cell r="Q54">
            <v>19</v>
          </cell>
          <cell r="R54">
            <v>19</v>
          </cell>
          <cell r="S54">
            <v>15</v>
          </cell>
          <cell r="T54">
            <v>19</v>
          </cell>
          <cell r="U54">
            <v>17</v>
          </cell>
          <cell r="V54">
            <v>29</v>
          </cell>
          <cell r="W54">
            <v>25</v>
          </cell>
        </row>
        <row r="55">
          <cell r="A55" t="str">
            <v>Rickie Fowler</v>
          </cell>
          <cell r="B55">
            <v>19</v>
          </cell>
          <cell r="C55">
            <v>17</v>
          </cell>
          <cell r="D55">
            <v>17</v>
          </cell>
          <cell r="E55">
            <v>17</v>
          </cell>
          <cell r="F55">
            <v>21</v>
          </cell>
          <cell r="G55">
            <v>17</v>
          </cell>
          <cell r="H55">
            <v>23</v>
          </cell>
          <cell r="I55">
            <v>17</v>
          </cell>
          <cell r="J55">
            <v>17</v>
          </cell>
          <cell r="K55">
            <v>26</v>
          </cell>
          <cell r="L55">
            <v>23</v>
          </cell>
          <cell r="M55">
            <v>17</v>
          </cell>
          <cell r="N55">
            <v>14</v>
          </cell>
          <cell r="O55">
            <v>19</v>
          </cell>
          <cell r="P55">
            <v>17</v>
          </cell>
          <cell r="Q55">
            <v>26</v>
          </cell>
          <cell r="R55">
            <v>21</v>
          </cell>
          <cell r="S55">
            <v>17</v>
          </cell>
          <cell r="T55">
            <v>21</v>
          </cell>
          <cell r="U55">
            <v>17</v>
          </cell>
          <cell r="V55">
            <v>28</v>
          </cell>
          <cell r="W55">
            <v>29</v>
          </cell>
        </row>
        <row r="56">
          <cell r="A56" t="str">
            <v>Thomas Detry</v>
          </cell>
          <cell r="B56">
            <v>23</v>
          </cell>
          <cell r="C56">
            <v>21</v>
          </cell>
          <cell r="D56">
            <v>19</v>
          </cell>
          <cell r="E56">
            <v>21</v>
          </cell>
          <cell r="F56">
            <v>23</v>
          </cell>
          <cell r="G56">
            <v>19</v>
          </cell>
          <cell r="H56">
            <v>26</v>
          </cell>
          <cell r="I56">
            <v>17</v>
          </cell>
          <cell r="J56">
            <v>17</v>
          </cell>
          <cell r="K56">
            <v>26</v>
          </cell>
          <cell r="L56">
            <v>26</v>
          </cell>
          <cell r="M56">
            <v>17</v>
          </cell>
          <cell r="N56" t="str">
            <v>NULL</v>
          </cell>
          <cell r="O56">
            <v>23</v>
          </cell>
          <cell r="P56">
            <v>17</v>
          </cell>
          <cell r="Q56">
            <v>26</v>
          </cell>
          <cell r="R56">
            <v>23</v>
          </cell>
          <cell r="S56">
            <v>17</v>
          </cell>
          <cell r="T56">
            <v>23</v>
          </cell>
          <cell r="U56">
            <v>19</v>
          </cell>
          <cell r="V56">
            <v>33</v>
          </cell>
          <cell r="W56">
            <v>31</v>
          </cell>
        </row>
        <row r="57">
          <cell r="A57" t="str">
            <v>Nick Dunlap</v>
          </cell>
          <cell r="B57">
            <v>17</v>
          </cell>
          <cell r="C57">
            <v>17</v>
          </cell>
          <cell r="D57">
            <v>15</v>
          </cell>
          <cell r="E57">
            <v>17</v>
          </cell>
          <cell r="F57">
            <v>19</v>
          </cell>
          <cell r="G57">
            <v>15</v>
          </cell>
          <cell r="H57">
            <v>23</v>
          </cell>
          <cell r="I57">
            <v>17</v>
          </cell>
          <cell r="J57">
            <v>17</v>
          </cell>
          <cell r="K57">
            <v>26</v>
          </cell>
          <cell r="L57">
            <v>23</v>
          </cell>
          <cell r="M57">
            <v>17</v>
          </cell>
          <cell r="N57">
            <v>14</v>
          </cell>
          <cell r="O57">
            <v>19</v>
          </cell>
          <cell r="P57">
            <v>17</v>
          </cell>
          <cell r="Q57">
            <v>26</v>
          </cell>
          <cell r="R57">
            <v>21</v>
          </cell>
          <cell r="S57">
            <v>17</v>
          </cell>
          <cell r="T57">
            <v>21</v>
          </cell>
          <cell r="U57">
            <v>17</v>
          </cell>
          <cell r="V57">
            <v>27</v>
          </cell>
          <cell r="W57" t="str">
            <v>NULL</v>
          </cell>
        </row>
        <row r="58">
          <cell r="A58" t="str">
            <v>Adam Svensson</v>
          </cell>
          <cell r="B58">
            <v>19</v>
          </cell>
          <cell r="C58">
            <v>21</v>
          </cell>
          <cell r="D58">
            <v>19</v>
          </cell>
          <cell r="E58">
            <v>21</v>
          </cell>
          <cell r="F58">
            <v>26</v>
          </cell>
          <cell r="G58">
            <v>19</v>
          </cell>
          <cell r="H58">
            <v>26</v>
          </cell>
          <cell r="I58">
            <v>21</v>
          </cell>
          <cell r="J58">
            <v>21</v>
          </cell>
          <cell r="K58">
            <v>23</v>
          </cell>
          <cell r="L58">
            <v>26</v>
          </cell>
          <cell r="M58">
            <v>21</v>
          </cell>
          <cell r="N58">
            <v>21</v>
          </cell>
          <cell r="O58">
            <v>23</v>
          </cell>
          <cell r="P58">
            <v>21</v>
          </cell>
          <cell r="Q58">
            <v>23</v>
          </cell>
          <cell r="R58">
            <v>23</v>
          </cell>
          <cell r="S58">
            <v>21</v>
          </cell>
          <cell r="T58">
            <v>23</v>
          </cell>
          <cell r="U58">
            <v>21</v>
          </cell>
          <cell r="V58">
            <v>33</v>
          </cell>
          <cell r="W58">
            <v>26</v>
          </cell>
        </row>
        <row r="59">
          <cell r="A59" t="str">
            <v>Erik van Rooyen</v>
          </cell>
          <cell r="B59">
            <v>23</v>
          </cell>
          <cell r="C59">
            <v>21</v>
          </cell>
          <cell r="D59">
            <v>21</v>
          </cell>
          <cell r="E59">
            <v>23</v>
          </cell>
          <cell r="F59">
            <v>26</v>
          </cell>
          <cell r="G59">
            <v>21</v>
          </cell>
          <cell r="H59">
            <v>29</v>
          </cell>
          <cell r="I59">
            <v>23</v>
          </cell>
          <cell r="J59">
            <v>23</v>
          </cell>
          <cell r="K59">
            <v>26</v>
          </cell>
          <cell r="L59">
            <v>29</v>
          </cell>
          <cell r="M59">
            <v>23</v>
          </cell>
          <cell r="N59">
            <v>21</v>
          </cell>
          <cell r="O59">
            <v>26</v>
          </cell>
          <cell r="P59">
            <v>23</v>
          </cell>
          <cell r="Q59">
            <v>26</v>
          </cell>
          <cell r="R59">
            <v>26</v>
          </cell>
          <cell r="S59">
            <v>23</v>
          </cell>
          <cell r="T59">
            <v>26</v>
          </cell>
          <cell r="U59">
            <v>23</v>
          </cell>
          <cell r="V59">
            <v>33</v>
          </cell>
          <cell r="W59" t="str">
            <v>NULL</v>
          </cell>
        </row>
        <row r="60">
          <cell r="A60" t="str">
            <v>Emiliano Grillo</v>
          </cell>
          <cell r="B60">
            <v>29</v>
          </cell>
          <cell r="C60">
            <v>19</v>
          </cell>
          <cell r="D60">
            <v>15</v>
          </cell>
          <cell r="E60">
            <v>17</v>
          </cell>
          <cell r="F60">
            <v>19</v>
          </cell>
          <cell r="G60">
            <v>15</v>
          </cell>
          <cell r="H60">
            <v>21</v>
          </cell>
          <cell r="I60">
            <v>19</v>
          </cell>
          <cell r="J60">
            <v>17</v>
          </cell>
          <cell r="K60">
            <v>21</v>
          </cell>
          <cell r="L60">
            <v>21</v>
          </cell>
          <cell r="M60">
            <v>17</v>
          </cell>
          <cell r="N60">
            <v>17</v>
          </cell>
          <cell r="O60">
            <v>23</v>
          </cell>
          <cell r="P60">
            <v>17</v>
          </cell>
          <cell r="Q60">
            <v>21</v>
          </cell>
          <cell r="R60">
            <v>23</v>
          </cell>
          <cell r="S60">
            <v>19</v>
          </cell>
          <cell r="T60">
            <v>23</v>
          </cell>
          <cell r="U60">
            <v>19</v>
          </cell>
          <cell r="V60">
            <v>25</v>
          </cell>
          <cell r="W60">
            <v>17.7</v>
          </cell>
        </row>
        <row r="61">
          <cell r="A61" t="str">
            <v>Lucas Glover</v>
          </cell>
          <cell r="B61">
            <v>21</v>
          </cell>
          <cell r="C61">
            <v>21</v>
          </cell>
          <cell r="D61">
            <v>17</v>
          </cell>
          <cell r="E61">
            <v>23</v>
          </cell>
          <cell r="F61">
            <v>23</v>
          </cell>
          <cell r="G61">
            <v>17</v>
          </cell>
          <cell r="H61">
            <v>26</v>
          </cell>
          <cell r="I61">
            <v>23</v>
          </cell>
          <cell r="J61">
            <v>23</v>
          </cell>
          <cell r="K61">
            <v>29</v>
          </cell>
          <cell r="L61">
            <v>26</v>
          </cell>
          <cell r="M61">
            <v>23</v>
          </cell>
          <cell r="N61">
            <v>17</v>
          </cell>
          <cell r="O61">
            <v>23</v>
          </cell>
          <cell r="P61">
            <v>23</v>
          </cell>
          <cell r="Q61">
            <v>29</v>
          </cell>
          <cell r="R61">
            <v>23</v>
          </cell>
          <cell r="S61">
            <v>23</v>
          </cell>
          <cell r="T61">
            <v>23</v>
          </cell>
          <cell r="U61">
            <v>23</v>
          </cell>
          <cell r="V61">
            <v>37</v>
          </cell>
          <cell r="W61">
            <v>37</v>
          </cell>
        </row>
        <row r="62">
          <cell r="A62" t="str">
            <v>Luke List</v>
          </cell>
          <cell r="B62">
            <v>21</v>
          </cell>
          <cell r="C62">
            <v>19</v>
          </cell>
          <cell r="D62">
            <v>17</v>
          </cell>
          <cell r="E62">
            <v>23</v>
          </cell>
          <cell r="F62">
            <v>26</v>
          </cell>
          <cell r="G62">
            <v>17</v>
          </cell>
          <cell r="H62">
            <v>31</v>
          </cell>
          <cell r="I62">
            <v>23</v>
          </cell>
          <cell r="J62">
            <v>23</v>
          </cell>
          <cell r="K62">
            <v>29</v>
          </cell>
          <cell r="L62">
            <v>31</v>
          </cell>
          <cell r="M62">
            <v>23</v>
          </cell>
          <cell r="N62">
            <v>17</v>
          </cell>
          <cell r="O62">
            <v>23</v>
          </cell>
          <cell r="P62">
            <v>23</v>
          </cell>
          <cell r="Q62">
            <v>29</v>
          </cell>
          <cell r="R62">
            <v>26</v>
          </cell>
          <cell r="S62">
            <v>23</v>
          </cell>
          <cell r="T62">
            <v>26</v>
          </cell>
          <cell r="U62">
            <v>21</v>
          </cell>
          <cell r="V62">
            <v>45</v>
          </cell>
          <cell r="W62">
            <v>31</v>
          </cell>
        </row>
        <row r="63">
          <cell r="A63" t="str">
            <v>Mackenzie Hughes</v>
          </cell>
          <cell r="B63">
            <v>29</v>
          </cell>
          <cell r="C63">
            <v>21</v>
          </cell>
          <cell r="D63">
            <v>19</v>
          </cell>
          <cell r="E63">
            <v>26</v>
          </cell>
          <cell r="F63">
            <v>26</v>
          </cell>
          <cell r="G63">
            <v>19</v>
          </cell>
          <cell r="H63">
            <v>31</v>
          </cell>
          <cell r="I63">
            <v>26</v>
          </cell>
          <cell r="J63">
            <v>26</v>
          </cell>
          <cell r="K63">
            <v>26</v>
          </cell>
          <cell r="L63">
            <v>31</v>
          </cell>
          <cell r="M63">
            <v>26</v>
          </cell>
          <cell r="N63">
            <v>21</v>
          </cell>
          <cell r="O63">
            <v>26</v>
          </cell>
          <cell r="P63">
            <v>26</v>
          </cell>
          <cell r="Q63">
            <v>26</v>
          </cell>
          <cell r="R63">
            <v>29</v>
          </cell>
          <cell r="S63">
            <v>26</v>
          </cell>
          <cell r="T63">
            <v>29</v>
          </cell>
          <cell r="U63">
            <v>23</v>
          </cell>
          <cell r="V63">
            <v>37</v>
          </cell>
          <cell r="W63">
            <v>31</v>
          </cell>
        </row>
        <row r="64">
          <cell r="A64" t="str">
            <v>Taylor Moore</v>
          </cell>
          <cell r="B64">
            <v>31</v>
          </cell>
          <cell r="C64">
            <v>26</v>
          </cell>
          <cell r="D64">
            <v>23</v>
          </cell>
          <cell r="E64">
            <v>21</v>
          </cell>
          <cell r="F64">
            <v>29</v>
          </cell>
          <cell r="G64">
            <v>23</v>
          </cell>
          <cell r="H64">
            <v>34</v>
          </cell>
          <cell r="I64">
            <v>26</v>
          </cell>
          <cell r="J64">
            <v>21</v>
          </cell>
          <cell r="K64">
            <v>34</v>
          </cell>
          <cell r="L64">
            <v>34</v>
          </cell>
          <cell r="M64">
            <v>21</v>
          </cell>
          <cell r="N64">
            <v>26</v>
          </cell>
          <cell r="O64">
            <v>29</v>
          </cell>
          <cell r="P64">
            <v>21</v>
          </cell>
          <cell r="Q64">
            <v>34</v>
          </cell>
          <cell r="R64">
            <v>34</v>
          </cell>
          <cell r="S64">
            <v>26</v>
          </cell>
          <cell r="T64">
            <v>34</v>
          </cell>
          <cell r="U64">
            <v>26</v>
          </cell>
          <cell r="V64">
            <v>37</v>
          </cell>
          <cell r="W64" t="str">
            <v>NULL</v>
          </cell>
        </row>
        <row r="65">
          <cell r="A65" t="str">
            <v>Matt Kuchar</v>
          </cell>
          <cell r="B65">
            <v>23</v>
          </cell>
          <cell r="C65">
            <v>34</v>
          </cell>
          <cell r="D65">
            <v>23</v>
          </cell>
          <cell r="E65">
            <v>29</v>
          </cell>
          <cell r="F65">
            <v>31</v>
          </cell>
          <cell r="G65">
            <v>23</v>
          </cell>
          <cell r="H65">
            <v>31</v>
          </cell>
          <cell r="I65">
            <v>29</v>
          </cell>
          <cell r="J65">
            <v>29</v>
          </cell>
          <cell r="K65">
            <v>29</v>
          </cell>
          <cell r="L65">
            <v>31</v>
          </cell>
          <cell r="M65">
            <v>29</v>
          </cell>
          <cell r="N65">
            <v>29</v>
          </cell>
          <cell r="O65">
            <v>31</v>
          </cell>
          <cell r="P65">
            <v>29</v>
          </cell>
          <cell r="Q65">
            <v>29</v>
          </cell>
          <cell r="R65">
            <v>29</v>
          </cell>
          <cell r="S65">
            <v>29</v>
          </cell>
          <cell r="T65">
            <v>29</v>
          </cell>
          <cell r="U65">
            <v>31</v>
          </cell>
          <cell r="V65">
            <v>41</v>
          </cell>
          <cell r="W65">
            <v>39</v>
          </cell>
        </row>
        <row r="66">
          <cell r="A66" t="str">
            <v>Maverick McNealy</v>
          </cell>
          <cell r="B66">
            <v>23</v>
          </cell>
          <cell r="C66">
            <v>34</v>
          </cell>
          <cell r="D66">
            <v>21</v>
          </cell>
          <cell r="E66">
            <v>23</v>
          </cell>
          <cell r="F66">
            <v>26</v>
          </cell>
          <cell r="G66">
            <v>21</v>
          </cell>
          <cell r="H66">
            <v>29</v>
          </cell>
          <cell r="I66">
            <v>26</v>
          </cell>
          <cell r="J66">
            <v>23</v>
          </cell>
          <cell r="K66">
            <v>29</v>
          </cell>
          <cell r="L66">
            <v>29</v>
          </cell>
          <cell r="M66">
            <v>23</v>
          </cell>
          <cell r="N66">
            <v>26</v>
          </cell>
          <cell r="O66">
            <v>26</v>
          </cell>
          <cell r="P66">
            <v>23</v>
          </cell>
          <cell r="Q66">
            <v>29</v>
          </cell>
          <cell r="R66">
            <v>26</v>
          </cell>
          <cell r="S66">
            <v>26</v>
          </cell>
          <cell r="T66">
            <v>26</v>
          </cell>
          <cell r="U66">
            <v>26</v>
          </cell>
          <cell r="V66">
            <v>37</v>
          </cell>
          <cell r="W66">
            <v>29</v>
          </cell>
        </row>
        <row r="67">
          <cell r="A67" t="str">
            <v>Mark Hubbard</v>
          </cell>
          <cell r="B67">
            <v>26</v>
          </cell>
          <cell r="C67">
            <v>26</v>
          </cell>
          <cell r="D67">
            <v>17</v>
          </cell>
          <cell r="E67">
            <v>21</v>
          </cell>
          <cell r="F67">
            <v>31</v>
          </cell>
          <cell r="G67">
            <v>17</v>
          </cell>
          <cell r="H67">
            <v>26</v>
          </cell>
          <cell r="I67">
            <v>26</v>
          </cell>
          <cell r="J67">
            <v>21</v>
          </cell>
          <cell r="K67">
            <v>23</v>
          </cell>
          <cell r="L67">
            <v>26</v>
          </cell>
          <cell r="M67">
            <v>21</v>
          </cell>
          <cell r="N67">
            <v>34</v>
          </cell>
          <cell r="O67">
            <v>31</v>
          </cell>
          <cell r="P67">
            <v>21</v>
          </cell>
          <cell r="Q67">
            <v>23</v>
          </cell>
          <cell r="R67">
            <v>26</v>
          </cell>
          <cell r="S67">
            <v>26</v>
          </cell>
          <cell r="T67">
            <v>26</v>
          </cell>
          <cell r="U67">
            <v>26</v>
          </cell>
          <cell r="V67">
            <v>35</v>
          </cell>
          <cell r="W67">
            <v>26</v>
          </cell>
        </row>
        <row r="68">
          <cell r="A68" t="str">
            <v>Ben Griffin</v>
          </cell>
          <cell r="B68">
            <v>23</v>
          </cell>
          <cell r="C68">
            <v>21</v>
          </cell>
          <cell r="D68">
            <v>21</v>
          </cell>
          <cell r="E68">
            <v>21</v>
          </cell>
          <cell r="F68">
            <v>31</v>
          </cell>
          <cell r="G68">
            <v>21</v>
          </cell>
          <cell r="H68">
            <v>36</v>
          </cell>
          <cell r="I68">
            <v>23</v>
          </cell>
          <cell r="J68">
            <v>21</v>
          </cell>
          <cell r="K68">
            <v>29</v>
          </cell>
          <cell r="L68">
            <v>36</v>
          </cell>
          <cell r="M68">
            <v>21</v>
          </cell>
          <cell r="N68">
            <v>26</v>
          </cell>
          <cell r="O68">
            <v>31</v>
          </cell>
          <cell r="P68">
            <v>21</v>
          </cell>
          <cell r="Q68">
            <v>29</v>
          </cell>
          <cell r="R68" t="str">
            <v>NULL</v>
          </cell>
          <cell r="S68">
            <v>23</v>
          </cell>
          <cell r="T68" t="str">
            <v>NULL</v>
          </cell>
          <cell r="U68">
            <v>23</v>
          </cell>
          <cell r="V68">
            <v>31</v>
          </cell>
          <cell r="W68">
            <v>26</v>
          </cell>
        </row>
        <row r="69">
          <cell r="A69" t="str">
            <v>Brandon Wu</v>
          </cell>
          <cell r="B69">
            <v>26</v>
          </cell>
          <cell r="C69">
            <v>26</v>
          </cell>
          <cell r="D69">
            <v>23</v>
          </cell>
          <cell r="E69">
            <v>31</v>
          </cell>
          <cell r="F69">
            <v>34</v>
          </cell>
          <cell r="G69">
            <v>23</v>
          </cell>
          <cell r="H69">
            <v>36</v>
          </cell>
          <cell r="I69">
            <v>26</v>
          </cell>
          <cell r="J69">
            <v>31</v>
          </cell>
          <cell r="K69">
            <v>41</v>
          </cell>
          <cell r="L69">
            <v>36</v>
          </cell>
          <cell r="M69">
            <v>31</v>
          </cell>
          <cell r="N69">
            <v>26</v>
          </cell>
          <cell r="O69">
            <v>34</v>
          </cell>
          <cell r="P69">
            <v>31</v>
          </cell>
          <cell r="Q69">
            <v>41</v>
          </cell>
          <cell r="R69">
            <v>31</v>
          </cell>
          <cell r="S69">
            <v>26</v>
          </cell>
          <cell r="T69">
            <v>31</v>
          </cell>
          <cell r="U69">
            <v>26</v>
          </cell>
          <cell r="V69">
            <v>47</v>
          </cell>
          <cell r="W69">
            <v>26</v>
          </cell>
        </row>
        <row r="70">
          <cell r="A70" t="str">
            <v>Nick Hardy</v>
          </cell>
          <cell r="B70">
            <v>31</v>
          </cell>
          <cell r="C70">
            <v>41</v>
          </cell>
          <cell r="D70">
            <v>23</v>
          </cell>
          <cell r="E70">
            <v>34</v>
          </cell>
          <cell r="F70">
            <v>41</v>
          </cell>
          <cell r="G70">
            <v>23</v>
          </cell>
          <cell r="H70">
            <v>41</v>
          </cell>
          <cell r="I70">
            <v>29</v>
          </cell>
          <cell r="J70">
            <v>29</v>
          </cell>
          <cell r="K70">
            <v>41</v>
          </cell>
          <cell r="L70">
            <v>41</v>
          </cell>
          <cell r="M70">
            <v>29</v>
          </cell>
          <cell r="N70">
            <v>41</v>
          </cell>
          <cell r="O70">
            <v>15</v>
          </cell>
          <cell r="P70">
            <v>29</v>
          </cell>
          <cell r="Q70">
            <v>41</v>
          </cell>
          <cell r="R70">
            <v>34</v>
          </cell>
          <cell r="S70">
            <v>29</v>
          </cell>
          <cell r="T70">
            <v>34</v>
          </cell>
          <cell r="U70">
            <v>36</v>
          </cell>
          <cell r="V70">
            <v>54</v>
          </cell>
          <cell r="W70">
            <v>28</v>
          </cell>
        </row>
        <row r="71">
          <cell r="A71" t="str">
            <v>J.J. Spaun</v>
          </cell>
          <cell r="B71">
            <v>26</v>
          </cell>
          <cell r="C71">
            <v>29</v>
          </cell>
          <cell r="D71">
            <v>23</v>
          </cell>
          <cell r="E71">
            <v>34</v>
          </cell>
          <cell r="F71">
            <v>36</v>
          </cell>
          <cell r="G71">
            <v>23</v>
          </cell>
          <cell r="H71">
            <v>41</v>
          </cell>
          <cell r="I71">
            <v>29</v>
          </cell>
          <cell r="J71">
            <v>34</v>
          </cell>
          <cell r="K71">
            <v>29</v>
          </cell>
          <cell r="L71">
            <v>41</v>
          </cell>
          <cell r="M71">
            <v>34</v>
          </cell>
          <cell r="N71">
            <v>29</v>
          </cell>
          <cell r="O71">
            <v>34</v>
          </cell>
          <cell r="P71">
            <v>34</v>
          </cell>
          <cell r="Q71">
            <v>29</v>
          </cell>
          <cell r="R71">
            <v>34</v>
          </cell>
          <cell r="S71">
            <v>29</v>
          </cell>
          <cell r="T71">
            <v>34</v>
          </cell>
          <cell r="U71">
            <v>29</v>
          </cell>
          <cell r="V71">
            <v>49</v>
          </cell>
          <cell r="W71">
            <v>41</v>
          </cell>
        </row>
        <row r="72">
          <cell r="A72" t="str">
            <v>Alex Smalley</v>
          </cell>
          <cell r="B72">
            <v>23</v>
          </cell>
          <cell r="C72">
            <v>26</v>
          </cell>
          <cell r="D72">
            <v>23</v>
          </cell>
          <cell r="E72">
            <v>31</v>
          </cell>
          <cell r="F72">
            <v>34</v>
          </cell>
          <cell r="G72">
            <v>23</v>
          </cell>
          <cell r="H72">
            <v>46</v>
          </cell>
          <cell r="I72">
            <v>29</v>
          </cell>
          <cell r="J72">
            <v>31</v>
          </cell>
          <cell r="K72">
            <v>34</v>
          </cell>
          <cell r="L72">
            <v>46</v>
          </cell>
          <cell r="M72">
            <v>31</v>
          </cell>
          <cell r="N72">
            <v>26</v>
          </cell>
          <cell r="O72">
            <v>31</v>
          </cell>
          <cell r="P72">
            <v>31</v>
          </cell>
          <cell r="Q72">
            <v>34</v>
          </cell>
          <cell r="R72">
            <v>34</v>
          </cell>
          <cell r="S72">
            <v>29</v>
          </cell>
          <cell r="T72">
            <v>34</v>
          </cell>
          <cell r="U72">
            <v>29</v>
          </cell>
          <cell r="V72">
            <v>45</v>
          </cell>
          <cell r="W72">
            <v>31</v>
          </cell>
        </row>
        <row r="73">
          <cell r="A73" t="str">
            <v>Lee Hodges</v>
          </cell>
          <cell r="B73">
            <v>51</v>
          </cell>
          <cell r="C73">
            <v>46</v>
          </cell>
          <cell r="D73">
            <v>23</v>
          </cell>
          <cell r="E73">
            <v>31</v>
          </cell>
          <cell r="F73">
            <v>41</v>
          </cell>
          <cell r="G73">
            <v>23</v>
          </cell>
          <cell r="H73">
            <v>36</v>
          </cell>
          <cell r="I73">
            <v>41</v>
          </cell>
          <cell r="J73">
            <v>31</v>
          </cell>
          <cell r="K73">
            <v>34</v>
          </cell>
          <cell r="L73">
            <v>36</v>
          </cell>
          <cell r="M73">
            <v>31</v>
          </cell>
          <cell r="N73">
            <v>51</v>
          </cell>
          <cell r="O73">
            <v>41</v>
          </cell>
          <cell r="P73">
            <v>31</v>
          </cell>
          <cell r="Q73">
            <v>34</v>
          </cell>
          <cell r="R73">
            <v>41</v>
          </cell>
          <cell r="S73">
            <v>41</v>
          </cell>
          <cell r="T73">
            <v>41</v>
          </cell>
          <cell r="U73">
            <v>46</v>
          </cell>
          <cell r="V73">
            <v>49</v>
          </cell>
          <cell r="W73">
            <v>37</v>
          </cell>
        </row>
        <row r="74">
          <cell r="A74" t="str">
            <v>Sam Ryder</v>
          </cell>
          <cell r="B74">
            <v>36</v>
          </cell>
          <cell r="C74">
            <v>34</v>
          </cell>
          <cell r="D74">
            <v>29</v>
          </cell>
          <cell r="E74">
            <v>31</v>
          </cell>
          <cell r="F74">
            <v>46</v>
          </cell>
          <cell r="G74">
            <v>29</v>
          </cell>
          <cell r="H74">
            <v>51</v>
          </cell>
          <cell r="I74">
            <v>29</v>
          </cell>
          <cell r="J74">
            <v>31</v>
          </cell>
          <cell r="K74">
            <v>41</v>
          </cell>
          <cell r="L74">
            <v>51</v>
          </cell>
          <cell r="M74">
            <v>31</v>
          </cell>
          <cell r="N74">
            <v>34</v>
          </cell>
          <cell r="O74">
            <v>41</v>
          </cell>
          <cell r="P74">
            <v>31</v>
          </cell>
          <cell r="Q74">
            <v>41</v>
          </cell>
          <cell r="R74">
            <v>41</v>
          </cell>
          <cell r="S74">
            <v>29</v>
          </cell>
          <cell r="T74">
            <v>41</v>
          </cell>
          <cell r="U74">
            <v>31</v>
          </cell>
          <cell r="V74">
            <v>54</v>
          </cell>
          <cell r="W74">
            <v>39</v>
          </cell>
        </row>
        <row r="75">
          <cell r="A75" t="str">
            <v>S.H. Kim</v>
          </cell>
          <cell r="B75">
            <v>31</v>
          </cell>
          <cell r="C75">
            <v>41</v>
          </cell>
          <cell r="D75">
            <v>29</v>
          </cell>
          <cell r="E75">
            <v>41</v>
          </cell>
          <cell r="F75">
            <v>46</v>
          </cell>
          <cell r="G75">
            <v>29</v>
          </cell>
          <cell r="H75">
            <v>56</v>
          </cell>
          <cell r="I75">
            <v>34</v>
          </cell>
          <cell r="J75">
            <v>41</v>
          </cell>
          <cell r="K75">
            <v>41</v>
          </cell>
          <cell r="L75">
            <v>56</v>
          </cell>
          <cell r="M75">
            <v>41</v>
          </cell>
          <cell r="N75">
            <v>34</v>
          </cell>
          <cell r="O75">
            <v>41</v>
          </cell>
          <cell r="P75">
            <v>41</v>
          </cell>
          <cell r="Q75">
            <v>41</v>
          </cell>
          <cell r="R75">
            <v>41</v>
          </cell>
          <cell r="S75">
            <v>34</v>
          </cell>
          <cell r="T75">
            <v>41</v>
          </cell>
          <cell r="U75">
            <v>36</v>
          </cell>
          <cell r="V75">
            <v>54</v>
          </cell>
          <cell r="W75">
            <v>45</v>
          </cell>
        </row>
        <row r="76">
          <cell r="A76" t="str">
            <v>Seamus Power</v>
          </cell>
          <cell r="B76">
            <v>36</v>
          </cell>
          <cell r="C76">
            <v>51</v>
          </cell>
          <cell r="D76">
            <v>34</v>
          </cell>
          <cell r="E76">
            <v>51</v>
          </cell>
          <cell r="F76">
            <v>46</v>
          </cell>
          <cell r="G76">
            <v>34</v>
          </cell>
          <cell r="H76">
            <v>51</v>
          </cell>
          <cell r="I76">
            <v>51</v>
          </cell>
          <cell r="J76">
            <v>67</v>
          </cell>
          <cell r="K76">
            <v>67</v>
          </cell>
          <cell r="L76">
            <v>51</v>
          </cell>
          <cell r="M76">
            <v>67</v>
          </cell>
          <cell r="N76">
            <v>51</v>
          </cell>
          <cell r="O76">
            <v>41</v>
          </cell>
          <cell r="P76">
            <v>67</v>
          </cell>
          <cell r="Q76">
            <v>67</v>
          </cell>
          <cell r="R76">
            <v>41</v>
          </cell>
          <cell r="S76">
            <v>51</v>
          </cell>
          <cell r="T76">
            <v>41</v>
          </cell>
          <cell r="U76">
            <v>51</v>
          </cell>
          <cell r="V76">
            <v>49</v>
          </cell>
          <cell r="W76">
            <v>49</v>
          </cell>
        </row>
        <row r="77">
          <cell r="A77" t="str">
            <v>Grayson Murray</v>
          </cell>
          <cell r="B77">
            <v>51</v>
          </cell>
          <cell r="C77">
            <v>51</v>
          </cell>
          <cell r="D77">
            <v>29</v>
          </cell>
          <cell r="E77">
            <v>51</v>
          </cell>
          <cell r="F77">
            <v>41</v>
          </cell>
          <cell r="G77">
            <v>29</v>
          </cell>
          <cell r="H77">
            <v>51</v>
          </cell>
          <cell r="I77">
            <v>46</v>
          </cell>
          <cell r="J77">
            <v>67</v>
          </cell>
          <cell r="K77">
            <v>51</v>
          </cell>
          <cell r="L77">
            <v>51</v>
          </cell>
          <cell r="M77">
            <v>67</v>
          </cell>
          <cell r="N77">
            <v>41</v>
          </cell>
          <cell r="O77">
            <v>41</v>
          </cell>
          <cell r="P77">
            <v>67</v>
          </cell>
          <cell r="Q77">
            <v>51</v>
          </cell>
          <cell r="R77">
            <v>51</v>
          </cell>
          <cell r="S77">
            <v>46</v>
          </cell>
          <cell r="T77">
            <v>51</v>
          </cell>
          <cell r="U77">
            <v>51</v>
          </cell>
          <cell r="V77">
            <v>49</v>
          </cell>
          <cell r="W77" t="str">
            <v>NULL</v>
          </cell>
        </row>
        <row r="78">
          <cell r="A78" t="str">
            <v>Webb Simpson</v>
          </cell>
          <cell r="B78">
            <v>41</v>
          </cell>
          <cell r="C78">
            <v>51</v>
          </cell>
          <cell r="D78">
            <v>29</v>
          </cell>
          <cell r="E78">
            <v>51</v>
          </cell>
          <cell r="F78">
            <v>46</v>
          </cell>
          <cell r="G78">
            <v>29</v>
          </cell>
          <cell r="H78">
            <v>61</v>
          </cell>
          <cell r="I78">
            <v>51</v>
          </cell>
          <cell r="J78">
            <v>67</v>
          </cell>
          <cell r="K78">
            <v>51</v>
          </cell>
          <cell r="L78">
            <v>61</v>
          </cell>
          <cell r="M78">
            <v>67</v>
          </cell>
          <cell r="N78">
            <v>41</v>
          </cell>
          <cell r="O78">
            <v>46</v>
          </cell>
          <cell r="P78">
            <v>67</v>
          </cell>
          <cell r="Q78">
            <v>51</v>
          </cell>
          <cell r="R78">
            <v>51</v>
          </cell>
          <cell r="S78">
            <v>51</v>
          </cell>
          <cell r="T78">
            <v>51</v>
          </cell>
          <cell r="U78">
            <v>51</v>
          </cell>
          <cell r="V78">
            <v>69</v>
          </cell>
          <cell r="W78">
            <v>45</v>
          </cell>
        </row>
        <row r="79">
          <cell r="A79" t="str">
            <v>Davis Riley</v>
          </cell>
          <cell r="B79">
            <v>71</v>
          </cell>
          <cell r="C79">
            <v>67</v>
          </cell>
          <cell r="D79">
            <v>41</v>
          </cell>
          <cell r="E79">
            <v>67</v>
          </cell>
          <cell r="F79">
            <v>67</v>
          </cell>
          <cell r="G79">
            <v>41</v>
          </cell>
          <cell r="H79">
            <v>81</v>
          </cell>
          <cell r="I79">
            <v>67</v>
          </cell>
          <cell r="J79">
            <v>91</v>
          </cell>
          <cell r="K79">
            <v>81</v>
          </cell>
          <cell r="L79">
            <v>81</v>
          </cell>
          <cell r="M79">
            <v>91</v>
          </cell>
          <cell r="N79">
            <v>51</v>
          </cell>
          <cell r="O79">
            <v>67</v>
          </cell>
          <cell r="P79">
            <v>91</v>
          </cell>
          <cell r="Q79">
            <v>81</v>
          </cell>
          <cell r="R79">
            <v>81</v>
          </cell>
          <cell r="S79">
            <v>67</v>
          </cell>
          <cell r="T79">
            <v>81</v>
          </cell>
          <cell r="U79">
            <v>67</v>
          </cell>
          <cell r="V79">
            <v>98</v>
          </cell>
          <cell r="W79">
            <v>83</v>
          </cell>
        </row>
        <row r="80">
          <cell r="A80" t="str">
            <v>Hayden Buckley</v>
          </cell>
          <cell r="B80">
            <v>61</v>
          </cell>
          <cell r="C80" t="str">
            <v>NULL</v>
          </cell>
          <cell r="D80" t="str">
            <v>NULL</v>
          </cell>
          <cell r="E80" t="str">
            <v>NULL</v>
          </cell>
          <cell r="F80">
            <v>67</v>
          </cell>
          <cell r="G80" t="str">
            <v>NULL</v>
          </cell>
          <cell r="H80">
            <v>91</v>
          </cell>
          <cell r="I80" t="str">
            <v>NULL</v>
          </cell>
          <cell r="J80" t="str">
            <v>NULL</v>
          </cell>
          <cell r="K80" t="str">
            <v>NULL</v>
          </cell>
          <cell r="L80" t="str">
            <v>NULL</v>
          </cell>
          <cell r="M80" t="str">
            <v>NULL</v>
          </cell>
          <cell r="N80" t="str">
            <v>NULL</v>
          </cell>
          <cell r="O80" t="str">
            <v>NULL</v>
          </cell>
          <cell r="P80" t="str">
            <v>NULL</v>
          </cell>
          <cell r="Q80" t="str">
            <v>NULL</v>
          </cell>
          <cell r="R80">
            <v>81</v>
          </cell>
          <cell r="S80" t="str">
            <v>NULL</v>
          </cell>
          <cell r="T80">
            <v>81</v>
          </cell>
          <cell r="U80">
            <v>81</v>
          </cell>
          <cell r="V80">
            <v>39</v>
          </cell>
          <cell r="W80">
            <v>83</v>
          </cell>
        </row>
        <row r="81">
          <cell r="A81" t="str">
            <v>Peter Malnati</v>
          </cell>
          <cell r="B81">
            <v>61</v>
          </cell>
          <cell r="C81">
            <v>81</v>
          </cell>
          <cell r="D81">
            <v>51</v>
          </cell>
          <cell r="E81">
            <v>81</v>
          </cell>
          <cell r="F81">
            <v>91</v>
          </cell>
          <cell r="G81">
            <v>51</v>
          </cell>
          <cell r="H81">
            <v>126</v>
          </cell>
          <cell r="I81">
            <v>81</v>
          </cell>
          <cell r="J81">
            <v>91</v>
          </cell>
          <cell r="K81">
            <v>81</v>
          </cell>
          <cell r="L81">
            <v>126</v>
          </cell>
          <cell r="M81">
            <v>91</v>
          </cell>
          <cell r="N81">
            <v>71</v>
          </cell>
          <cell r="O81">
            <v>81</v>
          </cell>
          <cell r="P81">
            <v>91</v>
          </cell>
          <cell r="Q81">
            <v>81</v>
          </cell>
          <cell r="R81">
            <v>101</v>
          </cell>
          <cell r="S81">
            <v>81</v>
          </cell>
          <cell r="T81">
            <v>101</v>
          </cell>
          <cell r="U81">
            <v>81</v>
          </cell>
          <cell r="V81">
            <v>78</v>
          </cell>
          <cell r="W81">
            <v>118</v>
          </cell>
        </row>
      </sheetData>
      <sheetData sheetId="13" refreshError="1"/>
      <sheetData sheetId="14" refreshError="1"/>
      <sheetData sheetId="15" refreshError="1"/>
      <sheetData sheetId="16" refreshError="1"/>
      <sheetData sheetId="17" refreshError="1"/>
      <sheetData sheetId="18" refreshError="1"/>
      <sheetData sheetId="19"/>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persons/person.xml><?xml version="1.0" encoding="utf-8"?>
<personList xmlns="http://schemas.microsoft.com/office/spreadsheetml/2018/threadedcomments" xmlns:x="http://schemas.openxmlformats.org/spreadsheetml/2006/main">
  <person displayName="Alex Burnett" id="{1C062316-6134-45A7-86B1-D1CB8B72F3D4}" userId="15ed715ad2c5ca1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1</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D2507D9-49A5-41AE-9FD2-0332A9498500}" name="Table23" displayName="Table23" ref="A1:K278" totalsRowShown="0" headerRowDxfId="603">
  <autoFilter ref="A1:K278" xr:uid="{0D2507D9-49A5-41AE-9FD2-0332A9498500}"/>
  <sortState xmlns:xlrd2="http://schemas.microsoft.com/office/spreadsheetml/2017/richdata2" ref="A2:K208">
    <sortCondition ref="I1:I208"/>
  </sortState>
  <tableColumns count="11">
    <tableColumn id="1" xr3:uid="{65CEB375-0D07-401B-B63B-4F5C6039CF4C}" name="Player"/>
    <tableColumn id="2" xr3:uid="{DC39EF54-C634-4478-8821-DF7D508F7ED7}" name="DIST"/>
    <tableColumn id="3" xr3:uid="{D9497DEA-D65E-40A9-B92B-70600326B68B}" name="ACC"/>
    <tableColumn id="4" xr3:uid="{8EBE6EB3-C3DB-414B-B2C8-0A81E6F7CF7A}" name="APP"/>
    <tableColumn id="5" xr3:uid="{C82602FB-99D8-4DD5-8808-B37C79A26E52}" name="ARG"/>
    <tableColumn id="6" xr3:uid="{64B9D6EE-43CD-4C31-9C3A-840E10C80185}" name="PUTT"/>
    <tableColumn id="7" xr3:uid="{1F75AABA-7585-43B6-8226-B27916FA8246}" name="SG"/>
    <tableColumn id="8" xr3:uid="{A5118ED2-8CD1-4FBF-BF26-DC6E5A196F18}" name="DGSCORE" dataDxfId="602">
      <calculatedColumnFormula>$M$2*B2+$N$2*C2+$O$2*D2+$P$2*E2+$Q$2*F2</calculatedColumnFormula>
    </tableColumn>
    <tableColumn id="9" xr3:uid="{5E35E628-02D4-4F94-A7A8-6E4076383FCD}" name="RADARSCORE" dataDxfId="601">
      <calculatedColumnFormula>$M$5*B2+$N$5*C2+$O$5*D2+$P$5*E2+$Q$5*F2+$R$5*G2</calculatedColumnFormula>
    </tableColumn>
    <tableColumn id="10" xr3:uid="{1C28B97D-BC45-43EC-A775-14C2BEB0F29A}" name="DGRANK"/>
    <tableColumn id="11" xr3:uid="{4960328F-56CD-4FCE-A39E-1AAB9F329496}" name="RADARRANK"/>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89E9E6-684C-4117-B3C2-43B84D8F68E9}" name="Raw_Data4" displayName="Raw_Data4" ref="A1:G220" totalsRowShown="0">
  <autoFilter ref="A1:G220" xr:uid="{8FBC8C48-FDA0-469B-8E2E-C237C14970AC}"/>
  <sortState xmlns:xlrd2="http://schemas.microsoft.com/office/spreadsheetml/2017/richdata2" ref="A2:G128">
    <sortCondition ref="B1:B128"/>
  </sortState>
  <tableColumns count="7">
    <tableColumn id="1" xr3:uid="{183D59F2-B393-47D1-AE7E-2FEAF5B1A292}" name="PLAYER NAME" dataDxfId="1388">
      <calculatedColumnFormula>DIST!A2</calculatedColumnFormula>
    </tableColumn>
    <tableColumn id="2" xr3:uid="{3009C2DA-7230-4D5C-B2AE-ED42EE30BB13}" name="DIST" dataDxfId="1387">
      <calculatedColumnFormula>VLOOKUP(Raw_Data4[[#This Row],[PLAYER NAME]],DIST!$A:$E,2,FALSE)</calculatedColumnFormula>
    </tableColumn>
    <tableColumn id="3" xr3:uid="{BD9E392C-513C-4EB9-B909-B05EC34A867D}" name="ACC" dataDxfId="1386">
      <calculatedColumnFormula>VLOOKUP(Raw_Data4[[#This Row],[PLAYER NAME]],ACC!$A:$E,2,FALSE)</calculatedColumnFormula>
    </tableColumn>
    <tableColumn id="4" xr3:uid="{CCDC6157-3196-47FF-B078-CA93F3D8114D}" name="APP" dataDxfId="1385">
      <calculatedColumnFormula>VLOOKUP(Raw_Data4[[#This Row],[PLAYER NAME]],APP!$A:$E,2,FALSE)</calculatedColumnFormula>
    </tableColumn>
    <tableColumn id="5" xr3:uid="{07B9E496-77FF-4BA2-9C29-CF2FC14E18D9}" name="ARG" dataDxfId="1384">
      <calculatedColumnFormula>VLOOKUP(Raw_Data4[[#This Row],[PLAYER NAME]],ARG!$A:$E,2,FALSE)</calculatedColumnFormula>
    </tableColumn>
    <tableColumn id="6" xr3:uid="{5ED26D84-684A-4AB6-8033-F569ED43D1BD}" name="PUTT" dataDxfId="1383">
      <calculatedColumnFormula>VLOOKUP(Raw_Data4[[#This Row],[PLAYER NAME]],PUTT!$A:$E,2,FALSE)</calculatedColumnFormula>
    </tableColumn>
    <tableColumn id="7" xr3:uid="{619EA981-0B15-49C8-A863-60909F1D47B3}" name="SG" dataDxfId="1382">
      <calculatedColumnFormula>VLOOKUP(Raw_Data4[[#This Row],[PLAYER NAME]],SG!$A:$E,3,FALSE)</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ACC846B-A871-4008-A46E-90C9A9E4340E}" name="Table30" displayName="Table30" ref="I1:X232" totalsRowShown="0" headerRowDxfId="1381">
  <autoFilter ref="I1:X232" xr:uid="{9ACC846B-A871-4008-A46E-90C9A9E4340E}"/>
  <tableColumns count="16">
    <tableColumn id="1" xr3:uid="{46E87F6D-2D66-452E-9F53-4021C8F9EAF8}" name="PLAYER NAME" dataDxfId="1380"/>
    <tableColumn id="2" xr3:uid="{385E5CF0-9993-439C-9BE9-339AF47F126F}" name="DIST"/>
    <tableColumn id="3" xr3:uid="{B10B1FAA-67D4-465A-95BE-F926E773FD71}" name="ACC"/>
    <tableColumn id="4" xr3:uid="{A9DE2EB7-FB1E-489D-AE4C-E443464337A9}" name="APP"/>
    <tableColumn id="5" xr3:uid="{6E2D6FCF-5CD5-4696-B713-C8B9700ECFDA}" name="ARG"/>
    <tableColumn id="6" xr3:uid="{1FC10790-78E7-4897-BE51-959AADAE0042}" name="PUTT"/>
    <tableColumn id="7" xr3:uid="{F07144C2-A0AC-4431-8364-DA4F67CDD17F}" name="SG"/>
    <tableColumn id="8" xr3:uid="{24A30F7F-6790-4C62-A809-A4977EAB22FA}" name="DGSCORE"/>
    <tableColumn id="9" xr3:uid="{8454CC75-BAD4-446C-AAC0-462D6E0A5D3C}" name="RADARSCORE"/>
    <tableColumn id="10" xr3:uid="{AD4FA36C-EF4C-46A4-A079-A723C544B83C}" name="BACKTESTDG"/>
    <tableColumn id="11" xr3:uid="{069B75B8-9AAA-477C-9FBB-A56A64D86F0E}" name="BACKTESTRADAR"/>
    <tableColumn id="12" xr3:uid="{218ADC4E-C391-4834-8D1F-98F76C90DA42}" name="DG PGA"/>
    <tableColumn id="13" xr3:uid="{A8E83C2B-5A15-41CF-B33B-104148C96677}" name="DG CR"/>
    <tableColumn id="14" xr3:uid="{C02332FC-0EC0-4573-842D-CB8E76F2B230}" name="RADAR PGA"/>
    <tableColumn id="15" xr3:uid="{FF64A455-7DB1-4C0D-8E0A-B563AF04A271}" name="RADAR CR"/>
    <tableColumn id="16" xr3:uid="{45BE79B6-7A90-4C9F-9FD5-30633E924810}" name="TOTAL EVENTS">
      <calculatedColumnFormula>VLOOKUP(I2,FEDEX!$A$2:$H$270,4,FALSE)</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C371B-E5E6-481C-B86A-DB7873F09110}" name="Table2" displayName="Table2" ref="A1:U110" totalsRowShown="0" dataDxfId="1378" headerRowBorderDxfId="1379" tableBorderDxfId="1377">
  <autoFilter ref="A1:U110" xr:uid="{8CAC371B-E5E6-481C-B86A-DB7873F09110}">
    <filterColumn colId="13">
      <customFilters and="1">
        <customFilter operator="greaterThanOrEqual" val="34"/>
        <customFilter operator="lessThanOrEqual" val="73"/>
      </customFilters>
    </filterColumn>
  </autoFilter>
  <sortState xmlns:xlrd2="http://schemas.microsoft.com/office/spreadsheetml/2017/richdata2" ref="A2:U110">
    <sortCondition ref="J1:J110"/>
  </sortState>
  <tableColumns count="21">
    <tableColumn id="1" xr3:uid="{E86025B8-628F-46CF-81D7-4D463E5DCDFA}" name="Player" dataDxfId="1376"/>
    <tableColumn id="2" xr3:uid="{79757845-8794-4822-BD7D-6513AFCAF22A}" name="DIST" dataDxfId="1375"/>
    <tableColumn id="3" xr3:uid="{C21D9533-33B5-449F-BBC4-D821F233C145}" name="ACC" dataDxfId="1374"/>
    <tableColumn id="4" xr3:uid="{2EAD60CE-97E9-4D41-AE69-4AFAEAC6C0E6}" name="APP" dataDxfId="1373"/>
    <tableColumn id="5" xr3:uid="{AFBE4128-FDFE-479D-811D-2B1936DDCE2D}" name="ARG" dataDxfId="1372"/>
    <tableColumn id="6" xr3:uid="{AA189E17-6000-4741-A830-6C0E7BB1A1E3}" name="PUTT" dataDxfId="1371"/>
    <tableColumn id="7" xr3:uid="{8623DA74-B374-4B1A-80EE-FAFD017B58E9}" name="SG" dataDxfId="1370"/>
    <tableColumn id="8" xr3:uid="{0C9EBB39-3FE8-4E3F-829B-EBCC59D36F3B}" name="DGSCORE" dataDxfId="1369"/>
    <tableColumn id="9" xr3:uid="{5F523B8F-0461-4E85-8965-3D1CE82DCD74}" name="RADARSCORE" dataDxfId="1368"/>
    <tableColumn id="10" xr3:uid="{C3B902AC-F18D-443C-8ED5-1295D9D0087E}" name="BDG" dataDxfId="1367"/>
    <tableColumn id="11" xr3:uid="{4DFB96A6-5B85-47CB-8B41-241E8B013268}" name="BRADAR" dataDxfId="1366"/>
    <tableColumn id="13" xr3:uid="{338D6880-72B5-4F8F-817B-239E2EFFEF49}" name="DG CR" dataDxfId="1365">
      <calculatedColumnFormula>RANK(H2,$H$2:$H$110,1)</calculatedColumnFormula>
    </tableColumn>
    <tableColumn id="15" xr3:uid="{408BC077-8110-409B-9D44-FCBDC71E135A}" name="RADAR CR" dataDxfId="1364">
      <calculatedColumnFormula>RANK(I2,$I$2:$I$110,1)</calculatedColumnFormula>
    </tableColumn>
    <tableColumn id="17" xr3:uid="{7ADAA1AB-FD56-45C4-A638-8804E0176F12}" name="BDG CR" dataDxfId="1363">
      <calculatedColumnFormula>RANK(J2,$J$2:$J$110,1)</calculatedColumnFormula>
    </tableColumn>
    <tableColumn id="19" xr3:uid="{A35A8244-E5CE-419E-89F9-E3C890DA3031}" name="BRADAR CR" dataDxfId="1362">
      <calculatedColumnFormula>RANK(K2,$K$2:$K$110,1)</calculatedColumnFormula>
    </tableColumn>
    <tableColumn id="20" xr3:uid="{FE9CCF64-3348-4189-9B71-9CAB89A98914}" name="WIN" dataDxfId="1361"/>
    <tableColumn id="21" xr3:uid="{DBDC2653-B7AC-4467-8D6E-1393783942AB}" name="T10" dataDxfId="1360"/>
    <tableColumn id="22" xr3:uid="{B1A271A2-35B7-4366-A9D2-D6C1DD3E06AC}" name="SGT5" dataDxfId="1359"/>
    <tableColumn id="25" xr3:uid="{DD5505F5-ABFD-4554-8C82-9272A0C4E637}" name="VALUE RANK" dataDxfId="1358">
      <calculatedColumnFormula>RANK(U2,$U$2:$U$110,0)</calculatedColumnFormula>
    </tableColumn>
    <tableColumn id="23" xr3:uid="{4EFA5400-E611-4835-9992-B096DDC858E7}" name="VALUE" dataDxfId="1357">
      <calculatedColumnFormula>Table2[[#This Row],[BDG]]/Table2[[#This Row],[Odds]]</calculatedColumnFormula>
    </tableColumn>
    <tableColumn id="24" xr3:uid="{3A161E48-F36B-42D1-976A-9B7BBFC65C88}" name="Odds" dataDxfId="1356">
      <calculatedColumnFormula array="1">MAX(_xlfn._xlws.FILTER(Table22[[B365]:[MATCHBOOK]], Table22[PLAYER] = A2))</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FDF952C7-55F4-487B-9E52-FC0CB8C4B710}" name="Table22" displayName="Table22" ref="A1:AA137" totalsRowShown="0" headerRowDxfId="1355">
  <autoFilter ref="A1:AA137" xr:uid="{FDF952C7-55F4-487B-9E52-FC0CB8C4B710}">
    <filterColumn colId="0">
      <filters>
        <filter val="Jason Dufner"/>
        <filter val="Jimmy Walker"/>
        <filter val="Jorge Campillo"/>
        <filter val="Parker Coody"/>
        <filter val="William McGirt"/>
        <filter val="Wilson Furr"/>
      </filters>
    </filterColumn>
  </autoFilter>
  <sortState xmlns:xlrd2="http://schemas.microsoft.com/office/spreadsheetml/2017/richdata2" ref="A6:Z90">
    <sortCondition ref="B1:B90"/>
  </sortState>
  <tableColumns count="27">
    <tableColumn id="1" xr3:uid="{61D5F46C-2408-485F-A1CB-C1D8BD4EE22C}" name="PLAYER"/>
    <tableColumn id="2" xr3:uid="{016C744C-1A6A-4BB7-BB0F-63B1973EEBF8}" name="B365" dataDxfId="1354"/>
    <tableColumn id="3" xr3:uid="{42669E99-BB2D-4586-A772-7A4EE1105FD5}" name="SKY" dataDxfId="1353"/>
    <tableColumn id="4" xr3:uid="{2BC5BC6E-C844-4B0D-B594-FE16E8567433}" name="PP" dataDxfId="1352"/>
    <tableColumn id="5" xr3:uid="{E794380D-3E05-408A-8519-748333F9BD87}" name="WHILL" dataDxfId="1351"/>
    <tableColumn id="6" xr3:uid="{1DC242BA-CE6B-434D-9B7E-0A472C622F8A}" name="888" dataDxfId="1350"/>
    <tableColumn id="7" xr3:uid="{FD49D062-DCB9-4022-888B-5990373ABC55}" name="BFAIR" dataDxfId="1349"/>
    <tableColumn id="8" xr3:uid="{10DCCC7D-84EB-439C-B5B1-8B9B73057CDD}" name="BV" dataDxfId="1348"/>
    <tableColumn id="9" xr3:uid="{8F2F05BE-E4C7-4BA4-B846-3B0E39E637A4}" name="CORAL" dataDxfId="1347"/>
    <tableColumn id="10" xr3:uid="{4B40ABA9-8CF2-432A-A392-7837CE4E0EFC}" name="UNIBET" dataDxfId="1346"/>
    <tableColumn id="11" xr3:uid="{B4B7A15D-E55D-4601-A681-94816B570F29}" name="SPREX" dataDxfId="1345"/>
    <tableColumn id="12" xr3:uid="{3B6276DF-F7DE-40A6-B69C-3B2567A9BC6D}" name="BFRED" dataDxfId="1344"/>
    <tableColumn id="13" xr3:uid="{FF49F71A-8FD2-4658-A7BC-869060DF04E2}" name="B MGM" dataDxfId="1343"/>
    <tableColumn id="14" xr3:uid="{A79484A8-9FCA-4B9B-896F-8D70BC1D9EAD}" name="BOYLE" dataDxfId="1342"/>
    <tableColumn id="15" xr3:uid="{3D456895-D222-4038-AC90-6D6640552659}" name="10BET" dataDxfId="1341"/>
    <tableColumn id="16" xr3:uid="{90FA85DD-AD42-426F-A00D-6DE1BE2E5936}" name="STAR S" dataDxfId="1340"/>
    <tableColumn id="17" xr3:uid="{7180D0CF-0590-4A8A-81D5-77419997B16D}" name="BETUK" dataDxfId="1339"/>
    <tableColumn id="18" xr3:uid="{9C885B2A-C004-483E-AA96-B19B42709798}" name="S INDEX" dataDxfId="1338"/>
    <tableColumn id="19" xr3:uid="{FB038EEF-67A6-4075-84B7-EB5CDCC0FE1C}" name="LS BET" dataDxfId="1337"/>
    <tableColumn id="20" xr3:uid="{92F987A9-BA06-4383-BE78-640FCCEBEB57}" name="QUINN" dataDxfId="1336"/>
    <tableColumn id="21" xr3:uid="{A166C9D1-CB0E-431A-A73D-8A468E4C2746}" name="BWAY" dataDxfId="1335"/>
    <tableColumn id="26" xr3:uid="{A8535637-3442-4F80-9DC7-F80F8B9D914B}" name="LADBR" dataDxfId="1334"/>
    <tableColumn id="25" xr3:uid="{D5613180-9891-4D50-AEF3-6CAAC63A43AE}" name="BGOOD" dataDxfId="1333"/>
    <tableColumn id="24" xr3:uid="{642442F2-57B4-4257-BDB0-4A8FF9B88038}" name="VBET" dataDxfId="1332"/>
    <tableColumn id="28" xr3:uid="{DCB8101C-F9EA-4771-96D0-C26658935A3B}" name="Column1" dataDxfId="1331"/>
    <tableColumn id="23" xr3:uid="{159CAAE6-1BE4-49CF-B6A4-6691EEE4DD65}" name="BFAIREXC" dataDxfId="1330"/>
    <tableColumn id="27" xr3:uid="{FFEFC671-611C-400D-8AB8-B488FA74D44B}" name="MATCHBOOK" dataDxfId="1329"/>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1BD272D-8CEE-4EEB-9E14-A701886C1417}" name="Table3" displayName="Table3" ref="B2:J118" totalsRowShown="0" headerRowDxfId="1328" headerRowBorderDxfId="1327" tableBorderDxfId="1326">
  <autoFilter ref="B2:J118" xr:uid="{11BD272D-8CEE-4EEB-9E14-A701886C1417}"/>
  <tableColumns count="9">
    <tableColumn id="1" xr3:uid="{159CBB95-B052-439C-AC41-C17F9AB21817}" name="Event" dataDxfId="1325"/>
    <tableColumn id="2" xr3:uid="{26C17A34-2C80-4ABA-8897-DE7B7E88C290}" name="Player" dataDxfId="1324"/>
    <tableColumn id="3" xr3:uid="{37D2733E-3652-4FB8-BDB5-7641DDE7AADA}" name="DG CR"/>
    <tableColumn id="4" xr3:uid="{1661ACE1-F5D6-4557-B8D8-B016F14DB179}" name="RADAR CR"/>
    <tableColumn id="5" xr3:uid="{A69B3A52-3B6F-4A4F-9F68-703E113A78C9}" name="BDG CR"/>
    <tableColumn id="6" xr3:uid="{3230FC32-C063-4E3C-BB28-3744FBA7F254}" name="BRADAR CR" dataDxfId="1323"/>
    <tableColumn id="8" xr3:uid="{2FE46F0D-C15E-4C95-BA36-F7DD91296430}" name="WIN" dataDxfId="1322"/>
    <tableColumn id="9" xr3:uid="{70062729-666F-419A-AA18-A566065421AF}" name="T10"/>
    <tableColumn id="10" xr3:uid="{0C47FA25-AEC6-410C-8B81-3D3CE1DCF77F}" name="SGT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EA42E4-BC34-4950-B478-8D271056DD5F}" name="Table322" displayName="Table322" ref="B1:J46" totalsRowShown="0" headerRowBorderDxfId="1321" tableBorderDxfId="1320">
  <tableColumns count="9">
    <tableColumn id="1" xr3:uid="{0F051B4E-45F5-4DA7-9822-89FB8F49D49A}" name="Event" dataDxfId="574"/>
    <tableColumn id="3" xr3:uid="{4ACE77AA-AC10-4F38-85F3-6222989FA16C}" name="DG CR"/>
    <tableColumn id="4" xr3:uid="{D5D80CD8-87A1-47C5-86D1-0B9ECE3112A7}" name="RADAR CR"/>
    <tableColumn id="5" xr3:uid="{579F884F-9797-4C43-B21A-597DC012B8D9}" name="BDG CR"/>
    <tableColumn id="6" xr3:uid="{132759AC-36E6-4A0D-A28B-9C30C0929C92}" name="BRADAR CR" dataDxfId="573"/>
    <tableColumn id="8" xr3:uid="{FDCB3B72-9C62-433D-A52F-3464CD6A5B47}" name="WIN"/>
    <tableColumn id="9" xr3:uid="{54BDA601-1036-44DE-A43F-7CAB8EBF5514}" name="T10"/>
    <tableColumn id="10" xr3:uid="{A99D31EE-FCFE-452A-BC73-CE98676B5272}" name="SGT5" dataDxfId="572">
      <calculatedColumnFormula>AVERAGE(#REF!)</calculatedColumnFormula>
    </tableColumn>
    <tableColumn id="2" xr3:uid="{DFDFBF75-4883-49DA-A8A4-51AE4D8DCFBE}" name="SUCCESS?" dataDxfId="57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A3A7AD78-DC75-4403-A048-F92EAE66C720}" name="Table236" displayName="Table236" ref="A1:V69" totalsRowShown="0" dataDxfId="627" headerRowBorderDxfId="625" tableBorderDxfId="626">
  <autoFilter ref="A1:V69" xr:uid="{8CAC371B-E5E6-481C-B86A-DB7873F09110}"/>
  <sortState xmlns:xlrd2="http://schemas.microsoft.com/office/spreadsheetml/2017/richdata2" ref="A2:V69">
    <sortCondition ref="V1:V69"/>
  </sortState>
  <tableColumns count="22">
    <tableColumn id="1" xr3:uid="{A7FCD157-EF4E-4634-B028-9551568351C8}" name="Player" dataDxfId="624"/>
    <tableColumn id="2" xr3:uid="{B1C0C06B-4265-4D7E-ABFF-346EC8B00B64}" name="DIST" dataDxfId="623"/>
    <tableColumn id="3" xr3:uid="{CA8B004B-37F0-4A55-B0CA-0D136BBBEEDF}" name="ACC" dataDxfId="622"/>
    <tableColumn id="4" xr3:uid="{55D9E4B6-CF1F-4E68-B08E-046CB8D33446}" name="APP" dataDxfId="621"/>
    <tableColumn id="5" xr3:uid="{CACFB898-604E-473B-800F-4084D6A2A13B}" name="ARG" dataDxfId="620"/>
    <tableColumn id="6" xr3:uid="{08428D32-98D8-49DC-8D75-3155AF26C83B}" name="PUTT" dataDxfId="619"/>
    <tableColumn id="7" xr3:uid="{3849F8DF-9F7C-4A4D-A66F-BAAB8AEA551F}" name="SG" dataDxfId="618"/>
    <tableColumn id="8" xr3:uid="{029D9BEC-F953-4EA3-90EE-C7677CED0E46}" name="DGSCORE" dataDxfId="617"/>
    <tableColumn id="9" xr3:uid="{0D99EC8D-95D0-47A1-A313-DF6EF9B8E314}" name="RADARSCORE" dataDxfId="616"/>
    <tableColumn id="10" xr3:uid="{51D2863E-22EC-4CA0-B651-40A5AD4C0847}" name="BDG" dataDxfId="615"/>
    <tableColumn id="11" xr3:uid="{1E59680E-95C9-48EA-AC22-0B87709E4AFF}" name="BRADAR" dataDxfId="614"/>
    <tableColumn id="13" xr3:uid="{C41F8BCD-C390-4CA6-B312-5ABEACC174A9}" name="DG CR" dataDxfId="613">
      <calculatedColumnFormula>RANK(H2,$H$2:$H$69,1)</calculatedColumnFormula>
    </tableColumn>
    <tableColumn id="15" xr3:uid="{B4AD35CB-C689-4D5F-8756-EDE83AD332C7}" name="RADAR CR" dataDxfId="612">
      <calculatedColumnFormula>RANK(I2,$I$2:$I$69,1)</calculatedColumnFormula>
    </tableColumn>
    <tableColumn id="17" xr3:uid="{9EFC1725-D939-476A-817F-C0BAC31DB2AF}" name="BDG CR" dataDxfId="611">
      <calculatedColumnFormula>RANK(J2,$J$2:$J$69,1)</calculatedColumnFormula>
    </tableColumn>
    <tableColumn id="19" xr3:uid="{F64954A5-D8C0-4F17-8069-E89644D5EA12}" name="BRADAR CR" dataDxfId="610">
      <calculatedColumnFormula>RANK(K2,$K$2:$K$69,1)</calculatedColumnFormula>
    </tableColumn>
    <tableColumn id="20" xr3:uid="{AE11DCBF-7524-4286-866D-4DF753992EBB}" name="WIN" dataDxfId="609"/>
    <tableColumn id="21" xr3:uid="{7ABB102B-AC41-44FE-AC29-C6CA305CCBEF}" name="T10" dataDxfId="608"/>
    <tableColumn id="22" xr3:uid="{D2D8471E-7D57-470F-B66B-3BF3A1475237}" name="SGT5" dataDxfId="607"/>
    <tableColumn id="25" xr3:uid="{671B8195-141C-492F-B6C3-7A45D14953FE}" name="VALUE RANK" dataDxfId="606">
      <calculatedColumnFormula>RANK(U2,$U$2:$U$69,0)</calculatedColumnFormula>
    </tableColumn>
    <tableColumn id="23" xr3:uid="{E452E1FA-C28D-4A88-A034-4068FC26FEA7}" name="VALUE" dataDxfId="605"/>
    <tableColumn id="24" xr3:uid="{5639D06A-5B03-494F-BC05-FB4145A2068C}" name="Odds" dataDxfId="604"/>
    <tableColumn id="12" xr3:uid="{9D2B2B64-BB52-4C2A-B1FB-6FA3DCEC538E}" name="Position" dataDxfId="575"/>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725BEDA-FA7E-4FF1-A604-F76CF701F076}" name="Table239" displayName="Table239" ref="A1:V110" totalsRowShown="0" dataDxfId="600" headerRowBorderDxfId="598" tableBorderDxfId="599">
  <autoFilter ref="A1:V110" xr:uid="{8CAC371B-E5E6-481C-B86A-DB7873F09110}"/>
  <sortState xmlns:xlrd2="http://schemas.microsoft.com/office/spreadsheetml/2017/richdata2" ref="A2:V110">
    <sortCondition ref="V1:V110"/>
  </sortState>
  <tableColumns count="22">
    <tableColumn id="1" xr3:uid="{FB22CF66-B487-42C5-A5D6-F29D3F4C4DAA}" name="Player" dataDxfId="597"/>
    <tableColumn id="2" xr3:uid="{38EA7D7C-4AD8-46CC-AACF-F6408D6E1AF6}" name="DIST" dataDxfId="596"/>
    <tableColumn id="3" xr3:uid="{75354203-3BEF-45A7-AB51-EBF6EF596736}" name="ACC" dataDxfId="595"/>
    <tableColumn id="4" xr3:uid="{663A69BF-5854-4A46-A4AF-BD0932498BBE}" name="APP" dataDxfId="594"/>
    <tableColumn id="5" xr3:uid="{B3C4E35F-47EA-435E-85C6-064F0097619B}" name="ARG" dataDxfId="593"/>
    <tableColumn id="6" xr3:uid="{2C4B932B-B241-461B-97F3-3A21274224B4}" name="PUTT" dataDxfId="592"/>
    <tableColumn id="7" xr3:uid="{D00E344F-61A7-4510-98A3-CBD08A2DEC72}" name="SG" dataDxfId="591"/>
    <tableColumn id="8" xr3:uid="{EE9BAE27-80F0-4C29-8144-8A31D8E59501}" name="DGSCORE" dataDxfId="590"/>
    <tableColumn id="9" xr3:uid="{2EFED177-0C4A-4883-978E-2AE051379DC0}" name="RADARSCORE" dataDxfId="589"/>
    <tableColumn id="10" xr3:uid="{7691800C-83BA-4C5F-9948-4F68DDAD82C0}" name="BDG" dataDxfId="588"/>
    <tableColumn id="11" xr3:uid="{9AAA2057-A738-4B7E-AA87-1A981F774416}" name="BRADAR" dataDxfId="587"/>
    <tableColumn id="13" xr3:uid="{619FBD19-20B4-4F78-B4D0-035F4753C764}" name="DG CR" dataDxfId="586">
      <calculatedColumnFormula>RANK(H2,$H$2:$H$110,1)</calculatedColumnFormula>
    </tableColumn>
    <tableColumn id="15" xr3:uid="{93241143-BEDC-4B00-B2D6-65F5A335F43E}" name="RADAR CR" dataDxfId="585">
      <calculatedColumnFormula>RANK(I2,$I$2:$I$110,1)</calculatedColumnFormula>
    </tableColumn>
    <tableColumn id="17" xr3:uid="{7A61F9B5-F2D9-4AD8-8159-6A0413F79C2D}" name="BDG CR" dataDxfId="584">
      <calculatedColumnFormula>RANK(J2,$J$2:$J$110,1)</calculatedColumnFormula>
    </tableColumn>
    <tableColumn id="19" xr3:uid="{77E5F803-0C8E-45D0-AF3A-2AB9C7AFBE95}" name="BRADAR CR" dataDxfId="583">
      <calculatedColumnFormula>RANK(K2,$K$2:$K$110,1)</calculatedColumnFormula>
    </tableColumn>
    <tableColumn id="20" xr3:uid="{EED755C1-4FA1-4DFB-92B6-E406FF9F087C}" name="WIN" dataDxfId="582"/>
    <tableColumn id="21" xr3:uid="{1C7998A4-06DF-4B42-A1DE-67A2B399DE5C}" name="T10" dataDxfId="581"/>
    <tableColumn id="22" xr3:uid="{4128DA77-2CCA-43ED-BB2F-EFBF1E73667E}" name="SGT5" dataDxfId="580"/>
    <tableColumn id="25" xr3:uid="{C83836C9-C952-426A-B475-706E0BA20F36}" name="VALUE RANK" dataDxfId="579">
      <calculatedColumnFormula>RANK(U2,$U$2:$U$110,0)</calculatedColumnFormula>
    </tableColumn>
    <tableColumn id="23" xr3:uid="{E266196E-500E-4768-A27A-EDCB3D1B6410}" name="VALUE" dataDxfId="578">
      <calculatedColumnFormula>Table239[[#This Row],[BDG]]/Table239[[#This Row],[Odds]]</calculatedColumnFormula>
    </tableColumn>
    <tableColumn id="24" xr3:uid="{7163C4A9-882E-46F9-94FE-C0F4B4329987}" name="Odds" dataDxfId="577">
      <calculatedColumnFormula array="1">MAX(_xlfn._xlws.FILTER(Table22[[B365]:[BFAIREXC]], Table22[PLAYER] = A2))</calculatedColumnFormula>
    </tableColumn>
    <tableColumn id="12" xr3:uid="{E1E57ADD-F7A3-403E-8AAD-969AB9A9E339}" name="Position" dataDxfId="576"/>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1CB51E0A-6FCC-489B-8187-B1ECB91CFCD6}" name="Table235" displayName="Table235" ref="A1:V147" totalsRowShown="0" dataDxfId="1318" headerRowBorderDxfId="1319" tableBorderDxfId="1317">
  <autoFilter ref="A1:V147" xr:uid="{8CAC371B-E5E6-481C-B86A-DB7873F09110}"/>
  <sortState xmlns:xlrd2="http://schemas.microsoft.com/office/spreadsheetml/2017/richdata2" ref="A2:V147">
    <sortCondition ref="V1:V147"/>
  </sortState>
  <tableColumns count="22">
    <tableColumn id="1" xr3:uid="{B38530B0-E7D3-4B28-9C94-C64998F1A0EF}" name="Player" dataDxfId="1316"/>
    <tableColumn id="2" xr3:uid="{0D73C400-577C-43D7-B2A1-4496340B25BC}" name="DIST" dataDxfId="1315"/>
    <tableColumn id="3" xr3:uid="{616B67CA-9B41-4FF6-9652-3CF595A516C1}" name="ACC" dataDxfId="1314"/>
    <tableColumn id="4" xr3:uid="{CA48CB2B-F928-4CC1-ACCA-EF35C5FCFC4E}" name="APP" dataDxfId="1313"/>
    <tableColumn id="5" xr3:uid="{24BDE11D-FC01-4776-AD95-DC7D4C853417}" name="ARG" dataDxfId="1312"/>
    <tableColumn id="6" xr3:uid="{7A813C6D-2E6C-42B1-9502-A29EAB663A4C}" name="PUTT" dataDxfId="1311"/>
    <tableColumn id="7" xr3:uid="{7B282013-37D8-4C40-B8A4-3A6396574BCB}" name="SG" dataDxfId="1310"/>
    <tableColumn id="8" xr3:uid="{9AD4353D-DC9D-45C7-80CE-0CFDDC695637}" name="DGSCORE" dataDxfId="1309"/>
    <tableColumn id="9" xr3:uid="{0F9644D3-D7BE-4646-A840-AC7ED42B4678}" name="RADARSCORE" dataDxfId="1308"/>
    <tableColumn id="10" xr3:uid="{B455440E-33EE-48DC-9C2A-D45A0CF49AA4}" name="BDG" dataDxfId="1307"/>
    <tableColumn id="11" xr3:uid="{AF9C9B4C-2086-4C02-B57C-CFBBA36D5E4D}" name="BRADAR" dataDxfId="1306"/>
    <tableColumn id="13" xr3:uid="{19DA034C-8358-48F4-B837-AEE4AE3DBE58}" name="DG CR" dataDxfId="1305">
      <calculatedColumnFormula>RANK(H2,$H$2:$H$147,1)</calculatedColumnFormula>
    </tableColumn>
    <tableColumn id="15" xr3:uid="{91ED1C84-B812-48FD-BC90-94A4933F24FA}" name="RADAR CR" dataDxfId="1304">
      <calculatedColumnFormula>RANK(I2,$I$2:$I$147,1)</calculatedColumnFormula>
    </tableColumn>
    <tableColumn id="17" xr3:uid="{20552294-4787-412E-8AF1-A54E5B9BAFBD}" name="BDG CR" dataDxfId="1303">
      <calculatedColumnFormula>RANK(J2,$J$2:$J$147,1)</calculatedColumnFormula>
    </tableColumn>
    <tableColumn id="19" xr3:uid="{A7145603-FAD3-48FB-A52B-92C5302BCA4A}" name="BRADAR CR" dataDxfId="1302">
      <calculatedColumnFormula>RANK(K2,$K$2:$K$147,1)</calculatedColumnFormula>
    </tableColumn>
    <tableColumn id="20" xr3:uid="{0B2F218C-D8ED-47D4-9ECA-02E5F8DADC69}" name="WIN" dataDxfId="1301"/>
    <tableColumn id="21" xr3:uid="{53F3D752-A546-4252-9DC1-BD3B9F0B812E}" name="T10" dataDxfId="1300"/>
    <tableColumn id="22" xr3:uid="{0160243D-2D8D-43E4-BF34-5CF6252BC7B7}" name="SGT5" dataDxfId="1299"/>
    <tableColumn id="25" xr3:uid="{56846FA5-2B45-467D-9B72-67FF2B19BA8A}" name="VALUE RANK" dataDxfId="1298">
      <calculatedColumnFormula>RANK(U2,$U$2:$U$147,0)</calculatedColumnFormula>
    </tableColumn>
    <tableColumn id="23" xr3:uid="{58B34BF7-CA76-434E-A506-4636BAE59ABB}" name="VALUE" dataDxfId="1297">
      <calculatedColumnFormula>Table235[[#This Row],[BDG]]/Table235[[#This Row],[Odds]]</calculatedColumnFormula>
    </tableColumn>
    <tableColumn id="24" xr3:uid="{F4FCE942-829A-409D-A04A-17D234D4B97B}" name="Odds" dataDxfId="1296">
      <calculatedColumnFormula array="1">MAX(_xlfn._xlws.FILTER(Table22[[B365]:[BFAIREXC]], Table22[PLAYER] = A2))</calculatedColumnFormula>
    </tableColumn>
    <tableColumn id="12" xr3:uid="{DC4D1A8C-E08A-49AB-8837-3D92CC067329}" name="Position" dataDxfId="1295"/>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7DA4333B-BC65-4A10-BD41-D5896E1D5536}" name="Table234" displayName="Table234" ref="A1:V128" totalsRowShown="0" dataDxfId="1293" headerRowBorderDxfId="1294" tableBorderDxfId="1292">
  <autoFilter ref="A1:V128" xr:uid="{8CAC371B-E5E6-481C-B86A-DB7873F09110}"/>
  <sortState xmlns:xlrd2="http://schemas.microsoft.com/office/spreadsheetml/2017/richdata2" ref="A2:V128">
    <sortCondition ref="V1:V128"/>
  </sortState>
  <tableColumns count="22">
    <tableColumn id="1" xr3:uid="{08AA74B1-F84C-4B4D-A411-D95CF27FB65A}" name="Player" dataDxfId="1291"/>
    <tableColumn id="2" xr3:uid="{29DE9A7C-1AEE-46FA-8D75-363C5F3A4ADB}" name="DIST" dataDxfId="1290"/>
    <tableColumn id="3" xr3:uid="{83D4F7EA-1547-4976-9F3F-06B61AFD2F45}" name="ACC" dataDxfId="1289"/>
    <tableColumn id="4" xr3:uid="{902A9EF4-1592-468F-A8EE-909978804D70}" name="APP" dataDxfId="1288"/>
    <tableColumn id="5" xr3:uid="{0971FA59-8608-4291-884B-EC0AD1BC7C94}" name="ARG" dataDxfId="1287"/>
    <tableColumn id="6" xr3:uid="{B0DF619A-47DA-4AA3-90F5-49831CDCC4D6}" name="PUTT" dataDxfId="1286"/>
    <tableColumn id="7" xr3:uid="{49B4F921-EFDF-4AFD-9106-0A339F7B9B27}" name="SG" dataDxfId="1285"/>
    <tableColumn id="8" xr3:uid="{DC321859-2CA5-4379-94A8-1FDC6521AD12}" name="DGSCORE" dataDxfId="1284"/>
    <tableColumn id="9" xr3:uid="{68EE1584-3ED8-4AAB-9F57-9792E3D55F9F}" name="RADARSCORE" dataDxfId="1283"/>
    <tableColumn id="10" xr3:uid="{E59F870E-BB07-434F-AC1C-B7A236DA848F}" name="BDG" dataDxfId="1282"/>
    <tableColumn id="11" xr3:uid="{4454873D-4E10-4840-8E55-687415EBADEA}" name="BRADAR" dataDxfId="1281"/>
    <tableColumn id="13" xr3:uid="{9EC0FDD8-948B-41F5-9B01-F435BD9B722C}" name="DG CR" dataDxfId="1280">
      <calculatedColumnFormula>RANK(H2,$H$2:$H$128,1)</calculatedColumnFormula>
    </tableColumn>
    <tableColumn id="15" xr3:uid="{66A286AD-196F-4ED4-851B-E81CD514CAE2}" name="RADAR CR" dataDxfId="1279">
      <calculatedColumnFormula>RANK(I2,$I$2:$I$128,1)</calculatedColumnFormula>
    </tableColumn>
    <tableColumn id="17" xr3:uid="{8DE30B40-1180-40E6-9D1F-40E71552DA63}" name="BDG CR" dataDxfId="1278">
      <calculatedColumnFormula>RANK(J2,$J$2:$J$128,1)</calculatedColumnFormula>
    </tableColumn>
    <tableColumn id="19" xr3:uid="{75D08E2C-8905-4DF9-BFF5-DB7C62C007CD}" name="BRADAR CR" dataDxfId="1277">
      <calculatedColumnFormula>RANK(K2,$K$2:$K$128,1)</calculatedColumnFormula>
    </tableColumn>
    <tableColumn id="20" xr3:uid="{77434EFF-F6D7-44B8-9F85-88AF2B278B7E}" name="WIN" dataDxfId="1276"/>
    <tableColumn id="21" xr3:uid="{4F433D38-080D-47B8-81DB-2C168AD89DBE}" name="T10" dataDxfId="1275"/>
    <tableColumn id="22" xr3:uid="{F73716FD-9622-44A5-A41E-3E64E454FC11}" name="SGT5" dataDxfId="1274"/>
    <tableColumn id="25" xr3:uid="{B1C92FF8-4102-44E2-93C3-C70B4EF2EEDE}" name="VALUE RANK" dataDxfId="1273">
      <calculatedColumnFormula>RANK(U2,$U$2:$U$128,0)</calculatedColumnFormula>
    </tableColumn>
    <tableColumn id="23" xr3:uid="{600BB280-EAED-4C48-B1BE-93BEAA4B7B5A}" name="VALUE" dataDxfId="1272">
      <calculatedColumnFormula>Table234[[#This Row],[BDG]]/Table234[[#This Row],[Odds]]</calculatedColumnFormula>
    </tableColumn>
    <tableColumn id="24" xr3:uid="{EE44E136-C730-4FB6-BD19-A52425C3B845}" name="Odds" dataDxfId="1271">
      <calculatedColumnFormula array="1">MAX(_xlfn._xlws.FILTER(Table22[[B365]:[BFAIREXC]], Table22[PLAYER] = A2))</calculatedColumnFormula>
    </tableColumn>
    <tableColumn id="12" xr3:uid="{A1AB9827-C22C-46E3-93A9-AFE7A7F98025}" name="Position" dataDxfId="1270"/>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7ECC5D2-7ACD-4D4E-8D4A-CF029CA0B7C2}" name="Table232" displayName="Table232" ref="A1:V143" totalsRowShown="0" headerRowDxfId="1269" dataDxfId="1267" headerRowBorderDxfId="1268" tableBorderDxfId="1266">
  <autoFilter ref="A1:V143" xr:uid="{8CAC371B-E5E6-481C-B86A-DB7873F09110}">
    <filterColumn colId="21">
      <customFilters>
        <customFilter operator="notEqual" val=" "/>
      </customFilters>
    </filterColumn>
  </autoFilter>
  <sortState xmlns:xlrd2="http://schemas.microsoft.com/office/spreadsheetml/2017/richdata2" ref="A2:V143">
    <sortCondition ref="V1:V143"/>
  </sortState>
  <tableColumns count="22">
    <tableColumn id="1" xr3:uid="{F607F8E1-2100-4847-B773-8A8665C4A1FC}" name="Player" dataDxfId="1265"/>
    <tableColumn id="2" xr3:uid="{4B503537-6C25-4F63-A518-FC574F3D3829}" name="DIST" dataDxfId="1264"/>
    <tableColumn id="3" xr3:uid="{96151AF6-67D0-4A1F-B41C-7D84A0401154}" name="ACC" dataDxfId="1263"/>
    <tableColumn id="4" xr3:uid="{FC895F16-33FC-46A1-BDC9-B5F4FB24ABCC}" name="APP" dataDxfId="1262"/>
    <tableColumn id="5" xr3:uid="{2C48876A-3154-4F42-A862-B96E0D073456}" name="ARG" dataDxfId="1261"/>
    <tableColumn id="6" xr3:uid="{8359D160-6046-4F1A-B59C-1183119B9933}" name="PUTT" dataDxfId="1260"/>
    <tableColumn id="7" xr3:uid="{E587B8A7-744A-49B3-BD99-2DFAC849C39D}" name="SG" dataDxfId="1259"/>
    <tableColumn id="8" xr3:uid="{B8DFC04B-6C38-42C9-ADCC-96237115D152}" name="DGSCORE" dataDxfId="1258"/>
    <tableColumn id="9" xr3:uid="{6E4A19A8-FFAA-49F6-B626-0E33AAF65B45}" name="RADARSCORE" dataDxfId="1257"/>
    <tableColumn id="10" xr3:uid="{D7BC9130-4B65-48A7-A702-2B95DB73C87E}" name="BDG" dataDxfId="1256"/>
    <tableColumn id="11" xr3:uid="{3B548DD5-004E-4989-A547-8F51966326C0}" name="BRADAR" dataDxfId="1255"/>
    <tableColumn id="13" xr3:uid="{B022E3F6-EC95-4422-BA02-3788329F5964}" name="DG CR" dataDxfId="1254">
      <calculatedColumnFormula>RANK(H2,$H$2:$H$143,1)</calculatedColumnFormula>
    </tableColumn>
    <tableColumn id="15" xr3:uid="{F94FBC2A-8B24-46DF-9968-59E37C5B767D}" name="RADAR CR" dataDxfId="1253">
      <calculatedColumnFormula>RANK(I2,$I$2:$I$143,1)</calculatedColumnFormula>
    </tableColumn>
    <tableColumn id="17" xr3:uid="{D8ED279B-1014-44FF-B7E8-633678AC89C6}" name="BDG CR" dataDxfId="1252">
      <calculatedColumnFormula>RANK(J2,$J$2:$J$143,1)</calculatedColumnFormula>
    </tableColumn>
    <tableColumn id="19" xr3:uid="{D0DBF620-865D-43F7-8287-18DB98A0CF07}" name="BRADAR CR" dataDxfId="1251">
      <calculatedColumnFormula>RANK(K2,$K$2:$K$143,1)</calculatedColumnFormula>
    </tableColumn>
    <tableColumn id="20" xr3:uid="{63CAF377-71C6-4930-8EFB-F0EB15706A4A}" name="WIN" dataDxfId="1250"/>
    <tableColumn id="21" xr3:uid="{A1DD8341-0836-4931-AEE1-5B0E6E850D26}" name="T10" dataDxfId="1249"/>
    <tableColumn id="22" xr3:uid="{714DEE06-C385-43A5-BD12-587D767CA6C5}" name="SGT5" dataDxfId="1248"/>
    <tableColumn id="25" xr3:uid="{4414B71B-9E4C-432C-BFAE-E5C1AE63BC17}" name="VALUE RANK" dataDxfId="1247">
      <calculatedColumnFormula>RANK(U2,$U$2:$U$143,0)</calculatedColumnFormula>
    </tableColumn>
    <tableColumn id="23" xr3:uid="{1A0B3021-0F33-4663-92FA-5CE655E955AE}" name="VALUE" dataDxfId="1246">
      <calculatedColumnFormula>Table232[[#This Row],[BDG]]/Table232[[#This Row],[Odds]]</calculatedColumnFormula>
    </tableColumn>
    <tableColumn id="24" xr3:uid="{228D29B7-DF89-4BC5-8926-9C984F959967}" name="Odds" dataDxfId="1245">
      <calculatedColumnFormula array="1">MAX(_xlfn._xlws.FILTER(Table22[[B365]:[BFAIREXC]], Table22[PLAYER] = A2))</calculatedColumnFormula>
    </tableColumn>
    <tableColumn id="12" xr3:uid="{14AE52EF-6976-4BF3-BF32-12588914C354}" name="Position " dataDxfId="1244"/>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E6953B97-B5F8-4BC8-B207-290C59C4C718}" name="Table230" displayName="Table230" ref="A1:V143" totalsRowShown="0" dataDxfId="1242" headerRowBorderDxfId="1243" tableBorderDxfId="1241">
  <autoFilter ref="A1:V143" xr:uid="{8CAC371B-E5E6-481C-B86A-DB7873F09110}"/>
  <sortState xmlns:xlrd2="http://schemas.microsoft.com/office/spreadsheetml/2017/richdata2" ref="A2:V143">
    <sortCondition ref="V1:V143"/>
  </sortState>
  <tableColumns count="22">
    <tableColumn id="1" xr3:uid="{3A79A48D-1E07-4559-A1B4-FA2AAE7BDEAC}" name="Player" dataDxfId="1240"/>
    <tableColumn id="2" xr3:uid="{6E3CD759-2C58-426F-ACC1-AFAD4FA7735B}" name="DIST" dataDxfId="1239"/>
    <tableColumn id="3" xr3:uid="{5FDBB976-0AAE-4A14-9B7F-B59528681D28}" name="ACC" dataDxfId="1238"/>
    <tableColumn id="4" xr3:uid="{FEB3CBE5-1045-42F3-9C9D-5CD366676320}" name="APP" dataDxfId="1237"/>
    <tableColumn id="5" xr3:uid="{C1230F6D-3C6E-4439-A268-77B6183EB8B6}" name="ARG" dataDxfId="1236"/>
    <tableColumn id="6" xr3:uid="{1DAB36E4-E543-4F43-A56B-B105D508B7A0}" name="PUTT" dataDxfId="1235"/>
    <tableColumn id="7" xr3:uid="{B18086F4-B6A4-4418-97E3-2D050810A353}" name="SG" dataDxfId="1234"/>
    <tableColumn id="8" xr3:uid="{EDACCD54-0FAB-4ECD-9ACE-8BE21379D4D7}" name="DGSCORE" dataDxfId="1233"/>
    <tableColumn id="9" xr3:uid="{471434E7-49C1-485D-929B-94D7606138A2}" name="RADARSCORE" dataDxfId="1232"/>
    <tableColumn id="10" xr3:uid="{31F0599B-C2D9-4535-ADC2-303A1BE51C34}" name="BDG" dataDxfId="1231"/>
    <tableColumn id="11" xr3:uid="{64E12F11-7B17-4EF1-B956-EC03580C2FFA}" name="BRADAR" dataDxfId="1230"/>
    <tableColumn id="13" xr3:uid="{11F02EE8-0B92-4F94-9C45-89B49D9DB19F}" name="DG CR" dataDxfId="1229">
      <calculatedColumnFormula>RANK(H2,$H$2:$H$143,1)</calculatedColumnFormula>
    </tableColumn>
    <tableColumn id="15" xr3:uid="{86991434-841A-449A-832E-716D92F71F1C}" name="RADAR CR" dataDxfId="1228">
      <calculatedColumnFormula>RANK(I2,$I$2:$I$143,1)</calculatedColumnFormula>
    </tableColumn>
    <tableColumn id="17" xr3:uid="{FD86E6BF-490F-43C7-A1E9-7F1D2F8D9F33}" name="BDG CR" dataDxfId="1227">
      <calculatedColumnFormula>RANK(J2,$J$2:$J$143,1)</calculatedColumnFormula>
    </tableColumn>
    <tableColumn id="19" xr3:uid="{42A59712-8F82-4FF2-A382-183B6BC9744B}" name="BRADAR CR" dataDxfId="1226">
      <calculatedColumnFormula>RANK(K2,$K$2:$K$143,1)</calculatedColumnFormula>
    </tableColumn>
    <tableColumn id="20" xr3:uid="{C439DB5E-EB2D-4EC4-BAFA-5EFB905BF2C6}" name="WIN" dataDxfId="1225">
      <calculatedColumnFormula>RANK(L2,$K$2:$K$143,1)</calculatedColumnFormula>
    </tableColumn>
    <tableColumn id="21" xr3:uid="{1D30657F-2580-4A74-B604-C8699A7E2D7F}" name="T10" dataDxfId="1224"/>
    <tableColumn id="22" xr3:uid="{AA050408-F7FF-49C4-83E6-DC277349797B}" name="SGT5" dataDxfId="1223"/>
    <tableColumn id="25" xr3:uid="{79E4D577-503D-4038-9B6C-6A8FAF912A14}" name="VALUE RANK" dataDxfId="1222">
      <calculatedColumnFormula>RANK(U2,$U$2:$U$143,0)</calculatedColumnFormula>
    </tableColumn>
    <tableColumn id="23" xr3:uid="{85F7A132-7C9B-4AFB-8999-D560B310EBAA}" name="VALUE" dataDxfId="1221">
      <calculatedColumnFormula>Table230[[#This Row],[BDG]]/Table230[[#This Row],[Odds]]</calculatedColumnFormula>
    </tableColumn>
    <tableColumn id="24" xr3:uid="{7E16FF3A-D526-451C-94BE-8A11100CC8EA}" name="Odds" dataDxfId="1220">
      <calculatedColumnFormula array="1">MAX(_xlfn._xlws.FILTER(Table22[[B365]:[BFAIREXC]], Table22[PLAYER] = A2))</calculatedColumnFormula>
    </tableColumn>
    <tableColumn id="12" xr3:uid="{67E1A29F-4988-408B-A785-CF8F95EDC44A}" name="Position" dataDxfId="1219"/>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6A047950-87F4-45BF-A60D-3EB9D67BCD26}" name="Table237" displayName="Table237" ref="A1:V104" totalsRowShown="0" dataDxfId="1217" headerRowBorderDxfId="1218" tableBorderDxfId="1216">
  <autoFilter ref="A1:V104" xr:uid="{8CAC371B-E5E6-481C-B86A-DB7873F09110}"/>
  <sortState xmlns:xlrd2="http://schemas.microsoft.com/office/spreadsheetml/2017/richdata2" ref="A2:V104">
    <sortCondition ref="V1:V104"/>
  </sortState>
  <tableColumns count="22">
    <tableColumn id="1" xr3:uid="{16527921-2B6A-42DE-8336-AAC055CEFD6A}" name="Player" dataDxfId="1215"/>
    <tableColumn id="2" xr3:uid="{DE7BBD39-E8E9-4AD4-A5FE-B540B6DDC3B9}" name="DIST" dataDxfId="1214"/>
    <tableColumn id="3" xr3:uid="{E11ED5D2-C6A2-4508-BBC2-D5A689BF9473}" name="ACC" dataDxfId="1213"/>
    <tableColumn id="4" xr3:uid="{D79D511C-5B60-419F-B7D2-4BF82A629546}" name="APP" dataDxfId="1212"/>
    <tableColumn id="5" xr3:uid="{8587361C-180F-4B19-9BE1-8EA41C912565}" name="ARG" dataDxfId="1211"/>
    <tableColumn id="6" xr3:uid="{05CC4706-A682-4E40-B678-B04137369649}" name="PUTT" dataDxfId="1210"/>
    <tableColumn id="7" xr3:uid="{0950DAEF-5E88-447C-BC6F-DB6BFAAE2AB8}" name="SG" dataDxfId="1209"/>
    <tableColumn id="8" xr3:uid="{5F8D7388-4381-4B8D-8ACA-4580DDE32581}" name="DGSCORE" dataDxfId="1208"/>
    <tableColumn id="9" xr3:uid="{B53F8555-9738-4DD6-AC03-C9E50B7F3DD4}" name="RADARSCORE" dataDxfId="1207"/>
    <tableColumn id="10" xr3:uid="{11DF1148-49C3-42EE-8540-1D6DCE363B25}" name="BDG" dataDxfId="1206"/>
    <tableColumn id="11" xr3:uid="{8B964D9A-747A-4611-A3AC-4FCB6E920091}" name="BRADAR" dataDxfId="1205"/>
    <tableColumn id="13" xr3:uid="{B4DD0AA2-B070-42B6-AE63-74782549A822}" name="DG CR" dataDxfId="1204">
      <calculatedColumnFormula>RANK(H2,$H$2:$H$104,1)</calculatedColumnFormula>
    </tableColumn>
    <tableColumn id="15" xr3:uid="{6E2C5B9E-C06B-48F5-9274-E4D64642FD8B}" name="RADAR CR" dataDxfId="1203">
      <calculatedColumnFormula>RANK(I2,$I$2:$I$104,1)</calculatedColumnFormula>
    </tableColumn>
    <tableColumn id="17" xr3:uid="{F6D472A4-D85B-4585-9777-4657936B730A}" name="BDG CR" dataDxfId="1202">
      <calculatedColumnFormula>RANK(J2,$J$2:$J$104,1)</calculatedColumnFormula>
    </tableColumn>
    <tableColumn id="19" xr3:uid="{10F31C45-3928-474D-BB87-16FFF8B29029}" name="BRADAR CR" dataDxfId="1201">
      <calculatedColumnFormula>RANK(K2,$K$2:$K$104,1)</calculatedColumnFormula>
    </tableColumn>
    <tableColumn id="25" xr3:uid="{7076C171-7184-415F-99F4-A57593734428}" name="VALUE RANK" dataDxfId="1200">
      <calculatedColumnFormula>RANK(U2,$U$2:$U$104,0)</calculatedColumnFormula>
    </tableColumn>
    <tableColumn id="20" xr3:uid="{E740CF5D-79BA-4780-8A9D-48526B23DCE8}" name="WIN" dataDxfId="1199"/>
    <tableColumn id="21" xr3:uid="{818E0878-5AC4-4CB3-A20E-F1FBEAAA6B43}" name="T10" dataDxfId="1198"/>
    <tableColumn id="22" xr3:uid="{FE443216-F2EE-4522-B1DF-1382CAB7199E}" name="SGT5" dataDxfId="1197"/>
    <tableColumn id="23" xr3:uid="{B8CBB4EF-B547-4C0C-A82E-8F54BE875746}" name="VALUE" dataDxfId="1196">
      <calculatedColumnFormula>Table237[[#This Row],[BDG]]/Table237[[#This Row],[Odds]]</calculatedColumnFormula>
    </tableColumn>
    <tableColumn id="24" xr3:uid="{A9669834-E0E4-4177-BCDD-9B3197706CA3}" name="Odds" dataDxfId="1195">
      <calculatedColumnFormula array="1">MAX(_xlfn._xlws.FILTER(Table22[[B365]:[BFAIREXC]], Table22[PLAYER] = A2))</calculatedColumnFormula>
    </tableColumn>
    <tableColumn id="12" xr3:uid="{B0F29D21-AF08-47C2-9D09-559DD8A8034A}" name="Position" dataDxfId="1194"/>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0DB60AF-DA45-4D8B-B2DB-8A45A74C9C05}" name="Table233" displayName="Table233" ref="A1:V69" totalsRowShown="0" dataDxfId="1192" headerRowBorderDxfId="1193" tableBorderDxfId="1191">
  <autoFilter ref="A1:V69" xr:uid="{8CAC371B-E5E6-481C-B86A-DB7873F09110}"/>
  <sortState xmlns:xlrd2="http://schemas.microsoft.com/office/spreadsheetml/2017/richdata2" ref="A2:V69">
    <sortCondition ref="V1:V69"/>
  </sortState>
  <tableColumns count="22">
    <tableColumn id="1" xr3:uid="{B0B14A46-76D9-4572-A0E1-9FBBDA019DC0}" name="Player" dataDxfId="1190"/>
    <tableColumn id="2" xr3:uid="{F454A324-E481-48AE-A940-CBAE8B8B4A96}" name="DIST" dataDxfId="1189"/>
    <tableColumn id="3" xr3:uid="{68899223-8C80-4E17-B5AC-ED55845803AD}" name="ACC" dataDxfId="1188"/>
    <tableColumn id="4" xr3:uid="{B1AD4D2F-DE5F-48F6-8B24-889894BE1504}" name="APP" dataDxfId="1187"/>
    <tableColumn id="5" xr3:uid="{5A7C52EF-D941-4EEF-B7DB-0F9C4EAB7C6F}" name="ARG" dataDxfId="1186"/>
    <tableColumn id="6" xr3:uid="{B3141551-2616-4995-904D-533015C35306}" name="PUTT" dataDxfId="1185"/>
    <tableColumn id="7" xr3:uid="{E375E033-9B1C-4F91-BE87-3990B6F86F58}" name="SG" dataDxfId="1184"/>
    <tableColumn id="8" xr3:uid="{E2A8CFEA-FAB7-4535-8615-8917DAC4E542}" name="DGSCORE" dataDxfId="1183"/>
    <tableColumn id="9" xr3:uid="{2F5CBA3F-D226-47FB-B548-CBF95D7D0605}" name="RADARSCORE" dataDxfId="1182"/>
    <tableColumn id="10" xr3:uid="{7236E49A-9D75-4557-92F7-24B5FDE28753}" name="BDG" dataDxfId="1181"/>
    <tableColumn id="11" xr3:uid="{0EDC745D-C454-4E62-A5FF-FBF21F207C55}" name="BRADAR" dataDxfId="1180"/>
    <tableColumn id="13" xr3:uid="{9747072E-D1FB-497D-A582-D2FB266484C5}" name="DG CR" dataDxfId="1179">
      <calculatedColumnFormula>RANK(H2,$H$2:$H$69,1)</calculatedColumnFormula>
    </tableColumn>
    <tableColumn id="15" xr3:uid="{6E482483-5521-4CE0-B967-BE1174B05EF0}" name="RADAR CR" dataDxfId="1178">
      <calculatedColumnFormula>RANK(I2,$I$2:$I$69,1)</calculatedColumnFormula>
    </tableColumn>
    <tableColumn id="17" xr3:uid="{C65CBCCB-5EEC-4EB2-B501-B1C3C1BD9B01}" name="BDG CR" dataDxfId="1177">
      <calculatedColumnFormula>RANK(J2,$J$2:$J$69,1)</calculatedColumnFormula>
    </tableColumn>
    <tableColumn id="19" xr3:uid="{AD680D0D-B739-4A7B-A5E3-7C54D120C0F0}" name="BRADAR CR" dataDxfId="1176">
      <calculatedColumnFormula>RANK(K2,$K$2:$K$69,1)</calculatedColumnFormula>
    </tableColumn>
    <tableColumn id="25" xr3:uid="{BE1755FD-2E1E-4F41-BD21-A46C79808023}" name="VALUE RANK" dataDxfId="1175">
      <calculatedColumnFormula>RANK(U2,$U$2:$U$69,0)</calculatedColumnFormula>
    </tableColumn>
    <tableColumn id="20" xr3:uid="{E85E8B60-A44A-4ECC-A82C-E1D7BC079322}" name="WIN" dataDxfId="1174"/>
    <tableColumn id="21" xr3:uid="{4A17A948-763A-4E6E-8CF0-B4C61859E5F0}" name="T10" dataDxfId="1173"/>
    <tableColumn id="22" xr3:uid="{74A657E1-2E71-441B-9040-A889A3BC3C9E}" name="SGT5" dataDxfId="1172"/>
    <tableColumn id="23" xr3:uid="{E31FE4E9-8E73-41F8-8354-DCF96AC5C3CA}" name="VALUE" dataDxfId="1171">
      <calculatedColumnFormula>Table233[[#This Row],[BDG]]/Table233[[#This Row],[Odds]]</calculatedColumnFormula>
    </tableColumn>
    <tableColumn id="24" xr3:uid="{61B3C2C1-F7B0-4A52-B419-BA38F73EAAD5}" name="Odds" dataDxfId="1170"/>
    <tableColumn id="12" xr3:uid="{2A56858F-0DA7-4626-A264-47CAFD691528}" name="Position" dataDxfId="1169"/>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64434E7F-875A-470A-8122-62E03C7353E2}" name="Table231" displayName="Table231" ref="A1:V129" totalsRowShown="0" dataDxfId="1167" headerRowBorderDxfId="1168" tableBorderDxfId="1166">
  <autoFilter ref="A1:V129" xr:uid="{8CAC371B-E5E6-481C-B86A-DB7873F09110}"/>
  <sortState xmlns:xlrd2="http://schemas.microsoft.com/office/spreadsheetml/2017/richdata2" ref="A2:V129">
    <sortCondition ref="V1:V129"/>
  </sortState>
  <tableColumns count="22">
    <tableColumn id="1" xr3:uid="{6696FE4D-AD6D-475C-AB89-AF8EC05AB9FD}" name="Player" dataDxfId="1165"/>
    <tableColumn id="2" xr3:uid="{35BD0FEB-205E-4022-B41B-375314250403}" name="DIST" dataDxfId="1164"/>
    <tableColumn id="3" xr3:uid="{40AEB236-31D3-4C76-B64A-C9226982FFD7}" name="ACC" dataDxfId="1163"/>
    <tableColumn id="4" xr3:uid="{16034713-BD15-4446-ABF3-486DF5A26AAB}" name="APP" dataDxfId="1162"/>
    <tableColumn id="5" xr3:uid="{5E0A70B5-3BA4-4EC2-AC59-5F71F6437D76}" name="ARG" dataDxfId="1161"/>
    <tableColumn id="6" xr3:uid="{CBEB2A8F-4647-49B4-90B7-D9ECE970991A}" name="PUTT" dataDxfId="1160"/>
    <tableColumn id="7" xr3:uid="{B2BD33C3-0E58-44F3-A13B-4FE400912037}" name="SG" dataDxfId="1159"/>
    <tableColumn id="8" xr3:uid="{130FE715-9964-4BD7-B41F-7220D5339B55}" name="DGSCORE" dataDxfId="1158"/>
    <tableColumn id="9" xr3:uid="{23AFF877-746E-446E-B0DE-E9959A7DE0D0}" name="RADARSCORE" dataDxfId="1157"/>
    <tableColumn id="10" xr3:uid="{F719264F-C110-472C-A618-A5FDF58CDB7B}" name="BDG" dataDxfId="1156"/>
    <tableColumn id="11" xr3:uid="{CD2CAE5E-D43B-4104-85FB-CEEDCC588BD3}" name="BRADAR" dataDxfId="1155"/>
    <tableColumn id="13" xr3:uid="{620E3AB6-1D5A-414B-BAED-B5A2212256EA}" name="DG CR" dataDxfId="1154">
      <calculatedColumnFormula>RANK(H2,$H$2:$H$129,1)</calculatedColumnFormula>
    </tableColumn>
    <tableColumn id="15" xr3:uid="{DF263F26-5C11-4BEA-B4FB-671BC2403A8A}" name="RADAR CR" dataDxfId="1153">
      <calculatedColumnFormula>RANK(I2,$I$2:$I$129,1)</calculatedColumnFormula>
    </tableColumn>
    <tableColumn id="17" xr3:uid="{493A6BA8-6EC2-49FB-9E2D-3390B54373F8}" name="BDG CR" dataDxfId="1152">
      <calculatedColumnFormula>RANK(J2,$J$2:$J$129,1)</calculatedColumnFormula>
    </tableColumn>
    <tableColumn id="19" xr3:uid="{87D2DD5B-DEEA-4885-9D24-C997A99C6EEE}" name="BRADAR CR" dataDxfId="1151">
      <calculatedColumnFormula>RANK(K2,$K$2:$K$129,1)</calculatedColumnFormula>
    </tableColumn>
    <tableColumn id="25" xr3:uid="{4CD2E38A-869A-4E4C-A4D9-93B94AEE14E4}" name="VALUE RANK" dataDxfId="1150">
      <calculatedColumnFormula>RANK(T2,$T$2:$T$129,1)</calculatedColumnFormula>
    </tableColumn>
    <tableColumn id="20" xr3:uid="{237E5BED-6DF4-4546-81DA-45D2BFA0ED4A}" name="WIN" dataDxfId="1149"/>
    <tableColumn id="21" xr3:uid="{E5FC5A84-91F3-48FE-96D6-AAEBF3CEDC55}" name="T10" dataDxfId="1148"/>
    <tableColumn id="22" xr3:uid="{F041F9CA-5F24-4562-8ACD-9576391CF1DE}" name="SGT5" dataDxfId="1147"/>
    <tableColumn id="23" xr3:uid="{0D05D90A-3E50-4B45-8C36-FDAEA1B3AD6B}" name="VALUE" dataDxfId="1146">
      <calculatedColumnFormula>Table231[[#This Row],[BDG]]/Table231[[#This Row],[Odds]]</calculatedColumnFormula>
    </tableColumn>
    <tableColumn id="24" xr3:uid="{D9602C77-FDC7-41BF-8D0D-6ECA09CD4063}" name="Odds" dataDxfId="1145">
      <calculatedColumnFormula array="1">MAX(_xlfn._xlws.FILTER(Table22[[B365]:[BFAIREXC]], Table22[PLAYER] = A2))</calculatedColumnFormula>
    </tableColumn>
    <tableColumn id="12" xr3:uid="{53285AE3-F663-4CD2-82B3-B5CC971D6513}" name="Position" dataDxfId="1144"/>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E1951B90-FA86-44B1-B146-36BD94AD3ABA}" name="Table229" displayName="Table229" ref="A1:Z101" totalsRowShown="0" dataDxfId="1142" headerRowBorderDxfId="1143" tableBorderDxfId="1141">
  <autoFilter ref="A1:Z101" xr:uid="{8CAC371B-E5E6-481C-B86A-DB7873F09110}"/>
  <sortState xmlns:xlrd2="http://schemas.microsoft.com/office/spreadsheetml/2017/richdata2" ref="A2:Z101">
    <sortCondition ref="Z1:Z101"/>
  </sortState>
  <tableColumns count="26">
    <tableColumn id="1" xr3:uid="{2A3CC40A-46F3-44BA-B6A0-BB9777D9FE2E}" name="Player" dataDxfId="1140"/>
    <tableColumn id="2" xr3:uid="{EB8218FC-6618-4E15-97FD-A9424746801F}" name="DIST" dataDxfId="1139"/>
    <tableColumn id="3" xr3:uid="{A682C130-94F1-4544-96C8-1D58C4068141}" name="ACC" dataDxfId="1138"/>
    <tableColumn id="4" xr3:uid="{15E6E6CC-E4DC-43E8-807D-54CCCC35701F}" name="APP" dataDxfId="1137"/>
    <tableColumn id="5" xr3:uid="{0C80211B-7C5A-4B74-9EFA-DB09926FDD9A}" name="ARG" dataDxfId="1136"/>
    <tableColumn id="6" xr3:uid="{3FFB2805-E0B7-409D-9D58-913229C773AC}" name="PUTT" dataDxfId="1135"/>
    <tableColumn id="7" xr3:uid="{DF17A68D-066F-4430-ACF8-32CB3629CFDB}" name="SG" dataDxfId="1134"/>
    <tableColumn id="8" xr3:uid="{2C280547-5B0E-46D2-91D6-E47B0235BBBF}" name="DGSCORE" dataDxfId="1133"/>
    <tableColumn id="9" xr3:uid="{F77796BC-8FB2-470B-AFA5-6A6D3D216F29}" name="RADARSCORE" dataDxfId="1132"/>
    <tableColumn id="10" xr3:uid="{39721E5A-ADF9-4B62-A211-DF5826E7D41E}" name="BDG" dataDxfId="1131"/>
    <tableColumn id="11" xr3:uid="{5CA66BC2-753E-49D3-8F8C-B3C5317B8B15}" name="BRADAR" dataDxfId="1130"/>
    <tableColumn id="12" xr3:uid="{6A407430-60CF-43F0-9ED5-754DD2E2EA3F}" name="DG PGA" dataDxfId="1129"/>
    <tableColumn id="13" xr3:uid="{D4182114-DF85-4914-AA67-AA0EFBE29399}" name="DG CR" dataDxfId="1128"/>
    <tableColumn id="14" xr3:uid="{F4A90F5B-F37F-4681-8ED2-178E1FD2C413}" name="RADARPGA" dataDxfId="1127"/>
    <tableColumn id="15" xr3:uid="{3851A57C-F5DA-488F-8174-0F4324627F2A}" name="RADAR CR" dataDxfId="1126"/>
    <tableColumn id="16" xr3:uid="{ACAE6371-7408-4FA1-94C5-C45CCD9E3179}" name="BDG PGA" dataDxfId="1125"/>
    <tableColumn id="17" xr3:uid="{9EB2DAA6-1F26-49C3-A00A-6B96A7D7B429}" name="BDG CR" dataDxfId="1124"/>
    <tableColumn id="18" xr3:uid="{27949B03-26FF-451D-8C7A-525027251702}" name="BRDADAR PGA" dataDxfId="1123"/>
    <tableColumn id="19" xr3:uid="{3A227F57-0FD2-4199-8675-16326D1C9265}" name="BRADAR CR" dataDxfId="1122"/>
    <tableColumn id="25" xr3:uid="{C2FD18F3-E4DE-4BC3-AAD9-999F6CA20034}" name="VALUE RANK" dataDxfId="1121"/>
    <tableColumn id="20" xr3:uid="{2A23C47D-FB4E-470F-BCFB-49ACA7C4288F}" name="WIN" dataDxfId="1120"/>
    <tableColumn id="21" xr3:uid="{93A5C9B7-E974-4B2D-BE93-C210B752F7C1}" name="T10" dataDxfId="1119"/>
    <tableColumn id="22" xr3:uid="{3FC2C67C-0E08-4574-A282-EDD8C82BDBA7}" name="SGT5" dataDxfId="1118"/>
    <tableColumn id="23" xr3:uid="{8AE44B5A-15D7-4B0C-950F-87D9F11DDDE0}" name="Odds" dataDxfId="1117">
      <calculatedColumnFormula array="1">MAX(_xlfn._xlws.FILTER(Table22[[B365]:[BFAIREXC]], Table22[PLAYER] = A2))</calculatedColumnFormula>
    </tableColumn>
    <tableColumn id="24" xr3:uid="{CBAB4DC2-B923-4A36-AFBB-5FD63FF183DA}" name="VALUE" dataDxfId="1116">
      <calculatedColumnFormula>Table229[[#This Row],[BDG]]/Table229[[#This Row],[Odds]]</calculatedColumnFormula>
    </tableColumn>
    <tableColumn id="26" xr3:uid="{791D988F-645D-477F-946F-3652634C8ED7}" name="Position" dataDxfId="1115"/>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BB8E63A-A05B-4F9D-A2DF-530F2D4E7C9C}" name="Table228" displayName="Table228" ref="A1:Z69" totalsRowShown="0" dataDxfId="1113" headerRowBorderDxfId="1114" tableBorderDxfId="1112">
  <autoFilter ref="A1:Z69" xr:uid="{8CAC371B-E5E6-481C-B86A-DB7873F09110}"/>
  <sortState xmlns:xlrd2="http://schemas.microsoft.com/office/spreadsheetml/2017/richdata2" ref="A2:Z69">
    <sortCondition ref="Z1:Z69"/>
  </sortState>
  <tableColumns count="26">
    <tableColumn id="1" xr3:uid="{80D656A4-E45E-4420-9758-931C95866D56}" name="Player" dataDxfId="1111"/>
    <tableColumn id="2" xr3:uid="{C984C1FC-9670-4248-B870-153C006E4533}" name="DIST" dataDxfId="1110"/>
    <tableColumn id="3" xr3:uid="{C4ADEE76-9534-4299-8553-40CFBE156D6B}" name="ACC" dataDxfId="1109"/>
    <tableColumn id="4" xr3:uid="{3273FBAE-610D-4347-AEAC-EC6ED905A3F4}" name="APP" dataDxfId="1108"/>
    <tableColumn id="5" xr3:uid="{541D6E5C-6017-48CE-833C-27D3810904BC}" name="ARG" dataDxfId="1107"/>
    <tableColumn id="6" xr3:uid="{3AB405C1-C600-4715-9895-949A63517729}" name="PUTT" dataDxfId="1106"/>
    <tableColumn id="7" xr3:uid="{EDCFE2E5-6727-44D0-A4BE-3BA1CE3EBA1C}" name="SG" dataDxfId="1105"/>
    <tableColumn id="8" xr3:uid="{E9737725-C1BF-471C-B120-899B468A5B1E}" name="DGSCORE" dataDxfId="1104"/>
    <tableColumn id="9" xr3:uid="{BB9A7635-DDF7-4A88-B9E5-58B959BD9A4A}" name="RADARSCORE" dataDxfId="1103"/>
    <tableColumn id="10" xr3:uid="{F30FA593-170A-4721-A088-FD1D72333CBA}" name="BDG" dataDxfId="1102"/>
    <tableColumn id="11" xr3:uid="{623A18FE-3398-44A2-9865-670639B8537A}" name="BRADAR" dataDxfId="1101"/>
    <tableColumn id="12" xr3:uid="{7C7F92EA-459F-4474-BBCE-5E7C5359E245}" name="DG PGA" dataDxfId="1100"/>
    <tableColumn id="13" xr3:uid="{F02F8034-B63C-4F81-AB9C-432211937E7B}" name="DG CR" dataDxfId="1099"/>
    <tableColumn id="14" xr3:uid="{7E09648C-A7CB-43E0-9A02-8FBE30899539}" name="RADARPGA" dataDxfId="1098"/>
    <tableColumn id="15" xr3:uid="{9AA12CE8-52B0-4C57-9C28-4B22FCF7BEA2}" name="RADAR CR" dataDxfId="1097"/>
    <tableColumn id="16" xr3:uid="{F57E8C41-3B16-4B55-8302-D86BC8F6DFF7}" name="BDG PGA" dataDxfId="1096"/>
    <tableColumn id="17" xr3:uid="{FDDAF4DA-8320-408E-BF69-928E257C42C6}" name="BDG CR" dataDxfId="1095"/>
    <tableColumn id="18" xr3:uid="{D9CD6F8B-D2A4-41DE-9EA7-E2C1DC13A15A}" name="BRDADAR PGA" dataDxfId="1094"/>
    <tableColumn id="19" xr3:uid="{A50195C0-531F-4CB8-8E6D-E70345D5E5E3}" name="BRADAR CR" dataDxfId="1093"/>
    <tableColumn id="25" xr3:uid="{39C1BD1C-B284-43D1-A014-BE4E364C9D4A}" name="VALUE RANK" dataDxfId="1092"/>
    <tableColumn id="20" xr3:uid="{CBDA9C60-3C1E-48FC-B26E-28066D93AD04}" name="WIN" dataDxfId="1091"/>
    <tableColumn id="21" xr3:uid="{B5AB29A9-55D0-4920-8FE1-4224A16EB8FE}" name="T10" dataDxfId="1090"/>
    <tableColumn id="22" xr3:uid="{C3A99655-00DE-4089-8A20-D7E20AE39AA6}" name="SGT5" dataDxfId="1089"/>
    <tableColumn id="23" xr3:uid="{9B549F97-E7E0-45C8-B60E-80D4FC9DAE2B}" name="Odds" dataDxfId="1088">
      <calculatedColumnFormula array="1">MAX(_xlfn._xlws.FILTER(Table22[[B365]:[BFAIREXC]], Table22[PLAYER] = A2))</calculatedColumnFormula>
    </tableColumn>
    <tableColumn id="24" xr3:uid="{7EEE2229-11F8-48F8-89B5-BB0C9156F827}" name="VALUE" dataDxfId="1087">
      <calculatedColumnFormula>Table228[[#This Row],[BDG]]/Table228[[#This Row],[Odds]]</calculatedColumnFormula>
    </tableColumn>
    <tableColumn id="26" xr3:uid="{5E4ACDDC-0904-4269-AD7E-34F42321C37C}" name="Position" dataDxfId="1086"/>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A77D2D0-CA9C-4595-98A1-88F5BCBB9F06}" name="Table225" displayName="Table225" ref="A1:Z128" totalsRowShown="0" dataDxfId="1084" headerRowBorderDxfId="1085" tableBorderDxfId="1083">
  <autoFilter ref="A1:Z128" xr:uid="{8CAC371B-E5E6-481C-B86A-DB7873F09110}"/>
  <sortState xmlns:xlrd2="http://schemas.microsoft.com/office/spreadsheetml/2017/richdata2" ref="A2:Z128">
    <sortCondition ref="Z1:Z128"/>
  </sortState>
  <tableColumns count="26">
    <tableColumn id="1" xr3:uid="{2C136667-4BEC-42CE-AD4C-DC2A38CF5DBF}" name="Player" dataDxfId="1082"/>
    <tableColumn id="2" xr3:uid="{A3EB52EE-CDF5-4E86-8903-2174E1472560}" name="DIST" dataDxfId="1081"/>
    <tableColumn id="3" xr3:uid="{CF2B2F14-E35E-43CA-892C-9AA52BED57F2}" name="ACC" dataDxfId="1080"/>
    <tableColumn id="4" xr3:uid="{E3C4B2AA-242F-4FB7-BFAD-2CDD59AF3915}" name="APP" dataDxfId="1079"/>
    <tableColumn id="5" xr3:uid="{A7149B3F-CE90-4A3E-8446-414C84ED586B}" name="ARG" dataDxfId="1078"/>
    <tableColumn id="6" xr3:uid="{ADDE0828-A68B-4928-8AFF-F886EF83D470}" name="PUTT" dataDxfId="1077"/>
    <tableColumn id="7" xr3:uid="{A8502127-FEBB-4091-A675-8C58DB25306A}" name="SG" dataDxfId="1076"/>
    <tableColumn id="8" xr3:uid="{AE2078E0-D6F6-47E1-9884-1D2E6DA51CFA}" name="DGSCORE" dataDxfId="1075"/>
    <tableColumn id="9" xr3:uid="{EF6E51DE-A958-4B4E-9E96-36D7CCF2C097}" name="RADARSCORE" dataDxfId="1074"/>
    <tableColumn id="10" xr3:uid="{AE42EB53-DED7-441E-A14A-5644FD6B2256}" name="BDG" dataDxfId="1073"/>
    <tableColumn id="11" xr3:uid="{9091742C-3D1D-44C0-8D85-E34BEFDC5379}" name="BRADAR" dataDxfId="1072"/>
    <tableColumn id="12" xr3:uid="{61FA51A7-DF52-4C13-9262-6DCBF9578F62}" name="DG PGA" dataDxfId="1071"/>
    <tableColumn id="13" xr3:uid="{6B107234-FC12-4B7C-8A40-27A2C807FE4B}" name="DG CR" dataDxfId="1070"/>
    <tableColumn id="14" xr3:uid="{8A313541-5976-4B3E-93E3-11F56E05F4CC}" name="RADARPGA" dataDxfId="1069"/>
    <tableColumn id="15" xr3:uid="{3B59F5F5-8C29-4AEC-9FFF-F6425F51BFC3}" name="RADAR CR" dataDxfId="1068"/>
    <tableColumn id="16" xr3:uid="{BB5D90D7-D81C-4139-8C37-F1AC8FAD54AF}" name="BDG PGA" dataDxfId="1067"/>
    <tableColumn id="17" xr3:uid="{7E78CBE4-26AD-47E8-9C00-DA8B2C9904D0}" name="BDG CR" dataDxfId="1066"/>
    <tableColumn id="18" xr3:uid="{A943B736-B2B5-4250-9312-0B6796F4437E}" name="BRDADAR PGA" dataDxfId="1065"/>
    <tableColumn id="19" xr3:uid="{5B09FD95-9B70-4E10-BCFC-C26018C694E4}" name="BRADAR CR" dataDxfId="1064"/>
    <tableColumn id="25" xr3:uid="{BE087A34-BD9A-41E7-9924-C2188E640848}" name="VALUE RANK" dataDxfId="1063"/>
    <tableColumn id="20" xr3:uid="{53C2D26B-E1BC-4C09-B1AE-69309FAB49B9}" name="WIN" dataDxfId="1062"/>
    <tableColumn id="21" xr3:uid="{C251597C-8122-4495-905B-2F597D4E6D1A}" name="T10" dataDxfId="1061"/>
    <tableColumn id="22" xr3:uid="{C4507C2C-0184-407F-B5BF-8E87D49D8442}" name="SGT5" dataDxfId="1060"/>
    <tableColumn id="23" xr3:uid="{A604A213-FDA8-4FDD-A033-1FF6CBA73A79}" name="Odds" dataDxfId="1059">
      <calculatedColumnFormula array="1">MAX(_xlfn._xlws.FILTER(Table22[[B365]:[BFAIREXC]], Table22[PLAYER] = A2))</calculatedColumnFormula>
    </tableColumn>
    <tableColumn id="24" xr3:uid="{E7B9BE5B-C880-4DC6-AC5E-4C70D779D42C}" name="VALUE" dataDxfId="1058">
      <calculatedColumnFormula>Table225[[#This Row],[BDG]]/Table225[[#This Row],[Odds]]</calculatedColumnFormula>
    </tableColumn>
    <tableColumn id="26" xr3:uid="{255CCD9A-0085-4B6C-81B5-076D7939AFD4}" name="Position" dataDxfId="1057"/>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AD07CBE-42F6-4131-BFDF-9CC07DCBE44F}" name="Table223" displayName="Table223" ref="A1:Y80" totalsRowShown="0" dataDxfId="1055" headerRowBorderDxfId="1056" tableBorderDxfId="1054">
  <autoFilter ref="A1:Y80" xr:uid="{8CAC371B-E5E6-481C-B86A-DB7873F09110}"/>
  <sortState xmlns:xlrd2="http://schemas.microsoft.com/office/spreadsheetml/2017/richdata2" ref="A2:Y80">
    <sortCondition ref="J1:J80"/>
  </sortState>
  <tableColumns count="25">
    <tableColumn id="1" xr3:uid="{D0E2B721-1FE7-4E90-9BD0-095A5F75F985}" name="Player" dataDxfId="1053"/>
    <tableColumn id="2" xr3:uid="{2102ED60-B669-4A9B-9D77-11337B0D25B0}" name="DIST" dataDxfId="1052"/>
    <tableColumn id="3" xr3:uid="{EA95A93A-0A89-416C-9FBC-C04823EAC5AC}" name="ACC" dataDxfId="1051"/>
    <tableColumn id="4" xr3:uid="{20B70198-27B1-426E-BEBC-81F02F60DACC}" name="APP" dataDxfId="1050"/>
    <tableColumn id="5" xr3:uid="{A93B4D4C-3AEB-4F04-BEDE-CFCDC2A5D3BA}" name="ARG" dataDxfId="1049"/>
    <tableColumn id="6" xr3:uid="{F8F26D89-8691-40C0-99F8-9A2188187C13}" name="PUTT" dataDxfId="1048"/>
    <tableColumn id="7" xr3:uid="{5A9A86E5-6646-4BFB-9A42-7FFE71189599}" name="SG" dataDxfId="1047"/>
    <tableColumn id="8" xr3:uid="{C9C9B307-B6B5-4884-A4A0-1DC0FEBC499B}" name="DGSCORE" dataDxfId="1046"/>
    <tableColumn id="9" xr3:uid="{F2F7B065-DB02-4827-8E2E-08867130C3B8}" name="RADARSCORE" dataDxfId="1045"/>
    <tableColumn id="10" xr3:uid="{2146AEFF-4AAC-4FFD-BD73-CED9184FA085}" name="BDG" dataDxfId="1044"/>
    <tableColumn id="11" xr3:uid="{40F94464-0FB6-4ED6-BD8D-9485ECDF6A50}" name="BRADAR" dataDxfId="1043"/>
    <tableColumn id="12" xr3:uid="{B25B2949-FA6A-479F-B336-A5F51A57F5E3}" name="DG PGA" dataDxfId="1042"/>
    <tableColumn id="13" xr3:uid="{FD112EB2-95BF-4A11-BD5D-E7B56DD13BA4}" name="DG CR" dataDxfId="1041"/>
    <tableColumn id="14" xr3:uid="{E8F2DFB3-3AD2-4432-97CF-9AE745FA117D}" name="RADARPGA" dataDxfId="1040"/>
    <tableColumn id="15" xr3:uid="{959F6F72-4AE5-488B-92B6-8F8835BD0910}" name="RADAR CR" dataDxfId="1039"/>
    <tableColumn id="16" xr3:uid="{D8791A68-DADA-4B31-8B99-4124BEB1039C}" name="BDG PGA" dataDxfId="1038"/>
    <tableColumn id="17" xr3:uid="{CBE22308-2EA8-46B2-9EE4-A0C74D83F8EC}" name="BDG CR" dataDxfId="1037"/>
    <tableColumn id="18" xr3:uid="{89C424F2-7D5A-4CB7-BC9C-A5B329DA8A4A}" name="BRDADAR PGA" dataDxfId="1036"/>
    <tableColumn id="19" xr3:uid="{B0FC542E-390D-4165-ABE8-3CAD86255342}" name="BRADAR CR" dataDxfId="1035"/>
    <tableColumn id="25" xr3:uid="{1CC8065E-89F3-4515-8C0C-264DC260FCC2}" name="VALUE RANK" dataDxfId="1034"/>
    <tableColumn id="20" xr3:uid="{3C7FC6D1-C71B-4DBE-A2FD-93BB4A323845}" name="WIN" dataDxfId="1033"/>
    <tableColumn id="21" xr3:uid="{A945D784-1473-4B97-BE57-A2317C58CC3C}" name="T10" dataDxfId="1032"/>
    <tableColumn id="22" xr3:uid="{2414EA9B-5CB6-49EF-BFED-8F06E736EB56}" name="SGT5" dataDxfId="1031"/>
    <tableColumn id="23" xr3:uid="{CD4922DF-60E4-40B4-B8A3-74E0F74B6560}" name="Odds" dataDxfId="1030">
      <calculatedColumnFormula>_xlfn.MAXIFS([1]Odds!$B$2:$W$81,[1]Odds!$A$2:$A$81,Table223[[#This Row],[Player]])</calculatedColumnFormula>
    </tableColumn>
    <tableColumn id="24" xr3:uid="{25CCCC5F-D2DA-4BAE-BCFA-74DB7A44C759}" name="VALUE" dataDxfId="1029">
      <calculatedColumnFormula>Table223[[#This Row],[BDG]]/Table223[[#This Row],[Odds]]</calculatedColumnFormula>
    </tableColumn>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6B7E136-9954-42DC-B3CB-F453ADBCF2E5}" name="Table221" displayName="Table221" ref="A1:Z130" totalsRowShown="0" dataDxfId="1027" headerRowBorderDxfId="1028" tableBorderDxfId="1026">
  <autoFilter ref="A1:Z130" xr:uid="{8CAC371B-E5E6-481C-B86A-DB7873F09110}"/>
  <sortState xmlns:xlrd2="http://schemas.microsoft.com/office/spreadsheetml/2017/richdata2" ref="A2:Z130">
    <sortCondition ref="Z1:Z130"/>
  </sortState>
  <tableColumns count="26">
    <tableColumn id="1" xr3:uid="{D1184CBC-1C6B-4CA8-A470-F7BAB8BDDD16}" name="Player" dataDxfId="1025"/>
    <tableColumn id="2" xr3:uid="{9DE38924-F333-4C2F-A9FE-2E06C7A181D9}" name="DIST" dataDxfId="1024"/>
    <tableColumn id="3" xr3:uid="{72E0C334-0EE5-459A-A1F4-A218362F55A7}" name="ACC" dataDxfId="1023"/>
    <tableColumn id="4" xr3:uid="{50C3170D-CD17-46BC-BAF2-0D5F220FBAAC}" name="APP" dataDxfId="1022"/>
    <tableColumn id="5" xr3:uid="{112EF6BA-2D89-482E-A62C-49CCE75176F9}" name="ARG" dataDxfId="1021"/>
    <tableColumn id="6" xr3:uid="{CAFA7AE5-B707-4BE7-A9E8-B4805905C2AA}" name="PUTT" dataDxfId="1020"/>
    <tableColumn id="7" xr3:uid="{32A867F5-0F03-4F93-B9F1-03C8B34941AC}" name="SG" dataDxfId="1019"/>
    <tableColumn id="8" xr3:uid="{F44F26ED-B7E2-429E-AB00-6251EA8EF51A}" name="DGSCORE" dataDxfId="1018"/>
    <tableColumn id="9" xr3:uid="{53B957A7-1144-4AD7-8E7B-16656CE6D1D2}" name="RADARSCORE" dataDxfId="1017"/>
    <tableColumn id="10" xr3:uid="{5B1C1BBC-4459-4ECB-925C-D1F789B0777C}" name="BDG" dataDxfId="1016"/>
    <tableColumn id="11" xr3:uid="{7A817C95-7580-4438-9C7D-DEA1FB85686A}" name="BRADAR" dataDxfId="1015"/>
    <tableColumn id="12" xr3:uid="{F7FE2576-A762-4567-8292-DC16FFD6CEAE}" name="DG PGA" dataDxfId="1014"/>
    <tableColumn id="13" xr3:uid="{BAE9E1FA-2D2B-4F87-B1A1-91DD20E36C9F}" name="DG CR" dataDxfId="1013"/>
    <tableColumn id="14" xr3:uid="{7EAC9DAA-4C1A-485E-97A2-EBC9F4B66B74}" name="RADARPGA" dataDxfId="1012"/>
    <tableColumn id="15" xr3:uid="{E429C8BE-044B-4FA2-B9BF-8A8ADA732CFB}" name="RADAR CR" dataDxfId="1011"/>
    <tableColumn id="16" xr3:uid="{934933A5-CD48-4560-A838-E40FA3D41776}" name="BDG PGA" dataDxfId="1010"/>
    <tableColumn id="17" xr3:uid="{BEA42145-6541-4F74-B63A-A2FC43B2141F}" name="BDG CR" dataDxfId="1009"/>
    <tableColumn id="18" xr3:uid="{8341341E-F248-4940-AACD-A002E77164A4}" name="BRDADAR PGA" dataDxfId="1008"/>
    <tableColumn id="19" xr3:uid="{8B7382C1-11BC-4C88-A16A-6AA0B9B252DC}" name="BRADAR CR" dataDxfId="1007"/>
    <tableColumn id="25" xr3:uid="{4A92AA91-3593-4D7E-8813-4DAA7DB6D717}" name="VALUE RANK" dataDxfId="1006"/>
    <tableColumn id="20" xr3:uid="{17B498BA-F61C-44C7-BC5F-D01C2AC58A43}" name="WIN" dataDxfId="1005"/>
    <tableColumn id="21" xr3:uid="{478D5359-34BB-4EB5-96EF-A7B70339809F}" name="T10" dataDxfId="1004"/>
    <tableColumn id="22" xr3:uid="{A5E7D7AA-72DE-4E26-B0FF-A64E5EC88E09}" name="SGT5" dataDxfId="1003"/>
    <tableColumn id="23" xr3:uid="{3D975AD2-BA51-4E98-896C-DE56B1E5AA20}" name="Odds" dataDxfId="1002">
      <calculatedColumnFormula>VLOOKUP(Table221[[#This Row],[Player]],OddsT5T10!$A:$B,2,FALSE)</calculatedColumnFormula>
    </tableColumn>
    <tableColumn id="24" xr3:uid="{9D6E0D4E-01E5-4358-8088-13F139E22B54}" name="VALUE" dataDxfId="1001">
      <calculatedColumnFormula>Table221[[#This Row],[BDG]]/Table221[[#This Row],[Odds]]</calculatedColumnFormula>
    </tableColumn>
    <tableColumn id="26" xr3:uid="{45725ED8-2014-4B58-A730-F30AEA421169}" name="Position" dataDxfId="1000"/>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56B7F34-7B89-4B94-BDD2-FB73EC7C3E75}" name="Table220" displayName="Table220" ref="A1:W120" totalsRowShown="0" dataDxfId="998" headerRowBorderDxfId="999" tableBorderDxfId="997">
  <autoFilter ref="A1:W120" xr:uid="{8CAC371B-E5E6-481C-B86A-DB7873F09110}"/>
  <sortState xmlns:xlrd2="http://schemas.microsoft.com/office/spreadsheetml/2017/richdata2" ref="A2:W120">
    <sortCondition ref="W1:W120"/>
  </sortState>
  <tableColumns count="23">
    <tableColumn id="1" xr3:uid="{B5368B2A-9B2B-45D0-9A9F-085080C849BC}" name="Player" dataDxfId="996"/>
    <tableColumn id="2" xr3:uid="{AAE342D0-5D49-4902-AC46-0086E88C9491}" name="WDIST" dataDxfId="995"/>
    <tableColumn id="3" xr3:uid="{462ECFE0-A72E-4594-8D9F-F63506B26B01}" name="WACC" dataDxfId="994"/>
    <tableColumn id="4" xr3:uid="{FB7AA30B-267B-4281-9832-04CC83C0B357}" name="WAPP" dataDxfId="993"/>
    <tableColumn id="5" xr3:uid="{4548732B-60FA-45EC-B068-2539384F3D0A}" name="WARG" dataDxfId="992"/>
    <tableColumn id="6" xr3:uid="{67EDD5A1-BA09-426F-B461-112A49BF7E97}" name="WPUTT" dataDxfId="991"/>
    <tableColumn id="7" xr3:uid="{9BBED715-BD7E-4A26-A356-EB27C93E8760}" name="SG" dataDxfId="990"/>
    <tableColumn id="8" xr3:uid="{9E68AB4C-6C08-4CD8-ABD9-A53F1FDD0C76}" name="DGSCORE" dataDxfId="989"/>
    <tableColumn id="9" xr3:uid="{5CE1AC14-FB2D-4FD4-96BB-77E9ED0EDAC4}" name="RADARSCORE" dataDxfId="988"/>
    <tableColumn id="10" xr3:uid="{FF35F668-EA7D-4E2E-B092-215DC5C75FB8}" name="BDG" dataDxfId="987"/>
    <tableColumn id="11" xr3:uid="{02946FD4-E9F9-4B6C-8059-997238BE2809}" name="BRADAR" dataDxfId="986"/>
    <tableColumn id="12" xr3:uid="{54950053-2DEA-4303-A3B5-1296C3BEE9F8}" name="DG PGA" dataDxfId="985"/>
    <tableColumn id="13" xr3:uid="{81153FB7-604B-4B75-90E7-F47297D18EC3}" name="DG CR" dataDxfId="984"/>
    <tableColumn id="14" xr3:uid="{D374B604-242F-4DA6-8F28-7F75E3B26F51}" name="RADARPGA" dataDxfId="983"/>
    <tableColumn id="15" xr3:uid="{AA008919-57F7-4FFD-9C01-F93584D7373C}" name="RADARCR" dataDxfId="982"/>
    <tableColumn id="16" xr3:uid="{EF6AC9C5-6816-4DBD-93DD-41B20A8459D4}" name="BDG PGA" dataDxfId="981"/>
    <tableColumn id="17" xr3:uid="{9C645C87-B028-4CF2-81F9-9C3047BA8254}" name="BDG CR" dataDxfId="980"/>
    <tableColumn id="18" xr3:uid="{B3613DD2-7579-47FF-8277-D52DAA17D3E0}" name="BRDADAR PGA" dataDxfId="979"/>
    <tableColumn id="19" xr3:uid="{4B358AA9-4F3A-40B4-89FE-593502286906}" name="BRADAR CR" dataDxfId="978"/>
    <tableColumn id="20" xr3:uid="{6CA8B665-01FD-49B9-B837-08B8FFB59108}" name="WIN%" dataDxfId="977"/>
    <tableColumn id="21" xr3:uid="{11D393A2-D348-48E3-B809-03C822254D11}" name="T10%" dataDxfId="976"/>
    <tableColumn id="22" xr3:uid="{2104CE09-227D-4677-B6B4-36B52EBD80BB}" name="SGT-5" dataDxfId="975"/>
    <tableColumn id="23" xr3:uid="{3B537654-98EB-4E1A-BC52-9BDAF2327DFA}" name="Position" dataDxfId="974"/>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8AE5BA6-A710-4515-A78D-85F25F3088B3}" name="Table219" displayName="Table219" ref="A1:T105" totalsRowShown="0" headerRowDxfId="973" dataDxfId="971" headerRowBorderDxfId="972" tableBorderDxfId="970">
  <autoFilter ref="A1:T105" xr:uid="{8CAC371B-E5E6-481C-B86A-DB7873F09110}"/>
  <sortState xmlns:xlrd2="http://schemas.microsoft.com/office/spreadsheetml/2017/richdata2" ref="A2:T105">
    <sortCondition ref="Q1:Q105"/>
  </sortState>
  <tableColumns count="20">
    <tableColumn id="1" xr3:uid="{E88AD176-CB48-40EA-B98D-A049768A3714}" name="Player" dataDxfId="969"/>
    <tableColumn id="2" xr3:uid="{4D191886-7224-448C-BE24-D3D893DB3FD0}" name="WDIST" dataDxfId="968"/>
    <tableColumn id="3" xr3:uid="{7E219584-FC0F-4364-8937-AC98A1C61E0B}" name="WACC" dataDxfId="967"/>
    <tableColumn id="4" xr3:uid="{667F6717-93FE-47D0-BE53-BACEF4C2B399}" name="WAPP" dataDxfId="966"/>
    <tableColumn id="5" xr3:uid="{CC4E4C39-D6FE-4EF8-A520-72114999BBBB}" name="WARG" dataDxfId="965"/>
    <tableColumn id="6" xr3:uid="{A497E3E2-27FD-4394-9E8B-7139D5939A2C}" name="WPUTT" dataDxfId="964"/>
    <tableColumn id="7" xr3:uid="{14C0BAC1-8C94-4BC0-8026-E34BEFF26DBB}" name="SG" dataDxfId="963"/>
    <tableColumn id="8" xr3:uid="{9305FE4F-4201-47A4-8EC8-4D07912825EB}" name="DGSCORE" dataDxfId="962"/>
    <tableColumn id="9" xr3:uid="{02969C1C-0541-4D74-A3F1-FBCE2265A4F4}" name="RADARSCORE" dataDxfId="961"/>
    <tableColumn id="10" xr3:uid="{5112F5AD-700B-4E12-A4D9-347C4BAA2890}" name="DG PGA RANK" dataDxfId="960"/>
    <tableColumn id="11" xr3:uid="{4D54C5F8-B78D-4621-8A4D-B0F46BBDDC53}" name="DG COURSE RANK" dataDxfId="959"/>
    <tableColumn id="12" xr3:uid="{92AE8685-D1B0-4B8E-849A-D8190415E591}" name="RADAR PGA RANK" dataDxfId="958"/>
    <tableColumn id="13" xr3:uid="{C2C921DF-5AFE-4615-B452-B1A4E0EDE31F}" name="RADAR COURSE RANK" dataDxfId="957"/>
    <tableColumn id="14" xr3:uid="{74300DA9-12CD-4E2E-9E82-1663D7A7B772}" name="WIN%" dataDxfId="956"/>
    <tableColumn id="15" xr3:uid="{C0055A9B-4270-461A-9F36-BE23230C0325}" name="T10%" dataDxfId="955"/>
    <tableColumn id="16" xr3:uid="{F68432EB-60F7-47DA-A7CB-603921E47681}" name="SGT-5" dataDxfId="954"/>
    <tableColumn id="17" xr3:uid="{103A491A-4999-4A09-B65D-5B444D40D22E}" name="Position" dataDxfId="953"/>
    <tableColumn id="18" xr3:uid="{49DF962E-B96F-47EF-B7D4-FB838F14CF60}" name="BDG" dataDxfId="952">
      <calculatedColumnFormula>('Raw Data'!$Z$14*VLOOKUP(Table219[[#This Row],[Player]],'2023'!$A$2:$I$192,8,FALSE))+('Raw Data'!$Z$16*Table219[[#This Row],[DGSCORE]])</calculatedColumnFormula>
    </tableColumn>
    <tableColumn id="20" xr3:uid="{01E3738B-CCF2-4F52-AED5-6399115B2967}" name="BDG Rank" dataDxfId="951">
      <calculatedColumnFormula>_xlfn.RANK.AVG(Table219[[#This Row],[BDG]],Table219[BDG],1)</calculatedColumnFormula>
    </tableColumn>
    <tableColumn id="19" xr3:uid="{283BE072-A014-4B8F-900B-FBEDFE0D7375}" name="BDGRADAR" dataDxfId="950">
      <calculatedColumnFormula>('Raw Data'!$Z$14*VLOOKUP(Table219[[#This Row],[Player]],'2023'!$A$2:$I$192,8,FALSE))+('Raw Data'!$Z$16*Table219[[#This Row],[RADARSCORE]])</calculatedColumnFormula>
    </tableColumn>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ED3023C-1895-4D3F-A5FD-347D8D6536B2}" name="Table212" displayName="Table212" ref="A1:S57" totalsRowShown="0" headerRowDxfId="949" dataDxfId="947" headerRowBorderDxfId="948" tableBorderDxfId="946">
  <autoFilter ref="A1:S57" xr:uid="{8CAC371B-E5E6-481C-B86A-DB7873F09110}"/>
  <sortState xmlns:xlrd2="http://schemas.microsoft.com/office/spreadsheetml/2017/richdata2" ref="A2:S57">
    <sortCondition ref="Q1:Q57"/>
  </sortState>
  <tableColumns count="19">
    <tableColumn id="1" xr3:uid="{9E4E57A0-2682-467A-8771-61C9DC2B0043}" name="Player" dataDxfId="945"/>
    <tableColumn id="2" xr3:uid="{C1EAB72B-92D6-46CB-B68B-732F8E105F67}" name="WDIST" dataDxfId="944"/>
    <tableColumn id="3" xr3:uid="{DA22E220-831D-44F5-BF27-0147298CF4FD}" name="WACC" dataDxfId="943"/>
    <tableColumn id="4" xr3:uid="{8EF96553-4351-40B3-9A0C-4C35E093B0B3}" name="WAPP" dataDxfId="942"/>
    <tableColumn id="5" xr3:uid="{48D1E7C4-7613-4098-B3DD-AB8427D87D53}" name="WARG" dataDxfId="941"/>
    <tableColumn id="6" xr3:uid="{49DD376D-9C01-4886-A374-234E9B1A1D3D}" name="WPUTT" dataDxfId="940"/>
    <tableColumn id="7" xr3:uid="{819997F4-47E3-4CE8-82DA-3514CEBF545F}" name="SG" dataDxfId="939"/>
    <tableColumn id="8" xr3:uid="{0FC1E35B-20FF-4607-BBC2-4E0BBFA7E4D7}" name="DGSCORE" dataDxfId="938"/>
    <tableColumn id="9" xr3:uid="{1CEAABF1-A250-4475-8874-2C9389CAC6DF}" name="RADARSCORE" dataDxfId="937"/>
    <tableColumn id="10" xr3:uid="{B0429860-DAA5-47AC-8A83-6A9CD124E6F4}" name="DG PGA RANK" dataDxfId="936"/>
    <tableColumn id="11" xr3:uid="{A5D52743-643E-4AC2-BAF3-8F5908D88FD6}" name="DG COURSE RANK" dataDxfId="935"/>
    <tableColumn id="12" xr3:uid="{17748CA9-8202-43B6-9FCD-B96433260499}" name="RADAR PGA RANK" dataDxfId="934"/>
    <tableColumn id="13" xr3:uid="{E959745C-D4FD-4CB2-9B7F-B90F567D39AE}" name="RADAR COURSE RANK" dataDxfId="933"/>
    <tableColumn id="14" xr3:uid="{B643FE31-439D-438A-92B8-7E9CFC47188C}" name="WIN%" dataDxfId="932"/>
    <tableColumn id="15" xr3:uid="{FE4A7C5B-B823-4AA0-BC06-5173747F7AC0}" name="T10%" dataDxfId="931"/>
    <tableColumn id="16" xr3:uid="{3458EFDB-323C-4A23-BCCE-39EDF6452FCD}" name="SGT-5" dataDxfId="930"/>
    <tableColumn id="17" xr3:uid="{D4F2A99E-BB17-4524-8612-3F0FC0B896E8}" name="Position" dataDxfId="929"/>
    <tableColumn id="18" xr3:uid="{EF8C02C3-F72F-44B7-888A-A37C84F8CD43}" name="WinOdds" dataDxfId="928"/>
    <tableColumn id="19" xr3:uid="{3C54709B-4338-45DD-9604-D2FFFD9E17E6}" name="Value" dataDxfId="927"/>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86F9363-DFB6-45B6-913A-D09F97C0ABFB}" name="Table26" displayName="Table26" ref="A1:S29" totalsRowShown="0" headerRowDxfId="926" dataDxfId="924" headerRowBorderDxfId="925" tableBorderDxfId="923">
  <autoFilter ref="A1:S29" xr:uid="{8CAC371B-E5E6-481C-B86A-DB7873F09110}"/>
  <sortState xmlns:xlrd2="http://schemas.microsoft.com/office/spreadsheetml/2017/richdata2" ref="A2:S29">
    <sortCondition ref="I1:I29"/>
  </sortState>
  <tableColumns count="19">
    <tableColumn id="1" xr3:uid="{47903E5E-7A9A-4000-AB35-9EB03992A0FB}" name="Player" dataDxfId="922"/>
    <tableColumn id="2" xr3:uid="{819E1438-F751-4373-B9C6-FB278F806F7D}" name="WDIST" dataDxfId="921"/>
    <tableColumn id="3" xr3:uid="{2C2E1892-3D61-4539-B871-C4ECEC92C2C1}" name="WACC" dataDxfId="920"/>
    <tableColumn id="4" xr3:uid="{69846068-BF3F-4FC9-BF08-C9D0AD08ACFA}" name="WAPP" dataDxfId="919"/>
    <tableColumn id="5" xr3:uid="{EC976596-CF7F-46F3-9A33-CD056F2A2F1C}" name="WARG" dataDxfId="918"/>
    <tableColumn id="6" xr3:uid="{7C206C27-9DF5-4FAB-B561-0EF50F25876A}" name="WPUTT" dataDxfId="917"/>
    <tableColumn id="7" xr3:uid="{BCCB4D7B-0B29-481C-9D46-B157C7C388D4}" name="SG" dataDxfId="916"/>
    <tableColumn id="8" xr3:uid="{E39BFC66-6D28-45E6-8269-F3409F9E9E52}" name="DGSCORE" dataDxfId="915"/>
    <tableColumn id="9" xr3:uid="{4B7BE47E-0EC5-4ECC-8159-646C5433E1E5}" name="RADARSCORE" dataDxfId="914"/>
    <tableColumn id="10" xr3:uid="{AB29C732-51E1-4E84-8191-366085E7111B}" name="DG PGA RANK" dataDxfId="913"/>
    <tableColumn id="11" xr3:uid="{6C31CE94-FF27-4BAB-94D6-95B837151AEC}" name="DG COURSE RANK" dataDxfId="912"/>
    <tableColumn id="12" xr3:uid="{BC2B971A-259F-43D0-801B-C54B08530DD8}" name="RADAR PGA RANK" dataDxfId="911"/>
    <tableColumn id="13" xr3:uid="{7CC74612-8E8B-48FB-AD40-F4829F00BFA9}" name="RADAR COURSE RANK" dataDxfId="910"/>
    <tableColumn id="14" xr3:uid="{A06C6ABD-4F7C-4879-94A6-4E3B0504A7A8}" name="WIN%" dataDxfId="909"/>
    <tableColumn id="15" xr3:uid="{EA169344-EB08-49A4-95B6-4FC7CF524612}" name="T10%" dataDxfId="908"/>
    <tableColumn id="16" xr3:uid="{831D5D37-7350-40CB-A7B4-8CB5883202D2}" name="SGT-5" dataDxfId="907"/>
    <tableColumn id="17" xr3:uid="{B072E61C-C170-476C-804F-F02AE9C917F2}" name="Position" dataDxfId="906"/>
    <tableColumn id="18" xr3:uid="{70CEAD37-879E-4AD0-9A72-274A8787C552}" name="WinOdds" dataDxfId="905"/>
    <tableColumn id="19" xr3:uid="{D25A7990-C88A-467A-8CD6-846AA5E81E42}" name="Value" dataDxfId="904"/>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8A73830-D979-4F9F-BD1B-EFE2E6284D5E}" name="Table27" displayName="Table27" ref="A1:S114" totalsRowShown="0" headerRowDxfId="903" dataDxfId="901" headerRowBorderDxfId="902" tableBorderDxfId="900">
  <autoFilter ref="A1:S114" xr:uid="{8CAC371B-E5E6-481C-B86A-DB7873F09110}"/>
  <sortState xmlns:xlrd2="http://schemas.microsoft.com/office/spreadsheetml/2017/richdata2" ref="A2:S114">
    <sortCondition ref="Q1:Q114"/>
  </sortState>
  <tableColumns count="19">
    <tableColumn id="1" xr3:uid="{3A5D9A0B-9AF8-4B75-8606-263E9AE61F8A}" name="Player" dataDxfId="899"/>
    <tableColumn id="2" xr3:uid="{BCA509A9-1EE3-4987-B5BE-5E4D7324F0CB}" name="WDIST" dataDxfId="898"/>
    <tableColumn id="3" xr3:uid="{5DC734CC-658C-43B6-AEC4-D63A5019EE62}" name="WACC" dataDxfId="897"/>
    <tableColumn id="4" xr3:uid="{B89E2797-F1E7-4FCC-ACDE-E8A5349C85E7}" name="WAPP" dataDxfId="896"/>
    <tableColumn id="5" xr3:uid="{9C8F4615-A73B-4630-B46E-4389C48BC497}" name="WARG" dataDxfId="895"/>
    <tableColumn id="6" xr3:uid="{EF0B0AAE-E692-4D03-8875-25157D0E1328}" name="WPUTT" dataDxfId="894"/>
    <tableColumn id="7" xr3:uid="{9F61E93C-0D4F-4B04-B548-7A32188CCBC4}" name="SG" dataDxfId="893"/>
    <tableColumn id="8" xr3:uid="{22BDEF7A-C850-4E14-8370-146AFFC6449A}" name="DGSCORE" dataDxfId="892"/>
    <tableColumn id="9" xr3:uid="{EBCA1CD9-C857-449F-866A-CA6788B5BBDB}" name="RADARSCORE" dataDxfId="891"/>
    <tableColumn id="10" xr3:uid="{7C2D1CD6-FFA4-47A0-B035-A769FEB3353C}" name="DG PGA RANK" dataDxfId="890"/>
    <tableColumn id="11" xr3:uid="{8D24C25A-FEEF-4F8C-9B82-FA058A4585A3}" name="DG COURSE RANK" dataDxfId="889"/>
    <tableColumn id="12" xr3:uid="{AB41668B-CCDA-466D-8DCA-F380EC58A291}" name="RADAR PGA RANK" dataDxfId="888"/>
    <tableColumn id="13" xr3:uid="{40959AA3-4EE1-4BEB-B3E1-5AC9851616BD}" name="RADAR COURSE RANK" dataDxfId="887"/>
    <tableColumn id="14" xr3:uid="{526BDA05-08A9-4F2A-B1B1-FDFD860E09FB}" name="WIN%" dataDxfId="886"/>
    <tableColumn id="15" xr3:uid="{4F096F43-CD23-446D-9260-735F7CEE1CBB}" name="T10%" dataDxfId="885"/>
    <tableColumn id="16" xr3:uid="{A0B9418B-F7A9-4AC3-AD24-2FFC321F27EC}" name="SGT-5" dataDxfId="884"/>
    <tableColumn id="17" xr3:uid="{9D1DB24D-E473-403E-9E6E-02E19EC7A4C3}" name="Position" dataDxfId="883"/>
    <tableColumn id="18" xr3:uid="{14856E67-A175-42FC-8175-6ED4F6803FA6}" name="WinOdds" dataDxfId="882"/>
    <tableColumn id="19" xr3:uid="{924B2B26-E43B-426D-BD48-9808BA0DD002}" name="Value" dataDxfId="881"/>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BC78DC-BB45-49E1-BD02-D50A1AF3821F}" name="Table25" displayName="Table25" ref="A1:S120" totalsRowShown="0" headerRowDxfId="880" dataDxfId="878" headerRowBorderDxfId="879" tableBorderDxfId="877">
  <autoFilter ref="A1:S120" xr:uid="{8CAC371B-E5E6-481C-B86A-DB7873F09110}"/>
  <sortState xmlns:xlrd2="http://schemas.microsoft.com/office/spreadsheetml/2017/richdata2" ref="A2:S120">
    <sortCondition ref="Q1:Q120"/>
  </sortState>
  <tableColumns count="19">
    <tableColumn id="1" xr3:uid="{F03D2886-9052-4226-8DD0-16C77BCAAA66}" name="Player" dataDxfId="876"/>
    <tableColumn id="2" xr3:uid="{5DF6F307-D7A2-47F4-B3B4-1351ADBD6CD9}" name="WDIST" dataDxfId="875"/>
    <tableColumn id="3" xr3:uid="{8408A6ED-B7DE-452A-8502-63A402B8109C}" name="WACC" dataDxfId="874"/>
    <tableColumn id="4" xr3:uid="{2F02334F-F861-4713-BA31-77458AFE6393}" name="WAPP" dataDxfId="873"/>
    <tableColumn id="5" xr3:uid="{246F1ED1-DCD1-4BB2-B9FF-60A7F575A4FF}" name="WARG" dataDxfId="872"/>
    <tableColumn id="6" xr3:uid="{9D2743C0-F020-426E-AD0A-CADEFBA6D8B5}" name="WPUTT" dataDxfId="871"/>
    <tableColumn id="7" xr3:uid="{5F6B6C2D-5423-40CD-AF37-E8BD417B798C}" name="SG" dataDxfId="870"/>
    <tableColumn id="8" xr3:uid="{9D673685-C60F-4125-AA76-A8739E090C8E}" name="DGSCORE" dataDxfId="869"/>
    <tableColumn id="9" xr3:uid="{C0F025F9-8A9C-46B4-BF80-6ED7EDAFB198}" name="RADARSCORE" dataDxfId="868"/>
    <tableColumn id="10" xr3:uid="{90F868A8-C985-4BA7-955B-A813BA4553CC}" name="DG PGA RANK" dataDxfId="867"/>
    <tableColumn id="11" xr3:uid="{398B3DF3-C258-4952-A5E4-80A010ACC26A}" name="DG COURSE RANK" dataDxfId="866"/>
    <tableColumn id="12" xr3:uid="{25B2A803-0248-4A4D-9344-D893215965EF}" name="RADAR PGA RANK" dataDxfId="865"/>
    <tableColumn id="13" xr3:uid="{00B858CC-D86D-426A-AC88-CD4C879A438D}" name="RADAR COURSE RANK" dataDxfId="864"/>
    <tableColumn id="14" xr3:uid="{84CAEA74-CA31-414C-8FF0-13B313295D28}" name="WIN%" dataDxfId="863"/>
    <tableColumn id="15" xr3:uid="{FCE69FDD-53A8-42E2-8D66-1E71195D6B1D}" name="T10%" dataDxfId="862"/>
    <tableColumn id="16" xr3:uid="{D6CFDAD8-1ED7-4E5E-BD80-B00E5E0944FD}" name="SGT-5" dataDxfId="861"/>
    <tableColumn id="17" xr3:uid="{DB633F36-78DE-4D26-8EF2-1A4B31298839}" name="Position" dataDxfId="860"/>
    <tableColumn id="18" xr3:uid="{0AD968FD-8815-4B80-AA57-D15895A4B297}" name="WinOdds" dataDxfId="859"/>
    <tableColumn id="19" xr3:uid="{C42758F4-9A85-4F39-A7E3-C848D817B2F4}" name="Value" dataDxfId="858"/>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DC452CE-F3FD-4A90-9D56-DDB1DB86E752}" name="Table28" displayName="Table28" ref="A1:S150" totalsRowShown="0" headerRowDxfId="857" dataDxfId="855" headerRowBorderDxfId="856" tableBorderDxfId="854">
  <autoFilter ref="A1:S150" xr:uid="{8CAC371B-E5E6-481C-B86A-DB7873F09110}"/>
  <sortState xmlns:xlrd2="http://schemas.microsoft.com/office/spreadsheetml/2017/richdata2" ref="A2:S150">
    <sortCondition ref="Q1:Q150"/>
  </sortState>
  <tableColumns count="19">
    <tableColumn id="1" xr3:uid="{EA9B1E78-7D32-4F71-9361-D8BB52F7A6C0}" name="Player" dataDxfId="853"/>
    <tableColumn id="2" xr3:uid="{3A2F024E-C8DD-418B-A22B-39C7BAEFB5E5}" name="WDIST" dataDxfId="852"/>
    <tableColumn id="3" xr3:uid="{D70A54B3-1E17-4294-A2F3-AD79ABB42AFC}" name="WACC" dataDxfId="851"/>
    <tableColumn id="4" xr3:uid="{28D8CD49-C528-41BB-AC1E-3C255404C6BC}" name="WAPP" dataDxfId="850"/>
    <tableColumn id="5" xr3:uid="{6772B06A-0306-4D25-9FB8-9456FE991E2D}" name="WARG" dataDxfId="849"/>
    <tableColumn id="6" xr3:uid="{80B0BE17-925D-45A2-950A-9628EC35D3E5}" name="WPUTT" dataDxfId="848"/>
    <tableColumn id="7" xr3:uid="{D3FA3BE0-3454-40DF-B6FA-E37921D172C8}" name="SG" dataDxfId="847"/>
    <tableColumn id="8" xr3:uid="{07EFEA2A-319E-4B36-87F1-9FEDC3F38309}" name="DGSCORE" dataDxfId="846"/>
    <tableColumn id="9" xr3:uid="{E03D5F2A-D8EB-4EB6-9A9A-7EBCE171288B}" name="RADARSCORE" dataDxfId="845"/>
    <tableColumn id="10" xr3:uid="{924B22D2-F903-4470-BA58-79B9F3AEB36B}" name="DG PGA RANK" dataDxfId="844"/>
    <tableColumn id="11" xr3:uid="{C636E621-BD95-4941-8AA1-2D16361E670C}" name="DG COURSE RANK" dataDxfId="843"/>
    <tableColumn id="12" xr3:uid="{6E2258CE-AC98-4535-83C1-34F6DCEAA5D1}" name="RADAR PGA RANK" dataDxfId="842"/>
    <tableColumn id="13" xr3:uid="{AFEE7CBF-6EB3-4501-9248-3905A0024753}" name="RADAR COURSE RANK" dataDxfId="841"/>
    <tableColumn id="14" xr3:uid="{41CC0804-04CF-48F3-8770-55E33853E796}" name="WIN%" dataDxfId="840"/>
    <tableColumn id="15" xr3:uid="{2AF0988A-F42D-4713-B362-F1673AFF5105}" name="T10%" dataDxfId="839"/>
    <tableColumn id="16" xr3:uid="{60C247D6-F8BA-4BAD-A73C-B76E3052D6F8}" name="SGT-5" dataDxfId="838"/>
    <tableColumn id="17" xr3:uid="{EC26EC04-9433-4B95-9873-EF10FB026678}" name="Position" dataDxfId="837"/>
    <tableColumn id="18" xr3:uid="{FB1E6466-55E2-4A48-B573-90463D852786}" name="WinOdds" dataDxfId="836"/>
    <tableColumn id="19" xr3:uid="{A4DAB2BD-B8DE-4ABD-9493-ED981752D7AE}" name="Value" dataDxfId="835"/>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2607122-5667-4FD8-9970-F69D4DF959C5}" name="Table29" displayName="Table29" ref="A1:S101" totalsRowShown="0" headerRowDxfId="834" dataDxfId="832" headerRowBorderDxfId="833" tableBorderDxfId="831">
  <autoFilter ref="A1:S101" xr:uid="{8CAC371B-E5E6-481C-B86A-DB7873F09110}"/>
  <sortState xmlns:xlrd2="http://schemas.microsoft.com/office/spreadsheetml/2017/richdata2" ref="A2:S101">
    <sortCondition ref="I1:I101"/>
  </sortState>
  <tableColumns count="19">
    <tableColumn id="1" xr3:uid="{C7FE2402-0E57-40A7-8CEF-A89CC39C9E0D}" name="Player" dataDxfId="830"/>
    <tableColumn id="2" xr3:uid="{78690510-BA60-4552-8847-5D0207F32CC4}" name="WDIST" dataDxfId="829"/>
    <tableColumn id="3" xr3:uid="{B8FA8CA7-6B84-46FF-818E-5073A355D98B}" name="WACC" dataDxfId="828"/>
    <tableColumn id="4" xr3:uid="{83E1F248-51B3-4221-ACB6-82ECC8D32287}" name="WAPP" dataDxfId="827"/>
    <tableColumn id="5" xr3:uid="{FCCF49F4-F2F4-4BDD-B931-7DBAF75ECFFD}" name="WARG" dataDxfId="826"/>
    <tableColumn id="6" xr3:uid="{65741182-10A8-4285-9E6B-FAC116F1059C}" name="WPUTT" dataDxfId="825"/>
    <tableColumn id="7" xr3:uid="{7D33C0B3-E545-446B-ABA9-6C9AF81E6B3B}" name="SG" dataDxfId="824"/>
    <tableColumn id="8" xr3:uid="{FEB92EE0-A5F4-46EA-AF26-DAA3C6FF7663}" name="DGSCORE" dataDxfId="823"/>
    <tableColumn id="9" xr3:uid="{37817CAB-B3EF-4922-9E14-7D6E288E62F0}" name="RADARSCORE" dataDxfId="822"/>
    <tableColumn id="10" xr3:uid="{C0E1071D-17AB-47F9-AFFA-7AFFD2352EFB}" name="DG PGA RANK" dataDxfId="821"/>
    <tableColumn id="11" xr3:uid="{8289A91D-00D1-46B2-9248-B9E523362843}" name="DG COURSE RANK" dataDxfId="820"/>
    <tableColumn id="12" xr3:uid="{855D96B3-9E45-4217-84EC-D66EC5439F23}" name="RADAR PGA RANK" dataDxfId="819"/>
    <tableColumn id="13" xr3:uid="{C7117B9C-0793-4F7B-8BCE-B68F309BFE45}" name="RADAR COURSE RANK" dataDxfId="818"/>
    <tableColumn id="14" xr3:uid="{0F9B0928-489C-4522-BC54-FD2BB31EAADC}" name="WIN%" dataDxfId="817"/>
    <tableColumn id="15" xr3:uid="{108E8804-1E3C-439E-9D6B-3AD2AE3E1452}" name="T10%" dataDxfId="816"/>
    <tableColumn id="16" xr3:uid="{C4B2E903-E5D8-4335-B671-26FE6CCA3572}" name="SGT-5" dataDxfId="815"/>
    <tableColumn id="17" xr3:uid="{C3B67256-1CC6-41CE-802F-8D055E6672D5}" name="Position" dataDxfId="814"/>
    <tableColumn id="18" xr3:uid="{63C09410-F41F-40E2-98A4-EC371E113178}" name="WinOdds" dataDxfId="813"/>
    <tableColumn id="19" xr3:uid="{C9AC9042-736F-47F9-B80D-6395EE783AF8}" name="Value" dataDxfId="812"/>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2305911-3731-4F89-8917-68E5CEFCB879}" name="Table210" displayName="Table210" ref="A1:S115" totalsRowShown="0" headerRowDxfId="811" dataDxfId="809" headerRowBorderDxfId="810" tableBorderDxfId="808">
  <autoFilter ref="A1:S115" xr:uid="{8CAC371B-E5E6-481C-B86A-DB7873F09110}"/>
  <sortState xmlns:xlrd2="http://schemas.microsoft.com/office/spreadsheetml/2017/richdata2" ref="A2:S115">
    <sortCondition ref="Q1:Q115"/>
  </sortState>
  <tableColumns count="19">
    <tableColumn id="1" xr3:uid="{A16F1911-AF3B-47D2-B264-D7C4A17B350C}" name="Player" dataDxfId="807"/>
    <tableColumn id="2" xr3:uid="{B912B2EB-512A-4E8D-8B0E-240FED705AE8}" name="WDIST" dataDxfId="806"/>
    <tableColumn id="3" xr3:uid="{9533FF8C-0F83-46FD-8E63-3E97A6793457}" name="WACC" dataDxfId="805"/>
    <tableColumn id="4" xr3:uid="{407516F6-2E67-4D1C-9979-8BCDA5BC1031}" name="WAPP" dataDxfId="804"/>
    <tableColumn id="5" xr3:uid="{9F872669-8756-403F-86F4-9BD4377C1B6D}" name="WARG" dataDxfId="803"/>
    <tableColumn id="6" xr3:uid="{191D2AAB-C602-4584-9C93-4310B2D24D86}" name="WPUTT" dataDxfId="802"/>
    <tableColumn id="7" xr3:uid="{C1C0C3CC-6941-4213-90AC-42ABC21D6790}" name="SG" dataDxfId="801"/>
    <tableColumn id="8" xr3:uid="{5EC3E2A3-3EBD-42BA-B7AA-F23A961AADA7}" name="DGSCORE" dataDxfId="800"/>
    <tableColumn id="9" xr3:uid="{343C3CA4-357E-42CA-B24A-441CF1BCC5C0}" name="RADARSCORE" dataDxfId="799"/>
    <tableColumn id="10" xr3:uid="{68D37450-5260-4178-8AF8-B152CF06A997}" name="DG PGA RANK" dataDxfId="798"/>
    <tableColumn id="11" xr3:uid="{C4E0A8B0-8CE7-4F49-9D51-51837764B3C1}" name="DG COURSE RANK" dataDxfId="797"/>
    <tableColumn id="12" xr3:uid="{A95D4EA0-4DE2-4D3F-8A34-D37EA7D96DDC}" name="RADAR PGA RANK" dataDxfId="796"/>
    <tableColumn id="13" xr3:uid="{1D7615E0-390E-4691-8A1D-FDB61AEE4578}" name="RADAR COURSE RANK" dataDxfId="795"/>
    <tableColumn id="14" xr3:uid="{9A9466F6-463E-4985-A9BA-D849AA2F2D9C}" name="WIN%" dataDxfId="794"/>
    <tableColumn id="15" xr3:uid="{4A277DD8-D884-4049-8E28-BC84DD163C22}" name="T10%" dataDxfId="793"/>
    <tableColumn id="16" xr3:uid="{571F6E56-68B2-4335-ABEC-48C1B671311B}" name="SGT-5" dataDxfId="792"/>
    <tableColumn id="17" xr3:uid="{EE1C2DC9-49F5-4F32-849A-5256EF25E78D}" name="Position" dataDxfId="791"/>
    <tableColumn id="18" xr3:uid="{2DFF55F7-8852-4C27-9012-5D084A456779}" name="WinOdds" dataDxfId="790"/>
    <tableColumn id="19" xr3:uid="{28AD38AC-AE30-4785-A336-BA7A2D3B54AE}" name="Value" dataDxfId="789"/>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C8F4E81-1C28-41D6-B940-27B065CFF328}" name="Table211" displayName="Table211" ref="A1:S106" totalsRowShown="0" headerRowDxfId="788" dataDxfId="786" headerRowBorderDxfId="787" tableBorderDxfId="785">
  <autoFilter ref="A1:S106" xr:uid="{8CAC371B-E5E6-481C-B86A-DB7873F09110}"/>
  <sortState xmlns:xlrd2="http://schemas.microsoft.com/office/spreadsheetml/2017/richdata2" ref="A2:S106">
    <sortCondition ref="Q1:Q106"/>
  </sortState>
  <tableColumns count="19">
    <tableColumn id="1" xr3:uid="{06A1C988-6B07-4FF2-A9EA-CCBDBD33E71E}" name="Player" dataDxfId="784"/>
    <tableColumn id="2" xr3:uid="{40BC44C9-267C-4305-910A-7CD7B273D8A1}" name="WDIST" dataDxfId="783"/>
    <tableColumn id="3" xr3:uid="{49FE8D37-D6E5-43C5-82B4-942159A5FA64}" name="WACC" dataDxfId="782"/>
    <tableColumn id="4" xr3:uid="{CB80E09F-58B9-4F66-B4DB-86663D683A54}" name="WAPP" dataDxfId="781"/>
    <tableColumn id="5" xr3:uid="{59901E3E-DBC7-43C2-A431-BA17536A3E6D}" name="WARG" dataDxfId="780"/>
    <tableColumn id="6" xr3:uid="{2373F1D1-6AE5-4522-8BDB-302ADF798E31}" name="WPUTT" dataDxfId="779"/>
    <tableColumn id="7" xr3:uid="{93C06E5B-4CCF-4D97-B029-AED691B5C26D}" name="SG" dataDxfId="778"/>
    <tableColumn id="8" xr3:uid="{DE966FFD-446B-4FC6-847F-BFC4EFB62898}" name="DGSCORE" dataDxfId="777"/>
    <tableColumn id="9" xr3:uid="{5B0BF098-BB0E-4C69-9382-D84BDC7DC550}" name="RADARSCORE" dataDxfId="776"/>
    <tableColumn id="10" xr3:uid="{FEF04CB6-8279-4E4E-BF01-FE03E270B542}" name="DG PGA RANK" dataDxfId="775"/>
    <tableColumn id="11" xr3:uid="{92CC0ACE-8F50-4408-AD81-C42CC5565B90}" name="DG COURSE RANK" dataDxfId="774"/>
    <tableColumn id="12" xr3:uid="{4E014920-C8B7-4E83-B6ED-A669F64F9D49}" name="RADAR PGA RANK" dataDxfId="773"/>
    <tableColumn id="13" xr3:uid="{A5DD086D-A316-4DCA-B0B3-4E987E7B61E0}" name="RADAR COURSE RANK" dataDxfId="772"/>
    <tableColumn id="14" xr3:uid="{04023CBC-5ECB-408D-9228-DC7C67B62992}" name="WIN%" dataDxfId="771"/>
    <tableColumn id="15" xr3:uid="{20F9F9AC-40D3-4809-9D60-D9AB6B07F8EC}" name="T10%" dataDxfId="770"/>
    <tableColumn id="16" xr3:uid="{745D2E23-0339-4D37-8295-606BA81EC4C5}" name="SGT-5" dataDxfId="769"/>
    <tableColumn id="17" xr3:uid="{ED07148D-3446-4076-9751-17FA5A6B83E6}" name="Position" dataDxfId="768"/>
    <tableColumn id="18" xr3:uid="{4E5E1DE7-E7F8-46B1-BB69-3D5014DA3F39}" name="WinOdds" dataDxfId="767"/>
    <tableColumn id="19" xr3:uid="{894B88B1-5528-4BDD-A127-1EE83BE7CAC5}" name="Value" dataDxfId="766"/>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14EA500-734F-4AD8-BD17-FCD8FEE96CFB}" name="Table213" displayName="Table213" ref="A1:S117" totalsRowShown="0" headerRowDxfId="765" dataDxfId="763" headerRowBorderDxfId="764" tableBorderDxfId="762">
  <autoFilter ref="A1:S117" xr:uid="{8CAC371B-E5E6-481C-B86A-DB7873F09110}"/>
  <sortState xmlns:xlrd2="http://schemas.microsoft.com/office/spreadsheetml/2017/richdata2" ref="A2:S117">
    <sortCondition ref="Q1:Q117"/>
  </sortState>
  <tableColumns count="19">
    <tableColumn id="1" xr3:uid="{84ABB77E-4799-4208-9CB7-A52B307DDEE3}" name="Player" dataDxfId="761"/>
    <tableColumn id="2" xr3:uid="{9FDC1BA2-862C-4C48-8191-96C2AC1CF5C9}" name="WDIST" dataDxfId="760"/>
    <tableColumn id="3" xr3:uid="{39D34D16-F2CB-4114-86F9-CF7283E49C52}" name="WACC" dataDxfId="759"/>
    <tableColumn id="4" xr3:uid="{EFDF1B0B-3825-4EF7-9BD1-0B498E519CEC}" name="WAPP" dataDxfId="758"/>
    <tableColumn id="5" xr3:uid="{C1282768-2125-46BE-8C67-A70CFC1F5F91}" name="WARG" dataDxfId="757"/>
    <tableColumn id="6" xr3:uid="{A8CCDF83-5F9E-4C32-AF03-D1C3ED591234}" name="WPUTT" dataDxfId="756"/>
    <tableColumn id="7" xr3:uid="{DF539437-BAD5-436B-B497-A43CB0297031}" name="SG" dataDxfId="755"/>
    <tableColumn id="8" xr3:uid="{7B82BF05-9DAB-4239-A71F-B388B4EEB165}" name="DGSCORE" dataDxfId="754"/>
    <tableColumn id="9" xr3:uid="{681347E2-CE91-4A68-90DF-18CD0A72CF0C}" name="RADARSCORE" dataDxfId="753"/>
    <tableColumn id="10" xr3:uid="{E9499455-76A4-4F4D-89EE-20A9767AB6A2}" name="DG PGA RANK" dataDxfId="752"/>
    <tableColumn id="11" xr3:uid="{C989CC0E-E836-4074-9598-E0D0042D072A}" name="DG COURSE RANK" dataDxfId="751"/>
    <tableColumn id="12" xr3:uid="{2DE31CB1-E226-4F85-91C6-0D11FD0522EF}" name="RADAR PGA RANK" dataDxfId="750"/>
    <tableColumn id="13" xr3:uid="{6DFCD3DB-6D36-4431-944D-D7D048C58AD5}" name="RADAR COURSE RANK" dataDxfId="749"/>
    <tableColumn id="14" xr3:uid="{54241EAA-3848-4245-82C9-A7F8255455D6}" name="WIN%" dataDxfId="748"/>
    <tableColumn id="15" xr3:uid="{50E10E4A-5163-485B-8E45-2CD5ED72B351}" name="T10%" dataDxfId="747"/>
    <tableColumn id="16" xr3:uid="{8B938BCC-8472-4613-9A64-2A663303E980}" name="SGT-5" dataDxfId="746"/>
    <tableColumn id="17" xr3:uid="{A27074BD-6B32-4FFB-B93D-2A1D8CAA4273}" name="Position" dataDxfId="745"/>
    <tableColumn id="18" xr3:uid="{F3C2F3BB-8EB7-4246-973E-BD872EEB224E}" name="WinOdds" dataDxfId="744"/>
    <tableColumn id="19" xr3:uid="{4D29F1EA-A7FB-4022-B93E-DCDB005D0FBB}" name="Value" dataDxfId="743"/>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34BB63-5447-443C-91F8-5ABDC4A498F0}" name="Table214" displayName="Table214" ref="A1:S98" totalsRowShown="0" headerRowDxfId="742" dataDxfId="740" headerRowBorderDxfId="741" tableBorderDxfId="739">
  <autoFilter ref="A1:S98" xr:uid="{8CAC371B-E5E6-481C-B86A-DB7873F09110}"/>
  <sortState xmlns:xlrd2="http://schemas.microsoft.com/office/spreadsheetml/2017/richdata2" ref="A2:S98">
    <sortCondition ref="H1:H98"/>
  </sortState>
  <tableColumns count="19">
    <tableColumn id="1" xr3:uid="{71532AAE-0E68-47DD-AC7E-D78E6C7AE86A}" name="Player" dataDxfId="738"/>
    <tableColumn id="2" xr3:uid="{E8A92ED7-2CB0-4224-AC19-3B80AE473121}" name="WDIST" dataDxfId="737"/>
    <tableColumn id="3" xr3:uid="{0EF252B1-F858-40B2-8F5F-FD89F2731A30}" name="WACC" dataDxfId="736"/>
    <tableColumn id="4" xr3:uid="{49C27302-77A0-469A-AF78-4D32EDEABC48}" name="WAPP" dataDxfId="735"/>
    <tableColumn id="5" xr3:uid="{977FFBE2-8304-4642-81F1-B31CC965458D}" name="WARG" dataDxfId="734"/>
    <tableColumn id="6" xr3:uid="{323FA09E-F9AE-4D6E-9435-37425B4443C7}" name="WPUTT" dataDxfId="733"/>
    <tableColumn id="7" xr3:uid="{D4863191-83AA-42D3-80AF-CE0ABDB23E86}" name="SG" dataDxfId="732"/>
    <tableColumn id="8" xr3:uid="{5436D795-F68D-474E-AA0D-F0DAF1AFC965}" name="DGSCORE" dataDxfId="731"/>
    <tableColumn id="9" xr3:uid="{99EB6D53-F582-4868-BB0B-0EAF4427B7A4}" name="RADARSCORE" dataDxfId="730"/>
    <tableColumn id="10" xr3:uid="{66C6728F-6938-44EA-B234-BA671064BCDE}" name="DG PGA RANK" dataDxfId="729"/>
    <tableColumn id="11" xr3:uid="{37A0DFDD-37AC-4976-A4B0-A041F10A4839}" name="DG COURSE RANK" dataDxfId="728"/>
    <tableColumn id="12" xr3:uid="{95C117D4-EE28-46E9-995B-85C9AC42BA65}" name="RADAR PGA RANK" dataDxfId="727"/>
    <tableColumn id="13" xr3:uid="{762249C0-D30D-4C11-B9AE-9256CFFE6343}" name="RADAR COURSE RANK" dataDxfId="726"/>
    <tableColumn id="14" xr3:uid="{13DC5406-7471-4D4F-AFBA-AF5D7C22B10B}" name="WIN%" dataDxfId="725"/>
    <tableColumn id="15" xr3:uid="{7DDD432F-858C-41BA-A5F2-C220C6628BAD}" name="T10%" dataDxfId="724"/>
    <tableColumn id="16" xr3:uid="{6C5C8CF6-2A22-4C33-A0DD-507F3DFBB0C2}" name="SGT-5" dataDxfId="723"/>
    <tableColumn id="17" xr3:uid="{BD620D61-6E70-4CA8-973A-58F2A459CDA8}" name="Position" dataDxfId="722"/>
    <tableColumn id="18" xr3:uid="{8E40AF0D-C04F-4686-A514-D9C22D13B034}" name="WinOdds" dataDxfId="721"/>
    <tableColumn id="19" xr3:uid="{EB76994D-35C8-43D3-8CF4-31AD0959C229}" name="Value" dataDxfId="720"/>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160C0B9C-A81E-41A4-A02C-4F010EB8ECAC}" name="Table215" displayName="Table215" ref="A1:S123" totalsRowShown="0" headerRowDxfId="719" dataDxfId="717" headerRowBorderDxfId="718" tableBorderDxfId="716">
  <autoFilter ref="A1:S123" xr:uid="{8CAC371B-E5E6-481C-B86A-DB7873F09110}"/>
  <sortState xmlns:xlrd2="http://schemas.microsoft.com/office/spreadsheetml/2017/richdata2" ref="A2:S123">
    <sortCondition ref="Q1:Q123"/>
  </sortState>
  <tableColumns count="19">
    <tableColumn id="1" xr3:uid="{FDC5DEC0-684E-4B2D-97B1-35E341A55050}" name="Player" dataDxfId="715"/>
    <tableColumn id="2" xr3:uid="{B1835210-E543-4181-880F-9834B0F29652}" name="WDIST" dataDxfId="714"/>
    <tableColumn id="3" xr3:uid="{010D486E-2BFE-4746-872A-56E81B2EFDD9}" name="WACC" dataDxfId="713"/>
    <tableColumn id="4" xr3:uid="{E2ACC63A-1936-4D56-968B-BF44719245A9}" name="WAPP" dataDxfId="712"/>
    <tableColumn id="5" xr3:uid="{EA7C8809-CE6A-402A-A6E2-4E05A482F5C0}" name="WARG" dataDxfId="711"/>
    <tableColumn id="6" xr3:uid="{86BEFA66-B01E-4EBE-8AF8-A9F739E76649}" name="WPUTT" dataDxfId="710"/>
    <tableColumn id="7" xr3:uid="{7E409BAC-8A97-4999-8739-A5619C9EA61A}" name="SG" dataDxfId="709"/>
    <tableColumn id="8" xr3:uid="{E8440412-80A6-4E65-AE37-AD5CD610B413}" name="DGSCORE" dataDxfId="708"/>
    <tableColumn id="9" xr3:uid="{B24D5420-4D62-43C6-89BF-F01BDCFB36B6}" name="RADARSCORE" dataDxfId="707"/>
    <tableColumn id="10" xr3:uid="{1FF2DF63-739C-40FA-B92A-98F89FB9B3C5}" name="DG PGA RANK" dataDxfId="706"/>
    <tableColumn id="11" xr3:uid="{4180C68C-B41F-4DF6-9194-EAAB9DA5F50C}" name="DG COURSE RANK" dataDxfId="705"/>
    <tableColumn id="12" xr3:uid="{B73B1900-9CE5-43B8-9B07-B238F221DAB3}" name="RADAR PGA RANK" dataDxfId="704"/>
    <tableColumn id="13" xr3:uid="{EDA854CF-E2E1-4BED-A3DF-4A5688FA00BE}" name="RADAR COURSE RANK" dataDxfId="703"/>
    <tableColumn id="14" xr3:uid="{6ABD6195-93FC-407D-8179-BE5B1FDB9508}" name="WIN%" dataDxfId="702"/>
    <tableColumn id="15" xr3:uid="{7C39A287-321C-4078-8605-266BB2F059E2}" name="T10%" dataDxfId="701"/>
    <tableColumn id="16" xr3:uid="{8349F683-46D5-4BFE-8EDC-3F74E8536D61}" name="SGT-5" dataDxfId="700"/>
    <tableColumn id="17" xr3:uid="{571B1D38-878E-4026-82B0-FCDA09B18AB8}" name="Position" dataDxfId="699"/>
    <tableColumn id="18" xr3:uid="{CD4B0EA6-A5F4-4730-8D96-3278B7504F6B}" name="WinOdds" dataDxfId="698"/>
    <tableColumn id="19" xr3:uid="{3D9C0336-4BD8-41BB-8815-AB9ACF16467D}" name="Value" dataDxfId="697"/>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2AAB6EC-294F-4BF2-9F80-E31F03353030}" name="Table217" displayName="Table217" ref="A1:S117" totalsRowShown="0" headerRowDxfId="696" dataDxfId="694" headerRowBorderDxfId="695" tableBorderDxfId="693">
  <autoFilter ref="A1:S117" xr:uid="{8CAC371B-E5E6-481C-B86A-DB7873F09110}"/>
  <sortState xmlns:xlrd2="http://schemas.microsoft.com/office/spreadsheetml/2017/richdata2" ref="A2:S117">
    <sortCondition ref="Q1:Q117"/>
  </sortState>
  <tableColumns count="19">
    <tableColumn id="1" xr3:uid="{C849A52A-34C8-4FA0-A3FF-B18585FCD777}" name="Player" dataDxfId="692"/>
    <tableColumn id="2" xr3:uid="{766892B1-9441-4574-BA7E-B82A740E9DB4}" name="WDIST" dataDxfId="691"/>
    <tableColumn id="3" xr3:uid="{84A16337-93E7-4E8A-BA78-7AB19E46C605}" name="WACC" dataDxfId="690"/>
    <tableColumn id="4" xr3:uid="{45D6FC96-40F4-4537-B9C5-A5281598636B}" name="WAPP" dataDxfId="689"/>
    <tableColumn id="5" xr3:uid="{4110538F-2576-4DD5-B9C0-32E3BC15C063}" name="WARG" dataDxfId="688"/>
    <tableColumn id="6" xr3:uid="{2EED196C-9F9D-4C02-9CAC-7B609A725DD3}" name="WPUTT" dataDxfId="687"/>
    <tableColumn id="7" xr3:uid="{90081857-276B-4628-88C1-38DDC3D97B65}" name="SG" dataDxfId="686"/>
    <tableColumn id="8" xr3:uid="{9FF9062C-26A4-436F-87BE-A2748C37B6B3}" name="DGSCORE" dataDxfId="685"/>
    <tableColumn id="9" xr3:uid="{36A7E014-D9DD-4616-B9AA-C0CABBF2EB32}" name="RADARSCORE" dataDxfId="684"/>
    <tableColumn id="10" xr3:uid="{8F777F8D-7B7F-4EE7-B3D0-902ACA654AAE}" name="DG PGA RANK" dataDxfId="683"/>
    <tableColumn id="11" xr3:uid="{7C404035-7F04-4F93-B439-63CDBFD29361}" name="DG COURSE RANK" dataDxfId="682"/>
    <tableColumn id="12" xr3:uid="{D93A3E41-CE42-4AC3-9E95-083E0B72B869}" name="RADAR PGA RANK" dataDxfId="681"/>
    <tableColumn id="13" xr3:uid="{23319313-132F-4A82-93D1-28BDBA1D4759}" name="RADAR COURSE RANK" dataDxfId="680"/>
    <tableColumn id="14" xr3:uid="{49E46A39-8D71-40B4-911C-68BE8F13591D}" name="WIN%" dataDxfId="679"/>
    <tableColumn id="15" xr3:uid="{891C1686-9B4F-4F9D-968B-9E9DAC6EFEC1}" name="T10%" dataDxfId="678"/>
    <tableColumn id="16" xr3:uid="{8ABEC676-1E89-40E3-A848-597B659A2271}" name="SGT-5" dataDxfId="677"/>
    <tableColumn id="17" xr3:uid="{23DD9CD8-8272-464E-ACA7-EA5E0D6B8633}" name="Position" dataDxfId="676"/>
    <tableColumn id="18" xr3:uid="{392910B2-1CBA-4A54-8B6C-EDC0E20EE7AC}" name="WinOdds" dataDxfId="675"/>
    <tableColumn id="19" xr3:uid="{299E56C1-350F-487B-8842-F997042A4849}" name="Value" dataDxfId="674"/>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1D6DF-D993-42AC-A381-8353DC9C33E9}" name="Table216" displayName="Table216" ref="A1:S74" totalsRowShown="0" headerRowDxfId="673" dataDxfId="671" headerRowBorderDxfId="672" tableBorderDxfId="670">
  <autoFilter ref="A1:S74" xr:uid="{8CAC371B-E5E6-481C-B86A-DB7873F09110}"/>
  <sortState xmlns:xlrd2="http://schemas.microsoft.com/office/spreadsheetml/2017/richdata2" ref="A2:S74">
    <sortCondition ref="Q1:Q74"/>
  </sortState>
  <tableColumns count="19">
    <tableColumn id="1" xr3:uid="{AD6F6B0B-CA26-437D-8F22-41C31F803285}" name="Player" dataDxfId="669"/>
    <tableColumn id="2" xr3:uid="{ABB7BB7A-D663-43B8-B2B8-16DD8DD4BEDC}" name="WDIST" dataDxfId="668"/>
    <tableColumn id="3" xr3:uid="{7C8E1983-C777-4AC2-9398-5C971EE14733}" name="WACC" dataDxfId="667"/>
    <tableColumn id="4" xr3:uid="{1273CB2F-8259-44A6-BF83-5235CDEBE7D2}" name="WAPP" dataDxfId="666"/>
    <tableColumn id="5" xr3:uid="{A323D001-7113-4D41-BACB-B2F31C45D3BE}" name="WARG" dataDxfId="665"/>
    <tableColumn id="6" xr3:uid="{9D8AEC92-9CAB-4BCF-A950-2D2747DBE16E}" name="WPUTT" dataDxfId="664"/>
    <tableColumn id="7" xr3:uid="{B7E10313-0C93-4372-915B-91778630438D}" name="SG" dataDxfId="663"/>
    <tableColumn id="8" xr3:uid="{D32A91A2-1A47-4A92-B01D-31B9DF0E07D3}" name="DGSCORE" dataDxfId="662"/>
    <tableColumn id="9" xr3:uid="{E7BE4B9C-C442-4AE6-85E3-544902F13F64}" name="RADARSCORE" dataDxfId="661"/>
    <tableColumn id="10" xr3:uid="{6F7E8409-EC1C-4B8F-948C-58359F80D6AA}" name="DG PGA RANK" dataDxfId="660"/>
    <tableColumn id="11" xr3:uid="{123D8BA1-6A7C-41D6-B75E-ED654B156DE8}" name="DG COURSE RANK" dataDxfId="659"/>
    <tableColumn id="12" xr3:uid="{3DC08257-EEC4-4FD0-81EC-9CADBF928EE3}" name="RADAR PGA RANK" dataDxfId="658"/>
    <tableColumn id="13" xr3:uid="{FFA37D98-7BE9-4125-9399-A70210A0A4C0}" name="RADAR COURSE RANK" dataDxfId="657"/>
    <tableColumn id="14" xr3:uid="{3A43AE27-6EE0-4741-8DF4-AFCD3C9B0971}" name="WIN%" dataDxfId="656"/>
    <tableColumn id="15" xr3:uid="{EC2445A2-10E8-4FDE-B45F-BAC4BFE9A833}" name="T10%" dataDxfId="655"/>
    <tableColumn id="16" xr3:uid="{E5E99451-5295-40B0-97D0-65BFDD224AAF}" name="SGT-5" dataDxfId="654"/>
    <tableColumn id="17" xr3:uid="{D573EE09-F079-4F79-B7C0-662487BBC655}" name="Position" dataDxfId="653"/>
    <tableColumn id="18" xr3:uid="{BC38471B-D031-4A76-B0B4-42B1E6F08F5E}" name="WinOdds" dataDxfId="652"/>
    <tableColumn id="19" xr3:uid="{E7CB77AE-94D3-4E54-96B1-0D98003008CE}" name="Value" dataDxfId="651"/>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F6FD94A-BABF-453E-B4FC-2FB5F224904E}" name="Table218" displayName="Table218" ref="A1:S121" totalsRowShown="0" headerRowDxfId="650" dataDxfId="648" headerRowBorderDxfId="649" tableBorderDxfId="647">
  <autoFilter ref="A1:S121" xr:uid="{8CAC371B-E5E6-481C-B86A-DB7873F09110}"/>
  <sortState xmlns:xlrd2="http://schemas.microsoft.com/office/spreadsheetml/2017/richdata2" ref="A2:S121">
    <sortCondition ref="J1:J121"/>
  </sortState>
  <tableColumns count="19">
    <tableColumn id="1" xr3:uid="{1573EE4D-7457-4509-9875-08E48578E79F}" name="Player" dataDxfId="646"/>
    <tableColumn id="2" xr3:uid="{368E3E23-879D-4D03-8FE7-D0C8E122C3AC}" name="WDIST" dataDxfId="645"/>
    <tableColumn id="3" xr3:uid="{D5E1B0D9-5741-48AD-8CCF-51E7A8CF1476}" name="WACC" dataDxfId="644"/>
    <tableColumn id="4" xr3:uid="{40B9649F-CAFC-47DC-A9FE-ABC0D901EE8F}" name="WAPP" dataDxfId="643"/>
    <tableColumn id="5" xr3:uid="{90A515B4-528E-4596-83CE-A15DA2B6FE32}" name="WARG" dataDxfId="642"/>
    <tableColumn id="6" xr3:uid="{FEC6351E-5451-48AB-89D1-08E555DD6864}" name="WPUTT" dataDxfId="641"/>
    <tableColumn id="7" xr3:uid="{C9F75581-9935-46EE-8C5B-B932D7C2A2A7}" name="SG" dataDxfId="640"/>
    <tableColumn id="8" xr3:uid="{0C8CEE2C-FB55-4702-8CFA-B76E8193891C}" name="DGSCORE" dataDxfId="639"/>
    <tableColumn id="9" xr3:uid="{34C36516-FE75-4A29-8055-181E56D7AE7E}" name="RADARSCORE" dataDxfId="638"/>
    <tableColumn id="10" xr3:uid="{BF299733-278A-4EDA-A4CF-FB99745524E0}" name="DG PGA RANK" dataDxfId="637"/>
    <tableColumn id="11" xr3:uid="{948075E5-2D5A-4EAE-9C3A-A613DA1EFBB4}" name="DG COURSE RANK" dataDxfId="636"/>
    <tableColumn id="12" xr3:uid="{D6D76C74-0A6F-4EC4-9AFA-77F86839A3BC}" name="RADAR PGA RANK" dataDxfId="635"/>
    <tableColumn id="13" xr3:uid="{D6529DA9-D46A-483F-B0B2-58B718C27F27}" name="RADAR COURSE RANK" dataDxfId="634"/>
    <tableColumn id="14" xr3:uid="{F444D3BC-7EB2-4DBB-B4C0-6B9B5CFBBEF9}" name="WIN%" dataDxfId="633"/>
    <tableColumn id="15" xr3:uid="{8D8897EB-9020-4A0A-A4B5-34CC51350CBE}" name="T10%" dataDxfId="632"/>
    <tableColumn id="16" xr3:uid="{0CFE0C8B-DAD9-45B5-9786-E317CC1DBC49}" name="SGT-5" dataDxfId="631"/>
    <tableColumn id="17" xr3:uid="{58BA0E6D-9036-43B3-AF94-BCEA448A1855}" name="Position" dataDxfId="630"/>
    <tableColumn id="18" xr3:uid="{58F8CBB9-9630-43C7-A5EF-EB2BFDB32AEE}" name="WinOdds" dataDxfId="629"/>
    <tableColumn id="19" xr3:uid="{B33179E1-3EF7-4039-96CB-BE197AE78EA0}" name="Value" dataDxfId="628"/>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43" dT="2024-03-06T12:19:23.77" personId="{1C062316-6134-45A7-86B1-D1CB8B72F3D4}" id="{619452E2-FD12-4D72-A06B-F28CB113A5EC}">
    <text>Non-bold = no dg2023 data</text>
  </threadedComment>
</ThreadedComments>
</file>

<file path=xl/threadedComments/threadedComment2.xml><?xml version="1.0" encoding="utf-8"?>
<ThreadedComments xmlns="http://schemas.microsoft.com/office/spreadsheetml/2018/threadedcomments" xmlns:x="http://schemas.openxmlformats.org/spreadsheetml/2006/main">
  <threadedComment ref="R1" dT="2024-02-27T20:08:13.75" personId="{1C062316-6134-45A7-86B1-D1CB8B72F3D4}" id="{C66D91BA-89FA-4083-A848-F1AB7458F508}">
    <text xml:space="preserve">Up to date, not enough 2023 data on #N/A's, count &gt;90 means another player to check.
List as follows:
Chris Gotterup
Kevin Dougherty
Mac Meissner
Rico Hoey
Jake Knapp
Jimmy Stanger
Hayden Springer
Patrick Fishburn
Rafael Campos
Max Greyserman
Wilson Furr
Alejandro Tosti
Jhonattan Vegas
Parker Coody
Nick Dunlap
Blaine Hale, Jr.
Paul Barjon
Pierceson Coody
David Skinns
Taiga Semikawa
Ryan McCormick
Scott Gutschewski
Adrien Dumont de Chassart
Bronson Burgoon
Norman Xiong
Chan Kim
Chandler Phillips
Josh Teater
Trace Crowe
J.B. Holmes
Erik Barnes
Jacob Bridgeman
Tom Whitney
Joe Highsmith
Ben Silverman
Raul Pereda
Roger Sloan
Daniel Berger
Ben Kohles
Brandt Snedeker
Camilo Villegas
</text>
  </threadedComment>
  <threadedComment ref="X1" dT="2024-04-10T16:10:23.00" personId="{1C062316-6134-45A7-86B1-D1CB8B72F3D4}" id="{9D30DC13-25E1-448F-914D-15AC02CF0F2A}">
    <text>Refresh this for every event</text>
  </threadedComment>
</ThreadedComments>
</file>

<file path=xl/threadedComments/threadedComment3.xml><?xml version="1.0" encoding="utf-8"?>
<ThreadedComments xmlns="http://schemas.microsoft.com/office/spreadsheetml/2018/threadedcomments" xmlns:x="http://schemas.openxmlformats.org/spreadsheetml/2006/main">
  <threadedComment ref="J1" dT="2024-03-11T20:15:09.84" personId="{1C062316-6134-45A7-86B1-D1CB8B72F3D4}" id="{7D425222-E6C2-4FBA-A5BD-9E1FB34DBBE9}">
    <text>Sort by this for value picks</text>
  </threadedComment>
</ThreadedComments>
</file>

<file path=xl/threadedComments/threadedComment4.xml><?xml version="1.0" encoding="utf-8"?>
<ThreadedComments xmlns="http://schemas.microsoft.com/office/spreadsheetml/2018/threadedcomments" xmlns:x="http://schemas.openxmlformats.org/spreadsheetml/2006/main">
  <threadedComment ref="G2" dT="2024-02-27T21:17:48.81" personId="{1C062316-6134-45A7-86B1-D1CB8B72F3D4}" id="{0AEA45E9-08A8-42BC-B60E-056E12D89AAE}">
    <text>Place your bets on a Wednesday! Greater value!</text>
  </threadedComment>
  <threadedComment ref="G7" dT="2024-02-27T21:17:48.81" personId="{1C062316-6134-45A7-86B1-D1CB8B72F3D4}" id="{04CF27D7-B630-465B-A8E2-62503F5EF0BC}">
    <text>Place your bets on a Wednesday! Greater value!</text>
  </threadedComment>
</ThreadedComments>
</file>

<file path=xl/threadedComments/threadedComment5.xml><?xml version="1.0" encoding="utf-8"?>
<ThreadedComments xmlns="http://schemas.microsoft.com/office/spreadsheetml/2018/threadedcomments" xmlns:x="http://schemas.openxmlformats.org/spreadsheetml/2006/main">
  <threadedComment ref="AD1" dT="2024-02-27T21:44:11.97" personId="{1C062316-6134-45A7-86B1-D1CB8B72F3D4}" id="{F02386BA-DC37-4D5D-A636-13B32EDBEE9D}">
    <text>Don't include for non 130+ fields</text>
  </threadedComment>
  <threadedComment ref="AD1" dT="2024-03-12T21:00:24.75" personId="{1C062316-6134-45A7-86B1-D1CB8B72F3D4}" id="{0B6A79FF-9231-4EE2-AC18-8D6A98B20AC9}" parentId="{F02386BA-DC37-4D5D-A636-13B32EDBEE9D}">
    <text>Ignored so far</text>
  </threadedComment>
  <threadedComment ref="AE1" dT="2024-02-27T21:58:32.72" personId="{1C062316-6134-45A7-86B1-D1CB8B72F3D4}" id="{95363404-FE7F-4B60-8D05-1470412C336D}">
    <text>Don't include for non 130+ fields</text>
  </threadedComment>
  <threadedComment ref="AE1" dT="2024-03-12T21:00:13.05" personId="{1C062316-6134-45A7-86B1-D1CB8B72F3D4}" id="{80AB6ABC-4B56-4AFC-BDED-00CA6815ADB2}" parentId="{95363404-FE7F-4B60-8D05-1470412C336D}">
    <text>Ignored so far</text>
  </threadedComment>
</ThreadedComments>
</file>

<file path=xl/threadedComments/threadedComment6.xml><?xml version="1.0" encoding="utf-8"?>
<ThreadedComments xmlns="http://schemas.microsoft.com/office/spreadsheetml/2018/threadedcomments" xmlns:x="http://schemas.openxmlformats.org/spreadsheetml/2006/main">
  <threadedComment ref="J1" dT="2024-03-11T20:15:09.84" personId="{1C062316-6134-45A7-86B1-D1CB8B72F3D4}" id="{F380E101-8236-4332-BD1E-BFFE67A87D1E}">
    <text>Sort by this for value picks</text>
  </threadedComment>
</ThreadedComments>
</file>

<file path=xl/threadedComments/threadedComment7.xml><?xml version="1.0" encoding="utf-8"?>
<ThreadedComments xmlns="http://schemas.microsoft.com/office/spreadsheetml/2018/threadedcomments" xmlns:x="http://schemas.openxmlformats.org/spreadsheetml/2006/main">
  <threadedComment ref="J1" dT="2024-03-11T20:15:09.84" personId="{1C062316-6134-45A7-86B1-D1CB8B72F3D4}" id="{11605644-32CA-4AC6-B2AA-5ED89EF9EDF6}">
    <text>Sort by this for value picks</text>
  </threadedComment>
</ThreadedComments>
</file>

<file path=xl/threadedComments/threadedComment8.xml><?xml version="1.0" encoding="utf-8"?>
<ThreadedComments xmlns="http://schemas.microsoft.com/office/spreadsheetml/2018/threadedcomments" xmlns:x="http://schemas.openxmlformats.org/spreadsheetml/2006/main">
  <threadedComment ref="J1" dT="2024-03-11T20:15:09.84" personId="{1C062316-6134-45A7-86B1-D1CB8B72F3D4}" id="{07744CE7-515B-4C90-9966-D7674425F776}">
    <text>Sort by this for value picks</text>
  </threadedComment>
</ThreadedComments>
</file>

<file path=xl/threadedComments/threadedComment9.xml><?xml version="1.0" encoding="utf-8"?>
<ThreadedComments xmlns="http://schemas.microsoft.com/office/spreadsheetml/2018/threadedcomments" xmlns:x="http://schemas.openxmlformats.org/spreadsheetml/2006/main">
  <threadedComment ref="J1" dT="2024-03-11T20:15:09.84" personId="{1C062316-6134-45A7-86B1-D1CB8B72F3D4}" id="{9CE98109-1D55-49A0-B065-4D8A4893F52E}">
    <text>Sort by this for value picks</text>
  </threadedComment>
  <threadedComment ref="A19" dT="2024-03-27T13:14:19.41" personId="{1C062316-6134-45A7-86B1-D1CB8B72F3D4}" id="{D0D86B40-BBA1-472F-BA75-67E5971822DB}">
    <text>Stats not updated from Valspar</text>
  </threadedComment>
</ThreadedComments>
</file>

<file path=xl/threadedComments/threadedComment10.xml><?xml version="1.0" encoding="utf-8"?>
<ThreadedComments xmlns="http://schemas.microsoft.com/office/spreadsheetml/2018/threadedcomments" xmlns:x="http://schemas.openxmlformats.org/spreadsheetml/2006/main">
  <threadedComment ref="J1" dT="2024-03-11T20:15:09.84" personId="{1C062316-6134-45A7-86B1-D1CB8B72F3D4}" id="{484C5258-9CEE-42F5-99DA-461CCE287D79}">
    <text>Sort by this for value picks</text>
  </threadedComment>
  <threadedComment ref="A27" dT="2024-03-20T11:36:36.57" personId="{1C062316-6134-45A7-86B1-D1CB8B72F3D4}" id="{A00C5978-C0CD-4BEF-8E43-F71C0B092F43}">
    <text>Re-do scores for dg2024 if t10/win</text>
  </threadedComment>
</ThreadedComments>
</file>

<file path=xl/threadedComments/threadedComment11.xml><?xml version="1.0" encoding="utf-8"?>
<ThreadedComments xmlns="http://schemas.microsoft.com/office/spreadsheetml/2018/threadedcomments" xmlns:x="http://schemas.openxmlformats.org/spreadsheetml/2006/main">
  <threadedComment ref="J1" dT="2024-03-11T20:15:09.84" personId="{1C062316-6134-45A7-86B1-D1CB8B72F3D4}" id="{7E4695B2-D72C-42BE-BA31-E802BA51F314}">
    <text>Sort by this for value picks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drawing" Target="../drawings/drawing3.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oddschecker.com/golf/corales-puntacana-championship/top-10-finish/bet-history/ricky-barnes" TargetMode="External"/><Relationship Id="rId21" Type="http://schemas.openxmlformats.org/officeDocument/2006/relationships/hyperlink" Target="https://www.oddschecker.com/golf/corales-puntacana-championship/top-10-finish/bet-history/joel-dahmen" TargetMode="External"/><Relationship Id="rId42" Type="http://schemas.openxmlformats.org/officeDocument/2006/relationships/hyperlink" Target="https://www.oddschecker.com/golf/corales-puntacana-championship/top-10-finish/bet-history/christopher-gotterup" TargetMode="External"/><Relationship Id="rId63" Type="http://schemas.openxmlformats.org/officeDocument/2006/relationships/hyperlink" Target="https://www.oddschecker.com/golf/corales-puntacana-championship/top-10-finish/bet-history/kevin-chappell" TargetMode="External"/><Relationship Id="rId84" Type="http://schemas.openxmlformats.org/officeDocument/2006/relationships/hyperlink" Target="https://www.oddschecker.com/golf/corales-puntacana-championship/top-10-finish/bet-history/james-hahn" TargetMode="External"/><Relationship Id="rId16" Type="http://schemas.openxmlformats.org/officeDocument/2006/relationships/hyperlink" Target="https://www.oddschecker.com/golf/corales-puntacana-championship/top-10-finish/bet-history/bud-cauley" TargetMode="External"/><Relationship Id="rId107" Type="http://schemas.openxmlformats.org/officeDocument/2006/relationships/hyperlink" Target="https://www.oddschecker.com/golf/corales-puntacana-championship/top-10-finish/bet-history/sang-moon-bae" TargetMode="External"/><Relationship Id="rId11" Type="http://schemas.openxmlformats.org/officeDocument/2006/relationships/hyperlink" Target="https://www.oddschecker.com/golf/corales-puntacana-championship/top-10-finish/bet-history/sam-stevens" TargetMode="External"/><Relationship Id="rId32" Type="http://schemas.openxmlformats.org/officeDocument/2006/relationships/hyperlink" Target="https://www.oddschecker.com/golf/corales-puntacana-championship/top-10-finish/bet-history/jacob-bridgeman" TargetMode="External"/><Relationship Id="rId37" Type="http://schemas.openxmlformats.org/officeDocument/2006/relationships/hyperlink" Target="https://www.oddschecker.com/golf/corales-puntacana-championship/top-10-finish/bet-history/jimmy-stanger" TargetMode="External"/><Relationship Id="rId53" Type="http://schemas.openxmlformats.org/officeDocument/2006/relationships/hyperlink" Target="https://www.oddschecker.com/golf/corales-puntacana-championship/top-10-finish/bet-history/kevin-dougherty" TargetMode="External"/><Relationship Id="rId58" Type="http://schemas.openxmlformats.org/officeDocument/2006/relationships/hyperlink" Target="https://www.oddschecker.com/golf/corales-puntacana-championship/top-10-finish/bet-history/ryan-palmer" TargetMode="External"/><Relationship Id="rId74" Type="http://schemas.openxmlformats.org/officeDocument/2006/relationships/hyperlink" Target="https://www.oddschecker.com/golf/corales-puntacana-championship/top-10-finish/bet-history/adrien-dumont-de-chassart" TargetMode="External"/><Relationship Id="rId79" Type="http://schemas.openxmlformats.org/officeDocument/2006/relationships/hyperlink" Target="https://www.oddschecker.com/golf/corales-puntacana-championship/top-10-finish/bet-history/callum-tarren" TargetMode="External"/><Relationship Id="rId102" Type="http://schemas.openxmlformats.org/officeDocument/2006/relationships/hyperlink" Target="https://www.oddschecker.com/golf/corales-puntacana-championship/top-10-finish/bet-history/bill-haas" TargetMode="External"/><Relationship Id="rId123" Type="http://schemas.openxmlformats.org/officeDocument/2006/relationships/hyperlink" Target="https://www.oddschecker.com/golf/corales-puntacana-championship/top-10-finish/bet-history/kyle-stanley" TargetMode="External"/><Relationship Id="rId128" Type="http://schemas.openxmlformats.org/officeDocument/2006/relationships/hyperlink" Target="https://www.oddschecker.com/golf/corales-puntacana-championship/top-10-finish/bet-history/nick-watney" TargetMode="External"/><Relationship Id="rId5" Type="http://schemas.openxmlformats.org/officeDocument/2006/relationships/hyperlink" Target="https://www.oddschecker.com/golf/corales-puntacana-championship/top-10-finish/bet-history/kevin-yu" TargetMode="External"/><Relationship Id="rId90" Type="http://schemas.openxmlformats.org/officeDocument/2006/relationships/hyperlink" Target="https://www.oddschecker.com/golf/corales-puntacana-championship/top-10-finish/bet-history/josh-teater" TargetMode="External"/><Relationship Id="rId95" Type="http://schemas.openxmlformats.org/officeDocument/2006/relationships/hyperlink" Target="https://www.oddschecker.com/golf/corales-puntacana-championship/top-10-finish/bet-history/sean-ohair" TargetMode="External"/><Relationship Id="rId22" Type="http://schemas.openxmlformats.org/officeDocument/2006/relationships/hyperlink" Target="https://www.oddschecker.com/golf/corales-puntacana-championship/top-10-finish/bet-history/sam-ryder" TargetMode="External"/><Relationship Id="rId27" Type="http://schemas.openxmlformats.org/officeDocument/2006/relationships/hyperlink" Target="https://www.oddschecker.com/golf/corales-puntacana-championship/top-10-finish/bet-history/taylor-pendrith" TargetMode="External"/><Relationship Id="rId43" Type="http://schemas.openxmlformats.org/officeDocument/2006/relationships/hyperlink" Target="https://www.oddschecker.com/golf/corales-puntacana-championship/top-10-finish/bet-history/hayden-springer" TargetMode="External"/><Relationship Id="rId48" Type="http://schemas.openxmlformats.org/officeDocument/2006/relationships/hyperlink" Target="https://www.oddschecker.com/golf/corales-puntacana-championship/top-10-finish/bet-history/vincent-whaley" TargetMode="External"/><Relationship Id="rId64" Type="http://schemas.openxmlformats.org/officeDocument/2006/relationships/hyperlink" Target="https://www.oddschecker.com/golf/corales-puntacana-championship/top-10-finish/bet-history/francesco-molinari" TargetMode="External"/><Relationship Id="rId69" Type="http://schemas.openxmlformats.org/officeDocument/2006/relationships/hyperlink" Target="https://www.oddschecker.com/golf/corales-puntacana-championship/top-10-finish/bet-history/roger-sloan" TargetMode="External"/><Relationship Id="rId113" Type="http://schemas.openxmlformats.org/officeDocument/2006/relationships/hyperlink" Target="https://www.oddschecker.com/golf/corales-puntacana-championship/top-10-finish/bet-history/sung-kang" TargetMode="External"/><Relationship Id="rId118" Type="http://schemas.openxmlformats.org/officeDocument/2006/relationships/hyperlink" Target="https://www.oddschecker.com/golf/corales-puntacana-championship/top-10-finish/bet-history/brian-stuard" TargetMode="External"/><Relationship Id="rId134" Type="http://schemas.openxmlformats.org/officeDocument/2006/relationships/hyperlink" Target="https://www.oddschecker.com/golf/corales-puntacana-championship/top-10-finish/bet-history/hiram-silfa" TargetMode="External"/><Relationship Id="rId80" Type="http://schemas.openxmlformats.org/officeDocument/2006/relationships/hyperlink" Target="https://www.oddschecker.com/golf/corales-puntacana-championship/top-10-finish/bet-history/patrick-fishburn" TargetMode="External"/><Relationship Id="rId85" Type="http://schemas.openxmlformats.org/officeDocument/2006/relationships/hyperlink" Target="https://www.oddschecker.com/golf/corales-puntacana-championship/top-10-finish/bet-history/russell-knox" TargetMode="External"/><Relationship Id="rId12" Type="http://schemas.openxmlformats.org/officeDocument/2006/relationships/hyperlink" Target="https://www.oddschecker.com/golf/corales-puntacana-championship/top-10-finish/bet-history/ben-martin" TargetMode="External"/><Relationship Id="rId17" Type="http://schemas.openxmlformats.org/officeDocument/2006/relationships/hyperlink" Target="https://www.oddschecker.com/golf/corales-puntacana-championship/top-10-finish/bet-history/matti-schmid" TargetMode="External"/><Relationship Id="rId33" Type="http://schemas.openxmlformats.org/officeDocument/2006/relationships/hyperlink" Target="https://www.oddschecker.com/golf/corales-puntacana-championship/top-10-finish/bet-history/justin-suh" TargetMode="External"/><Relationship Id="rId38" Type="http://schemas.openxmlformats.org/officeDocument/2006/relationships/hyperlink" Target="https://www.oddschecker.com/golf/corales-puntacana-championship/top-10-finish/bet-history/michael-kim" TargetMode="External"/><Relationship Id="rId59" Type="http://schemas.openxmlformats.org/officeDocument/2006/relationships/hyperlink" Target="https://www.oddschecker.com/golf/corales-puntacana-championship/top-10-finish/bet-history/matthew-nesmith" TargetMode="External"/><Relationship Id="rId103" Type="http://schemas.openxmlformats.org/officeDocument/2006/relationships/hyperlink" Target="https://www.oddschecker.com/golf/corales-puntacana-championship/top-10-finish/bet-history/jimmy-walker" TargetMode="External"/><Relationship Id="rId108" Type="http://schemas.openxmlformats.org/officeDocument/2006/relationships/hyperlink" Target="https://www.oddschecker.com/golf/corales-puntacana-championship/top-10-finish/bet-history/jonathan-byrd" TargetMode="External"/><Relationship Id="rId124" Type="http://schemas.openxmlformats.org/officeDocument/2006/relationships/hyperlink" Target="https://www.oddschecker.com/golf/corales-puntacana-championship/top-10-finish/bet-history/juan-jose-guerra" TargetMode="External"/><Relationship Id="rId129" Type="http://schemas.openxmlformats.org/officeDocument/2006/relationships/hyperlink" Target="https://www.oddschecker.com/golf/corales-puntacana-championship/top-10-finish/bet-history/d-a-points" TargetMode="External"/><Relationship Id="rId54" Type="http://schemas.openxmlformats.org/officeDocument/2006/relationships/hyperlink" Target="https://www.oddschecker.com/golf/corales-puntacana-championship/top-10-finish/bet-history/austin-smotherman" TargetMode="External"/><Relationship Id="rId70" Type="http://schemas.openxmlformats.org/officeDocument/2006/relationships/hyperlink" Target="https://www.oddschecker.com/golf/corales-puntacana-championship/top-10-finish/bet-history/adam-long" TargetMode="External"/><Relationship Id="rId75" Type="http://schemas.openxmlformats.org/officeDocument/2006/relationships/hyperlink" Target="https://www.oddschecker.com/golf/corales-puntacana-championship/top-10-finish/bet-history/harrison-endycott" TargetMode="External"/><Relationship Id="rId91" Type="http://schemas.openxmlformats.org/officeDocument/2006/relationships/hyperlink" Target="https://www.oddschecker.com/golf/corales-puntacana-championship/top-10-finish/bet-history/trace-crowe" TargetMode="External"/><Relationship Id="rId96" Type="http://schemas.openxmlformats.org/officeDocument/2006/relationships/hyperlink" Target="https://www.oddschecker.com/golf/corales-puntacana-championship/top-10-finish/bet-history/ryan-mccormick" TargetMode="External"/><Relationship Id="rId1" Type="http://schemas.openxmlformats.org/officeDocument/2006/relationships/hyperlink" Target="https://www.oddschecker.com/golf/corales-puntacana-championship/top-10-finish/bet-history/alex-noren" TargetMode="External"/><Relationship Id="rId6" Type="http://schemas.openxmlformats.org/officeDocument/2006/relationships/hyperlink" Target="https://www.oddschecker.com/golf/corales-puntacana-championship/top-10-finish/bet-history/doug-ghim" TargetMode="External"/><Relationship Id="rId23" Type="http://schemas.openxmlformats.org/officeDocument/2006/relationships/hyperlink" Target="https://www.oddschecker.com/golf/corales-puntacana-championship/top-10-finish/bet-history/garrick-higgo" TargetMode="External"/><Relationship Id="rId28" Type="http://schemas.openxmlformats.org/officeDocument/2006/relationships/hyperlink" Target="https://www.oddschecker.com/golf/corales-puntacana-championship/top-10-finish/bet-history/max-greyserman" TargetMode="External"/><Relationship Id="rId49" Type="http://schemas.openxmlformats.org/officeDocument/2006/relationships/hyperlink" Target="https://www.oddschecker.com/golf/corales-puntacana-championship/top-10-finish/bet-history/charley-hoffman" TargetMode="External"/><Relationship Id="rId114" Type="http://schemas.openxmlformats.org/officeDocument/2006/relationships/hyperlink" Target="https://www.oddschecker.com/golf/corales-puntacana-championship/top-10-finish/bet-history/erik-compton" TargetMode="External"/><Relationship Id="rId119" Type="http://schemas.openxmlformats.org/officeDocument/2006/relationships/hyperlink" Target="https://www.oddschecker.com/golf/corales-puntacana-championship/top-10-finish/bet-history/raul-pereda" TargetMode="External"/><Relationship Id="rId44" Type="http://schemas.openxmlformats.org/officeDocument/2006/relationships/hyperlink" Target="https://www.oddschecker.com/golf/corales-puntacana-championship/top-10-finish/bet-history/alex-fitzpatrick" TargetMode="External"/><Relationship Id="rId60" Type="http://schemas.openxmlformats.org/officeDocument/2006/relationships/hyperlink" Target="https://www.oddschecker.com/golf/corales-puntacana-championship/top-10-finish/bet-history/troy-merritt" TargetMode="External"/><Relationship Id="rId65" Type="http://schemas.openxmlformats.org/officeDocument/2006/relationships/hyperlink" Target="https://www.oddschecker.com/golf/corales-puntacana-championship/top-10-finish/bet-history/wilson-furr" TargetMode="External"/><Relationship Id="rId81" Type="http://schemas.openxmlformats.org/officeDocument/2006/relationships/hyperlink" Target="https://www.oddschecker.com/golf/corales-puntacana-championship/top-10-finish/bet-history/tom-whitney" TargetMode="External"/><Relationship Id="rId86" Type="http://schemas.openxmlformats.org/officeDocument/2006/relationships/hyperlink" Target="https://www.oddschecker.com/golf/corales-puntacana-championship/top-10-finish/bet-history/zecheng-dou" TargetMode="External"/><Relationship Id="rId130" Type="http://schemas.openxmlformats.org/officeDocument/2006/relationships/hyperlink" Target="https://www.oddschecker.com/golf/corales-puntacana-championship/top-10-finish/bet-history/brandon-berry" TargetMode="External"/><Relationship Id="rId135" Type="http://schemas.openxmlformats.org/officeDocument/2006/relationships/hyperlink" Target="https://www.oddschecker.com/golf/corales-puntacana-championship/top-10-finish/bet-history/julio-santos" TargetMode="External"/><Relationship Id="rId13" Type="http://schemas.openxmlformats.org/officeDocument/2006/relationships/hyperlink" Target="https://www.oddschecker.com/golf/corales-puntacana-championship/top-10-finish/bet-history/ben-griffin" TargetMode="External"/><Relationship Id="rId18" Type="http://schemas.openxmlformats.org/officeDocument/2006/relationships/hyperlink" Target="https://www.oddschecker.com/golf/corales-puntacana-championship/top-10-finish/bet-history/nick-hardy" TargetMode="External"/><Relationship Id="rId39" Type="http://schemas.openxmlformats.org/officeDocument/2006/relationships/hyperlink" Target="https://www.oddschecker.com/golf/corales-puntacana-championship/top-10-finish/bet-history/peter-kuest" TargetMode="External"/><Relationship Id="rId109" Type="http://schemas.openxmlformats.org/officeDocument/2006/relationships/hyperlink" Target="https://www.oddschecker.com/golf/corales-puntacana-championship/top-10-finish/bet-history/ben-taylor" TargetMode="External"/><Relationship Id="rId34" Type="http://schemas.openxmlformats.org/officeDocument/2006/relationships/hyperlink" Target="https://www.oddschecker.com/golf/corales-puntacana-championship/top-10-finish/bet-history/mac-meissner" TargetMode="External"/><Relationship Id="rId50" Type="http://schemas.openxmlformats.org/officeDocument/2006/relationships/hyperlink" Target="https://www.oddschecker.com/golf/corales-puntacana-championship/top-10-finish/bet-history/parker-coody" TargetMode="External"/><Relationship Id="rId55" Type="http://schemas.openxmlformats.org/officeDocument/2006/relationships/hyperlink" Target="https://www.oddschecker.com/golf/corales-puntacana-championship/top-10-finish/bet-history/henrik-norlander" TargetMode="External"/><Relationship Id="rId76" Type="http://schemas.openxmlformats.org/officeDocument/2006/relationships/hyperlink" Target="https://www.oddschecker.com/golf/corales-puntacana-championship/top-10-finish/bet-history/hayden-buckley" TargetMode="External"/><Relationship Id="rId97" Type="http://schemas.openxmlformats.org/officeDocument/2006/relationships/hyperlink" Target="https://www.oddschecker.com/golf/corales-puntacana-championship/top-10-finish/bet-history/tommy-gainey" TargetMode="External"/><Relationship Id="rId104" Type="http://schemas.openxmlformats.org/officeDocument/2006/relationships/hyperlink" Target="https://www.oddschecker.com/golf/corales-puntacana-championship/top-10-finish/bet-history/scott-gutschewski" TargetMode="External"/><Relationship Id="rId120" Type="http://schemas.openxmlformats.org/officeDocument/2006/relationships/hyperlink" Target="https://www.oddschecker.com/golf/corales-puntacana-championship/top-10-finish/bet-history/blaine-hale-jr" TargetMode="External"/><Relationship Id="rId125" Type="http://schemas.openxmlformats.org/officeDocument/2006/relationships/hyperlink" Target="https://www.oddschecker.com/golf/corales-puntacana-championship/top-10-finish/bet-history/justin-hicks" TargetMode="External"/><Relationship Id="rId7" Type="http://schemas.openxmlformats.org/officeDocument/2006/relationships/hyperlink" Target="https://www.oddschecker.com/golf/corales-puntacana-championship/top-10-finish/bet-history/davis-thompson" TargetMode="External"/><Relationship Id="rId71" Type="http://schemas.openxmlformats.org/officeDocument/2006/relationships/hyperlink" Target="https://www.oddschecker.com/golf/corales-puntacana-championship/top-10-finish/bet-history/nico-echavarria" TargetMode="External"/><Relationship Id="rId92" Type="http://schemas.openxmlformats.org/officeDocument/2006/relationships/hyperlink" Target="https://www.oddschecker.com/golf/corales-puntacana-championship/top-10-finish/bet-history/herman-wibe-sekne" TargetMode="External"/><Relationship Id="rId2" Type="http://schemas.openxmlformats.org/officeDocument/2006/relationships/hyperlink" Target="https://www.oddschecker.com/golf/corales-puntacana-championship/top-10-finish/bet-history/nicolai-hojgaard" TargetMode="External"/><Relationship Id="rId29" Type="http://schemas.openxmlformats.org/officeDocument/2006/relationships/hyperlink" Target="https://www.oddschecker.com/golf/corales-puntacana-championship/top-10-finish/bet-history/greyson-sigg" TargetMode="External"/><Relationship Id="rId24" Type="http://schemas.openxmlformats.org/officeDocument/2006/relationships/hyperlink" Target="https://www.oddschecker.com/golf/corales-puntacana-championship/top-10-finish/bet-history/tyler-duncan" TargetMode="External"/><Relationship Id="rId40" Type="http://schemas.openxmlformats.org/officeDocument/2006/relationships/hyperlink" Target="https://www.oddschecker.com/golf/corales-puntacana-championship/top-10-finish/bet-history/ben-silverman" TargetMode="External"/><Relationship Id="rId45" Type="http://schemas.openxmlformats.org/officeDocument/2006/relationships/hyperlink" Target="https://www.oddschecker.com/golf/corales-puntacana-championship/top-10-finish/bet-history/lanto-griffin" TargetMode="External"/><Relationship Id="rId66" Type="http://schemas.openxmlformats.org/officeDocument/2006/relationships/hyperlink" Target="https://www.oddschecker.com/golf/corales-puntacana-championship/top-10-finish/bet-history/kevin-tway" TargetMode="External"/><Relationship Id="rId87" Type="http://schemas.openxmlformats.org/officeDocument/2006/relationships/hyperlink" Target="https://www.oddschecker.com/golf/corales-puntacana-championship/top-10-finish/bet-history/patton-kizzire" TargetMode="External"/><Relationship Id="rId110" Type="http://schemas.openxmlformats.org/officeDocument/2006/relationships/hyperlink" Target="https://www.oddschecker.com/golf/corales-puntacana-championship/top-10-finish/bet-history/jim-herman" TargetMode="External"/><Relationship Id="rId115" Type="http://schemas.openxmlformats.org/officeDocument/2006/relationships/hyperlink" Target="https://www.oddschecker.com/golf/corales-puntacana-championship/top-10-finish/bet-history/chase-johnson" TargetMode="External"/><Relationship Id="rId131" Type="http://schemas.openxmlformats.org/officeDocument/2006/relationships/hyperlink" Target="https://www.oddschecker.com/golf/corales-puntacana-championship/top-10-finish/bet-history/ryan-celano" TargetMode="External"/><Relationship Id="rId136" Type="http://schemas.openxmlformats.org/officeDocument/2006/relationships/drawing" Target="../drawings/drawing5.xml"/><Relationship Id="rId61" Type="http://schemas.openxmlformats.org/officeDocument/2006/relationships/hyperlink" Target="https://www.oddschecker.com/golf/corales-puntacana-championship/top-10-finish/bet-history/chez-reavie" TargetMode="External"/><Relationship Id="rId82" Type="http://schemas.openxmlformats.org/officeDocument/2006/relationships/hyperlink" Target="https://www.oddschecker.com/golf/corales-puntacana-championship/top-10-finish/bet-history/pierceson-coody" TargetMode="External"/><Relationship Id="rId19" Type="http://schemas.openxmlformats.org/officeDocument/2006/relationships/hyperlink" Target="https://www.oddschecker.com/golf/corales-puntacana-championship/top-10-finish/bet-history/justin-lower" TargetMode="External"/><Relationship Id="rId14" Type="http://schemas.openxmlformats.org/officeDocument/2006/relationships/hyperlink" Target="https://www.oddschecker.com/golf/corales-puntacana-championship/top-10-finish/bet-history/kyoung-hoon-lee" TargetMode="External"/><Relationship Id="rId30" Type="http://schemas.openxmlformats.org/officeDocument/2006/relationships/hyperlink" Target="https://www.oddschecker.com/golf/corales-puntacana-championship/top-10-finish/bet-history/thriston-lawrence" TargetMode="External"/><Relationship Id="rId35" Type="http://schemas.openxmlformats.org/officeDocument/2006/relationships/hyperlink" Target="https://www.oddschecker.com/golf/corales-puntacana-championship/top-10-finish/bet-history/chad-ramey" TargetMode="External"/><Relationship Id="rId56" Type="http://schemas.openxmlformats.org/officeDocument/2006/relationships/hyperlink" Target="https://www.oddschecker.com/golf/corales-puntacana-championship/top-10-finish/bet-history/brandon-wu" TargetMode="External"/><Relationship Id="rId77" Type="http://schemas.openxmlformats.org/officeDocument/2006/relationships/hyperlink" Target="https://www.oddschecker.com/golf/corales-puntacana-championship/top-10-finish/bet-history/tyson-alexander" TargetMode="External"/><Relationship Id="rId100" Type="http://schemas.openxmlformats.org/officeDocument/2006/relationships/hyperlink" Target="https://www.oddschecker.com/golf/corales-puntacana-championship/top-10-finish/bet-history/harry-higgs" TargetMode="External"/><Relationship Id="rId105" Type="http://schemas.openxmlformats.org/officeDocument/2006/relationships/hyperlink" Target="https://www.oddschecker.com/golf/corales-puntacana-championship/top-10-finish/bet-history/cody-gribble" TargetMode="External"/><Relationship Id="rId126" Type="http://schemas.openxmlformats.org/officeDocument/2006/relationships/hyperlink" Target="https://www.oddschecker.com/golf/corales-puntacana-championship/top-10-finish/bet-history/george-mcneill" TargetMode="External"/><Relationship Id="rId8" Type="http://schemas.openxmlformats.org/officeDocument/2006/relationships/hyperlink" Target="https://www.oddschecker.com/golf/corales-puntacana-championship/top-10-finish/bet-history/victor-perez" TargetMode="External"/><Relationship Id="rId51" Type="http://schemas.openxmlformats.org/officeDocument/2006/relationships/hyperlink" Target="https://www.oddschecker.com/golf/corales-puntacana-championship/top-10-finish/bet-history/jorge-campillo" TargetMode="External"/><Relationship Id="rId72" Type="http://schemas.openxmlformats.org/officeDocument/2006/relationships/hyperlink" Target="https://www.oddschecker.com/golf/corales-puntacana-championship/top-10-finish/bet-history/rafael-campos" TargetMode="External"/><Relationship Id="rId93" Type="http://schemas.openxmlformats.org/officeDocument/2006/relationships/hyperlink" Target="https://www.oddschecker.com/golf/corales-puntacana-championship/top-10-finish/bet-history/mj-daffue" TargetMode="External"/><Relationship Id="rId98" Type="http://schemas.openxmlformats.org/officeDocument/2006/relationships/hyperlink" Target="https://www.oddschecker.com/golf/corales-puntacana-championship/top-10-finish/bet-history/wesley-bryan" TargetMode="External"/><Relationship Id="rId121" Type="http://schemas.openxmlformats.org/officeDocument/2006/relationships/hyperlink" Target="https://www.oddschecker.com/golf/corales-puntacana-championship/top-10-finish/bet-history/thomas-longbella" TargetMode="External"/><Relationship Id="rId3" Type="http://schemas.openxmlformats.org/officeDocument/2006/relationships/hyperlink" Target="https://www.oddschecker.com/golf/corales-puntacana-championship/top-10-finish/bet-history/billy-horschel" TargetMode="External"/><Relationship Id="rId25" Type="http://schemas.openxmlformats.org/officeDocument/2006/relationships/hyperlink" Target="https://www.oddschecker.com/golf/corales-puntacana-championship/top-10-finish/bet-history/joseph-bramlett" TargetMode="External"/><Relationship Id="rId46" Type="http://schemas.openxmlformats.org/officeDocument/2006/relationships/hyperlink" Target="https://www.oddschecker.com/golf/corales-puntacana-championship/top-10-finish/bet-history/rico-hoey" TargetMode="External"/><Relationship Id="rId67" Type="http://schemas.openxmlformats.org/officeDocument/2006/relationships/hyperlink" Target="https://www.oddschecker.com/golf/corales-puntacana-championship/top-10-finish/bet-history/ben-kohles" TargetMode="External"/><Relationship Id="rId116" Type="http://schemas.openxmlformats.org/officeDocument/2006/relationships/hyperlink" Target="https://www.oddschecker.com/golf/corales-puntacana-championship/top-10-finish/bet-history/william-mcgirt" TargetMode="External"/><Relationship Id="rId20" Type="http://schemas.openxmlformats.org/officeDocument/2006/relationships/hyperlink" Target="https://www.oddschecker.com/golf/corales-puntacana-championship/top-10-finish/bet-history/chan-kim" TargetMode="External"/><Relationship Id="rId41" Type="http://schemas.openxmlformats.org/officeDocument/2006/relationships/hyperlink" Target="https://www.oddschecker.com/golf/corales-puntacana-championship/top-10-finish/bet-history/joe-highsmith" TargetMode="External"/><Relationship Id="rId62" Type="http://schemas.openxmlformats.org/officeDocument/2006/relationships/hyperlink" Target="https://www.oddschecker.com/golf/corales-puntacana-championship/top-10-finish/bet-history/david-lipsky" TargetMode="External"/><Relationship Id="rId83" Type="http://schemas.openxmlformats.org/officeDocument/2006/relationships/hyperlink" Target="https://www.oddschecker.com/golf/corales-puntacana-championship/top-10-finish/bet-history/kevin-kisner" TargetMode="External"/><Relationship Id="rId88" Type="http://schemas.openxmlformats.org/officeDocument/2006/relationships/hyperlink" Target="https://www.oddschecker.com/golf/corales-puntacana-championship/top-10-finish/bet-history/fabian-gomez" TargetMode="External"/><Relationship Id="rId111" Type="http://schemas.openxmlformats.org/officeDocument/2006/relationships/hyperlink" Target="https://www.oddschecker.com/golf/corales-puntacana-championship/top-10-finish/bet-history/robert-streb" TargetMode="External"/><Relationship Id="rId132" Type="http://schemas.openxmlformats.org/officeDocument/2006/relationships/hyperlink" Target="https://www.oddschecker.com/golf/corales-puntacana-championship/top-10-finish/bet-history/jeff-overton" TargetMode="External"/><Relationship Id="rId15" Type="http://schemas.openxmlformats.org/officeDocument/2006/relationships/hyperlink" Target="https://www.oddschecker.com/golf/corales-puntacana-championship/top-10-finish/bet-history/daniel-berger" TargetMode="External"/><Relationship Id="rId36" Type="http://schemas.openxmlformats.org/officeDocument/2006/relationships/hyperlink" Target="https://www.oddschecker.com/golf/corales-puntacana-championship/top-10-finish/bet-history/jhonattan-vegas" TargetMode="External"/><Relationship Id="rId57" Type="http://schemas.openxmlformats.org/officeDocument/2006/relationships/hyperlink" Target="https://www.oddschecker.com/golf/corales-puntacana-championship/top-10-finish/bet-history/martin-trainer" TargetMode="External"/><Relationship Id="rId106" Type="http://schemas.openxmlformats.org/officeDocument/2006/relationships/hyperlink" Target="https://www.oddschecker.com/golf/corales-puntacana-championship/top-10-finish/bet-history/ryan-armour" TargetMode="External"/><Relationship Id="rId127" Type="http://schemas.openxmlformats.org/officeDocument/2006/relationships/hyperlink" Target="https://www.oddschecker.com/golf/corales-puntacana-championship/top-10-finish/bet-history/braden-shattuck" TargetMode="External"/><Relationship Id="rId10" Type="http://schemas.openxmlformats.org/officeDocument/2006/relationships/hyperlink" Target="https://www.oddschecker.com/golf/corales-puntacana-championship/top-10-finish/bet-history/mark-hubbard" TargetMode="External"/><Relationship Id="rId31" Type="http://schemas.openxmlformats.org/officeDocument/2006/relationships/hyperlink" Target="https://www.oddschecker.com/golf/corales-puntacana-championship/top-10-finish/bet-history/carl-yuan" TargetMode="External"/><Relationship Id="rId52" Type="http://schemas.openxmlformats.org/officeDocument/2006/relationships/hyperlink" Target="https://www.oddschecker.com/golf/corales-puntacana-championship/top-10-finish/bet-history/carson-young" TargetMode="External"/><Relationship Id="rId73" Type="http://schemas.openxmlformats.org/officeDocument/2006/relationships/hyperlink" Target="https://www.oddschecker.com/golf/corales-puntacana-championship/top-10-finish/bet-history/austin-cook" TargetMode="External"/><Relationship Id="rId78" Type="http://schemas.openxmlformats.org/officeDocument/2006/relationships/hyperlink" Target="https://www.oddschecker.com/golf/corales-puntacana-championship/top-10-finish/bet-history/scott-piercy" TargetMode="External"/><Relationship Id="rId94" Type="http://schemas.openxmlformats.org/officeDocument/2006/relationships/hyperlink" Target="https://www.oddschecker.com/golf/corales-puntacana-championship/top-10-finish/bet-history/richy-werenski" TargetMode="External"/><Relationship Id="rId99" Type="http://schemas.openxmlformats.org/officeDocument/2006/relationships/hyperlink" Target="https://www.oddschecker.com/golf/corales-puntacana-championship/top-10-finish/bet-history/ryan-brehm" TargetMode="External"/><Relationship Id="rId101" Type="http://schemas.openxmlformats.org/officeDocument/2006/relationships/hyperlink" Target="https://www.oddschecker.com/golf/corales-puntacana-championship/top-10-finish/bet-history/jason-dufner" TargetMode="External"/><Relationship Id="rId122" Type="http://schemas.openxmlformats.org/officeDocument/2006/relationships/hyperlink" Target="https://www.oddschecker.com/golf/corales-puntacana-championship/top-10-finish/bet-history/joseph-deraney" TargetMode="External"/><Relationship Id="rId4" Type="http://schemas.openxmlformats.org/officeDocument/2006/relationships/hyperlink" Target="https://www.oddschecker.com/golf/corales-puntacana-championship/top-10-finish/bet-history/aaron-rai" TargetMode="External"/><Relationship Id="rId9" Type="http://schemas.openxmlformats.org/officeDocument/2006/relationships/hyperlink" Target="https://www.oddschecker.com/golf/corales-puntacana-championship/top-10-finish/bet-history/nate-lashley" TargetMode="External"/><Relationship Id="rId26" Type="http://schemas.openxmlformats.org/officeDocument/2006/relationships/hyperlink" Target="https://www.oddschecker.com/golf/corales-puntacana-championship/top-10-finish/bet-history/seonghyeon-kim" TargetMode="External"/><Relationship Id="rId47" Type="http://schemas.openxmlformats.org/officeDocument/2006/relationships/hyperlink" Target="https://www.oddschecker.com/golf/corales-puntacana-championship/top-10-finish/bet-history/alex-smalley" TargetMode="External"/><Relationship Id="rId68" Type="http://schemas.openxmlformats.org/officeDocument/2006/relationships/hyperlink" Target="https://www.oddschecker.com/golf/corales-puntacana-championship/top-10-finish/bet-history/philip-knowles" TargetMode="External"/><Relationship Id="rId89" Type="http://schemas.openxmlformats.org/officeDocument/2006/relationships/hyperlink" Target="https://www.oddschecker.com/golf/corales-puntacana-championship/top-10-finish/bet-history/paul-barjon" TargetMode="External"/><Relationship Id="rId112" Type="http://schemas.openxmlformats.org/officeDocument/2006/relationships/hyperlink" Target="https://www.oddschecker.com/golf/corales-puntacana-championship/top-10-finish/bet-history/paul-haley" TargetMode="External"/><Relationship Id="rId133" Type="http://schemas.openxmlformats.org/officeDocument/2006/relationships/hyperlink" Target="https://www.oddschecker.com/golf/corales-puntacana-championship/top-10-finish/bet-history/willy-pumarol" TargetMode="External"/></Relationships>
</file>

<file path=xl/worksheets/_rels/sheet1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11.vml"/><Relationship Id="rId1" Type="http://schemas.openxmlformats.org/officeDocument/2006/relationships/drawing" Target="../drawings/drawing9.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vmlDrawing" Target="../drawings/vmlDrawing12.vml"/><Relationship Id="rId1" Type="http://schemas.openxmlformats.org/officeDocument/2006/relationships/printerSettings" Target="../printerSettings/printerSettings10.bin"/><Relationship Id="rId6" Type="http://schemas.microsoft.com/office/2017/10/relationships/threadedComment" Target="../threadedComments/threadedComment6.xml"/><Relationship Id="rId5" Type="http://schemas.openxmlformats.org/officeDocument/2006/relationships/comments" Target="../comments6.xml"/><Relationship Id="rId4"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vmlDrawing" Target="../drawings/vmlDrawing14.vml"/><Relationship Id="rId1" Type="http://schemas.openxmlformats.org/officeDocument/2006/relationships/printerSettings" Target="../printerSettings/printerSettings11.bin"/><Relationship Id="rId6" Type="http://schemas.microsoft.com/office/2017/10/relationships/threadedComment" Target="../threadedComments/threadedComment7.xml"/><Relationship Id="rId5" Type="http://schemas.openxmlformats.org/officeDocument/2006/relationships/comments" Target="../comments7.xml"/><Relationship Id="rId4"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vmlDrawing" Target="../drawings/vmlDrawing16.vml"/><Relationship Id="rId1" Type="http://schemas.openxmlformats.org/officeDocument/2006/relationships/printerSettings" Target="../printerSettings/printerSettings12.bin"/><Relationship Id="rId6" Type="http://schemas.microsoft.com/office/2017/10/relationships/threadedComment" Target="../threadedComments/threadedComment8.xml"/><Relationship Id="rId5" Type="http://schemas.openxmlformats.org/officeDocument/2006/relationships/comments" Target="../comments8.xml"/><Relationship Id="rId4"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vmlDrawing" Target="../drawings/vmlDrawing18.vml"/><Relationship Id="rId1" Type="http://schemas.openxmlformats.org/officeDocument/2006/relationships/printerSettings" Target="../printerSettings/printerSettings13.bin"/><Relationship Id="rId6" Type="http://schemas.microsoft.com/office/2017/10/relationships/threadedComment" Target="../threadedComments/threadedComment9.xml"/><Relationship Id="rId5" Type="http://schemas.openxmlformats.org/officeDocument/2006/relationships/comments" Target="../comments9.xml"/><Relationship Id="rId4" Type="http://schemas.openxmlformats.org/officeDocument/2006/relationships/table" Target="../tables/table1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vmlDrawing" Target="../drawings/vmlDrawing20.vml"/><Relationship Id="rId1" Type="http://schemas.openxmlformats.org/officeDocument/2006/relationships/printerSettings" Target="../printerSettings/printerSettings14.bin"/><Relationship Id="rId6" Type="http://schemas.microsoft.com/office/2017/10/relationships/threadedComment" Target="../threadedComments/threadedComment10.xml"/><Relationship Id="rId5" Type="http://schemas.openxmlformats.org/officeDocument/2006/relationships/comments" Target="../comments10.xml"/><Relationship Id="rId4"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vmlDrawing" Target="../drawings/vmlDrawing22.vml"/><Relationship Id="rId1" Type="http://schemas.openxmlformats.org/officeDocument/2006/relationships/printerSettings" Target="../printerSettings/printerSettings15.bin"/><Relationship Id="rId6" Type="http://schemas.microsoft.com/office/2017/10/relationships/threadedComment" Target="../threadedComments/threadedComment11.xml"/><Relationship Id="rId5" Type="http://schemas.openxmlformats.org/officeDocument/2006/relationships/comments" Target="../comments11.xml"/><Relationship Id="rId4" Type="http://schemas.openxmlformats.org/officeDocument/2006/relationships/table" Target="../tables/table1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24.vml"/><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25.v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vmlDrawing" Target="../drawings/vmlDrawing26.v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27.vml"/><Relationship Id="rId1" Type="http://schemas.openxmlformats.org/officeDocument/2006/relationships/printerSettings" Target="../printerSettings/printerSettings19.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28.vml"/><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29.vml"/><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30.v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vmlDrawing" Target="../drawings/vmlDrawing31.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vmlDrawing" Target="../drawings/vmlDrawing32.vml"/><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vmlDrawing" Target="../drawings/vmlDrawing33.vml"/><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vmlDrawing" Target="../drawings/vmlDrawing34.v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27.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28.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29.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30.bin"/></Relationships>
</file>

<file path=xl/worksheets/_rels/sheet45.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31.bin"/></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32.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33.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35.bin"/></Relationships>
</file>

<file path=xl/worksheets/_rels/sheet50.xml.rels><?xml version="1.0" encoding="UTF-8" standalone="yes"?>
<Relationships xmlns="http://schemas.openxmlformats.org/package/2006/relationships"><Relationship Id="rId2" Type="http://schemas.openxmlformats.org/officeDocument/2006/relationships/vmlDrawing" Target="../drawings/vmlDrawing44.vml"/><Relationship Id="rId1" Type="http://schemas.openxmlformats.org/officeDocument/2006/relationships/printerSettings" Target="../printerSettings/printerSettings36.bin"/></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37.bin"/></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6.vml"/><Relationship Id="rId1" Type="http://schemas.openxmlformats.org/officeDocument/2006/relationships/printerSettings" Target="../printerSettings/printerSettings38.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vmlDrawing" Target="../drawings/vmlDrawing47.vml"/><Relationship Id="rId1" Type="http://schemas.openxmlformats.org/officeDocument/2006/relationships/printerSettings" Target="../printerSettings/printerSettings39.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vmlDrawing" Target="../drawings/vmlDrawing48.vml"/><Relationship Id="rId1" Type="http://schemas.openxmlformats.org/officeDocument/2006/relationships/printerSettings" Target="../printerSettings/printerSettings40.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vmlDrawing" Target="../drawings/vmlDrawing49.vml"/><Relationship Id="rId1" Type="http://schemas.openxmlformats.org/officeDocument/2006/relationships/printerSettings" Target="../printerSettings/printerSettings41.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vmlDrawing" Target="../drawings/vmlDrawing50.vml"/><Relationship Id="rId1" Type="http://schemas.openxmlformats.org/officeDocument/2006/relationships/printerSettings" Target="../printerSettings/printerSettings42.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vmlDrawing" Target="../drawings/vmlDrawing51.vml"/><Relationship Id="rId1" Type="http://schemas.openxmlformats.org/officeDocument/2006/relationships/printerSettings" Target="../printerSettings/printerSettings43.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vmlDrawing" Target="../drawings/vmlDrawing52.vml"/><Relationship Id="rId1" Type="http://schemas.openxmlformats.org/officeDocument/2006/relationships/printerSettings" Target="../printerSettings/printerSettings44.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vmlDrawing" Target="../drawings/vmlDrawing53.vml"/><Relationship Id="rId1" Type="http://schemas.openxmlformats.org/officeDocument/2006/relationships/printerSettings" Target="../printerSettings/printerSettings45.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vmlDrawing" Target="../drawings/vmlDrawing54.vml"/><Relationship Id="rId1" Type="http://schemas.openxmlformats.org/officeDocument/2006/relationships/printerSettings" Target="../printerSettings/printerSettings46.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vmlDrawing" Target="../drawings/vmlDrawing55.vml"/><Relationship Id="rId1" Type="http://schemas.openxmlformats.org/officeDocument/2006/relationships/printerSettings" Target="../printerSettings/printerSettings47.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vmlDrawing" Target="../drawings/vmlDrawing56.vml"/><Relationship Id="rId1" Type="http://schemas.openxmlformats.org/officeDocument/2006/relationships/printerSettings" Target="../printerSettings/printerSettings48.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vmlDrawing" Target="../drawings/vmlDrawing57.vml"/><Relationship Id="rId1" Type="http://schemas.openxmlformats.org/officeDocument/2006/relationships/printerSettings" Target="../printerSettings/printerSettings49.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vmlDrawing" Target="../drawings/vmlDrawing58.vml"/><Relationship Id="rId1" Type="http://schemas.openxmlformats.org/officeDocument/2006/relationships/printerSettings" Target="../printerSettings/printerSettings50.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vmlDrawing" Target="../drawings/vmlDrawing59.vml"/><Relationship Id="rId1" Type="http://schemas.openxmlformats.org/officeDocument/2006/relationships/printerSettings" Target="../printerSettings/printerSettings5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1BB0D-73B0-44E8-809F-34D54140F77B}">
  <sheetPr codeName="Sheet22">
    <tabColor theme="9" tint="-0.499984740745262"/>
  </sheetPr>
  <dimension ref="A1:G152"/>
  <sheetViews>
    <sheetView topLeftCell="A97" workbookViewId="0">
      <selection activeCell="F2" sqref="F2:F133"/>
    </sheetView>
  </sheetViews>
  <sheetFormatPr defaultRowHeight="15"/>
  <cols>
    <col min="1" max="1" width="23.85546875" bestFit="1" customWidth="1"/>
    <col min="3" max="3" width="18.28515625" bestFit="1" customWidth="1"/>
    <col min="4" max="4" width="11.7109375" bestFit="1" customWidth="1"/>
    <col min="5" max="5" width="25.5703125" customWidth="1"/>
    <col min="6" max="6" width="17.28515625" bestFit="1" customWidth="1"/>
    <col min="7" max="7" width="25.85546875" bestFit="1" customWidth="1"/>
  </cols>
  <sheetData>
    <row r="1" spans="1:7">
      <c r="A1" s="157" t="s">
        <v>5</v>
      </c>
      <c r="C1" s="157" t="s">
        <v>601</v>
      </c>
      <c r="D1" s="1"/>
      <c r="E1" s="157" t="s">
        <v>333</v>
      </c>
      <c r="F1" s="1" t="s">
        <v>1103</v>
      </c>
      <c r="G1" s="1" t="s">
        <v>1104</v>
      </c>
    </row>
    <row r="2" spans="1:7">
      <c r="A2" t="s">
        <v>883</v>
      </c>
      <c r="C2" t="s">
        <v>968</v>
      </c>
      <c r="D2" t="s">
        <v>969</v>
      </c>
      <c r="E2" t="str">
        <f>_xlfn.CONCAT(TRIM(D2)," ",TRIM(C2))</f>
        <v>Tyson Alexander</v>
      </c>
      <c r="F2" t="s">
        <v>107</v>
      </c>
      <c r="G2" t="str">
        <f>F2</f>
        <v>Tyson Alexander</v>
      </c>
    </row>
    <row r="3" spans="1:7">
      <c r="A3" t="s">
        <v>634</v>
      </c>
      <c r="C3" t="s">
        <v>703</v>
      </c>
      <c r="D3" t="s">
        <v>704</v>
      </c>
      <c r="E3" t="str">
        <f t="shared" ref="E3:E66" si="0">_xlfn.CONCAT(TRIM(D3)," ",TRIM(C3))</f>
        <v>Aaron Baddeley</v>
      </c>
      <c r="F3" t="s">
        <v>185</v>
      </c>
      <c r="G3" t="str">
        <f t="shared" ref="G3:G66" si="1">F3</f>
        <v>Ryan Armour</v>
      </c>
    </row>
    <row r="4" spans="1:7">
      <c r="A4" t="s">
        <v>665</v>
      </c>
      <c r="C4" t="s">
        <v>705</v>
      </c>
      <c r="D4" t="s">
        <v>706</v>
      </c>
      <c r="E4" t="str">
        <f t="shared" si="0"/>
        <v>Paul Barjon</v>
      </c>
      <c r="F4" t="s">
        <v>880</v>
      </c>
      <c r="G4" t="str">
        <f t="shared" si="1"/>
        <v>Sangmoon Bae</v>
      </c>
    </row>
    <row r="5" spans="1:7">
      <c r="A5" t="s">
        <v>813</v>
      </c>
      <c r="C5" t="s">
        <v>843</v>
      </c>
      <c r="D5" t="s">
        <v>593</v>
      </c>
      <c r="E5" t="str">
        <f t="shared" si="0"/>
        <v>Erik Barnes</v>
      </c>
      <c r="F5" t="s">
        <v>401</v>
      </c>
      <c r="G5" t="str">
        <f t="shared" si="1"/>
        <v>Paul Barjon</v>
      </c>
    </row>
    <row r="6" spans="1:7">
      <c r="A6" t="s">
        <v>635</v>
      </c>
      <c r="C6" t="s">
        <v>707</v>
      </c>
      <c r="D6" t="s">
        <v>708</v>
      </c>
      <c r="E6" t="str">
        <f t="shared" si="0"/>
        <v>Daniel Berger</v>
      </c>
      <c r="F6" t="s">
        <v>867</v>
      </c>
      <c r="G6" t="str">
        <f t="shared" si="1"/>
        <v>Ricky Barnes</v>
      </c>
    </row>
    <row r="7" spans="1:7">
      <c r="A7" t="s">
        <v>884</v>
      </c>
      <c r="C7" t="s">
        <v>970</v>
      </c>
      <c r="D7" t="s">
        <v>971</v>
      </c>
      <c r="E7" t="str">
        <f t="shared" si="0"/>
        <v>Christiaan Bezuidenhout</v>
      </c>
      <c r="F7" t="s">
        <v>384</v>
      </c>
      <c r="G7" t="str">
        <f t="shared" si="1"/>
        <v>Daniel Berger</v>
      </c>
    </row>
    <row r="8" spans="1:7">
      <c r="A8" t="s">
        <v>885</v>
      </c>
      <c r="C8" t="s">
        <v>972</v>
      </c>
      <c r="D8" t="s">
        <v>973</v>
      </c>
      <c r="E8" t="str">
        <f t="shared" si="0"/>
        <v>Akshay Bhatia</v>
      </c>
      <c r="F8" t="s">
        <v>1145</v>
      </c>
      <c r="G8" t="str">
        <f t="shared" si="1"/>
        <v>Brandon Berry</v>
      </c>
    </row>
    <row r="9" spans="1:7">
      <c r="A9" t="s">
        <v>814</v>
      </c>
      <c r="C9" t="s">
        <v>709</v>
      </c>
      <c r="D9" t="s">
        <v>710</v>
      </c>
      <c r="E9" t="str">
        <f t="shared" si="0"/>
        <v>Fred Biondi</v>
      </c>
      <c r="F9" t="s">
        <v>20</v>
      </c>
      <c r="G9" t="str">
        <f t="shared" si="1"/>
        <v>Joseph Bramlett</v>
      </c>
    </row>
    <row r="10" spans="1:7">
      <c r="A10" t="s">
        <v>886</v>
      </c>
      <c r="C10" t="s">
        <v>974</v>
      </c>
      <c r="D10" t="s">
        <v>975</v>
      </c>
      <c r="E10" t="str">
        <f t="shared" si="0"/>
        <v>Alexander Björk</v>
      </c>
      <c r="F10" t="s">
        <v>37</v>
      </c>
      <c r="G10" t="str">
        <f t="shared" si="1"/>
        <v>Ryan Brehm</v>
      </c>
    </row>
    <row r="11" spans="1:7">
      <c r="A11" t="s">
        <v>887</v>
      </c>
      <c r="C11" t="s">
        <v>976</v>
      </c>
      <c r="D11" t="s">
        <v>977</v>
      </c>
      <c r="E11" t="str">
        <f t="shared" si="0"/>
        <v>Zac Blair</v>
      </c>
      <c r="F11" t="s">
        <v>496</v>
      </c>
      <c r="G11" t="str">
        <f t="shared" si="1"/>
        <v>Jacob Bridgeman</v>
      </c>
    </row>
    <row r="12" spans="1:7">
      <c r="A12" t="s">
        <v>888</v>
      </c>
      <c r="C12" t="s">
        <v>978</v>
      </c>
      <c r="D12" t="s">
        <v>979</v>
      </c>
      <c r="E12" t="str">
        <f t="shared" si="0"/>
        <v>Keegan Bradley</v>
      </c>
      <c r="F12" t="s">
        <v>373</v>
      </c>
      <c r="G12" t="str">
        <f t="shared" si="1"/>
        <v>Wesley Bryan</v>
      </c>
    </row>
    <row r="13" spans="1:7">
      <c r="A13" t="s">
        <v>889</v>
      </c>
      <c r="C13" t="s">
        <v>980</v>
      </c>
      <c r="D13" t="s">
        <v>981</v>
      </c>
      <c r="E13" t="str">
        <f t="shared" si="0"/>
        <v>Joseph Bramlett</v>
      </c>
      <c r="F13" t="s">
        <v>60</v>
      </c>
      <c r="G13" t="str">
        <f t="shared" si="1"/>
        <v>Hayden Buckley</v>
      </c>
    </row>
    <row r="14" spans="1:7">
      <c r="A14" t="s">
        <v>636</v>
      </c>
      <c r="C14" t="s">
        <v>711</v>
      </c>
      <c r="D14" t="s">
        <v>712</v>
      </c>
      <c r="E14" t="str">
        <f t="shared" si="0"/>
        <v>Ryan Brehm</v>
      </c>
      <c r="F14" t="s">
        <v>173</v>
      </c>
      <c r="G14" t="str">
        <f t="shared" si="1"/>
        <v>Jonathan Byrd</v>
      </c>
    </row>
    <row r="15" spans="1:7">
      <c r="A15" t="s">
        <v>815</v>
      </c>
      <c r="C15" t="s">
        <v>713</v>
      </c>
      <c r="D15" t="s">
        <v>714</v>
      </c>
      <c r="E15" t="str">
        <f t="shared" si="0"/>
        <v>Jacob Bridgeman</v>
      </c>
      <c r="F15" t="s">
        <v>693</v>
      </c>
      <c r="G15" t="str">
        <f t="shared" si="1"/>
        <v>Jorge Campillo</v>
      </c>
    </row>
    <row r="16" spans="1:7">
      <c r="A16" t="s">
        <v>890</v>
      </c>
      <c r="C16" t="s">
        <v>982</v>
      </c>
      <c r="D16" t="s">
        <v>602</v>
      </c>
      <c r="E16" t="str">
        <f t="shared" si="0"/>
        <v>Hayden Buckley</v>
      </c>
      <c r="F16" t="s">
        <v>558</v>
      </c>
      <c r="G16" t="str">
        <f t="shared" si="1"/>
        <v>Rafael Campos</v>
      </c>
    </row>
    <row r="17" spans="1:7">
      <c r="A17" t="s">
        <v>891</v>
      </c>
      <c r="C17" t="s">
        <v>983</v>
      </c>
      <c r="D17" t="s">
        <v>984</v>
      </c>
      <c r="E17" t="str">
        <f t="shared" si="0"/>
        <v>Bronson Burgoon</v>
      </c>
      <c r="F17" t="s">
        <v>633</v>
      </c>
      <c r="G17" t="str">
        <f t="shared" si="1"/>
        <v>Bud Cauley</v>
      </c>
    </row>
    <row r="18" spans="1:7">
      <c r="A18" t="s">
        <v>892</v>
      </c>
      <c r="C18" t="s">
        <v>985</v>
      </c>
      <c r="D18" t="s">
        <v>328</v>
      </c>
      <c r="E18" t="str">
        <f t="shared" si="0"/>
        <v>Sam Burns</v>
      </c>
      <c r="F18" t="s">
        <v>1134</v>
      </c>
      <c r="G18" t="str">
        <f t="shared" si="1"/>
        <v>Ryan Celano</v>
      </c>
    </row>
    <row r="19" spans="1:7">
      <c r="A19" t="s">
        <v>816</v>
      </c>
      <c r="C19" t="s">
        <v>715</v>
      </c>
      <c r="D19" t="s">
        <v>716</v>
      </c>
      <c r="E19" t="str">
        <f t="shared" si="0"/>
        <v>Jorge Campillo</v>
      </c>
      <c r="F19" t="s">
        <v>84</v>
      </c>
      <c r="G19" t="str">
        <f t="shared" si="1"/>
        <v>Kevin Chappell</v>
      </c>
    </row>
    <row r="20" spans="1:7">
      <c r="A20" t="s">
        <v>817</v>
      </c>
      <c r="C20" t="s">
        <v>789</v>
      </c>
      <c r="D20" t="s">
        <v>790</v>
      </c>
      <c r="E20" t="str">
        <f t="shared" si="0"/>
        <v>Rafael Campos</v>
      </c>
      <c r="F20" t="s">
        <v>1132</v>
      </c>
      <c r="G20" t="str">
        <f t="shared" si="1"/>
        <v>Erik Compton</v>
      </c>
    </row>
    <row r="21" spans="1:7">
      <c r="A21" t="s">
        <v>893</v>
      </c>
      <c r="C21" t="s">
        <v>986</v>
      </c>
      <c r="D21" t="s">
        <v>844</v>
      </c>
      <c r="E21" t="str">
        <f t="shared" si="0"/>
        <v>Ricky Castillo</v>
      </c>
      <c r="F21" t="s">
        <v>497</v>
      </c>
      <c r="G21" t="str">
        <f t="shared" si="1"/>
        <v>Parker Coody</v>
      </c>
    </row>
    <row r="22" spans="1:7">
      <c r="A22" t="s">
        <v>894</v>
      </c>
      <c r="C22" t="s">
        <v>987</v>
      </c>
      <c r="D22" t="s">
        <v>988</v>
      </c>
      <c r="E22" t="str">
        <f t="shared" si="0"/>
        <v>Bud Cauley</v>
      </c>
      <c r="F22" t="s">
        <v>490</v>
      </c>
      <c r="G22" t="str">
        <f t="shared" si="1"/>
        <v>Pierceson Coody</v>
      </c>
    </row>
    <row r="23" spans="1:7">
      <c r="A23" t="s">
        <v>637</v>
      </c>
      <c r="C23" t="s">
        <v>717</v>
      </c>
      <c r="D23" t="s">
        <v>429</v>
      </c>
      <c r="E23" t="str">
        <f t="shared" si="0"/>
        <v>Cameron Champ</v>
      </c>
      <c r="F23" t="s">
        <v>186</v>
      </c>
      <c r="G23" t="str">
        <f t="shared" si="1"/>
        <v>Austin Cook</v>
      </c>
    </row>
    <row r="24" spans="1:7">
      <c r="A24" t="s">
        <v>895</v>
      </c>
      <c r="C24" t="s">
        <v>989</v>
      </c>
      <c r="D24" t="s">
        <v>990</v>
      </c>
      <c r="E24" t="str">
        <f t="shared" si="0"/>
        <v>Stewart Cink</v>
      </c>
      <c r="F24" t="s">
        <v>559</v>
      </c>
      <c r="G24" t="str">
        <f t="shared" si="1"/>
        <v>Trace Crowe</v>
      </c>
    </row>
    <row r="25" spans="1:7">
      <c r="A25" t="s">
        <v>896</v>
      </c>
      <c r="C25" t="s">
        <v>519</v>
      </c>
      <c r="D25" t="s">
        <v>991</v>
      </c>
      <c r="E25" t="str">
        <f t="shared" si="0"/>
        <v>Eric Cole</v>
      </c>
      <c r="F25" t="s">
        <v>31</v>
      </c>
      <c r="G25" t="str">
        <f t="shared" si="1"/>
        <v>MJ Daffue</v>
      </c>
    </row>
    <row r="26" spans="1:7">
      <c r="A26" t="s">
        <v>818</v>
      </c>
      <c r="C26" t="s">
        <v>719</v>
      </c>
      <c r="D26" t="s">
        <v>720</v>
      </c>
      <c r="E26" t="str">
        <f t="shared" si="0"/>
        <v>Parker Coody</v>
      </c>
      <c r="F26" t="s">
        <v>137</v>
      </c>
      <c r="G26" t="str">
        <f t="shared" si="1"/>
        <v>Joel Dahmen</v>
      </c>
    </row>
    <row r="27" spans="1:7">
      <c r="A27" t="s">
        <v>664</v>
      </c>
      <c r="C27" t="s">
        <v>719</v>
      </c>
      <c r="D27" t="s">
        <v>721</v>
      </c>
      <c r="E27" t="str">
        <f t="shared" si="0"/>
        <v>Pierceson Coody</v>
      </c>
      <c r="F27" t="s">
        <v>1135</v>
      </c>
      <c r="G27" t="str">
        <f t="shared" si="1"/>
        <v>Joe Deraney</v>
      </c>
    </row>
    <row r="28" spans="1:7">
      <c r="A28" t="s">
        <v>819</v>
      </c>
      <c r="C28" t="s">
        <v>846</v>
      </c>
      <c r="D28" t="s">
        <v>729</v>
      </c>
      <c r="E28" t="str">
        <f t="shared" si="0"/>
        <v>Austin Cook</v>
      </c>
      <c r="F28" t="s">
        <v>81</v>
      </c>
      <c r="G28" t="str">
        <f t="shared" si="1"/>
        <v>Zecheng Dou</v>
      </c>
    </row>
    <row r="29" spans="1:7">
      <c r="A29" t="s">
        <v>820</v>
      </c>
      <c r="C29" t="s">
        <v>793</v>
      </c>
      <c r="D29" t="s">
        <v>794</v>
      </c>
      <c r="E29" t="str">
        <f t="shared" si="0"/>
        <v>Trace Crowe</v>
      </c>
      <c r="F29" t="s">
        <v>562</v>
      </c>
      <c r="G29" t="str">
        <f t="shared" si="1"/>
        <v>Kevin Dougherty</v>
      </c>
    </row>
    <row r="30" spans="1:7">
      <c r="A30" t="s">
        <v>638</v>
      </c>
      <c r="C30" t="s">
        <v>722</v>
      </c>
      <c r="D30" t="s">
        <v>723</v>
      </c>
      <c r="E30" t="str">
        <f t="shared" si="0"/>
        <v>Joel Dahmen</v>
      </c>
      <c r="F30" t="s">
        <v>111</v>
      </c>
      <c r="G30" t="str">
        <f t="shared" si="1"/>
        <v>Jason Dufner</v>
      </c>
    </row>
    <row r="31" spans="1:7">
      <c r="A31" t="s">
        <v>897</v>
      </c>
      <c r="C31" t="s">
        <v>992</v>
      </c>
      <c r="D31" t="s">
        <v>993</v>
      </c>
      <c r="E31" t="str">
        <f t="shared" si="0"/>
        <v>Thomas Detry</v>
      </c>
      <c r="F31" t="s">
        <v>486</v>
      </c>
      <c r="G31" t="str">
        <f t="shared" si="1"/>
        <v>Adrien Dumont de Chassart</v>
      </c>
    </row>
    <row r="32" spans="1:7">
      <c r="A32" t="s">
        <v>898</v>
      </c>
      <c r="C32" t="s">
        <v>994</v>
      </c>
      <c r="D32" t="s">
        <v>995</v>
      </c>
      <c r="E32" t="str">
        <f t="shared" si="0"/>
        <v>Luke Donald</v>
      </c>
      <c r="F32" t="s">
        <v>116</v>
      </c>
      <c r="G32" t="str">
        <f t="shared" si="1"/>
        <v>Tyler Duncan</v>
      </c>
    </row>
    <row r="33" spans="1:7">
      <c r="A33" t="s">
        <v>821</v>
      </c>
      <c r="C33" t="s">
        <v>780</v>
      </c>
      <c r="D33" t="s">
        <v>354</v>
      </c>
      <c r="E33" t="str">
        <f t="shared" si="0"/>
        <v>Kevin Dougherty</v>
      </c>
      <c r="F33" t="s">
        <v>103</v>
      </c>
      <c r="G33" t="str">
        <f t="shared" si="1"/>
        <v>Nico Echavarria</v>
      </c>
    </row>
    <row r="34" spans="1:7">
      <c r="A34" t="s">
        <v>639</v>
      </c>
      <c r="C34" t="s">
        <v>724</v>
      </c>
      <c r="D34" t="s">
        <v>725</v>
      </c>
      <c r="E34" t="str">
        <f t="shared" si="0"/>
        <v>Adrien Dumont de Chassart</v>
      </c>
      <c r="F34" t="s">
        <v>160</v>
      </c>
      <c r="G34" t="str">
        <f t="shared" si="1"/>
        <v>Harrison Endycott</v>
      </c>
    </row>
    <row r="35" spans="1:7">
      <c r="A35" t="s">
        <v>640</v>
      </c>
      <c r="C35" t="s">
        <v>726</v>
      </c>
      <c r="D35" t="s">
        <v>718</v>
      </c>
      <c r="E35" t="str">
        <f t="shared" si="0"/>
        <v>Tyler Duncan</v>
      </c>
      <c r="F35" t="s">
        <v>556</v>
      </c>
      <c r="G35" t="str">
        <f t="shared" si="1"/>
        <v>Patrick Fishburn</v>
      </c>
    </row>
    <row r="36" spans="1:7">
      <c r="A36" t="s">
        <v>641</v>
      </c>
      <c r="C36" t="s">
        <v>727</v>
      </c>
      <c r="D36" t="s">
        <v>728</v>
      </c>
      <c r="E36" t="str">
        <f t="shared" si="0"/>
        <v>Nico Echavarria</v>
      </c>
      <c r="F36" t="s">
        <v>1133</v>
      </c>
      <c r="G36" t="str">
        <f t="shared" si="1"/>
        <v>Alex Fitzpatrick</v>
      </c>
    </row>
    <row r="37" spans="1:7">
      <c r="A37" t="s">
        <v>822</v>
      </c>
      <c r="C37" t="s">
        <v>791</v>
      </c>
      <c r="D37" t="s">
        <v>792</v>
      </c>
      <c r="E37" t="str">
        <f t="shared" si="0"/>
        <v>Harrison Endycott</v>
      </c>
      <c r="F37" t="s">
        <v>692</v>
      </c>
      <c r="G37" t="str">
        <f t="shared" si="1"/>
        <v>Wilson Furr</v>
      </c>
    </row>
    <row r="38" spans="1:7">
      <c r="A38" t="s">
        <v>899</v>
      </c>
      <c r="C38" t="s">
        <v>996</v>
      </c>
      <c r="D38" t="s">
        <v>997</v>
      </c>
      <c r="E38" t="str">
        <f t="shared" si="0"/>
        <v>Tony Finau</v>
      </c>
      <c r="F38" t="s">
        <v>861</v>
      </c>
      <c r="G38" t="str">
        <f t="shared" si="1"/>
        <v>Tommy Gainey</v>
      </c>
    </row>
    <row r="39" spans="1:7">
      <c r="A39" t="s">
        <v>823</v>
      </c>
      <c r="C39" t="s">
        <v>730</v>
      </c>
      <c r="D39" t="s">
        <v>428</v>
      </c>
      <c r="E39" t="str">
        <f t="shared" si="0"/>
        <v>Patrick Fishburn</v>
      </c>
      <c r="F39" t="s">
        <v>121</v>
      </c>
      <c r="G39" t="str">
        <f t="shared" si="1"/>
        <v>Doug Ghim</v>
      </c>
    </row>
    <row r="40" spans="1:7">
      <c r="A40" t="s">
        <v>900</v>
      </c>
      <c r="C40" t="s">
        <v>998</v>
      </c>
      <c r="D40" t="s">
        <v>712</v>
      </c>
      <c r="E40" t="str">
        <f t="shared" si="0"/>
        <v>Ryan Fox</v>
      </c>
      <c r="F40" t="s">
        <v>596</v>
      </c>
      <c r="G40" t="str">
        <f t="shared" si="1"/>
        <v>Chris Gotterup</v>
      </c>
    </row>
    <row r="41" spans="1:7">
      <c r="A41" t="s">
        <v>824</v>
      </c>
      <c r="C41" t="s">
        <v>781</v>
      </c>
      <c r="D41" t="s">
        <v>782</v>
      </c>
      <c r="E41" t="str">
        <f t="shared" si="0"/>
        <v>Wilson Furr</v>
      </c>
      <c r="F41" t="s">
        <v>493</v>
      </c>
      <c r="G41" t="str">
        <f t="shared" si="1"/>
        <v>Max Greyserman</v>
      </c>
    </row>
    <row r="42" spans="1:7">
      <c r="A42" t="s">
        <v>901</v>
      </c>
      <c r="C42" t="s">
        <v>999</v>
      </c>
      <c r="D42" t="s">
        <v>352</v>
      </c>
      <c r="E42" t="str">
        <f t="shared" si="0"/>
        <v>Nick Gabrelcik</v>
      </c>
      <c r="F42" t="s">
        <v>96</v>
      </c>
      <c r="G42" t="str">
        <f t="shared" si="1"/>
        <v>Cody Gribble</v>
      </c>
    </row>
    <row r="43" spans="1:7">
      <c r="A43" t="s">
        <v>825</v>
      </c>
      <c r="C43" t="s">
        <v>847</v>
      </c>
      <c r="D43" t="s">
        <v>848</v>
      </c>
      <c r="E43" t="str">
        <f t="shared" si="0"/>
        <v>Brice Garnett</v>
      </c>
      <c r="F43" t="s">
        <v>97</v>
      </c>
      <c r="G43" t="str">
        <f t="shared" si="1"/>
        <v>Ben Griffin</v>
      </c>
    </row>
    <row r="44" spans="1:7">
      <c r="A44" t="s">
        <v>902</v>
      </c>
      <c r="C44" t="s">
        <v>1000</v>
      </c>
      <c r="D44" t="s">
        <v>1001</v>
      </c>
      <c r="E44" t="str">
        <f t="shared" si="0"/>
        <v>Doug Ghim</v>
      </c>
      <c r="F44" t="s">
        <v>80</v>
      </c>
      <c r="G44" t="str">
        <f t="shared" si="1"/>
        <v>Lanto Griffin</v>
      </c>
    </row>
    <row r="45" spans="1:7">
      <c r="A45" t="s">
        <v>903</v>
      </c>
      <c r="C45" t="s">
        <v>1002</v>
      </c>
      <c r="D45" t="s">
        <v>1003</v>
      </c>
      <c r="E45" t="str">
        <f t="shared" si="0"/>
        <v>Lucas Glover</v>
      </c>
      <c r="F45" t="s">
        <v>1143</v>
      </c>
      <c r="G45" t="str">
        <f t="shared" si="1"/>
        <v>Juan Jose Guerra</v>
      </c>
    </row>
    <row r="46" spans="1:7">
      <c r="A46" t="s">
        <v>642</v>
      </c>
      <c r="C46" t="s">
        <v>731</v>
      </c>
      <c r="D46" t="s">
        <v>520</v>
      </c>
      <c r="E46" t="str">
        <f t="shared" si="0"/>
        <v>Chris Gotterup</v>
      </c>
      <c r="F46" t="s">
        <v>413</v>
      </c>
      <c r="G46" t="str">
        <f t="shared" si="1"/>
        <v>Scott Gutschewski</v>
      </c>
    </row>
    <row r="47" spans="1:7">
      <c r="A47" t="s">
        <v>666</v>
      </c>
      <c r="C47" t="s">
        <v>732</v>
      </c>
      <c r="D47" t="s">
        <v>330</v>
      </c>
      <c r="E47" t="str">
        <f t="shared" si="0"/>
        <v>Max Greyserman</v>
      </c>
      <c r="F47" t="s">
        <v>243</v>
      </c>
      <c r="G47" t="str">
        <f t="shared" si="1"/>
        <v>Bill Haas</v>
      </c>
    </row>
    <row r="48" spans="1:7">
      <c r="A48" t="s">
        <v>517</v>
      </c>
      <c r="C48" t="s">
        <v>350</v>
      </c>
      <c r="D48" t="s">
        <v>351</v>
      </c>
      <c r="E48" t="str">
        <f t="shared" si="0"/>
        <v>Ben Griffin</v>
      </c>
      <c r="F48" t="s">
        <v>117</v>
      </c>
      <c r="G48" t="str">
        <f t="shared" si="1"/>
        <v>James Hahn</v>
      </c>
    </row>
    <row r="49" spans="1:7">
      <c r="A49" t="s">
        <v>826</v>
      </c>
      <c r="C49" t="s">
        <v>786</v>
      </c>
      <c r="D49" t="s">
        <v>767</v>
      </c>
      <c r="E49" t="str">
        <f t="shared" si="0"/>
        <v>Scott Gutschewski</v>
      </c>
      <c r="F49" t="s">
        <v>594</v>
      </c>
      <c r="G49" t="str">
        <f t="shared" si="1"/>
        <v>Blaine Hale, Jr.</v>
      </c>
    </row>
    <row r="50" spans="1:7">
      <c r="A50" t="s">
        <v>904</v>
      </c>
      <c r="C50" t="s">
        <v>1004</v>
      </c>
      <c r="D50" t="s">
        <v>1005</v>
      </c>
      <c r="E50" t="str">
        <f t="shared" si="0"/>
        <v>Chesson Hadley</v>
      </c>
      <c r="F50" t="s">
        <v>184</v>
      </c>
      <c r="G50" t="str">
        <f t="shared" si="1"/>
        <v>Paul Haley II</v>
      </c>
    </row>
    <row r="51" spans="1:7">
      <c r="A51" t="s">
        <v>905</v>
      </c>
      <c r="C51" t="s">
        <v>1006</v>
      </c>
      <c r="D51" t="s">
        <v>332</v>
      </c>
      <c r="E51" t="str">
        <f t="shared" si="0"/>
        <v>Adam Hadwin</v>
      </c>
      <c r="F51" t="s">
        <v>36</v>
      </c>
      <c r="G51" t="str">
        <f t="shared" si="1"/>
        <v>Nick Hardy</v>
      </c>
    </row>
    <row r="52" spans="1:7">
      <c r="A52" t="s">
        <v>827</v>
      </c>
      <c r="C52" t="s">
        <v>1102</v>
      </c>
      <c r="D52" t="s">
        <v>1007</v>
      </c>
      <c r="E52" t="str">
        <f t="shared" si="0"/>
        <v>Blaine Hale Jr.</v>
      </c>
      <c r="F52" t="s">
        <v>168</v>
      </c>
      <c r="G52" t="str">
        <f t="shared" si="1"/>
        <v>Jim Herman</v>
      </c>
    </row>
    <row r="53" spans="1:7">
      <c r="A53" t="s">
        <v>643</v>
      </c>
      <c r="C53" t="s">
        <v>733</v>
      </c>
      <c r="D53" t="s">
        <v>734</v>
      </c>
      <c r="E53" t="str">
        <f t="shared" si="0"/>
        <v>Harry Hall</v>
      </c>
      <c r="F53" t="s">
        <v>1136</v>
      </c>
      <c r="G53" t="str">
        <f t="shared" si="1"/>
        <v>Justin Hicks</v>
      </c>
    </row>
    <row r="54" spans="1:7">
      <c r="A54" t="s">
        <v>906</v>
      </c>
      <c r="C54" t="s">
        <v>1008</v>
      </c>
      <c r="D54" t="s">
        <v>352</v>
      </c>
      <c r="E54" t="str">
        <f t="shared" si="0"/>
        <v>Nick Hardy</v>
      </c>
      <c r="F54" t="s">
        <v>32</v>
      </c>
      <c r="G54" t="str">
        <f t="shared" si="1"/>
        <v>Garrick Higgo</v>
      </c>
    </row>
    <row r="55" spans="1:7">
      <c r="A55" t="s">
        <v>907</v>
      </c>
      <c r="C55" t="s">
        <v>1009</v>
      </c>
      <c r="D55" t="s">
        <v>809</v>
      </c>
      <c r="E55" t="str">
        <f t="shared" si="0"/>
        <v>Brian Harman</v>
      </c>
      <c r="F55" t="s">
        <v>86</v>
      </c>
      <c r="G55" t="str">
        <f t="shared" si="1"/>
        <v>Harry Higgs</v>
      </c>
    </row>
    <row r="56" spans="1:7">
      <c r="A56" t="s">
        <v>828</v>
      </c>
      <c r="C56" t="s">
        <v>849</v>
      </c>
      <c r="D56" t="s">
        <v>850</v>
      </c>
      <c r="E56" t="str">
        <f t="shared" si="0"/>
        <v>Evan Harmeling</v>
      </c>
      <c r="F56" t="s">
        <v>522</v>
      </c>
      <c r="G56" t="str">
        <f t="shared" si="1"/>
        <v>Joe Highsmith</v>
      </c>
    </row>
    <row r="57" spans="1:7">
      <c r="A57" t="s">
        <v>644</v>
      </c>
      <c r="C57" t="s">
        <v>735</v>
      </c>
      <c r="D57" t="s">
        <v>736</v>
      </c>
      <c r="E57" t="str">
        <f t="shared" si="0"/>
        <v>Garrick Higgo</v>
      </c>
      <c r="F57" t="s">
        <v>485</v>
      </c>
      <c r="G57" t="str">
        <f t="shared" si="1"/>
        <v>Rico Hoey</v>
      </c>
    </row>
    <row r="58" spans="1:7">
      <c r="A58" t="s">
        <v>829</v>
      </c>
      <c r="C58" t="s">
        <v>737</v>
      </c>
      <c r="D58" t="s">
        <v>738</v>
      </c>
      <c r="E58" t="str">
        <f t="shared" si="0"/>
        <v>Joe Highsmith</v>
      </c>
      <c r="F58" t="s">
        <v>50</v>
      </c>
      <c r="G58" t="str">
        <f t="shared" si="1"/>
        <v>Charley Hoffman</v>
      </c>
    </row>
    <row r="59" spans="1:7">
      <c r="A59" t="s">
        <v>659</v>
      </c>
      <c r="C59" t="s">
        <v>739</v>
      </c>
      <c r="D59" t="s">
        <v>740</v>
      </c>
      <c r="E59" t="str">
        <f t="shared" si="0"/>
        <v>Ryo Hisatsune</v>
      </c>
      <c r="F59" t="s">
        <v>595</v>
      </c>
      <c r="G59" t="str">
        <f t="shared" si="1"/>
        <v>Nicolai Højgaard</v>
      </c>
    </row>
    <row r="60" spans="1:7">
      <c r="A60" t="s">
        <v>908</v>
      </c>
      <c r="C60" t="s">
        <v>1010</v>
      </c>
      <c r="D60" t="s">
        <v>1011</v>
      </c>
      <c r="E60" t="str">
        <f t="shared" si="0"/>
        <v>Lee Hodges</v>
      </c>
      <c r="F60" t="s">
        <v>115</v>
      </c>
      <c r="G60" t="str">
        <f t="shared" si="1"/>
        <v>Billy Horschel</v>
      </c>
    </row>
    <row r="61" spans="1:7">
      <c r="A61" t="s">
        <v>662</v>
      </c>
      <c r="C61" t="s">
        <v>741</v>
      </c>
      <c r="D61" t="s">
        <v>742</v>
      </c>
      <c r="E61" t="str">
        <f t="shared" si="0"/>
        <v>Rico Hoey</v>
      </c>
      <c r="F61" t="s">
        <v>162</v>
      </c>
      <c r="G61" t="str">
        <f t="shared" si="1"/>
        <v>Mark Hubbard</v>
      </c>
    </row>
    <row r="62" spans="1:7">
      <c r="A62" t="s">
        <v>909</v>
      </c>
      <c r="C62" t="s">
        <v>1012</v>
      </c>
      <c r="D62" t="s">
        <v>1013</v>
      </c>
      <c r="E62" t="str">
        <f t="shared" si="0"/>
        <v>Charley Hoffman</v>
      </c>
      <c r="F62" t="s">
        <v>1140</v>
      </c>
      <c r="G62" t="str">
        <f t="shared" si="1"/>
        <v>Chase Johnson</v>
      </c>
    </row>
    <row r="63" spans="1:7">
      <c r="A63" t="s">
        <v>910</v>
      </c>
      <c r="C63" t="s">
        <v>1014</v>
      </c>
      <c r="D63" t="s">
        <v>1015</v>
      </c>
      <c r="E63" t="str">
        <f t="shared" si="0"/>
        <v>J.B. Holmes</v>
      </c>
      <c r="F63" t="s">
        <v>174</v>
      </c>
      <c r="G63" t="str">
        <f t="shared" si="1"/>
        <v>Sung Kang</v>
      </c>
    </row>
    <row r="64" spans="1:7">
      <c r="A64" t="s">
        <v>911</v>
      </c>
      <c r="C64" t="s">
        <v>1016</v>
      </c>
      <c r="D64" t="s">
        <v>1017</v>
      </c>
      <c r="E64" t="str">
        <f t="shared" si="0"/>
        <v>Billy Horschel</v>
      </c>
      <c r="F64" t="s">
        <v>424</v>
      </c>
      <c r="G64" t="str">
        <f t="shared" si="1"/>
        <v>Chan Kim</v>
      </c>
    </row>
    <row r="65" spans="1:7">
      <c r="A65" t="s">
        <v>912</v>
      </c>
      <c r="C65" t="s">
        <v>1018</v>
      </c>
      <c r="D65" t="s">
        <v>1019</v>
      </c>
      <c r="E65" t="str">
        <f t="shared" si="0"/>
        <v>Beau Hossler</v>
      </c>
      <c r="F65" t="s">
        <v>62</v>
      </c>
      <c r="G65" t="str">
        <f t="shared" si="1"/>
        <v>Michael Kim</v>
      </c>
    </row>
    <row r="66" spans="1:7">
      <c r="A66" t="s">
        <v>913</v>
      </c>
      <c r="C66" t="s">
        <v>1020</v>
      </c>
      <c r="D66" t="s">
        <v>1021</v>
      </c>
      <c r="E66" t="str">
        <f t="shared" si="0"/>
        <v>Mackenzie Hughes</v>
      </c>
      <c r="F66" t="s">
        <v>39</v>
      </c>
      <c r="G66" t="str">
        <f t="shared" si="1"/>
        <v>S.H. Kim</v>
      </c>
    </row>
    <row r="67" spans="1:7">
      <c r="A67" t="s">
        <v>914</v>
      </c>
      <c r="C67" t="s">
        <v>1022</v>
      </c>
      <c r="D67" t="s">
        <v>1023</v>
      </c>
      <c r="E67" t="str">
        <f t="shared" ref="E67:E130" si="2">_xlfn.CONCAT(TRIM(D67)," ",TRIM(C67))</f>
        <v>Sungjae Im</v>
      </c>
      <c r="F67" t="s">
        <v>91</v>
      </c>
      <c r="G67" t="str">
        <f t="shared" ref="G67:G130" si="3">F67</f>
        <v>Patton Kizzire</v>
      </c>
    </row>
    <row r="68" spans="1:7">
      <c r="A68" t="s">
        <v>915</v>
      </c>
      <c r="C68" t="s">
        <v>1024</v>
      </c>
      <c r="D68" t="s">
        <v>1025</v>
      </c>
      <c r="E68" t="str">
        <f t="shared" si="2"/>
        <v>Zach Johnson</v>
      </c>
      <c r="F68" t="s">
        <v>181</v>
      </c>
      <c r="G68" t="str">
        <f t="shared" si="3"/>
        <v>Russell Knox</v>
      </c>
    </row>
    <row r="69" spans="1:7">
      <c r="A69" t="s">
        <v>660</v>
      </c>
      <c r="C69" t="s">
        <v>331</v>
      </c>
      <c r="D69" t="s">
        <v>743</v>
      </c>
      <c r="E69" t="str">
        <f t="shared" si="2"/>
        <v>Chan Kim</v>
      </c>
      <c r="F69" t="s">
        <v>419</v>
      </c>
      <c r="G69" t="str">
        <f t="shared" si="3"/>
        <v>Ben Kohles</v>
      </c>
    </row>
    <row r="70" spans="1:7">
      <c r="A70" t="s">
        <v>645</v>
      </c>
      <c r="C70" t="s">
        <v>331</v>
      </c>
      <c r="D70" t="s">
        <v>744</v>
      </c>
      <c r="E70" t="str">
        <f t="shared" si="2"/>
        <v>Michael Kim</v>
      </c>
      <c r="F70" t="s">
        <v>440</v>
      </c>
      <c r="G70" t="str">
        <f t="shared" si="3"/>
        <v>Peter Kuest</v>
      </c>
    </row>
    <row r="71" spans="1:7">
      <c r="A71" t="s">
        <v>518</v>
      </c>
      <c r="C71" t="s">
        <v>331</v>
      </c>
      <c r="D71" t="s">
        <v>521</v>
      </c>
      <c r="E71" t="str">
        <f t="shared" si="2"/>
        <v>S.H. Kim</v>
      </c>
      <c r="F71" t="s">
        <v>176</v>
      </c>
      <c r="G71" t="str">
        <f t="shared" si="3"/>
        <v>Andrew Landry</v>
      </c>
    </row>
    <row r="72" spans="1:7">
      <c r="A72" t="s">
        <v>830</v>
      </c>
      <c r="C72" t="s">
        <v>745</v>
      </c>
      <c r="D72" t="s">
        <v>354</v>
      </c>
      <c r="E72" t="str">
        <f t="shared" si="2"/>
        <v>Kevin Kisner</v>
      </c>
      <c r="F72" t="s">
        <v>122</v>
      </c>
      <c r="G72" t="str">
        <f t="shared" si="3"/>
        <v>Nate Lashley</v>
      </c>
    </row>
    <row r="73" spans="1:7">
      <c r="A73" t="s">
        <v>916</v>
      </c>
      <c r="C73" t="s">
        <v>1026</v>
      </c>
      <c r="D73" t="s">
        <v>845</v>
      </c>
      <c r="E73" t="str">
        <f t="shared" si="2"/>
        <v>Greg Koch</v>
      </c>
      <c r="F73" t="s">
        <v>1131</v>
      </c>
      <c r="G73" t="str">
        <f t="shared" si="3"/>
        <v>Thriston Lawrence</v>
      </c>
    </row>
    <row r="74" spans="1:7">
      <c r="A74" t="s">
        <v>646</v>
      </c>
      <c r="C74" t="s">
        <v>746</v>
      </c>
      <c r="D74" t="s">
        <v>351</v>
      </c>
      <c r="E74" t="str">
        <f t="shared" si="2"/>
        <v>Ben Kohles</v>
      </c>
      <c r="F74" t="s">
        <v>92</v>
      </c>
      <c r="G74" t="str">
        <f t="shared" si="3"/>
        <v>K.H. Lee</v>
      </c>
    </row>
    <row r="75" spans="1:7">
      <c r="A75" t="s">
        <v>917</v>
      </c>
      <c r="C75" t="s">
        <v>1027</v>
      </c>
      <c r="D75" t="s">
        <v>1028</v>
      </c>
      <c r="E75" t="str">
        <f t="shared" si="2"/>
        <v>Matt Kuchar</v>
      </c>
      <c r="F75" t="s">
        <v>163</v>
      </c>
      <c r="G75" t="str">
        <f t="shared" si="3"/>
        <v>David Lipsky</v>
      </c>
    </row>
    <row r="76" spans="1:7">
      <c r="A76" t="s">
        <v>918</v>
      </c>
      <c r="C76" t="s">
        <v>1029</v>
      </c>
      <c r="D76" t="s">
        <v>1030</v>
      </c>
      <c r="E76" t="str">
        <f t="shared" si="2"/>
        <v>K.H. Lee</v>
      </c>
      <c r="F76" t="s">
        <v>167</v>
      </c>
      <c r="G76" t="str">
        <f t="shared" si="3"/>
        <v>Adam Long</v>
      </c>
    </row>
    <row r="77" spans="1:7">
      <c r="A77" t="s">
        <v>919</v>
      </c>
      <c r="C77" t="s">
        <v>1029</v>
      </c>
      <c r="D77" t="s">
        <v>1031</v>
      </c>
      <c r="E77" t="str">
        <f t="shared" si="2"/>
        <v>Min Woo Lee</v>
      </c>
      <c r="F77" t="s">
        <v>1137</v>
      </c>
      <c r="G77" t="str">
        <f t="shared" si="3"/>
        <v>Thomas Longbella</v>
      </c>
    </row>
    <row r="78" spans="1:7">
      <c r="A78" t="s">
        <v>831</v>
      </c>
      <c r="C78" t="s">
        <v>747</v>
      </c>
      <c r="D78" t="s">
        <v>748</v>
      </c>
      <c r="E78" t="str">
        <f t="shared" si="2"/>
        <v>Nicholas Lindheim</v>
      </c>
      <c r="F78" t="s">
        <v>147</v>
      </c>
      <c r="G78" t="str">
        <f t="shared" si="3"/>
        <v>Justin Lower</v>
      </c>
    </row>
    <row r="79" spans="1:7">
      <c r="A79" t="s">
        <v>920</v>
      </c>
      <c r="C79" t="s">
        <v>1032</v>
      </c>
      <c r="D79" t="s">
        <v>749</v>
      </c>
      <c r="E79" t="str">
        <f t="shared" si="2"/>
        <v>David Lipsky</v>
      </c>
      <c r="F79" t="s">
        <v>151</v>
      </c>
      <c r="G79" t="str">
        <f t="shared" si="3"/>
        <v>Ben Martin</v>
      </c>
    </row>
    <row r="80" spans="1:7">
      <c r="A80" t="s">
        <v>921</v>
      </c>
      <c r="C80" t="s">
        <v>1033</v>
      </c>
      <c r="D80" t="s">
        <v>430</v>
      </c>
      <c r="E80" t="str">
        <f t="shared" si="2"/>
        <v>Justin Lower</v>
      </c>
      <c r="F80" t="s">
        <v>561</v>
      </c>
      <c r="G80" t="str">
        <f t="shared" si="3"/>
        <v>Ryan McCormick</v>
      </c>
    </row>
    <row r="81" spans="1:7">
      <c r="A81" t="s">
        <v>658</v>
      </c>
      <c r="C81" t="s">
        <v>750</v>
      </c>
      <c r="D81" t="s">
        <v>751</v>
      </c>
      <c r="E81" t="str">
        <f t="shared" si="2"/>
        <v>Robert MacIntyre</v>
      </c>
      <c r="F81" t="s">
        <v>189</v>
      </c>
      <c r="G81" t="str">
        <f t="shared" si="3"/>
        <v>William McGirt</v>
      </c>
    </row>
    <row r="82" spans="1:7">
      <c r="A82" t="s">
        <v>922</v>
      </c>
      <c r="C82" t="s">
        <v>1034</v>
      </c>
      <c r="D82" t="s">
        <v>1035</v>
      </c>
      <c r="E82" t="str">
        <f t="shared" si="2"/>
        <v>Peter Malnati</v>
      </c>
      <c r="F82" t="s">
        <v>879</v>
      </c>
      <c r="G82" t="str">
        <f t="shared" si="3"/>
        <v>George McNeill</v>
      </c>
    </row>
    <row r="83" spans="1:7">
      <c r="A83" t="s">
        <v>647</v>
      </c>
      <c r="C83" t="s">
        <v>752</v>
      </c>
      <c r="D83" t="s">
        <v>351</v>
      </c>
      <c r="E83" t="str">
        <f t="shared" si="2"/>
        <v>Ben Martin</v>
      </c>
      <c r="F83" t="s">
        <v>560</v>
      </c>
      <c r="G83" t="str">
        <f t="shared" si="3"/>
        <v>Mac Meissner</v>
      </c>
    </row>
    <row r="84" spans="1:7">
      <c r="A84" t="s">
        <v>832</v>
      </c>
      <c r="C84" t="s">
        <v>785</v>
      </c>
      <c r="D84" t="s">
        <v>712</v>
      </c>
      <c r="E84" t="str">
        <f t="shared" si="2"/>
        <v>Ryan McCormick</v>
      </c>
      <c r="F84" t="s">
        <v>156</v>
      </c>
      <c r="G84" t="str">
        <f t="shared" si="3"/>
        <v>Troy Merritt</v>
      </c>
    </row>
    <row r="85" spans="1:7">
      <c r="A85" t="s">
        <v>923</v>
      </c>
      <c r="C85" t="s">
        <v>1036</v>
      </c>
      <c r="D85" t="s">
        <v>1037</v>
      </c>
      <c r="E85" t="str">
        <f t="shared" si="2"/>
        <v>Maverick McNealy</v>
      </c>
      <c r="F85" t="s">
        <v>239</v>
      </c>
      <c r="G85" t="str">
        <f t="shared" si="3"/>
        <v>Francesco Molinari</v>
      </c>
    </row>
    <row r="86" spans="1:7">
      <c r="A86" t="s">
        <v>833</v>
      </c>
      <c r="C86" t="s">
        <v>753</v>
      </c>
      <c r="D86" t="s">
        <v>754</v>
      </c>
      <c r="E86" t="str">
        <f t="shared" si="2"/>
        <v>Mac Meissner</v>
      </c>
      <c r="F86" t="s">
        <v>443</v>
      </c>
      <c r="G86" t="str">
        <f t="shared" si="3"/>
        <v>Matt NeSmith</v>
      </c>
    </row>
    <row r="87" spans="1:7">
      <c r="A87" t="s">
        <v>648</v>
      </c>
      <c r="C87" t="s">
        <v>755</v>
      </c>
      <c r="D87" t="s">
        <v>756</v>
      </c>
      <c r="E87" t="str">
        <f t="shared" si="2"/>
        <v>Troy Merritt</v>
      </c>
      <c r="F87" t="s">
        <v>95</v>
      </c>
      <c r="G87" t="str">
        <f t="shared" si="3"/>
        <v>Alex Noren</v>
      </c>
    </row>
    <row r="88" spans="1:7">
      <c r="A88" t="s">
        <v>924</v>
      </c>
      <c r="C88" t="s">
        <v>1038</v>
      </c>
      <c r="D88" t="s">
        <v>1039</v>
      </c>
      <c r="E88" t="str">
        <f t="shared" si="2"/>
        <v>Keith Mitchell</v>
      </c>
      <c r="F88" t="s">
        <v>157</v>
      </c>
      <c r="G88" t="str">
        <f t="shared" si="3"/>
        <v>Henrik Norlander</v>
      </c>
    </row>
    <row r="89" spans="1:7">
      <c r="A89" t="s">
        <v>925</v>
      </c>
      <c r="C89" t="s">
        <v>1040</v>
      </c>
      <c r="D89" t="s">
        <v>1041</v>
      </c>
      <c r="E89" t="str">
        <f t="shared" si="2"/>
        <v>Francesco Molinari</v>
      </c>
      <c r="F89" t="s">
        <v>159</v>
      </c>
      <c r="G89" t="str">
        <f t="shared" si="3"/>
        <v>Sean O'Hair</v>
      </c>
    </row>
    <row r="90" spans="1:7">
      <c r="A90" t="s">
        <v>926</v>
      </c>
      <c r="C90" t="s">
        <v>1042</v>
      </c>
      <c r="D90" t="s">
        <v>1043</v>
      </c>
      <c r="E90" t="str">
        <f t="shared" si="2"/>
        <v>Taylor Montgomery</v>
      </c>
      <c r="F90" t="s">
        <v>800</v>
      </c>
      <c r="G90" t="str">
        <f t="shared" si="3"/>
        <v>Jeff Overton</v>
      </c>
    </row>
    <row r="91" spans="1:7">
      <c r="A91" t="s">
        <v>927</v>
      </c>
      <c r="C91" t="s">
        <v>1044</v>
      </c>
      <c r="D91" t="s">
        <v>712</v>
      </c>
      <c r="E91" t="str">
        <f t="shared" si="2"/>
        <v>Ryan Moore</v>
      </c>
      <c r="F91" t="s">
        <v>87</v>
      </c>
      <c r="G91" t="str">
        <f t="shared" si="3"/>
        <v>Ryan Palmer</v>
      </c>
    </row>
    <row r="92" spans="1:7">
      <c r="A92" t="s">
        <v>928</v>
      </c>
      <c r="C92" t="s">
        <v>1044</v>
      </c>
      <c r="D92" t="s">
        <v>1043</v>
      </c>
      <c r="E92" t="str">
        <f t="shared" si="2"/>
        <v>Taylor Moore</v>
      </c>
      <c r="F92" t="s">
        <v>33</v>
      </c>
      <c r="G92" t="str">
        <f t="shared" si="3"/>
        <v>Taylor Pendrith</v>
      </c>
    </row>
    <row r="93" spans="1:7">
      <c r="A93" t="s">
        <v>929</v>
      </c>
      <c r="C93" t="s">
        <v>1045</v>
      </c>
      <c r="D93" t="s">
        <v>1028</v>
      </c>
      <c r="E93" t="str">
        <f t="shared" si="2"/>
        <v>Matt NeSmith</v>
      </c>
      <c r="F93" t="s">
        <v>564</v>
      </c>
      <c r="G93" t="str">
        <f t="shared" si="3"/>
        <v>Raul Pereda</v>
      </c>
    </row>
    <row r="94" spans="1:7">
      <c r="A94" t="s">
        <v>930</v>
      </c>
      <c r="C94" t="s">
        <v>1046</v>
      </c>
      <c r="D94" t="s">
        <v>353</v>
      </c>
      <c r="E94" t="str">
        <f t="shared" si="2"/>
        <v>Andrew Novak</v>
      </c>
      <c r="F94" t="s">
        <v>632</v>
      </c>
      <c r="G94" t="str">
        <f t="shared" si="3"/>
        <v>Victor Perez</v>
      </c>
    </row>
    <row r="95" spans="1:7">
      <c r="A95" t="s">
        <v>931</v>
      </c>
      <c r="C95" t="s">
        <v>1047</v>
      </c>
      <c r="D95" t="s">
        <v>1048</v>
      </c>
      <c r="E95" t="str">
        <f t="shared" si="2"/>
        <v>Thorbjørn Olesen</v>
      </c>
      <c r="F95" t="s">
        <v>155</v>
      </c>
      <c r="G95" t="str">
        <f t="shared" si="3"/>
        <v>Scott Piercy</v>
      </c>
    </row>
    <row r="96" spans="1:7">
      <c r="A96" t="s">
        <v>932</v>
      </c>
      <c r="C96" t="s">
        <v>1049</v>
      </c>
      <c r="D96" t="s">
        <v>712</v>
      </c>
      <c r="E96" t="str">
        <f t="shared" si="2"/>
        <v>Ryan Palmer</v>
      </c>
      <c r="F96" t="s">
        <v>1138</v>
      </c>
      <c r="G96" t="str">
        <f t="shared" si="3"/>
        <v>D.A. Points</v>
      </c>
    </row>
    <row r="97" spans="1:7">
      <c r="A97" t="s">
        <v>933</v>
      </c>
      <c r="C97" t="s">
        <v>1050</v>
      </c>
      <c r="D97" t="s">
        <v>1043</v>
      </c>
      <c r="E97" t="str">
        <f t="shared" si="2"/>
        <v>Taylor Pendrith</v>
      </c>
      <c r="F97" t="s">
        <v>1146</v>
      </c>
      <c r="G97" t="str">
        <f t="shared" si="3"/>
        <v>Willy Pumarol</v>
      </c>
    </row>
    <row r="98" spans="1:7">
      <c r="A98" t="s">
        <v>834</v>
      </c>
      <c r="C98" t="s">
        <v>851</v>
      </c>
      <c r="D98" t="s">
        <v>852</v>
      </c>
      <c r="E98" t="str">
        <f t="shared" si="2"/>
        <v>Raul Pereda</v>
      </c>
      <c r="F98" t="s">
        <v>152</v>
      </c>
      <c r="G98" t="str">
        <f t="shared" si="3"/>
        <v>Aaron Rai</v>
      </c>
    </row>
    <row r="99" spans="1:7">
      <c r="A99" t="s">
        <v>649</v>
      </c>
      <c r="C99" t="s">
        <v>757</v>
      </c>
      <c r="D99" t="s">
        <v>758</v>
      </c>
      <c r="E99" t="str">
        <f t="shared" si="2"/>
        <v>Victor Perez</v>
      </c>
      <c r="F99" t="s">
        <v>148</v>
      </c>
      <c r="G99" t="str">
        <f t="shared" si="3"/>
        <v>Chad Ramey</v>
      </c>
    </row>
    <row r="100" spans="1:7">
      <c r="A100" t="s">
        <v>667</v>
      </c>
      <c r="C100" t="s">
        <v>759</v>
      </c>
      <c r="D100" t="s">
        <v>760</v>
      </c>
      <c r="E100" t="str">
        <f t="shared" si="2"/>
        <v>Chandler Phillips</v>
      </c>
      <c r="F100" t="s">
        <v>177</v>
      </c>
      <c r="G100" t="str">
        <f t="shared" si="3"/>
        <v>Chez Reavie</v>
      </c>
    </row>
    <row r="101" spans="1:7">
      <c r="A101" t="s">
        <v>934</v>
      </c>
      <c r="C101" t="s">
        <v>1051</v>
      </c>
      <c r="D101" t="s">
        <v>1052</v>
      </c>
      <c r="E101" t="str">
        <f t="shared" si="2"/>
        <v>Seamus Power</v>
      </c>
      <c r="F101" t="s">
        <v>146</v>
      </c>
      <c r="G101" t="str">
        <f t="shared" si="3"/>
        <v>Sam Ryder</v>
      </c>
    </row>
    <row r="102" spans="1:7">
      <c r="A102" t="s">
        <v>935</v>
      </c>
      <c r="C102" t="s">
        <v>1053</v>
      </c>
      <c r="D102" t="s">
        <v>353</v>
      </c>
      <c r="E102" t="str">
        <f t="shared" si="2"/>
        <v>Andrew Putnam</v>
      </c>
      <c r="F102" t="s">
        <v>1139</v>
      </c>
      <c r="G102" t="str">
        <f t="shared" si="3"/>
        <v>Julio Santos</v>
      </c>
    </row>
    <row r="103" spans="1:7">
      <c r="A103" t="s">
        <v>650</v>
      </c>
      <c r="C103" t="s">
        <v>853</v>
      </c>
      <c r="D103" t="s">
        <v>704</v>
      </c>
      <c r="E103" t="str">
        <f t="shared" si="2"/>
        <v>Aaron Rai</v>
      </c>
      <c r="F103" t="s">
        <v>11</v>
      </c>
      <c r="G103" t="str">
        <f t="shared" si="3"/>
        <v>Matti Schmid</v>
      </c>
    </row>
    <row r="104" spans="1:7">
      <c r="A104" t="s">
        <v>936</v>
      </c>
      <c r="C104" t="s">
        <v>1054</v>
      </c>
      <c r="D104" t="s">
        <v>1055</v>
      </c>
      <c r="E104" t="str">
        <f t="shared" si="2"/>
        <v>Chad Ramey</v>
      </c>
      <c r="F104" t="s">
        <v>1141</v>
      </c>
      <c r="G104" t="str">
        <f t="shared" si="3"/>
        <v>Herman Wibe Sekne(a)</v>
      </c>
    </row>
    <row r="105" spans="1:7">
      <c r="A105" t="s">
        <v>937</v>
      </c>
      <c r="C105" t="s">
        <v>1056</v>
      </c>
      <c r="D105" t="s">
        <v>1057</v>
      </c>
      <c r="E105" t="str">
        <f t="shared" si="2"/>
        <v>Chez Reavie</v>
      </c>
      <c r="F105" t="s">
        <v>1142</v>
      </c>
      <c r="G105" t="str">
        <f t="shared" si="3"/>
        <v>Braden Shattuck</v>
      </c>
    </row>
    <row r="106" spans="1:7">
      <c r="A106" t="s">
        <v>938</v>
      </c>
      <c r="C106" t="s">
        <v>1058</v>
      </c>
      <c r="D106" t="s">
        <v>1059</v>
      </c>
      <c r="E106" t="str">
        <f t="shared" si="2"/>
        <v>Davis Riley</v>
      </c>
      <c r="F106" t="s">
        <v>134</v>
      </c>
      <c r="G106" t="str">
        <f t="shared" si="3"/>
        <v>Greyson Sigg</v>
      </c>
    </row>
    <row r="107" spans="1:7">
      <c r="A107" t="s">
        <v>939</v>
      </c>
      <c r="C107" t="s">
        <v>1060</v>
      </c>
      <c r="D107" t="s">
        <v>428</v>
      </c>
      <c r="E107" t="str">
        <f t="shared" si="2"/>
        <v>Patrick Rodgers</v>
      </c>
      <c r="F107" t="s">
        <v>1144</v>
      </c>
      <c r="G107" t="str">
        <f t="shared" si="3"/>
        <v>Hiram Silfa</v>
      </c>
    </row>
    <row r="108" spans="1:7">
      <c r="A108" t="s">
        <v>940</v>
      </c>
      <c r="C108" t="s">
        <v>1061</v>
      </c>
      <c r="D108" t="s">
        <v>354</v>
      </c>
      <c r="E108" t="str">
        <f t="shared" si="2"/>
        <v>Kevin Roy</v>
      </c>
      <c r="F108" t="s">
        <v>433</v>
      </c>
      <c r="G108" t="str">
        <f t="shared" si="3"/>
        <v>Ben Silverman</v>
      </c>
    </row>
    <row r="109" spans="1:7">
      <c r="A109" t="s">
        <v>941</v>
      </c>
      <c r="C109" t="s">
        <v>1062</v>
      </c>
      <c r="D109" t="s">
        <v>328</v>
      </c>
      <c r="E109" t="str">
        <f t="shared" si="2"/>
        <v>Sam Ryder</v>
      </c>
      <c r="F109" t="s">
        <v>393</v>
      </c>
      <c r="G109" t="str">
        <f t="shared" si="3"/>
        <v>Roger Sloan</v>
      </c>
    </row>
    <row r="110" spans="1:7">
      <c r="A110" t="s">
        <v>942</v>
      </c>
      <c r="C110" t="s">
        <v>1063</v>
      </c>
      <c r="D110" t="s">
        <v>1064</v>
      </c>
      <c r="E110" t="str">
        <f t="shared" si="2"/>
        <v>Xander Schauffele</v>
      </c>
      <c r="F110" t="s">
        <v>79</v>
      </c>
      <c r="G110" t="str">
        <f t="shared" si="3"/>
        <v>Alex Smalley</v>
      </c>
    </row>
    <row r="111" spans="1:7">
      <c r="A111" t="s">
        <v>943</v>
      </c>
      <c r="C111" t="s">
        <v>1065</v>
      </c>
      <c r="D111" t="s">
        <v>332</v>
      </c>
      <c r="E111" t="str">
        <f t="shared" si="2"/>
        <v>Adam Schenk</v>
      </c>
      <c r="F111" t="s">
        <v>99</v>
      </c>
      <c r="G111" t="str">
        <f t="shared" si="3"/>
        <v>Austin Smotherman</v>
      </c>
    </row>
    <row r="112" spans="1:7">
      <c r="A112" t="s">
        <v>651</v>
      </c>
      <c r="C112" t="s">
        <v>761</v>
      </c>
      <c r="D112" t="s">
        <v>762</v>
      </c>
      <c r="E112" t="str">
        <f t="shared" si="2"/>
        <v>Matti Schmid</v>
      </c>
      <c r="F112" t="s">
        <v>557</v>
      </c>
      <c r="G112" t="str">
        <f t="shared" si="3"/>
        <v>Hayden Springer</v>
      </c>
    </row>
    <row r="113" spans="1:7">
      <c r="A113" t="s">
        <v>944</v>
      </c>
      <c r="C113" t="s">
        <v>1066</v>
      </c>
      <c r="D113" t="s">
        <v>1067</v>
      </c>
      <c r="E113" t="str">
        <f t="shared" si="2"/>
        <v>Robby Shelton</v>
      </c>
      <c r="F113" t="s">
        <v>495</v>
      </c>
      <c r="G113" t="str">
        <f t="shared" si="3"/>
        <v>Jimmy Stanger</v>
      </c>
    </row>
    <row r="114" spans="1:7">
      <c r="A114" t="s">
        <v>945</v>
      </c>
      <c r="C114" t="s">
        <v>1068</v>
      </c>
      <c r="D114" t="s">
        <v>1069</v>
      </c>
      <c r="E114" t="str">
        <f t="shared" si="2"/>
        <v>Greyson Sigg</v>
      </c>
      <c r="F114" t="s">
        <v>221</v>
      </c>
      <c r="G114" t="str">
        <f t="shared" si="3"/>
        <v>Kyle Stanley</v>
      </c>
    </row>
    <row r="115" spans="1:7">
      <c r="A115" t="s">
        <v>663</v>
      </c>
      <c r="C115" t="s">
        <v>763</v>
      </c>
      <c r="D115" t="s">
        <v>351</v>
      </c>
      <c r="E115" t="str">
        <f t="shared" si="2"/>
        <v>Ben Silverman</v>
      </c>
      <c r="F115" t="s">
        <v>30</v>
      </c>
      <c r="G115" t="str">
        <f t="shared" si="3"/>
        <v>Sam Stevens</v>
      </c>
    </row>
    <row r="116" spans="1:7">
      <c r="A116" t="s">
        <v>946</v>
      </c>
      <c r="C116" t="s">
        <v>1070</v>
      </c>
      <c r="D116" t="s">
        <v>1071</v>
      </c>
      <c r="E116" t="str">
        <f t="shared" si="2"/>
        <v>Webb Simpson</v>
      </c>
      <c r="F116" t="s">
        <v>119</v>
      </c>
      <c r="G116" t="str">
        <f t="shared" si="3"/>
        <v>Robert Streb</v>
      </c>
    </row>
    <row r="117" spans="1:7">
      <c r="A117" t="s">
        <v>835</v>
      </c>
      <c r="C117" t="s">
        <v>764</v>
      </c>
      <c r="D117" t="s">
        <v>749</v>
      </c>
      <c r="E117" t="str">
        <f t="shared" si="2"/>
        <v>David Skinns</v>
      </c>
      <c r="F117" t="s">
        <v>191</v>
      </c>
      <c r="G117" t="str">
        <f t="shared" si="3"/>
        <v>Brian Stuard</v>
      </c>
    </row>
    <row r="118" spans="1:7">
      <c r="A118" t="s">
        <v>836</v>
      </c>
      <c r="C118" t="s">
        <v>787</v>
      </c>
      <c r="D118" t="s">
        <v>788</v>
      </c>
      <c r="E118" t="str">
        <f t="shared" si="2"/>
        <v>Roger Sloan</v>
      </c>
      <c r="F118" t="s">
        <v>109</v>
      </c>
      <c r="G118" t="str">
        <f t="shared" si="3"/>
        <v>Justin Suh</v>
      </c>
    </row>
    <row r="119" spans="1:7">
      <c r="A119" t="s">
        <v>947</v>
      </c>
      <c r="C119" t="s">
        <v>1072</v>
      </c>
      <c r="D119" t="s">
        <v>1073</v>
      </c>
      <c r="E119" t="str">
        <f t="shared" si="2"/>
        <v>Alex Smalley</v>
      </c>
      <c r="F119" t="s">
        <v>21</v>
      </c>
      <c r="G119" t="str">
        <f t="shared" si="3"/>
        <v>Callum Tarren</v>
      </c>
    </row>
    <row r="120" spans="1:7">
      <c r="A120" t="s">
        <v>652</v>
      </c>
      <c r="C120" t="s">
        <v>765</v>
      </c>
      <c r="D120" t="s">
        <v>766</v>
      </c>
      <c r="E120" t="str">
        <f t="shared" si="2"/>
        <v>Brandt Snedeker</v>
      </c>
      <c r="F120" t="s">
        <v>444</v>
      </c>
      <c r="G120" t="str">
        <f t="shared" si="3"/>
        <v>Josh Teater</v>
      </c>
    </row>
    <row r="121" spans="1:7">
      <c r="A121" t="s">
        <v>948</v>
      </c>
      <c r="C121" t="s">
        <v>1074</v>
      </c>
      <c r="D121" t="s">
        <v>1075</v>
      </c>
      <c r="E121" t="str">
        <f t="shared" si="2"/>
        <v>J.J. Spaun</v>
      </c>
      <c r="F121" t="s">
        <v>28</v>
      </c>
      <c r="G121" t="str">
        <f t="shared" si="3"/>
        <v>Davis Thompson</v>
      </c>
    </row>
    <row r="122" spans="1:7">
      <c r="A122" t="s">
        <v>949</v>
      </c>
      <c r="C122" t="s">
        <v>1076</v>
      </c>
      <c r="D122" t="s">
        <v>1077</v>
      </c>
      <c r="E122" t="str">
        <f t="shared" si="2"/>
        <v>Jordan Spieth</v>
      </c>
      <c r="F122" t="s">
        <v>83</v>
      </c>
      <c r="G122" t="str">
        <f t="shared" si="3"/>
        <v>Martin Trainer</v>
      </c>
    </row>
    <row r="123" spans="1:7">
      <c r="A123" t="s">
        <v>837</v>
      </c>
      <c r="C123" t="s">
        <v>854</v>
      </c>
      <c r="D123" t="s">
        <v>602</v>
      </c>
      <c r="E123" t="str">
        <f t="shared" si="2"/>
        <v>Hayden Springer</v>
      </c>
      <c r="F123" t="s">
        <v>41</v>
      </c>
      <c r="G123" t="str">
        <f t="shared" si="3"/>
        <v>Kevin Tway</v>
      </c>
    </row>
    <row r="124" spans="1:7">
      <c r="A124" t="s">
        <v>950</v>
      </c>
      <c r="C124" t="s">
        <v>1078</v>
      </c>
      <c r="D124" t="s">
        <v>767</v>
      </c>
      <c r="E124" t="str">
        <f t="shared" si="2"/>
        <v>Scott Stallings</v>
      </c>
      <c r="F124" t="s">
        <v>241</v>
      </c>
      <c r="G124" t="str">
        <f t="shared" si="3"/>
        <v>Jhonattan Vegas</v>
      </c>
    </row>
    <row r="125" spans="1:7">
      <c r="A125" t="s">
        <v>838</v>
      </c>
      <c r="C125" t="s">
        <v>768</v>
      </c>
      <c r="D125" t="s">
        <v>769</v>
      </c>
      <c r="E125" t="str">
        <f t="shared" si="2"/>
        <v>Jimmy Stanger</v>
      </c>
      <c r="F125" t="s">
        <v>45</v>
      </c>
      <c r="G125" t="str">
        <f t="shared" si="3"/>
        <v>Jimmy Walker</v>
      </c>
    </row>
    <row r="126" spans="1:7">
      <c r="A126" t="s">
        <v>653</v>
      </c>
      <c r="C126" t="s">
        <v>770</v>
      </c>
      <c r="D126" t="s">
        <v>328</v>
      </c>
      <c r="E126" t="str">
        <f t="shared" si="2"/>
        <v>Sam Stevens</v>
      </c>
      <c r="F126" t="s">
        <v>138</v>
      </c>
      <c r="G126" t="str">
        <f t="shared" si="3"/>
        <v>Nick Watney</v>
      </c>
    </row>
    <row r="127" spans="1:7">
      <c r="A127" t="s">
        <v>951</v>
      </c>
      <c r="C127" t="s">
        <v>1079</v>
      </c>
      <c r="D127" t="s">
        <v>1080</v>
      </c>
      <c r="E127" t="str">
        <f t="shared" si="2"/>
        <v>Sepp Straka</v>
      </c>
      <c r="F127" t="s">
        <v>94</v>
      </c>
      <c r="G127" t="str">
        <f t="shared" si="3"/>
        <v>Richy Werenski</v>
      </c>
    </row>
    <row r="128" spans="1:7">
      <c r="A128" t="s">
        <v>654</v>
      </c>
      <c r="C128" t="s">
        <v>771</v>
      </c>
      <c r="D128" t="s">
        <v>354</v>
      </c>
      <c r="E128" t="str">
        <f t="shared" si="2"/>
        <v>Kevin Streelman</v>
      </c>
      <c r="F128" t="s">
        <v>223</v>
      </c>
      <c r="G128" t="str">
        <f t="shared" si="3"/>
        <v>Vince Whaley</v>
      </c>
    </row>
    <row r="129" spans="1:7">
      <c r="A129" t="s">
        <v>655</v>
      </c>
      <c r="C129" t="s">
        <v>772</v>
      </c>
      <c r="D129" t="s">
        <v>430</v>
      </c>
      <c r="E129" t="str">
        <f t="shared" si="2"/>
        <v>Justin Suh</v>
      </c>
      <c r="F129" t="s">
        <v>563</v>
      </c>
      <c r="G129" t="str">
        <f t="shared" si="3"/>
        <v>Tom Whitney</v>
      </c>
    </row>
    <row r="130" spans="1:7">
      <c r="A130" t="s">
        <v>952</v>
      </c>
      <c r="C130" t="s">
        <v>1081</v>
      </c>
      <c r="D130" t="s">
        <v>332</v>
      </c>
      <c r="E130" t="str">
        <f t="shared" si="2"/>
        <v>Adam Svensson</v>
      </c>
      <c r="F130" t="s">
        <v>133</v>
      </c>
      <c r="G130" t="str">
        <f t="shared" si="3"/>
        <v>Brandon Wu</v>
      </c>
    </row>
    <row r="131" spans="1:7">
      <c r="A131" t="s">
        <v>953</v>
      </c>
      <c r="C131" t="s">
        <v>1082</v>
      </c>
      <c r="D131" t="s">
        <v>1083</v>
      </c>
      <c r="E131" t="str">
        <f t="shared" ref="E131:E152" si="4">_xlfn.CONCAT(TRIM(D131)," ",TRIM(C131))</f>
        <v>Callum Tarren</v>
      </c>
      <c r="F131" t="s">
        <v>136</v>
      </c>
      <c r="G131" t="str">
        <f t="shared" ref="G131:G133" si="5">F131</f>
        <v>Carson Young</v>
      </c>
    </row>
    <row r="132" spans="1:7">
      <c r="A132" t="s">
        <v>954</v>
      </c>
      <c r="C132" t="s">
        <v>1084</v>
      </c>
      <c r="D132" t="s">
        <v>351</v>
      </c>
      <c r="E132" t="str">
        <f t="shared" si="4"/>
        <v>Ben Taylor</v>
      </c>
      <c r="F132" t="s">
        <v>26</v>
      </c>
      <c r="G132" t="str">
        <f t="shared" si="5"/>
        <v>Kevin Yu</v>
      </c>
    </row>
    <row r="133" spans="1:7">
      <c r="A133" t="s">
        <v>955</v>
      </c>
      <c r="C133" t="s">
        <v>1084</v>
      </c>
      <c r="D133" t="s">
        <v>352</v>
      </c>
      <c r="E133" t="str">
        <f t="shared" si="4"/>
        <v>Nick Taylor</v>
      </c>
      <c r="F133" t="s">
        <v>48</v>
      </c>
      <c r="G133" t="str">
        <f t="shared" si="5"/>
        <v>Carl Yuan</v>
      </c>
    </row>
    <row r="134" spans="1:7">
      <c r="A134" t="s">
        <v>839</v>
      </c>
      <c r="C134" t="s">
        <v>783</v>
      </c>
      <c r="D134" t="s">
        <v>784</v>
      </c>
      <c r="E134" t="str">
        <f t="shared" si="4"/>
        <v>Josh Teater</v>
      </c>
    </row>
    <row r="135" spans="1:7">
      <c r="A135" t="s">
        <v>956</v>
      </c>
      <c r="C135" t="s">
        <v>1085</v>
      </c>
      <c r="D135" t="s">
        <v>430</v>
      </c>
      <c r="E135" t="str">
        <f t="shared" si="4"/>
        <v>Justin Thomas</v>
      </c>
    </row>
    <row r="136" spans="1:7">
      <c r="A136" t="s">
        <v>957</v>
      </c>
      <c r="C136" t="s">
        <v>1086</v>
      </c>
      <c r="D136" t="s">
        <v>1059</v>
      </c>
      <c r="E136" t="str">
        <f t="shared" si="4"/>
        <v>Davis Thompson</v>
      </c>
    </row>
    <row r="137" spans="1:7">
      <c r="A137" t="s">
        <v>958</v>
      </c>
      <c r="C137" t="s">
        <v>1087</v>
      </c>
      <c r="D137" t="s">
        <v>1088</v>
      </c>
      <c r="E137" t="str">
        <f t="shared" si="4"/>
        <v>Brendon Todd</v>
      </c>
    </row>
    <row r="138" spans="1:7">
      <c r="A138" t="s">
        <v>661</v>
      </c>
      <c r="C138" t="s">
        <v>773</v>
      </c>
      <c r="D138" t="s">
        <v>774</v>
      </c>
      <c r="E138" t="str">
        <f t="shared" si="4"/>
        <v>Alejandro Tosti</v>
      </c>
    </row>
    <row r="139" spans="1:7">
      <c r="A139" t="s">
        <v>959</v>
      </c>
      <c r="C139" t="s">
        <v>1089</v>
      </c>
      <c r="D139" t="s">
        <v>1090</v>
      </c>
      <c r="E139" t="str">
        <f t="shared" si="4"/>
        <v>Sami Valimaki</v>
      </c>
    </row>
    <row r="140" spans="1:7">
      <c r="A140" t="s">
        <v>960</v>
      </c>
      <c r="C140" t="s">
        <v>1091</v>
      </c>
      <c r="D140" t="s">
        <v>1092</v>
      </c>
      <c r="E140" t="str">
        <f t="shared" si="4"/>
        <v>Jhonattan Vegas</v>
      </c>
    </row>
    <row r="141" spans="1:7">
      <c r="A141" t="s">
        <v>656</v>
      </c>
      <c r="C141" t="s">
        <v>775</v>
      </c>
      <c r="D141" t="s">
        <v>776</v>
      </c>
      <c r="E141" t="str">
        <f t="shared" si="4"/>
        <v>Camilo Villegas</v>
      </c>
    </row>
    <row r="142" spans="1:7">
      <c r="A142" t="s">
        <v>961</v>
      </c>
      <c r="C142" t="s">
        <v>1093</v>
      </c>
      <c r="D142" t="s">
        <v>1028</v>
      </c>
      <c r="E142" t="str">
        <f t="shared" si="4"/>
        <v>Matt Wallace</v>
      </c>
    </row>
    <row r="143" spans="1:7">
      <c r="A143" t="s">
        <v>657</v>
      </c>
      <c r="C143" t="s">
        <v>855</v>
      </c>
      <c r="D143" t="s">
        <v>856</v>
      </c>
      <c r="E143" t="str">
        <f t="shared" si="4"/>
        <v>Vince Whaley</v>
      </c>
    </row>
    <row r="144" spans="1:7">
      <c r="A144" t="s">
        <v>840</v>
      </c>
      <c r="C144" t="s">
        <v>779</v>
      </c>
      <c r="D144" t="s">
        <v>329</v>
      </c>
      <c r="E144" t="str">
        <f t="shared" si="4"/>
        <v>Tom Whitney</v>
      </c>
    </row>
    <row r="145" spans="1:5">
      <c r="A145" t="s">
        <v>841</v>
      </c>
      <c r="C145" t="s">
        <v>857</v>
      </c>
      <c r="D145" t="s">
        <v>704</v>
      </c>
      <c r="E145" t="str">
        <f t="shared" si="4"/>
        <v>Aaron Wise</v>
      </c>
    </row>
    <row r="146" spans="1:5">
      <c r="A146" t="s">
        <v>962</v>
      </c>
      <c r="C146" t="s">
        <v>1094</v>
      </c>
      <c r="D146" t="s">
        <v>1095</v>
      </c>
      <c r="E146" t="str">
        <f t="shared" si="4"/>
        <v>Gary Woodland</v>
      </c>
    </row>
    <row r="147" spans="1:5">
      <c r="A147" t="s">
        <v>963</v>
      </c>
      <c r="C147" t="s">
        <v>431</v>
      </c>
      <c r="D147" t="s">
        <v>1096</v>
      </c>
      <c r="E147" t="str">
        <f t="shared" si="4"/>
        <v>Dylan Wu</v>
      </c>
    </row>
    <row r="148" spans="1:5">
      <c r="A148" t="s">
        <v>842</v>
      </c>
      <c r="C148" t="s">
        <v>777</v>
      </c>
      <c r="D148" t="s">
        <v>778</v>
      </c>
      <c r="E148" t="str">
        <f t="shared" si="4"/>
        <v>Norman Xiong</v>
      </c>
    </row>
    <row r="149" spans="1:5">
      <c r="A149" t="s">
        <v>964</v>
      </c>
      <c r="C149" t="s">
        <v>1097</v>
      </c>
      <c r="D149" t="s">
        <v>429</v>
      </c>
      <c r="E149" t="str">
        <f t="shared" si="4"/>
        <v>Cameron Young</v>
      </c>
    </row>
    <row r="150" spans="1:5">
      <c r="A150" t="s">
        <v>965</v>
      </c>
      <c r="C150" t="s">
        <v>1097</v>
      </c>
      <c r="D150" t="s">
        <v>1098</v>
      </c>
      <c r="E150" t="str">
        <f t="shared" si="4"/>
        <v>Carson Young</v>
      </c>
    </row>
    <row r="151" spans="1:5">
      <c r="A151" t="s">
        <v>966</v>
      </c>
      <c r="C151" t="s">
        <v>1099</v>
      </c>
      <c r="D151" t="s">
        <v>354</v>
      </c>
      <c r="E151" t="str">
        <f t="shared" si="4"/>
        <v>Kevin Yu</v>
      </c>
    </row>
    <row r="152" spans="1:5">
      <c r="A152" t="s">
        <v>967</v>
      </c>
      <c r="C152" t="s">
        <v>1100</v>
      </c>
      <c r="D152" t="s">
        <v>1101</v>
      </c>
      <c r="E152" t="str">
        <f t="shared" si="4"/>
        <v>Carl Yuan</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8E951-7D26-404D-B007-BDE5D1E751BA}">
  <sheetPr codeName="Sheet8">
    <tabColor rgb="FF00B050"/>
  </sheetPr>
  <dimension ref="A1:K205"/>
  <sheetViews>
    <sheetView workbookViewId="0">
      <selection activeCell="A97" sqref="A97:XFD97"/>
    </sheetView>
  </sheetViews>
  <sheetFormatPr defaultRowHeight="15"/>
  <cols>
    <col min="1" max="1" width="20.5703125" bestFit="1" customWidth="1"/>
    <col min="2" max="2" width="7.5703125" bestFit="1" customWidth="1"/>
    <col min="3" max="3" width="9" bestFit="1" customWidth="1"/>
    <col min="4" max="4" width="19.140625" bestFit="1" customWidth="1"/>
    <col min="5" max="5" width="16.7109375" bestFit="1" customWidth="1"/>
    <col min="8" max="8" width="23.140625" bestFit="1" customWidth="1"/>
    <col min="10" max="10" width="16" bestFit="1" customWidth="1"/>
    <col min="11" max="11" width="10.28515625" bestFit="1" customWidth="1"/>
    <col min="12" max="12" width="25.85546875" bestFit="1" customWidth="1"/>
    <col min="13" max="13" width="22.85546875" bestFit="1" customWidth="1"/>
  </cols>
  <sheetData>
    <row r="1" spans="1:11">
      <c r="A1" s="1" t="s">
        <v>0</v>
      </c>
      <c r="B1" s="1" t="s">
        <v>1</v>
      </c>
      <c r="C1" s="1" t="s">
        <v>2</v>
      </c>
      <c r="D1" s="2" t="s">
        <v>3</v>
      </c>
      <c r="E1" s="1" t="s">
        <v>4</v>
      </c>
      <c r="G1" s="403" t="s">
        <v>5</v>
      </c>
      <c r="H1" s="403"/>
      <c r="I1" s="403"/>
      <c r="J1" s="403"/>
      <c r="K1" s="403"/>
    </row>
    <row r="2" spans="1:11">
      <c r="A2" t="str">
        <f>H2</f>
        <v>Cameron Champ</v>
      </c>
      <c r="B2">
        <f>G2</f>
        <v>1</v>
      </c>
      <c r="C2">
        <f>I2</f>
        <v>316.39999999999998</v>
      </c>
      <c r="D2" s="3">
        <f>J2</f>
        <v>15188</v>
      </c>
      <c r="E2">
        <f>K2</f>
        <v>48</v>
      </c>
      <c r="G2">
        <v>1</v>
      </c>
      <c r="H2" t="s">
        <v>8</v>
      </c>
      <c r="I2" s="3">
        <v>316.39999999999998</v>
      </c>
      <c r="J2" s="3">
        <v>15188</v>
      </c>
      <c r="K2">
        <v>48</v>
      </c>
    </row>
    <row r="3" spans="1:11">
      <c r="A3" t="str">
        <f t="shared" ref="A3:A56" si="0">H3</f>
        <v>Chris Gotterup</v>
      </c>
      <c r="B3">
        <f t="shared" ref="B3:B56" si="1">G3</f>
        <v>2</v>
      </c>
      <c r="C3">
        <f t="shared" ref="C3:E56" si="2">I3</f>
        <v>314.7</v>
      </c>
      <c r="D3" s="3">
        <f t="shared" si="2"/>
        <v>14477</v>
      </c>
      <c r="E3">
        <f t="shared" si="2"/>
        <v>46</v>
      </c>
      <c r="G3">
        <v>2</v>
      </c>
      <c r="H3" t="s">
        <v>596</v>
      </c>
      <c r="I3">
        <v>314.7</v>
      </c>
      <c r="J3" s="3">
        <v>14477</v>
      </c>
      <c r="K3">
        <v>46</v>
      </c>
    </row>
    <row r="4" spans="1:11">
      <c r="A4" t="str">
        <f t="shared" si="0"/>
        <v>Kevin Dougherty</v>
      </c>
      <c r="B4">
        <f t="shared" si="1"/>
        <v>3</v>
      </c>
      <c r="C4">
        <f t="shared" si="2"/>
        <v>314.3</v>
      </c>
      <c r="D4" s="3">
        <f t="shared" si="2"/>
        <v>13829</v>
      </c>
      <c r="E4">
        <f t="shared" si="2"/>
        <v>44</v>
      </c>
      <c r="G4">
        <v>3</v>
      </c>
      <c r="H4" t="s">
        <v>562</v>
      </c>
      <c r="I4">
        <v>314.3</v>
      </c>
      <c r="J4" s="3">
        <v>13829</v>
      </c>
      <c r="K4">
        <v>44</v>
      </c>
    </row>
    <row r="5" spans="1:11">
      <c r="A5" t="str">
        <f t="shared" si="0"/>
        <v>Rory McIlroy</v>
      </c>
      <c r="B5">
        <f t="shared" si="1"/>
        <v>4</v>
      </c>
      <c r="C5">
        <f t="shared" si="2"/>
        <v>313.10000000000002</v>
      </c>
      <c r="D5" s="3">
        <f t="shared" si="2"/>
        <v>16906</v>
      </c>
      <c r="E5">
        <f t="shared" si="2"/>
        <v>54</v>
      </c>
      <c r="G5">
        <v>4</v>
      </c>
      <c r="H5" t="s">
        <v>6</v>
      </c>
      <c r="I5">
        <v>313.10000000000002</v>
      </c>
      <c r="J5" s="3">
        <v>16906</v>
      </c>
      <c r="K5">
        <v>54</v>
      </c>
    </row>
    <row r="6" spans="1:11">
      <c r="A6" t="str">
        <f t="shared" si="0"/>
        <v>Carl Yuan</v>
      </c>
      <c r="B6">
        <f t="shared" si="1"/>
        <v>5</v>
      </c>
      <c r="C6">
        <f t="shared" si="2"/>
        <v>311.8</v>
      </c>
      <c r="D6" s="3">
        <f t="shared" si="2"/>
        <v>15589</v>
      </c>
      <c r="E6">
        <f t="shared" si="2"/>
        <v>50</v>
      </c>
      <c r="G6">
        <v>5</v>
      </c>
      <c r="H6" t="s">
        <v>48</v>
      </c>
      <c r="I6">
        <v>311.8</v>
      </c>
      <c r="J6" s="3">
        <v>15589</v>
      </c>
      <c r="K6">
        <v>50</v>
      </c>
    </row>
    <row r="7" spans="1:11">
      <c r="A7" t="str">
        <f t="shared" si="0"/>
        <v>Alejandro Tosti</v>
      </c>
      <c r="B7">
        <f t="shared" si="1"/>
        <v>6</v>
      </c>
      <c r="C7">
        <f t="shared" si="2"/>
        <v>311.60000000000002</v>
      </c>
      <c r="D7" s="3">
        <f t="shared" si="2"/>
        <v>14957</v>
      </c>
      <c r="E7">
        <f t="shared" si="2"/>
        <v>48</v>
      </c>
      <c r="F7" s="4"/>
      <c r="G7">
        <v>6</v>
      </c>
      <c r="H7" t="s">
        <v>445</v>
      </c>
      <c r="I7">
        <v>311.60000000000002</v>
      </c>
      <c r="J7" s="3">
        <v>14957</v>
      </c>
      <c r="K7">
        <v>48</v>
      </c>
    </row>
    <row r="8" spans="1:11">
      <c r="A8" t="str">
        <f t="shared" si="0"/>
        <v>Wyndham Clark</v>
      </c>
      <c r="B8">
        <f t="shared" si="1"/>
        <v>7</v>
      </c>
      <c r="C8">
        <f t="shared" si="2"/>
        <v>310.10000000000002</v>
      </c>
      <c r="D8" s="3">
        <f t="shared" si="2"/>
        <v>16743</v>
      </c>
      <c r="E8">
        <f t="shared" si="2"/>
        <v>54</v>
      </c>
      <c r="G8">
        <v>7</v>
      </c>
      <c r="H8" t="s">
        <v>18</v>
      </c>
      <c r="I8">
        <v>310.10000000000002</v>
      </c>
      <c r="J8" s="3">
        <v>16743</v>
      </c>
      <c r="K8">
        <v>54</v>
      </c>
    </row>
    <row r="9" spans="1:11">
      <c r="A9" t="str">
        <f t="shared" si="0"/>
        <v>Vincent Norrman</v>
      </c>
      <c r="B9">
        <f t="shared" si="1"/>
        <v>8</v>
      </c>
      <c r="C9">
        <f t="shared" si="2"/>
        <v>309.60000000000002</v>
      </c>
      <c r="D9" s="3">
        <f t="shared" si="2"/>
        <v>17337</v>
      </c>
      <c r="E9">
        <f t="shared" si="2"/>
        <v>56</v>
      </c>
      <c r="G9">
        <v>8</v>
      </c>
      <c r="H9" t="s">
        <v>13</v>
      </c>
      <c r="I9">
        <v>309.60000000000002</v>
      </c>
      <c r="J9" s="3">
        <v>17337</v>
      </c>
      <c r="K9">
        <v>56</v>
      </c>
    </row>
    <row r="10" spans="1:11">
      <c r="A10" t="str">
        <f t="shared" si="0"/>
        <v>Taylor Pendrith</v>
      </c>
      <c r="B10">
        <f t="shared" si="1"/>
        <v>9</v>
      </c>
      <c r="C10">
        <f t="shared" si="2"/>
        <v>308.89999999999998</v>
      </c>
      <c r="D10" s="3">
        <f t="shared" si="2"/>
        <v>13591</v>
      </c>
      <c r="E10">
        <f t="shared" si="2"/>
        <v>44</v>
      </c>
      <c r="G10">
        <v>9</v>
      </c>
      <c r="H10" t="s">
        <v>33</v>
      </c>
      <c r="I10">
        <v>308.89999999999998</v>
      </c>
      <c r="J10" s="3">
        <v>13591</v>
      </c>
      <c r="K10">
        <v>44</v>
      </c>
    </row>
    <row r="11" spans="1:11">
      <c r="A11" t="str">
        <f t="shared" si="0"/>
        <v>Min Woo Lee</v>
      </c>
      <c r="B11">
        <f t="shared" si="1"/>
        <v>10</v>
      </c>
      <c r="C11">
        <f t="shared" si="2"/>
        <v>308.8</v>
      </c>
      <c r="D11" s="3">
        <f t="shared" si="2"/>
        <v>16056</v>
      </c>
      <c r="E11">
        <f t="shared" si="2"/>
        <v>52</v>
      </c>
      <c r="G11">
        <v>10</v>
      </c>
      <c r="H11" t="s">
        <v>544</v>
      </c>
      <c r="I11">
        <v>308.8</v>
      </c>
      <c r="J11" s="3">
        <v>16056</v>
      </c>
      <c r="K11">
        <v>52</v>
      </c>
    </row>
    <row r="12" spans="1:11">
      <c r="A12" t="str">
        <f t="shared" si="0"/>
        <v>Joseph Bramlett</v>
      </c>
      <c r="B12">
        <f t="shared" si="1"/>
        <v>11</v>
      </c>
      <c r="C12">
        <f t="shared" si="2"/>
        <v>308.7</v>
      </c>
      <c r="D12" s="3">
        <f t="shared" si="2"/>
        <v>18524</v>
      </c>
      <c r="E12">
        <f t="shared" si="2"/>
        <v>60</v>
      </c>
      <c r="G12">
        <v>11</v>
      </c>
      <c r="H12" t="s">
        <v>20</v>
      </c>
      <c r="I12">
        <v>308.7</v>
      </c>
      <c r="J12" s="3">
        <v>18524</v>
      </c>
      <c r="K12">
        <v>60</v>
      </c>
    </row>
    <row r="13" spans="1:11">
      <c r="A13" t="str">
        <f t="shared" si="0"/>
        <v>Garrick Higgo</v>
      </c>
      <c r="B13">
        <f t="shared" si="1"/>
        <v>11</v>
      </c>
      <c r="C13">
        <f t="shared" si="2"/>
        <v>308.7</v>
      </c>
      <c r="D13" s="3">
        <f t="shared" si="2"/>
        <v>19142</v>
      </c>
      <c r="E13">
        <f t="shared" si="2"/>
        <v>62</v>
      </c>
      <c r="G13">
        <v>11</v>
      </c>
      <c r="H13" t="s">
        <v>32</v>
      </c>
      <c r="I13">
        <v>308.7</v>
      </c>
      <c r="J13" s="3">
        <v>19142</v>
      </c>
      <c r="K13">
        <v>62</v>
      </c>
    </row>
    <row r="14" spans="1:11">
      <c r="A14" t="str">
        <f t="shared" si="0"/>
        <v>Stephan Jaeger</v>
      </c>
      <c r="B14">
        <f t="shared" si="1"/>
        <v>11</v>
      </c>
      <c r="C14">
        <f t="shared" si="2"/>
        <v>308.7</v>
      </c>
      <c r="D14" s="3">
        <f t="shared" si="2"/>
        <v>17905</v>
      </c>
      <c r="E14">
        <f t="shared" si="2"/>
        <v>58</v>
      </c>
      <c r="G14">
        <v>11</v>
      </c>
      <c r="H14" t="s">
        <v>52</v>
      </c>
      <c r="I14">
        <v>308.7</v>
      </c>
      <c r="J14" s="3">
        <v>17905</v>
      </c>
      <c r="K14">
        <v>58</v>
      </c>
    </row>
    <row r="15" spans="1:11">
      <c r="A15" t="str">
        <f t="shared" si="0"/>
        <v>Gary Woodland</v>
      </c>
      <c r="B15">
        <f t="shared" si="1"/>
        <v>14</v>
      </c>
      <c r="C15">
        <f t="shared" si="2"/>
        <v>308.60000000000002</v>
      </c>
      <c r="D15" s="3">
        <f t="shared" si="2"/>
        <v>14815</v>
      </c>
      <c r="E15">
        <f t="shared" si="2"/>
        <v>48</v>
      </c>
      <c r="G15">
        <v>14</v>
      </c>
      <c r="H15" t="s">
        <v>17</v>
      </c>
      <c r="I15">
        <v>308.60000000000002</v>
      </c>
      <c r="J15" s="3">
        <v>14815</v>
      </c>
      <c r="K15">
        <v>48</v>
      </c>
    </row>
    <row r="16" spans="1:11">
      <c r="A16" t="str">
        <f t="shared" si="0"/>
        <v>Byeong Hun An</v>
      </c>
      <c r="B16">
        <f t="shared" si="1"/>
        <v>15</v>
      </c>
      <c r="C16">
        <f t="shared" si="2"/>
        <v>308.5</v>
      </c>
      <c r="D16" s="3">
        <f t="shared" si="2"/>
        <v>21598</v>
      </c>
      <c r="E16">
        <f t="shared" si="2"/>
        <v>70</v>
      </c>
      <c r="G16">
        <v>15</v>
      </c>
      <c r="H16" t="s">
        <v>10</v>
      </c>
      <c r="I16">
        <v>308.5</v>
      </c>
      <c r="J16" s="3">
        <v>21598</v>
      </c>
      <c r="K16">
        <v>70</v>
      </c>
    </row>
    <row r="17" spans="1:11">
      <c r="A17" t="str">
        <f t="shared" si="0"/>
        <v>Jhonattan Vegas</v>
      </c>
      <c r="B17">
        <f t="shared" si="1"/>
        <v>16</v>
      </c>
      <c r="C17">
        <f t="shared" si="2"/>
        <v>308.39999999999998</v>
      </c>
      <c r="D17" s="3">
        <f t="shared" si="2"/>
        <v>12337</v>
      </c>
      <c r="E17">
        <f t="shared" si="2"/>
        <v>40</v>
      </c>
      <c r="G17">
        <v>16</v>
      </c>
      <c r="H17" t="s">
        <v>241</v>
      </c>
      <c r="I17">
        <v>308.39999999999998</v>
      </c>
      <c r="J17" s="3">
        <v>12337</v>
      </c>
      <c r="K17">
        <v>40</v>
      </c>
    </row>
    <row r="18" spans="1:11">
      <c r="A18" t="str">
        <f t="shared" si="0"/>
        <v>Wilson Furr</v>
      </c>
      <c r="B18">
        <f t="shared" si="1"/>
        <v>17</v>
      </c>
      <c r="C18">
        <f t="shared" si="2"/>
        <v>308.3</v>
      </c>
      <c r="D18" s="3">
        <f t="shared" si="2"/>
        <v>9864</v>
      </c>
      <c r="E18">
        <f t="shared" si="2"/>
        <v>32</v>
      </c>
      <c r="G18">
        <v>17</v>
      </c>
      <c r="H18" t="s">
        <v>692</v>
      </c>
      <c r="I18">
        <v>308.3</v>
      </c>
      <c r="J18" s="3">
        <v>9864</v>
      </c>
      <c r="K18">
        <v>32</v>
      </c>
    </row>
    <row r="19" spans="1:11">
      <c r="A19" t="str">
        <f t="shared" si="0"/>
        <v>Lanto Griffin</v>
      </c>
      <c r="B19">
        <f t="shared" si="1"/>
        <v>18</v>
      </c>
      <c r="C19">
        <f t="shared" si="2"/>
        <v>307.89999999999998</v>
      </c>
      <c r="D19" s="3">
        <f t="shared" si="2"/>
        <v>13546</v>
      </c>
      <c r="E19">
        <f t="shared" si="2"/>
        <v>44</v>
      </c>
      <c r="G19">
        <v>18</v>
      </c>
      <c r="H19" t="s">
        <v>80</v>
      </c>
      <c r="I19">
        <v>307.89999999999998</v>
      </c>
      <c r="J19" s="3">
        <v>13546</v>
      </c>
      <c r="K19">
        <v>44</v>
      </c>
    </row>
    <row r="20" spans="1:11">
      <c r="A20" t="str">
        <f t="shared" si="0"/>
        <v>Ludvig Åberg</v>
      </c>
      <c r="B20">
        <f t="shared" si="1"/>
        <v>19</v>
      </c>
      <c r="C20">
        <f t="shared" si="2"/>
        <v>307.60000000000002</v>
      </c>
      <c r="D20" s="3">
        <f t="shared" si="2"/>
        <v>21531</v>
      </c>
      <c r="E20">
        <f t="shared" si="2"/>
        <v>70</v>
      </c>
      <c r="G20">
        <v>19</v>
      </c>
      <c r="H20" t="s">
        <v>439</v>
      </c>
      <c r="I20">
        <v>307.60000000000002</v>
      </c>
      <c r="J20" s="3">
        <v>21531</v>
      </c>
      <c r="K20">
        <v>70</v>
      </c>
    </row>
    <row r="21" spans="1:11">
      <c r="A21" t="str">
        <f t="shared" si="0"/>
        <v>Hayden Springer</v>
      </c>
      <c r="B21">
        <f t="shared" si="1"/>
        <v>20</v>
      </c>
      <c r="C21">
        <f t="shared" si="2"/>
        <v>307.5</v>
      </c>
      <c r="D21" s="3">
        <f t="shared" si="2"/>
        <v>13223</v>
      </c>
      <c r="E21">
        <f t="shared" si="2"/>
        <v>43</v>
      </c>
      <c r="G21">
        <v>20</v>
      </c>
      <c r="H21" t="s">
        <v>557</v>
      </c>
      <c r="I21">
        <v>307.5</v>
      </c>
      <c r="J21" s="3">
        <v>13223</v>
      </c>
      <c r="K21">
        <v>43</v>
      </c>
    </row>
    <row r="22" spans="1:11">
      <c r="A22" t="str">
        <f t="shared" si="0"/>
        <v>Nicolai Højgaard</v>
      </c>
      <c r="B22">
        <f t="shared" si="1"/>
        <v>21</v>
      </c>
      <c r="C22">
        <f t="shared" si="2"/>
        <v>307.2</v>
      </c>
      <c r="D22" s="3">
        <f t="shared" si="2"/>
        <v>16587</v>
      </c>
      <c r="E22">
        <f t="shared" si="2"/>
        <v>54</v>
      </c>
      <c r="G22">
        <v>21</v>
      </c>
      <c r="H22" t="s">
        <v>595</v>
      </c>
      <c r="I22">
        <v>307.2</v>
      </c>
      <c r="J22" s="3">
        <v>16587</v>
      </c>
      <c r="K22">
        <v>54</v>
      </c>
    </row>
    <row r="23" spans="1:11">
      <c r="A23" t="str">
        <f t="shared" si="0"/>
        <v>Callum Tarren</v>
      </c>
      <c r="B23">
        <f t="shared" si="1"/>
        <v>22</v>
      </c>
      <c r="C23">
        <f t="shared" si="2"/>
        <v>307.10000000000002</v>
      </c>
      <c r="D23" s="3">
        <f t="shared" si="2"/>
        <v>13511</v>
      </c>
      <c r="E23">
        <f t="shared" si="2"/>
        <v>44</v>
      </c>
      <c r="G23">
        <v>22</v>
      </c>
      <c r="H23" t="s">
        <v>21</v>
      </c>
      <c r="I23">
        <v>307.10000000000002</v>
      </c>
      <c r="J23" s="3">
        <v>13511</v>
      </c>
      <c r="K23">
        <v>44</v>
      </c>
    </row>
    <row r="24" spans="1:11">
      <c r="A24" t="str">
        <f t="shared" si="0"/>
        <v>Rico Hoey</v>
      </c>
      <c r="B24">
        <f t="shared" si="1"/>
        <v>23</v>
      </c>
      <c r="C24">
        <f t="shared" si="2"/>
        <v>306.8</v>
      </c>
      <c r="D24" s="3">
        <f t="shared" si="2"/>
        <v>14727</v>
      </c>
      <c r="E24">
        <f t="shared" si="2"/>
        <v>48</v>
      </c>
      <c r="G24">
        <v>23</v>
      </c>
      <c r="H24" t="s">
        <v>485</v>
      </c>
      <c r="I24">
        <v>306.8</v>
      </c>
      <c r="J24" s="3">
        <v>14727</v>
      </c>
      <c r="K24">
        <v>48</v>
      </c>
    </row>
    <row r="25" spans="1:11">
      <c r="A25" t="str">
        <f t="shared" si="0"/>
        <v>Kevin Yu</v>
      </c>
      <c r="B25">
        <f t="shared" si="1"/>
        <v>23</v>
      </c>
      <c r="C25">
        <f t="shared" si="2"/>
        <v>306.8</v>
      </c>
      <c r="D25" s="3">
        <f t="shared" si="2"/>
        <v>15341</v>
      </c>
      <c r="E25">
        <f t="shared" si="2"/>
        <v>50</v>
      </c>
      <c r="F25" s="4"/>
      <c r="G25">
        <v>23</v>
      </c>
      <c r="H25" t="s">
        <v>26</v>
      </c>
      <c r="I25">
        <v>306.8</v>
      </c>
      <c r="J25" s="3">
        <v>15341</v>
      </c>
      <c r="K25">
        <v>50</v>
      </c>
    </row>
    <row r="26" spans="1:11">
      <c r="A26" t="str">
        <f t="shared" si="0"/>
        <v>Paul Barjon</v>
      </c>
      <c r="B26">
        <f t="shared" si="1"/>
        <v>25</v>
      </c>
      <c r="C26">
        <f t="shared" si="2"/>
        <v>306.7</v>
      </c>
      <c r="D26" s="3">
        <f t="shared" si="2"/>
        <v>9815</v>
      </c>
      <c r="E26">
        <f t="shared" si="2"/>
        <v>32</v>
      </c>
      <c r="G26">
        <v>25</v>
      </c>
      <c r="H26" t="s">
        <v>401</v>
      </c>
      <c r="I26">
        <v>306.7</v>
      </c>
      <c r="J26" s="3">
        <v>9815</v>
      </c>
      <c r="K26">
        <v>32</v>
      </c>
    </row>
    <row r="27" spans="1:11">
      <c r="A27" t="str">
        <f t="shared" si="0"/>
        <v>Keith Mitchell</v>
      </c>
      <c r="B27">
        <f t="shared" si="1"/>
        <v>26</v>
      </c>
      <c r="C27">
        <f t="shared" si="2"/>
        <v>306.5</v>
      </c>
      <c r="D27" s="3">
        <f t="shared" si="2"/>
        <v>21452</v>
      </c>
      <c r="E27">
        <f t="shared" si="2"/>
        <v>70</v>
      </c>
      <c r="G27">
        <v>26</v>
      </c>
      <c r="H27" t="s">
        <v>14</v>
      </c>
      <c r="I27">
        <v>306.5</v>
      </c>
      <c r="J27" s="3">
        <v>21452</v>
      </c>
      <c r="K27">
        <v>70</v>
      </c>
    </row>
    <row r="28" spans="1:11">
      <c r="A28" t="str">
        <f t="shared" si="0"/>
        <v>Pierceson Coody</v>
      </c>
      <c r="B28">
        <f t="shared" si="1"/>
        <v>27</v>
      </c>
      <c r="C28">
        <f t="shared" si="2"/>
        <v>306.3</v>
      </c>
      <c r="D28" s="3">
        <f t="shared" si="2"/>
        <v>12252</v>
      </c>
      <c r="E28">
        <f t="shared" si="2"/>
        <v>40</v>
      </c>
      <c r="G28">
        <v>27</v>
      </c>
      <c r="H28" t="s">
        <v>490</v>
      </c>
      <c r="I28">
        <v>306.3</v>
      </c>
      <c r="J28" s="3">
        <v>12252</v>
      </c>
      <c r="K28">
        <v>40</v>
      </c>
    </row>
    <row r="29" spans="1:11">
      <c r="A29" t="str">
        <f t="shared" si="0"/>
        <v>Jake Knapp</v>
      </c>
      <c r="B29">
        <f t="shared" si="1"/>
        <v>27</v>
      </c>
      <c r="C29">
        <f t="shared" si="2"/>
        <v>306.3</v>
      </c>
      <c r="D29" s="3">
        <f t="shared" si="2"/>
        <v>20830</v>
      </c>
      <c r="E29">
        <f t="shared" si="2"/>
        <v>68</v>
      </c>
      <c r="G29">
        <v>27</v>
      </c>
      <c r="H29" t="s">
        <v>492</v>
      </c>
      <c r="I29">
        <v>306.3</v>
      </c>
      <c r="J29" s="3">
        <v>20830</v>
      </c>
      <c r="K29">
        <v>68</v>
      </c>
    </row>
    <row r="30" spans="1:11">
      <c r="A30" t="str">
        <f t="shared" si="0"/>
        <v>Sam Stevens</v>
      </c>
      <c r="B30">
        <f t="shared" si="1"/>
        <v>27</v>
      </c>
      <c r="C30">
        <f t="shared" si="2"/>
        <v>306.3</v>
      </c>
      <c r="D30" s="3">
        <f t="shared" si="2"/>
        <v>20831</v>
      </c>
      <c r="E30">
        <f t="shared" si="2"/>
        <v>68</v>
      </c>
      <c r="G30">
        <v>27</v>
      </c>
      <c r="H30" t="s">
        <v>30</v>
      </c>
      <c r="I30">
        <v>306.3</v>
      </c>
      <c r="J30" s="3">
        <v>20831</v>
      </c>
      <c r="K30">
        <v>68</v>
      </c>
    </row>
    <row r="31" spans="1:11">
      <c r="A31" t="str">
        <f t="shared" si="0"/>
        <v>Ryan Fox</v>
      </c>
      <c r="B31">
        <f t="shared" si="1"/>
        <v>30</v>
      </c>
      <c r="C31">
        <f t="shared" si="2"/>
        <v>306.2</v>
      </c>
      <c r="D31" s="3">
        <f t="shared" si="2"/>
        <v>15924</v>
      </c>
      <c r="E31">
        <f t="shared" si="2"/>
        <v>52</v>
      </c>
      <c r="G31">
        <v>30</v>
      </c>
      <c r="H31" t="s">
        <v>549</v>
      </c>
      <c r="I31">
        <v>306.2</v>
      </c>
      <c r="J31" s="3">
        <v>15924</v>
      </c>
      <c r="K31">
        <v>52</v>
      </c>
    </row>
    <row r="32" spans="1:11">
      <c r="A32" t="str">
        <f t="shared" si="0"/>
        <v>Max Greyserman</v>
      </c>
      <c r="B32">
        <f t="shared" si="1"/>
        <v>30</v>
      </c>
      <c r="C32">
        <f t="shared" si="2"/>
        <v>306.2</v>
      </c>
      <c r="D32" s="3">
        <f t="shared" si="2"/>
        <v>13777</v>
      </c>
      <c r="E32">
        <f t="shared" si="2"/>
        <v>45</v>
      </c>
      <c r="G32">
        <v>30</v>
      </c>
      <c r="H32" t="s">
        <v>493</v>
      </c>
      <c r="I32">
        <v>306.2</v>
      </c>
      <c r="J32" s="3">
        <v>13777</v>
      </c>
      <c r="K32">
        <v>45</v>
      </c>
    </row>
    <row r="33" spans="1:11">
      <c r="A33" t="str">
        <f t="shared" si="0"/>
        <v>Ryan McCormick</v>
      </c>
      <c r="B33">
        <f t="shared" si="1"/>
        <v>32</v>
      </c>
      <c r="C33">
        <f t="shared" si="2"/>
        <v>305</v>
      </c>
      <c r="D33" s="3">
        <f t="shared" si="2"/>
        <v>10979</v>
      </c>
      <c r="E33">
        <f t="shared" si="2"/>
        <v>36</v>
      </c>
      <c r="G33">
        <v>32</v>
      </c>
      <c r="H33" t="s">
        <v>561</v>
      </c>
      <c r="I33">
        <v>305</v>
      </c>
      <c r="J33" s="3">
        <v>10979</v>
      </c>
      <c r="K33">
        <v>36</v>
      </c>
    </row>
    <row r="34" spans="1:11">
      <c r="A34" t="str">
        <f t="shared" si="0"/>
        <v>Patrick Rodgers</v>
      </c>
      <c r="B34">
        <f t="shared" si="1"/>
        <v>32</v>
      </c>
      <c r="C34">
        <f t="shared" si="2"/>
        <v>305</v>
      </c>
      <c r="D34" s="3">
        <f t="shared" si="2"/>
        <v>20742</v>
      </c>
      <c r="E34">
        <f t="shared" si="2"/>
        <v>68</v>
      </c>
      <c r="G34">
        <v>32</v>
      </c>
      <c r="H34" t="s">
        <v>38</v>
      </c>
      <c r="I34">
        <v>305</v>
      </c>
      <c r="J34" s="3">
        <v>20742</v>
      </c>
      <c r="K34">
        <v>68</v>
      </c>
    </row>
    <row r="35" spans="1:11">
      <c r="A35" t="str">
        <f t="shared" si="0"/>
        <v>Jimmy Stanger</v>
      </c>
      <c r="B35">
        <f t="shared" si="1"/>
        <v>32</v>
      </c>
      <c r="C35">
        <f t="shared" si="2"/>
        <v>305</v>
      </c>
      <c r="D35" s="3">
        <f t="shared" si="2"/>
        <v>14335</v>
      </c>
      <c r="E35">
        <f t="shared" si="2"/>
        <v>47</v>
      </c>
      <c r="G35">
        <v>32</v>
      </c>
      <c r="H35" t="s">
        <v>495</v>
      </c>
      <c r="I35">
        <v>305</v>
      </c>
      <c r="J35" s="3">
        <v>14335</v>
      </c>
      <c r="K35">
        <v>47</v>
      </c>
    </row>
    <row r="36" spans="1:11">
      <c r="A36" t="str">
        <f t="shared" si="0"/>
        <v>Tony Finau</v>
      </c>
      <c r="B36">
        <f t="shared" si="1"/>
        <v>35</v>
      </c>
      <c r="C36">
        <f t="shared" si="2"/>
        <v>304.89999999999998</v>
      </c>
      <c r="D36" s="3">
        <f t="shared" si="2"/>
        <v>20126</v>
      </c>
      <c r="E36">
        <f t="shared" si="2"/>
        <v>66</v>
      </c>
      <c r="G36">
        <v>35</v>
      </c>
      <c r="H36" t="s">
        <v>69</v>
      </c>
      <c r="I36">
        <v>304.89999999999998</v>
      </c>
      <c r="J36" s="3">
        <v>20126</v>
      </c>
      <c r="K36">
        <v>66</v>
      </c>
    </row>
    <row r="37" spans="1:11">
      <c r="A37" t="str">
        <f t="shared" si="0"/>
        <v>Ryan Brehm</v>
      </c>
      <c r="B37">
        <f t="shared" si="1"/>
        <v>36</v>
      </c>
      <c r="C37">
        <f t="shared" si="2"/>
        <v>303.89999999999998</v>
      </c>
      <c r="D37" s="3">
        <f t="shared" si="2"/>
        <v>15801</v>
      </c>
      <c r="E37">
        <f t="shared" si="2"/>
        <v>52</v>
      </c>
      <c r="G37">
        <v>36</v>
      </c>
      <c r="H37" t="s">
        <v>37</v>
      </c>
      <c r="I37">
        <v>303.89999999999998</v>
      </c>
      <c r="J37" s="3">
        <v>15801</v>
      </c>
      <c r="K37">
        <v>52</v>
      </c>
    </row>
    <row r="38" spans="1:11">
      <c r="A38" t="str">
        <f t="shared" si="0"/>
        <v>Kurt Kitayama</v>
      </c>
      <c r="B38">
        <f t="shared" si="1"/>
        <v>37</v>
      </c>
      <c r="C38">
        <f t="shared" si="2"/>
        <v>303.7</v>
      </c>
      <c r="D38" s="3">
        <f t="shared" si="2"/>
        <v>20043</v>
      </c>
      <c r="E38">
        <f t="shared" si="2"/>
        <v>66</v>
      </c>
      <c r="G38">
        <v>37</v>
      </c>
      <c r="H38" t="s">
        <v>54</v>
      </c>
      <c r="I38">
        <v>303.7</v>
      </c>
      <c r="J38" s="3">
        <v>20043</v>
      </c>
      <c r="K38">
        <v>66</v>
      </c>
    </row>
    <row r="39" spans="1:11">
      <c r="A39" t="str">
        <f t="shared" si="0"/>
        <v>Norman Xiong</v>
      </c>
      <c r="B39">
        <f t="shared" si="1"/>
        <v>37</v>
      </c>
      <c r="C39">
        <f t="shared" si="2"/>
        <v>303.7</v>
      </c>
      <c r="D39" s="3">
        <f t="shared" si="2"/>
        <v>13058</v>
      </c>
      <c r="E39">
        <f t="shared" si="2"/>
        <v>43</v>
      </c>
      <c r="G39">
        <v>37</v>
      </c>
      <c r="H39" t="s">
        <v>494</v>
      </c>
      <c r="I39">
        <v>303.7</v>
      </c>
      <c r="J39" s="3">
        <v>13058</v>
      </c>
      <c r="K39">
        <v>43</v>
      </c>
    </row>
    <row r="40" spans="1:11">
      <c r="A40" t="str">
        <f t="shared" si="0"/>
        <v>Justin Thomas</v>
      </c>
      <c r="B40">
        <f t="shared" si="1"/>
        <v>39</v>
      </c>
      <c r="C40">
        <f t="shared" si="2"/>
        <v>303.5</v>
      </c>
      <c r="D40" s="3">
        <f t="shared" si="2"/>
        <v>12748</v>
      </c>
      <c r="E40">
        <f t="shared" si="2"/>
        <v>42</v>
      </c>
      <c r="G40">
        <v>39</v>
      </c>
      <c r="H40" t="s">
        <v>42</v>
      </c>
      <c r="I40">
        <v>303.5</v>
      </c>
      <c r="J40" s="3">
        <v>12748</v>
      </c>
      <c r="K40">
        <v>42</v>
      </c>
    </row>
    <row r="41" spans="1:11">
      <c r="A41" t="str">
        <f t="shared" si="0"/>
        <v>Patrick Fishburn</v>
      </c>
      <c r="B41">
        <f t="shared" si="1"/>
        <v>40</v>
      </c>
      <c r="C41">
        <f t="shared" si="2"/>
        <v>303.39999999999998</v>
      </c>
      <c r="D41" s="3">
        <f t="shared" si="2"/>
        <v>9710</v>
      </c>
      <c r="E41">
        <f t="shared" si="2"/>
        <v>32</v>
      </c>
      <c r="G41">
        <v>40</v>
      </c>
      <c r="H41" t="s">
        <v>556</v>
      </c>
      <c r="I41">
        <v>303.39999999999998</v>
      </c>
      <c r="J41" s="3">
        <v>9710</v>
      </c>
      <c r="K41">
        <v>32</v>
      </c>
    </row>
    <row r="42" spans="1:11">
      <c r="A42" t="str">
        <f t="shared" si="0"/>
        <v>Adrien Dumont de Chassart</v>
      </c>
      <c r="B42">
        <f t="shared" si="1"/>
        <v>41</v>
      </c>
      <c r="C42">
        <f t="shared" si="2"/>
        <v>302.8</v>
      </c>
      <c r="D42" s="3">
        <f t="shared" si="2"/>
        <v>15746</v>
      </c>
      <c r="E42">
        <f t="shared" si="2"/>
        <v>52</v>
      </c>
      <c r="G42">
        <v>41</v>
      </c>
      <c r="H42" t="s">
        <v>486</v>
      </c>
      <c r="I42">
        <v>302.8</v>
      </c>
      <c r="J42" s="3">
        <v>15746</v>
      </c>
      <c r="K42">
        <v>52</v>
      </c>
    </row>
    <row r="43" spans="1:11">
      <c r="A43" t="str">
        <f t="shared" si="0"/>
        <v>Mac Meissner</v>
      </c>
      <c r="B43">
        <f t="shared" si="1"/>
        <v>41</v>
      </c>
      <c r="C43">
        <f t="shared" si="2"/>
        <v>302.8</v>
      </c>
      <c r="D43" s="3">
        <f t="shared" si="2"/>
        <v>13324</v>
      </c>
      <c r="E43">
        <f t="shared" si="2"/>
        <v>44</v>
      </c>
      <c r="G43">
        <v>41</v>
      </c>
      <c r="H43" t="s">
        <v>560</v>
      </c>
      <c r="I43">
        <v>302.8</v>
      </c>
      <c r="J43" s="3">
        <v>13324</v>
      </c>
      <c r="K43">
        <v>44</v>
      </c>
    </row>
    <row r="44" spans="1:11">
      <c r="A44" t="str">
        <f t="shared" si="0"/>
        <v>Matti Schmid</v>
      </c>
      <c r="B44">
        <f t="shared" si="1"/>
        <v>43</v>
      </c>
      <c r="C44">
        <f t="shared" si="2"/>
        <v>302.60000000000002</v>
      </c>
      <c r="D44" s="3">
        <f t="shared" si="2"/>
        <v>17852</v>
      </c>
      <c r="E44">
        <f t="shared" si="2"/>
        <v>59</v>
      </c>
      <c r="G44">
        <v>43</v>
      </c>
      <c r="H44" t="s">
        <v>11</v>
      </c>
      <c r="I44">
        <v>302.60000000000002</v>
      </c>
      <c r="J44" s="3">
        <v>17852</v>
      </c>
      <c r="K44">
        <v>59</v>
      </c>
    </row>
    <row r="45" spans="1:11">
      <c r="A45" t="str">
        <f t="shared" si="0"/>
        <v>Rafael Campos</v>
      </c>
      <c r="B45">
        <f t="shared" si="1"/>
        <v>44</v>
      </c>
      <c r="C45">
        <f t="shared" si="2"/>
        <v>302.5</v>
      </c>
      <c r="D45" s="3">
        <f t="shared" si="2"/>
        <v>10586</v>
      </c>
      <c r="E45">
        <f t="shared" si="2"/>
        <v>35</v>
      </c>
      <c r="G45">
        <v>44</v>
      </c>
      <c r="H45" t="s">
        <v>558</v>
      </c>
      <c r="I45">
        <v>302.5</v>
      </c>
      <c r="J45" s="3">
        <v>10586</v>
      </c>
      <c r="K45">
        <v>35</v>
      </c>
    </row>
    <row r="46" spans="1:11">
      <c r="A46" t="str">
        <f t="shared" si="0"/>
        <v>Maverick McNealy</v>
      </c>
      <c r="B46">
        <f t="shared" si="1"/>
        <v>44</v>
      </c>
      <c r="C46">
        <f t="shared" si="2"/>
        <v>302.5</v>
      </c>
      <c r="D46" s="3">
        <f t="shared" si="2"/>
        <v>21178</v>
      </c>
      <c r="E46">
        <f t="shared" si="2"/>
        <v>70</v>
      </c>
      <c r="G46">
        <v>44</v>
      </c>
      <c r="H46" t="s">
        <v>98</v>
      </c>
      <c r="I46">
        <v>302.5</v>
      </c>
      <c r="J46" s="3">
        <v>21178</v>
      </c>
      <c r="K46">
        <v>70</v>
      </c>
    </row>
    <row r="47" spans="1:11">
      <c r="A47" t="str">
        <f t="shared" si="0"/>
        <v>Xander Schauffele</v>
      </c>
      <c r="B47">
        <f t="shared" si="1"/>
        <v>44</v>
      </c>
      <c r="C47">
        <f t="shared" si="2"/>
        <v>302.5</v>
      </c>
      <c r="D47" s="3">
        <f t="shared" si="2"/>
        <v>18753</v>
      </c>
      <c r="E47">
        <f t="shared" si="2"/>
        <v>62</v>
      </c>
      <c r="G47">
        <v>44</v>
      </c>
      <c r="H47" t="s">
        <v>73</v>
      </c>
      <c r="I47">
        <v>302.5</v>
      </c>
      <c r="J47" s="3">
        <v>18753</v>
      </c>
      <c r="K47">
        <v>62</v>
      </c>
    </row>
    <row r="48" spans="1:11">
      <c r="A48" t="str">
        <f t="shared" si="0"/>
        <v>Sam Burns</v>
      </c>
      <c r="B48">
        <f t="shared" si="1"/>
        <v>47</v>
      </c>
      <c r="C48">
        <f t="shared" si="2"/>
        <v>302.39999999999998</v>
      </c>
      <c r="D48" s="3">
        <f t="shared" si="2"/>
        <v>16331</v>
      </c>
      <c r="E48">
        <f t="shared" si="2"/>
        <v>54</v>
      </c>
      <c r="G48">
        <v>47</v>
      </c>
      <c r="H48" t="s">
        <v>27</v>
      </c>
      <c r="I48">
        <v>302.39999999999998</v>
      </c>
      <c r="J48" s="3">
        <v>16331</v>
      </c>
      <c r="K48">
        <v>54</v>
      </c>
    </row>
    <row r="49" spans="1:11">
      <c r="A49" t="str">
        <f t="shared" si="0"/>
        <v>Nick Dunlap</v>
      </c>
      <c r="B49">
        <f t="shared" si="1"/>
        <v>48</v>
      </c>
      <c r="C49">
        <f t="shared" si="2"/>
        <v>302.2</v>
      </c>
      <c r="D49" s="3">
        <f t="shared" si="2"/>
        <v>12691</v>
      </c>
      <c r="E49">
        <f t="shared" si="2"/>
        <v>42</v>
      </c>
      <c r="G49">
        <v>48</v>
      </c>
      <c r="H49" t="s">
        <v>539</v>
      </c>
      <c r="I49">
        <v>302.2</v>
      </c>
      <c r="J49" s="3">
        <v>12691</v>
      </c>
      <c r="K49">
        <v>42</v>
      </c>
    </row>
    <row r="50" spans="1:11">
      <c r="A50" t="str">
        <f t="shared" si="0"/>
        <v>Parker Coody</v>
      </c>
      <c r="B50">
        <f t="shared" si="1"/>
        <v>49</v>
      </c>
      <c r="C50">
        <f t="shared" si="2"/>
        <v>302</v>
      </c>
      <c r="D50" s="3">
        <f t="shared" si="2"/>
        <v>16910</v>
      </c>
      <c r="E50">
        <f t="shared" si="2"/>
        <v>56</v>
      </c>
      <c r="G50">
        <v>49</v>
      </c>
      <c r="H50" t="s">
        <v>497</v>
      </c>
      <c r="I50">
        <v>302</v>
      </c>
      <c r="J50" s="3">
        <v>16910</v>
      </c>
      <c r="K50">
        <v>56</v>
      </c>
    </row>
    <row r="51" spans="1:11">
      <c r="A51" t="str">
        <f t="shared" si="0"/>
        <v>Sami Valimaki</v>
      </c>
      <c r="B51">
        <f t="shared" si="1"/>
        <v>50</v>
      </c>
      <c r="C51">
        <f t="shared" si="2"/>
        <v>301.89999999999998</v>
      </c>
      <c r="D51" s="3">
        <f t="shared" si="2"/>
        <v>15698</v>
      </c>
      <c r="E51">
        <f t="shared" si="2"/>
        <v>52</v>
      </c>
      <c r="G51">
        <v>50</v>
      </c>
      <c r="H51" t="s">
        <v>488</v>
      </c>
      <c r="I51">
        <v>301.89999999999998</v>
      </c>
      <c r="J51" s="3">
        <v>15698</v>
      </c>
      <c r="K51">
        <v>52</v>
      </c>
    </row>
    <row r="52" spans="1:11">
      <c r="A52" t="str">
        <f t="shared" si="0"/>
        <v>Davis Thompson</v>
      </c>
      <c r="B52">
        <f t="shared" si="1"/>
        <v>51</v>
      </c>
      <c r="C52">
        <f t="shared" si="2"/>
        <v>301.8</v>
      </c>
      <c r="D52" s="3">
        <f t="shared" si="2"/>
        <v>18109</v>
      </c>
      <c r="E52">
        <f t="shared" si="2"/>
        <v>60</v>
      </c>
      <c r="G52">
        <v>51</v>
      </c>
      <c r="H52" t="s">
        <v>28</v>
      </c>
      <c r="I52">
        <v>301.8</v>
      </c>
      <c r="J52" s="3">
        <v>18109</v>
      </c>
      <c r="K52">
        <v>60</v>
      </c>
    </row>
    <row r="53" spans="1:11">
      <c r="A53" t="str">
        <f t="shared" si="0"/>
        <v>Thomas Detry</v>
      </c>
      <c r="B53">
        <f t="shared" si="1"/>
        <v>52</v>
      </c>
      <c r="C53">
        <f t="shared" si="2"/>
        <v>301.5</v>
      </c>
      <c r="D53" s="3">
        <f t="shared" si="2"/>
        <v>16280</v>
      </c>
      <c r="E53">
        <f t="shared" si="2"/>
        <v>54</v>
      </c>
      <c r="G53">
        <v>52</v>
      </c>
      <c r="H53" t="s">
        <v>46</v>
      </c>
      <c r="I53">
        <v>301.5</v>
      </c>
      <c r="J53" s="3">
        <v>16280</v>
      </c>
      <c r="K53">
        <v>54</v>
      </c>
    </row>
    <row r="54" spans="1:11">
      <c r="A54" t="str">
        <f t="shared" si="0"/>
        <v>Erik van Rooyen</v>
      </c>
      <c r="B54">
        <f t="shared" si="1"/>
        <v>53</v>
      </c>
      <c r="C54">
        <f t="shared" si="2"/>
        <v>300.89999999999998</v>
      </c>
      <c r="D54" s="3">
        <f t="shared" si="2"/>
        <v>19858</v>
      </c>
      <c r="E54">
        <f t="shared" si="2"/>
        <v>66</v>
      </c>
      <c r="G54">
        <v>53</v>
      </c>
      <c r="H54" t="s">
        <v>65</v>
      </c>
      <c r="I54">
        <v>300.89999999999998</v>
      </c>
      <c r="J54" s="3">
        <v>19858</v>
      </c>
      <c r="K54">
        <v>66</v>
      </c>
    </row>
    <row r="55" spans="1:11">
      <c r="A55" t="str">
        <f t="shared" si="0"/>
        <v>Victor Perez</v>
      </c>
      <c r="B55">
        <f t="shared" si="1"/>
        <v>54</v>
      </c>
      <c r="C55">
        <f t="shared" si="2"/>
        <v>300.7</v>
      </c>
      <c r="D55" s="3">
        <f t="shared" si="2"/>
        <v>15634</v>
      </c>
      <c r="E55">
        <f t="shared" si="2"/>
        <v>52</v>
      </c>
      <c r="G55">
        <v>54</v>
      </c>
      <c r="H55" t="s">
        <v>632</v>
      </c>
      <c r="I55">
        <v>300.7</v>
      </c>
      <c r="J55" s="3">
        <v>15634</v>
      </c>
      <c r="K55">
        <v>52</v>
      </c>
    </row>
    <row r="56" spans="1:11">
      <c r="A56" t="str">
        <f t="shared" si="0"/>
        <v>Matt Fitzpatrick</v>
      </c>
      <c r="B56">
        <f t="shared" si="1"/>
        <v>55</v>
      </c>
      <c r="C56">
        <f t="shared" si="2"/>
        <v>300.60000000000002</v>
      </c>
      <c r="D56" s="3">
        <f t="shared" si="2"/>
        <v>19840</v>
      </c>
      <c r="E56">
        <f t="shared" si="2"/>
        <v>66</v>
      </c>
      <c r="G56">
        <v>55</v>
      </c>
      <c r="H56" t="s">
        <v>72</v>
      </c>
      <c r="I56">
        <v>300.60000000000002</v>
      </c>
      <c r="J56" s="3">
        <v>19840</v>
      </c>
      <c r="K56">
        <v>66</v>
      </c>
    </row>
    <row r="57" spans="1:11">
      <c r="A57" t="str">
        <f t="shared" ref="A57:A89" si="3">H57</f>
        <v>Grayson Murray</v>
      </c>
      <c r="B57">
        <f t="shared" ref="B57:B89" si="4">G57</f>
        <v>55</v>
      </c>
      <c r="C57">
        <f t="shared" ref="C57:E85" si="5">I57</f>
        <v>300.60000000000002</v>
      </c>
      <c r="D57" s="3">
        <f t="shared" si="5"/>
        <v>15029</v>
      </c>
      <c r="E57">
        <f t="shared" si="5"/>
        <v>50</v>
      </c>
      <c r="G57">
        <v>55</v>
      </c>
      <c r="H57" t="s">
        <v>372</v>
      </c>
      <c r="I57">
        <v>300.60000000000002</v>
      </c>
      <c r="J57" s="3">
        <v>15029</v>
      </c>
      <c r="K57">
        <v>50</v>
      </c>
    </row>
    <row r="58" spans="1:11">
      <c r="A58" t="str">
        <f t="shared" si="3"/>
        <v>Adam Scott</v>
      </c>
      <c r="B58">
        <f t="shared" si="4"/>
        <v>55</v>
      </c>
      <c r="C58">
        <f t="shared" si="5"/>
        <v>300.60000000000002</v>
      </c>
      <c r="D58" s="3">
        <f t="shared" si="5"/>
        <v>15032</v>
      </c>
      <c r="E58">
        <f t="shared" si="5"/>
        <v>50</v>
      </c>
      <c r="G58">
        <v>55</v>
      </c>
      <c r="H58" t="s">
        <v>19</v>
      </c>
      <c r="I58">
        <v>300.60000000000002</v>
      </c>
      <c r="J58" s="3">
        <v>15032</v>
      </c>
      <c r="K58">
        <v>50</v>
      </c>
    </row>
    <row r="59" spans="1:11">
      <c r="A59" t="str">
        <f t="shared" si="3"/>
        <v>Jordan Spieth</v>
      </c>
      <c r="B59">
        <f t="shared" si="4"/>
        <v>58</v>
      </c>
      <c r="C59">
        <f t="shared" si="5"/>
        <v>300.5</v>
      </c>
      <c r="D59" s="3">
        <f t="shared" si="5"/>
        <v>15628</v>
      </c>
      <c r="E59">
        <f t="shared" si="5"/>
        <v>52</v>
      </c>
      <c r="G59">
        <v>58</v>
      </c>
      <c r="H59" t="s">
        <v>76</v>
      </c>
      <c r="I59">
        <v>300.5</v>
      </c>
      <c r="J59" s="3">
        <v>15628</v>
      </c>
      <c r="K59">
        <v>52</v>
      </c>
    </row>
    <row r="60" spans="1:11">
      <c r="A60" t="str">
        <f t="shared" si="3"/>
        <v>Andrew Novak</v>
      </c>
      <c r="B60">
        <f t="shared" si="4"/>
        <v>59</v>
      </c>
      <c r="C60">
        <f t="shared" si="5"/>
        <v>300.2</v>
      </c>
      <c r="D60" s="3">
        <f t="shared" si="5"/>
        <v>18010</v>
      </c>
      <c r="E60">
        <f t="shared" si="5"/>
        <v>60</v>
      </c>
      <c r="G60">
        <v>59</v>
      </c>
      <c r="H60" t="s">
        <v>100</v>
      </c>
      <c r="I60">
        <v>300.2</v>
      </c>
      <c r="J60" s="3">
        <v>18010</v>
      </c>
      <c r="K60">
        <v>60</v>
      </c>
    </row>
    <row r="61" spans="1:11">
      <c r="A61" t="str">
        <f t="shared" si="3"/>
        <v>Davis Riley</v>
      </c>
      <c r="B61">
        <f t="shared" si="4"/>
        <v>59</v>
      </c>
      <c r="C61">
        <f t="shared" si="5"/>
        <v>300.2</v>
      </c>
      <c r="D61" s="3">
        <f t="shared" si="5"/>
        <v>16210</v>
      </c>
      <c r="E61">
        <f t="shared" si="5"/>
        <v>54</v>
      </c>
      <c r="G61">
        <v>59</v>
      </c>
      <c r="H61" t="s">
        <v>55</v>
      </c>
      <c r="I61">
        <v>300.2</v>
      </c>
      <c r="J61" s="3">
        <v>16210</v>
      </c>
      <c r="K61">
        <v>54</v>
      </c>
    </row>
    <row r="62" spans="1:11">
      <c r="A62" t="str">
        <f t="shared" si="3"/>
        <v>Alex Smalley</v>
      </c>
      <c r="B62">
        <f t="shared" si="4"/>
        <v>59</v>
      </c>
      <c r="C62">
        <f t="shared" si="5"/>
        <v>300.2</v>
      </c>
      <c r="D62" s="3">
        <f t="shared" si="5"/>
        <v>12609</v>
      </c>
      <c r="E62">
        <f t="shared" si="5"/>
        <v>42</v>
      </c>
      <c r="G62">
        <v>59</v>
      </c>
      <c r="H62" t="s">
        <v>79</v>
      </c>
      <c r="I62">
        <v>300.2</v>
      </c>
      <c r="J62" s="3">
        <v>12609</v>
      </c>
      <c r="K62">
        <v>42</v>
      </c>
    </row>
    <row r="63" spans="1:11">
      <c r="A63" t="str">
        <f t="shared" si="3"/>
        <v>Sahith Theegala</v>
      </c>
      <c r="B63">
        <f t="shared" si="4"/>
        <v>59</v>
      </c>
      <c r="C63">
        <f t="shared" si="5"/>
        <v>300.2</v>
      </c>
      <c r="D63" s="3">
        <f t="shared" si="5"/>
        <v>22213</v>
      </c>
      <c r="E63">
        <f t="shared" si="5"/>
        <v>74</v>
      </c>
      <c r="G63">
        <v>59</v>
      </c>
      <c r="H63" t="s">
        <v>64</v>
      </c>
      <c r="I63">
        <v>300.2</v>
      </c>
      <c r="J63" s="3">
        <v>22213</v>
      </c>
      <c r="K63">
        <v>74</v>
      </c>
    </row>
    <row r="64" spans="1:11">
      <c r="A64" t="str">
        <f t="shared" si="3"/>
        <v>Cameron Young</v>
      </c>
      <c r="B64">
        <f t="shared" si="4"/>
        <v>59</v>
      </c>
      <c r="C64">
        <f t="shared" si="5"/>
        <v>300.2</v>
      </c>
      <c r="D64" s="3">
        <f t="shared" si="5"/>
        <v>21016</v>
      </c>
      <c r="E64">
        <f t="shared" si="5"/>
        <v>70</v>
      </c>
      <c r="G64">
        <v>59</v>
      </c>
      <c r="H64" t="s">
        <v>9</v>
      </c>
      <c r="I64">
        <v>300.2</v>
      </c>
      <c r="J64" s="3">
        <v>21016</v>
      </c>
      <c r="K64">
        <v>70</v>
      </c>
    </row>
    <row r="65" spans="1:11">
      <c r="A65" t="str">
        <f t="shared" si="3"/>
        <v>Tyson Alexander</v>
      </c>
      <c r="B65">
        <f t="shared" si="4"/>
        <v>64</v>
      </c>
      <c r="C65">
        <f t="shared" si="5"/>
        <v>300.10000000000002</v>
      </c>
      <c r="D65" s="3">
        <f t="shared" si="5"/>
        <v>17404</v>
      </c>
      <c r="E65">
        <f t="shared" si="5"/>
        <v>58</v>
      </c>
      <c r="G65">
        <v>64</v>
      </c>
      <c r="H65" t="s">
        <v>107</v>
      </c>
      <c r="I65">
        <v>300.10000000000002</v>
      </c>
      <c r="J65" s="3">
        <v>17404</v>
      </c>
      <c r="K65">
        <v>58</v>
      </c>
    </row>
    <row r="66" spans="1:11" ht="23.25" customHeight="1">
      <c r="A66" t="str">
        <f t="shared" si="3"/>
        <v>Viktor Hovland</v>
      </c>
      <c r="B66">
        <f t="shared" si="4"/>
        <v>65</v>
      </c>
      <c r="C66">
        <f t="shared" si="5"/>
        <v>300</v>
      </c>
      <c r="D66" s="3">
        <f t="shared" si="5"/>
        <v>12599</v>
      </c>
      <c r="E66">
        <f t="shared" si="5"/>
        <v>42</v>
      </c>
      <c r="G66">
        <v>65</v>
      </c>
      <c r="H66" t="s">
        <v>47</v>
      </c>
      <c r="I66">
        <v>300</v>
      </c>
      <c r="J66" s="3">
        <v>12599</v>
      </c>
      <c r="K66">
        <v>42</v>
      </c>
    </row>
    <row r="67" spans="1:11">
      <c r="A67" t="str">
        <f t="shared" si="3"/>
        <v>David Skinns</v>
      </c>
      <c r="B67">
        <f t="shared" si="4"/>
        <v>66</v>
      </c>
      <c r="C67">
        <f t="shared" si="5"/>
        <v>299.89999999999998</v>
      </c>
      <c r="D67" s="3">
        <f t="shared" si="5"/>
        <v>15597</v>
      </c>
      <c r="E67">
        <f t="shared" si="5"/>
        <v>52</v>
      </c>
      <c r="G67">
        <v>66</v>
      </c>
      <c r="H67" t="s">
        <v>410</v>
      </c>
      <c r="I67">
        <v>299.89999999999998</v>
      </c>
      <c r="J67" s="3">
        <v>15597</v>
      </c>
      <c r="K67">
        <v>52</v>
      </c>
    </row>
    <row r="68" spans="1:11">
      <c r="A68" t="str">
        <f t="shared" si="3"/>
        <v>Max Homa</v>
      </c>
      <c r="B68">
        <f t="shared" si="4"/>
        <v>67</v>
      </c>
      <c r="C68">
        <f t="shared" si="5"/>
        <v>299.8</v>
      </c>
      <c r="D68" s="3">
        <f t="shared" si="5"/>
        <v>19787</v>
      </c>
      <c r="E68">
        <f t="shared" si="5"/>
        <v>66</v>
      </c>
      <c r="G68">
        <v>67</v>
      </c>
      <c r="H68" t="s">
        <v>66</v>
      </c>
      <c r="I68">
        <v>299.8</v>
      </c>
      <c r="J68" s="3">
        <v>19787</v>
      </c>
      <c r="K68">
        <v>66</v>
      </c>
    </row>
    <row r="69" spans="1:11">
      <c r="A69" t="str">
        <f t="shared" si="3"/>
        <v>Matt Wallace</v>
      </c>
      <c r="B69">
        <f t="shared" si="4"/>
        <v>67</v>
      </c>
      <c r="C69">
        <f t="shared" si="5"/>
        <v>299.8</v>
      </c>
      <c r="D69" s="3">
        <f t="shared" si="5"/>
        <v>16786</v>
      </c>
      <c r="E69">
        <f t="shared" si="5"/>
        <v>56</v>
      </c>
      <c r="G69">
        <v>67</v>
      </c>
      <c r="H69" t="s">
        <v>82</v>
      </c>
      <c r="I69">
        <v>299.8</v>
      </c>
      <c r="J69" s="3">
        <v>16786</v>
      </c>
      <c r="K69">
        <v>56</v>
      </c>
    </row>
    <row r="70" spans="1:11">
      <c r="A70" t="str">
        <f t="shared" si="3"/>
        <v>Erik Barnes</v>
      </c>
      <c r="B70">
        <f t="shared" si="4"/>
        <v>69</v>
      </c>
      <c r="C70">
        <f t="shared" si="5"/>
        <v>299.7</v>
      </c>
      <c r="D70" s="3">
        <f t="shared" si="5"/>
        <v>11088</v>
      </c>
      <c r="E70">
        <f t="shared" si="5"/>
        <v>37</v>
      </c>
      <c r="G70">
        <v>69</v>
      </c>
      <c r="H70" t="s">
        <v>235</v>
      </c>
      <c r="I70">
        <v>299.7</v>
      </c>
      <c r="J70" s="3">
        <v>11088</v>
      </c>
      <c r="K70">
        <v>37</v>
      </c>
    </row>
    <row r="71" spans="1:11">
      <c r="A71" t="str">
        <f t="shared" si="3"/>
        <v>Ryan Palmer</v>
      </c>
      <c r="B71">
        <f t="shared" si="4"/>
        <v>69</v>
      </c>
      <c r="C71">
        <f t="shared" si="5"/>
        <v>299.7</v>
      </c>
      <c r="D71" s="3">
        <f t="shared" si="5"/>
        <v>10789</v>
      </c>
      <c r="E71">
        <f t="shared" si="5"/>
        <v>36</v>
      </c>
      <c r="G71">
        <v>69</v>
      </c>
      <c r="H71" t="s">
        <v>87</v>
      </c>
      <c r="I71">
        <v>299.7</v>
      </c>
      <c r="J71" s="3">
        <v>10789</v>
      </c>
      <c r="K71">
        <v>36</v>
      </c>
    </row>
    <row r="72" spans="1:11">
      <c r="A72" t="str">
        <f t="shared" si="3"/>
        <v>Adam Schenk</v>
      </c>
      <c r="B72">
        <f t="shared" si="4"/>
        <v>71</v>
      </c>
      <c r="C72">
        <f t="shared" si="5"/>
        <v>299.60000000000002</v>
      </c>
      <c r="D72" s="3">
        <f t="shared" si="5"/>
        <v>23371</v>
      </c>
      <c r="E72">
        <f t="shared" si="5"/>
        <v>78</v>
      </c>
      <c r="G72">
        <v>71</v>
      </c>
      <c r="H72" t="s">
        <v>56</v>
      </c>
      <c r="I72">
        <v>299.60000000000002</v>
      </c>
      <c r="J72" s="3">
        <v>23371</v>
      </c>
      <c r="K72">
        <v>78</v>
      </c>
    </row>
    <row r="73" spans="1:11">
      <c r="A73" t="str">
        <f t="shared" si="3"/>
        <v>Nick Hardy</v>
      </c>
      <c r="B73">
        <f t="shared" si="4"/>
        <v>72</v>
      </c>
      <c r="C73">
        <f t="shared" si="5"/>
        <v>299.3</v>
      </c>
      <c r="D73" s="3">
        <f t="shared" si="5"/>
        <v>20949</v>
      </c>
      <c r="E73">
        <f t="shared" si="5"/>
        <v>70</v>
      </c>
      <c r="G73">
        <v>72</v>
      </c>
      <c r="H73" t="s">
        <v>36</v>
      </c>
      <c r="I73">
        <v>299.3</v>
      </c>
      <c r="J73" s="3">
        <v>20949</v>
      </c>
      <c r="K73">
        <v>70</v>
      </c>
    </row>
    <row r="74" spans="1:11">
      <c r="A74" t="str">
        <f t="shared" si="3"/>
        <v>Charley Hoffman</v>
      </c>
      <c r="B74">
        <f t="shared" si="4"/>
        <v>72</v>
      </c>
      <c r="C74">
        <f t="shared" si="5"/>
        <v>299.3</v>
      </c>
      <c r="D74" s="3">
        <f t="shared" si="5"/>
        <v>15565</v>
      </c>
      <c r="E74">
        <f t="shared" si="5"/>
        <v>52</v>
      </c>
      <c r="G74">
        <v>72</v>
      </c>
      <c r="H74" t="s">
        <v>50</v>
      </c>
      <c r="I74">
        <v>299.3</v>
      </c>
      <c r="J74" s="3">
        <v>15565</v>
      </c>
      <c r="K74">
        <v>52</v>
      </c>
    </row>
    <row r="75" spans="1:11">
      <c r="A75" t="str">
        <f t="shared" si="3"/>
        <v>Jason Day</v>
      </c>
      <c r="B75">
        <f t="shared" si="4"/>
        <v>74</v>
      </c>
      <c r="C75">
        <f t="shared" si="5"/>
        <v>299.2</v>
      </c>
      <c r="D75" s="3">
        <f t="shared" si="5"/>
        <v>16158</v>
      </c>
      <c r="E75">
        <f t="shared" si="5"/>
        <v>54</v>
      </c>
      <c r="G75">
        <v>74</v>
      </c>
      <c r="H75" t="s">
        <v>68</v>
      </c>
      <c r="I75">
        <v>299.2</v>
      </c>
      <c r="J75" s="3">
        <v>16158</v>
      </c>
      <c r="K75">
        <v>54</v>
      </c>
    </row>
    <row r="76" spans="1:11">
      <c r="A76" t="str">
        <f t="shared" si="3"/>
        <v>K.H. Lee</v>
      </c>
      <c r="B76">
        <f t="shared" si="4"/>
        <v>75</v>
      </c>
      <c r="C76">
        <f t="shared" si="5"/>
        <v>299.10000000000002</v>
      </c>
      <c r="D76" s="3">
        <f t="shared" si="5"/>
        <v>15555</v>
      </c>
      <c r="E76">
        <f t="shared" si="5"/>
        <v>52</v>
      </c>
      <c r="G76">
        <v>75</v>
      </c>
      <c r="H76" t="s">
        <v>92</v>
      </c>
      <c r="I76">
        <v>299.10000000000002</v>
      </c>
      <c r="J76" s="3">
        <v>15555</v>
      </c>
      <c r="K76">
        <v>52</v>
      </c>
    </row>
    <row r="77" spans="1:11">
      <c r="A77" t="str">
        <f t="shared" si="3"/>
        <v>Robert MacIntyre</v>
      </c>
      <c r="B77">
        <f t="shared" si="4"/>
        <v>76</v>
      </c>
      <c r="C77">
        <f t="shared" si="5"/>
        <v>298.89999999999998</v>
      </c>
      <c r="D77" s="3">
        <f t="shared" si="5"/>
        <v>16741</v>
      </c>
      <c r="E77">
        <f t="shared" si="5"/>
        <v>56</v>
      </c>
      <c r="G77">
        <v>76</v>
      </c>
      <c r="H77" t="s">
        <v>434</v>
      </c>
      <c r="I77">
        <v>298.89999999999998</v>
      </c>
      <c r="J77" s="3">
        <v>16741</v>
      </c>
      <c r="K77">
        <v>56</v>
      </c>
    </row>
    <row r="78" spans="1:11">
      <c r="A78" t="str">
        <f t="shared" si="3"/>
        <v>Scottie Scheffler</v>
      </c>
      <c r="B78">
        <f t="shared" si="4"/>
        <v>76</v>
      </c>
      <c r="C78">
        <f t="shared" si="5"/>
        <v>298.89999999999998</v>
      </c>
      <c r="D78" s="3">
        <f t="shared" si="5"/>
        <v>18531</v>
      </c>
      <c r="E78">
        <f t="shared" si="5"/>
        <v>62</v>
      </c>
      <c r="G78">
        <v>76</v>
      </c>
      <c r="H78" t="s">
        <v>35</v>
      </c>
      <c r="I78">
        <v>298.89999999999998</v>
      </c>
      <c r="J78" s="3">
        <v>18531</v>
      </c>
      <c r="K78">
        <v>62</v>
      </c>
    </row>
    <row r="79" spans="1:11">
      <c r="A79" t="str">
        <f t="shared" si="3"/>
        <v>Bronson Burgoon</v>
      </c>
      <c r="B79">
        <f t="shared" si="4"/>
        <v>78</v>
      </c>
      <c r="C79">
        <f t="shared" si="5"/>
        <v>298.8</v>
      </c>
      <c r="D79" s="3">
        <f t="shared" si="5"/>
        <v>9561</v>
      </c>
      <c r="E79">
        <f t="shared" si="5"/>
        <v>32</v>
      </c>
      <c r="G79">
        <v>78</v>
      </c>
      <c r="H79" t="s">
        <v>412</v>
      </c>
      <c r="I79">
        <v>298.8</v>
      </c>
      <c r="J79" s="3">
        <v>9561</v>
      </c>
      <c r="K79">
        <v>32</v>
      </c>
    </row>
    <row r="80" spans="1:11">
      <c r="A80" t="str">
        <f t="shared" si="3"/>
        <v>S.H. Kim</v>
      </c>
      <c r="B80">
        <f t="shared" si="4"/>
        <v>79</v>
      </c>
      <c r="C80">
        <f t="shared" si="5"/>
        <v>298.7</v>
      </c>
      <c r="D80" s="3">
        <f t="shared" si="5"/>
        <v>22104</v>
      </c>
      <c r="E80">
        <f t="shared" si="5"/>
        <v>74</v>
      </c>
      <c r="G80">
        <v>79</v>
      </c>
      <c r="H80" t="s">
        <v>39</v>
      </c>
      <c r="I80">
        <v>298.7</v>
      </c>
      <c r="J80" s="3">
        <v>22104</v>
      </c>
      <c r="K80">
        <v>74</v>
      </c>
    </row>
    <row r="81" spans="1:11">
      <c r="A81" t="str">
        <f t="shared" si="3"/>
        <v>Taylor Moore</v>
      </c>
      <c r="B81">
        <f t="shared" si="4"/>
        <v>79</v>
      </c>
      <c r="C81">
        <f t="shared" si="5"/>
        <v>298.7</v>
      </c>
      <c r="D81" s="3">
        <f t="shared" si="5"/>
        <v>23297</v>
      </c>
      <c r="E81">
        <f t="shared" si="5"/>
        <v>78</v>
      </c>
      <c r="G81">
        <v>79</v>
      </c>
      <c r="H81" t="s">
        <v>49</v>
      </c>
      <c r="I81">
        <v>298.7</v>
      </c>
      <c r="J81" s="3">
        <v>23297</v>
      </c>
      <c r="K81">
        <v>78</v>
      </c>
    </row>
    <row r="82" spans="1:11">
      <c r="A82" t="str">
        <f t="shared" si="3"/>
        <v>Akshay Bhatia</v>
      </c>
      <c r="B82">
        <f t="shared" si="4"/>
        <v>81</v>
      </c>
      <c r="C82">
        <f t="shared" si="5"/>
        <v>298.39999999999998</v>
      </c>
      <c r="D82" s="3">
        <f t="shared" si="5"/>
        <v>20293</v>
      </c>
      <c r="E82">
        <f t="shared" si="5"/>
        <v>68</v>
      </c>
      <c r="G82">
        <v>81</v>
      </c>
      <c r="H82" t="s">
        <v>370</v>
      </c>
      <c r="I82">
        <v>298.39999999999998</v>
      </c>
      <c r="J82" s="3">
        <v>20293</v>
      </c>
      <c r="K82">
        <v>68</v>
      </c>
    </row>
    <row r="83" spans="1:11">
      <c r="A83" t="str">
        <f t="shared" si="3"/>
        <v>Justin Suh</v>
      </c>
      <c r="B83">
        <f t="shared" si="4"/>
        <v>81</v>
      </c>
      <c r="C83">
        <f t="shared" si="5"/>
        <v>298.39999999999998</v>
      </c>
      <c r="D83" s="3">
        <f t="shared" si="5"/>
        <v>14324</v>
      </c>
      <c r="E83">
        <f t="shared" si="5"/>
        <v>48</v>
      </c>
      <c r="G83">
        <v>81</v>
      </c>
      <c r="H83" t="s">
        <v>109</v>
      </c>
      <c r="I83">
        <v>298.39999999999998</v>
      </c>
      <c r="J83" s="3">
        <v>14324</v>
      </c>
      <c r="K83">
        <v>48</v>
      </c>
    </row>
    <row r="84" spans="1:11">
      <c r="A84" t="str">
        <f t="shared" si="3"/>
        <v>Joe Highsmith</v>
      </c>
      <c r="B84">
        <f t="shared" si="4"/>
        <v>83</v>
      </c>
      <c r="C84">
        <f t="shared" si="5"/>
        <v>298.3</v>
      </c>
      <c r="D84" s="3">
        <f t="shared" si="5"/>
        <v>14020</v>
      </c>
      <c r="E84">
        <f t="shared" si="5"/>
        <v>47</v>
      </c>
      <c r="G84">
        <v>83</v>
      </c>
      <c r="H84" t="s">
        <v>522</v>
      </c>
      <c r="I84">
        <v>298.3</v>
      </c>
      <c r="J84" s="3">
        <v>14020</v>
      </c>
      <c r="K84">
        <v>47</v>
      </c>
    </row>
    <row r="85" spans="1:11">
      <c r="A85" t="str">
        <f t="shared" si="3"/>
        <v>Chesson Hadley</v>
      </c>
      <c r="B85">
        <f t="shared" si="4"/>
        <v>84</v>
      </c>
      <c r="C85">
        <f t="shared" si="5"/>
        <v>298.10000000000002</v>
      </c>
      <c r="D85" s="3">
        <f t="shared" si="5"/>
        <v>13116</v>
      </c>
      <c r="E85">
        <f t="shared" si="5"/>
        <v>44</v>
      </c>
      <c r="G85">
        <v>84</v>
      </c>
      <c r="H85" t="s">
        <v>106</v>
      </c>
      <c r="I85">
        <v>298.10000000000002</v>
      </c>
      <c r="J85" s="3">
        <v>13116</v>
      </c>
      <c r="K85">
        <v>44</v>
      </c>
    </row>
    <row r="86" spans="1:11">
      <c r="A86" t="str">
        <f t="shared" si="3"/>
        <v>Vince Whaley</v>
      </c>
      <c r="B86">
        <f t="shared" si="4"/>
        <v>85</v>
      </c>
      <c r="C86">
        <f t="shared" ref="C86:E99" si="6">I86</f>
        <v>298</v>
      </c>
      <c r="D86" s="3">
        <f t="shared" si="6"/>
        <v>13111</v>
      </c>
      <c r="E86">
        <f t="shared" si="6"/>
        <v>44</v>
      </c>
      <c r="G86">
        <v>85</v>
      </c>
      <c r="H86" t="s">
        <v>223</v>
      </c>
      <c r="I86">
        <v>298</v>
      </c>
      <c r="J86" s="3">
        <v>13111</v>
      </c>
      <c r="K86">
        <v>44</v>
      </c>
    </row>
    <row r="87" spans="1:11">
      <c r="A87" t="str">
        <f t="shared" si="3"/>
        <v>Michael Kim</v>
      </c>
      <c r="B87">
        <f t="shared" si="4"/>
        <v>86</v>
      </c>
      <c r="C87">
        <f t="shared" si="6"/>
        <v>297.89999999999998</v>
      </c>
      <c r="D87" s="3">
        <f t="shared" si="6"/>
        <v>17876</v>
      </c>
      <c r="E87">
        <f t="shared" si="6"/>
        <v>60</v>
      </c>
      <c r="G87">
        <v>86</v>
      </c>
      <c r="H87" t="s">
        <v>62</v>
      </c>
      <c r="I87">
        <v>297.89999999999998</v>
      </c>
      <c r="J87" s="3">
        <v>17876</v>
      </c>
      <c r="K87">
        <v>60</v>
      </c>
    </row>
    <row r="88" spans="1:11">
      <c r="A88" t="str">
        <f t="shared" si="3"/>
        <v>Luke List</v>
      </c>
      <c r="B88">
        <f t="shared" si="4"/>
        <v>87</v>
      </c>
      <c r="C88">
        <f t="shared" si="6"/>
        <v>297.7</v>
      </c>
      <c r="D88" s="3">
        <f t="shared" si="6"/>
        <v>20839</v>
      </c>
      <c r="E88">
        <f t="shared" si="6"/>
        <v>70</v>
      </c>
      <c r="G88">
        <v>87</v>
      </c>
      <c r="H88" t="s">
        <v>23</v>
      </c>
      <c r="I88">
        <v>297.7</v>
      </c>
      <c r="J88" s="3">
        <v>20839</v>
      </c>
      <c r="K88">
        <v>70</v>
      </c>
    </row>
    <row r="89" spans="1:11">
      <c r="A89" t="str">
        <f t="shared" si="3"/>
        <v>Keegan Bradley</v>
      </c>
      <c r="B89">
        <f t="shared" si="4"/>
        <v>88</v>
      </c>
      <c r="C89">
        <f t="shared" si="6"/>
        <v>297.3</v>
      </c>
      <c r="D89" s="3">
        <f t="shared" si="6"/>
        <v>17245</v>
      </c>
      <c r="E89">
        <f t="shared" si="6"/>
        <v>58</v>
      </c>
      <c r="G89">
        <v>88</v>
      </c>
      <c r="H89" t="s">
        <v>58</v>
      </c>
      <c r="I89">
        <v>297.3</v>
      </c>
      <c r="J89" s="3">
        <v>17245</v>
      </c>
      <c r="K89">
        <v>58</v>
      </c>
    </row>
    <row r="90" spans="1:11">
      <c r="A90" t="str">
        <f t="shared" ref="A90:A107" si="7">H90</f>
        <v>Harris English</v>
      </c>
      <c r="B90">
        <f t="shared" ref="B90:B107" si="8">G90</f>
        <v>89</v>
      </c>
      <c r="C90">
        <f t="shared" si="6"/>
        <v>297.2</v>
      </c>
      <c r="D90" s="3">
        <f t="shared" si="6"/>
        <v>21994</v>
      </c>
      <c r="E90">
        <f t="shared" si="6"/>
        <v>74</v>
      </c>
      <c r="G90">
        <v>89</v>
      </c>
      <c r="H90" t="s">
        <v>125</v>
      </c>
      <c r="I90">
        <v>297.2</v>
      </c>
      <c r="J90" s="3">
        <v>21994</v>
      </c>
      <c r="K90">
        <v>74</v>
      </c>
    </row>
    <row r="91" spans="1:11">
      <c r="A91" t="str">
        <f t="shared" si="7"/>
        <v>Hideki Matsuyama</v>
      </c>
      <c r="B91">
        <f t="shared" si="8"/>
        <v>90</v>
      </c>
      <c r="C91">
        <f t="shared" si="6"/>
        <v>296.89999999999998</v>
      </c>
      <c r="D91" s="3">
        <f t="shared" si="6"/>
        <v>23157</v>
      </c>
      <c r="E91">
        <f t="shared" si="6"/>
        <v>78</v>
      </c>
      <c r="G91">
        <v>90</v>
      </c>
      <c r="H91" t="s">
        <v>129</v>
      </c>
      <c r="I91">
        <v>296.89999999999998</v>
      </c>
      <c r="J91" s="3">
        <v>23157</v>
      </c>
      <c r="K91">
        <v>78</v>
      </c>
    </row>
    <row r="92" spans="1:11">
      <c r="A92" t="str">
        <f t="shared" si="7"/>
        <v>Ben Taylor</v>
      </c>
      <c r="B92">
        <f t="shared" si="8"/>
        <v>91</v>
      </c>
      <c r="C92">
        <f t="shared" si="6"/>
        <v>296.8</v>
      </c>
      <c r="D92" s="3">
        <f t="shared" si="6"/>
        <v>11873</v>
      </c>
      <c r="E92">
        <f t="shared" si="6"/>
        <v>40</v>
      </c>
      <c r="G92">
        <v>91</v>
      </c>
      <c r="H92" t="s">
        <v>71</v>
      </c>
      <c r="I92">
        <v>296.8</v>
      </c>
      <c r="J92" s="3">
        <v>11873</v>
      </c>
      <c r="K92">
        <v>40</v>
      </c>
    </row>
    <row r="93" spans="1:11">
      <c r="A93" t="str">
        <f t="shared" si="7"/>
        <v>Matthieu Pavon</v>
      </c>
      <c r="B93">
        <f t="shared" si="8"/>
        <v>92</v>
      </c>
      <c r="C93">
        <f t="shared" si="6"/>
        <v>296.60000000000002</v>
      </c>
      <c r="D93" s="3">
        <f t="shared" si="6"/>
        <v>14830</v>
      </c>
      <c r="E93">
        <f t="shared" si="6"/>
        <v>50</v>
      </c>
      <c r="G93">
        <v>92</v>
      </c>
      <c r="H93" t="s">
        <v>487</v>
      </c>
      <c r="I93">
        <v>296.60000000000002</v>
      </c>
      <c r="J93" s="3">
        <v>14830</v>
      </c>
      <c r="K93">
        <v>50</v>
      </c>
    </row>
    <row r="94" spans="1:11">
      <c r="A94" t="str">
        <f t="shared" si="7"/>
        <v>Adam Svensson</v>
      </c>
      <c r="B94">
        <f t="shared" si="8"/>
        <v>92</v>
      </c>
      <c r="C94">
        <f t="shared" si="6"/>
        <v>296.60000000000002</v>
      </c>
      <c r="D94" s="3">
        <f t="shared" si="6"/>
        <v>21947</v>
      </c>
      <c r="E94">
        <f t="shared" si="6"/>
        <v>74</v>
      </c>
      <c r="G94">
        <v>92</v>
      </c>
      <c r="H94" t="s">
        <v>130</v>
      </c>
      <c r="I94">
        <v>296.60000000000002</v>
      </c>
      <c r="J94" s="3">
        <v>21947</v>
      </c>
      <c r="K94">
        <v>74</v>
      </c>
    </row>
    <row r="95" spans="1:11">
      <c r="A95" t="str">
        <f t="shared" si="7"/>
        <v>Corey Conners</v>
      </c>
      <c r="B95">
        <f t="shared" si="8"/>
        <v>94</v>
      </c>
      <c r="C95">
        <f t="shared" si="6"/>
        <v>296.39999999999998</v>
      </c>
      <c r="D95" s="3">
        <f t="shared" si="6"/>
        <v>23118</v>
      </c>
      <c r="E95">
        <f t="shared" si="6"/>
        <v>78</v>
      </c>
      <c r="G95">
        <v>94</v>
      </c>
      <c r="H95" t="s">
        <v>93</v>
      </c>
      <c r="I95">
        <v>296.39999999999998</v>
      </c>
      <c r="J95" s="3">
        <v>23118</v>
      </c>
      <c r="K95">
        <v>78</v>
      </c>
    </row>
    <row r="96" spans="1:11">
      <c r="A96" t="str">
        <f t="shared" si="7"/>
        <v>Beau Hossler</v>
      </c>
      <c r="B96">
        <f t="shared" si="8"/>
        <v>95</v>
      </c>
      <c r="C96">
        <f t="shared" si="6"/>
        <v>296.3</v>
      </c>
      <c r="D96" s="3">
        <f t="shared" si="6"/>
        <v>18371</v>
      </c>
      <c r="E96">
        <f t="shared" si="6"/>
        <v>62</v>
      </c>
      <c r="G96">
        <v>95</v>
      </c>
      <c r="H96" t="s">
        <v>59</v>
      </c>
      <c r="I96">
        <v>296.3</v>
      </c>
      <c r="J96" s="3">
        <v>18371</v>
      </c>
      <c r="K96">
        <v>62</v>
      </c>
    </row>
    <row r="97" spans="1:11" ht="23.25" customHeight="1">
      <c r="A97" t="str">
        <f t="shared" si="7"/>
        <v>Trace Crowe</v>
      </c>
      <c r="B97">
        <f t="shared" si="8"/>
        <v>96</v>
      </c>
      <c r="C97">
        <f t="shared" si="6"/>
        <v>296.10000000000002</v>
      </c>
      <c r="D97" s="3">
        <f t="shared" si="6"/>
        <v>8882</v>
      </c>
      <c r="E97">
        <f t="shared" si="6"/>
        <v>30</v>
      </c>
      <c r="G97">
        <v>96</v>
      </c>
      <c r="H97" t="s">
        <v>559</v>
      </c>
      <c r="I97">
        <v>296.10000000000002</v>
      </c>
      <c r="J97" s="3">
        <v>8882</v>
      </c>
      <c r="K97">
        <v>30</v>
      </c>
    </row>
    <row r="98" spans="1:11">
      <c r="A98" t="str">
        <f t="shared" si="7"/>
        <v>Adam Hadwin</v>
      </c>
      <c r="B98">
        <f t="shared" si="8"/>
        <v>97</v>
      </c>
      <c r="C98">
        <f t="shared" si="6"/>
        <v>295.89999999999998</v>
      </c>
      <c r="D98" s="3">
        <f t="shared" si="6"/>
        <v>17161</v>
      </c>
      <c r="E98">
        <f t="shared" si="6"/>
        <v>58</v>
      </c>
      <c r="G98">
        <v>97</v>
      </c>
      <c r="H98" t="s">
        <v>141</v>
      </c>
      <c r="I98">
        <v>295.89999999999998</v>
      </c>
      <c r="J98" s="3">
        <v>17161</v>
      </c>
      <c r="K98">
        <v>58</v>
      </c>
    </row>
    <row r="99" spans="1:11">
      <c r="A99" t="str">
        <f t="shared" si="7"/>
        <v>Will Zalatoris</v>
      </c>
      <c r="B99">
        <f t="shared" si="8"/>
        <v>98</v>
      </c>
      <c r="C99">
        <f t="shared" si="6"/>
        <v>295.8</v>
      </c>
      <c r="D99" s="3">
        <f t="shared" si="6"/>
        <v>14197</v>
      </c>
      <c r="E99">
        <f t="shared" si="6"/>
        <v>48</v>
      </c>
      <c r="G99">
        <v>98</v>
      </c>
      <c r="H99" t="s">
        <v>233</v>
      </c>
      <c r="I99">
        <v>295.8</v>
      </c>
      <c r="J99" s="3">
        <v>14197</v>
      </c>
      <c r="K99">
        <v>48</v>
      </c>
    </row>
    <row r="100" spans="1:11">
      <c r="A100" t="str">
        <f t="shared" si="7"/>
        <v>Rickie Fowler</v>
      </c>
      <c r="B100">
        <f t="shared" si="8"/>
        <v>99</v>
      </c>
      <c r="C100">
        <f t="shared" ref="C100:E107" si="9">I100</f>
        <v>295.7</v>
      </c>
      <c r="D100" s="3">
        <f t="shared" si="9"/>
        <v>18335</v>
      </c>
      <c r="E100">
        <f t="shared" si="9"/>
        <v>62</v>
      </c>
      <c r="G100">
        <v>99</v>
      </c>
      <c r="H100" t="s">
        <v>44</v>
      </c>
      <c r="I100">
        <v>295.7</v>
      </c>
      <c r="J100" s="3">
        <v>18335</v>
      </c>
      <c r="K100">
        <v>62</v>
      </c>
    </row>
    <row r="101" spans="1:11">
      <c r="A101" t="str">
        <f t="shared" si="7"/>
        <v>Billy Horschel</v>
      </c>
      <c r="B101">
        <f t="shared" si="8"/>
        <v>100</v>
      </c>
      <c r="C101">
        <f t="shared" si="9"/>
        <v>295.5</v>
      </c>
      <c r="D101" s="3">
        <f t="shared" si="9"/>
        <v>15366</v>
      </c>
      <c r="E101">
        <f t="shared" si="9"/>
        <v>52</v>
      </c>
      <c r="G101">
        <v>100</v>
      </c>
      <c r="H101" t="s">
        <v>115</v>
      </c>
      <c r="I101">
        <v>295.5</v>
      </c>
      <c r="J101" s="3">
        <v>15366</v>
      </c>
      <c r="K101">
        <v>52</v>
      </c>
    </row>
    <row r="102" spans="1:11">
      <c r="A102" t="str">
        <f t="shared" si="7"/>
        <v>Jorge Campillo</v>
      </c>
      <c r="B102">
        <f t="shared" si="8"/>
        <v>101</v>
      </c>
      <c r="C102">
        <f t="shared" si="9"/>
        <v>295.3</v>
      </c>
      <c r="D102" s="3">
        <f t="shared" si="9"/>
        <v>10632</v>
      </c>
      <c r="E102">
        <f t="shared" si="9"/>
        <v>36</v>
      </c>
      <c r="G102">
        <v>101</v>
      </c>
      <c r="H102" t="s">
        <v>693</v>
      </c>
      <c r="I102">
        <v>295.3</v>
      </c>
      <c r="J102" s="3">
        <v>10632</v>
      </c>
      <c r="K102">
        <v>36</v>
      </c>
    </row>
    <row r="103" spans="1:11">
      <c r="A103" t="str">
        <f t="shared" si="7"/>
        <v>Austin Eckroat</v>
      </c>
      <c r="B103">
        <f t="shared" si="8"/>
        <v>101</v>
      </c>
      <c r="C103">
        <f t="shared" si="9"/>
        <v>295.3</v>
      </c>
      <c r="D103" s="3">
        <f t="shared" si="9"/>
        <v>18900</v>
      </c>
      <c r="E103">
        <f t="shared" si="9"/>
        <v>64</v>
      </c>
      <c r="G103">
        <v>101</v>
      </c>
      <c r="H103" t="s">
        <v>88</v>
      </c>
      <c r="I103">
        <v>295.3</v>
      </c>
      <c r="J103" s="3">
        <v>18900</v>
      </c>
      <c r="K103">
        <v>64</v>
      </c>
    </row>
    <row r="104" spans="1:11">
      <c r="A104" t="str">
        <f t="shared" si="7"/>
        <v>Eric Cole</v>
      </c>
      <c r="B104">
        <f t="shared" si="8"/>
        <v>103</v>
      </c>
      <c r="C104">
        <f t="shared" si="9"/>
        <v>294.89999999999998</v>
      </c>
      <c r="D104" s="3">
        <f t="shared" si="9"/>
        <v>22999</v>
      </c>
      <c r="E104">
        <f t="shared" si="9"/>
        <v>78</v>
      </c>
      <c r="G104">
        <v>103</v>
      </c>
      <c r="H104" t="s">
        <v>114</v>
      </c>
      <c r="I104">
        <v>294.89999999999998</v>
      </c>
      <c r="J104" s="3">
        <v>22999</v>
      </c>
      <c r="K104">
        <v>78</v>
      </c>
    </row>
    <row r="105" spans="1:11">
      <c r="A105" t="str">
        <f t="shared" si="7"/>
        <v>Chandler Phillips</v>
      </c>
      <c r="B105">
        <f t="shared" si="8"/>
        <v>103</v>
      </c>
      <c r="C105">
        <f t="shared" si="9"/>
        <v>294.89999999999998</v>
      </c>
      <c r="D105" s="3">
        <f t="shared" si="9"/>
        <v>14746</v>
      </c>
      <c r="E105">
        <f t="shared" si="9"/>
        <v>50</v>
      </c>
      <c r="G105">
        <v>103</v>
      </c>
      <c r="H105" t="s">
        <v>489</v>
      </c>
      <c r="I105">
        <v>294.89999999999998</v>
      </c>
      <c r="J105" s="3">
        <v>14746</v>
      </c>
      <c r="K105">
        <v>50</v>
      </c>
    </row>
    <row r="106" spans="1:11">
      <c r="A106" t="str">
        <f t="shared" si="7"/>
        <v>Thorbjørn Olesen</v>
      </c>
      <c r="B106">
        <f t="shared" si="8"/>
        <v>105</v>
      </c>
      <c r="C106">
        <f t="shared" si="9"/>
        <v>294.8</v>
      </c>
      <c r="D106" s="3">
        <f t="shared" si="9"/>
        <v>10611</v>
      </c>
      <c r="E106">
        <f t="shared" si="9"/>
        <v>36</v>
      </c>
      <c r="G106">
        <v>105</v>
      </c>
      <c r="H106" t="s">
        <v>795</v>
      </c>
      <c r="I106">
        <v>294.8</v>
      </c>
      <c r="J106" s="3">
        <v>10611</v>
      </c>
      <c r="K106">
        <v>36</v>
      </c>
    </row>
    <row r="107" spans="1:11">
      <c r="A107" t="str">
        <f t="shared" si="7"/>
        <v>Justin Lower</v>
      </c>
      <c r="B107">
        <f t="shared" si="8"/>
        <v>106</v>
      </c>
      <c r="C107">
        <f t="shared" si="9"/>
        <v>294.7</v>
      </c>
      <c r="D107" s="3">
        <f t="shared" si="9"/>
        <v>19449</v>
      </c>
      <c r="E107">
        <f t="shared" si="9"/>
        <v>66</v>
      </c>
      <c r="G107">
        <v>106</v>
      </c>
      <c r="H107" t="s">
        <v>147</v>
      </c>
      <c r="I107">
        <v>294.7</v>
      </c>
      <c r="J107" s="3">
        <v>19449</v>
      </c>
      <c r="K107">
        <v>66</v>
      </c>
    </row>
    <row r="108" spans="1:11">
      <c r="A108" t="str">
        <f t="shared" ref="A108:A119" si="10">H108</f>
        <v>Webb Simpson</v>
      </c>
      <c r="B108">
        <f t="shared" ref="B108:B119" si="11">G108</f>
        <v>106</v>
      </c>
      <c r="C108">
        <f t="shared" ref="C108:C119" si="12">I108</f>
        <v>294.7</v>
      </c>
      <c r="D108" s="3">
        <f t="shared" ref="D108:D119" si="13">J108</f>
        <v>12378</v>
      </c>
      <c r="E108">
        <f t="shared" ref="E108:E119" si="14">K108</f>
        <v>42</v>
      </c>
      <c r="G108">
        <v>106</v>
      </c>
      <c r="H108" t="s">
        <v>102</v>
      </c>
      <c r="I108">
        <v>294.7</v>
      </c>
      <c r="J108" s="3">
        <v>12378</v>
      </c>
      <c r="K108">
        <v>42</v>
      </c>
    </row>
    <row r="109" spans="1:11">
      <c r="A109" t="str">
        <f t="shared" si="10"/>
        <v>Cam Davis</v>
      </c>
      <c r="B109">
        <f t="shared" si="11"/>
        <v>108</v>
      </c>
      <c r="C109">
        <f t="shared" si="12"/>
        <v>294.60000000000002</v>
      </c>
      <c r="D109" s="3">
        <f t="shared" si="13"/>
        <v>17088</v>
      </c>
      <c r="E109">
        <f t="shared" si="14"/>
        <v>58</v>
      </c>
      <c r="G109">
        <v>108</v>
      </c>
      <c r="H109" t="s">
        <v>29</v>
      </c>
      <c r="I109">
        <v>294.60000000000002</v>
      </c>
      <c r="J109" s="3">
        <v>17088</v>
      </c>
      <c r="K109">
        <v>58</v>
      </c>
    </row>
    <row r="110" spans="1:11">
      <c r="A110" t="str">
        <f t="shared" si="10"/>
        <v>Chan Kim</v>
      </c>
      <c r="B110">
        <f t="shared" si="11"/>
        <v>108</v>
      </c>
      <c r="C110">
        <f t="shared" si="12"/>
        <v>294.60000000000002</v>
      </c>
      <c r="D110" s="3">
        <f t="shared" si="13"/>
        <v>18856</v>
      </c>
      <c r="E110">
        <f t="shared" si="14"/>
        <v>64</v>
      </c>
      <c r="G110">
        <v>108</v>
      </c>
      <c r="H110" t="s">
        <v>424</v>
      </c>
      <c r="I110">
        <v>294.60000000000002</v>
      </c>
      <c r="J110" s="3">
        <v>18856</v>
      </c>
      <c r="K110">
        <v>64</v>
      </c>
    </row>
    <row r="111" spans="1:11">
      <c r="A111" t="str">
        <f t="shared" si="10"/>
        <v>Chris Kirk</v>
      </c>
      <c r="B111">
        <f t="shared" si="11"/>
        <v>108</v>
      </c>
      <c r="C111">
        <f t="shared" si="12"/>
        <v>294.60000000000002</v>
      </c>
      <c r="D111" s="3">
        <f t="shared" si="13"/>
        <v>17084</v>
      </c>
      <c r="E111">
        <f t="shared" si="14"/>
        <v>58</v>
      </c>
      <c r="G111">
        <v>108</v>
      </c>
      <c r="H111" t="s">
        <v>132</v>
      </c>
      <c r="I111">
        <v>294.60000000000002</v>
      </c>
      <c r="J111" s="3">
        <v>17084</v>
      </c>
      <c r="K111">
        <v>58</v>
      </c>
    </row>
    <row r="112" spans="1:11">
      <c r="A112" t="str">
        <f t="shared" si="10"/>
        <v>Scott Stallings</v>
      </c>
      <c r="B112">
        <f t="shared" si="11"/>
        <v>108</v>
      </c>
      <c r="C112">
        <f t="shared" si="12"/>
        <v>294.60000000000002</v>
      </c>
      <c r="D112" s="3">
        <f t="shared" si="13"/>
        <v>12375</v>
      </c>
      <c r="E112">
        <f t="shared" si="14"/>
        <v>42</v>
      </c>
      <c r="G112">
        <v>108</v>
      </c>
      <c r="H112" t="s">
        <v>89</v>
      </c>
      <c r="I112">
        <v>294.60000000000002</v>
      </c>
      <c r="J112" s="3">
        <v>12375</v>
      </c>
      <c r="K112">
        <v>42</v>
      </c>
    </row>
    <row r="113" spans="1:11">
      <c r="A113" t="str">
        <f t="shared" si="10"/>
        <v>Tommy Fleetwood</v>
      </c>
      <c r="B113">
        <f t="shared" si="11"/>
        <v>112</v>
      </c>
      <c r="C113">
        <f t="shared" si="12"/>
        <v>294.5</v>
      </c>
      <c r="D113" s="3">
        <f t="shared" si="13"/>
        <v>14726</v>
      </c>
      <c r="E113">
        <f t="shared" si="14"/>
        <v>50</v>
      </c>
      <c r="G113">
        <v>112</v>
      </c>
      <c r="H113" t="s">
        <v>85</v>
      </c>
      <c r="I113">
        <v>294.5</v>
      </c>
      <c r="J113" s="3">
        <v>14726</v>
      </c>
      <c r="K113">
        <v>50</v>
      </c>
    </row>
    <row r="114" spans="1:11">
      <c r="A114" t="str">
        <f t="shared" si="10"/>
        <v>Patrick Cantlay</v>
      </c>
      <c r="B114">
        <f t="shared" si="11"/>
        <v>113</v>
      </c>
      <c r="C114">
        <f t="shared" si="12"/>
        <v>294.10000000000002</v>
      </c>
      <c r="D114" s="3">
        <f t="shared" si="13"/>
        <v>15883</v>
      </c>
      <c r="E114">
        <f t="shared" si="14"/>
        <v>54</v>
      </c>
      <c r="G114">
        <v>113</v>
      </c>
      <c r="H114" t="s">
        <v>40</v>
      </c>
      <c r="I114">
        <v>294.10000000000002</v>
      </c>
      <c r="J114" s="3">
        <v>15883</v>
      </c>
      <c r="K114">
        <v>54</v>
      </c>
    </row>
    <row r="115" spans="1:11">
      <c r="A115" t="str">
        <f t="shared" si="10"/>
        <v>Shane Lowry</v>
      </c>
      <c r="B115">
        <f t="shared" si="11"/>
        <v>114</v>
      </c>
      <c r="C115">
        <f t="shared" si="12"/>
        <v>294</v>
      </c>
      <c r="D115" s="3">
        <f t="shared" si="13"/>
        <v>14111</v>
      </c>
      <c r="E115">
        <f t="shared" si="14"/>
        <v>48</v>
      </c>
      <c r="G115">
        <v>114</v>
      </c>
      <c r="H115" t="s">
        <v>74</v>
      </c>
      <c r="I115">
        <v>294</v>
      </c>
      <c r="J115" s="3">
        <v>14111</v>
      </c>
      <c r="K115">
        <v>48</v>
      </c>
    </row>
    <row r="116" spans="1:11">
      <c r="A116" t="str">
        <f t="shared" si="10"/>
        <v>Justin Rose</v>
      </c>
      <c r="B116">
        <f t="shared" si="11"/>
        <v>114</v>
      </c>
      <c r="C116">
        <f t="shared" si="12"/>
        <v>294</v>
      </c>
      <c r="D116" s="3">
        <f t="shared" si="13"/>
        <v>14699</v>
      </c>
      <c r="E116">
        <f t="shared" si="14"/>
        <v>50</v>
      </c>
      <c r="G116">
        <v>114</v>
      </c>
      <c r="H116" t="s">
        <v>143</v>
      </c>
      <c r="I116">
        <v>294</v>
      </c>
      <c r="J116" s="3">
        <v>14699</v>
      </c>
      <c r="K116">
        <v>50</v>
      </c>
    </row>
    <row r="117" spans="1:11">
      <c r="A117" t="str">
        <f t="shared" si="10"/>
        <v>Seamus Power</v>
      </c>
      <c r="B117">
        <f t="shared" si="11"/>
        <v>116</v>
      </c>
      <c r="C117">
        <f t="shared" si="12"/>
        <v>293.89999999999998</v>
      </c>
      <c r="D117" s="3">
        <f t="shared" si="13"/>
        <v>20574</v>
      </c>
      <c r="E117">
        <f t="shared" si="14"/>
        <v>70</v>
      </c>
      <c r="G117">
        <v>116</v>
      </c>
      <c r="H117" t="s">
        <v>105</v>
      </c>
      <c r="I117">
        <v>293.89999999999998</v>
      </c>
      <c r="J117" s="3">
        <v>20574</v>
      </c>
      <c r="K117">
        <v>70</v>
      </c>
    </row>
    <row r="118" spans="1:11">
      <c r="A118" t="str">
        <f t="shared" si="10"/>
        <v>Josh Teater</v>
      </c>
      <c r="B118">
        <f t="shared" si="11"/>
        <v>116</v>
      </c>
      <c r="C118">
        <f t="shared" si="12"/>
        <v>293.89999999999998</v>
      </c>
      <c r="D118" s="3">
        <f t="shared" si="13"/>
        <v>10581</v>
      </c>
      <c r="E118">
        <f t="shared" si="14"/>
        <v>36</v>
      </c>
      <c r="G118">
        <v>116</v>
      </c>
      <c r="H118" t="s">
        <v>444</v>
      </c>
      <c r="I118">
        <v>293.89999999999998</v>
      </c>
      <c r="J118" s="3">
        <v>10581</v>
      </c>
      <c r="K118">
        <v>36</v>
      </c>
    </row>
    <row r="119" spans="1:11">
      <c r="A119" t="str">
        <f t="shared" si="10"/>
        <v>Brandon Wu</v>
      </c>
      <c r="B119">
        <f t="shared" si="11"/>
        <v>116</v>
      </c>
      <c r="C119">
        <f t="shared" si="12"/>
        <v>293.89999999999998</v>
      </c>
      <c r="D119" s="3">
        <f t="shared" si="13"/>
        <v>14694</v>
      </c>
      <c r="E119">
        <f t="shared" si="14"/>
        <v>50</v>
      </c>
      <c r="G119">
        <v>116</v>
      </c>
      <c r="H119" t="s">
        <v>133</v>
      </c>
      <c r="I119">
        <v>293.89999999999998</v>
      </c>
      <c r="J119" s="3">
        <v>14694</v>
      </c>
      <c r="K119">
        <v>50</v>
      </c>
    </row>
    <row r="120" spans="1:11">
      <c r="A120" t="str">
        <f>H120</f>
        <v>Tom Whitney</v>
      </c>
      <c r="B120">
        <f>G120</f>
        <v>119</v>
      </c>
      <c r="C120">
        <f t="shared" ref="C120:E122" si="15">I120</f>
        <v>293.8</v>
      </c>
      <c r="D120" s="3">
        <f t="shared" si="15"/>
        <v>12925</v>
      </c>
      <c r="E120">
        <f t="shared" si="15"/>
        <v>44</v>
      </c>
      <c r="G120">
        <v>119</v>
      </c>
      <c r="H120" t="s">
        <v>563</v>
      </c>
      <c r="I120">
        <v>293.8</v>
      </c>
      <c r="J120" s="3">
        <v>12925</v>
      </c>
      <c r="K120">
        <v>44</v>
      </c>
    </row>
    <row r="121" spans="1:11">
      <c r="A121" t="str">
        <f>H121</f>
        <v>Hayden Buckley</v>
      </c>
      <c r="B121">
        <f>G121</f>
        <v>120</v>
      </c>
      <c r="C121">
        <f t="shared" si="15"/>
        <v>293.7</v>
      </c>
      <c r="D121" s="3">
        <f t="shared" si="15"/>
        <v>13508</v>
      </c>
      <c r="E121">
        <f t="shared" si="15"/>
        <v>46</v>
      </c>
      <c r="G121">
        <v>120</v>
      </c>
      <c r="H121" t="s">
        <v>60</v>
      </c>
      <c r="I121">
        <v>293.7</v>
      </c>
      <c r="J121" s="3">
        <v>13508</v>
      </c>
      <c r="K121">
        <v>46</v>
      </c>
    </row>
    <row r="122" spans="1:11">
      <c r="A122" t="str">
        <f>H122</f>
        <v>Ryo Hisatsune</v>
      </c>
      <c r="B122">
        <f>G122</f>
        <v>120</v>
      </c>
      <c r="C122">
        <f t="shared" si="15"/>
        <v>293.7</v>
      </c>
      <c r="D122" s="3">
        <f t="shared" si="15"/>
        <v>18502</v>
      </c>
      <c r="E122">
        <f t="shared" si="15"/>
        <v>63</v>
      </c>
      <c r="G122">
        <v>120</v>
      </c>
      <c r="H122" t="s">
        <v>427</v>
      </c>
      <c r="I122">
        <v>293.7</v>
      </c>
      <c r="J122" s="3">
        <v>18502</v>
      </c>
      <c r="K122">
        <v>63</v>
      </c>
    </row>
    <row r="123" spans="1:11">
      <c r="A123" t="str">
        <f t="shared" ref="A123:A129" si="16">H123</f>
        <v>Taylor Montgomery</v>
      </c>
      <c r="B123">
        <f t="shared" ref="B123:B129" si="17">G123</f>
        <v>120</v>
      </c>
      <c r="C123">
        <f t="shared" ref="C123:C129" si="18">I123</f>
        <v>293.7</v>
      </c>
      <c r="D123" s="3">
        <f t="shared" ref="D123:D129" si="19">J123</f>
        <v>17620</v>
      </c>
      <c r="E123">
        <f t="shared" ref="E123:E129" si="20">K123</f>
        <v>60</v>
      </c>
      <c r="G123">
        <v>120</v>
      </c>
      <c r="H123" t="s">
        <v>63</v>
      </c>
      <c r="I123">
        <v>293.7</v>
      </c>
      <c r="J123" s="3">
        <v>17620</v>
      </c>
      <c r="K123">
        <v>60</v>
      </c>
    </row>
    <row r="124" spans="1:11">
      <c r="A124" t="str">
        <f t="shared" si="16"/>
        <v>Harry Hall</v>
      </c>
      <c r="B124">
        <f t="shared" si="17"/>
        <v>123</v>
      </c>
      <c r="C124">
        <f t="shared" si="18"/>
        <v>293.5</v>
      </c>
      <c r="D124" s="3">
        <f t="shared" si="19"/>
        <v>19957</v>
      </c>
      <c r="E124">
        <f t="shared" si="20"/>
        <v>68</v>
      </c>
      <c r="G124">
        <v>123</v>
      </c>
      <c r="H124" t="s">
        <v>108</v>
      </c>
      <c r="I124">
        <v>293.5</v>
      </c>
      <c r="J124" s="3">
        <v>19957</v>
      </c>
      <c r="K124">
        <v>68</v>
      </c>
    </row>
    <row r="125" spans="1:11">
      <c r="A125" t="str">
        <f t="shared" si="16"/>
        <v>Kevin Streelman</v>
      </c>
      <c r="B125">
        <f t="shared" si="17"/>
        <v>124</v>
      </c>
      <c r="C125">
        <f t="shared" si="18"/>
        <v>293.39999999999998</v>
      </c>
      <c r="D125" s="3">
        <f t="shared" si="19"/>
        <v>10857</v>
      </c>
      <c r="E125">
        <f t="shared" si="20"/>
        <v>37</v>
      </c>
      <c r="G125">
        <v>124</v>
      </c>
      <c r="H125" t="s">
        <v>123</v>
      </c>
      <c r="I125">
        <v>293.39999999999998</v>
      </c>
      <c r="J125" s="3">
        <v>10857</v>
      </c>
      <c r="K125">
        <v>37</v>
      </c>
    </row>
    <row r="126" spans="1:11">
      <c r="A126" t="str">
        <f t="shared" si="16"/>
        <v>Mackenzie Hughes</v>
      </c>
      <c r="B126">
        <f t="shared" si="17"/>
        <v>125</v>
      </c>
      <c r="C126">
        <f t="shared" si="18"/>
        <v>293.2</v>
      </c>
      <c r="D126" s="3">
        <f t="shared" si="19"/>
        <v>19349</v>
      </c>
      <c r="E126">
        <f t="shared" si="20"/>
        <v>66</v>
      </c>
      <c r="G126">
        <v>125</v>
      </c>
      <c r="H126" t="s">
        <v>104</v>
      </c>
      <c r="I126">
        <v>293.2</v>
      </c>
      <c r="J126" s="3">
        <v>19349</v>
      </c>
      <c r="K126">
        <v>66</v>
      </c>
    </row>
    <row r="127" spans="1:11">
      <c r="A127" t="str">
        <f t="shared" si="16"/>
        <v>Jacob Bridgeman</v>
      </c>
      <c r="B127">
        <f t="shared" si="17"/>
        <v>126</v>
      </c>
      <c r="C127">
        <f t="shared" si="18"/>
        <v>293.10000000000002</v>
      </c>
      <c r="D127" s="3">
        <f t="shared" si="19"/>
        <v>14071</v>
      </c>
      <c r="E127">
        <f t="shared" si="20"/>
        <v>48</v>
      </c>
      <c r="G127">
        <v>126</v>
      </c>
      <c r="H127" t="s">
        <v>496</v>
      </c>
      <c r="I127">
        <v>293.10000000000002</v>
      </c>
      <c r="J127" s="3">
        <v>14071</v>
      </c>
      <c r="K127">
        <v>48</v>
      </c>
    </row>
    <row r="128" spans="1:11">
      <c r="A128" t="str">
        <f t="shared" si="16"/>
        <v>Tyler Duncan</v>
      </c>
      <c r="B128">
        <f t="shared" si="17"/>
        <v>127</v>
      </c>
      <c r="C128">
        <f t="shared" si="18"/>
        <v>292.89999999999998</v>
      </c>
      <c r="D128" s="3">
        <f t="shared" si="19"/>
        <v>16107</v>
      </c>
      <c r="E128">
        <f t="shared" si="20"/>
        <v>55</v>
      </c>
      <c r="G128">
        <v>127</v>
      </c>
      <c r="H128" t="s">
        <v>116</v>
      </c>
      <c r="I128">
        <v>292.89999999999998</v>
      </c>
      <c r="J128" s="3">
        <v>16107</v>
      </c>
      <c r="K128">
        <v>55</v>
      </c>
    </row>
    <row r="129" spans="1:11">
      <c r="A129" t="str">
        <f t="shared" si="16"/>
        <v>C.T. Pan</v>
      </c>
      <c r="B129">
        <f t="shared" si="17"/>
        <v>128</v>
      </c>
      <c r="C129">
        <f t="shared" si="18"/>
        <v>292.8</v>
      </c>
      <c r="D129" s="3">
        <f t="shared" si="19"/>
        <v>14053</v>
      </c>
      <c r="E129">
        <f t="shared" si="20"/>
        <v>48</v>
      </c>
      <c r="G129">
        <v>128</v>
      </c>
      <c r="H129" t="s">
        <v>131</v>
      </c>
      <c r="I129">
        <v>292.8</v>
      </c>
      <c r="J129" s="3">
        <v>14053</v>
      </c>
      <c r="K129">
        <v>48</v>
      </c>
    </row>
    <row r="130" spans="1:11">
      <c r="A130" t="str">
        <f>H130</f>
        <v>Bud Cauley</v>
      </c>
      <c r="B130">
        <f>G130</f>
        <v>129</v>
      </c>
      <c r="C130">
        <f>I130</f>
        <v>292.5</v>
      </c>
      <c r="D130" s="3">
        <f>J130</f>
        <v>10531</v>
      </c>
      <c r="E130">
        <f>K130</f>
        <v>36</v>
      </c>
      <c r="G130">
        <v>129</v>
      </c>
      <c r="H130" t="s">
        <v>633</v>
      </c>
      <c r="I130">
        <v>292.5</v>
      </c>
      <c r="J130" s="3">
        <v>10531</v>
      </c>
      <c r="K130">
        <v>36</v>
      </c>
    </row>
    <row r="131" spans="1:11">
      <c r="A131" t="str">
        <f t="shared" ref="A131:A153" si="21">H131</f>
        <v>Stewart Cink</v>
      </c>
      <c r="B131">
        <f t="shared" ref="B131:B153" si="22">G131</f>
        <v>129</v>
      </c>
      <c r="C131">
        <f t="shared" ref="C131:C153" si="23">I131</f>
        <v>292.5</v>
      </c>
      <c r="D131" s="3">
        <f t="shared" ref="D131:D153" si="24">J131</f>
        <v>10531</v>
      </c>
      <c r="E131">
        <f t="shared" ref="E131:E153" si="25">K131</f>
        <v>36</v>
      </c>
      <c r="G131">
        <v>129</v>
      </c>
      <c r="H131" t="s">
        <v>53</v>
      </c>
      <c r="I131">
        <v>292.5</v>
      </c>
      <c r="J131" s="3">
        <v>10531</v>
      </c>
      <c r="K131">
        <v>36</v>
      </c>
    </row>
    <row r="132" spans="1:11">
      <c r="A132" t="str">
        <f t="shared" si="21"/>
        <v>Ben Griffin</v>
      </c>
      <c r="B132">
        <f t="shared" si="22"/>
        <v>129</v>
      </c>
      <c r="C132">
        <f t="shared" si="23"/>
        <v>292.5</v>
      </c>
      <c r="D132" s="3">
        <f t="shared" si="24"/>
        <v>21645</v>
      </c>
      <c r="E132">
        <f t="shared" si="25"/>
        <v>74</v>
      </c>
      <c r="G132">
        <v>129</v>
      </c>
      <c r="H132" t="s">
        <v>97</v>
      </c>
      <c r="I132">
        <v>292.5</v>
      </c>
      <c r="J132" s="3">
        <v>21645</v>
      </c>
      <c r="K132">
        <v>74</v>
      </c>
    </row>
    <row r="133" spans="1:11">
      <c r="A133" t="str">
        <f t="shared" si="21"/>
        <v>Lee Hodges</v>
      </c>
      <c r="B133">
        <f t="shared" si="22"/>
        <v>129</v>
      </c>
      <c r="C133">
        <f t="shared" si="23"/>
        <v>292.5</v>
      </c>
      <c r="D133" s="3">
        <f t="shared" si="24"/>
        <v>19302</v>
      </c>
      <c r="E133">
        <f t="shared" si="25"/>
        <v>66</v>
      </c>
      <c r="G133">
        <v>129</v>
      </c>
      <c r="H133" t="s">
        <v>101</v>
      </c>
      <c r="I133">
        <v>292.5</v>
      </c>
      <c r="J133" s="3">
        <v>19302</v>
      </c>
      <c r="K133">
        <v>66</v>
      </c>
    </row>
    <row r="134" spans="1:11">
      <c r="A134" t="str">
        <f t="shared" si="21"/>
        <v>Tom Kim</v>
      </c>
      <c r="B134">
        <f t="shared" si="22"/>
        <v>133</v>
      </c>
      <c r="C134">
        <f t="shared" si="23"/>
        <v>292.10000000000002</v>
      </c>
      <c r="D134" s="3">
        <f t="shared" si="24"/>
        <v>16944</v>
      </c>
      <c r="E134">
        <f t="shared" si="25"/>
        <v>58</v>
      </c>
      <c r="G134">
        <v>133</v>
      </c>
      <c r="H134" t="s">
        <v>124</v>
      </c>
      <c r="I134">
        <v>292.10000000000002</v>
      </c>
      <c r="J134" s="3">
        <v>16944</v>
      </c>
      <c r="K134">
        <v>58</v>
      </c>
    </row>
    <row r="135" spans="1:11">
      <c r="A135" t="str">
        <f t="shared" si="21"/>
        <v>Carson Young</v>
      </c>
      <c r="B135">
        <f t="shared" si="22"/>
        <v>134</v>
      </c>
      <c r="C135">
        <f t="shared" si="23"/>
        <v>291.89999999999998</v>
      </c>
      <c r="D135" s="3">
        <f t="shared" si="24"/>
        <v>16344</v>
      </c>
      <c r="E135">
        <f t="shared" si="25"/>
        <v>56</v>
      </c>
      <c r="G135">
        <v>134</v>
      </c>
      <c r="H135" t="s">
        <v>136</v>
      </c>
      <c r="I135">
        <v>291.89999999999998</v>
      </c>
      <c r="J135" s="3">
        <v>16344</v>
      </c>
      <c r="K135">
        <v>56</v>
      </c>
    </row>
    <row r="136" spans="1:11">
      <c r="A136" t="str">
        <f t="shared" si="21"/>
        <v>Alex Noren</v>
      </c>
      <c r="B136">
        <f t="shared" si="22"/>
        <v>135</v>
      </c>
      <c r="C136">
        <f t="shared" si="23"/>
        <v>291.8</v>
      </c>
      <c r="D136" s="3">
        <f t="shared" si="24"/>
        <v>15756</v>
      </c>
      <c r="E136">
        <f t="shared" si="25"/>
        <v>54</v>
      </c>
      <c r="G136">
        <v>135</v>
      </c>
      <c r="H136" t="s">
        <v>95</v>
      </c>
      <c r="I136">
        <v>291.8</v>
      </c>
      <c r="J136" s="3">
        <v>15756</v>
      </c>
      <c r="K136">
        <v>54</v>
      </c>
    </row>
    <row r="137" spans="1:11">
      <c r="A137" t="str">
        <f t="shared" si="21"/>
        <v>Tom Hoge</v>
      </c>
      <c r="B137">
        <f t="shared" si="22"/>
        <v>136</v>
      </c>
      <c r="C137">
        <f t="shared" si="23"/>
        <v>291.5</v>
      </c>
      <c r="D137" s="3">
        <f t="shared" si="24"/>
        <v>21570</v>
      </c>
      <c r="E137">
        <f t="shared" si="25"/>
        <v>74</v>
      </c>
      <c r="G137">
        <v>136</v>
      </c>
      <c r="H137" t="s">
        <v>139</v>
      </c>
      <c r="I137">
        <v>291.5</v>
      </c>
      <c r="J137" s="3">
        <v>21570</v>
      </c>
      <c r="K137">
        <v>74</v>
      </c>
    </row>
    <row r="138" spans="1:11">
      <c r="A138" t="str">
        <f t="shared" si="21"/>
        <v>Peter Malnati</v>
      </c>
      <c r="B138">
        <f t="shared" si="22"/>
        <v>137</v>
      </c>
      <c r="C138">
        <f t="shared" si="23"/>
        <v>291.2</v>
      </c>
      <c r="D138" s="3">
        <f t="shared" si="24"/>
        <v>15725</v>
      </c>
      <c r="E138">
        <f t="shared" si="25"/>
        <v>54</v>
      </c>
      <c r="G138">
        <v>137</v>
      </c>
      <c r="H138" t="s">
        <v>142</v>
      </c>
      <c r="I138">
        <v>291.2</v>
      </c>
      <c r="J138" s="3">
        <v>15725</v>
      </c>
      <c r="K138">
        <v>54</v>
      </c>
    </row>
    <row r="139" spans="1:11">
      <c r="A139" t="str">
        <f t="shared" si="21"/>
        <v>Nate Lashley</v>
      </c>
      <c r="B139">
        <f t="shared" si="22"/>
        <v>138</v>
      </c>
      <c r="C139">
        <f t="shared" si="23"/>
        <v>291.10000000000002</v>
      </c>
      <c r="D139" s="3">
        <f t="shared" si="24"/>
        <v>15138</v>
      </c>
      <c r="E139">
        <f t="shared" si="25"/>
        <v>52</v>
      </c>
      <c r="G139">
        <v>138</v>
      </c>
      <c r="H139" t="s">
        <v>122</v>
      </c>
      <c r="I139">
        <v>291.10000000000002</v>
      </c>
      <c r="J139" s="3">
        <v>15138</v>
      </c>
      <c r="K139">
        <v>52</v>
      </c>
    </row>
    <row r="140" spans="1:11">
      <c r="A140" t="str">
        <f t="shared" si="21"/>
        <v>J.J. Spaun</v>
      </c>
      <c r="B140">
        <f t="shared" si="22"/>
        <v>139</v>
      </c>
      <c r="C140">
        <f t="shared" si="23"/>
        <v>290.89999999999998</v>
      </c>
      <c r="D140" s="3">
        <f t="shared" si="24"/>
        <v>15707</v>
      </c>
      <c r="E140">
        <f t="shared" si="25"/>
        <v>54</v>
      </c>
      <c r="G140">
        <v>139</v>
      </c>
      <c r="H140" t="s">
        <v>112</v>
      </c>
      <c r="I140">
        <v>290.89999999999998</v>
      </c>
      <c r="J140" s="3">
        <v>15707</v>
      </c>
      <c r="K140">
        <v>54</v>
      </c>
    </row>
    <row r="141" spans="1:11">
      <c r="A141" t="str">
        <f t="shared" si="21"/>
        <v>Matt NeSmith</v>
      </c>
      <c r="B141">
        <f t="shared" si="22"/>
        <v>140</v>
      </c>
      <c r="C141">
        <f t="shared" si="23"/>
        <v>290.7</v>
      </c>
      <c r="D141" s="3">
        <f t="shared" si="24"/>
        <v>13955</v>
      </c>
      <c r="E141">
        <f t="shared" si="25"/>
        <v>48</v>
      </c>
      <c r="G141">
        <v>140</v>
      </c>
      <c r="H141" t="s">
        <v>443</v>
      </c>
      <c r="I141">
        <v>290.7</v>
      </c>
      <c r="J141" s="3">
        <v>13955</v>
      </c>
      <c r="K141">
        <v>48</v>
      </c>
    </row>
    <row r="142" spans="1:11">
      <c r="A142" t="str">
        <f t="shared" si="21"/>
        <v>Robby Shelton</v>
      </c>
      <c r="B142">
        <f t="shared" si="22"/>
        <v>140</v>
      </c>
      <c r="C142">
        <f t="shared" si="23"/>
        <v>290.7</v>
      </c>
      <c r="D142" s="3">
        <f t="shared" si="24"/>
        <v>17439</v>
      </c>
      <c r="E142">
        <f t="shared" si="25"/>
        <v>60</v>
      </c>
      <c r="G142">
        <v>140</v>
      </c>
      <c r="H142" t="s">
        <v>149</v>
      </c>
      <c r="I142">
        <v>290.7</v>
      </c>
      <c r="J142" s="3">
        <v>17439</v>
      </c>
      <c r="K142">
        <v>60</v>
      </c>
    </row>
    <row r="143" spans="1:11">
      <c r="A143" t="str">
        <f t="shared" si="21"/>
        <v>Doug Ghim</v>
      </c>
      <c r="B143">
        <f t="shared" si="22"/>
        <v>142</v>
      </c>
      <c r="C143">
        <f t="shared" si="23"/>
        <v>290.3</v>
      </c>
      <c r="D143" s="3">
        <f t="shared" si="24"/>
        <v>17415</v>
      </c>
      <c r="E143">
        <f t="shared" si="25"/>
        <v>60</v>
      </c>
      <c r="G143">
        <v>142</v>
      </c>
      <c r="H143" t="s">
        <v>121</v>
      </c>
      <c r="I143">
        <v>290.3</v>
      </c>
      <c r="J143" s="3">
        <v>17415</v>
      </c>
      <c r="K143">
        <v>60</v>
      </c>
    </row>
    <row r="144" spans="1:11">
      <c r="A144" t="str">
        <f t="shared" si="21"/>
        <v>Sungjae Im</v>
      </c>
      <c r="B144">
        <f t="shared" si="22"/>
        <v>142</v>
      </c>
      <c r="C144">
        <f t="shared" si="23"/>
        <v>290.3</v>
      </c>
      <c r="D144" s="3">
        <f t="shared" si="24"/>
        <v>17999</v>
      </c>
      <c r="E144">
        <f t="shared" si="25"/>
        <v>62</v>
      </c>
      <c r="G144">
        <v>142</v>
      </c>
      <c r="H144" t="s">
        <v>113</v>
      </c>
      <c r="I144">
        <v>290.3</v>
      </c>
      <c r="J144" s="3">
        <v>17999</v>
      </c>
      <c r="K144">
        <v>62</v>
      </c>
    </row>
    <row r="145" spans="1:11">
      <c r="A145" t="str">
        <f t="shared" si="21"/>
        <v>Aaron Rai</v>
      </c>
      <c r="B145">
        <f t="shared" si="22"/>
        <v>144</v>
      </c>
      <c r="C145">
        <f t="shared" si="23"/>
        <v>290.2</v>
      </c>
      <c r="D145" s="3">
        <f t="shared" si="24"/>
        <v>18573</v>
      </c>
      <c r="E145">
        <f t="shared" si="25"/>
        <v>64</v>
      </c>
      <c r="G145">
        <v>144</v>
      </c>
      <c r="H145" t="s">
        <v>152</v>
      </c>
      <c r="I145">
        <v>290.2</v>
      </c>
      <c r="J145" s="3">
        <v>18573</v>
      </c>
      <c r="K145">
        <v>64</v>
      </c>
    </row>
    <row r="146" spans="1:11">
      <c r="A146" t="str">
        <f t="shared" si="21"/>
        <v>Mark Hubbard</v>
      </c>
      <c r="B146">
        <f t="shared" si="22"/>
        <v>145</v>
      </c>
      <c r="C146">
        <f t="shared" si="23"/>
        <v>289.89999999999998</v>
      </c>
      <c r="D146" s="3">
        <f t="shared" si="24"/>
        <v>20293</v>
      </c>
      <c r="E146">
        <f t="shared" si="25"/>
        <v>70</v>
      </c>
      <c r="G146">
        <v>145</v>
      </c>
      <c r="H146" t="s">
        <v>162</v>
      </c>
      <c r="I146">
        <v>289.89999999999998</v>
      </c>
      <c r="J146" s="3">
        <v>20293</v>
      </c>
      <c r="K146">
        <v>70</v>
      </c>
    </row>
    <row r="147" spans="1:11">
      <c r="A147" t="str">
        <f t="shared" si="21"/>
        <v>Dylan Wu</v>
      </c>
      <c r="B147">
        <f t="shared" si="22"/>
        <v>145</v>
      </c>
      <c r="C147">
        <f t="shared" si="23"/>
        <v>289.89999999999998</v>
      </c>
      <c r="D147" s="3">
        <f t="shared" si="24"/>
        <v>18552</v>
      </c>
      <c r="E147">
        <f t="shared" si="25"/>
        <v>64</v>
      </c>
      <c r="G147">
        <v>145</v>
      </c>
      <c r="H147" t="s">
        <v>118</v>
      </c>
      <c r="I147">
        <v>289.89999999999998</v>
      </c>
      <c r="J147" s="3">
        <v>18552</v>
      </c>
      <c r="K147">
        <v>64</v>
      </c>
    </row>
    <row r="148" spans="1:11">
      <c r="A148" t="str">
        <f t="shared" si="21"/>
        <v>Daniel Berger</v>
      </c>
      <c r="B148">
        <f t="shared" si="22"/>
        <v>147</v>
      </c>
      <c r="C148">
        <f t="shared" si="23"/>
        <v>289.8</v>
      </c>
      <c r="D148" s="3">
        <f t="shared" si="24"/>
        <v>9275</v>
      </c>
      <c r="E148">
        <f t="shared" si="25"/>
        <v>32</v>
      </c>
      <c r="G148">
        <v>147</v>
      </c>
      <c r="H148" t="s">
        <v>384</v>
      </c>
      <c r="I148">
        <v>289.8</v>
      </c>
      <c r="J148" s="3">
        <v>9275</v>
      </c>
      <c r="K148">
        <v>32</v>
      </c>
    </row>
    <row r="149" spans="1:11">
      <c r="A149" t="str">
        <f t="shared" si="21"/>
        <v>Ben Martin</v>
      </c>
      <c r="B149">
        <f t="shared" si="22"/>
        <v>148</v>
      </c>
      <c r="C149">
        <f t="shared" si="23"/>
        <v>289.7</v>
      </c>
      <c r="D149" s="3">
        <f t="shared" si="24"/>
        <v>15064</v>
      </c>
      <c r="E149">
        <f t="shared" si="25"/>
        <v>52</v>
      </c>
      <c r="G149">
        <v>148</v>
      </c>
      <c r="H149" t="s">
        <v>151</v>
      </c>
      <c r="I149">
        <v>289.7</v>
      </c>
      <c r="J149" s="3">
        <v>15064</v>
      </c>
      <c r="K149">
        <v>52</v>
      </c>
    </row>
    <row r="150" spans="1:11">
      <c r="A150" t="str">
        <f t="shared" si="21"/>
        <v>Roger Sloan</v>
      </c>
      <c r="B150">
        <f t="shared" si="22"/>
        <v>148</v>
      </c>
      <c r="C150">
        <f t="shared" si="23"/>
        <v>289.7</v>
      </c>
      <c r="D150" s="3">
        <f t="shared" si="24"/>
        <v>10429</v>
      </c>
      <c r="E150">
        <f t="shared" si="25"/>
        <v>36</v>
      </c>
      <c r="G150">
        <v>148</v>
      </c>
      <c r="H150" t="s">
        <v>393</v>
      </c>
      <c r="I150">
        <v>289.7</v>
      </c>
      <c r="J150" s="3">
        <v>10429</v>
      </c>
      <c r="K150">
        <v>36</v>
      </c>
    </row>
    <row r="151" spans="1:11">
      <c r="A151" t="str">
        <f t="shared" si="21"/>
        <v>Greyson Sigg</v>
      </c>
      <c r="B151">
        <f t="shared" si="22"/>
        <v>150</v>
      </c>
      <c r="C151">
        <f t="shared" si="23"/>
        <v>289.5</v>
      </c>
      <c r="D151" s="3">
        <f t="shared" si="24"/>
        <v>16213</v>
      </c>
      <c r="E151">
        <f t="shared" si="25"/>
        <v>56</v>
      </c>
      <c r="G151">
        <v>150</v>
      </c>
      <c r="H151" t="s">
        <v>134</v>
      </c>
      <c r="I151">
        <v>289.5</v>
      </c>
      <c r="J151" s="3">
        <v>16213</v>
      </c>
      <c r="K151">
        <v>56</v>
      </c>
    </row>
    <row r="152" spans="1:11">
      <c r="A152" t="str">
        <f t="shared" si="21"/>
        <v>Sepp Straka</v>
      </c>
      <c r="B152">
        <f t="shared" si="22"/>
        <v>151</v>
      </c>
      <c r="C152">
        <f t="shared" si="23"/>
        <v>289.39999999999998</v>
      </c>
      <c r="D152" s="3">
        <f t="shared" si="24"/>
        <v>15627</v>
      </c>
      <c r="E152">
        <f t="shared" si="25"/>
        <v>54</v>
      </c>
      <c r="G152">
        <v>151</v>
      </c>
      <c r="H152" t="s">
        <v>110</v>
      </c>
      <c r="I152">
        <v>289.39999999999998</v>
      </c>
      <c r="J152" s="3">
        <v>15627</v>
      </c>
      <c r="K152">
        <v>54</v>
      </c>
    </row>
    <row r="153" spans="1:11">
      <c r="A153" t="str">
        <f t="shared" si="21"/>
        <v>Collin Morikawa</v>
      </c>
      <c r="B153">
        <f t="shared" si="22"/>
        <v>152</v>
      </c>
      <c r="C153">
        <f t="shared" si="23"/>
        <v>289.10000000000002</v>
      </c>
      <c r="D153" s="3">
        <f t="shared" si="24"/>
        <v>15614</v>
      </c>
      <c r="E153">
        <f t="shared" si="25"/>
        <v>54</v>
      </c>
      <c r="G153">
        <v>152</v>
      </c>
      <c r="H153" t="s">
        <v>135</v>
      </c>
      <c r="I153">
        <v>289.10000000000002</v>
      </c>
      <c r="J153" s="3">
        <v>15614</v>
      </c>
      <c r="K153">
        <v>54</v>
      </c>
    </row>
    <row r="154" spans="1:11">
      <c r="A154" t="str">
        <f t="shared" ref="A154:A182" si="26">H154</f>
        <v>Joel Dahmen</v>
      </c>
      <c r="B154">
        <f t="shared" ref="B154:B182" si="27">G154</f>
        <v>153</v>
      </c>
      <c r="C154">
        <f t="shared" ref="C154:C182" si="28">I154</f>
        <v>289</v>
      </c>
      <c r="D154" s="3">
        <f t="shared" ref="D154:D182" si="29">J154</f>
        <v>16184</v>
      </c>
      <c r="E154">
        <f t="shared" ref="E154:E182" si="30">K154</f>
        <v>56</v>
      </c>
      <c r="G154">
        <v>153</v>
      </c>
      <c r="H154" t="s">
        <v>137</v>
      </c>
      <c r="I154">
        <v>289</v>
      </c>
      <c r="J154" s="3">
        <v>16184</v>
      </c>
      <c r="K154">
        <v>56</v>
      </c>
    </row>
    <row r="155" spans="1:11">
      <c r="A155" t="str">
        <f t="shared" si="26"/>
        <v>Nick Taylor</v>
      </c>
      <c r="B155">
        <f t="shared" si="27"/>
        <v>154</v>
      </c>
      <c r="C155">
        <f t="shared" si="28"/>
        <v>288.7</v>
      </c>
      <c r="D155" s="3">
        <f t="shared" si="29"/>
        <v>19054</v>
      </c>
      <c r="E155">
        <f t="shared" si="30"/>
        <v>66</v>
      </c>
      <c r="G155">
        <v>154</v>
      </c>
      <c r="H155" t="s">
        <v>158</v>
      </c>
      <c r="I155">
        <v>288.7</v>
      </c>
      <c r="J155" s="3">
        <v>19054</v>
      </c>
      <c r="K155">
        <v>66</v>
      </c>
    </row>
    <row r="156" spans="1:11">
      <c r="A156" t="str">
        <f t="shared" si="26"/>
        <v>Si Woo Kim</v>
      </c>
      <c r="B156">
        <f t="shared" si="27"/>
        <v>155</v>
      </c>
      <c r="C156">
        <f t="shared" si="28"/>
        <v>288.5</v>
      </c>
      <c r="D156" s="3">
        <f t="shared" si="29"/>
        <v>20198</v>
      </c>
      <c r="E156">
        <f t="shared" si="30"/>
        <v>70</v>
      </c>
      <c r="G156">
        <v>155</v>
      </c>
      <c r="H156" t="s">
        <v>128</v>
      </c>
      <c r="I156">
        <v>288.5</v>
      </c>
      <c r="J156" s="3">
        <v>20198</v>
      </c>
      <c r="K156">
        <v>70</v>
      </c>
    </row>
    <row r="157" spans="1:11">
      <c r="A157" t="str">
        <f t="shared" si="26"/>
        <v>Troy Merritt</v>
      </c>
      <c r="B157">
        <f t="shared" si="27"/>
        <v>156</v>
      </c>
      <c r="C157">
        <f t="shared" si="28"/>
        <v>287.89999999999998</v>
      </c>
      <c r="D157" s="3">
        <f t="shared" si="29"/>
        <v>14970</v>
      </c>
      <c r="E157">
        <f t="shared" si="30"/>
        <v>52</v>
      </c>
      <c r="G157">
        <v>156</v>
      </c>
      <c r="H157" t="s">
        <v>156</v>
      </c>
      <c r="I157">
        <v>287.89999999999998</v>
      </c>
      <c r="J157" s="3">
        <v>14970</v>
      </c>
      <c r="K157">
        <v>52</v>
      </c>
    </row>
    <row r="158" spans="1:11">
      <c r="A158" t="str">
        <f t="shared" si="26"/>
        <v>Ben Silverman</v>
      </c>
      <c r="B158">
        <f t="shared" si="27"/>
        <v>156</v>
      </c>
      <c r="C158">
        <f t="shared" si="28"/>
        <v>287.89999999999998</v>
      </c>
      <c r="D158" s="3">
        <f t="shared" si="29"/>
        <v>18428</v>
      </c>
      <c r="E158">
        <f t="shared" si="30"/>
        <v>64</v>
      </c>
      <c r="G158">
        <v>156</v>
      </c>
      <c r="H158" t="s">
        <v>433</v>
      </c>
      <c r="I158">
        <v>287.89999999999998</v>
      </c>
      <c r="J158" s="3">
        <v>18428</v>
      </c>
      <c r="K158">
        <v>64</v>
      </c>
    </row>
    <row r="159" spans="1:11">
      <c r="A159" t="str">
        <f t="shared" si="26"/>
        <v>Chad Ramey</v>
      </c>
      <c r="B159">
        <f t="shared" si="27"/>
        <v>158</v>
      </c>
      <c r="C159">
        <f t="shared" si="28"/>
        <v>287.8</v>
      </c>
      <c r="D159" s="3">
        <f t="shared" si="29"/>
        <v>14963</v>
      </c>
      <c r="E159">
        <f t="shared" si="30"/>
        <v>52</v>
      </c>
      <c r="G159">
        <v>158</v>
      </c>
      <c r="H159" t="s">
        <v>148</v>
      </c>
      <c r="I159">
        <v>287.8</v>
      </c>
      <c r="J159" s="3">
        <v>14963</v>
      </c>
      <c r="K159">
        <v>52</v>
      </c>
    </row>
    <row r="160" spans="1:11">
      <c r="A160" t="str">
        <f t="shared" si="26"/>
        <v>Harrison Endycott</v>
      </c>
      <c r="B160">
        <f t="shared" si="27"/>
        <v>159</v>
      </c>
      <c r="C160">
        <f t="shared" si="28"/>
        <v>287.60000000000002</v>
      </c>
      <c r="D160" s="3">
        <f t="shared" si="29"/>
        <v>9203</v>
      </c>
      <c r="E160">
        <f t="shared" si="30"/>
        <v>32</v>
      </c>
      <c r="G160">
        <v>159</v>
      </c>
      <c r="H160" t="s">
        <v>160</v>
      </c>
      <c r="I160">
        <v>287.60000000000002</v>
      </c>
      <c r="J160" s="3">
        <v>9203</v>
      </c>
      <c r="K160">
        <v>32</v>
      </c>
    </row>
    <row r="161" spans="1:11">
      <c r="A161" t="str">
        <f t="shared" si="26"/>
        <v>Emiliano Grillo</v>
      </c>
      <c r="B161">
        <f t="shared" si="27"/>
        <v>160</v>
      </c>
      <c r="C161">
        <f t="shared" si="28"/>
        <v>287.2</v>
      </c>
      <c r="D161" s="3">
        <f t="shared" si="29"/>
        <v>21252</v>
      </c>
      <c r="E161">
        <f t="shared" si="30"/>
        <v>74</v>
      </c>
      <c r="G161">
        <v>160</v>
      </c>
      <c r="H161" t="s">
        <v>90</v>
      </c>
      <c r="I161">
        <v>287.2</v>
      </c>
      <c r="J161" s="3">
        <v>21252</v>
      </c>
      <c r="K161">
        <v>74</v>
      </c>
    </row>
    <row r="162" spans="1:11">
      <c r="A162" t="str">
        <f t="shared" si="26"/>
        <v>Brian Harman</v>
      </c>
      <c r="B162">
        <f t="shared" si="27"/>
        <v>160</v>
      </c>
      <c r="C162">
        <f t="shared" si="28"/>
        <v>287.2</v>
      </c>
      <c r="D162" s="3">
        <f t="shared" si="29"/>
        <v>20106</v>
      </c>
      <c r="E162">
        <f t="shared" si="30"/>
        <v>70</v>
      </c>
      <c r="G162">
        <v>160</v>
      </c>
      <c r="H162" t="s">
        <v>154</v>
      </c>
      <c r="I162">
        <v>287.2</v>
      </c>
      <c r="J162" s="3">
        <v>20106</v>
      </c>
      <c r="K162">
        <v>70</v>
      </c>
    </row>
    <row r="163" spans="1:11">
      <c r="A163" t="str">
        <f t="shared" si="26"/>
        <v>Martin Laird</v>
      </c>
      <c r="B163">
        <f t="shared" si="27"/>
        <v>160</v>
      </c>
      <c r="C163">
        <f t="shared" si="28"/>
        <v>287.2</v>
      </c>
      <c r="D163" s="3">
        <f t="shared" si="29"/>
        <v>15794</v>
      </c>
      <c r="E163">
        <f t="shared" si="30"/>
        <v>55</v>
      </c>
      <c r="G163">
        <v>160</v>
      </c>
      <c r="H163" t="s">
        <v>161</v>
      </c>
      <c r="I163">
        <v>287.2</v>
      </c>
      <c r="J163" s="3">
        <v>15794</v>
      </c>
      <c r="K163">
        <v>55</v>
      </c>
    </row>
    <row r="164" spans="1:11">
      <c r="A164" t="str">
        <f t="shared" si="26"/>
        <v>J.T. Poston</v>
      </c>
      <c r="B164">
        <f t="shared" si="27"/>
        <v>163</v>
      </c>
      <c r="C164">
        <f t="shared" si="28"/>
        <v>287</v>
      </c>
      <c r="D164" s="3">
        <f t="shared" si="29"/>
        <v>18940</v>
      </c>
      <c r="E164">
        <f t="shared" si="30"/>
        <v>66</v>
      </c>
      <c r="G164">
        <v>163</v>
      </c>
      <c r="H164" t="s">
        <v>126</v>
      </c>
      <c r="I164">
        <v>287</v>
      </c>
      <c r="J164" s="3">
        <v>18940</v>
      </c>
      <c r="K164">
        <v>66</v>
      </c>
    </row>
    <row r="165" spans="1:11">
      <c r="A165" t="str">
        <f t="shared" si="26"/>
        <v>Nico Echavarria</v>
      </c>
      <c r="B165">
        <f t="shared" si="27"/>
        <v>164</v>
      </c>
      <c r="C165">
        <f t="shared" si="28"/>
        <v>286.60000000000002</v>
      </c>
      <c r="D165" s="3">
        <f t="shared" si="29"/>
        <v>17198</v>
      </c>
      <c r="E165">
        <f t="shared" si="30"/>
        <v>60</v>
      </c>
      <c r="G165">
        <v>164</v>
      </c>
      <c r="H165" t="s">
        <v>103</v>
      </c>
      <c r="I165">
        <v>286.60000000000002</v>
      </c>
      <c r="J165" s="3">
        <v>17198</v>
      </c>
      <c r="K165">
        <v>60</v>
      </c>
    </row>
    <row r="166" spans="1:11">
      <c r="A166" t="str">
        <f t="shared" si="26"/>
        <v>David Lipsky</v>
      </c>
      <c r="B166">
        <f t="shared" si="27"/>
        <v>165</v>
      </c>
      <c r="C166">
        <f t="shared" si="28"/>
        <v>286.39999999999998</v>
      </c>
      <c r="D166" s="3">
        <f t="shared" si="29"/>
        <v>13746</v>
      </c>
      <c r="E166">
        <f t="shared" si="30"/>
        <v>48</v>
      </c>
      <c r="G166">
        <v>165</v>
      </c>
      <c r="H166" t="s">
        <v>163</v>
      </c>
      <c r="I166">
        <v>286.39999999999998</v>
      </c>
      <c r="J166" s="3">
        <v>13746</v>
      </c>
      <c r="K166">
        <v>48</v>
      </c>
    </row>
    <row r="167" spans="1:11">
      <c r="A167" t="str">
        <f t="shared" si="26"/>
        <v>Russell Henley</v>
      </c>
      <c r="B167">
        <f t="shared" si="27"/>
        <v>166</v>
      </c>
      <c r="C167">
        <f t="shared" si="28"/>
        <v>285.5</v>
      </c>
      <c r="D167" s="3">
        <f t="shared" si="29"/>
        <v>18841</v>
      </c>
      <c r="E167">
        <f t="shared" si="30"/>
        <v>66</v>
      </c>
      <c r="G167">
        <v>166</v>
      </c>
      <c r="H167" t="s">
        <v>166</v>
      </c>
      <c r="I167">
        <v>285.5</v>
      </c>
      <c r="J167" s="3">
        <v>18841</v>
      </c>
      <c r="K167">
        <v>66</v>
      </c>
    </row>
    <row r="168" spans="1:11">
      <c r="A168" t="str">
        <f t="shared" si="26"/>
        <v>Denny McCarthy</v>
      </c>
      <c r="B168">
        <f t="shared" si="27"/>
        <v>167</v>
      </c>
      <c r="C168">
        <f t="shared" si="28"/>
        <v>285.39999999999998</v>
      </c>
      <c r="D168" s="3">
        <f t="shared" si="29"/>
        <v>21120</v>
      </c>
      <c r="E168">
        <f t="shared" si="30"/>
        <v>74</v>
      </c>
      <c r="G168">
        <v>167</v>
      </c>
      <c r="H168" t="s">
        <v>140</v>
      </c>
      <c r="I168">
        <v>285.39999999999998</v>
      </c>
      <c r="J168" s="3">
        <v>21120</v>
      </c>
      <c r="K168">
        <v>74</v>
      </c>
    </row>
    <row r="169" spans="1:11">
      <c r="A169" t="str">
        <f t="shared" si="26"/>
        <v>Ryan Moore</v>
      </c>
      <c r="B169">
        <f t="shared" si="27"/>
        <v>167</v>
      </c>
      <c r="C169">
        <f t="shared" si="28"/>
        <v>285.39999999999998</v>
      </c>
      <c r="D169" s="3">
        <f t="shared" si="29"/>
        <v>15981</v>
      </c>
      <c r="E169">
        <f t="shared" si="30"/>
        <v>56</v>
      </c>
      <c r="G169">
        <v>167</v>
      </c>
      <c r="H169" t="s">
        <v>179</v>
      </c>
      <c r="I169">
        <v>285.39999999999998</v>
      </c>
      <c r="J169" s="3">
        <v>15981</v>
      </c>
      <c r="K169">
        <v>56</v>
      </c>
    </row>
    <row r="170" spans="1:11">
      <c r="A170" t="str">
        <f t="shared" si="26"/>
        <v>Sam Ryder</v>
      </c>
      <c r="B170">
        <f t="shared" si="27"/>
        <v>169</v>
      </c>
      <c r="C170">
        <f t="shared" si="28"/>
        <v>284.8</v>
      </c>
      <c r="D170" s="3">
        <f t="shared" si="29"/>
        <v>15381</v>
      </c>
      <c r="E170">
        <f t="shared" si="30"/>
        <v>54</v>
      </c>
      <c r="G170">
        <v>169</v>
      </c>
      <c r="H170" t="s">
        <v>146</v>
      </c>
      <c r="I170">
        <v>284.8</v>
      </c>
      <c r="J170" s="3">
        <v>15381</v>
      </c>
      <c r="K170">
        <v>54</v>
      </c>
    </row>
    <row r="171" spans="1:11">
      <c r="A171" t="str">
        <f t="shared" si="26"/>
        <v>Lucas Glover</v>
      </c>
      <c r="B171">
        <f t="shared" si="27"/>
        <v>170</v>
      </c>
      <c r="C171">
        <f t="shared" si="28"/>
        <v>284.7</v>
      </c>
      <c r="D171" s="3">
        <f t="shared" si="29"/>
        <v>19929</v>
      </c>
      <c r="E171">
        <f t="shared" si="30"/>
        <v>70</v>
      </c>
      <c r="G171">
        <v>170</v>
      </c>
      <c r="H171" t="s">
        <v>145</v>
      </c>
      <c r="I171">
        <v>284.7</v>
      </c>
      <c r="J171" s="3">
        <v>19929</v>
      </c>
      <c r="K171">
        <v>70</v>
      </c>
    </row>
    <row r="172" spans="1:11">
      <c r="A172" t="str">
        <f t="shared" si="26"/>
        <v>Matt Kuchar</v>
      </c>
      <c r="B172">
        <f t="shared" si="27"/>
        <v>171</v>
      </c>
      <c r="C172">
        <f t="shared" si="28"/>
        <v>284.39999999999998</v>
      </c>
      <c r="D172" s="3">
        <f t="shared" si="29"/>
        <v>10806</v>
      </c>
      <c r="E172">
        <f t="shared" si="30"/>
        <v>38</v>
      </c>
      <c r="G172">
        <v>171</v>
      </c>
      <c r="H172" t="s">
        <v>144</v>
      </c>
      <c r="I172">
        <v>284.39999999999998</v>
      </c>
      <c r="J172" s="3">
        <v>10806</v>
      </c>
      <c r="K172">
        <v>38</v>
      </c>
    </row>
    <row r="173" spans="1:11">
      <c r="A173" t="str">
        <f t="shared" si="26"/>
        <v>Chez Reavie</v>
      </c>
      <c r="B173">
        <f t="shared" si="27"/>
        <v>172</v>
      </c>
      <c r="C173">
        <f t="shared" si="28"/>
        <v>284.2</v>
      </c>
      <c r="D173" s="3">
        <f t="shared" si="29"/>
        <v>11369</v>
      </c>
      <c r="E173">
        <f t="shared" si="30"/>
        <v>40</v>
      </c>
      <c r="G173">
        <v>172</v>
      </c>
      <c r="H173" t="s">
        <v>177</v>
      </c>
      <c r="I173">
        <v>284.2</v>
      </c>
      <c r="J173" s="3">
        <v>11369</v>
      </c>
      <c r="K173">
        <v>40</v>
      </c>
    </row>
    <row r="174" spans="1:11">
      <c r="A174" t="str">
        <f t="shared" si="26"/>
        <v>Christiaan Bezuidenhout</v>
      </c>
      <c r="B174">
        <f t="shared" si="27"/>
        <v>173</v>
      </c>
      <c r="C174">
        <f t="shared" si="28"/>
        <v>283.60000000000002</v>
      </c>
      <c r="D174" s="3">
        <f t="shared" si="29"/>
        <v>17583</v>
      </c>
      <c r="E174">
        <f t="shared" si="30"/>
        <v>62</v>
      </c>
      <c r="G174">
        <v>173</v>
      </c>
      <c r="H174" t="s">
        <v>165</v>
      </c>
      <c r="I174">
        <v>283.60000000000002</v>
      </c>
      <c r="J174" s="3">
        <v>17583</v>
      </c>
      <c r="K174">
        <v>62</v>
      </c>
    </row>
    <row r="175" spans="1:11">
      <c r="A175" t="str">
        <f t="shared" si="26"/>
        <v>Camilo Villegas</v>
      </c>
      <c r="B175">
        <f t="shared" si="27"/>
        <v>174</v>
      </c>
      <c r="C175">
        <f t="shared" si="28"/>
        <v>282.7</v>
      </c>
      <c r="D175" s="3">
        <f t="shared" si="29"/>
        <v>13004</v>
      </c>
      <c r="E175">
        <f t="shared" si="30"/>
        <v>46</v>
      </c>
      <c r="G175">
        <v>174</v>
      </c>
      <c r="H175" t="s">
        <v>222</v>
      </c>
      <c r="I175">
        <v>282.7</v>
      </c>
      <c r="J175" s="3">
        <v>13004</v>
      </c>
      <c r="K175">
        <v>46</v>
      </c>
    </row>
    <row r="176" spans="1:11">
      <c r="A176" t="str">
        <f t="shared" si="26"/>
        <v>Aaron Baddeley</v>
      </c>
      <c r="B176">
        <f t="shared" si="27"/>
        <v>175</v>
      </c>
      <c r="C176">
        <f t="shared" si="28"/>
        <v>282.39999999999998</v>
      </c>
      <c r="D176" s="3">
        <f t="shared" si="29"/>
        <v>18072</v>
      </c>
      <c r="E176">
        <f t="shared" si="30"/>
        <v>64</v>
      </c>
      <c r="G176">
        <v>175</v>
      </c>
      <c r="H176" t="s">
        <v>182</v>
      </c>
      <c r="I176">
        <v>282.39999999999998</v>
      </c>
      <c r="J176" s="3">
        <v>18072</v>
      </c>
      <c r="K176">
        <v>64</v>
      </c>
    </row>
    <row r="177" spans="1:11">
      <c r="A177" t="str">
        <f t="shared" si="26"/>
        <v>Brandt Snedeker</v>
      </c>
      <c r="B177">
        <f t="shared" si="27"/>
        <v>176</v>
      </c>
      <c r="C177">
        <f t="shared" si="28"/>
        <v>282.3</v>
      </c>
      <c r="D177" s="3">
        <f t="shared" si="29"/>
        <v>12422</v>
      </c>
      <c r="E177">
        <f t="shared" si="30"/>
        <v>44</v>
      </c>
      <c r="G177">
        <v>176</v>
      </c>
      <c r="H177" t="s">
        <v>247</v>
      </c>
      <c r="I177">
        <v>282.3</v>
      </c>
      <c r="J177" s="3">
        <v>12422</v>
      </c>
      <c r="K177">
        <v>44</v>
      </c>
    </row>
    <row r="178" spans="1:11">
      <c r="A178" t="str">
        <f t="shared" si="26"/>
        <v>Zach Johnson</v>
      </c>
      <c r="B178">
        <f t="shared" si="27"/>
        <v>177</v>
      </c>
      <c r="C178">
        <f t="shared" si="28"/>
        <v>282.2</v>
      </c>
      <c r="D178" s="3">
        <f t="shared" si="29"/>
        <v>9031</v>
      </c>
      <c r="E178">
        <f t="shared" si="30"/>
        <v>32</v>
      </c>
      <c r="G178">
        <v>177</v>
      </c>
      <c r="H178" t="s">
        <v>170</v>
      </c>
      <c r="I178">
        <v>282.2</v>
      </c>
      <c r="J178" s="3">
        <v>9031</v>
      </c>
      <c r="K178">
        <v>32</v>
      </c>
    </row>
    <row r="179" spans="1:11">
      <c r="A179" t="str">
        <f t="shared" si="26"/>
        <v>Ben Kohles</v>
      </c>
      <c r="B179">
        <f t="shared" si="27"/>
        <v>178</v>
      </c>
      <c r="C179">
        <f t="shared" si="28"/>
        <v>281.5</v>
      </c>
      <c r="D179" s="3">
        <f t="shared" si="29"/>
        <v>12947</v>
      </c>
      <c r="E179">
        <f t="shared" si="30"/>
        <v>46</v>
      </c>
      <c r="G179">
        <v>178</v>
      </c>
      <c r="H179" t="s">
        <v>419</v>
      </c>
      <c r="I179">
        <v>281.5</v>
      </c>
      <c r="J179" s="3">
        <v>12947</v>
      </c>
      <c r="K179">
        <v>46</v>
      </c>
    </row>
    <row r="180" spans="1:11">
      <c r="A180" t="str">
        <f t="shared" si="26"/>
        <v>Raul Pereda</v>
      </c>
      <c r="B180">
        <f t="shared" si="27"/>
        <v>179</v>
      </c>
      <c r="C180">
        <f t="shared" si="28"/>
        <v>280.2</v>
      </c>
      <c r="D180" s="3">
        <f t="shared" si="29"/>
        <v>8966</v>
      </c>
      <c r="E180">
        <f t="shared" si="30"/>
        <v>32</v>
      </c>
      <c r="G180">
        <v>179</v>
      </c>
      <c r="H180" t="s">
        <v>564</v>
      </c>
      <c r="I180">
        <v>280.2</v>
      </c>
      <c r="J180" s="3">
        <v>8966</v>
      </c>
      <c r="K180">
        <v>32</v>
      </c>
    </row>
    <row r="181" spans="1:11">
      <c r="A181" t="str">
        <f t="shared" si="26"/>
        <v>Andrew Putnam</v>
      </c>
      <c r="B181">
        <f t="shared" si="27"/>
        <v>180</v>
      </c>
      <c r="C181">
        <f t="shared" si="28"/>
        <v>279.60000000000002</v>
      </c>
      <c r="D181" s="3">
        <f t="shared" si="29"/>
        <v>17333</v>
      </c>
      <c r="E181">
        <f t="shared" si="30"/>
        <v>62</v>
      </c>
      <c r="G181">
        <v>180</v>
      </c>
      <c r="H181" t="s">
        <v>183</v>
      </c>
      <c r="I181">
        <v>279.60000000000002</v>
      </c>
      <c r="J181" s="3">
        <v>17333</v>
      </c>
      <c r="K181">
        <v>62</v>
      </c>
    </row>
    <row r="182" spans="1:11">
      <c r="A182" t="str">
        <f t="shared" si="26"/>
        <v>Brendon Todd</v>
      </c>
      <c r="B182">
        <f t="shared" si="27"/>
        <v>181</v>
      </c>
      <c r="C182">
        <f t="shared" si="28"/>
        <v>277.8</v>
      </c>
      <c r="D182" s="3">
        <f t="shared" si="29"/>
        <v>19448</v>
      </c>
      <c r="E182">
        <f t="shared" si="30"/>
        <v>70</v>
      </c>
      <c r="G182">
        <v>181</v>
      </c>
      <c r="H182" t="s">
        <v>188</v>
      </c>
      <c r="I182">
        <v>277.8</v>
      </c>
      <c r="J182" s="3">
        <v>19448</v>
      </c>
      <c r="K182">
        <v>70</v>
      </c>
    </row>
    <row r="183" spans="1:11">
      <c r="A183" t="str">
        <f t="shared" ref="A183:A194" si="31">H183</f>
        <v>Alexander Björk</v>
      </c>
      <c r="B183">
        <f t="shared" ref="B183:B194" si="32">G183</f>
        <v>182</v>
      </c>
      <c r="C183">
        <f t="shared" ref="C183:C194" si="33">I183</f>
        <v>275.5</v>
      </c>
      <c r="D183" s="3">
        <f t="shared" ref="D183:D194" si="34">J183</f>
        <v>13226</v>
      </c>
      <c r="E183">
        <f t="shared" ref="E183:E194" si="35">K183</f>
        <v>48</v>
      </c>
      <c r="G183">
        <v>182</v>
      </c>
      <c r="H183" t="s">
        <v>491</v>
      </c>
      <c r="I183">
        <v>275.5</v>
      </c>
      <c r="J183" s="3">
        <v>13226</v>
      </c>
      <c r="K183">
        <v>48</v>
      </c>
    </row>
    <row r="184" spans="1:11">
      <c r="A184" t="str">
        <f t="shared" si="31"/>
        <v>Zac Blair</v>
      </c>
      <c r="B184">
        <f t="shared" si="32"/>
        <v>183</v>
      </c>
      <c r="C184">
        <f t="shared" si="33"/>
        <v>273.8</v>
      </c>
      <c r="D184" s="3">
        <f t="shared" si="34"/>
        <v>13140</v>
      </c>
      <c r="E184">
        <f t="shared" si="35"/>
        <v>48</v>
      </c>
      <c r="G184">
        <v>183</v>
      </c>
      <c r="H184" t="s">
        <v>187</v>
      </c>
      <c r="I184">
        <v>273.8</v>
      </c>
      <c r="J184" s="3">
        <v>13140</v>
      </c>
      <c r="K184">
        <v>48</v>
      </c>
    </row>
    <row r="185" spans="1:11">
      <c r="A185">
        <f t="shared" si="31"/>
        <v>0</v>
      </c>
      <c r="B185">
        <f t="shared" si="32"/>
        <v>0</v>
      </c>
      <c r="C185">
        <f t="shared" si="33"/>
        <v>0</v>
      </c>
      <c r="D185" s="3">
        <f t="shared" si="34"/>
        <v>0</v>
      </c>
      <c r="E185">
        <f t="shared" si="35"/>
        <v>0</v>
      </c>
      <c r="J185" s="3"/>
    </row>
    <row r="186" spans="1:11">
      <c r="A186">
        <f t="shared" si="31"/>
        <v>0</v>
      </c>
      <c r="B186">
        <f t="shared" si="32"/>
        <v>0</v>
      </c>
      <c r="C186">
        <f t="shared" si="33"/>
        <v>0</v>
      </c>
      <c r="D186" s="3">
        <f t="shared" si="34"/>
        <v>0</v>
      </c>
      <c r="E186">
        <f t="shared" si="35"/>
        <v>0</v>
      </c>
      <c r="J186" s="3"/>
    </row>
    <row r="187" spans="1:11">
      <c r="A187">
        <f t="shared" si="31"/>
        <v>0</v>
      </c>
      <c r="B187">
        <f t="shared" si="32"/>
        <v>0</v>
      </c>
      <c r="C187">
        <f t="shared" si="33"/>
        <v>0</v>
      </c>
      <c r="D187" s="3">
        <f t="shared" si="34"/>
        <v>0</v>
      </c>
      <c r="E187">
        <f t="shared" si="35"/>
        <v>0</v>
      </c>
      <c r="J187" s="3"/>
    </row>
    <row r="188" spans="1:11">
      <c r="A188">
        <f t="shared" si="31"/>
        <v>0</v>
      </c>
      <c r="B188">
        <f t="shared" si="32"/>
        <v>0</v>
      </c>
      <c r="C188">
        <f t="shared" si="33"/>
        <v>0</v>
      </c>
      <c r="D188" s="3">
        <f t="shared" si="34"/>
        <v>0</v>
      </c>
      <c r="E188">
        <f t="shared" si="35"/>
        <v>0</v>
      </c>
      <c r="J188" s="3"/>
    </row>
    <row r="189" spans="1:11">
      <c r="A189">
        <f t="shared" si="31"/>
        <v>0</v>
      </c>
      <c r="B189">
        <f t="shared" si="32"/>
        <v>0</v>
      </c>
      <c r="C189">
        <f t="shared" si="33"/>
        <v>0</v>
      </c>
      <c r="D189" s="3">
        <f t="shared" si="34"/>
        <v>0</v>
      </c>
      <c r="E189">
        <f t="shared" si="35"/>
        <v>0</v>
      </c>
      <c r="J189" s="3"/>
    </row>
    <row r="190" spans="1:11">
      <c r="A190">
        <f t="shared" si="31"/>
        <v>0</v>
      </c>
      <c r="B190">
        <f t="shared" si="32"/>
        <v>0</v>
      </c>
      <c r="C190">
        <f t="shared" si="33"/>
        <v>0</v>
      </c>
      <c r="D190" s="3">
        <f t="shared" si="34"/>
        <v>0</v>
      </c>
      <c r="E190">
        <f t="shared" si="35"/>
        <v>0</v>
      </c>
      <c r="J190" s="3"/>
    </row>
    <row r="191" spans="1:11">
      <c r="A191">
        <f t="shared" si="31"/>
        <v>0</v>
      </c>
      <c r="B191">
        <f t="shared" si="32"/>
        <v>0</v>
      </c>
      <c r="C191">
        <f t="shared" si="33"/>
        <v>0</v>
      </c>
      <c r="D191" s="3">
        <f t="shared" si="34"/>
        <v>0</v>
      </c>
      <c r="E191">
        <f t="shared" si="35"/>
        <v>0</v>
      </c>
      <c r="J191" s="3"/>
    </row>
    <row r="192" spans="1:11">
      <c r="A192">
        <f t="shared" si="31"/>
        <v>0</v>
      </c>
      <c r="B192">
        <f t="shared" si="32"/>
        <v>0</v>
      </c>
      <c r="C192">
        <f t="shared" si="33"/>
        <v>0</v>
      </c>
      <c r="D192" s="3">
        <f t="shared" si="34"/>
        <v>0</v>
      </c>
      <c r="E192">
        <f t="shared" si="35"/>
        <v>0</v>
      </c>
      <c r="J192" s="3"/>
    </row>
    <row r="193" spans="1:10">
      <c r="A193">
        <f t="shared" si="31"/>
        <v>0</v>
      </c>
      <c r="B193">
        <f t="shared" si="32"/>
        <v>0</v>
      </c>
      <c r="C193">
        <f t="shared" si="33"/>
        <v>0</v>
      </c>
      <c r="D193" s="3">
        <f t="shared" si="34"/>
        <v>0</v>
      </c>
      <c r="E193">
        <f t="shared" si="35"/>
        <v>0</v>
      </c>
      <c r="J193" s="3"/>
    </row>
    <row r="194" spans="1:10">
      <c r="A194">
        <f t="shared" si="31"/>
        <v>0</v>
      </c>
      <c r="B194">
        <f t="shared" si="32"/>
        <v>0</v>
      </c>
      <c r="C194">
        <f t="shared" si="33"/>
        <v>0</v>
      </c>
      <c r="D194" s="3">
        <f t="shared" si="34"/>
        <v>0</v>
      </c>
      <c r="E194">
        <f t="shared" si="35"/>
        <v>0</v>
      </c>
      <c r="J194" s="3"/>
    </row>
    <row r="195" spans="1:10">
      <c r="A195">
        <f>H195</f>
        <v>0</v>
      </c>
      <c r="B195">
        <f>G195</f>
        <v>0</v>
      </c>
      <c r="C195">
        <f>I195</f>
        <v>0</v>
      </c>
      <c r="D195" s="3">
        <f>J195</f>
        <v>0</v>
      </c>
      <c r="E195">
        <f>K195</f>
        <v>0</v>
      </c>
      <c r="J195" s="3"/>
    </row>
    <row r="196" spans="1:10">
      <c r="A196">
        <f t="shared" ref="A196:A205" si="36">H196</f>
        <v>0</v>
      </c>
      <c r="B196">
        <f t="shared" ref="B196:B205" si="37">G196</f>
        <v>0</v>
      </c>
      <c r="C196">
        <f t="shared" ref="C196:C205" si="38">I196</f>
        <v>0</v>
      </c>
      <c r="D196" s="3">
        <f t="shared" ref="D196:D205" si="39">J196</f>
        <v>0</v>
      </c>
      <c r="E196">
        <f t="shared" ref="E196:E205" si="40">K196</f>
        <v>0</v>
      </c>
      <c r="J196" s="3"/>
    </row>
    <row r="197" spans="1:10">
      <c r="A197">
        <f t="shared" si="36"/>
        <v>0</v>
      </c>
      <c r="B197">
        <f t="shared" si="37"/>
        <v>0</v>
      </c>
      <c r="C197">
        <f t="shared" si="38"/>
        <v>0</v>
      </c>
      <c r="D197" s="3">
        <f t="shared" si="39"/>
        <v>0</v>
      </c>
      <c r="E197">
        <f t="shared" si="40"/>
        <v>0</v>
      </c>
      <c r="J197" s="3"/>
    </row>
    <row r="198" spans="1:10">
      <c r="A198">
        <f t="shared" si="36"/>
        <v>0</v>
      </c>
      <c r="B198">
        <f t="shared" si="37"/>
        <v>0</v>
      </c>
      <c r="C198">
        <f t="shared" si="38"/>
        <v>0</v>
      </c>
      <c r="D198" s="3">
        <f t="shared" si="39"/>
        <v>0</v>
      </c>
      <c r="E198">
        <f t="shared" si="40"/>
        <v>0</v>
      </c>
    </row>
    <row r="199" spans="1:10">
      <c r="A199">
        <f t="shared" si="36"/>
        <v>0</v>
      </c>
      <c r="B199">
        <f t="shared" si="37"/>
        <v>0</v>
      </c>
      <c r="C199">
        <f t="shared" si="38"/>
        <v>0</v>
      </c>
      <c r="D199" s="3">
        <f t="shared" si="39"/>
        <v>0</v>
      </c>
      <c r="E199">
        <f t="shared" si="40"/>
        <v>0</v>
      </c>
    </row>
    <row r="200" spans="1:10">
      <c r="A200">
        <f t="shared" si="36"/>
        <v>0</v>
      </c>
      <c r="B200">
        <f t="shared" si="37"/>
        <v>0</v>
      </c>
      <c r="C200">
        <f t="shared" si="38"/>
        <v>0</v>
      </c>
      <c r="D200" s="3">
        <f t="shared" si="39"/>
        <v>0</v>
      </c>
      <c r="E200">
        <f t="shared" si="40"/>
        <v>0</v>
      </c>
    </row>
    <row r="201" spans="1:10">
      <c r="A201">
        <f t="shared" si="36"/>
        <v>0</v>
      </c>
      <c r="B201">
        <f t="shared" si="37"/>
        <v>0</v>
      </c>
      <c r="C201">
        <f t="shared" si="38"/>
        <v>0</v>
      </c>
      <c r="D201" s="3">
        <f t="shared" si="39"/>
        <v>0</v>
      </c>
      <c r="E201">
        <f t="shared" si="40"/>
        <v>0</v>
      </c>
    </row>
    <row r="202" spans="1:10">
      <c r="A202">
        <f t="shared" si="36"/>
        <v>0</v>
      </c>
      <c r="B202">
        <f t="shared" si="37"/>
        <v>0</v>
      </c>
      <c r="C202">
        <f t="shared" si="38"/>
        <v>0</v>
      </c>
      <c r="D202" s="3">
        <f t="shared" si="39"/>
        <v>0</v>
      </c>
      <c r="E202">
        <f t="shared" si="40"/>
        <v>0</v>
      </c>
    </row>
    <row r="203" spans="1:10">
      <c r="A203">
        <f t="shared" si="36"/>
        <v>0</v>
      </c>
      <c r="B203">
        <f t="shared" si="37"/>
        <v>0</v>
      </c>
      <c r="C203">
        <f t="shared" si="38"/>
        <v>0</v>
      </c>
      <c r="D203" s="3">
        <f t="shared" si="39"/>
        <v>0</v>
      </c>
      <c r="E203">
        <f t="shared" si="40"/>
        <v>0</v>
      </c>
    </row>
    <row r="204" spans="1:10">
      <c r="A204">
        <f t="shared" si="36"/>
        <v>0</v>
      </c>
      <c r="B204">
        <f t="shared" si="37"/>
        <v>0</v>
      </c>
      <c r="C204">
        <f t="shared" si="38"/>
        <v>0</v>
      </c>
      <c r="D204" s="3">
        <f t="shared" si="39"/>
        <v>0</v>
      </c>
      <c r="E204">
        <f t="shared" si="40"/>
        <v>0</v>
      </c>
    </row>
    <row r="205" spans="1:10">
      <c r="A205">
        <f t="shared" si="36"/>
        <v>0</v>
      </c>
      <c r="B205">
        <f t="shared" si="37"/>
        <v>0</v>
      </c>
      <c r="C205">
        <f t="shared" si="38"/>
        <v>0</v>
      </c>
      <c r="D205" s="3">
        <f t="shared" si="39"/>
        <v>0</v>
      </c>
      <c r="E205">
        <f t="shared" si="40"/>
        <v>0</v>
      </c>
    </row>
  </sheetData>
  <autoFilter ref="A1:E1" xr:uid="{FDEDB46D-1D16-4F1F-9398-A769C9A3F841}"/>
  <mergeCells count="1">
    <mergeCell ref="G1:K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29A1C-E231-423D-91F2-AC720D9FA526}">
  <sheetPr codeName="Sheet9">
    <tabColor rgb="FF00B050"/>
  </sheetPr>
  <dimension ref="A1:NTG306"/>
  <sheetViews>
    <sheetView workbookViewId="0">
      <selection activeCell="G185" sqref="G185:K186"/>
    </sheetView>
  </sheetViews>
  <sheetFormatPr defaultRowHeight="15"/>
  <cols>
    <col min="1" max="1" width="23.140625" bestFit="1" customWidth="1"/>
    <col min="3" max="3" width="11" bestFit="1" customWidth="1"/>
    <col min="4" max="4" width="14" bestFit="1" customWidth="1"/>
    <col min="5" max="5" width="19" bestFit="1" customWidth="1"/>
    <col min="8" max="8" width="23.28515625" bestFit="1" customWidth="1"/>
    <col min="9" max="9" width="10.140625" bestFit="1" customWidth="1"/>
    <col min="12" max="12" width="23.140625" bestFit="1" customWidth="1"/>
    <col min="17" max="17" width="21.28515625" bestFit="1" customWidth="1"/>
  </cols>
  <sheetData>
    <row r="1" spans="1:9991">
      <c r="A1" s="1" t="s">
        <v>0</v>
      </c>
      <c r="B1" s="1" t="s">
        <v>1</v>
      </c>
      <c r="C1" s="1" t="s">
        <v>192</v>
      </c>
      <c r="D1" s="1" t="s">
        <v>193</v>
      </c>
      <c r="E1" s="1" t="s">
        <v>194</v>
      </c>
      <c r="G1" s="403" t="s">
        <v>5</v>
      </c>
      <c r="H1" s="403"/>
      <c r="I1" s="403"/>
      <c r="J1" s="403"/>
      <c r="K1" s="403"/>
    </row>
    <row r="2" spans="1:9991">
      <c r="A2" t="str">
        <f t="shared" ref="A2:A30" si="0">H2</f>
        <v>Shane Lowry</v>
      </c>
      <c r="B2">
        <f t="shared" ref="B2:B30" si="1">G2</f>
        <v>1</v>
      </c>
      <c r="C2">
        <f t="shared" ref="C2:C30" si="2">I2</f>
        <v>0.85</v>
      </c>
      <c r="D2">
        <f t="shared" ref="D2:D30" si="3">J2</f>
        <v>238</v>
      </c>
      <c r="E2">
        <f t="shared" ref="E2:E30" si="4">K2</f>
        <v>280</v>
      </c>
      <c r="G2">
        <v>1</v>
      </c>
      <c r="H2" t="s">
        <v>74</v>
      </c>
      <c r="I2" s="38">
        <v>0.85</v>
      </c>
      <c r="J2" s="3">
        <v>238</v>
      </c>
      <c r="K2" s="3">
        <v>280</v>
      </c>
    </row>
    <row r="3" spans="1:9991">
      <c r="A3" t="str">
        <f t="shared" si="0"/>
        <v>Tommy Fleetwood</v>
      </c>
      <c r="B3">
        <f t="shared" si="1"/>
        <v>2</v>
      </c>
      <c r="C3">
        <f t="shared" si="2"/>
        <v>0.81210000000000004</v>
      </c>
      <c r="D3">
        <f t="shared" si="3"/>
        <v>242</v>
      </c>
      <c r="E3">
        <f t="shared" si="4"/>
        <v>298</v>
      </c>
      <c r="G3">
        <v>2</v>
      </c>
      <c r="H3" t="s">
        <v>85</v>
      </c>
      <c r="I3" s="38">
        <v>0.81210000000000004</v>
      </c>
      <c r="J3" s="3">
        <v>242</v>
      </c>
      <c r="K3" s="3">
        <v>298</v>
      </c>
    </row>
    <row r="4" spans="1:9991">
      <c r="A4" t="str">
        <f t="shared" si="0"/>
        <v>Si Woo Kim</v>
      </c>
      <c r="B4">
        <f t="shared" si="1"/>
        <v>3</v>
      </c>
      <c r="C4">
        <f t="shared" si="2"/>
        <v>0.79720000000000002</v>
      </c>
      <c r="D4">
        <f t="shared" si="3"/>
        <v>346</v>
      </c>
      <c r="E4">
        <f t="shared" si="4"/>
        <v>434</v>
      </c>
      <c r="G4">
        <v>3</v>
      </c>
      <c r="H4" t="s">
        <v>128</v>
      </c>
      <c r="I4" s="38">
        <v>0.79720000000000002</v>
      </c>
      <c r="J4" s="3">
        <v>346</v>
      </c>
      <c r="K4" s="3">
        <v>434</v>
      </c>
    </row>
    <row r="5" spans="1:9991">
      <c r="A5" t="str">
        <f t="shared" si="0"/>
        <v>Sepp Straka</v>
      </c>
      <c r="B5">
        <f t="shared" si="1"/>
        <v>4</v>
      </c>
      <c r="C5">
        <f t="shared" si="2"/>
        <v>0.79320000000000002</v>
      </c>
      <c r="D5">
        <f t="shared" si="3"/>
        <v>257</v>
      </c>
      <c r="E5">
        <f t="shared" si="4"/>
        <v>324</v>
      </c>
      <c r="G5">
        <v>4</v>
      </c>
      <c r="H5" t="s">
        <v>110</v>
      </c>
      <c r="I5" s="38">
        <v>0.79320000000000002</v>
      </c>
      <c r="J5" s="3">
        <v>257</v>
      </c>
      <c r="K5" s="3">
        <v>324</v>
      </c>
    </row>
    <row r="6" spans="1:9991">
      <c r="A6" t="str">
        <f t="shared" si="0"/>
        <v>Collin Morikawa</v>
      </c>
      <c r="B6">
        <f t="shared" si="1"/>
        <v>5</v>
      </c>
      <c r="C6">
        <f t="shared" si="2"/>
        <v>0.77610000000000001</v>
      </c>
      <c r="D6">
        <f t="shared" si="3"/>
        <v>253</v>
      </c>
      <c r="E6">
        <f t="shared" si="4"/>
        <v>326</v>
      </c>
      <c r="G6">
        <v>5</v>
      </c>
      <c r="H6" t="s">
        <v>135</v>
      </c>
      <c r="I6" s="38">
        <v>0.77610000000000001</v>
      </c>
      <c r="J6" s="3">
        <v>253</v>
      </c>
      <c r="K6" s="3">
        <v>326</v>
      </c>
    </row>
    <row r="7" spans="1:9991">
      <c r="A7" t="str">
        <f t="shared" si="0"/>
        <v>Lucas Glover</v>
      </c>
      <c r="B7">
        <f t="shared" si="1"/>
        <v>6</v>
      </c>
      <c r="C7">
        <f t="shared" si="2"/>
        <v>0.76270000000000004</v>
      </c>
      <c r="D7">
        <f t="shared" si="3"/>
        <v>331</v>
      </c>
      <c r="E7">
        <f t="shared" si="4"/>
        <v>434</v>
      </c>
      <c r="G7">
        <v>6</v>
      </c>
      <c r="H7" t="s">
        <v>145</v>
      </c>
      <c r="I7" s="38">
        <v>0.76270000000000004</v>
      </c>
      <c r="J7" s="3">
        <v>331</v>
      </c>
      <c r="K7" s="3">
        <v>434</v>
      </c>
    </row>
    <row r="8" spans="1:9991">
      <c r="A8" t="str">
        <f t="shared" si="0"/>
        <v>Grayson Murray</v>
      </c>
      <c r="B8">
        <f t="shared" si="1"/>
        <v>7</v>
      </c>
      <c r="C8">
        <f t="shared" si="2"/>
        <v>0.75509999999999999</v>
      </c>
      <c r="D8">
        <f t="shared" si="3"/>
        <v>222</v>
      </c>
      <c r="E8">
        <f t="shared" si="4"/>
        <v>294</v>
      </c>
      <c r="G8">
        <v>7</v>
      </c>
      <c r="H8" t="s">
        <v>372</v>
      </c>
      <c r="I8" s="38">
        <v>0.75509999999999999</v>
      </c>
      <c r="J8" s="3">
        <v>222</v>
      </c>
      <c r="K8" s="3">
        <v>294</v>
      </c>
    </row>
    <row r="9" spans="1:9991">
      <c r="A9" t="str">
        <f t="shared" si="0"/>
        <v>Matthieu Pavon</v>
      </c>
      <c r="B9">
        <f t="shared" si="1"/>
        <v>8</v>
      </c>
      <c r="C9">
        <f t="shared" si="2"/>
        <v>0.75170000000000003</v>
      </c>
      <c r="D9">
        <f t="shared" si="3"/>
        <v>221</v>
      </c>
      <c r="E9">
        <f t="shared" si="4"/>
        <v>294</v>
      </c>
      <c r="G9">
        <v>8</v>
      </c>
      <c r="H9" t="s">
        <v>487</v>
      </c>
      <c r="I9" s="38">
        <v>0.75170000000000003</v>
      </c>
      <c r="J9" s="3">
        <v>221</v>
      </c>
      <c r="K9" s="3">
        <v>294</v>
      </c>
      <c r="O9" s="5"/>
      <c r="P9" s="5"/>
      <c r="Q9" s="5"/>
    </row>
    <row r="10" spans="1:9991">
      <c r="A10" t="str">
        <f t="shared" si="0"/>
        <v>J.T. Poston</v>
      </c>
      <c r="B10">
        <f t="shared" si="1"/>
        <v>9</v>
      </c>
      <c r="C10">
        <f t="shared" si="2"/>
        <v>0.75119999999999998</v>
      </c>
      <c r="D10">
        <f t="shared" si="3"/>
        <v>308</v>
      </c>
      <c r="E10">
        <f t="shared" si="4"/>
        <v>410</v>
      </c>
      <c r="G10" s="5">
        <v>9</v>
      </c>
      <c r="H10" t="s">
        <v>126</v>
      </c>
      <c r="I10" s="38">
        <v>0.75119999999999998</v>
      </c>
      <c r="J10" s="3">
        <v>308</v>
      </c>
      <c r="K10" s="3">
        <v>410</v>
      </c>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c r="AAA10" s="5"/>
      <c r="AAB10" s="5"/>
      <c r="AAC10" s="5"/>
      <c r="AAD10" s="5"/>
      <c r="AAE10" s="5"/>
      <c r="AAF10" s="5"/>
      <c r="AAG10" s="5"/>
      <c r="AAH10" s="5"/>
      <c r="AAI10" s="5"/>
      <c r="AAJ10" s="5"/>
      <c r="AAK10" s="5"/>
      <c r="AAL10" s="5"/>
      <c r="AAM10" s="5"/>
      <c r="AAN10" s="5"/>
      <c r="AAO10" s="5"/>
      <c r="AAP10" s="5"/>
      <c r="AAQ10" s="5"/>
      <c r="AAR10" s="5"/>
      <c r="AAS10" s="5"/>
      <c r="AAT10" s="5"/>
      <c r="AAU10" s="5"/>
      <c r="AAV10" s="5"/>
      <c r="AAW10" s="5"/>
      <c r="AAX10" s="5"/>
      <c r="AAY10" s="5"/>
      <c r="AAZ10" s="5"/>
      <c r="ABA10" s="5"/>
      <c r="ABB10" s="5"/>
      <c r="ABC10" s="5"/>
      <c r="ABD10" s="5"/>
      <c r="ABE10" s="5"/>
      <c r="ABF10" s="5"/>
      <c r="ABG10" s="5"/>
      <c r="ABH10" s="5"/>
      <c r="ABI10" s="5"/>
      <c r="ABJ10" s="5"/>
      <c r="ABK10" s="5"/>
      <c r="ABL10" s="5"/>
      <c r="ABM10" s="5"/>
      <c r="ABN10" s="5"/>
      <c r="ABO10" s="5"/>
      <c r="ABP10" s="5"/>
      <c r="ABQ10" s="5"/>
      <c r="ABR10" s="5"/>
      <c r="ABS10" s="5"/>
      <c r="ABT10" s="5"/>
      <c r="ABU10" s="5"/>
      <c r="ABV10" s="5"/>
      <c r="ABW10" s="5"/>
      <c r="ABX10" s="5"/>
      <c r="ABY10" s="5"/>
      <c r="ABZ10" s="5"/>
      <c r="ACA10" s="5"/>
      <c r="ACB10" s="5"/>
      <c r="ACC10" s="5"/>
      <c r="ACD10" s="5"/>
      <c r="ACE10" s="5"/>
      <c r="ACF10" s="5"/>
      <c r="ACG10" s="5"/>
      <c r="ACH10" s="5"/>
      <c r="ACI10" s="5"/>
      <c r="ACJ10" s="5"/>
      <c r="ACK10" s="5"/>
      <c r="ACL10" s="5"/>
      <c r="ACM10" s="5"/>
      <c r="ACN10" s="5"/>
      <c r="ACO10" s="5"/>
      <c r="ACP10" s="5"/>
      <c r="ACQ10" s="5"/>
      <c r="ACR10" s="5"/>
      <c r="ACS10" s="5"/>
      <c r="ACT10" s="5"/>
      <c r="ACU10" s="5"/>
      <c r="ACV10" s="5"/>
      <c r="ACW10" s="5"/>
      <c r="ACX10" s="5"/>
      <c r="ACY10" s="5"/>
      <c r="ACZ10" s="5"/>
      <c r="ADA10" s="5"/>
      <c r="ADB10" s="5"/>
      <c r="ADC10" s="5"/>
      <c r="ADD10" s="5"/>
      <c r="ADE10" s="5"/>
      <c r="ADF10" s="5"/>
      <c r="ADG10" s="5"/>
      <c r="ADH10" s="5"/>
      <c r="ADI10" s="5"/>
      <c r="ADJ10" s="5"/>
      <c r="ADK10" s="5"/>
      <c r="ADL10" s="5"/>
      <c r="ADM10" s="5"/>
      <c r="ADN10" s="5"/>
      <c r="ADO10" s="5"/>
      <c r="ADP10" s="5"/>
      <c r="ADQ10" s="5"/>
      <c r="ADR10" s="5"/>
      <c r="ADS10" s="5"/>
      <c r="ADT10" s="5"/>
      <c r="ADU10" s="5"/>
      <c r="ADV10" s="5"/>
      <c r="ADW10" s="5"/>
      <c r="ADX10" s="5"/>
      <c r="ADY10" s="5"/>
      <c r="ADZ10" s="5"/>
      <c r="AEA10" s="5"/>
      <c r="AEB10" s="5"/>
      <c r="AEC10" s="5"/>
      <c r="AED10" s="5"/>
      <c r="AEE10" s="5"/>
      <c r="AEF10" s="5"/>
      <c r="AEG10" s="5"/>
      <c r="AEH10" s="5"/>
      <c r="AEI10" s="5"/>
      <c r="AEJ10" s="5"/>
      <c r="AEK10" s="5"/>
      <c r="AEL10" s="5"/>
      <c r="AEM10" s="5"/>
      <c r="AEN10" s="5"/>
      <c r="AEO10" s="5"/>
      <c r="AEP10" s="5"/>
      <c r="AEQ10" s="5"/>
      <c r="AER10" s="5"/>
      <c r="AES10" s="5"/>
      <c r="AET10" s="5"/>
      <c r="AEU10" s="5"/>
      <c r="AEV10" s="5"/>
      <c r="AEW10" s="5"/>
      <c r="AEX10" s="5"/>
      <c r="AEY10" s="5"/>
      <c r="AEZ10" s="5"/>
      <c r="AFA10" s="5"/>
      <c r="AFB10" s="5"/>
      <c r="AFC10" s="5"/>
      <c r="AFD10" s="5"/>
      <c r="AFE10" s="5"/>
      <c r="AFF10" s="5"/>
      <c r="AFG10" s="5"/>
      <c r="AFH10" s="5"/>
      <c r="AFI10" s="5"/>
      <c r="AFJ10" s="5"/>
      <c r="AFK10" s="5"/>
      <c r="AFL10" s="5"/>
      <c r="AFM10" s="5"/>
      <c r="AFN10" s="5"/>
      <c r="AFO10" s="5"/>
      <c r="AFP10" s="5"/>
      <c r="AFQ10" s="5"/>
      <c r="AFR10" s="5"/>
      <c r="AFS10" s="5"/>
      <c r="AFT10" s="5"/>
      <c r="AFU10" s="5"/>
      <c r="AFV10" s="5"/>
      <c r="AFW10" s="5"/>
      <c r="AFX10" s="5"/>
      <c r="AFY10" s="5"/>
      <c r="AFZ10" s="5"/>
      <c r="AGA10" s="5"/>
      <c r="AGB10" s="5"/>
      <c r="AGC10" s="5"/>
      <c r="AGD10" s="5"/>
      <c r="AGE10" s="5"/>
      <c r="AGF10" s="5"/>
      <c r="AGG10" s="5"/>
      <c r="AGH10" s="5"/>
      <c r="AGI10" s="5"/>
      <c r="AGJ10" s="5"/>
      <c r="AGK10" s="5"/>
      <c r="AGL10" s="5"/>
      <c r="AGM10" s="5"/>
      <c r="AGN10" s="5"/>
      <c r="AGO10" s="5"/>
      <c r="AGP10" s="5"/>
      <c r="AGQ10" s="5"/>
      <c r="AGR10" s="5"/>
      <c r="AGS10" s="5"/>
      <c r="AGT10" s="5"/>
      <c r="AGU10" s="5"/>
      <c r="AGV10" s="5"/>
      <c r="AGW10" s="5"/>
      <c r="AGX10" s="5"/>
      <c r="AGY10" s="5"/>
      <c r="AGZ10" s="5"/>
      <c r="AHA10" s="5"/>
      <c r="AHB10" s="5"/>
      <c r="AHC10" s="5"/>
      <c r="AHD10" s="5"/>
      <c r="AHE10" s="5"/>
      <c r="AHF10" s="5"/>
      <c r="AHG10" s="5"/>
      <c r="AHH10" s="5"/>
      <c r="AHI10" s="5"/>
      <c r="AHJ10" s="5"/>
      <c r="AHK10" s="5"/>
      <c r="AHL10" s="5"/>
      <c r="AHM10" s="5"/>
      <c r="AHN10" s="5"/>
      <c r="AHO10" s="5"/>
      <c r="AHP10" s="5"/>
      <c r="AHQ10" s="5"/>
      <c r="AHR10" s="5"/>
      <c r="AHS10" s="5"/>
      <c r="AHT10" s="5"/>
      <c r="AHU10" s="5"/>
      <c r="AHV10" s="5"/>
      <c r="AHW10" s="5"/>
      <c r="AHX10" s="5"/>
      <c r="AHY10" s="5"/>
      <c r="AHZ10" s="5"/>
      <c r="AIA10" s="5"/>
      <c r="AIB10" s="5"/>
      <c r="AIC10" s="5"/>
      <c r="AID10" s="5"/>
      <c r="AIE10" s="5"/>
      <c r="AIF10" s="5"/>
      <c r="AIG10" s="5"/>
      <c r="AIH10" s="5"/>
      <c r="AII10" s="5"/>
      <c r="AIJ10" s="5"/>
      <c r="AIK10" s="5"/>
      <c r="AIL10" s="5"/>
      <c r="AIM10" s="5"/>
      <c r="AIN10" s="5"/>
      <c r="AIO10" s="5"/>
      <c r="AIP10" s="5"/>
      <c r="AIQ10" s="5"/>
      <c r="AIR10" s="5"/>
      <c r="AIS10" s="5"/>
      <c r="AIT10" s="5"/>
      <c r="AIU10" s="5"/>
      <c r="AIV10" s="5"/>
      <c r="AIW10" s="5"/>
      <c r="AIX10" s="5"/>
      <c r="AIY10" s="5"/>
      <c r="AIZ10" s="5"/>
      <c r="AJA10" s="5"/>
      <c r="AJB10" s="5"/>
      <c r="AJC10" s="5"/>
      <c r="AJD10" s="5"/>
      <c r="AJE10" s="5"/>
      <c r="AJF10" s="5"/>
      <c r="AJG10" s="5"/>
      <c r="AJH10" s="5"/>
      <c r="AJI10" s="5"/>
      <c r="AJJ10" s="5"/>
      <c r="AJK10" s="5"/>
      <c r="AJL10" s="5"/>
      <c r="AJM10" s="5"/>
      <c r="AJN10" s="5"/>
      <c r="AJO10" s="5"/>
      <c r="AJP10" s="5"/>
      <c r="AJQ10" s="5"/>
      <c r="AJR10" s="5"/>
      <c r="AJS10" s="5"/>
      <c r="AJT10" s="5"/>
      <c r="AJU10" s="5"/>
      <c r="AJV10" s="5"/>
      <c r="AJW10" s="5"/>
      <c r="AJX10" s="5"/>
      <c r="AJY10" s="5"/>
      <c r="AJZ10" s="5"/>
      <c r="AKA10" s="5"/>
      <c r="AKB10" s="5"/>
      <c r="AKC10" s="5"/>
      <c r="AKD10" s="5"/>
      <c r="AKE10" s="5"/>
      <c r="AKF10" s="5"/>
      <c r="AKG10" s="5"/>
      <c r="AKH10" s="5"/>
      <c r="AKI10" s="5"/>
      <c r="AKJ10" s="5"/>
      <c r="AKK10" s="5"/>
      <c r="AKL10" s="5"/>
      <c r="AKM10" s="5"/>
      <c r="AKN10" s="5"/>
      <c r="AKO10" s="5"/>
      <c r="AKP10" s="5"/>
      <c r="AKQ10" s="5"/>
      <c r="AKR10" s="5"/>
      <c r="AKS10" s="5"/>
      <c r="AKT10" s="5"/>
      <c r="AKU10" s="5"/>
      <c r="AKV10" s="5"/>
      <c r="AKW10" s="5"/>
      <c r="AKX10" s="5"/>
      <c r="AKY10" s="5"/>
      <c r="AKZ10" s="5"/>
      <c r="ALA10" s="5"/>
      <c r="ALB10" s="5"/>
      <c r="ALC10" s="5"/>
      <c r="ALD10" s="5"/>
      <c r="ALE10" s="5"/>
      <c r="ALF10" s="5"/>
      <c r="ALG10" s="5"/>
      <c r="ALH10" s="5"/>
      <c r="ALI10" s="5"/>
      <c r="ALJ10" s="5"/>
      <c r="ALK10" s="5"/>
      <c r="ALL10" s="5"/>
      <c r="ALM10" s="5"/>
      <c r="ALN10" s="5"/>
      <c r="ALO10" s="5"/>
      <c r="ALP10" s="5"/>
      <c r="ALQ10" s="5"/>
      <c r="ALR10" s="5"/>
      <c r="ALS10" s="5"/>
      <c r="ALT10" s="5"/>
      <c r="ALU10" s="5"/>
      <c r="ALV10" s="5"/>
      <c r="ALW10" s="5"/>
      <c r="ALX10" s="5"/>
      <c r="ALY10" s="5"/>
      <c r="ALZ10" s="5"/>
      <c r="AMA10" s="5"/>
      <c r="AMB10" s="5"/>
      <c r="AMC10" s="5"/>
      <c r="AMD10" s="5"/>
      <c r="AME10" s="5"/>
      <c r="AMF10" s="5"/>
      <c r="AMG10" s="5"/>
      <c r="AMH10" s="5"/>
      <c r="AMI10" s="5"/>
      <c r="AMJ10" s="5"/>
      <c r="AMK10" s="5"/>
      <c r="AML10" s="5"/>
      <c r="AMM10" s="5"/>
      <c r="AMN10" s="5"/>
      <c r="AMO10" s="5"/>
      <c r="AMP10" s="5"/>
      <c r="AMQ10" s="5"/>
      <c r="AMR10" s="5"/>
      <c r="AMS10" s="5"/>
      <c r="AMT10" s="5"/>
      <c r="AMU10" s="5"/>
      <c r="AMV10" s="5"/>
      <c r="AMW10" s="5"/>
      <c r="AMX10" s="5"/>
      <c r="AMY10" s="5"/>
      <c r="AMZ10" s="5"/>
      <c r="ANA10" s="5"/>
      <c r="ANB10" s="5"/>
      <c r="ANC10" s="5"/>
      <c r="AND10" s="5"/>
      <c r="ANE10" s="5"/>
      <c r="ANF10" s="5"/>
      <c r="ANG10" s="5"/>
      <c r="ANH10" s="5"/>
      <c r="ANI10" s="5"/>
      <c r="ANJ10" s="5"/>
      <c r="ANK10" s="5"/>
      <c r="ANL10" s="5"/>
      <c r="ANM10" s="5"/>
      <c r="ANN10" s="5"/>
      <c r="ANO10" s="5"/>
      <c r="ANP10" s="5"/>
      <c r="ANQ10" s="5"/>
      <c r="ANR10" s="5"/>
      <c r="ANS10" s="5"/>
      <c r="ANT10" s="5"/>
      <c r="ANU10" s="5"/>
      <c r="ANV10" s="5"/>
      <c r="ANW10" s="5"/>
      <c r="ANX10" s="5"/>
      <c r="ANY10" s="5"/>
      <c r="ANZ10" s="5"/>
      <c r="AOA10" s="5"/>
      <c r="AOB10" s="5"/>
      <c r="AOC10" s="5"/>
      <c r="AOD10" s="5"/>
      <c r="AOE10" s="5"/>
      <c r="AOF10" s="5"/>
      <c r="AOG10" s="5"/>
      <c r="AOH10" s="5"/>
      <c r="AOI10" s="5"/>
      <c r="AOJ10" s="5"/>
      <c r="AOK10" s="5"/>
      <c r="AOL10" s="5"/>
      <c r="AOM10" s="5"/>
      <c r="AON10" s="5"/>
      <c r="AOO10" s="5"/>
      <c r="AOP10" s="5"/>
      <c r="AOQ10" s="5"/>
      <c r="AOR10" s="5"/>
      <c r="AOS10" s="5"/>
      <c r="AOT10" s="5"/>
      <c r="AOU10" s="5"/>
      <c r="AOV10" s="5"/>
      <c r="AOW10" s="5"/>
      <c r="AOX10" s="5"/>
      <c r="AOY10" s="5"/>
      <c r="AOZ10" s="5"/>
      <c r="APA10" s="5"/>
      <c r="APB10" s="5"/>
      <c r="APC10" s="5"/>
      <c r="APD10" s="5"/>
      <c r="APE10" s="5"/>
      <c r="APF10" s="5"/>
      <c r="APG10" s="5"/>
      <c r="APH10" s="5"/>
      <c r="API10" s="5"/>
      <c r="APJ10" s="5"/>
      <c r="APK10" s="5"/>
      <c r="APL10" s="5"/>
      <c r="APM10" s="5"/>
      <c r="APN10" s="5"/>
      <c r="APO10" s="5"/>
      <c r="APP10" s="5"/>
      <c r="APQ10" s="5"/>
      <c r="APR10" s="5"/>
      <c r="APS10" s="5"/>
      <c r="APT10" s="5"/>
      <c r="APU10" s="5"/>
      <c r="APV10" s="5"/>
      <c r="APW10" s="5"/>
      <c r="APX10" s="5"/>
      <c r="APY10" s="5"/>
      <c r="APZ10" s="5"/>
      <c r="AQA10" s="5"/>
      <c r="AQB10" s="5"/>
      <c r="AQC10" s="5"/>
      <c r="AQD10" s="5"/>
      <c r="AQE10" s="5"/>
      <c r="AQF10" s="5"/>
      <c r="AQG10" s="5"/>
      <c r="AQH10" s="5"/>
      <c r="AQI10" s="5"/>
      <c r="AQJ10" s="5"/>
      <c r="AQK10" s="5"/>
      <c r="AQL10" s="5"/>
      <c r="AQM10" s="5"/>
      <c r="AQN10" s="5"/>
      <c r="AQO10" s="5"/>
      <c r="AQP10" s="5"/>
      <c r="AQQ10" s="5"/>
      <c r="AQR10" s="5"/>
      <c r="AQS10" s="5"/>
      <c r="AQT10" s="5"/>
      <c r="AQU10" s="5"/>
      <c r="AQV10" s="5"/>
      <c r="AQW10" s="5"/>
      <c r="AQX10" s="5"/>
      <c r="AQY10" s="5"/>
      <c r="AQZ10" s="5"/>
      <c r="ARA10" s="5"/>
      <c r="ARB10" s="5"/>
      <c r="ARC10" s="5"/>
      <c r="ARD10" s="5"/>
      <c r="ARE10" s="5"/>
      <c r="ARF10" s="5"/>
      <c r="ARG10" s="5"/>
      <c r="ARH10" s="5"/>
      <c r="ARI10" s="5"/>
      <c r="ARJ10" s="5"/>
      <c r="ARK10" s="5"/>
      <c r="ARL10" s="5"/>
      <c r="ARM10" s="5"/>
      <c r="ARN10" s="5"/>
      <c r="ARO10" s="5"/>
      <c r="ARP10" s="5"/>
      <c r="ARQ10" s="5"/>
      <c r="ARR10" s="5"/>
      <c r="ARS10" s="5"/>
      <c r="ART10" s="5"/>
      <c r="ARU10" s="5"/>
      <c r="ARV10" s="5"/>
      <c r="ARW10" s="5"/>
      <c r="ARX10" s="5"/>
      <c r="ARY10" s="5"/>
      <c r="ARZ10" s="5"/>
      <c r="ASA10" s="5"/>
      <c r="ASB10" s="5"/>
      <c r="ASC10" s="5"/>
      <c r="ASD10" s="5"/>
      <c r="ASE10" s="5"/>
      <c r="ASF10" s="5"/>
      <c r="ASG10" s="5"/>
      <c r="ASH10" s="5"/>
      <c r="ASI10" s="5"/>
      <c r="ASJ10" s="5"/>
      <c r="ASK10" s="5"/>
      <c r="ASL10" s="5"/>
      <c r="ASM10" s="5"/>
      <c r="ASN10" s="5"/>
      <c r="ASO10" s="5"/>
      <c r="ASP10" s="5"/>
      <c r="ASQ10" s="5"/>
      <c r="ASR10" s="5"/>
      <c r="ASS10" s="5"/>
      <c r="AST10" s="5"/>
      <c r="ASU10" s="5"/>
      <c r="ASV10" s="5"/>
      <c r="ASW10" s="5"/>
      <c r="ASX10" s="5"/>
      <c r="ASY10" s="5"/>
      <c r="ASZ10" s="5"/>
      <c r="ATA10" s="5"/>
      <c r="ATB10" s="5"/>
      <c r="ATC10" s="5"/>
      <c r="ATD10" s="5"/>
      <c r="ATE10" s="5"/>
      <c r="ATF10" s="5"/>
      <c r="ATG10" s="5"/>
      <c r="ATH10" s="5"/>
      <c r="ATI10" s="5"/>
      <c r="ATJ10" s="5"/>
      <c r="ATK10" s="5"/>
      <c r="ATL10" s="5"/>
      <c r="ATM10" s="5"/>
      <c r="ATN10" s="5"/>
      <c r="ATO10" s="5"/>
      <c r="ATP10" s="5"/>
      <c r="ATQ10" s="5"/>
      <c r="ATR10" s="5"/>
      <c r="ATS10" s="5"/>
      <c r="ATT10" s="5"/>
      <c r="ATU10" s="5"/>
      <c r="ATV10" s="5"/>
      <c r="ATW10" s="5"/>
      <c r="ATX10" s="5"/>
      <c r="ATY10" s="5"/>
      <c r="ATZ10" s="5"/>
      <c r="AUA10" s="5"/>
      <c r="AUB10" s="5"/>
      <c r="AUC10" s="5"/>
      <c r="AUD10" s="5"/>
      <c r="AUE10" s="5"/>
      <c r="AUF10" s="5"/>
      <c r="AUG10" s="5"/>
      <c r="AUH10" s="5"/>
      <c r="AUI10" s="5"/>
      <c r="AUJ10" s="5"/>
      <c r="AUK10" s="5"/>
      <c r="AUL10" s="5"/>
      <c r="AUM10" s="5"/>
      <c r="AUN10" s="5"/>
      <c r="AUO10" s="5"/>
      <c r="AUP10" s="5"/>
      <c r="AUQ10" s="5"/>
      <c r="AUR10" s="5"/>
      <c r="AUS10" s="5"/>
      <c r="AUT10" s="5"/>
      <c r="AUU10" s="5"/>
      <c r="AUV10" s="5"/>
      <c r="AUW10" s="5"/>
      <c r="AUX10" s="5"/>
      <c r="AUY10" s="5"/>
      <c r="AUZ10" s="5"/>
      <c r="AVA10" s="5"/>
      <c r="AVB10" s="5"/>
      <c r="AVC10" s="5"/>
      <c r="AVD10" s="5"/>
      <c r="AVE10" s="5"/>
      <c r="AVF10" s="5"/>
      <c r="AVG10" s="5"/>
      <c r="AVH10" s="5"/>
      <c r="AVI10" s="5"/>
      <c r="AVJ10" s="5"/>
      <c r="AVK10" s="5"/>
      <c r="AVL10" s="5"/>
      <c r="AVM10" s="5"/>
      <c r="AVN10" s="5"/>
      <c r="AVO10" s="5"/>
      <c r="AVP10" s="5"/>
      <c r="AVQ10" s="5"/>
      <c r="AVR10" s="5"/>
      <c r="AVS10" s="5"/>
      <c r="AVT10" s="5"/>
      <c r="AVU10" s="5"/>
      <c r="AVV10" s="5"/>
      <c r="AVW10" s="5"/>
      <c r="AVX10" s="5"/>
      <c r="AVY10" s="5"/>
      <c r="AVZ10" s="5"/>
      <c r="AWA10" s="5"/>
      <c r="AWB10" s="5"/>
      <c r="AWC10" s="5"/>
      <c r="AWD10" s="5"/>
      <c r="AWE10" s="5"/>
      <c r="AWF10" s="5"/>
      <c r="AWG10" s="5"/>
      <c r="AWH10" s="5"/>
      <c r="AWI10" s="5"/>
      <c r="AWJ10" s="5"/>
      <c r="AWK10" s="5"/>
      <c r="AWL10" s="5"/>
      <c r="AWM10" s="5"/>
      <c r="AWN10" s="5"/>
      <c r="AWO10" s="5"/>
      <c r="AWP10" s="5"/>
      <c r="AWQ10" s="5"/>
      <c r="AWR10" s="5"/>
      <c r="AWS10" s="5"/>
      <c r="AWT10" s="5"/>
      <c r="AWU10" s="5"/>
      <c r="AWV10" s="5"/>
      <c r="AWW10" s="5"/>
      <c r="AWX10" s="5"/>
      <c r="AWY10" s="5"/>
      <c r="AWZ10" s="5"/>
      <c r="AXA10" s="5"/>
      <c r="AXB10" s="5"/>
      <c r="AXC10" s="5"/>
      <c r="AXD10" s="5"/>
      <c r="AXE10" s="5"/>
      <c r="AXF10" s="5"/>
      <c r="AXG10" s="5"/>
      <c r="AXH10" s="5"/>
      <c r="AXI10" s="5"/>
      <c r="AXJ10" s="5"/>
      <c r="AXK10" s="5"/>
      <c r="AXL10" s="5"/>
      <c r="AXM10" s="5"/>
      <c r="AXN10" s="5"/>
      <c r="AXO10" s="5"/>
      <c r="AXP10" s="5"/>
      <c r="AXQ10" s="5"/>
      <c r="AXR10" s="5"/>
      <c r="AXS10" s="5"/>
      <c r="AXT10" s="5"/>
      <c r="AXU10" s="5"/>
      <c r="AXV10" s="5"/>
      <c r="AXW10" s="5"/>
      <c r="AXX10" s="5"/>
      <c r="AXY10" s="5"/>
      <c r="AXZ10" s="5"/>
      <c r="AYA10" s="5"/>
      <c r="AYB10" s="5"/>
      <c r="AYC10" s="5"/>
      <c r="AYD10" s="5"/>
      <c r="AYE10" s="5"/>
      <c r="AYF10" s="5"/>
      <c r="AYG10" s="5"/>
      <c r="AYH10" s="5"/>
      <c r="AYI10" s="5"/>
      <c r="AYJ10" s="5"/>
      <c r="AYK10" s="5"/>
      <c r="AYL10" s="5"/>
      <c r="AYM10" s="5"/>
      <c r="AYN10" s="5"/>
      <c r="AYO10" s="5"/>
      <c r="AYP10" s="5"/>
      <c r="AYQ10" s="5"/>
      <c r="AYR10" s="5"/>
      <c r="AYS10" s="5"/>
      <c r="AYT10" s="5"/>
      <c r="AYU10" s="5"/>
      <c r="AYV10" s="5"/>
      <c r="AYW10" s="5"/>
      <c r="AYX10" s="5"/>
      <c r="AYY10" s="5"/>
      <c r="AYZ10" s="5"/>
      <c r="AZA10" s="5"/>
      <c r="AZB10" s="5"/>
      <c r="AZC10" s="5"/>
      <c r="AZD10" s="5"/>
      <c r="AZE10" s="5"/>
      <c r="AZF10" s="5"/>
      <c r="AZG10" s="5"/>
      <c r="AZH10" s="5"/>
      <c r="AZI10" s="5"/>
      <c r="AZJ10" s="5"/>
      <c r="AZK10" s="5"/>
      <c r="AZL10" s="5"/>
      <c r="AZM10" s="5"/>
      <c r="AZN10" s="5"/>
      <c r="AZO10" s="5"/>
      <c r="AZP10" s="5"/>
      <c r="AZQ10" s="5"/>
      <c r="AZR10" s="5"/>
      <c r="AZS10" s="5"/>
      <c r="AZT10" s="5"/>
      <c r="AZU10" s="5"/>
      <c r="AZV10" s="5"/>
      <c r="AZW10" s="5"/>
      <c r="AZX10" s="5"/>
      <c r="AZY10" s="5"/>
      <c r="AZZ10" s="5"/>
      <c r="BAA10" s="5"/>
      <c r="BAB10" s="5"/>
      <c r="BAC10" s="5"/>
      <c r="BAD10" s="5"/>
      <c r="BAE10" s="5"/>
      <c r="BAF10" s="5"/>
      <c r="BAG10" s="5"/>
      <c r="BAH10" s="5"/>
      <c r="BAI10" s="5"/>
      <c r="BAJ10" s="5"/>
      <c r="BAK10" s="5"/>
      <c r="BAL10" s="5"/>
      <c r="BAM10" s="5"/>
      <c r="BAN10" s="5"/>
      <c r="BAO10" s="5"/>
      <c r="BAP10" s="5"/>
      <c r="BAQ10" s="5"/>
      <c r="BAR10" s="5"/>
      <c r="BAS10" s="5"/>
      <c r="BAT10" s="5"/>
      <c r="BAU10" s="5"/>
      <c r="BAV10" s="5"/>
      <c r="BAW10" s="5"/>
      <c r="BAX10" s="5"/>
      <c r="BAY10" s="5"/>
      <c r="BAZ10" s="5"/>
      <c r="BBA10" s="5"/>
      <c r="BBB10" s="5"/>
      <c r="BBC10" s="5"/>
      <c r="BBD10" s="5"/>
      <c r="BBE10" s="5"/>
      <c r="BBF10" s="5"/>
      <c r="BBG10" s="5"/>
      <c r="BBH10" s="5"/>
      <c r="BBI10" s="5"/>
      <c r="BBJ10" s="5"/>
      <c r="BBK10" s="5"/>
      <c r="BBL10" s="5"/>
      <c r="BBM10" s="5"/>
      <c r="BBN10" s="5"/>
      <c r="BBO10" s="5"/>
      <c r="BBP10" s="5"/>
      <c r="BBQ10" s="5"/>
      <c r="BBR10" s="5"/>
      <c r="BBS10" s="5"/>
      <c r="BBT10" s="5"/>
      <c r="BBU10" s="5"/>
      <c r="BBV10" s="5"/>
      <c r="BBW10" s="5"/>
      <c r="BBX10" s="5"/>
      <c r="BBY10" s="5"/>
      <c r="BBZ10" s="5"/>
      <c r="BCA10" s="5"/>
      <c r="BCB10" s="5"/>
      <c r="BCC10" s="5"/>
      <c r="BCD10" s="5"/>
      <c r="BCE10" s="5"/>
      <c r="BCF10" s="5"/>
      <c r="BCG10" s="5"/>
      <c r="BCH10" s="5"/>
      <c r="BCI10" s="5"/>
      <c r="BCJ10" s="5"/>
      <c r="BCK10" s="5"/>
      <c r="BCL10" s="5"/>
      <c r="BCM10" s="5"/>
      <c r="BCN10" s="5"/>
      <c r="BCO10" s="5"/>
      <c r="BCP10" s="5"/>
      <c r="BCQ10" s="5"/>
      <c r="BCR10" s="5"/>
      <c r="BCS10" s="5"/>
      <c r="BCT10" s="5"/>
      <c r="BCU10" s="5"/>
      <c r="BCV10" s="5"/>
      <c r="BCW10" s="5"/>
      <c r="BCX10" s="5"/>
      <c r="BCY10" s="5"/>
      <c r="BCZ10" s="5"/>
      <c r="BDA10" s="5"/>
      <c r="BDB10" s="5"/>
      <c r="BDC10" s="5"/>
      <c r="BDD10" s="5"/>
      <c r="BDE10" s="5"/>
      <c r="BDF10" s="5"/>
      <c r="BDG10" s="5"/>
      <c r="BDH10" s="5"/>
      <c r="BDI10" s="5"/>
      <c r="BDJ10" s="5"/>
      <c r="BDK10" s="5"/>
      <c r="BDL10" s="5"/>
      <c r="BDM10" s="5"/>
      <c r="BDN10" s="5"/>
      <c r="BDO10" s="5"/>
      <c r="BDP10" s="5"/>
      <c r="BDQ10" s="5"/>
      <c r="BDR10" s="5"/>
      <c r="BDS10" s="5"/>
      <c r="BDT10" s="5"/>
      <c r="BDU10" s="5"/>
      <c r="BDV10" s="5"/>
      <c r="BDW10" s="5"/>
      <c r="BDX10" s="5"/>
      <c r="BDY10" s="5"/>
      <c r="BDZ10" s="5"/>
      <c r="BEA10" s="5"/>
      <c r="BEB10" s="5"/>
      <c r="BEC10" s="5"/>
      <c r="BED10" s="5"/>
      <c r="BEE10" s="5"/>
      <c r="BEF10" s="5"/>
      <c r="BEG10" s="5"/>
      <c r="BEH10" s="5"/>
      <c r="BEI10" s="5"/>
      <c r="BEJ10" s="5"/>
      <c r="BEK10" s="5"/>
      <c r="BEL10" s="5"/>
      <c r="BEM10" s="5"/>
      <c r="BEN10" s="5"/>
      <c r="BEO10" s="5"/>
      <c r="BEP10" s="5"/>
      <c r="BEQ10" s="5"/>
      <c r="BER10" s="5"/>
      <c r="BES10" s="5"/>
      <c r="BET10" s="5"/>
      <c r="BEU10" s="5"/>
      <c r="BEV10" s="5"/>
      <c r="BEW10" s="5"/>
      <c r="BEX10" s="5"/>
      <c r="BEY10" s="5"/>
      <c r="BEZ10" s="5"/>
      <c r="BFA10" s="5"/>
      <c r="BFB10" s="5"/>
      <c r="BFC10" s="5"/>
      <c r="BFD10" s="5"/>
      <c r="BFE10" s="5"/>
      <c r="BFF10" s="5"/>
      <c r="BFG10" s="5"/>
      <c r="BFH10" s="5"/>
      <c r="BFI10" s="5"/>
      <c r="BFJ10" s="5"/>
      <c r="BFK10" s="5"/>
      <c r="BFL10" s="5"/>
      <c r="BFM10" s="5"/>
      <c r="BFN10" s="5"/>
      <c r="BFO10" s="5"/>
      <c r="BFP10" s="5"/>
      <c r="BFQ10" s="5"/>
      <c r="BFR10" s="5"/>
      <c r="BFS10" s="5"/>
      <c r="BFT10" s="5"/>
      <c r="BFU10" s="5"/>
      <c r="BFV10" s="5"/>
      <c r="BFW10" s="5"/>
      <c r="BFX10" s="5"/>
      <c r="BFY10" s="5"/>
      <c r="BFZ10" s="5"/>
      <c r="BGA10" s="5"/>
      <c r="BGB10" s="5"/>
      <c r="BGC10" s="5"/>
      <c r="BGD10" s="5"/>
      <c r="BGE10" s="5"/>
      <c r="BGF10" s="5"/>
      <c r="BGG10" s="5"/>
      <c r="BGH10" s="5"/>
      <c r="BGI10" s="5"/>
      <c r="BGJ10" s="5"/>
      <c r="BGK10" s="5"/>
      <c r="BGL10" s="5"/>
      <c r="BGM10" s="5"/>
      <c r="BGN10" s="5"/>
      <c r="BGO10" s="5"/>
      <c r="BGP10" s="5"/>
      <c r="BGQ10" s="5"/>
      <c r="BGR10" s="5"/>
      <c r="BGS10" s="5"/>
      <c r="BGT10" s="5"/>
      <c r="BGU10" s="5"/>
      <c r="BGV10" s="5"/>
      <c r="BGW10" s="5"/>
      <c r="BGX10" s="5"/>
      <c r="BGY10" s="5"/>
      <c r="BGZ10" s="5"/>
      <c r="BHA10" s="5"/>
      <c r="BHB10" s="5"/>
      <c r="BHC10" s="5"/>
      <c r="BHD10" s="5"/>
      <c r="BHE10" s="5"/>
      <c r="BHF10" s="5"/>
      <c r="BHG10" s="5"/>
      <c r="BHH10" s="5"/>
      <c r="BHI10" s="5"/>
      <c r="BHJ10" s="5"/>
      <c r="BHK10" s="5"/>
      <c r="BHL10" s="5"/>
      <c r="BHM10" s="5"/>
      <c r="BHN10" s="5"/>
      <c r="BHO10" s="5"/>
      <c r="BHP10" s="5"/>
      <c r="BHQ10" s="5"/>
      <c r="BHR10" s="5"/>
      <c r="BHS10" s="5"/>
      <c r="BHT10" s="5"/>
      <c r="BHU10" s="5"/>
      <c r="BHV10" s="5"/>
      <c r="BHW10" s="5"/>
      <c r="BHX10" s="5"/>
      <c r="BHY10" s="5"/>
      <c r="BHZ10" s="5"/>
      <c r="BIA10" s="5"/>
      <c r="BIB10" s="5"/>
      <c r="BIC10" s="5"/>
      <c r="BID10" s="5"/>
      <c r="BIE10" s="5"/>
      <c r="BIF10" s="5"/>
      <c r="BIG10" s="5"/>
      <c r="BIH10" s="5"/>
      <c r="BII10" s="5"/>
      <c r="BIJ10" s="5"/>
      <c r="BIK10" s="5"/>
      <c r="BIL10" s="5"/>
      <c r="BIM10" s="5"/>
      <c r="BIN10" s="5"/>
      <c r="BIO10" s="5"/>
      <c r="BIP10" s="5"/>
      <c r="BIQ10" s="5"/>
      <c r="BIR10" s="5"/>
      <c r="BIS10" s="5"/>
      <c r="BIT10" s="5"/>
      <c r="BIU10" s="5"/>
      <c r="BIV10" s="5"/>
      <c r="BIW10" s="5"/>
      <c r="BIX10" s="5"/>
      <c r="BIY10" s="5"/>
      <c r="BIZ10" s="5"/>
      <c r="BJA10" s="5"/>
      <c r="BJB10" s="5"/>
      <c r="BJC10" s="5"/>
      <c r="BJD10" s="5"/>
      <c r="BJE10" s="5"/>
      <c r="BJF10" s="5"/>
      <c r="BJG10" s="5"/>
      <c r="BJH10" s="5"/>
      <c r="BJI10" s="5"/>
      <c r="BJJ10" s="5"/>
      <c r="BJK10" s="5"/>
      <c r="BJL10" s="5"/>
      <c r="BJM10" s="5"/>
      <c r="BJN10" s="5"/>
      <c r="BJO10" s="5"/>
      <c r="BJP10" s="5"/>
      <c r="BJQ10" s="5"/>
      <c r="BJR10" s="5"/>
      <c r="BJS10" s="5"/>
      <c r="BJT10" s="5"/>
      <c r="BJU10" s="5"/>
      <c r="BJV10" s="5"/>
      <c r="BJW10" s="5"/>
      <c r="BJX10" s="5"/>
      <c r="BJY10" s="5"/>
      <c r="BJZ10" s="5"/>
      <c r="BKA10" s="5"/>
      <c r="BKB10" s="5"/>
      <c r="BKC10" s="5"/>
      <c r="BKD10" s="5"/>
      <c r="BKE10" s="5"/>
      <c r="BKF10" s="5"/>
      <c r="BKG10" s="5"/>
      <c r="BKH10" s="5"/>
      <c r="BKI10" s="5"/>
      <c r="BKJ10" s="5"/>
      <c r="BKK10" s="5"/>
      <c r="BKL10" s="5"/>
      <c r="BKM10" s="5"/>
      <c r="BKN10" s="5"/>
      <c r="BKO10" s="5"/>
      <c r="BKP10" s="5"/>
      <c r="BKQ10" s="5"/>
      <c r="BKR10" s="5"/>
      <c r="BKS10" s="5"/>
      <c r="BKT10" s="5"/>
      <c r="BKU10" s="5"/>
      <c r="BKV10" s="5"/>
      <c r="BKW10" s="5"/>
      <c r="BKX10" s="5"/>
      <c r="BKY10" s="5"/>
      <c r="BKZ10" s="5"/>
      <c r="BLA10" s="5"/>
      <c r="BLB10" s="5"/>
      <c r="BLC10" s="5"/>
      <c r="BLD10" s="5"/>
      <c r="BLE10" s="5"/>
      <c r="BLF10" s="5"/>
      <c r="BLG10" s="5"/>
      <c r="BLH10" s="5"/>
      <c r="BLI10" s="5"/>
      <c r="BLJ10" s="5"/>
      <c r="BLK10" s="5"/>
      <c r="BLL10" s="5"/>
      <c r="BLM10" s="5"/>
      <c r="BLN10" s="5"/>
      <c r="BLO10" s="5"/>
      <c r="BLP10" s="5"/>
      <c r="BLQ10" s="5"/>
      <c r="BLR10" s="5"/>
      <c r="BLS10" s="5"/>
      <c r="BLT10" s="5"/>
      <c r="BLU10" s="5"/>
      <c r="BLV10" s="5"/>
      <c r="BLW10" s="5"/>
      <c r="BLX10" s="5"/>
      <c r="BLY10" s="5"/>
      <c r="BLZ10" s="5"/>
      <c r="BMA10" s="5"/>
      <c r="BMB10" s="5"/>
      <c r="BMC10" s="5"/>
      <c r="BMD10" s="5"/>
      <c r="BME10" s="5"/>
      <c r="BMF10" s="5"/>
      <c r="BMG10" s="5"/>
      <c r="BMH10" s="5"/>
      <c r="BMI10" s="5"/>
      <c r="BMJ10" s="5"/>
      <c r="BMK10" s="5"/>
      <c r="BML10" s="5"/>
      <c r="BMM10" s="5"/>
      <c r="BMN10" s="5"/>
      <c r="BMO10" s="5"/>
      <c r="BMP10" s="5"/>
      <c r="BMQ10" s="5"/>
      <c r="BMR10" s="5"/>
      <c r="BMS10" s="5"/>
      <c r="BMT10" s="5"/>
      <c r="BMU10" s="5"/>
      <c r="BMV10" s="5"/>
      <c r="BMW10" s="5"/>
      <c r="BMX10" s="5"/>
      <c r="BMY10" s="5"/>
      <c r="BMZ10" s="5"/>
      <c r="BNA10" s="5"/>
      <c r="BNB10" s="5"/>
      <c r="BNC10" s="5"/>
      <c r="BND10" s="5"/>
      <c r="BNE10" s="5"/>
      <c r="BNF10" s="5"/>
      <c r="BNG10" s="5"/>
      <c r="BNH10" s="5"/>
      <c r="BNI10" s="5"/>
      <c r="BNJ10" s="5"/>
      <c r="BNK10" s="5"/>
      <c r="BNL10" s="5"/>
      <c r="BNM10" s="5"/>
      <c r="BNN10" s="5"/>
      <c r="BNO10" s="5"/>
      <c r="BNP10" s="5"/>
      <c r="BNQ10" s="5"/>
      <c r="BNR10" s="5"/>
      <c r="BNS10" s="5"/>
      <c r="BNT10" s="5"/>
      <c r="BNU10" s="5"/>
      <c r="BNV10" s="5"/>
      <c r="BNW10" s="5"/>
      <c r="BNX10" s="5"/>
      <c r="BNY10" s="5"/>
      <c r="BNZ10" s="5"/>
      <c r="BOA10" s="5"/>
      <c r="BOB10" s="5"/>
      <c r="BOC10" s="5"/>
      <c r="BOD10" s="5"/>
      <c r="BOE10" s="5"/>
      <c r="BOF10" s="5"/>
      <c r="BOG10" s="5"/>
      <c r="BOH10" s="5"/>
      <c r="BOI10" s="5"/>
      <c r="BOJ10" s="5"/>
      <c r="BOK10" s="5"/>
      <c r="BOL10" s="5"/>
      <c r="BOM10" s="5"/>
      <c r="BON10" s="5"/>
      <c r="BOO10" s="5"/>
      <c r="BOP10" s="5"/>
      <c r="BOQ10" s="5"/>
      <c r="BOR10" s="5"/>
      <c r="BOS10" s="5"/>
      <c r="BOT10" s="5"/>
      <c r="BOU10" s="5"/>
      <c r="BOV10" s="5"/>
      <c r="BOW10" s="5"/>
      <c r="BOX10" s="5"/>
      <c r="BOY10" s="5"/>
      <c r="BOZ10" s="5"/>
      <c r="BPA10" s="5"/>
      <c r="BPB10" s="5"/>
      <c r="BPC10" s="5"/>
      <c r="BPD10" s="5"/>
      <c r="BPE10" s="5"/>
      <c r="BPF10" s="5"/>
      <c r="BPG10" s="5"/>
      <c r="BPH10" s="5"/>
      <c r="BPI10" s="5"/>
      <c r="BPJ10" s="5"/>
      <c r="BPK10" s="5"/>
      <c r="BPL10" s="5"/>
      <c r="BPM10" s="5"/>
      <c r="BPN10" s="5"/>
      <c r="BPO10" s="5"/>
      <c r="BPP10" s="5"/>
      <c r="BPQ10" s="5"/>
      <c r="BPR10" s="5"/>
      <c r="BPS10" s="5"/>
      <c r="BPT10" s="5"/>
      <c r="BPU10" s="5"/>
      <c r="BPV10" s="5"/>
      <c r="BPW10" s="5"/>
      <c r="BPX10" s="5"/>
      <c r="BPY10" s="5"/>
      <c r="BPZ10" s="5"/>
      <c r="BQA10" s="5"/>
      <c r="BQB10" s="5"/>
      <c r="BQC10" s="5"/>
      <c r="BQD10" s="5"/>
      <c r="BQE10" s="5"/>
      <c r="BQF10" s="5"/>
      <c r="BQG10" s="5"/>
      <c r="BQH10" s="5"/>
      <c r="BQI10" s="5"/>
      <c r="BQJ10" s="5"/>
      <c r="BQK10" s="5"/>
      <c r="BQL10" s="5"/>
      <c r="BQM10" s="5"/>
      <c r="BQN10" s="5"/>
      <c r="BQO10" s="5"/>
      <c r="BQP10" s="5"/>
      <c r="BQQ10" s="5"/>
      <c r="BQR10" s="5"/>
      <c r="BQS10" s="5"/>
      <c r="BQT10" s="5"/>
      <c r="BQU10" s="5"/>
      <c r="BQV10" s="5"/>
      <c r="BQW10" s="5"/>
      <c r="BQX10" s="5"/>
      <c r="BQY10" s="5"/>
      <c r="BQZ10" s="5"/>
      <c r="BRA10" s="5"/>
      <c r="BRB10" s="5"/>
      <c r="BRC10" s="5"/>
      <c r="BRD10" s="5"/>
      <c r="BRE10" s="5"/>
      <c r="BRF10" s="5"/>
      <c r="BRG10" s="5"/>
      <c r="BRH10" s="5"/>
      <c r="BRI10" s="5"/>
      <c r="BRJ10" s="5"/>
      <c r="BRK10" s="5"/>
      <c r="BRL10" s="5"/>
      <c r="BRM10" s="5"/>
      <c r="BRN10" s="5"/>
      <c r="BRO10" s="5"/>
      <c r="BRP10" s="5"/>
      <c r="BRQ10" s="5"/>
      <c r="BRR10" s="5"/>
      <c r="BRS10" s="5"/>
      <c r="BRT10" s="5"/>
      <c r="BRU10" s="5"/>
      <c r="BRV10" s="5"/>
      <c r="BRW10" s="5"/>
      <c r="BRX10" s="5"/>
      <c r="BRY10" s="5"/>
      <c r="BRZ10" s="5"/>
      <c r="BSA10" s="5"/>
      <c r="BSB10" s="5"/>
      <c r="BSC10" s="5"/>
      <c r="BSD10" s="5"/>
      <c r="BSE10" s="5"/>
      <c r="BSF10" s="5"/>
      <c r="BSG10" s="5"/>
      <c r="BSH10" s="5"/>
      <c r="BSI10" s="5"/>
      <c r="BSJ10" s="5"/>
      <c r="BSK10" s="5"/>
      <c r="BSL10" s="5"/>
      <c r="BSM10" s="5"/>
      <c r="BSN10" s="5"/>
      <c r="BSO10" s="5"/>
      <c r="BSP10" s="5"/>
      <c r="BSQ10" s="5"/>
      <c r="BSR10" s="5"/>
      <c r="BSS10" s="5"/>
      <c r="BST10" s="5"/>
      <c r="BSU10" s="5"/>
      <c r="BSV10" s="5"/>
      <c r="BSW10" s="5"/>
      <c r="BSX10" s="5"/>
      <c r="BSY10" s="5"/>
      <c r="BSZ10" s="5"/>
      <c r="BTA10" s="5"/>
      <c r="BTB10" s="5"/>
      <c r="BTC10" s="5"/>
      <c r="BTD10" s="5"/>
      <c r="BTE10" s="5"/>
      <c r="BTF10" s="5"/>
      <c r="BTG10" s="5"/>
      <c r="BTH10" s="5"/>
      <c r="BTI10" s="5"/>
      <c r="BTJ10" s="5"/>
      <c r="BTK10" s="5"/>
      <c r="BTL10" s="5"/>
      <c r="BTM10" s="5"/>
      <c r="BTN10" s="5"/>
      <c r="BTO10" s="5"/>
      <c r="BTP10" s="5"/>
      <c r="BTQ10" s="5"/>
      <c r="BTR10" s="5"/>
      <c r="BTS10" s="5"/>
      <c r="BTT10" s="5"/>
      <c r="BTU10" s="5"/>
      <c r="BTV10" s="5"/>
      <c r="BTW10" s="5"/>
      <c r="BTX10" s="5"/>
      <c r="BTY10" s="5"/>
      <c r="BTZ10" s="5"/>
      <c r="BUA10" s="5"/>
      <c r="BUB10" s="5"/>
      <c r="BUC10" s="5"/>
      <c r="BUD10" s="5"/>
      <c r="BUE10" s="5"/>
      <c r="BUF10" s="5"/>
      <c r="BUG10" s="5"/>
      <c r="BUH10" s="5"/>
      <c r="BUI10" s="5"/>
      <c r="BUJ10" s="5"/>
      <c r="BUK10" s="5"/>
      <c r="BUL10" s="5"/>
      <c r="BUM10" s="5"/>
      <c r="BUN10" s="5"/>
      <c r="BUO10" s="5"/>
      <c r="BUP10" s="5"/>
      <c r="BUQ10" s="5"/>
      <c r="BUR10" s="5"/>
      <c r="BUS10" s="5"/>
      <c r="BUT10" s="5"/>
      <c r="BUU10" s="5"/>
      <c r="BUV10" s="5"/>
      <c r="BUW10" s="5"/>
      <c r="BUX10" s="5"/>
      <c r="BUY10" s="5"/>
      <c r="BUZ10" s="5"/>
      <c r="BVA10" s="5"/>
      <c r="BVB10" s="5"/>
      <c r="BVC10" s="5"/>
      <c r="BVD10" s="5"/>
      <c r="BVE10" s="5"/>
      <c r="BVF10" s="5"/>
      <c r="BVG10" s="5"/>
      <c r="BVH10" s="5"/>
      <c r="BVI10" s="5"/>
      <c r="BVJ10" s="5"/>
      <c r="BVK10" s="5"/>
      <c r="BVL10" s="5"/>
      <c r="BVM10" s="5"/>
      <c r="BVN10" s="5"/>
      <c r="BVO10" s="5"/>
      <c r="BVP10" s="5"/>
      <c r="BVQ10" s="5"/>
      <c r="BVR10" s="5"/>
      <c r="BVS10" s="5"/>
      <c r="BVT10" s="5"/>
      <c r="BVU10" s="5"/>
      <c r="BVV10" s="5"/>
      <c r="BVW10" s="5"/>
      <c r="BVX10" s="5"/>
      <c r="BVY10" s="5"/>
      <c r="BVZ10" s="5"/>
      <c r="BWA10" s="5"/>
      <c r="BWB10" s="5"/>
      <c r="BWC10" s="5"/>
      <c r="BWD10" s="5"/>
      <c r="BWE10" s="5"/>
      <c r="BWF10" s="5"/>
      <c r="BWG10" s="5"/>
      <c r="BWH10" s="5"/>
      <c r="BWI10" s="5"/>
      <c r="BWJ10" s="5"/>
      <c r="BWK10" s="5"/>
      <c r="BWL10" s="5"/>
      <c r="BWM10" s="5"/>
      <c r="BWN10" s="5"/>
      <c r="BWO10" s="5"/>
      <c r="BWP10" s="5"/>
      <c r="BWQ10" s="5"/>
      <c r="BWR10" s="5"/>
      <c r="BWS10" s="5"/>
      <c r="BWT10" s="5"/>
      <c r="BWU10" s="5"/>
      <c r="BWV10" s="5"/>
      <c r="BWW10" s="5"/>
      <c r="BWX10" s="5"/>
      <c r="BWY10" s="5"/>
      <c r="BWZ10" s="5"/>
      <c r="BXA10" s="5"/>
      <c r="BXB10" s="5"/>
      <c r="BXC10" s="5"/>
      <c r="BXD10" s="5"/>
      <c r="BXE10" s="5"/>
      <c r="BXF10" s="5"/>
      <c r="BXG10" s="5"/>
      <c r="BXH10" s="5"/>
      <c r="BXI10" s="5"/>
      <c r="BXJ10" s="5"/>
      <c r="BXK10" s="5"/>
      <c r="BXL10" s="5"/>
      <c r="BXM10" s="5"/>
      <c r="BXN10" s="5"/>
      <c r="BXO10" s="5"/>
      <c r="BXP10" s="5"/>
      <c r="BXQ10" s="5"/>
      <c r="BXR10" s="5"/>
      <c r="BXS10" s="5"/>
      <c r="BXT10" s="5"/>
      <c r="BXU10" s="5"/>
      <c r="BXV10" s="5"/>
      <c r="BXW10" s="5"/>
      <c r="BXX10" s="5"/>
      <c r="BXY10" s="5"/>
      <c r="BXZ10" s="5"/>
      <c r="BYA10" s="5"/>
      <c r="BYB10" s="5"/>
      <c r="BYC10" s="5"/>
      <c r="BYD10" s="5"/>
      <c r="BYE10" s="5"/>
      <c r="BYF10" s="5"/>
      <c r="BYG10" s="5"/>
      <c r="BYH10" s="5"/>
      <c r="BYI10" s="5"/>
      <c r="BYJ10" s="5"/>
      <c r="BYK10" s="5"/>
      <c r="BYL10" s="5"/>
      <c r="BYM10" s="5"/>
      <c r="BYN10" s="5"/>
      <c r="BYO10" s="5"/>
      <c r="BYP10" s="5"/>
      <c r="BYQ10" s="5"/>
      <c r="BYR10" s="5"/>
      <c r="BYS10" s="5"/>
      <c r="BYT10" s="5"/>
      <c r="BYU10" s="5"/>
      <c r="BYV10" s="5"/>
      <c r="BYW10" s="5"/>
      <c r="BYX10" s="5"/>
      <c r="BYY10" s="5"/>
      <c r="BYZ10" s="5"/>
      <c r="BZA10" s="5"/>
      <c r="BZB10" s="5"/>
      <c r="BZC10" s="5"/>
      <c r="BZD10" s="5"/>
      <c r="BZE10" s="5"/>
      <c r="BZF10" s="5"/>
      <c r="BZG10" s="5"/>
      <c r="BZH10" s="5"/>
      <c r="BZI10" s="5"/>
      <c r="BZJ10" s="5"/>
      <c r="BZK10" s="5"/>
      <c r="BZL10" s="5"/>
      <c r="BZM10" s="5"/>
      <c r="BZN10" s="5"/>
      <c r="BZO10" s="5"/>
      <c r="BZP10" s="5"/>
      <c r="BZQ10" s="5"/>
      <c r="BZR10" s="5"/>
      <c r="BZS10" s="5"/>
      <c r="BZT10" s="5"/>
      <c r="BZU10" s="5"/>
      <c r="BZV10" s="5"/>
      <c r="BZW10" s="5"/>
      <c r="BZX10" s="5"/>
      <c r="BZY10" s="5"/>
      <c r="BZZ10" s="5"/>
      <c r="CAA10" s="5"/>
      <c r="CAB10" s="5"/>
      <c r="CAC10" s="5"/>
      <c r="CAD10" s="5"/>
      <c r="CAE10" s="5"/>
      <c r="CAF10" s="5"/>
      <c r="CAG10" s="5"/>
      <c r="CAH10" s="5"/>
      <c r="CAI10" s="5"/>
      <c r="CAJ10" s="5"/>
      <c r="CAK10" s="5"/>
      <c r="CAL10" s="5"/>
      <c r="CAM10" s="5"/>
      <c r="CAN10" s="5"/>
      <c r="CAO10" s="5"/>
      <c r="CAP10" s="5"/>
      <c r="CAQ10" s="5"/>
      <c r="CAR10" s="5"/>
      <c r="CAS10" s="5"/>
      <c r="CAT10" s="5"/>
      <c r="CAU10" s="5"/>
      <c r="CAV10" s="5"/>
      <c r="CAW10" s="5"/>
      <c r="CAX10" s="5"/>
      <c r="CAY10" s="5"/>
      <c r="CAZ10" s="5"/>
      <c r="CBA10" s="5"/>
      <c r="CBB10" s="5"/>
      <c r="CBC10" s="5"/>
      <c r="CBD10" s="5"/>
      <c r="CBE10" s="5"/>
      <c r="CBF10" s="5"/>
      <c r="CBG10" s="5"/>
      <c r="CBH10" s="5"/>
      <c r="CBI10" s="5"/>
      <c r="CBJ10" s="5"/>
      <c r="CBK10" s="5"/>
      <c r="CBL10" s="5"/>
      <c r="CBM10" s="5"/>
      <c r="CBN10" s="5"/>
      <c r="CBO10" s="5"/>
      <c r="CBP10" s="5"/>
      <c r="CBQ10" s="5"/>
      <c r="CBR10" s="5"/>
      <c r="CBS10" s="5"/>
      <c r="CBT10" s="5"/>
      <c r="CBU10" s="5"/>
      <c r="CBV10" s="5"/>
      <c r="CBW10" s="5"/>
      <c r="CBX10" s="5"/>
      <c r="CBY10" s="5"/>
      <c r="CBZ10" s="5"/>
      <c r="CCA10" s="5"/>
      <c r="CCB10" s="5"/>
      <c r="CCC10" s="5"/>
      <c r="CCD10" s="5"/>
      <c r="CCE10" s="5"/>
      <c r="CCF10" s="5"/>
      <c r="CCG10" s="5"/>
      <c r="CCH10" s="5"/>
      <c r="CCI10" s="5"/>
      <c r="CCJ10" s="5"/>
      <c r="CCK10" s="5"/>
      <c r="CCL10" s="5"/>
      <c r="CCM10" s="5"/>
      <c r="CCN10" s="5"/>
      <c r="CCO10" s="5"/>
      <c r="CCP10" s="5"/>
      <c r="CCQ10" s="5"/>
      <c r="CCR10" s="5"/>
      <c r="CCS10" s="5"/>
      <c r="CCT10" s="5"/>
      <c r="CCU10" s="5"/>
      <c r="CCV10" s="5"/>
      <c r="CCW10" s="5"/>
      <c r="CCX10" s="5"/>
      <c r="CCY10" s="5"/>
      <c r="CCZ10" s="5"/>
      <c r="CDA10" s="5"/>
      <c r="CDB10" s="5"/>
      <c r="CDC10" s="5"/>
      <c r="CDD10" s="5"/>
      <c r="CDE10" s="5"/>
      <c r="CDF10" s="5"/>
      <c r="CDG10" s="5"/>
      <c r="CDH10" s="5"/>
      <c r="CDI10" s="5"/>
      <c r="CDJ10" s="5"/>
      <c r="CDK10" s="5"/>
      <c r="CDL10" s="5"/>
      <c r="CDM10" s="5"/>
      <c r="CDN10" s="5"/>
      <c r="CDO10" s="5"/>
      <c r="CDP10" s="5"/>
      <c r="CDQ10" s="5"/>
      <c r="CDR10" s="5"/>
      <c r="CDS10" s="5"/>
      <c r="CDT10" s="5"/>
      <c r="CDU10" s="5"/>
      <c r="CDV10" s="5"/>
      <c r="CDW10" s="5"/>
      <c r="CDX10" s="5"/>
      <c r="CDY10" s="5"/>
      <c r="CDZ10" s="5"/>
      <c r="CEA10" s="5"/>
      <c r="CEB10" s="5"/>
      <c r="CEC10" s="5"/>
      <c r="CED10" s="5"/>
      <c r="CEE10" s="5"/>
      <c r="CEF10" s="5"/>
      <c r="CEG10" s="5"/>
      <c r="CEH10" s="5"/>
      <c r="CEI10" s="5"/>
      <c r="CEJ10" s="5"/>
      <c r="CEK10" s="5"/>
      <c r="CEL10" s="5"/>
      <c r="CEM10" s="5"/>
      <c r="CEN10" s="5"/>
      <c r="CEO10" s="5"/>
      <c r="CEP10" s="5"/>
      <c r="CEQ10" s="5"/>
      <c r="CER10" s="5"/>
      <c r="CES10" s="5"/>
      <c r="CET10" s="5"/>
      <c r="CEU10" s="5"/>
      <c r="CEV10" s="5"/>
      <c r="CEW10" s="5"/>
      <c r="CEX10" s="5"/>
      <c r="CEY10" s="5"/>
      <c r="CEZ10" s="5"/>
      <c r="CFA10" s="5"/>
      <c r="CFB10" s="5"/>
      <c r="CFC10" s="5"/>
      <c r="CFD10" s="5"/>
      <c r="CFE10" s="5"/>
      <c r="CFF10" s="5"/>
      <c r="CFG10" s="5"/>
      <c r="CFH10" s="5"/>
      <c r="CFI10" s="5"/>
      <c r="CFJ10" s="5"/>
      <c r="CFK10" s="5"/>
      <c r="CFL10" s="5"/>
      <c r="CFM10" s="5"/>
      <c r="CFN10" s="5"/>
      <c r="CFO10" s="5"/>
      <c r="CFP10" s="5"/>
      <c r="CFQ10" s="5"/>
      <c r="CFR10" s="5"/>
      <c r="CFS10" s="5"/>
      <c r="CFT10" s="5"/>
      <c r="CFU10" s="5"/>
      <c r="CFV10" s="5"/>
      <c r="CFW10" s="5"/>
      <c r="CFX10" s="5"/>
      <c r="CFY10" s="5"/>
      <c r="CFZ10" s="5"/>
      <c r="CGA10" s="5"/>
      <c r="CGB10" s="5"/>
      <c r="CGC10" s="5"/>
      <c r="CGD10" s="5"/>
      <c r="CGE10" s="5"/>
      <c r="CGF10" s="5"/>
      <c r="CGG10" s="5"/>
      <c r="CGH10" s="5"/>
      <c r="CGI10" s="5"/>
      <c r="CGJ10" s="5"/>
      <c r="CGK10" s="5"/>
      <c r="CGL10" s="5"/>
      <c r="CGM10" s="5"/>
      <c r="CGN10" s="5"/>
      <c r="CGO10" s="5"/>
      <c r="CGP10" s="5"/>
      <c r="CGQ10" s="5"/>
      <c r="CGR10" s="5"/>
      <c r="CGS10" s="5"/>
      <c r="CGT10" s="5"/>
      <c r="CGU10" s="5"/>
      <c r="CGV10" s="5"/>
      <c r="CGW10" s="5"/>
      <c r="CGX10" s="5"/>
      <c r="CGY10" s="5"/>
      <c r="CGZ10" s="5"/>
      <c r="CHA10" s="5"/>
      <c r="CHB10" s="5"/>
      <c r="CHC10" s="5"/>
      <c r="CHD10" s="5"/>
      <c r="CHE10" s="5"/>
      <c r="CHF10" s="5"/>
      <c r="CHG10" s="5"/>
      <c r="CHH10" s="5"/>
      <c r="CHI10" s="5"/>
      <c r="CHJ10" s="5"/>
      <c r="CHK10" s="5"/>
      <c r="CHL10" s="5"/>
      <c r="CHM10" s="5"/>
      <c r="CHN10" s="5"/>
      <c r="CHO10" s="5"/>
      <c r="CHP10" s="5"/>
      <c r="CHQ10" s="5"/>
      <c r="CHR10" s="5"/>
      <c r="CHS10" s="5"/>
      <c r="CHT10" s="5"/>
      <c r="CHU10" s="5"/>
      <c r="CHV10" s="5"/>
      <c r="CHW10" s="5"/>
      <c r="CHX10" s="5"/>
      <c r="CHY10" s="5"/>
      <c r="CHZ10" s="5"/>
      <c r="CIA10" s="5"/>
      <c r="CIB10" s="5"/>
      <c r="CIC10" s="5"/>
      <c r="CID10" s="5"/>
      <c r="CIE10" s="5"/>
      <c r="CIF10" s="5"/>
      <c r="CIG10" s="5"/>
      <c r="CIH10" s="5"/>
      <c r="CII10" s="5"/>
      <c r="CIJ10" s="5"/>
      <c r="CIK10" s="5"/>
      <c r="CIL10" s="5"/>
      <c r="CIM10" s="5"/>
      <c r="CIN10" s="5"/>
      <c r="CIO10" s="5"/>
      <c r="CIP10" s="5"/>
      <c r="CIQ10" s="5"/>
      <c r="CIR10" s="5"/>
      <c r="CIS10" s="5"/>
      <c r="CIT10" s="5"/>
      <c r="CIU10" s="5"/>
      <c r="CIV10" s="5"/>
      <c r="CIW10" s="5"/>
      <c r="CIX10" s="5"/>
      <c r="CIY10" s="5"/>
      <c r="CIZ10" s="5"/>
      <c r="CJA10" s="5"/>
      <c r="CJB10" s="5"/>
      <c r="CJC10" s="5"/>
      <c r="CJD10" s="5"/>
      <c r="CJE10" s="5"/>
      <c r="CJF10" s="5"/>
      <c r="CJG10" s="5"/>
      <c r="CJH10" s="5"/>
      <c r="CJI10" s="5"/>
      <c r="CJJ10" s="5"/>
      <c r="CJK10" s="5"/>
      <c r="CJL10" s="5"/>
      <c r="CJM10" s="5"/>
      <c r="CJN10" s="5"/>
      <c r="CJO10" s="5"/>
      <c r="CJP10" s="5"/>
      <c r="CJQ10" s="5"/>
      <c r="CJR10" s="5"/>
      <c r="CJS10" s="5"/>
      <c r="CJT10" s="5"/>
      <c r="CJU10" s="5"/>
      <c r="CJV10" s="5"/>
      <c r="CJW10" s="5"/>
      <c r="CJX10" s="5"/>
      <c r="CJY10" s="5"/>
      <c r="CJZ10" s="5"/>
      <c r="CKA10" s="5"/>
      <c r="CKB10" s="5"/>
      <c r="CKC10" s="5"/>
      <c r="CKD10" s="5"/>
      <c r="CKE10" s="5"/>
      <c r="CKF10" s="5"/>
      <c r="CKG10" s="5"/>
      <c r="CKH10" s="5"/>
      <c r="CKI10" s="5"/>
      <c r="CKJ10" s="5"/>
      <c r="CKK10" s="5"/>
      <c r="CKL10" s="5"/>
      <c r="CKM10" s="5"/>
      <c r="CKN10" s="5"/>
      <c r="CKO10" s="5"/>
      <c r="CKP10" s="5"/>
      <c r="CKQ10" s="5"/>
      <c r="CKR10" s="5"/>
      <c r="CKS10" s="5"/>
      <c r="CKT10" s="5"/>
      <c r="CKU10" s="5"/>
      <c r="CKV10" s="5"/>
      <c r="CKW10" s="5"/>
      <c r="CKX10" s="5"/>
      <c r="CKY10" s="5"/>
      <c r="CKZ10" s="5"/>
      <c r="CLA10" s="5"/>
      <c r="CLB10" s="5"/>
      <c r="CLC10" s="5"/>
      <c r="CLD10" s="5"/>
      <c r="CLE10" s="5"/>
      <c r="CLF10" s="5"/>
      <c r="CLG10" s="5"/>
      <c r="CLH10" s="5"/>
      <c r="CLI10" s="5"/>
      <c r="CLJ10" s="5"/>
      <c r="CLK10" s="5"/>
      <c r="CLL10" s="5"/>
      <c r="CLM10" s="5"/>
      <c r="CLN10" s="5"/>
      <c r="CLO10" s="5"/>
      <c r="CLP10" s="5"/>
      <c r="CLQ10" s="5"/>
      <c r="CLR10" s="5"/>
      <c r="CLS10" s="5"/>
      <c r="CLT10" s="5"/>
      <c r="CLU10" s="5"/>
      <c r="CLV10" s="5"/>
      <c r="CLW10" s="5"/>
      <c r="CLX10" s="5"/>
      <c r="CLY10" s="5"/>
      <c r="CLZ10" s="5"/>
      <c r="CMA10" s="5"/>
      <c r="CMB10" s="5"/>
      <c r="CMC10" s="5"/>
      <c r="CMD10" s="5"/>
      <c r="CME10" s="5"/>
      <c r="CMF10" s="5"/>
      <c r="CMG10" s="5"/>
      <c r="CMH10" s="5"/>
      <c r="CMI10" s="5"/>
      <c r="CMJ10" s="5"/>
      <c r="CMK10" s="5"/>
      <c r="CML10" s="5"/>
      <c r="CMM10" s="5"/>
      <c r="CMN10" s="5"/>
      <c r="CMO10" s="5"/>
      <c r="CMP10" s="5"/>
      <c r="CMQ10" s="5"/>
      <c r="CMR10" s="5"/>
      <c r="CMS10" s="5"/>
      <c r="CMT10" s="5"/>
      <c r="CMU10" s="5"/>
      <c r="CMV10" s="5"/>
      <c r="CMW10" s="5"/>
      <c r="CMX10" s="5"/>
      <c r="CMY10" s="5"/>
      <c r="CMZ10" s="5"/>
      <c r="CNA10" s="5"/>
      <c r="CNB10" s="5"/>
      <c r="CNC10" s="5"/>
      <c r="CND10" s="5"/>
      <c r="CNE10" s="5"/>
      <c r="CNF10" s="5"/>
      <c r="CNG10" s="5"/>
      <c r="CNH10" s="5"/>
      <c r="CNI10" s="5"/>
      <c r="CNJ10" s="5"/>
      <c r="CNK10" s="5"/>
      <c r="CNL10" s="5"/>
      <c r="CNM10" s="5"/>
      <c r="CNN10" s="5"/>
      <c r="CNO10" s="5"/>
      <c r="CNP10" s="5"/>
      <c r="CNQ10" s="5"/>
      <c r="CNR10" s="5"/>
      <c r="CNS10" s="5"/>
      <c r="CNT10" s="5"/>
      <c r="CNU10" s="5"/>
      <c r="CNV10" s="5"/>
      <c r="CNW10" s="5"/>
      <c r="CNX10" s="5"/>
      <c r="CNY10" s="5"/>
      <c r="CNZ10" s="5"/>
      <c r="COA10" s="5"/>
      <c r="COB10" s="5"/>
      <c r="COC10" s="5"/>
      <c r="COD10" s="5"/>
      <c r="COE10" s="5"/>
      <c r="COF10" s="5"/>
      <c r="COG10" s="5"/>
      <c r="COH10" s="5"/>
      <c r="COI10" s="5"/>
      <c r="COJ10" s="5"/>
      <c r="COK10" s="5"/>
      <c r="COL10" s="5"/>
      <c r="COM10" s="5"/>
      <c r="CON10" s="5"/>
      <c r="COO10" s="5"/>
      <c r="COP10" s="5"/>
      <c r="COQ10" s="5"/>
      <c r="COR10" s="5"/>
      <c r="COS10" s="5"/>
      <c r="COT10" s="5"/>
      <c r="COU10" s="5"/>
      <c r="COV10" s="5"/>
      <c r="COW10" s="5"/>
      <c r="COX10" s="5"/>
      <c r="COY10" s="5"/>
      <c r="COZ10" s="5"/>
      <c r="CPA10" s="5"/>
      <c r="CPB10" s="5"/>
      <c r="CPC10" s="5"/>
      <c r="CPD10" s="5"/>
      <c r="CPE10" s="5"/>
      <c r="CPF10" s="5"/>
      <c r="CPG10" s="5"/>
      <c r="CPH10" s="5"/>
      <c r="CPI10" s="5"/>
      <c r="CPJ10" s="5"/>
      <c r="CPK10" s="5"/>
      <c r="CPL10" s="5"/>
      <c r="CPM10" s="5"/>
      <c r="CPN10" s="5"/>
      <c r="CPO10" s="5"/>
      <c r="CPP10" s="5"/>
      <c r="CPQ10" s="5"/>
      <c r="CPR10" s="5"/>
      <c r="CPS10" s="5"/>
      <c r="CPT10" s="5"/>
      <c r="CPU10" s="5"/>
      <c r="CPV10" s="5"/>
      <c r="CPW10" s="5"/>
      <c r="CPX10" s="5"/>
      <c r="CPY10" s="5"/>
      <c r="CPZ10" s="5"/>
      <c r="CQA10" s="5"/>
      <c r="CQB10" s="5"/>
      <c r="CQC10" s="5"/>
      <c r="CQD10" s="5"/>
      <c r="CQE10" s="5"/>
      <c r="CQF10" s="5"/>
      <c r="CQG10" s="5"/>
      <c r="CQH10" s="5"/>
      <c r="CQI10" s="5"/>
      <c r="CQJ10" s="5"/>
      <c r="CQK10" s="5"/>
      <c r="CQL10" s="5"/>
      <c r="CQM10" s="5"/>
      <c r="CQN10" s="5"/>
      <c r="CQO10" s="5"/>
      <c r="CQP10" s="5"/>
      <c r="CQQ10" s="5"/>
      <c r="CQR10" s="5"/>
      <c r="CQS10" s="5"/>
      <c r="CQT10" s="5"/>
      <c r="CQU10" s="5"/>
      <c r="CQV10" s="5"/>
      <c r="CQW10" s="5"/>
      <c r="CQX10" s="5"/>
      <c r="CQY10" s="5"/>
      <c r="CQZ10" s="5"/>
      <c r="CRA10" s="5"/>
      <c r="CRB10" s="5"/>
      <c r="CRC10" s="5"/>
      <c r="CRD10" s="5"/>
      <c r="CRE10" s="5"/>
      <c r="CRF10" s="5"/>
      <c r="CRG10" s="5"/>
      <c r="CRH10" s="5"/>
      <c r="CRI10" s="5"/>
      <c r="CRJ10" s="5"/>
      <c r="CRK10" s="5"/>
      <c r="CRL10" s="5"/>
      <c r="CRM10" s="5"/>
      <c r="CRN10" s="5"/>
      <c r="CRO10" s="5"/>
      <c r="CRP10" s="5"/>
      <c r="CRQ10" s="5"/>
      <c r="CRR10" s="5"/>
      <c r="CRS10" s="5"/>
      <c r="CRT10" s="5"/>
      <c r="CRU10" s="5"/>
      <c r="CRV10" s="5"/>
      <c r="CRW10" s="5"/>
      <c r="CRX10" s="5"/>
      <c r="CRY10" s="5"/>
      <c r="CRZ10" s="5"/>
      <c r="CSA10" s="5"/>
      <c r="CSB10" s="5"/>
      <c r="CSC10" s="5"/>
      <c r="CSD10" s="5"/>
      <c r="CSE10" s="5"/>
      <c r="CSF10" s="5"/>
      <c r="CSG10" s="5"/>
      <c r="CSH10" s="5"/>
      <c r="CSI10" s="5"/>
      <c r="CSJ10" s="5"/>
      <c r="CSK10" s="5"/>
      <c r="CSL10" s="5"/>
      <c r="CSM10" s="5"/>
      <c r="CSN10" s="5"/>
      <c r="CSO10" s="5"/>
      <c r="CSP10" s="5"/>
      <c r="CSQ10" s="5"/>
      <c r="CSR10" s="5"/>
      <c r="CSS10" s="5"/>
      <c r="CST10" s="5"/>
      <c r="CSU10" s="5"/>
      <c r="CSV10" s="5"/>
      <c r="CSW10" s="5"/>
      <c r="CSX10" s="5"/>
      <c r="CSY10" s="5"/>
      <c r="CSZ10" s="5"/>
      <c r="CTA10" s="5"/>
      <c r="CTB10" s="5"/>
      <c r="CTC10" s="5"/>
      <c r="CTD10" s="5"/>
      <c r="CTE10" s="5"/>
      <c r="CTF10" s="5"/>
      <c r="CTG10" s="5"/>
      <c r="CTH10" s="5"/>
      <c r="CTI10" s="5"/>
      <c r="CTJ10" s="5"/>
      <c r="CTK10" s="5"/>
      <c r="CTL10" s="5"/>
      <c r="CTM10" s="5"/>
      <c r="CTN10" s="5"/>
      <c r="CTO10" s="5"/>
      <c r="CTP10" s="5"/>
      <c r="CTQ10" s="5"/>
      <c r="CTR10" s="5"/>
      <c r="CTS10" s="5"/>
      <c r="CTT10" s="5"/>
      <c r="CTU10" s="5"/>
      <c r="CTV10" s="5"/>
      <c r="CTW10" s="5"/>
      <c r="CTX10" s="5"/>
      <c r="CTY10" s="5"/>
      <c r="CTZ10" s="5"/>
      <c r="CUA10" s="5"/>
      <c r="CUB10" s="5"/>
      <c r="CUC10" s="5"/>
      <c r="CUD10" s="5"/>
      <c r="CUE10" s="5"/>
      <c r="CUF10" s="5"/>
      <c r="CUG10" s="5"/>
      <c r="CUH10" s="5"/>
      <c r="CUI10" s="5"/>
      <c r="CUJ10" s="5"/>
      <c r="CUK10" s="5"/>
      <c r="CUL10" s="5"/>
      <c r="CUM10" s="5"/>
      <c r="CUN10" s="5"/>
      <c r="CUO10" s="5"/>
      <c r="CUP10" s="5"/>
      <c r="CUQ10" s="5"/>
      <c r="CUR10" s="5"/>
      <c r="CUS10" s="5"/>
      <c r="CUT10" s="5"/>
      <c r="CUU10" s="5"/>
      <c r="CUV10" s="5"/>
      <c r="CUW10" s="5"/>
      <c r="CUX10" s="5"/>
      <c r="CUY10" s="5"/>
      <c r="CUZ10" s="5"/>
      <c r="CVA10" s="5"/>
      <c r="CVB10" s="5"/>
      <c r="CVC10" s="5"/>
      <c r="CVD10" s="5"/>
      <c r="CVE10" s="5"/>
      <c r="CVF10" s="5"/>
      <c r="CVG10" s="5"/>
      <c r="CVH10" s="5"/>
      <c r="CVI10" s="5"/>
      <c r="CVJ10" s="5"/>
      <c r="CVK10" s="5"/>
      <c r="CVL10" s="5"/>
      <c r="CVM10" s="5"/>
      <c r="CVN10" s="5"/>
      <c r="CVO10" s="5"/>
      <c r="CVP10" s="5"/>
      <c r="CVQ10" s="5"/>
      <c r="CVR10" s="5"/>
      <c r="CVS10" s="5"/>
      <c r="CVT10" s="5"/>
      <c r="CVU10" s="5"/>
      <c r="CVV10" s="5"/>
      <c r="CVW10" s="5"/>
      <c r="CVX10" s="5"/>
      <c r="CVY10" s="5"/>
      <c r="CVZ10" s="5"/>
      <c r="CWA10" s="5"/>
      <c r="CWB10" s="5"/>
      <c r="CWC10" s="5"/>
      <c r="CWD10" s="5"/>
      <c r="CWE10" s="5"/>
      <c r="CWF10" s="5"/>
      <c r="CWG10" s="5"/>
      <c r="CWH10" s="5"/>
      <c r="CWI10" s="5"/>
      <c r="CWJ10" s="5"/>
      <c r="CWK10" s="5"/>
      <c r="CWL10" s="5"/>
      <c r="CWM10" s="5"/>
      <c r="CWN10" s="5"/>
      <c r="CWO10" s="5"/>
      <c r="CWP10" s="5"/>
      <c r="CWQ10" s="5"/>
      <c r="CWR10" s="5"/>
      <c r="CWS10" s="5"/>
      <c r="CWT10" s="5"/>
      <c r="CWU10" s="5"/>
      <c r="CWV10" s="5"/>
      <c r="CWW10" s="5"/>
      <c r="CWX10" s="5"/>
      <c r="CWY10" s="5"/>
      <c r="CWZ10" s="5"/>
      <c r="CXA10" s="5"/>
      <c r="CXB10" s="5"/>
      <c r="CXC10" s="5"/>
      <c r="CXD10" s="5"/>
      <c r="CXE10" s="5"/>
      <c r="CXF10" s="5"/>
      <c r="CXG10" s="5"/>
      <c r="CXH10" s="5"/>
      <c r="CXI10" s="5"/>
      <c r="CXJ10" s="5"/>
      <c r="CXK10" s="5"/>
      <c r="CXL10" s="5"/>
      <c r="CXM10" s="5"/>
      <c r="CXN10" s="5"/>
      <c r="CXO10" s="5"/>
      <c r="CXP10" s="5"/>
      <c r="CXQ10" s="5"/>
      <c r="CXR10" s="5"/>
      <c r="CXS10" s="5"/>
      <c r="CXT10" s="5"/>
      <c r="CXU10" s="5"/>
      <c r="CXV10" s="5"/>
      <c r="CXW10" s="5"/>
      <c r="CXX10" s="5"/>
      <c r="CXY10" s="5"/>
      <c r="CXZ10" s="5"/>
      <c r="CYA10" s="5"/>
      <c r="CYB10" s="5"/>
      <c r="CYC10" s="5"/>
      <c r="CYD10" s="5"/>
      <c r="CYE10" s="5"/>
      <c r="CYF10" s="5"/>
      <c r="CYG10" s="5"/>
      <c r="CYH10" s="5"/>
      <c r="CYI10" s="5"/>
      <c r="CYJ10" s="5"/>
      <c r="CYK10" s="5"/>
      <c r="CYL10" s="5"/>
      <c r="CYM10" s="5"/>
      <c r="CYN10" s="5"/>
      <c r="CYO10" s="5"/>
      <c r="CYP10" s="5"/>
      <c r="CYQ10" s="5"/>
      <c r="CYR10" s="5"/>
      <c r="CYS10" s="5"/>
      <c r="CYT10" s="5"/>
      <c r="CYU10" s="5"/>
      <c r="CYV10" s="5"/>
      <c r="CYW10" s="5"/>
      <c r="CYX10" s="5"/>
      <c r="CYY10" s="5"/>
      <c r="CYZ10" s="5"/>
      <c r="CZA10" s="5"/>
      <c r="CZB10" s="5"/>
      <c r="CZC10" s="5"/>
      <c r="CZD10" s="5"/>
      <c r="CZE10" s="5"/>
      <c r="CZF10" s="5"/>
      <c r="CZG10" s="5"/>
      <c r="CZH10" s="5"/>
      <c r="CZI10" s="5"/>
      <c r="CZJ10" s="5"/>
      <c r="CZK10" s="5"/>
      <c r="CZL10" s="5"/>
      <c r="CZM10" s="5"/>
      <c r="CZN10" s="5"/>
      <c r="CZO10" s="5"/>
      <c r="CZP10" s="5"/>
      <c r="CZQ10" s="5"/>
      <c r="CZR10" s="5"/>
      <c r="CZS10" s="5"/>
      <c r="CZT10" s="5"/>
      <c r="CZU10" s="5"/>
      <c r="CZV10" s="5"/>
      <c r="CZW10" s="5"/>
      <c r="CZX10" s="5"/>
      <c r="CZY10" s="5"/>
      <c r="CZZ10" s="5"/>
      <c r="DAA10" s="5"/>
      <c r="DAB10" s="5"/>
      <c r="DAC10" s="5"/>
      <c r="DAD10" s="5"/>
      <c r="DAE10" s="5"/>
      <c r="DAF10" s="5"/>
      <c r="DAG10" s="5"/>
      <c r="DAH10" s="5"/>
      <c r="DAI10" s="5"/>
      <c r="DAJ10" s="5"/>
      <c r="DAK10" s="5"/>
      <c r="DAL10" s="5"/>
      <c r="DAM10" s="5"/>
      <c r="DAN10" s="5"/>
      <c r="DAO10" s="5"/>
      <c r="DAP10" s="5"/>
      <c r="DAQ10" s="5"/>
      <c r="DAR10" s="5"/>
      <c r="DAS10" s="5"/>
      <c r="DAT10" s="5"/>
      <c r="DAU10" s="5"/>
      <c r="DAV10" s="5"/>
      <c r="DAW10" s="5"/>
      <c r="DAX10" s="5"/>
      <c r="DAY10" s="5"/>
      <c r="DAZ10" s="5"/>
      <c r="DBA10" s="5"/>
      <c r="DBB10" s="5"/>
      <c r="DBC10" s="5"/>
      <c r="DBD10" s="5"/>
      <c r="DBE10" s="5"/>
      <c r="DBF10" s="5"/>
      <c r="DBG10" s="5"/>
      <c r="DBH10" s="5"/>
      <c r="DBI10" s="5"/>
      <c r="DBJ10" s="5"/>
      <c r="DBK10" s="5"/>
      <c r="DBL10" s="5"/>
      <c r="DBM10" s="5"/>
      <c r="DBN10" s="5"/>
      <c r="DBO10" s="5"/>
      <c r="DBP10" s="5"/>
      <c r="DBQ10" s="5"/>
      <c r="DBR10" s="5"/>
      <c r="DBS10" s="5"/>
      <c r="DBT10" s="5"/>
      <c r="DBU10" s="5"/>
      <c r="DBV10" s="5"/>
      <c r="DBW10" s="5"/>
      <c r="DBX10" s="5"/>
      <c r="DBY10" s="5"/>
      <c r="DBZ10" s="5"/>
      <c r="DCA10" s="5"/>
      <c r="DCB10" s="5"/>
      <c r="DCC10" s="5"/>
      <c r="DCD10" s="5"/>
      <c r="DCE10" s="5"/>
      <c r="DCF10" s="5"/>
      <c r="DCG10" s="5"/>
      <c r="DCH10" s="5"/>
      <c r="DCI10" s="5"/>
      <c r="DCJ10" s="5"/>
      <c r="DCK10" s="5"/>
      <c r="DCL10" s="5"/>
      <c r="DCM10" s="5"/>
      <c r="DCN10" s="5"/>
      <c r="DCO10" s="5"/>
      <c r="DCP10" s="5"/>
      <c r="DCQ10" s="5"/>
      <c r="DCR10" s="5"/>
      <c r="DCS10" s="5"/>
      <c r="DCT10" s="5"/>
      <c r="DCU10" s="5"/>
      <c r="DCV10" s="5"/>
      <c r="DCW10" s="5"/>
      <c r="DCX10" s="5"/>
      <c r="DCY10" s="5"/>
      <c r="DCZ10" s="5"/>
      <c r="DDA10" s="5"/>
      <c r="DDB10" s="5"/>
      <c r="DDC10" s="5"/>
      <c r="DDD10" s="5"/>
      <c r="DDE10" s="5"/>
      <c r="DDF10" s="5"/>
      <c r="DDG10" s="5"/>
      <c r="DDH10" s="5"/>
      <c r="DDI10" s="5"/>
      <c r="DDJ10" s="5"/>
      <c r="DDK10" s="5"/>
      <c r="DDL10" s="5"/>
      <c r="DDM10" s="5"/>
      <c r="DDN10" s="5"/>
      <c r="DDO10" s="5"/>
      <c r="DDP10" s="5"/>
      <c r="DDQ10" s="5"/>
      <c r="DDR10" s="5"/>
      <c r="DDS10" s="5"/>
      <c r="DDT10" s="5"/>
      <c r="DDU10" s="5"/>
      <c r="DDV10" s="5"/>
      <c r="DDW10" s="5"/>
      <c r="DDX10" s="5"/>
      <c r="DDY10" s="5"/>
      <c r="DDZ10" s="5"/>
      <c r="DEA10" s="5"/>
      <c r="DEB10" s="5"/>
      <c r="DEC10" s="5"/>
      <c r="DED10" s="5"/>
      <c r="DEE10" s="5"/>
      <c r="DEF10" s="5"/>
      <c r="DEG10" s="5"/>
      <c r="DEH10" s="5"/>
      <c r="DEI10" s="5"/>
      <c r="DEJ10" s="5"/>
      <c r="DEK10" s="5"/>
      <c r="DEL10" s="5"/>
      <c r="DEM10" s="5"/>
      <c r="DEN10" s="5"/>
      <c r="DEO10" s="5"/>
      <c r="DEP10" s="5"/>
      <c r="DEQ10" s="5"/>
      <c r="DER10" s="5"/>
      <c r="DES10" s="5"/>
      <c r="DET10" s="5"/>
      <c r="DEU10" s="5"/>
      <c r="DEV10" s="5"/>
      <c r="DEW10" s="5"/>
      <c r="DEX10" s="5"/>
      <c r="DEY10" s="5"/>
      <c r="DEZ10" s="5"/>
      <c r="DFA10" s="5"/>
      <c r="DFB10" s="5"/>
      <c r="DFC10" s="5"/>
      <c r="DFD10" s="5"/>
      <c r="DFE10" s="5"/>
      <c r="DFF10" s="5"/>
      <c r="DFG10" s="5"/>
      <c r="DFH10" s="5"/>
      <c r="DFI10" s="5"/>
      <c r="DFJ10" s="5"/>
      <c r="DFK10" s="5"/>
      <c r="DFL10" s="5"/>
      <c r="DFM10" s="5"/>
      <c r="DFN10" s="5"/>
      <c r="DFO10" s="5"/>
      <c r="DFP10" s="5"/>
      <c r="DFQ10" s="5"/>
      <c r="DFR10" s="5"/>
      <c r="DFS10" s="5"/>
      <c r="DFT10" s="5"/>
      <c r="DFU10" s="5"/>
      <c r="DFV10" s="5"/>
      <c r="DFW10" s="5"/>
      <c r="DFX10" s="5"/>
      <c r="DFY10" s="5"/>
      <c r="DFZ10" s="5"/>
      <c r="DGA10" s="5"/>
      <c r="DGB10" s="5"/>
      <c r="DGC10" s="5"/>
      <c r="DGD10" s="5"/>
      <c r="DGE10" s="5"/>
      <c r="DGF10" s="5"/>
      <c r="DGG10" s="5"/>
      <c r="DGH10" s="5"/>
      <c r="DGI10" s="5"/>
      <c r="DGJ10" s="5"/>
      <c r="DGK10" s="5"/>
      <c r="DGL10" s="5"/>
      <c r="DGM10" s="5"/>
      <c r="DGN10" s="5"/>
      <c r="DGO10" s="5"/>
      <c r="DGP10" s="5"/>
      <c r="DGQ10" s="5"/>
      <c r="DGR10" s="5"/>
      <c r="DGS10" s="5"/>
      <c r="DGT10" s="5"/>
      <c r="DGU10" s="5"/>
      <c r="DGV10" s="5"/>
      <c r="DGW10" s="5"/>
      <c r="DGX10" s="5"/>
      <c r="DGY10" s="5"/>
      <c r="DGZ10" s="5"/>
      <c r="DHA10" s="5"/>
      <c r="DHB10" s="5"/>
      <c r="DHC10" s="5"/>
      <c r="DHD10" s="5"/>
      <c r="DHE10" s="5"/>
      <c r="DHF10" s="5"/>
      <c r="DHG10" s="5"/>
      <c r="DHH10" s="5"/>
      <c r="DHI10" s="5"/>
      <c r="DHJ10" s="5"/>
      <c r="DHK10" s="5"/>
      <c r="DHL10" s="5"/>
      <c r="DHM10" s="5"/>
      <c r="DHN10" s="5"/>
      <c r="DHO10" s="5"/>
      <c r="DHP10" s="5"/>
      <c r="DHQ10" s="5"/>
      <c r="DHR10" s="5"/>
      <c r="DHS10" s="5"/>
      <c r="DHT10" s="5"/>
      <c r="DHU10" s="5"/>
      <c r="DHV10" s="5"/>
      <c r="DHW10" s="5"/>
      <c r="DHX10" s="5"/>
      <c r="DHY10" s="5"/>
      <c r="DHZ10" s="5"/>
      <c r="DIA10" s="5"/>
      <c r="DIB10" s="5"/>
      <c r="DIC10" s="5"/>
      <c r="DID10" s="5"/>
      <c r="DIE10" s="5"/>
      <c r="DIF10" s="5"/>
      <c r="DIG10" s="5"/>
      <c r="DIH10" s="5"/>
      <c r="DII10" s="5"/>
      <c r="DIJ10" s="5"/>
      <c r="DIK10" s="5"/>
      <c r="DIL10" s="5"/>
      <c r="DIM10" s="5"/>
      <c r="DIN10" s="5"/>
      <c r="DIO10" s="5"/>
      <c r="DIP10" s="5"/>
      <c r="DIQ10" s="5"/>
      <c r="DIR10" s="5"/>
      <c r="DIS10" s="5"/>
      <c r="DIT10" s="5"/>
      <c r="DIU10" s="5"/>
      <c r="DIV10" s="5"/>
      <c r="DIW10" s="5"/>
      <c r="DIX10" s="5"/>
      <c r="DIY10" s="5"/>
      <c r="DIZ10" s="5"/>
      <c r="DJA10" s="5"/>
      <c r="DJB10" s="5"/>
      <c r="DJC10" s="5"/>
      <c r="DJD10" s="5"/>
      <c r="DJE10" s="5"/>
      <c r="DJF10" s="5"/>
      <c r="DJG10" s="5"/>
      <c r="DJH10" s="5"/>
      <c r="DJI10" s="5"/>
      <c r="DJJ10" s="5"/>
      <c r="DJK10" s="5"/>
      <c r="DJL10" s="5"/>
      <c r="DJM10" s="5"/>
      <c r="DJN10" s="5"/>
      <c r="DJO10" s="5"/>
      <c r="DJP10" s="5"/>
      <c r="DJQ10" s="5"/>
      <c r="DJR10" s="5"/>
      <c r="DJS10" s="5"/>
      <c r="DJT10" s="5"/>
      <c r="DJU10" s="5"/>
      <c r="DJV10" s="5"/>
      <c r="DJW10" s="5"/>
      <c r="DJX10" s="5"/>
      <c r="DJY10" s="5"/>
      <c r="DJZ10" s="5"/>
      <c r="DKA10" s="5"/>
      <c r="DKB10" s="5"/>
      <c r="DKC10" s="5"/>
      <c r="DKD10" s="5"/>
      <c r="DKE10" s="5"/>
      <c r="DKF10" s="5"/>
      <c r="DKG10" s="5"/>
      <c r="DKH10" s="5"/>
      <c r="DKI10" s="5"/>
      <c r="DKJ10" s="5"/>
      <c r="DKK10" s="5"/>
      <c r="DKL10" s="5"/>
      <c r="DKM10" s="5"/>
      <c r="DKN10" s="5"/>
      <c r="DKO10" s="5"/>
      <c r="DKP10" s="5"/>
      <c r="DKQ10" s="5"/>
      <c r="DKR10" s="5"/>
      <c r="DKS10" s="5"/>
      <c r="DKT10" s="5"/>
      <c r="DKU10" s="5"/>
      <c r="DKV10" s="5"/>
      <c r="DKW10" s="5"/>
      <c r="DKX10" s="5"/>
      <c r="DKY10" s="5"/>
      <c r="DKZ10" s="5"/>
      <c r="DLA10" s="5"/>
      <c r="DLB10" s="5"/>
      <c r="DLC10" s="5"/>
      <c r="DLD10" s="5"/>
      <c r="DLE10" s="5"/>
      <c r="DLF10" s="5"/>
      <c r="DLG10" s="5"/>
      <c r="DLH10" s="5"/>
      <c r="DLI10" s="5"/>
      <c r="DLJ10" s="5"/>
      <c r="DLK10" s="5"/>
      <c r="DLL10" s="5"/>
      <c r="DLM10" s="5"/>
      <c r="DLN10" s="5"/>
      <c r="DLO10" s="5"/>
      <c r="DLP10" s="5"/>
      <c r="DLQ10" s="5"/>
      <c r="DLR10" s="5"/>
      <c r="DLS10" s="5"/>
      <c r="DLT10" s="5"/>
      <c r="DLU10" s="5"/>
      <c r="DLV10" s="5"/>
      <c r="DLW10" s="5"/>
      <c r="DLX10" s="5"/>
      <c r="DLY10" s="5"/>
      <c r="DLZ10" s="5"/>
      <c r="DMA10" s="5"/>
      <c r="DMB10" s="5"/>
      <c r="DMC10" s="5"/>
      <c r="DMD10" s="5"/>
      <c r="DME10" s="5"/>
      <c r="DMF10" s="5"/>
      <c r="DMG10" s="5"/>
      <c r="DMH10" s="5"/>
      <c r="DMI10" s="5"/>
      <c r="DMJ10" s="5"/>
      <c r="DMK10" s="5"/>
      <c r="DML10" s="5"/>
      <c r="DMM10" s="5"/>
      <c r="DMN10" s="5"/>
      <c r="DMO10" s="5"/>
      <c r="DMP10" s="5"/>
      <c r="DMQ10" s="5"/>
      <c r="DMR10" s="5"/>
      <c r="DMS10" s="5"/>
      <c r="DMT10" s="5"/>
      <c r="DMU10" s="5"/>
      <c r="DMV10" s="5"/>
      <c r="DMW10" s="5"/>
      <c r="DMX10" s="5"/>
      <c r="DMY10" s="5"/>
      <c r="DMZ10" s="5"/>
      <c r="DNA10" s="5"/>
      <c r="DNB10" s="5"/>
      <c r="DNC10" s="5"/>
      <c r="DND10" s="5"/>
      <c r="DNE10" s="5"/>
      <c r="DNF10" s="5"/>
      <c r="DNG10" s="5"/>
      <c r="DNH10" s="5"/>
      <c r="DNI10" s="5"/>
      <c r="DNJ10" s="5"/>
      <c r="DNK10" s="5"/>
      <c r="DNL10" s="5"/>
      <c r="DNM10" s="5"/>
      <c r="DNN10" s="5"/>
      <c r="DNO10" s="5"/>
      <c r="DNP10" s="5"/>
      <c r="DNQ10" s="5"/>
      <c r="DNR10" s="5"/>
      <c r="DNS10" s="5"/>
      <c r="DNT10" s="5"/>
      <c r="DNU10" s="5"/>
      <c r="DNV10" s="5"/>
      <c r="DNW10" s="5"/>
      <c r="DNX10" s="5"/>
      <c r="DNY10" s="5"/>
      <c r="DNZ10" s="5"/>
      <c r="DOA10" s="5"/>
      <c r="DOB10" s="5"/>
      <c r="DOC10" s="5"/>
      <c r="DOD10" s="5"/>
      <c r="DOE10" s="5"/>
      <c r="DOF10" s="5"/>
      <c r="DOG10" s="5"/>
      <c r="DOH10" s="5"/>
      <c r="DOI10" s="5"/>
      <c r="DOJ10" s="5"/>
      <c r="DOK10" s="5"/>
      <c r="DOL10" s="5"/>
      <c r="DOM10" s="5"/>
      <c r="DON10" s="5"/>
      <c r="DOO10" s="5"/>
      <c r="DOP10" s="5"/>
      <c r="DOQ10" s="5"/>
      <c r="DOR10" s="5"/>
      <c r="DOS10" s="5"/>
      <c r="DOT10" s="5"/>
      <c r="DOU10" s="5"/>
      <c r="DOV10" s="5"/>
      <c r="DOW10" s="5"/>
      <c r="DOX10" s="5"/>
      <c r="DOY10" s="5"/>
      <c r="DOZ10" s="5"/>
      <c r="DPA10" s="5"/>
      <c r="DPB10" s="5"/>
      <c r="DPC10" s="5"/>
      <c r="DPD10" s="5"/>
      <c r="DPE10" s="5"/>
      <c r="DPF10" s="5"/>
      <c r="DPG10" s="5"/>
      <c r="DPH10" s="5"/>
      <c r="DPI10" s="5"/>
      <c r="DPJ10" s="5"/>
      <c r="DPK10" s="5"/>
      <c r="DPL10" s="5"/>
      <c r="DPM10" s="5"/>
      <c r="DPN10" s="5"/>
      <c r="DPO10" s="5"/>
      <c r="DPP10" s="5"/>
      <c r="DPQ10" s="5"/>
      <c r="DPR10" s="5"/>
      <c r="DPS10" s="5"/>
      <c r="DPT10" s="5"/>
      <c r="DPU10" s="5"/>
      <c r="DPV10" s="5"/>
      <c r="DPW10" s="5"/>
      <c r="DPX10" s="5"/>
      <c r="DPY10" s="5"/>
      <c r="DPZ10" s="5"/>
      <c r="DQA10" s="5"/>
      <c r="DQB10" s="5"/>
      <c r="DQC10" s="5"/>
      <c r="DQD10" s="5"/>
      <c r="DQE10" s="5"/>
      <c r="DQF10" s="5"/>
      <c r="DQG10" s="5"/>
      <c r="DQH10" s="5"/>
      <c r="DQI10" s="5"/>
      <c r="DQJ10" s="5"/>
      <c r="DQK10" s="5"/>
      <c r="DQL10" s="5"/>
      <c r="DQM10" s="5"/>
      <c r="DQN10" s="5"/>
      <c r="DQO10" s="5"/>
      <c r="DQP10" s="5"/>
      <c r="DQQ10" s="5"/>
      <c r="DQR10" s="5"/>
      <c r="DQS10" s="5"/>
      <c r="DQT10" s="5"/>
      <c r="DQU10" s="5"/>
      <c r="DQV10" s="5"/>
      <c r="DQW10" s="5"/>
      <c r="DQX10" s="5"/>
      <c r="DQY10" s="5"/>
      <c r="DQZ10" s="5"/>
      <c r="DRA10" s="5"/>
      <c r="DRB10" s="5"/>
      <c r="DRC10" s="5"/>
      <c r="DRD10" s="5"/>
      <c r="DRE10" s="5"/>
      <c r="DRF10" s="5"/>
      <c r="DRG10" s="5"/>
      <c r="DRH10" s="5"/>
      <c r="DRI10" s="5"/>
      <c r="DRJ10" s="5"/>
      <c r="DRK10" s="5"/>
      <c r="DRL10" s="5"/>
      <c r="DRM10" s="5"/>
      <c r="DRN10" s="5"/>
      <c r="DRO10" s="5"/>
      <c r="DRP10" s="5"/>
      <c r="DRQ10" s="5"/>
      <c r="DRR10" s="5"/>
      <c r="DRS10" s="5"/>
      <c r="DRT10" s="5"/>
      <c r="DRU10" s="5"/>
      <c r="DRV10" s="5"/>
      <c r="DRW10" s="5"/>
      <c r="DRX10" s="5"/>
      <c r="DRY10" s="5"/>
      <c r="DRZ10" s="5"/>
      <c r="DSA10" s="5"/>
      <c r="DSB10" s="5"/>
      <c r="DSC10" s="5"/>
      <c r="DSD10" s="5"/>
      <c r="DSE10" s="5"/>
      <c r="DSF10" s="5"/>
      <c r="DSG10" s="5"/>
      <c r="DSH10" s="5"/>
      <c r="DSI10" s="5"/>
      <c r="DSJ10" s="5"/>
      <c r="DSK10" s="5"/>
      <c r="DSL10" s="5"/>
      <c r="DSM10" s="5"/>
      <c r="DSN10" s="5"/>
      <c r="DSO10" s="5"/>
      <c r="DSP10" s="5"/>
      <c r="DSQ10" s="5"/>
      <c r="DSR10" s="5"/>
      <c r="DSS10" s="5"/>
      <c r="DST10" s="5"/>
      <c r="DSU10" s="5"/>
      <c r="DSV10" s="5"/>
      <c r="DSW10" s="5"/>
      <c r="DSX10" s="5"/>
      <c r="DSY10" s="5"/>
      <c r="DSZ10" s="5"/>
      <c r="DTA10" s="5"/>
      <c r="DTB10" s="5"/>
      <c r="DTC10" s="5"/>
      <c r="DTD10" s="5"/>
      <c r="DTE10" s="5"/>
      <c r="DTF10" s="5"/>
      <c r="DTG10" s="5"/>
      <c r="DTH10" s="5"/>
      <c r="DTI10" s="5"/>
      <c r="DTJ10" s="5"/>
      <c r="DTK10" s="5"/>
      <c r="DTL10" s="5"/>
      <c r="DTM10" s="5"/>
      <c r="DTN10" s="5"/>
      <c r="DTO10" s="5"/>
      <c r="DTP10" s="5"/>
      <c r="DTQ10" s="5"/>
      <c r="DTR10" s="5"/>
      <c r="DTS10" s="5"/>
      <c r="DTT10" s="5"/>
      <c r="DTU10" s="5"/>
      <c r="DTV10" s="5"/>
      <c r="DTW10" s="5"/>
      <c r="DTX10" s="5"/>
      <c r="DTY10" s="5"/>
      <c r="DTZ10" s="5"/>
      <c r="DUA10" s="5"/>
      <c r="DUB10" s="5"/>
      <c r="DUC10" s="5"/>
      <c r="DUD10" s="5"/>
      <c r="DUE10" s="5"/>
      <c r="DUF10" s="5"/>
      <c r="DUG10" s="5"/>
      <c r="DUH10" s="5"/>
      <c r="DUI10" s="5"/>
      <c r="DUJ10" s="5"/>
      <c r="DUK10" s="5"/>
      <c r="DUL10" s="5"/>
      <c r="DUM10" s="5"/>
      <c r="DUN10" s="5"/>
      <c r="DUO10" s="5"/>
      <c r="DUP10" s="5"/>
      <c r="DUQ10" s="5"/>
      <c r="DUR10" s="5"/>
      <c r="DUS10" s="5"/>
      <c r="DUT10" s="5"/>
      <c r="DUU10" s="5"/>
      <c r="DUV10" s="5"/>
      <c r="DUW10" s="5"/>
      <c r="DUX10" s="5"/>
      <c r="DUY10" s="5"/>
      <c r="DUZ10" s="5"/>
      <c r="DVA10" s="5"/>
      <c r="DVB10" s="5"/>
      <c r="DVC10" s="5"/>
      <c r="DVD10" s="5"/>
      <c r="DVE10" s="5"/>
      <c r="DVF10" s="5"/>
      <c r="DVG10" s="5"/>
      <c r="DVH10" s="5"/>
      <c r="DVI10" s="5"/>
      <c r="DVJ10" s="5"/>
      <c r="DVK10" s="5"/>
      <c r="DVL10" s="5"/>
      <c r="DVM10" s="5"/>
      <c r="DVN10" s="5"/>
      <c r="DVO10" s="5"/>
      <c r="DVP10" s="5"/>
      <c r="DVQ10" s="5"/>
      <c r="DVR10" s="5"/>
      <c r="DVS10" s="5"/>
      <c r="DVT10" s="5"/>
      <c r="DVU10" s="5"/>
      <c r="DVV10" s="5"/>
      <c r="DVW10" s="5"/>
      <c r="DVX10" s="5"/>
      <c r="DVY10" s="5"/>
      <c r="DVZ10" s="5"/>
      <c r="DWA10" s="5"/>
      <c r="DWB10" s="5"/>
      <c r="DWC10" s="5"/>
      <c r="DWD10" s="5"/>
      <c r="DWE10" s="5"/>
      <c r="DWF10" s="5"/>
      <c r="DWG10" s="5"/>
      <c r="DWH10" s="5"/>
      <c r="DWI10" s="5"/>
      <c r="DWJ10" s="5"/>
      <c r="DWK10" s="5"/>
      <c r="DWL10" s="5"/>
      <c r="DWM10" s="5"/>
      <c r="DWN10" s="5"/>
      <c r="DWO10" s="5"/>
      <c r="DWP10" s="5"/>
      <c r="DWQ10" s="5"/>
      <c r="DWR10" s="5"/>
      <c r="DWS10" s="5"/>
      <c r="DWT10" s="5"/>
      <c r="DWU10" s="5"/>
      <c r="DWV10" s="5"/>
      <c r="DWW10" s="5"/>
      <c r="DWX10" s="5"/>
      <c r="DWY10" s="5"/>
      <c r="DWZ10" s="5"/>
      <c r="DXA10" s="5"/>
      <c r="DXB10" s="5"/>
      <c r="DXC10" s="5"/>
      <c r="DXD10" s="5"/>
      <c r="DXE10" s="5"/>
      <c r="DXF10" s="5"/>
      <c r="DXG10" s="5"/>
      <c r="DXH10" s="5"/>
      <c r="DXI10" s="5"/>
      <c r="DXJ10" s="5"/>
      <c r="DXK10" s="5"/>
      <c r="DXL10" s="5"/>
      <c r="DXM10" s="5"/>
      <c r="DXN10" s="5"/>
      <c r="DXO10" s="5"/>
      <c r="DXP10" s="5"/>
      <c r="DXQ10" s="5"/>
      <c r="DXR10" s="5"/>
      <c r="DXS10" s="5"/>
      <c r="DXT10" s="5"/>
      <c r="DXU10" s="5"/>
      <c r="DXV10" s="5"/>
      <c r="DXW10" s="5"/>
      <c r="DXX10" s="5"/>
      <c r="DXY10" s="5"/>
      <c r="DXZ10" s="5"/>
      <c r="DYA10" s="5"/>
      <c r="DYB10" s="5"/>
      <c r="DYC10" s="5"/>
      <c r="DYD10" s="5"/>
      <c r="DYE10" s="5"/>
      <c r="DYF10" s="5"/>
      <c r="DYG10" s="5"/>
      <c r="DYH10" s="5"/>
      <c r="DYI10" s="5"/>
      <c r="DYJ10" s="5"/>
      <c r="DYK10" s="5"/>
      <c r="DYL10" s="5"/>
      <c r="DYM10" s="5"/>
      <c r="DYN10" s="5"/>
      <c r="DYO10" s="5"/>
      <c r="DYP10" s="5"/>
      <c r="DYQ10" s="5"/>
      <c r="DYR10" s="5"/>
      <c r="DYS10" s="5"/>
      <c r="DYT10" s="5"/>
      <c r="DYU10" s="5"/>
      <c r="DYV10" s="5"/>
      <c r="DYW10" s="5"/>
      <c r="DYX10" s="5"/>
      <c r="DYY10" s="5"/>
      <c r="DYZ10" s="5"/>
      <c r="DZA10" s="5"/>
      <c r="DZB10" s="5"/>
      <c r="DZC10" s="5"/>
      <c r="DZD10" s="5"/>
      <c r="DZE10" s="5"/>
      <c r="DZF10" s="5"/>
      <c r="DZG10" s="5"/>
      <c r="DZH10" s="5"/>
      <c r="DZI10" s="5"/>
      <c r="DZJ10" s="5"/>
      <c r="DZK10" s="5"/>
      <c r="DZL10" s="5"/>
      <c r="DZM10" s="5"/>
      <c r="DZN10" s="5"/>
      <c r="DZO10" s="5"/>
      <c r="DZP10" s="5"/>
      <c r="DZQ10" s="5"/>
      <c r="DZR10" s="5"/>
      <c r="DZS10" s="5"/>
      <c r="DZT10" s="5"/>
      <c r="DZU10" s="5"/>
      <c r="DZV10" s="5"/>
      <c r="DZW10" s="5"/>
      <c r="DZX10" s="5"/>
      <c r="DZY10" s="5"/>
      <c r="DZZ10" s="5"/>
      <c r="EAA10" s="5"/>
      <c r="EAB10" s="5"/>
      <c r="EAC10" s="5"/>
      <c r="EAD10" s="5"/>
      <c r="EAE10" s="5"/>
      <c r="EAF10" s="5"/>
      <c r="EAG10" s="5"/>
      <c r="EAH10" s="5"/>
      <c r="EAI10" s="5"/>
      <c r="EAJ10" s="5"/>
      <c r="EAK10" s="5"/>
      <c r="EAL10" s="5"/>
      <c r="EAM10" s="5"/>
      <c r="EAN10" s="5"/>
      <c r="EAO10" s="5"/>
      <c r="EAP10" s="5"/>
      <c r="EAQ10" s="5"/>
      <c r="EAR10" s="5"/>
      <c r="EAS10" s="5"/>
      <c r="EAT10" s="5"/>
      <c r="EAU10" s="5"/>
      <c r="EAV10" s="5"/>
      <c r="EAW10" s="5"/>
      <c r="EAX10" s="5"/>
      <c r="EAY10" s="5"/>
      <c r="EAZ10" s="5"/>
      <c r="EBA10" s="5"/>
      <c r="EBB10" s="5"/>
      <c r="EBC10" s="5"/>
      <c r="EBD10" s="5"/>
      <c r="EBE10" s="5"/>
      <c r="EBF10" s="5"/>
      <c r="EBG10" s="5"/>
      <c r="EBH10" s="5"/>
      <c r="EBI10" s="5"/>
      <c r="EBJ10" s="5"/>
      <c r="EBK10" s="5"/>
      <c r="EBL10" s="5"/>
      <c r="EBM10" s="5"/>
      <c r="EBN10" s="5"/>
      <c r="EBO10" s="5"/>
      <c r="EBP10" s="5"/>
      <c r="EBQ10" s="5"/>
      <c r="EBR10" s="5"/>
      <c r="EBS10" s="5"/>
      <c r="EBT10" s="5"/>
      <c r="EBU10" s="5"/>
      <c r="EBV10" s="5"/>
      <c r="EBW10" s="5"/>
      <c r="EBX10" s="5"/>
      <c r="EBY10" s="5"/>
      <c r="EBZ10" s="5"/>
      <c r="ECA10" s="5"/>
      <c r="ECB10" s="5"/>
      <c r="ECC10" s="5"/>
      <c r="ECD10" s="5"/>
      <c r="ECE10" s="5"/>
      <c r="ECF10" s="5"/>
      <c r="ECG10" s="5"/>
      <c r="ECH10" s="5"/>
      <c r="ECI10" s="5"/>
      <c r="ECJ10" s="5"/>
      <c r="ECK10" s="5"/>
      <c r="ECL10" s="5"/>
      <c r="ECM10" s="5"/>
      <c r="ECN10" s="5"/>
      <c r="ECO10" s="5"/>
      <c r="ECP10" s="5"/>
      <c r="ECQ10" s="5"/>
      <c r="ECR10" s="5"/>
      <c r="ECS10" s="5"/>
      <c r="ECT10" s="5"/>
      <c r="ECU10" s="5"/>
      <c r="ECV10" s="5"/>
      <c r="ECW10" s="5"/>
      <c r="ECX10" s="5"/>
      <c r="ECY10" s="5"/>
      <c r="ECZ10" s="5"/>
      <c r="EDA10" s="5"/>
      <c r="EDB10" s="5"/>
      <c r="EDC10" s="5"/>
      <c r="EDD10" s="5"/>
      <c r="EDE10" s="5"/>
      <c r="EDF10" s="5"/>
      <c r="EDG10" s="5"/>
      <c r="EDH10" s="5"/>
      <c r="EDI10" s="5"/>
      <c r="EDJ10" s="5"/>
      <c r="EDK10" s="5"/>
      <c r="EDL10" s="5"/>
      <c r="EDM10" s="5"/>
      <c r="EDN10" s="5"/>
      <c r="EDO10" s="5"/>
      <c r="EDP10" s="5"/>
      <c r="EDQ10" s="5"/>
      <c r="EDR10" s="5"/>
      <c r="EDS10" s="5"/>
      <c r="EDT10" s="5"/>
      <c r="EDU10" s="5"/>
      <c r="EDV10" s="5"/>
      <c r="EDW10" s="5"/>
      <c r="EDX10" s="5"/>
      <c r="EDY10" s="5"/>
      <c r="EDZ10" s="5"/>
      <c r="EEA10" s="5"/>
      <c r="EEB10" s="5"/>
      <c r="EEC10" s="5"/>
      <c r="EED10" s="5"/>
      <c r="EEE10" s="5"/>
      <c r="EEF10" s="5"/>
      <c r="EEG10" s="5"/>
      <c r="EEH10" s="5"/>
      <c r="EEI10" s="5"/>
      <c r="EEJ10" s="5"/>
      <c r="EEK10" s="5"/>
      <c r="EEL10" s="5"/>
      <c r="EEM10" s="5"/>
      <c r="EEN10" s="5"/>
      <c r="EEO10" s="5"/>
      <c r="EEP10" s="5"/>
      <c r="EEQ10" s="5"/>
      <c r="EER10" s="5"/>
      <c r="EES10" s="5"/>
      <c r="EET10" s="5"/>
      <c r="EEU10" s="5"/>
      <c r="EEV10" s="5"/>
      <c r="EEW10" s="5"/>
      <c r="EEX10" s="5"/>
      <c r="EEY10" s="5"/>
      <c r="EEZ10" s="5"/>
      <c r="EFA10" s="5"/>
      <c r="EFB10" s="5"/>
      <c r="EFC10" s="5"/>
      <c r="EFD10" s="5"/>
      <c r="EFE10" s="5"/>
      <c r="EFF10" s="5"/>
      <c r="EFG10" s="5"/>
      <c r="EFH10" s="5"/>
      <c r="EFI10" s="5"/>
      <c r="EFJ10" s="5"/>
      <c r="EFK10" s="5"/>
      <c r="EFL10" s="5"/>
      <c r="EFM10" s="5"/>
      <c r="EFN10" s="5"/>
      <c r="EFO10" s="5"/>
      <c r="EFP10" s="5"/>
      <c r="EFQ10" s="5"/>
      <c r="EFR10" s="5"/>
      <c r="EFS10" s="5"/>
      <c r="EFT10" s="5"/>
      <c r="EFU10" s="5"/>
      <c r="EFV10" s="5"/>
      <c r="EFW10" s="5"/>
      <c r="EFX10" s="5"/>
      <c r="EFY10" s="5"/>
      <c r="EFZ10" s="5"/>
      <c r="EGA10" s="5"/>
      <c r="EGB10" s="5"/>
      <c r="EGC10" s="5"/>
      <c r="EGD10" s="5"/>
      <c r="EGE10" s="5"/>
      <c r="EGF10" s="5"/>
      <c r="EGG10" s="5"/>
      <c r="EGH10" s="5"/>
      <c r="EGI10" s="5"/>
      <c r="EGJ10" s="5"/>
      <c r="EGK10" s="5"/>
      <c r="EGL10" s="5"/>
      <c r="EGM10" s="5"/>
      <c r="EGN10" s="5"/>
      <c r="EGO10" s="5"/>
      <c r="EGP10" s="5"/>
      <c r="EGQ10" s="5"/>
      <c r="EGR10" s="5"/>
      <c r="EGS10" s="5"/>
      <c r="EGT10" s="5"/>
      <c r="EGU10" s="5"/>
      <c r="EGV10" s="5"/>
      <c r="EGW10" s="5"/>
      <c r="EGX10" s="5"/>
      <c r="EGY10" s="5"/>
      <c r="EGZ10" s="5"/>
      <c r="EHA10" s="5"/>
      <c r="EHB10" s="5"/>
      <c r="EHC10" s="5"/>
      <c r="EHD10" s="5"/>
      <c r="EHE10" s="5"/>
      <c r="EHF10" s="5"/>
      <c r="EHG10" s="5"/>
      <c r="EHH10" s="5"/>
      <c r="EHI10" s="5"/>
      <c r="EHJ10" s="5"/>
      <c r="EHK10" s="5"/>
      <c r="EHL10" s="5"/>
      <c r="EHM10" s="5"/>
      <c r="EHN10" s="5"/>
      <c r="EHO10" s="5"/>
      <c r="EHP10" s="5"/>
      <c r="EHQ10" s="5"/>
      <c r="EHR10" s="5"/>
      <c r="EHS10" s="5"/>
      <c r="EHT10" s="5"/>
      <c r="EHU10" s="5"/>
      <c r="EHV10" s="5"/>
      <c r="EHW10" s="5"/>
      <c r="EHX10" s="5"/>
      <c r="EHY10" s="5"/>
      <c r="EHZ10" s="5"/>
      <c r="EIA10" s="5"/>
      <c r="EIB10" s="5"/>
      <c r="EIC10" s="5"/>
      <c r="EID10" s="5"/>
      <c r="EIE10" s="5"/>
      <c r="EIF10" s="5"/>
      <c r="EIG10" s="5"/>
      <c r="EIH10" s="5"/>
      <c r="EII10" s="5"/>
      <c r="EIJ10" s="5"/>
      <c r="EIK10" s="5"/>
      <c r="EIL10" s="5"/>
      <c r="EIM10" s="5"/>
      <c r="EIN10" s="5"/>
      <c r="EIO10" s="5"/>
      <c r="EIP10" s="5"/>
      <c r="EIQ10" s="5"/>
      <c r="EIR10" s="5"/>
      <c r="EIS10" s="5"/>
      <c r="EIT10" s="5"/>
      <c r="EIU10" s="5"/>
      <c r="EIV10" s="5"/>
      <c r="EIW10" s="5"/>
      <c r="EIX10" s="5"/>
      <c r="EIY10" s="5"/>
      <c r="EIZ10" s="5"/>
      <c r="EJA10" s="5"/>
      <c r="EJB10" s="5"/>
      <c r="EJC10" s="5"/>
      <c r="EJD10" s="5"/>
      <c r="EJE10" s="5"/>
      <c r="EJF10" s="5"/>
      <c r="EJG10" s="5"/>
      <c r="EJH10" s="5"/>
      <c r="EJI10" s="5"/>
      <c r="EJJ10" s="5"/>
      <c r="EJK10" s="5"/>
      <c r="EJL10" s="5"/>
      <c r="EJM10" s="5"/>
      <c r="EJN10" s="5"/>
      <c r="EJO10" s="5"/>
      <c r="EJP10" s="5"/>
      <c r="EJQ10" s="5"/>
      <c r="EJR10" s="5"/>
      <c r="EJS10" s="5"/>
      <c r="EJT10" s="5"/>
      <c r="EJU10" s="5"/>
      <c r="EJV10" s="5"/>
      <c r="EJW10" s="5"/>
      <c r="EJX10" s="5"/>
      <c r="EJY10" s="5"/>
      <c r="EJZ10" s="5"/>
      <c r="EKA10" s="5"/>
      <c r="EKB10" s="5"/>
      <c r="EKC10" s="5"/>
      <c r="EKD10" s="5"/>
      <c r="EKE10" s="5"/>
      <c r="EKF10" s="5"/>
      <c r="EKG10" s="5"/>
      <c r="EKH10" s="5"/>
      <c r="EKI10" s="5"/>
      <c r="EKJ10" s="5"/>
      <c r="EKK10" s="5"/>
      <c r="EKL10" s="5"/>
      <c r="EKM10" s="5"/>
      <c r="EKN10" s="5"/>
      <c r="EKO10" s="5"/>
      <c r="EKP10" s="5"/>
      <c r="EKQ10" s="5"/>
      <c r="EKR10" s="5"/>
      <c r="EKS10" s="5"/>
      <c r="EKT10" s="5"/>
      <c r="EKU10" s="5"/>
      <c r="EKV10" s="5"/>
      <c r="EKW10" s="5"/>
      <c r="EKX10" s="5"/>
      <c r="EKY10" s="5"/>
      <c r="EKZ10" s="5"/>
      <c r="ELA10" s="5"/>
      <c r="ELB10" s="5"/>
      <c r="ELC10" s="5"/>
      <c r="ELD10" s="5"/>
      <c r="ELE10" s="5"/>
      <c r="ELF10" s="5"/>
      <c r="ELG10" s="5"/>
      <c r="ELH10" s="5"/>
      <c r="ELI10" s="5"/>
      <c r="ELJ10" s="5"/>
      <c r="ELK10" s="5"/>
      <c r="ELL10" s="5"/>
      <c r="ELM10" s="5"/>
      <c r="ELN10" s="5"/>
      <c r="ELO10" s="5"/>
      <c r="ELP10" s="5"/>
      <c r="ELQ10" s="5"/>
      <c r="ELR10" s="5"/>
      <c r="ELS10" s="5"/>
      <c r="ELT10" s="5"/>
      <c r="ELU10" s="5"/>
      <c r="ELV10" s="5"/>
      <c r="ELW10" s="5"/>
      <c r="ELX10" s="5"/>
      <c r="ELY10" s="5"/>
      <c r="ELZ10" s="5"/>
      <c r="EMA10" s="5"/>
      <c r="EMB10" s="5"/>
      <c r="EMC10" s="5"/>
      <c r="EMD10" s="5"/>
      <c r="EME10" s="5"/>
      <c r="EMF10" s="5"/>
      <c r="EMG10" s="5"/>
      <c r="EMH10" s="5"/>
      <c r="EMI10" s="5"/>
      <c r="EMJ10" s="5"/>
      <c r="EMK10" s="5"/>
      <c r="EML10" s="5"/>
      <c r="EMM10" s="5"/>
      <c r="EMN10" s="5"/>
      <c r="EMO10" s="5"/>
      <c r="EMP10" s="5"/>
      <c r="EMQ10" s="5"/>
      <c r="EMR10" s="5"/>
      <c r="EMS10" s="5"/>
      <c r="EMT10" s="5"/>
      <c r="EMU10" s="5"/>
      <c r="EMV10" s="5"/>
      <c r="EMW10" s="5"/>
      <c r="EMX10" s="5"/>
      <c r="EMY10" s="5"/>
      <c r="EMZ10" s="5"/>
      <c r="ENA10" s="5"/>
      <c r="ENB10" s="5"/>
      <c r="ENC10" s="5"/>
      <c r="END10" s="5"/>
      <c r="ENE10" s="5"/>
      <c r="ENF10" s="5"/>
      <c r="ENG10" s="5"/>
      <c r="ENH10" s="5"/>
      <c r="ENI10" s="5"/>
      <c r="ENJ10" s="5"/>
      <c r="ENK10" s="5"/>
      <c r="ENL10" s="5"/>
      <c r="ENM10" s="5"/>
      <c r="ENN10" s="5"/>
      <c r="ENO10" s="5"/>
      <c r="ENP10" s="5"/>
      <c r="ENQ10" s="5"/>
      <c r="ENR10" s="5"/>
      <c r="ENS10" s="5"/>
      <c r="ENT10" s="5"/>
      <c r="ENU10" s="5"/>
      <c r="ENV10" s="5"/>
      <c r="ENW10" s="5"/>
      <c r="ENX10" s="5"/>
      <c r="ENY10" s="5"/>
      <c r="ENZ10" s="5"/>
      <c r="EOA10" s="5"/>
      <c r="EOB10" s="5"/>
      <c r="EOC10" s="5"/>
      <c r="EOD10" s="5"/>
      <c r="EOE10" s="5"/>
      <c r="EOF10" s="5"/>
      <c r="EOG10" s="5"/>
      <c r="EOH10" s="5"/>
      <c r="EOI10" s="5"/>
      <c r="EOJ10" s="5"/>
      <c r="EOK10" s="5"/>
      <c r="EOL10" s="5"/>
      <c r="EOM10" s="5"/>
      <c r="EON10" s="5"/>
      <c r="EOO10" s="5"/>
      <c r="EOP10" s="5"/>
      <c r="EOQ10" s="5"/>
      <c r="EOR10" s="5"/>
      <c r="EOS10" s="5"/>
      <c r="EOT10" s="5"/>
      <c r="EOU10" s="5"/>
      <c r="EOV10" s="5"/>
      <c r="EOW10" s="5"/>
      <c r="EOX10" s="5"/>
      <c r="EOY10" s="5"/>
      <c r="EOZ10" s="5"/>
      <c r="EPA10" s="5"/>
      <c r="EPB10" s="5"/>
      <c r="EPC10" s="5"/>
      <c r="EPD10" s="5"/>
      <c r="EPE10" s="5"/>
      <c r="EPF10" s="5"/>
      <c r="EPG10" s="5"/>
      <c r="EPH10" s="5"/>
      <c r="EPI10" s="5"/>
      <c r="EPJ10" s="5"/>
      <c r="EPK10" s="5"/>
      <c r="EPL10" s="5"/>
      <c r="EPM10" s="5"/>
      <c r="EPN10" s="5"/>
      <c r="EPO10" s="5"/>
      <c r="EPP10" s="5"/>
      <c r="EPQ10" s="5"/>
      <c r="EPR10" s="5"/>
      <c r="EPS10" s="5"/>
      <c r="EPT10" s="5"/>
      <c r="EPU10" s="5"/>
      <c r="EPV10" s="5"/>
      <c r="EPW10" s="5"/>
      <c r="EPX10" s="5"/>
      <c r="EPY10" s="5"/>
      <c r="EPZ10" s="5"/>
      <c r="EQA10" s="5"/>
      <c r="EQB10" s="5"/>
      <c r="EQC10" s="5"/>
      <c r="EQD10" s="5"/>
      <c r="EQE10" s="5"/>
      <c r="EQF10" s="5"/>
      <c r="EQG10" s="5"/>
      <c r="EQH10" s="5"/>
      <c r="EQI10" s="5"/>
      <c r="EQJ10" s="5"/>
      <c r="EQK10" s="5"/>
      <c r="EQL10" s="5"/>
      <c r="EQM10" s="5"/>
      <c r="EQN10" s="5"/>
      <c r="EQO10" s="5"/>
      <c r="EQP10" s="5"/>
      <c r="EQQ10" s="5"/>
      <c r="EQR10" s="5"/>
      <c r="EQS10" s="5"/>
      <c r="EQT10" s="5"/>
      <c r="EQU10" s="5"/>
      <c r="EQV10" s="5"/>
      <c r="EQW10" s="5"/>
      <c r="EQX10" s="5"/>
      <c r="EQY10" s="5"/>
      <c r="EQZ10" s="5"/>
      <c r="ERA10" s="5"/>
      <c r="ERB10" s="5"/>
      <c r="ERC10" s="5"/>
      <c r="ERD10" s="5"/>
      <c r="ERE10" s="5"/>
      <c r="ERF10" s="5"/>
      <c r="ERG10" s="5"/>
      <c r="ERH10" s="5"/>
      <c r="ERI10" s="5"/>
      <c r="ERJ10" s="5"/>
      <c r="ERK10" s="5"/>
      <c r="ERL10" s="5"/>
      <c r="ERM10" s="5"/>
      <c r="ERN10" s="5"/>
      <c r="ERO10" s="5"/>
      <c r="ERP10" s="5"/>
      <c r="ERQ10" s="5"/>
      <c r="ERR10" s="5"/>
      <c r="ERS10" s="5"/>
      <c r="ERT10" s="5"/>
      <c r="ERU10" s="5"/>
      <c r="ERV10" s="5"/>
      <c r="ERW10" s="5"/>
      <c r="ERX10" s="5"/>
      <c r="ERY10" s="5"/>
      <c r="ERZ10" s="5"/>
      <c r="ESA10" s="5"/>
      <c r="ESB10" s="5"/>
      <c r="ESC10" s="5"/>
      <c r="ESD10" s="5"/>
      <c r="ESE10" s="5"/>
      <c r="ESF10" s="5"/>
      <c r="ESG10" s="5"/>
      <c r="ESH10" s="5"/>
      <c r="ESI10" s="5"/>
      <c r="ESJ10" s="5"/>
      <c r="ESK10" s="5"/>
      <c r="ESL10" s="5"/>
      <c r="ESM10" s="5"/>
      <c r="ESN10" s="5"/>
      <c r="ESO10" s="5"/>
      <c r="ESP10" s="5"/>
      <c r="ESQ10" s="5"/>
      <c r="ESR10" s="5"/>
      <c r="ESS10" s="5"/>
      <c r="EST10" s="5"/>
      <c r="ESU10" s="5"/>
      <c r="ESV10" s="5"/>
      <c r="ESW10" s="5"/>
      <c r="ESX10" s="5"/>
      <c r="ESY10" s="5"/>
      <c r="ESZ10" s="5"/>
      <c r="ETA10" s="5"/>
      <c r="ETB10" s="5"/>
      <c r="ETC10" s="5"/>
      <c r="ETD10" s="5"/>
      <c r="ETE10" s="5"/>
      <c r="ETF10" s="5"/>
      <c r="ETG10" s="5"/>
      <c r="ETH10" s="5"/>
      <c r="ETI10" s="5"/>
      <c r="ETJ10" s="5"/>
      <c r="ETK10" s="5"/>
      <c r="ETL10" s="5"/>
      <c r="ETM10" s="5"/>
      <c r="ETN10" s="5"/>
      <c r="ETO10" s="5"/>
      <c r="ETP10" s="5"/>
      <c r="ETQ10" s="5"/>
      <c r="ETR10" s="5"/>
      <c r="ETS10" s="5"/>
      <c r="ETT10" s="5"/>
      <c r="ETU10" s="5"/>
      <c r="ETV10" s="5"/>
      <c r="ETW10" s="5"/>
      <c r="ETX10" s="5"/>
      <c r="ETY10" s="5"/>
      <c r="ETZ10" s="5"/>
      <c r="EUA10" s="5"/>
      <c r="EUB10" s="5"/>
      <c r="EUC10" s="5"/>
      <c r="EUD10" s="5"/>
      <c r="EUE10" s="5"/>
      <c r="EUF10" s="5"/>
      <c r="EUG10" s="5"/>
      <c r="EUH10" s="5"/>
      <c r="EUI10" s="5"/>
      <c r="EUJ10" s="5"/>
      <c r="EUK10" s="5"/>
      <c r="EUL10" s="5"/>
      <c r="EUM10" s="5"/>
      <c r="EUN10" s="5"/>
      <c r="EUO10" s="5"/>
      <c r="EUP10" s="5"/>
      <c r="EUQ10" s="5"/>
      <c r="EUR10" s="5"/>
      <c r="EUS10" s="5"/>
      <c r="EUT10" s="5"/>
      <c r="EUU10" s="5"/>
      <c r="EUV10" s="5"/>
      <c r="EUW10" s="5"/>
      <c r="EUX10" s="5"/>
      <c r="EUY10" s="5"/>
      <c r="EUZ10" s="5"/>
      <c r="EVA10" s="5"/>
      <c r="EVB10" s="5"/>
      <c r="EVC10" s="5"/>
      <c r="EVD10" s="5"/>
      <c r="EVE10" s="5"/>
      <c r="EVF10" s="5"/>
      <c r="EVG10" s="5"/>
      <c r="EVH10" s="5"/>
      <c r="EVI10" s="5"/>
      <c r="EVJ10" s="5"/>
      <c r="EVK10" s="5"/>
      <c r="EVL10" s="5"/>
      <c r="EVM10" s="5"/>
      <c r="EVN10" s="5"/>
      <c r="EVO10" s="5"/>
      <c r="EVP10" s="5"/>
      <c r="EVQ10" s="5"/>
      <c r="EVR10" s="5"/>
      <c r="EVS10" s="5"/>
      <c r="EVT10" s="5"/>
      <c r="EVU10" s="5"/>
      <c r="EVV10" s="5"/>
      <c r="EVW10" s="5"/>
      <c r="EVX10" s="5"/>
      <c r="EVY10" s="5"/>
      <c r="EVZ10" s="5"/>
      <c r="EWA10" s="5"/>
      <c r="EWB10" s="5"/>
      <c r="EWC10" s="5"/>
      <c r="EWD10" s="5"/>
      <c r="EWE10" s="5"/>
      <c r="EWF10" s="5"/>
      <c r="EWG10" s="5"/>
      <c r="EWH10" s="5"/>
      <c r="EWI10" s="5"/>
      <c r="EWJ10" s="5"/>
      <c r="EWK10" s="5"/>
      <c r="EWL10" s="5"/>
      <c r="EWM10" s="5"/>
      <c r="EWN10" s="5"/>
      <c r="EWO10" s="5"/>
      <c r="EWP10" s="5"/>
      <c r="EWQ10" s="5"/>
      <c r="EWR10" s="5"/>
      <c r="EWS10" s="5"/>
      <c r="EWT10" s="5"/>
      <c r="EWU10" s="5"/>
      <c r="EWV10" s="5"/>
      <c r="EWW10" s="5"/>
      <c r="EWX10" s="5"/>
      <c r="EWY10" s="5"/>
      <c r="EWZ10" s="5"/>
      <c r="EXA10" s="5"/>
      <c r="EXB10" s="5"/>
      <c r="EXC10" s="5"/>
      <c r="EXD10" s="5"/>
      <c r="EXE10" s="5"/>
      <c r="EXF10" s="5"/>
      <c r="EXG10" s="5"/>
      <c r="EXH10" s="5"/>
      <c r="EXI10" s="5"/>
      <c r="EXJ10" s="5"/>
      <c r="EXK10" s="5"/>
      <c r="EXL10" s="5"/>
      <c r="EXM10" s="5"/>
      <c r="EXN10" s="5"/>
      <c r="EXO10" s="5"/>
      <c r="EXP10" s="5"/>
      <c r="EXQ10" s="5"/>
      <c r="EXR10" s="5"/>
      <c r="EXS10" s="5"/>
      <c r="EXT10" s="5"/>
      <c r="EXU10" s="5"/>
      <c r="EXV10" s="5"/>
      <c r="EXW10" s="5"/>
      <c r="EXX10" s="5"/>
      <c r="EXY10" s="5"/>
      <c r="EXZ10" s="5"/>
      <c r="EYA10" s="5"/>
      <c r="EYB10" s="5"/>
      <c r="EYC10" s="5"/>
      <c r="EYD10" s="5"/>
      <c r="EYE10" s="5"/>
      <c r="EYF10" s="5"/>
      <c r="EYG10" s="5"/>
      <c r="EYH10" s="5"/>
      <c r="EYI10" s="5"/>
      <c r="EYJ10" s="5"/>
      <c r="EYK10" s="5"/>
      <c r="EYL10" s="5"/>
      <c r="EYM10" s="5"/>
      <c r="EYN10" s="5"/>
      <c r="EYO10" s="5"/>
      <c r="EYP10" s="5"/>
      <c r="EYQ10" s="5"/>
      <c r="EYR10" s="5"/>
      <c r="EYS10" s="5"/>
      <c r="EYT10" s="5"/>
      <c r="EYU10" s="5"/>
      <c r="EYV10" s="5"/>
      <c r="EYW10" s="5"/>
      <c r="EYX10" s="5"/>
      <c r="EYY10" s="5"/>
      <c r="EYZ10" s="5"/>
      <c r="EZA10" s="5"/>
      <c r="EZB10" s="5"/>
      <c r="EZC10" s="5"/>
      <c r="EZD10" s="5"/>
      <c r="EZE10" s="5"/>
      <c r="EZF10" s="5"/>
      <c r="EZG10" s="5"/>
      <c r="EZH10" s="5"/>
      <c r="EZI10" s="5"/>
      <c r="EZJ10" s="5"/>
      <c r="EZK10" s="5"/>
      <c r="EZL10" s="5"/>
      <c r="EZM10" s="5"/>
      <c r="EZN10" s="5"/>
      <c r="EZO10" s="5"/>
      <c r="EZP10" s="5"/>
      <c r="EZQ10" s="5"/>
      <c r="EZR10" s="5"/>
      <c r="EZS10" s="5"/>
      <c r="EZT10" s="5"/>
      <c r="EZU10" s="5"/>
      <c r="EZV10" s="5"/>
      <c r="EZW10" s="5"/>
      <c r="EZX10" s="5"/>
      <c r="EZY10" s="5"/>
      <c r="EZZ10" s="5"/>
      <c r="FAA10" s="5"/>
      <c r="FAB10" s="5"/>
      <c r="FAC10" s="5"/>
      <c r="FAD10" s="5"/>
      <c r="FAE10" s="5"/>
      <c r="FAF10" s="5"/>
      <c r="FAG10" s="5"/>
      <c r="FAH10" s="5"/>
      <c r="FAI10" s="5"/>
      <c r="FAJ10" s="5"/>
      <c r="FAK10" s="5"/>
      <c r="FAL10" s="5"/>
      <c r="FAM10" s="5"/>
      <c r="FAN10" s="5"/>
      <c r="FAO10" s="5"/>
      <c r="FAP10" s="5"/>
      <c r="FAQ10" s="5"/>
      <c r="FAR10" s="5"/>
      <c r="FAS10" s="5"/>
      <c r="FAT10" s="5"/>
      <c r="FAU10" s="5"/>
      <c r="FAV10" s="5"/>
      <c r="FAW10" s="5"/>
      <c r="FAX10" s="5"/>
      <c r="FAY10" s="5"/>
      <c r="FAZ10" s="5"/>
      <c r="FBA10" s="5"/>
      <c r="FBB10" s="5"/>
      <c r="FBC10" s="5"/>
      <c r="FBD10" s="5"/>
      <c r="FBE10" s="5"/>
      <c r="FBF10" s="5"/>
      <c r="FBG10" s="5"/>
      <c r="FBH10" s="5"/>
      <c r="FBI10" s="5"/>
      <c r="FBJ10" s="5"/>
      <c r="FBK10" s="5"/>
      <c r="FBL10" s="5"/>
      <c r="FBM10" s="5"/>
      <c r="FBN10" s="5"/>
      <c r="FBO10" s="5"/>
      <c r="FBP10" s="5"/>
      <c r="FBQ10" s="5"/>
      <c r="FBR10" s="5"/>
      <c r="FBS10" s="5"/>
      <c r="FBT10" s="5"/>
      <c r="FBU10" s="5"/>
      <c r="FBV10" s="5"/>
      <c r="FBW10" s="5"/>
      <c r="FBX10" s="5"/>
      <c r="FBY10" s="5"/>
      <c r="FBZ10" s="5"/>
      <c r="FCA10" s="5"/>
      <c r="FCB10" s="5"/>
      <c r="FCC10" s="5"/>
      <c r="FCD10" s="5"/>
      <c r="FCE10" s="5"/>
      <c r="FCF10" s="5"/>
      <c r="FCG10" s="5"/>
      <c r="FCH10" s="5"/>
      <c r="FCI10" s="5"/>
      <c r="FCJ10" s="5"/>
      <c r="FCK10" s="5"/>
      <c r="FCL10" s="5"/>
      <c r="FCM10" s="5"/>
      <c r="FCN10" s="5"/>
      <c r="FCO10" s="5"/>
      <c r="FCP10" s="5"/>
      <c r="FCQ10" s="5"/>
      <c r="FCR10" s="5"/>
      <c r="FCS10" s="5"/>
      <c r="FCT10" s="5"/>
      <c r="FCU10" s="5"/>
      <c r="FCV10" s="5"/>
      <c r="FCW10" s="5"/>
      <c r="FCX10" s="5"/>
      <c r="FCY10" s="5"/>
      <c r="FCZ10" s="5"/>
      <c r="FDA10" s="5"/>
      <c r="FDB10" s="5"/>
      <c r="FDC10" s="5"/>
      <c r="FDD10" s="5"/>
      <c r="FDE10" s="5"/>
      <c r="FDF10" s="5"/>
      <c r="FDG10" s="5"/>
      <c r="FDH10" s="5"/>
      <c r="FDI10" s="5"/>
      <c r="FDJ10" s="5"/>
      <c r="FDK10" s="5"/>
      <c r="FDL10" s="5"/>
      <c r="FDM10" s="5"/>
      <c r="FDN10" s="5"/>
      <c r="FDO10" s="5"/>
      <c r="FDP10" s="5"/>
      <c r="FDQ10" s="5"/>
      <c r="FDR10" s="5"/>
      <c r="FDS10" s="5"/>
      <c r="FDT10" s="5"/>
      <c r="FDU10" s="5"/>
      <c r="FDV10" s="5"/>
      <c r="FDW10" s="5"/>
      <c r="FDX10" s="5"/>
      <c r="FDY10" s="5"/>
      <c r="FDZ10" s="5"/>
      <c r="FEA10" s="5"/>
      <c r="FEB10" s="5"/>
      <c r="FEC10" s="5"/>
      <c r="FED10" s="5"/>
      <c r="FEE10" s="5"/>
      <c r="FEF10" s="5"/>
      <c r="FEG10" s="5"/>
      <c r="FEH10" s="5"/>
      <c r="FEI10" s="5"/>
      <c r="FEJ10" s="5"/>
      <c r="FEK10" s="5"/>
      <c r="FEL10" s="5"/>
      <c r="FEM10" s="5"/>
      <c r="FEN10" s="5"/>
      <c r="FEO10" s="5"/>
      <c r="FEP10" s="5"/>
      <c r="FEQ10" s="5"/>
      <c r="FER10" s="5"/>
      <c r="FES10" s="5"/>
      <c r="FET10" s="5"/>
      <c r="FEU10" s="5"/>
      <c r="FEV10" s="5"/>
      <c r="FEW10" s="5"/>
      <c r="FEX10" s="5"/>
      <c r="FEY10" s="5"/>
      <c r="FEZ10" s="5"/>
      <c r="FFA10" s="5"/>
      <c r="FFB10" s="5"/>
      <c r="FFC10" s="5"/>
      <c r="FFD10" s="5"/>
      <c r="FFE10" s="5"/>
      <c r="FFF10" s="5"/>
      <c r="FFG10" s="5"/>
      <c r="FFH10" s="5"/>
      <c r="FFI10" s="5"/>
      <c r="FFJ10" s="5"/>
      <c r="FFK10" s="5"/>
      <c r="FFL10" s="5"/>
      <c r="FFM10" s="5"/>
      <c r="FFN10" s="5"/>
      <c r="FFO10" s="5"/>
      <c r="FFP10" s="5"/>
      <c r="FFQ10" s="5"/>
      <c r="FFR10" s="5"/>
      <c r="FFS10" s="5"/>
      <c r="FFT10" s="5"/>
      <c r="FFU10" s="5"/>
      <c r="FFV10" s="5"/>
      <c r="FFW10" s="5"/>
      <c r="FFX10" s="5"/>
      <c r="FFY10" s="5"/>
      <c r="FFZ10" s="5"/>
      <c r="FGA10" s="5"/>
      <c r="FGB10" s="5"/>
      <c r="FGC10" s="5"/>
      <c r="FGD10" s="5"/>
      <c r="FGE10" s="5"/>
      <c r="FGF10" s="5"/>
      <c r="FGG10" s="5"/>
      <c r="FGH10" s="5"/>
      <c r="FGI10" s="5"/>
      <c r="FGJ10" s="5"/>
      <c r="FGK10" s="5"/>
      <c r="FGL10" s="5"/>
      <c r="FGM10" s="5"/>
      <c r="FGN10" s="5"/>
      <c r="FGO10" s="5"/>
      <c r="FGP10" s="5"/>
      <c r="FGQ10" s="5"/>
      <c r="FGR10" s="5"/>
      <c r="FGS10" s="5"/>
      <c r="FGT10" s="5"/>
      <c r="FGU10" s="5"/>
      <c r="FGV10" s="5"/>
      <c r="FGW10" s="5"/>
      <c r="FGX10" s="5"/>
      <c r="FGY10" s="5"/>
      <c r="FGZ10" s="5"/>
      <c r="FHA10" s="5"/>
      <c r="FHB10" s="5"/>
      <c r="FHC10" s="5"/>
      <c r="FHD10" s="5"/>
      <c r="FHE10" s="5"/>
      <c r="FHF10" s="5"/>
      <c r="FHG10" s="5"/>
      <c r="FHH10" s="5"/>
      <c r="FHI10" s="5"/>
      <c r="FHJ10" s="5"/>
      <c r="FHK10" s="5"/>
      <c r="FHL10" s="5"/>
      <c r="FHM10" s="5"/>
      <c r="FHN10" s="5"/>
      <c r="FHO10" s="5"/>
      <c r="FHP10" s="5"/>
      <c r="FHQ10" s="5"/>
      <c r="FHR10" s="5"/>
      <c r="FHS10" s="5"/>
      <c r="FHT10" s="5"/>
      <c r="FHU10" s="5"/>
      <c r="FHV10" s="5"/>
      <c r="FHW10" s="5"/>
      <c r="FHX10" s="5"/>
      <c r="FHY10" s="5"/>
      <c r="FHZ10" s="5"/>
      <c r="FIA10" s="5"/>
      <c r="FIB10" s="5"/>
      <c r="FIC10" s="5"/>
      <c r="FID10" s="5"/>
      <c r="FIE10" s="5"/>
      <c r="FIF10" s="5"/>
      <c r="FIG10" s="5"/>
      <c r="FIH10" s="5"/>
      <c r="FII10" s="5"/>
      <c r="FIJ10" s="5"/>
      <c r="FIK10" s="5"/>
      <c r="FIL10" s="5"/>
      <c r="FIM10" s="5"/>
      <c r="FIN10" s="5"/>
      <c r="FIO10" s="5"/>
      <c r="FIP10" s="5"/>
      <c r="FIQ10" s="5"/>
      <c r="FIR10" s="5"/>
      <c r="FIS10" s="5"/>
      <c r="FIT10" s="5"/>
      <c r="FIU10" s="5"/>
      <c r="FIV10" s="5"/>
      <c r="FIW10" s="5"/>
      <c r="FIX10" s="5"/>
      <c r="FIY10" s="5"/>
      <c r="FIZ10" s="5"/>
      <c r="FJA10" s="5"/>
      <c r="FJB10" s="5"/>
      <c r="FJC10" s="5"/>
      <c r="FJD10" s="5"/>
      <c r="FJE10" s="5"/>
      <c r="FJF10" s="5"/>
      <c r="FJG10" s="5"/>
      <c r="FJH10" s="5"/>
      <c r="FJI10" s="5"/>
      <c r="FJJ10" s="5"/>
      <c r="FJK10" s="5"/>
      <c r="FJL10" s="5"/>
      <c r="FJM10" s="5"/>
      <c r="FJN10" s="5"/>
      <c r="FJO10" s="5"/>
      <c r="FJP10" s="5"/>
      <c r="FJQ10" s="5"/>
      <c r="FJR10" s="5"/>
      <c r="FJS10" s="5"/>
      <c r="FJT10" s="5"/>
      <c r="FJU10" s="5"/>
      <c r="FJV10" s="5"/>
      <c r="FJW10" s="5"/>
      <c r="FJX10" s="5"/>
      <c r="FJY10" s="5"/>
      <c r="FJZ10" s="5"/>
      <c r="FKA10" s="5"/>
      <c r="FKB10" s="5"/>
      <c r="FKC10" s="5"/>
      <c r="FKD10" s="5"/>
      <c r="FKE10" s="5"/>
      <c r="FKF10" s="5"/>
      <c r="FKG10" s="5"/>
      <c r="FKH10" s="5"/>
      <c r="FKI10" s="5"/>
      <c r="FKJ10" s="5"/>
      <c r="FKK10" s="5"/>
      <c r="FKL10" s="5"/>
      <c r="FKM10" s="5"/>
      <c r="FKN10" s="5"/>
      <c r="FKO10" s="5"/>
      <c r="FKP10" s="5"/>
      <c r="FKQ10" s="5"/>
      <c r="FKR10" s="5"/>
      <c r="FKS10" s="5"/>
      <c r="FKT10" s="5"/>
      <c r="FKU10" s="5"/>
      <c r="FKV10" s="5"/>
      <c r="FKW10" s="5"/>
      <c r="FKX10" s="5"/>
      <c r="FKY10" s="5"/>
      <c r="FKZ10" s="5"/>
      <c r="FLA10" s="5"/>
      <c r="FLB10" s="5"/>
      <c r="FLC10" s="5"/>
      <c r="FLD10" s="5"/>
      <c r="FLE10" s="5"/>
      <c r="FLF10" s="5"/>
      <c r="FLG10" s="5"/>
      <c r="FLH10" s="5"/>
      <c r="FLI10" s="5"/>
      <c r="FLJ10" s="5"/>
      <c r="FLK10" s="5"/>
      <c r="FLL10" s="5"/>
      <c r="FLM10" s="5"/>
      <c r="FLN10" s="5"/>
      <c r="FLO10" s="5"/>
      <c r="FLP10" s="5"/>
      <c r="FLQ10" s="5"/>
      <c r="FLR10" s="5"/>
      <c r="FLS10" s="5"/>
      <c r="FLT10" s="5"/>
      <c r="FLU10" s="5"/>
      <c r="FLV10" s="5"/>
      <c r="FLW10" s="5"/>
      <c r="FLX10" s="5"/>
      <c r="FLY10" s="5"/>
      <c r="FLZ10" s="5"/>
      <c r="FMA10" s="5"/>
      <c r="FMB10" s="5"/>
      <c r="FMC10" s="5"/>
      <c r="FMD10" s="5"/>
      <c r="FME10" s="5"/>
      <c r="FMF10" s="5"/>
      <c r="FMG10" s="5"/>
      <c r="FMH10" s="5"/>
      <c r="FMI10" s="5"/>
      <c r="FMJ10" s="5"/>
      <c r="FMK10" s="5"/>
      <c r="FML10" s="5"/>
      <c r="FMM10" s="5"/>
      <c r="FMN10" s="5"/>
      <c r="FMO10" s="5"/>
      <c r="FMP10" s="5"/>
      <c r="FMQ10" s="5"/>
      <c r="FMR10" s="5"/>
      <c r="FMS10" s="5"/>
      <c r="FMT10" s="5"/>
      <c r="FMU10" s="5"/>
      <c r="FMV10" s="5"/>
      <c r="FMW10" s="5"/>
      <c r="FMX10" s="5"/>
      <c r="FMY10" s="5"/>
      <c r="FMZ10" s="5"/>
      <c r="FNA10" s="5"/>
      <c r="FNB10" s="5"/>
      <c r="FNC10" s="5"/>
      <c r="FND10" s="5"/>
      <c r="FNE10" s="5"/>
      <c r="FNF10" s="5"/>
      <c r="FNG10" s="5"/>
      <c r="FNH10" s="5"/>
      <c r="FNI10" s="5"/>
      <c r="FNJ10" s="5"/>
      <c r="FNK10" s="5"/>
      <c r="FNL10" s="5"/>
      <c r="FNM10" s="5"/>
      <c r="FNN10" s="5"/>
      <c r="FNO10" s="5"/>
      <c r="FNP10" s="5"/>
      <c r="FNQ10" s="5"/>
      <c r="FNR10" s="5"/>
      <c r="FNS10" s="5"/>
      <c r="FNT10" s="5"/>
      <c r="FNU10" s="5"/>
      <c r="FNV10" s="5"/>
      <c r="FNW10" s="5"/>
      <c r="FNX10" s="5"/>
      <c r="FNY10" s="5"/>
      <c r="FNZ10" s="5"/>
      <c r="FOA10" s="5"/>
      <c r="FOB10" s="5"/>
      <c r="FOC10" s="5"/>
      <c r="FOD10" s="5"/>
      <c r="FOE10" s="5"/>
      <c r="FOF10" s="5"/>
      <c r="FOG10" s="5"/>
      <c r="FOH10" s="5"/>
      <c r="FOI10" s="5"/>
      <c r="FOJ10" s="5"/>
      <c r="FOK10" s="5"/>
      <c r="FOL10" s="5"/>
      <c r="FOM10" s="5"/>
      <c r="FON10" s="5"/>
      <c r="FOO10" s="5"/>
      <c r="FOP10" s="5"/>
      <c r="FOQ10" s="5"/>
      <c r="FOR10" s="5"/>
      <c r="FOS10" s="5"/>
      <c r="FOT10" s="5"/>
      <c r="FOU10" s="5"/>
      <c r="FOV10" s="5"/>
      <c r="FOW10" s="5"/>
      <c r="FOX10" s="5"/>
      <c r="FOY10" s="5"/>
      <c r="FOZ10" s="5"/>
      <c r="FPA10" s="5"/>
      <c r="FPB10" s="5"/>
      <c r="FPC10" s="5"/>
      <c r="FPD10" s="5"/>
      <c r="FPE10" s="5"/>
      <c r="FPF10" s="5"/>
      <c r="FPG10" s="5"/>
      <c r="FPH10" s="5"/>
      <c r="FPI10" s="5"/>
      <c r="FPJ10" s="5"/>
      <c r="FPK10" s="5"/>
      <c r="FPL10" s="5"/>
      <c r="FPM10" s="5"/>
      <c r="FPN10" s="5"/>
      <c r="FPO10" s="5"/>
      <c r="FPP10" s="5"/>
      <c r="FPQ10" s="5"/>
      <c r="FPR10" s="5"/>
      <c r="FPS10" s="5"/>
      <c r="FPT10" s="5"/>
      <c r="FPU10" s="5"/>
      <c r="FPV10" s="5"/>
      <c r="FPW10" s="5"/>
      <c r="FPX10" s="5"/>
      <c r="FPY10" s="5"/>
      <c r="FPZ10" s="5"/>
      <c r="FQA10" s="5"/>
      <c r="FQB10" s="5"/>
      <c r="FQC10" s="5"/>
      <c r="FQD10" s="5"/>
      <c r="FQE10" s="5"/>
      <c r="FQF10" s="5"/>
      <c r="FQG10" s="5"/>
      <c r="FQH10" s="5"/>
      <c r="FQI10" s="5"/>
      <c r="FQJ10" s="5"/>
      <c r="FQK10" s="5"/>
      <c r="FQL10" s="5"/>
      <c r="FQM10" s="5"/>
      <c r="FQN10" s="5"/>
      <c r="FQO10" s="5"/>
      <c r="FQP10" s="5"/>
      <c r="FQQ10" s="5"/>
      <c r="FQR10" s="5"/>
      <c r="FQS10" s="5"/>
      <c r="FQT10" s="5"/>
      <c r="FQU10" s="5"/>
      <c r="FQV10" s="5"/>
      <c r="FQW10" s="5"/>
      <c r="FQX10" s="5"/>
      <c r="FQY10" s="5"/>
      <c r="FQZ10" s="5"/>
      <c r="FRA10" s="5"/>
      <c r="FRB10" s="5"/>
      <c r="FRC10" s="5"/>
      <c r="FRD10" s="5"/>
      <c r="FRE10" s="5"/>
      <c r="FRF10" s="5"/>
      <c r="FRG10" s="5"/>
      <c r="FRH10" s="5"/>
      <c r="FRI10" s="5"/>
      <c r="FRJ10" s="5"/>
      <c r="FRK10" s="5"/>
      <c r="FRL10" s="5"/>
      <c r="FRM10" s="5"/>
      <c r="FRN10" s="5"/>
      <c r="FRO10" s="5"/>
      <c r="FRP10" s="5"/>
      <c r="FRQ10" s="5"/>
      <c r="FRR10" s="5"/>
      <c r="FRS10" s="5"/>
      <c r="FRT10" s="5"/>
      <c r="FRU10" s="5"/>
      <c r="FRV10" s="5"/>
      <c r="FRW10" s="5"/>
      <c r="FRX10" s="5"/>
      <c r="FRY10" s="5"/>
      <c r="FRZ10" s="5"/>
      <c r="FSA10" s="5"/>
      <c r="FSB10" s="5"/>
      <c r="FSC10" s="5"/>
      <c r="FSD10" s="5"/>
      <c r="FSE10" s="5"/>
      <c r="FSF10" s="5"/>
      <c r="FSG10" s="5"/>
      <c r="FSH10" s="5"/>
      <c r="FSI10" s="5"/>
      <c r="FSJ10" s="5"/>
      <c r="FSK10" s="5"/>
      <c r="FSL10" s="5"/>
      <c r="FSM10" s="5"/>
      <c r="FSN10" s="5"/>
      <c r="FSO10" s="5"/>
      <c r="FSP10" s="5"/>
      <c r="FSQ10" s="5"/>
      <c r="FSR10" s="5"/>
      <c r="FSS10" s="5"/>
      <c r="FST10" s="5"/>
      <c r="FSU10" s="5"/>
      <c r="FSV10" s="5"/>
      <c r="FSW10" s="5"/>
      <c r="FSX10" s="5"/>
      <c r="FSY10" s="5"/>
      <c r="FSZ10" s="5"/>
      <c r="FTA10" s="5"/>
      <c r="FTB10" s="5"/>
      <c r="FTC10" s="5"/>
      <c r="FTD10" s="5"/>
      <c r="FTE10" s="5"/>
      <c r="FTF10" s="5"/>
      <c r="FTG10" s="5"/>
      <c r="FTH10" s="5"/>
      <c r="FTI10" s="5"/>
      <c r="FTJ10" s="5"/>
      <c r="FTK10" s="5"/>
      <c r="FTL10" s="5"/>
      <c r="FTM10" s="5"/>
      <c r="FTN10" s="5"/>
      <c r="FTO10" s="5"/>
      <c r="FTP10" s="5"/>
      <c r="FTQ10" s="5"/>
      <c r="FTR10" s="5"/>
      <c r="FTS10" s="5"/>
      <c r="FTT10" s="5"/>
      <c r="FTU10" s="5"/>
      <c r="FTV10" s="5"/>
      <c r="FTW10" s="5"/>
      <c r="FTX10" s="5"/>
      <c r="FTY10" s="5"/>
      <c r="FTZ10" s="5"/>
      <c r="FUA10" s="5"/>
      <c r="FUB10" s="5"/>
      <c r="FUC10" s="5"/>
      <c r="FUD10" s="5"/>
      <c r="FUE10" s="5"/>
      <c r="FUF10" s="5"/>
      <c r="FUG10" s="5"/>
      <c r="FUH10" s="5"/>
      <c r="FUI10" s="5"/>
      <c r="FUJ10" s="5"/>
      <c r="FUK10" s="5"/>
      <c r="FUL10" s="5"/>
      <c r="FUM10" s="5"/>
      <c r="FUN10" s="5"/>
      <c r="FUO10" s="5"/>
      <c r="FUP10" s="5"/>
      <c r="FUQ10" s="5"/>
      <c r="FUR10" s="5"/>
      <c r="FUS10" s="5"/>
      <c r="FUT10" s="5"/>
      <c r="FUU10" s="5"/>
      <c r="FUV10" s="5"/>
      <c r="FUW10" s="5"/>
      <c r="FUX10" s="5"/>
      <c r="FUY10" s="5"/>
      <c r="FUZ10" s="5"/>
      <c r="FVA10" s="5"/>
      <c r="FVB10" s="5"/>
      <c r="FVC10" s="5"/>
      <c r="FVD10" s="5"/>
      <c r="FVE10" s="5"/>
      <c r="FVF10" s="5"/>
      <c r="FVG10" s="5"/>
      <c r="FVH10" s="5"/>
      <c r="FVI10" s="5"/>
      <c r="FVJ10" s="5"/>
      <c r="FVK10" s="5"/>
      <c r="FVL10" s="5"/>
      <c r="FVM10" s="5"/>
      <c r="FVN10" s="5"/>
      <c r="FVO10" s="5"/>
      <c r="FVP10" s="5"/>
      <c r="FVQ10" s="5"/>
      <c r="FVR10" s="5"/>
      <c r="FVS10" s="5"/>
      <c r="FVT10" s="5"/>
      <c r="FVU10" s="5"/>
      <c r="FVV10" s="5"/>
      <c r="FVW10" s="5"/>
      <c r="FVX10" s="5"/>
      <c r="FVY10" s="5"/>
      <c r="FVZ10" s="5"/>
      <c r="FWA10" s="5"/>
      <c r="FWB10" s="5"/>
      <c r="FWC10" s="5"/>
      <c r="FWD10" s="5"/>
      <c r="FWE10" s="5"/>
      <c r="FWF10" s="5"/>
      <c r="FWG10" s="5"/>
      <c r="FWH10" s="5"/>
      <c r="FWI10" s="5"/>
      <c r="FWJ10" s="5"/>
      <c r="FWK10" s="5"/>
      <c r="FWL10" s="5"/>
      <c r="FWM10" s="5"/>
      <c r="FWN10" s="5"/>
      <c r="FWO10" s="5"/>
      <c r="FWP10" s="5"/>
      <c r="FWQ10" s="5"/>
      <c r="FWR10" s="5"/>
      <c r="FWS10" s="5"/>
      <c r="FWT10" s="5"/>
      <c r="FWU10" s="5"/>
      <c r="FWV10" s="5"/>
      <c r="FWW10" s="5"/>
      <c r="FWX10" s="5"/>
      <c r="FWY10" s="5"/>
      <c r="FWZ10" s="5"/>
      <c r="FXA10" s="5"/>
      <c r="FXB10" s="5"/>
      <c r="FXC10" s="5"/>
      <c r="FXD10" s="5"/>
      <c r="FXE10" s="5"/>
      <c r="FXF10" s="5"/>
      <c r="FXG10" s="5"/>
      <c r="FXH10" s="5"/>
      <c r="FXI10" s="5"/>
      <c r="FXJ10" s="5"/>
      <c r="FXK10" s="5"/>
      <c r="FXL10" s="5"/>
      <c r="FXM10" s="5"/>
      <c r="FXN10" s="5"/>
      <c r="FXO10" s="5"/>
      <c r="FXP10" s="5"/>
      <c r="FXQ10" s="5"/>
      <c r="FXR10" s="5"/>
      <c r="FXS10" s="5"/>
      <c r="FXT10" s="5"/>
      <c r="FXU10" s="5"/>
      <c r="FXV10" s="5"/>
      <c r="FXW10" s="5"/>
      <c r="FXX10" s="5"/>
      <c r="FXY10" s="5"/>
      <c r="FXZ10" s="5"/>
      <c r="FYA10" s="5"/>
      <c r="FYB10" s="5"/>
      <c r="FYC10" s="5"/>
      <c r="FYD10" s="5"/>
      <c r="FYE10" s="5"/>
      <c r="FYF10" s="5"/>
      <c r="FYG10" s="5"/>
      <c r="FYH10" s="5"/>
      <c r="FYI10" s="5"/>
      <c r="FYJ10" s="5"/>
      <c r="FYK10" s="5"/>
      <c r="FYL10" s="5"/>
      <c r="FYM10" s="5"/>
      <c r="FYN10" s="5"/>
      <c r="FYO10" s="5"/>
      <c r="FYP10" s="5"/>
      <c r="FYQ10" s="5"/>
      <c r="FYR10" s="5"/>
      <c r="FYS10" s="5"/>
      <c r="FYT10" s="5"/>
      <c r="FYU10" s="5"/>
      <c r="FYV10" s="5"/>
      <c r="FYW10" s="5"/>
      <c r="FYX10" s="5"/>
      <c r="FYY10" s="5"/>
      <c r="FYZ10" s="5"/>
      <c r="FZA10" s="5"/>
      <c r="FZB10" s="5"/>
      <c r="FZC10" s="5"/>
      <c r="FZD10" s="5"/>
      <c r="FZE10" s="5"/>
      <c r="FZF10" s="5"/>
      <c r="FZG10" s="5"/>
      <c r="FZH10" s="5"/>
      <c r="FZI10" s="5"/>
      <c r="FZJ10" s="5"/>
      <c r="FZK10" s="5"/>
      <c r="FZL10" s="5"/>
      <c r="FZM10" s="5"/>
      <c r="FZN10" s="5"/>
      <c r="FZO10" s="5"/>
      <c r="FZP10" s="5"/>
      <c r="FZQ10" s="5"/>
      <c r="FZR10" s="5"/>
      <c r="FZS10" s="5"/>
      <c r="FZT10" s="5"/>
      <c r="FZU10" s="5"/>
      <c r="FZV10" s="5"/>
      <c r="FZW10" s="5"/>
      <c r="FZX10" s="5"/>
      <c r="FZY10" s="5"/>
      <c r="FZZ10" s="5"/>
      <c r="GAA10" s="5"/>
      <c r="GAB10" s="5"/>
      <c r="GAC10" s="5"/>
      <c r="GAD10" s="5"/>
      <c r="GAE10" s="5"/>
      <c r="GAF10" s="5"/>
      <c r="GAG10" s="5"/>
      <c r="GAH10" s="5"/>
      <c r="GAI10" s="5"/>
      <c r="GAJ10" s="5"/>
      <c r="GAK10" s="5"/>
      <c r="GAL10" s="5"/>
      <c r="GAM10" s="5"/>
      <c r="GAN10" s="5"/>
      <c r="GAO10" s="5"/>
      <c r="GAP10" s="5"/>
      <c r="GAQ10" s="5"/>
      <c r="GAR10" s="5"/>
      <c r="GAS10" s="5"/>
      <c r="GAT10" s="5"/>
      <c r="GAU10" s="5"/>
      <c r="GAV10" s="5"/>
      <c r="GAW10" s="5"/>
      <c r="GAX10" s="5"/>
      <c r="GAY10" s="5"/>
      <c r="GAZ10" s="5"/>
      <c r="GBA10" s="5"/>
      <c r="GBB10" s="5"/>
      <c r="GBC10" s="5"/>
      <c r="GBD10" s="5"/>
      <c r="GBE10" s="5"/>
      <c r="GBF10" s="5"/>
      <c r="GBG10" s="5"/>
      <c r="GBH10" s="5"/>
      <c r="GBI10" s="5"/>
      <c r="GBJ10" s="5"/>
      <c r="GBK10" s="5"/>
      <c r="GBL10" s="5"/>
      <c r="GBM10" s="5"/>
      <c r="GBN10" s="5"/>
      <c r="GBO10" s="5"/>
      <c r="GBP10" s="5"/>
      <c r="GBQ10" s="5"/>
      <c r="GBR10" s="5"/>
      <c r="GBS10" s="5"/>
      <c r="GBT10" s="5"/>
      <c r="GBU10" s="5"/>
      <c r="GBV10" s="5"/>
      <c r="GBW10" s="5"/>
      <c r="GBX10" s="5"/>
      <c r="GBY10" s="5"/>
      <c r="GBZ10" s="5"/>
      <c r="GCA10" s="5"/>
      <c r="GCB10" s="5"/>
      <c r="GCC10" s="5"/>
      <c r="GCD10" s="5"/>
      <c r="GCE10" s="5"/>
      <c r="GCF10" s="5"/>
      <c r="GCG10" s="5"/>
      <c r="GCH10" s="5"/>
      <c r="GCI10" s="5"/>
      <c r="GCJ10" s="5"/>
      <c r="GCK10" s="5"/>
      <c r="GCL10" s="5"/>
      <c r="GCM10" s="5"/>
      <c r="GCN10" s="5"/>
      <c r="GCO10" s="5"/>
      <c r="GCP10" s="5"/>
      <c r="GCQ10" s="5"/>
      <c r="GCR10" s="5"/>
      <c r="GCS10" s="5"/>
      <c r="GCT10" s="5"/>
      <c r="GCU10" s="5"/>
      <c r="GCV10" s="5"/>
      <c r="GCW10" s="5"/>
      <c r="GCX10" s="5"/>
      <c r="GCY10" s="5"/>
      <c r="GCZ10" s="5"/>
      <c r="GDA10" s="5"/>
      <c r="GDB10" s="5"/>
      <c r="GDC10" s="5"/>
      <c r="GDD10" s="5"/>
      <c r="GDE10" s="5"/>
      <c r="GDF10" s="5"/>
      <c r="GDG10" s="5"/>
      <c r="GDH10" s="5"/>
      <c r="GDI10" s="5"/>
      <c r="GDJ10" s="5"/>
      <c r="GDK10" s="5"/>
      <c r="GDL10" s="5"/>
      <c r="GDM10" s="5"/>
      <c r="GDN10" s="5"/>
      <c r="GDO10" s="5"/>
      <c r="GDP10" s="5"/>
      <c r="GDQ10" s="5"/>
      <c r="GDR10" s="5"/>
      <c r="GDS10" s="5"/>
      <c r="GDT10" s="5"/>
      <c r="GDU10" s="5"/>
      <c r="GDV10" s="5"/>
      <c r="GDW10" s="5"/>
      <c r="GDX10" s="5"/>
      <c r="GDY10" s="5"/>
      <c r="GDZ10" s="5"/>
      <c r="GEA10" s="5"/>
      <c r="GEB10" s="5"/>
      <c r="GEC10" s="5"/>
      <c r="GED10" s="5"/>
      <c r="GEE10" s="5"/>
      <c r="GEF10" s="5"/>
      <c r="GEG10" s="5"/>
      <c r="GEH10" s="5"/>
      <c r="GEI10" s="5"/>
      <c r="GEJ10" s="5"/>
      <c r="GEK10" s="5"/>
      <c r="GEL10" s="5"/>
      <c r="GEM10" s="5"/>
      <c r="GEN10" s="5"/>
      <c r="GEO10" s="5"/>
      <c r="GEP10" s="5"/>
      <c r="GEQ10" s="5"/>
      <c r="GER10" s="5"/>
      <c r="GES10" s="5"/>
      <c r="GET10" s="5"/>
      <c r="GEU10" s="5"/>
      <c r="GEV10" s="5"/>
      <c r="GEW10" s="5"/>
      <c r="GEX10" s="5"/>
      <c r="GEY10" s="5"/>
      <c r="GEZ10" s="5"/>
      <c r="GFA10" s="5"/>
      <c r="GFB10" s="5"/>
      <c r="GFC10" s="5"/>
      <c r="GFD10" s="5"/>
      <c r="GFE10" s="5"/>
      <c r="GFF10" s="5"/>
      <c r="GFG10" s="5"/>
      <c r="GFH10" s="5"/>
      <c r="GFI10" s="5"/>
      <c r="GFJ10" s="5"/>
      <c r="GFK10" s="5"/>
      <c r="GFL10" s="5"/>
      <c r="GFM10" s="5"/>
      <c r="GFN10" s="5"/>
      <c r="GFO10" s="5"/>
      <c r="GFP10" s="5"/>
      <c r="GFQ10" s="5"/>
      <c r="GFR10" s="5"/>
      <c r="GFS10" s="5"/>
      <c r="GFT10" s="5"/>
      <c r="GFU10" s="5"/>
      <c r="GFV10" s="5"/>
      <c r="GFW10" s="5"/>
      <c r="GFX10" s="5"/>
      <c r="GFY10" s="5"/>
      <c r="GFZ10" s="5"/>
      <c r="GGA10" s="5"/>
      <c r="GGB10" s="5"/>
      <c r="GGC10" s="5"/>
      <c r="GGD10" s="5"/>
      <c r="GGE10" s="5"/>
      <c r="GGF10" s="5"/>
      <c r="GGG10" s="5"/>
      <c r="GGH10" s="5"/>
      <c r="GGI10" s="5"/>
      <c r="GGJ10" s="5"/>
      <c r="GGK10" s="5"/>
      <c r="GGL10" s="5"/>
      <c r="GGM10" s="5"/>
      <c r="GGN10" s="5"/>
      <c r="GGO10" s="5"/>
      <c r="GGP10" s="5"/>
      <c r="GGQ10" s="5"/>
      <c r="GGR10" s="5"/>
      <c r="GGS10" s="5"/>
      <c r="GGT10" s="5"/>
      <c r="GGU10" s="5"/>
      <c r="GGV10" s="5"/>
      <c r="GGW10" s="5"/>
      <c r="GGX10" s="5"/>
      <c r="GGY10" s="5"/>
      <c r="GGZ10" s="5"/>
      <c r="GHA10" s="5"/>
      <c r="GHB10" s="5"/>
      <c r="GHC10" s="5"/>
      <c r="GHD10" s="5"/>
      <c r="GHE10" s="5"/>
      <c r="GHF10" s="5"/>
      <c r="GHG10" s="5"/>
      <c r="GHH10" s="5"/>
      <c r="GHI10" s="5"/>
      <c r="GHJ10" s="5"/>
      <c r="GHK10" s="5"/>
      <c r="GHL10" s="5"/>
      <c r="GHM10" s="5"/>
      <c r="GHN10" s="5"/>
      <c r="GHO10" s="5"/>
      <c r="GHP10" s="5"/>
      <c r="GHQ10" s="5"/>
      <c r="GHR10" s="5"/>
      <c r="GHS10" s="5"/>
      <c r="GHT10" s="5"/>
      <c r="GHU10" s="5"/>
      <c r="GHV10" s="5"/>
      <c r="GHW10" s="5"/>
      <c r="GHX10" s="5"/>
      <c r="GHY10" s="5"/>
      <c r="GHZ10" s="5"/>
      <c r="GIA10" s="5"/>
      <c r="GIB10" s="5"/>
      <c r="GIC10" s="5"/>
      <c r="GID10" s="5"/>
      <c r="GIE10" s="5"/>
      <c r="GIF10" s="5"/>
      <c r="GIG10" s="5"/>
      <c r="GIH10" s="5"/>
      <c r="GII10" s="5"/>
      <c r="GIJ10" s="5"/>
      <c r="GIK10" s="5"/>
      <c r="GIL10" s="5"/>
      <c r="GIM10" s="5"/>
      <c r="GIN10" s="5"/>
      <c r="GIO10" s="5"/>
      <c r="GIP10" s="5"/>
      <c r="GIQ10" s="5"/>
      <c r="GIR10" s="5"/>
      <c r="GIS10" s="5"/>
      <c r="GIT10" s="5"/>
      <c r="GIU10" s="5"/>
      <c r="GIV10" s="5"/>
      <c r="GIW10" s="5"/>
      <c r="GIX10" s="5"/>
      <c r="GIY10" s="5"/>
      <c r="GIZ10" s="5"/>
      <c r="GJA10" s="5"/>
      <c r="GJB10" s="5"/>
      <c r="GJC10" s="5"/>
      <c r="GJD10" s="5"/>
      <c r="GJE10" s="5"/>
      <c r="GJF10" s="5"/>
      <c r="GJG10" s="5"/>
      <c r="GJH10" s="5"/>
      <c r="GJI10" s="5"/>
      <c r="GJJ10" s="5"/>
      <c r="GJK10" s="5"/>
      <c r="GJL10" s="5"/>
      <c r="GJM10" s="5"/>
      <c r="GJN10" s="5"/>
      <c r="GJO10" s="5"/>
      <c r="GJP10" s="5"/>
      <c r="GJQ10" s="5"/>
      <c r="GJR10" s="5"/>
      <c r="GJS10" s="5"/>
      <c r="GJT10" s="5"/>
      <c r="GJU10" s="5"/>
      <c r="GJV10" s="5"/>
      <c r="GJW10" s="5"/>
      <c r="GJX10" s="5"/>
      <c r="GJY10" s="5"/>
      <c r="GJZ10" s="5"/>
      <c r="GKA10" s="5"/>
      <c r="GKB10" s="5"/>
      <c r="GKC10" s="5"/>
      <c r="GKD10" s="5"/>
      <c r="GKE10" s="5"/>
      <c r="GKF10" s="5"/>
      <c r="GKG10" s="5"/>
      <c r="GKH10" s="5"/>
      <c r="GKI10" s="5"/>
      <c r="GKJ10" s="5"/>
      <c r="GKK10" s="5"/>
      <c r="GKL10" s="5"/>
      <c r="GKM10" s="5"/>
      <c r="GKN10" s="5"/>
      <c r="GKO10" s="5"/>
      <c r="GKP10" s="5"/>
      <c r="GKQ10" s="5"/>
      <c r="GKR10" s="5"/>
      <c r="GKS10" s="5"/>
      <c r="GKT10" s="5"/>
      <c r="GKU10" s="5"/>
      <c r="GKV10" s="5"/>
      <c r="GKW10" s="5"/>
      <c r="GKX10" s="5"/>
      <c r="GKY10" s="5"/>
      <c r="GKZ10" s="5"/>
      <c r="GLA10" s="5"/>
      <c r="GLB10" s="5"/>
      <c r="GLC10" s="5"/>
      <c r="GLD10" s="5"/>
      <c r="GLE10" s="5"/>
      <c r="GLF10" s="5"/>
      <c r="GLG10" s="5"/>
      <c r="GLH10" s="5"/>
      <c r="GLI10" s="5"/>
      <c r="GLJ10" s="5"/>
      <c r="GLK10" s="5"/>
      <c r="GLL10" s="5"/>
      <c r="GLM10" s="5"/>
      <c r="GLN10" s="5"/>
      <c r="GLO10" s="5"/>
      <c r="GLP10" s="5"/>
      <c r="GLQ10" s="5"/>
      <c r="GLR10" s="5"/>
      <c r="GLS10" s="5"/>
      <c r="GLT10" s="5"/>
      <c r="GLU10" s="5"/>
      <c r="GLV10" s="5"/>
      <c r="GLW10" s="5"/>
      <c r="GLX10" s="5"/>
      <c r="GLY10" s="5"/>
      <c r="GLZ10" s="5"/>
      <c r="GMA10" s="5"/>
      <c r="GMB10" s="5"/>
      <c r="GMC10" s="5"/>
      <c r="GMD10" s="5"/>
      <c r="GME10" s="5"/>
      <c r="GMF10" s="5"/>
      <c r="GMG10" s="5"/>
      <c r="GMH10" s="5"/>
      <c r="GMI10" s="5"/>
      <c r="GMJ10" s="5"/>
      <c r="GMK10" s="5"/>
      <c r="GML10" s="5"/>
      <c r="GMM10" s="5"/>
      <c r="GMN10" s="5"/>
      <c r="GMO10" s="5"/>
      <c r="GMP10" s="5"/>
      <c r="GMQ10" s="5"/>
      <c r="GMR10" s="5"/>
      <c r="GMS10" s="5"/>
      <c r="GMT10" s="5"/>
      <c r="GMU10" s="5"/>
      <c r="GMV10" s="5"/>
      <c r="GMW10" s="5"/>
      <c r="GMX10" s="5"/>
      <c r="GMY10" s="5"/>
      <c r="GMZ10" s="5"/>
      <c r="GNA10" s="5"/>
      <c r="GNB10" s="5"/>
      <c r="GNC10" s="5"/>
      <c r="GND10" s="5"/>
      <c r="GNE10" s="5"/>
      <c r="GNF10" s="5"/>
      <c r="GNG10" s="5"/>
      <c r="GNH10" s="5"/>
      <c r="GNI10" s="5"/>
      <c r="GNJ10" s="5"/>
      <c r="GNK10" s="5"/>
      <c r="GNL10" s="5"/>
      <c r="GNM10" s="5"/>
      <c r="GNN10" s="5"/>
      <c r="GNO10" s="5"/>
      <c r="GNP10" s="5"/>
      <c r="GNQ10" s="5"/>
      <c r="GNR10" s="5"/>
      <c r="GNS10" s="5"/>
      <c r="GNT10" s="5"/>
      <c r="GNU10" s="5"/>
      <c r="GNV10" s="5"/>
      <c r="GNW10" s="5"/>
      <c r="GNX10" s="5"/>
      <c r="GNY10" s="5"/>
      <c r="GNZ10" s="5"/>
      <c r="GOA10" s="5"/>
      <c r="GOB10" s="5"/>
      <c r="GOC10" s="5"/>
      <c r="GOD10" s="5"/>
      <c r="GOE10" s="5"/>
      <c r="GOF10" s="5"/>
      <c r="GOG10" s="5"/>
      <c r="GOH10" s="5"/>
      <c r="GOI10" s="5"/>
      <c r="GOJ10" s="5"/>
      <c r="GOK10" s="5"/>
      <c r="GOL10" s="5"/>
      <c r="GOM10" s="5"/>
      <c r="GON10" s="5"/>
      <c r="GOO10" s="5"/>
      <c r="GOP10" s="5"/>
      <c r="GOQ10" s="5"/>
      <c r="GOR10" s="5"/>
      <c r="GOS10" s="5"/>
      <c r="GOT10" s="5"/>
      <c r="GOU10" s="5"/>
      <c r="GOV10" s="5"/>
      <c r="GOW10" s="5"/>
      <c r="GOX10" s="5"/>
      <c r="GOY10" s="5"/>
      <c r="GOZ10" s="5"/>
      <c r="GPA10" s="5"/>
      <c r="GPB10" s="5"/>
      <c r="GPC10" s="5"/>
      <c r="GPD10" s="5"/>
      <c r="GPE10" s="5"/>
      <c r="GPF10" s="5"/>
      <c r="GPG10" s="5"/>
      <c r="GPH10" s="5"/>
      <c r="GPI10" s="5"/>
      <c r="GPJ10" s="5"/>
      <c r="GPK10" s="5"/>
      <c r="GPL10" s="5"/>
      <c r="GPM10" s="5"/>
      <c r="GPN10" s="5"/>
      <c r="GPO10" s="5"/>
      <c r="GPP10" s="5"/>
      <c r="GPQ10" s="5"/>
      <c r="GPR10" s="5"/>
      <c r="GPS10" s="5"/>
      <c r="GPT10" s="5"/>
      <c r="GPU10" s="5"/>
      <c r="GPV10" s="5"/>
      <c r="GPW10" s="5"/>
      <c r="GPX10" s="5"/>
      <c r="GPY10" s="5"/>
      <c r="GPZ10" s="5"/>
      <c r="GQA10" s="5"/>
      <c r="GQB10" s="5"/>
      <c r="GQC10" s="5"/>
      <c r="GQD10" s="5"/>
      <c r="GQE10" s="5"/>
      <c r="GQF10" s="5"/>
      <c r="GQG10" s="5"/>
      <c r="GQH10" s="5"/>
      <c r="GQI10" s="5"/>
      <c r="GQJ10" s="5"/>
      <c r="GQK10" s="5"/>
      <c r="GQL10" s="5"/>
      <c r="GQM10" s="5"/>
      <c r="GQN10" s="5"/>
      <c r="GQO10" s="5"/>
      <c r="GQP10" s="5"/>
      <c r="GQQ10" s="5"/>
      <c r="GQR10" s="5"/>
      <c r="GQS10" s="5"/>
      <c r="GQT10" s="5"/>
      <c r="GQU10" s="5"/>
      <c r="GQV10" s="5"/>
      <c r="GQW10" s="5"/>
      <c r="GQX10" s="5"/>
      <c r="GQY10" s="5"/>
      <c r="GQZ10" s="5"/>
      <c r="GRA10" s="5"/>
      <c r="GRB10" s="5"/>
      <c r="GRC10" s="5"/>
      <c r="GRD10" s="5"/>
      <c r="GRE10" s="5"/>
      <c r="GRF10" s="5"/>
      <c r="GRG10" s="5"/>
      <c r="GRH10" s="5"/>
      <c r="GRI10" s="5"/>
      <c r="GRJ10" s="5"/>
      <c r="GRK10" s="5"/>
      <c r="GRL10" s="5"/>
      <c r="GRM10" s="5"/>
      <c r="GRN10" s="5"/>
      <c r="GRO10" s="5"/>
      <c r="GRP10" s="5"/>
      <c r="GRQ10" s="5"/>
      <c r="GRR10" s="5"/>
      <c r="GRS10" s="5"/>
      <c r="GRT10" s="5"/>
      <c r="GRU10" s="5"/>
      <c r="GRV10" s="5"/>
      <c r="GRW10" s="5"/>
      <c r="GRX10" s="5"/>
      <c r="GRY10" s="5"/>
      <c r="GRZ10" s="5"/>
      <c r="GSA10" s="5"/>
      <c r="GSB10" s="5"/>
      <c r="GSC10" s="5"/>
      <c r="GSD10" s="5"/>
      <c r="GSE10" s="5"/>
      <c r="GSF10" s="5"/>
      <c r="GSG10" s="5"/>
      <c r="GSH10" s="5"/>
      <c r="GSI10" s="5"/>
      <c r="GSJ10" s="5"/>
      <c r="GSK10" s="5"/>
      <c r="GSL10" s="5"/>
      <c r="GSM10" s="5"/>
      <c r="GSN10" s="5"/>
      <c r="GSO10" s="5"/>
      <c r="GSP10" s="5"/>
      <c r="GSQ10" s="5"/>
      <c r="GSR10" s="5"/>
      <c r="GSS10" s="5"/>
      <c r="GST10" s="5"/>
      <c r="GSU10" s="5"/>
      <c r="GSV10" s="5"/>
      <c r="GSW10" s="5"/>
      <c r="GSX10" s="5"/>
      <c r="GSY10" s="5"/>
      <c r="GSZ10" s="5"/>
      <c r="GTA10" s="5"/>
      <c r="GTB10" s="5"/>
      <c r="GTC10" s="5"/>
      <c r="GTD10" s="5"/>
      <c r="GTE10" s="5"/>
      <c r="GTF10" s="5"/>
      <c r="GTG10" s="5"/>
      <c r="GTH10" s="5"/>
      <c r="GTI10" s="5"/>
      <c r="GTJ10" s="5"/>
      <c r="GTK10" s="5"/>
      <c r="GTL10" s="5"/>
      <c r="GTM10" s="5"/>
      <c r="GTN10" s="5"/>
      <c r="GTO10" s="5"/>
      <c r="GTP10" s="5"/>
      <c r="GTQ10" s="5"/>
      <c r="GTR10" s="5"/>
      <c r="GTS10" s="5"/>
      <c r="GTT10" s="5"/>
      <c r="GTU10" s="5"/>
      <c r="GTV10" s="5"/>
      <c r="GTW10" s="5"/>
      <c r="GTX10" s="5"/>
      <c r="GTY10" s="5"/>
      <c r="GTZ10" s="5"/>
      <c r="GUA10" s="5"/>
      <c r="GUB10" s="5"/>
      <c r="GUC10" s="5"/>
      <c r="GUD10" s="5"/>
      <c r="GUE10" s="5"/>
      <c r="GUF10" s="5"/>
      <c r="GUG10" s="5"/>
      <c r="GUH10" s="5"/>
      <c r="GUI10" s="5"/>
      <c r="GUJ10" s="5"/>
      <c r="GUK10" s="5"/>
      <c r="GUL10" s="5"/>
      <c r="GUM10" s="5"/>
      <c r="GUN10" s="5"/>
      <c r="GUO10" s="5"/>
      <c r="GUP10" s="5"/>
      <c r="GUQ10" s="5"/>
      <c r="GUR10" s="5"/>
      <c r="GUS10" s="5"/>
      <c r="GUT10" s="5"/>
      <c r="GUU10" s="5"/>
      <c r="GUV10" s="5"/>
      <c r="GUW10" s="5"/>
      <c r="GUX10" s="5"/>
      <c r="GUY10" s="5"/>
      <c r="GUZ10" s="5"/>
      <c r="GVA10" s="5"/>
      <c r="GVB10" s="5"/>
      <c r="GVC10" s="5"/>
      <c r="GVD10" s="5"/>
      <c r="GVE10" s="5"/>
      <c r="GVF10" s="5"/>
      <c r="GVG10" s="5"/>
      <c r="GVH10" s="5"/>
      <c r="GVI10" s="5"/>
      <c r="GVJ10" s="5"/>
      <c r="GVK10" s="5"/>
      <c r="GVL10" s="5"/>
      <c r="GVM10" s="5"/>
      <c r="GVN10" s="5"/>
      <c r="GVO10" s="5"/>
      <c r="GVP10" s="5"/>
      <c r="GVQ10" s="5"/>
      <c r="GVR10" s="5"/>
      <c r="GVS10" s="5"/>
      <c r="GVT10" s="5"/>
      <c r="GVU10" s="5"/>
      <c r="GVV10" s="5"/>
      <c r="GVW10" s="5"/>
      <c r="GVX10" s="5"/>
      <c r="GVY10" s="5"/>
      <c r="GVZ10" s="5"/>
      <c r="GWA10" s="5"/>
      <c r="GWB10" s="5"/>
      <c r="GWC10" s="5"/>
      <c r="GWD10" s="5"/>
      <c r="GWE10" s="5"/>
      <c r="GWF10" s="5"/>
      <c r="GWG10" s="5"/>
      <c r="GWH10" s="5"/>
      <c r="GWI10" s="5"/>
      <c r="GWJ10" s="5"/>
      <c r="GWK10" s="5"/>
      <c r="GWL10" s="5"/>
      <c r="GWM10" s="5"/>
      <c r="GWN10" s="5"/>
      <c r="GWO10" s="5"/>
      <c r="GWP10" s="5"/>
      <c r="GWQ10" s="5"/>
      <c r="GWR10" s="5"/>
      <c r="GWS10" s="5"/>
      <c r="GWT10" s="5"/>
      <c r="GWU10" s="5"/>
      <c r="GWV10" s="5"/>
      <c r="GWW10" s="5"/>
      <c r="GWX10" s="5"/>
      <c r="GWY10" s="5"/>
      <c r="GWZ10" s="5"/>
      <c r="GXA10" s="5"/>
      <c r="GXB10" s="5"/>
      <c r="GXC10" s="5"/>
      <c r="GXD10" s="5"/>
      <c r="GXE10" s="5"/>
      <c r="GXF10" s="5"/>
      <c r="GXG10" s="5"/>
      <c r="GXH10" s="5"/>
      <c r="GXI10" s="5"/>
      <c r="GXJ10" s="5"/>
      <c r="GXK10" s="5"/>
      <c r="GXL10" s="5"/>
      <c r="GXM10" s="5"/>
      <c r="GXN10" s="5"/>
      <c r="GXO10" s="5"/>
      <c r="GXP10" s="5"/>
      <c r="GXQ10" s="5"/>
      <c r="GXR10" s="5"/>
      <c r="GXS10" s="5"/>
      <c r="GXT10" s="5"/>
      <c r="GXU10" s="5"/>
      <c r="GXV10" s="5"/>
      <c r="GXW10" s="5"/>
      <c r="GXX10" s="5"/>
      <c r="GXY10" s="5"/>
      <c r="GXZ10" s="5"/>
      <c r="GYA10" s="5"/>
      <c r="GYB10" s="5"/>
      <c r="GYC10" s="5"/>
      <c r="GYD10" s="5"/>
      <c r="GYE10" s="5"/>
      <c r="GYF10" s="5"/>
      <c r="GYG10" s="5"/>
      <c r="GYH10" s="5"/>
      <c r="GYI10" s="5"/>
      <c r="GYJ10" s="5"/>
      <c r="GYK10" s="5"/>
      <c r="GYL10" s="5"/>
      <c r="GYM10" s="5"/>
      <c r="GYN10" s="5"/>
      <c r="GYO10" s="5"/>
      <c r="GYP10" s="5"/>
      <c r="GYQ10" s="5"/>
      <c r="GYR10" s="5"/>
      <c r="GYS10" s="5"/>
      <c r="GYT10" s="5"/>
      <c r="GYU10" s="5"/>
      <c r="GYV10" s="5"/>
      <c r="GYW10" s="5"/>
      <c r="GYX10" s="5"/>
      <c r="GYY10" s="5"/>
      <c r="GYZ10" s="5"/>
      <c r="GZA10" s="5"/>
      <c r="GZB10" s="5"/>
      <c r="GZC10" s="5"/>
      <c r="GZD10" s="5"/>
      <c r="GZE10" s="5"/>
      <c r="GZF10" s="5"/>
      <c r="GZG10" s="5"/>
      <c r="GZH10" s="5"/>
      <c r="GZI10" s="5"/>
      <c r="GZJ10" s="5"/>
      <c r="GZK10" s="5"/>
      <c r="GZL10" s="5"/>
      <c r="GZM10" s="5"/>
      <c r="GZN10" s="5"/>
      <c r="GZO10" s="5"/>
      <c r="GZP10" s="5"/>
      <c r="GZQ10" s="5"/>
      <c r="GZR10" s="5"/>
      <c r="GZS10" s="5"/>
      <c r="GZT10" s="5"/>
      <c r="GZU10" s="5"/>
      <c r="GZV10" s="5"/>
      <c r="GZW10" s="5"/>
      <c r="GZX10" s="5"/>
      <c r="GZY10" s="5"/>
      <c r="GZZ10" s="5"/>
      <c r="HAA10" s="5"/>
      <c r="HAB10" s="5"/>
      <c r="HAC10" s="5"/>
      <c r="HAD10" s="5"/>
      <c r="HAE10" s="5"/>
      <c r="HAF10" s="5"/>
      <c r="HAG10" s="5"/>
      <c r="HAH10" s="5"/>
      <c r="HAI10" s="5"/>
      <c r="HAJ10" s="5"/>
      <c r="HAK10" s="5"/>
      <c r="HAL10" s="5"/>
      <c r="HAM10" s="5"/>
      <c r="HAN10" s="5"/>
      <c r="HAO10" s="5"/>
      <c r="HAP10" s="5"/>
      <c r="HAQ10" s="5"/>
      <c r="HAR10" s="5"/>
      <c r="HAS10" s="5"/>
      <c r="HAT10" s="5"/>
      <c r="HAU10" s="5"/>
      <c r="HAV10" s="5"/>
      <c r="HAW10" s="5"/>
      <c r="HAX10" s="5"/>
      <c r="HAY10" s="5"/>
      <c r="HAZ10" s="5"/>
      <c r="HBA10" s="5"/>
      <c r="HBB10" s="5"/>
      <c r="HBC10" s="5"/>
      <c r="HBD10" s="5"/>
      <c r="HBE10" s="5"/>
      <c r="HBF10" s="5"/>
      <c r="HBG10" s="5"/>
      <c r="HBH10" s="5"/>
      <c r="HBI10" s="5"/>
      <c r="HBJ10" s="5"/>
      <c r="HBK10" s="5"/>
      <c r="HBL10" s="5"/>
      <c r="HBM10" s="5"/>
      <c r="HBN10" s="5"/>
      <c r="HBO10" s="5"/>
      <c r="HBP10" s="5"/>
      <c r="HBQ10" s="5"/>
      <c r="HBR10" s="5"/>
      <c r="HBS10" s="5"/>
      <c r="HBT10" s="5"/>
      <c r="HBU10" s="5"/>
      <c r="HBV10" s="5"/>
      <c r="HBW10" s="5"/>
      <c r="HBX10" s="5"/>
      <c r="HBY10" s="5"/>
      <c r="HBZ10" s="5"/>
      <c r="HCA10" s="5"/>
      <c r="HCB10" s="5"/>
      <c r="HCC10" s="5"/>
      <c r="HCD10" s="5"/>
      <c r="HCE10" s="5"/>
      <c r="HCF10" s="5"/>
      <c r="HCG10" s="5"/>
      <c r="HCH10" s="5"/>
      <c r="HCI10" s="5"/>
      <c r="HCJ10" s="5"/>
      <c r="HCK10" s="5"/>
      <c r="HCL10" s="5"/>
      <c r="HCM10" s="5"/>
      <c r="HCN10" s="5"/>
      <c r="HCO10" s="5"/>
      <c r="HCP10" s="5"/>
      <c r="HCQ10" s="5"/>
      <c r="HCR10" s="5"/>
      <c r="HCS10" s="5"/>
      <c r="HCT10" s="5"/>
      <c r="HCU10" s="5"/>
      <c r="HCV10" s="5"/>
      <c r="HCW10" s="5"/>
      <c r="HCX10" s="5"/>
      <c r="HCY10" s="5"/>
      <c r="HCZ10" s="5"/>
      <c r="HDA10" s="5"/>
      <c r="HDB10" s="5"/>
      <c r="HDC10" s="5"/>
      <c r="HDD10" s="5"/>
      <c r="HDE10" s="5"/>
      <c r="HDF10" s="5"/>
      <c r="HDG10" s="5"/>
      <c r="HDH10" s="5"/>
      <c r="HDI10" s="5"/>
      <c r="HDJ10" s="5"/>
      <c r="HDK10" s="5"/>
      <c r="HDL10" s="5"/>
      <c r="HDM10" s="5"/>
      <c r="HDN10" s="5"/>
      <c r="HDO10" s="5"/>
      <c r="HDP10" s="5"/>
      <c r="HDQ10" s="5"/>
      <c r="HDR10" s="5"/>
      <c r="HDS10" s="5"/>
      <c r="HDT10" s="5"/>
      <c r="HDU10" s="5"/>
      <c r="HDV10" s="5"/>
      <c r="HDW10" s="5"/>
      <c r="HDX10" s="5"/>
      <c r="HDY10" s="5"/>
      <c r="HDZ10" s="5"/>
      <c r="HEA10" s="5"/>
      <c r="HEB10" s="5"/>
      <c r="HEC10" s="5"/>
      <c r="HED10" s="5"/>
      <c r="HEE10" s="5"/>
      <c r="HEF10" s="5"/>
      <c r="HEG10" s="5"/>
      <c r="HEH10" s="5"/>
      <c r="HEI10" s="5"/>
      <c r="HEJ10" s="5"/>
      <c r="HEK10" s="5"/>
      <c r="HEL10" s="5"/>
      <c r="HEM10" s="5"/>
      <c r="HEN10" s="5"/>
      <c r="HEO10" s="5"/>
      <c r="HEP10" s="5"/>
      <c r="HEQ10" s="5"/>
      <c r="HER10" s="5"/>
      <c r="HES10" s="5"/>
      <c r="HET10" s="5"/>
      <c r="HEU10" s="5"/>
      <c r="HEV10" s="5"/>
      <c r="HEW10" s="5"/>
      <c r="HEX10" s="5"/>
      <c r="HEY10" s="5"/>
      <c r="HEZ10" s="5"/>
      <c r="HFA10" s="5"/>
      <c r="HFB10" s="5"/>
      <c r="HFC10" s="5"/>
      <c r="HFD10" s="5"/>
      <c r="HFE10" s="5"/>
      <c r="HFF10" s="5"/>
      <c r="HFG10" s="5"/>
      <c r="HFH10" s="5"/>
      <c r="HFI10" s="5"/>
      <c r="HFJ10" s="5"/>
      <c r="HFK10" s="5"/>
      <c r="HFL10" s="5"/>
      <c r="HFM10" s="5"/>
      <c r="HFN10" s="5"/>
      <c r="HFO10" s="5"/>
      <c r="HFP10" s="5"/>
      <c r="HFQ10" s="5"/>
      <c r="HFR10" s="5"/>
      <c r="HFS10" s="5"/>
      <c r="HFT10" s="5"/>
      <c r="HFU10" s="5"/>
      <c r="HFV10" s="5"/>
      <c r="HFW10" s="5"/>
      <c r="HFX10" s="5"/>
      <c r="HFY10" s="5"/>
      <c r="HFZ10" s="5"/>
      <c r="HGA10" s="5"/>
      <c r="HGB10" s="5"/>
      <c r="HGC10" s="5"/>
      <c r="HGD10" s="5"/>
      <c r="HGE10" s="5"/>
      <c r="HGF10" s="5"/>
      <c r="HGG10" s="5"/>
      <c r="HGH10" s="5"/>
      <c r="HGI10" s="5"/>
      <c r="HGJ10" s="5"/>
      <c r="HGK10" s="5"/>
      <c r="HGL10" s="5"/>
      <c r="HGM10" s="5"/>
      <c r="HGN10" s="5"/>
      <c r="HGO10" s="5"/>
      <c r="HGP10" s="5"/>
      <c r="HGQ10" s="5"/>
      <c r="HGR10" s="5"/>
      <c r="HGS10" s="5"/>
      <c r="HGT10" s="5"/>
      <c r="HGU10" s="5"/>
      <c r="HGV10" s="5"/>
      <c r="HGW10" s="5"/>
      <c r="HGX10" s="5"/>
      <c r="HGY10" s="5"/>
      <c r="HGZ10" s="5"/>
      <c r="HHA10" s="5"/>
      <c r="HHB10" s="5"/>
      <c r="HHC10" s="5"/>
      <c r="HHD10" s="5"/>
      <c r="HHE10" s="5"/>
      <c r="HHF10" s="5"/>
      <c r="HHG10" s="5"/>
      <c r="HHH10" s="5"/>
      <c r="HHI10" s="5"/>
      <c r="HHJ10" s="5"/>
      <c r="HHK10" s="5"/>
      <c r="HHL10" s="5"/>
      <c r="HHM10" s="5"/>
      <c r="HHN10" s="5"/>
      <c r="HHO10" s="5"/>
      <c r="HHP10" s="5"/>
      <c r="HHQ10" s="5"/>
      <c r="HHR10" s="5"/>
      <c r="HHS10" s="5"/>
      <c r="HHT10" s="5"/>
      <c r="HHU10" s="5"/>
      <c r="HHV10" s="5"/>
      <c r="HHW10" s="5"/>
      <c r="HHX10" s="5"/>
      <c r="HHY10" s="5"/>
      <c r="HHZ10" s="5"/>
      <c r="HIA10" s="5"/>
      <c r="HIB10" s="5"/>
      <c r="HIC10" s="5"/>
      <c r="HID10" s="5"/>
      <c r="HIE10" s="5"/>
      <c r="HIF10" s="5"/>
      <c r="HIG10" s="5"/>
      <c r="HIH10" s="5"/>
      <c r="HII10" s="5"/>
      <c r="HIJ10" s="5"/>
      <c r="HIK10" s="5"/>
      <c r="HIL10" s="5"/>
      <c r="HIM10" s="5"/>
      <c r="HIN10" s="5"/>
      <c r="HIO10" s="5"/>
      <c r="HIP10" s="5"/>
      <c r="HIQ10" s="5"/>
      <c r="HIR10" s="5"/>
      <c r="HIS10" s="5"/>
      <c r="HIT10" s="5"/>
      <c r="HIU10" s="5"/>
      <c r="HIV10" s="5"/>
      <c r="HIW10" s="5"/>
      <c r="HIX10" s="5"/>
      <c r="HIY10" s="5"/>
      <c r="HIZ10" s="5"/>
      <c r="HJA10" s="5"/>
      <c r="HJB10" s="5"/>
      <c r="HJC10" s="5"/>
      <c r="HJD10" s="5"/>
      <c r="HJE10" s="5"/>
      <c r="HJF10" s="5"/>
      <c r="HJG10" s="5"/>
      <c r="HJH10" s="5"/>
      <c r="HJI10" s="5"/>
      <c r="HJJ10" s="5"/>
      <c r="HJK10" s="5"/>
      <c r="HJL10" s="5"/>
      <c r="HJM10" s="5"/>
      <c r="HJN10" s="5"/>
      <c r="HJO10" s="5"/>
      <c r="HJP10" s="5"/>
      <c r="HJQ10" s="5"/>
      <c r="HJR10" s="5"/>
      <c r="HJS10" s="5"/>
      <c r="HJT10" s="5"/>
      <c r="HJU10" s="5"/>
      <c r="HJV10" s="5"/>
      <c r="HJW10" s="5"/>
      <c r="HJX10" s="5"/>
      <c r="HJY10" s="5"/>
      <c r="HJZ10" s="5"/>
      <c r="HKA10" s="5"/>
      <c r="HKB10" s="5"/>
      <c r="HKC10" s="5"/>
      <c r="HKD10" s="5"/>
      <c r="HKE10" s="5"/>
      <c r="HKF10" s="5"/>
      <c r="HKG10" s="5"/>
      <c r="HKH10" s="5"/>
      <c r="HKI10" s="5"/>
      <c r="HKJ10" s="5"/>
      <c r="HKK10" s="5"/>
      <c r="HKL10" s="5"/>
      <c r="HKM10" s="5"/>
      <c r="HKN10" s="5"/>
      <c r="HKO10" s="5"/>
      <c r="HKP10" s="5"/>
      <c r="HKQ10" s="5"/>
      <c r="HKR10" s="5"/>
      <c r="HKS10" s="5"/>
      <c r="HKT10" s="5"/>
      <c r="HKU10" s="5"/>
      <c r="HKV10" s="5"/>
      <c r="HKW10" s="5"/>
      <c r="HKX10" s="5"/>
      <c r="HKY10" s="5"/>
      <c r="HKZ10" s="5"/>
      <c r="HLA10" s="5"/>
      <c r="HLB10" s="5"/>
      <c r="HLC10" s="5"/>
      <c r="HLD10" s="5"/>
      <c r="HLE10" s="5"/>
      <c r="HLF10" s="5"/>
      <c r="HLG10" s="5"/>
      <c r="HLH10" s="5"/>
      <c r="HLI10" s="5"/>
      <c r="HLJ10" s="5"/>
      <c r="HLK10" s="5"/>
      <c r="HLL10" s="5"/>
      <c r="HLM10" s="5"/>
      <c r="HLN10" s="5"/>
      <c r="HLO10" s="5"/>
      <c r="HLP10" s="5"/>
      <c r="HLQ10" s="5"/>
      <c r="HLR10" s="5"/>
      <c r="HLS10" s="5"/>
      <c r="HLT10" s="5"/>
      <c r="HLU10" s="5"/>
      <c r="HLV10" s="5"/>
      <c r="HLW10" s="5"/>
      <c r="HLX10" s="5"/>
      <c r="HLY10" s="5"/>
      <c r="HLZ10" s="5"/>
      <c r="HMA10" s="5"/>
      <c r="HMB10" s="5"/>
      <c r="HMC10" s="5"/>
      <c r="HMD10" s="5"/>
      <c r="HME10" s="5"/>
      <c r="HMF10" s="5"/>
      <c r="HMG10" s="5"/>
      <c r="HMH10" s="5"/>
      <c r="HMI10" s="5"/>
      <c r="HMJ10" s="5"/>
      <c r="HMK10" s="5"/>
      <c r="HML10" s="5"/>
      <c r="HMM10" s="5"/>
      <c r="HMN10" s="5"/>
      <c r="HMO10" s="5"/>
      <c r="HMP10" s="5"/>
      <c r="HMQ10" s="5"/>
      <c r="HMR10" s="5"/>
      <c r="HMS10" s="5"/>
      <c r="HMT10" s="5"/>
      <c r="HMU10" s="5"/>
      <c r="HMV10" s="5"/>
      <c r="HMW10" s="5"/>
      <c r="HMX10" s="5"/>
      <c r="HMY10" s="5"/>
      <c r="HMZ10" s="5"/>
      <c r="HNA10" s="5"/>
      <c r="HNB10" s="5"/>
      <c r="HNC10" s="5"/>
      <c r="HND10" s="5"/>
      <c r="HNE10" s="5"/>
      <c r="HNF10" s="5"/>
      <c r="HNG10" s="5"/>
      <c r="HNH10" s="5"/>
      <c r="HNI10" s="5"/>
      <c r="HNJ10" s="5"/>
      <c r="HNK10" s="5"/>
      <c r="HNL10" s="5"/>
      <c r="HNM10" s="5"/>
      <c r="HNN10" s="5"/>
      <c r="HNO10" s="5"/>
      <c r="HNP10" s="5"/>
      <c r="HNQ10" s="5"/>
      <c r="HNR10" s="5"/>
      <c r="HNS10" s="5"/>
      <c r="HNT10" s="5"/>
      <c r="HNU10" s="5"/>
      <c r="HNV10" s="5"/>
      <c r="HNW10" s="5"/>
      <c r="HNX10" s="5"/>
      <c r="HNY10" s="5"/>
      <c r="HNZ10" s="5"/>
      <c r="HOA10" s="5"/>
      <c r="HOB10" s="5"/>
      <c r="HOC10" s="5"/>
      <c r="HOD10" s="5"/>
      <c r="HOE10" s="5"/>
      <c r="HOF10" s="5"/>
      <c r="HOG10" s="5"/>
      <c r="HOH10" s="5"/>
      <c r="HOI10" s="5"/>
      <c r="HOJ10" s="5"/>
      <c r="HOK10" s="5"/>
      <c r="HOL10" s="5"/>
      <c r="HOM10" s="5"/>
      <c r="HON10" s="5"/>
      <c r="HOO10" s="5"/>
      <c r="HOP10" s="5"/>
      <c r="HOQ10" s="5"/>
      <c r="HOR10" s="5"/>
      <c r="HOS10" s="5"/>
      <c r="HOT10" s="5"/>
      <c r="HOU10" s="5"/>
      <c r="HOV10" s="5"/>
      <c r="HOW10" s="5"/>
      <c r="HOX10" s="5"/>
      <c r="HOY10" s="5"/>
      <c r="HOZ10" s="5"/>
      <c r="HPA10" s="5"/>
      <c r="HPB10" s="5"/>
      <c r="HPC10" s="5"/>
      <c r="HPD10" s="5"/>
      <c r="HPE10" s="5"/>
      <c r="HPF10" s="5"/>
      <c r="HPG10" s="5"/>
      <c r="HPH10" s="5"/>
      <c r="HPI10" s="5"/>
      <c r="HPJ10" s="5"/>
      <c r="HPK10" s="5"/>
      <c r="HPL10" s="5"/>
      <c r="HPM10" s="5"/>
      <c r="HPN10" s="5"/>
      <c r="HPO10" s="5"/>
      <c r="HPP10" s="5"/>
      <c r="HPQ10" s="5"/>
      <c r="HPR10" s="5"/>
      <c r="HPS10" s="5"/>
      <c r="HPT10" s="5"/>
      <c r="HPU10" s="5"/>
      <c r="HPV10" s="5"/>
      <c r="HPW10" s="5"/>
      <c r="HPX10" s="5"/>
      <c r="HPY10" s="5"/>
      <c r="HPZ10" s="5"/>
      <c r="HQA10" s="5"/>
      <c r="HQB10" s="5"/>
      <c r="HQC10" s="5"/>
      <c r="HQD10" s="5"/>
      <c r="HQE10" s="5"/>
      <c r="HQF10" s="5"/>
      <c r="HQG10" s="5"/>
      <c r="HQH10" s="5"/>
      <c r="HQI10" s="5"/>
      <c r="HQJ10" s="5"/>
      <c r="HQK10" s="5"/>
      <c r="HQL10" s="5"/>
      <c r="HQM10" s="5"/>
      <c r="HQN10" s="5"/>
      <c r="HQO10" s="5"/>
      <c r="HQP10" s="5"/>
      <c r="HQQ10" s="5"/>
      <c r="HQR10" s="5"/>
      <c r="HQS10" s="5"/>
      <c r="HQT10" s="5"/>
      <c r="HQU10" s="5"/>
      <c r="HQV10" s="5"/>
      <c r="HQW10" s="5"/>
      <c r="HQX10" s="5"/>
      <c r="HQY10" s="5"/>
      <c r="HQZ10" s="5"/>
      <c r="HRA10" s="5"/>
      <c r="HRB10" s="5"/>
      <c r="HRC10" s="5"/>
      <c r="HRD10" s="5"/>
      <c r="HRE10" s="5"/>
      <c r="HRF10" s="5"/>
      <c r="HRG10" s="5"/>
      <c r="HRH10" s="5"/>
      <c r="HRI10" s="5"/>
      <c r="HRJ10" s="5"/>
      <c r="HRK10" s="5"/>
      <c r="HRL10" s="5"/>
      <c r="HRM10" s="5"/>
      <c r="HRN10" s="5"/>
      <c r="HRO10" s="5"/>
      <c r="HRP10" s="5"/>
      <c r="HRQ10" s="5"/>
      <c r="HRR10" s="5"/>
      <c r="HRS10" s="5"/>
      <c r="HRT10" s="5"/>
      <c r="HRU10" s="5"/>
      <c r="HRV10" s="5"/>
      <c r="HRW10" s="5"/>
      <c r="HRX10" s="5"/>
      <c r="HRY10" s="5"/>
      <c r="HRZ10" s="5"/>
      <c r="HSA10" s="5"/>
      <c r="HSB10" s="5"/>
      <c r="HSC10" s="5"/>
      <c r="HSD10" s="5"/>
      <c r="HSE10" s="5"/>
      <c r="HSF10" s="5"/>
      <c r="HSG10" s="5"/>
      <c r="HSH10" s="5"/>
      <c r="HSI10" s="5"/>
      <c r="HSJ10" s="5"/>
      <c r="HSK10" s="5"/>
      <c r="HSL10" s="5"/>
      <c r="HSM10" s="5"/>
      <c r="HSN10" s="5"/>
      <c r="HSO10" s="5"/>
      <c r="HSP10" s="5"/>
      <c r="HSQ10" s="5"/>
      <c r="HSR10" s="5"/>
      <c r="HSS10" s="5"/>
      <c r="HST10" s="5"/>
      <c r="HSU10" s="5"/>
      <c r="HSV10" s="5"/>
      <c r="HSW10" s="5"/>
      <c r="HSX10" s="5"/>
      <c r="HSY10" s="5"/>
      <c r="HSZ10" s="5"/>
      <c r="HTA10" s="5"/>
      <c r="HTB10" s="5"/>
      <c r="HTC10" s="5"/>
      <c r="HTD10" s="5"/>
      <c r="HTE10" s="5"/>
      <c r="HTF10" s="5"/>
      <c r="HTG10" s="5"/>
      <c r="HTH10" s="5"/>
      <c r="HTI10" s="5"/>
      <c r="HTJ10" s="5"/>
      <c r="HTK10" s="5"/>
      <c r="HTL10" s="5"/>
      <c r="HTM10" s="5"/>
      <c r="HTN10" s="5"/>
      <c r="HTO10" s="5"/>
      <c r="HTP10" s="5"/>
      <c r="HTQ10" s="5"/>
      <c r="HTR10" s="5"/>
      <c r="HTS10" s="5"/>
      <c r="HTT10" s="5"/>
      <c r="HTU10" s="5"/>
      <c r="HTV10" s="5"/>
      <c r="HTW10" s="5"/>
      <c r="HTX10" s="5"/>
      <c r="HTY10" s="5"/>
      <c r="HTZ10" s="5"/>
      <c r="HUA10" s="5"/>
      <c r="HUB10" s="5"/>
      <c r="HUC10" s="5"/>
      <c r="HUD10" s="5"/>
      <c r="HUE10" s="5"/>
      <c r="HUF10" s="5"/>
      <c r="HUG10" s="5"/>
      <c r="HUH10" s="5"/>
      <c r="HUI10" s="5"/>
      <c r="HUJ10" s="5"/>
      <c r="HUK10" s="5"/>
      <c r="HUL10" s="5"/>
      <c r="HUM10" s="5"/>
      <c r="HUN10" s="5"/>
      <c r="HUO10" s="5"/>
      <c r="HUP10" s="5"/>
      <c r="HUQ10" s="5"/>
      <c r="HUR10" s="5"/>
      <c r="HUS10" s="5"/>
      <c r="HUT10" s="5"/>
      <c r="HUU10" s="5"/>
      <c r="HUV10" s="5"/>
      <c r="HUW10" s="5"/>
      <c r="HUX10" s="5"/>
      <c r="HUY10" s="5"/>
      <c r="HUZ10" s="5"/>
      <c r="HVA10" s="5"/>
      <c r="HVB10" s="5"/>
      <c r="HVC10" s="5"/>
      <c r="HVD10" s="5"/>
      <c r="HVE10" s="5"/>
      <c r="HVF10" s="5"/>
      <c r="HVG10" s="5"/>
      <c r="HVH10" s="5"/>
      <c r="HVI10" s="5"/>
      <c r="HVJ10" s="5"/>
      <c r="HVK10" s="5"/>
      <c r="HVL10" s="5"/>
      <c r="HVM10" s="5"/>
      <c r="HVN10" s="5"/>
      <c r="HVO10" s="5"/>
      <c r="HVP10" s="5"/>
      <c r="HVQ10" s="5"/>
      <c r="HVR10" s="5"/>
      <c r="HVS10" s="5"/>
      <c r="HVT10" s="5"/>
      <c r="HVU10" s="5"/>
      <c r="HVV10" s="5"/>
      <c r="HVW10" s="5"/>
      <c r="HVX10" s="5"/>
      <c r="HVY10" s="5"/>
      <c r="HVZ10" s="5"/>
      <c r="HWA10" s="5"/>
      <c r="HWB10" s="5"/>
      <c r="HWC10" s="5"/>
      <c r="HWD10" s="5"/>
      <c r="HWE10" s="5"/>
      <c r="HWF10" s="5"/>
      <c r="HWG10" s="5"/>
      <c r="HWH10" s="5"/>
      <c r="HWI10" s="5"/>
      <c r="HWJ10" s="5"/>
      <c r="HWK10" s="5"/>
      <c r="HWL10" s="5"/>
      <c r="HWM10" s="5"/>
      <c r="HWN10" s="5"/>
      <c r="HWO10" s="5"/>
      <c r="HWP10" s="5"/>
      <c r="HWQ10" s="5"/>
      <c r="HWR10" s="5"/>
      <c r="HWS10" s="5"/>
      <c r="HWT10" s="5"/>
      <c r="HWU10" s="5"/>
      <c r="HWV10" s="5"/>
      <c r="HWW10" s="5"/>
      <c r="HWX10" s="5"/>
      <c r="HWY10" s="5"/>
      <c r="HWZ10" s="5"/>
      <c r="HXA10" s="5"/>
      <c r="HXB10" s="5"/>
      <c r="HXC10" s="5"/>
      <c r="HXD10" s="5"/>
      <c r="HXE10" s="5"/>
      <c r="HXF10" s="5"/>
      <c r="HXG10" s="5"/>
      <c r="HXH10" s="5"/>
      <c r="HXI10" s="5"/>
      <c r="HXJ10" s="5"/>
      <c r="HXK10" s="5"/>
      <c r="HXL10" s="5"/>
      <c r="HXM10" s="5"/>
      <c r="HXN10" s="5"/>
      <c r="HXO10" s="5"/>
      <c r="HXP10" s="5"/>
      <c r="HXQ10" s="5"/>
      <c r="HXR10" s="5"/>
      <c r="HXS10" s="5"/>
      <c r="HXT10" s="5"/>
      <c r="HXU10" s="5"/>
      <c r="HXV10" s="5"/>
      <c r="HXW10" s="5"/>
      <c r="HXX10" s="5"/>
      <c r="HXY10" s="5"/>
      <c r="HXZ10" s="5"/>
      <c r="HYA10" s="5"/>
      <c r="HYB10" s="5"/>
      <c r="HYC10" s="5"/>
      <c r="HYD10" s="5"/>
      <c r="HYE10" s="5"/>
      <c r="HYF10" s="5"/>
      <c r="HYG10" s="5"/>
      <c r="HYH10" s="5"/>
      <c r="HYI10" s="5"/>
      <c r="HYJ10" s="5"/>
      <c r="HYK10" s="5"/>
      <c r="HYL10" s="5"/>
      <c r="HYM10" s="5"/>
      <c r="HYN10" s="5"/>
      <c r="HYO10" s="5"/>
      <c r="HYP10" s="5"/>
      <c r="HYQ10" s="5"/>
      <c r="HYR10" s="5"/>
      <c r="HYS10" s="5"/>
      <c r="HYT10" s="5"/>
      <c r="HYU10" s="5"/>
      <c r="HYV10" s="5"/>
      <c r="HYW10" s="5"/>
      <c r="HYX10" s="5"/>
      <c r="HYY10" s="5"/>
      <c r="HYZ10" s="5"/>
      <c r="HZA10" s="5"/>
      <c r="HZB10" s="5"/>
      <c r="HZC10" s="5"/>
      <c r="HZD10" s="5"/>
      <c r="HZE10" s="5"/>
      <c r="HZF10" s="5"/>
      <c r="HZG10" s="5"/>
      <c r="HZH10" s="5"/>
      <c r="HZI10" s="5"/>
      <c r="HZJ10" s="5"/>
      <c r="HZK10" s="5"/>
      <c r="HZL10" s="5"/>
      <c r="HZM10" s="5"/>
      <c r="HZN10" s="5"/>
      <c r="HZO10" s="5"/>
      <c r="HZP10" s="5"/>
      <c r="HZQ10" s="5"/>
      <c r="HZR10" s="5"/>
      <c r="HZS10" s="5"/>
      <c r="HZT10" s="5"/>
      <c r="HZU10" s="5"/>
      <c r="HZV10" s="5"/>
      <c r="HZW10" s="5"/>
      <c r="HZX10" s="5"/>
      <c r="HZY10" s="5"/>
      <c r="HZZ10" s="5"/>
      <c r="IAA10" s="5"/>
      <c r="IAB10" s="5"/>
      <c r="IAC10" s="5"/>
      <c r="IAD10" s="5"/>
      <c r="IAE10" s="5"/>
      <c r="IAF10" s="5"/>
      <c r="IAG10" s="5"/>
      <c r="IAH10" s="5"/>
      <c r="IAI10" s="5"/>
      <c r="IAJ10" s="5"/>
      <c r="IAK10" s="5"/>
      <c r="IAL10" s="5"/>
      <c r="IAM10" s="5"/>
      <c r="IAN10" s="5"/>
      <c r="IAO10" s="5"/>
      <c r="IAP10" s="5"/>
      <c r="IAQ10" s="5"/>
      <c r="IAR10" s="5"/>
      <c r="IAS10" s="5"/>
      <c r="IAT10" s="5"/>
      <c r="IAU10" s="5"/>
      <c r="IAV10" s="5"/>
      <c r="IAW10" s="5"/>
      <c r="IAX10" s="5"/>
      <c r="IAY10" s="5"/>
      <c r="IAZ10" s="5"/>
      <c r="IBA10" s="5"/>
      <c r="IBB10" s="5"/>
      <c r="IBC10" s="5"/>
      <c r="IBD10" s="5"/>
      <c r="IBE10" s="5"/>
      <c r="IBF10" s="5"/>
      <c r="IBG10" s="5"/>
      <c r="IBH10" s="5"/>
      <c r="IBI10" s="5"/>
      <c r="IBJ10" s="5"/>
      <c r="IBK10" s="5"/>
      <c r="IBL10" s="5"/>
      <c r="IBM10" s="5"/>
      <c r="IBN10" s="5"/>
      <c r="IBO10" s="5"/>
      <c r="IBP10" s="5"/>
      <c r="IBQ10" s="5"/>
      <c r="IBR10" s="5"/>
      <c r="IBS10" s="5"/>
      <c r="IBT10" s="5"/>
      <c r="IBU10" s="5"/>
      <c r="IBV10" s="5"/>
      <c r="IBW10" s="5"/>
      <c r="IBX10" s="5"/>
      <c r="IBY10" s="5"/>
      <c r="IBZ10" s="5"/>
      <c r="ICA10" s="5"/>
      <c r="ICB10" s="5"/>
      <c r="ICC10" s="5"/>
      <c r="ICD10" s="5"/>
      <c r="ICE10" s="5"/>
      <c r="ICF10" s="5"/>
      <c r="ICG10" s="5"/>
      <c r="ICH10" s="5"/>
      <c r="ICI10" s="5"/>
      <c r="ICJ10" s="5"/>
      <c r="ICK10" s="5"/>
      <c r="ICL10" s="5"/>
      <c r="ICM10" s="5"/>
      <c r="ICN10" s="5"/>
      <c r="ICO10" s="5"/>
      <c r="ICP10" s="5"/>
      <c r="ICQ10" s="5"/>
      <c r="ICR10" s="5"/>
      <c r="ICS10" s="5"/>
      <c r="ICT10" s="5"/>
      <c r="ICU10" s="5"/>
      <c r="ICV10" s="5"/>
      <c r="ICW10" s="5"/>
      <c r="ICX10" s="5"/>
      <c r="ICY10" s="5"/>
      <c r="ICZ10" s="5"/>
      <c r="IDA10" s="5"/>
      <c r="IDB10" s="5"/>
      <c r="IDC10" s="5"/>
      <c r="IDD10" s="5"/>
      <c r="IDE10" s="5"/>
      <c r="IDF10" s="5"/>
      <c r="IDG10" s="5"/>
      <c r="IDH10" s="5"/>
      <c r="IDI10" s="5"/>
      <c r="IDJ10" s="5"/>
      <c r="IDK10" s="5"/>
      <c r="IDL10" s="5"/>
      <c r="IDM10" s="5"/>
      <c r="IDN10" s="5"/>
      <c r="IDO10" s="5"/>
      <c r="IDP10" s="5"/>
      <c r="IDQ10" s="5"/>
      <c r="IDR10" s="5"/>
      <c r="IDS10" s="5"/>
      <c r="IDT10" s="5"/>
      <c r="IDU10" s="5"/>
      <c r="IDV10" s="5"/>
      <c r="IDW10" s="5"/>
      <c r="IDX10" s="5"/>
      <c r="IDY10" s="5"/>
      <c r="IDZ10" s="5"/>
      <c r="IEA10" s="5"/>
      <c r="IEB10" s="5"/>
      <c r="IEC10" s="5"/>
      <c r="IED10" s="5"/>
      <c r="IEE10" s="5"/>
      <c r="IEF10" s="5"/>
      <c r="IEG10" s="5"/>
      <c r="IEH10" s="5"/>
      <c r="IEI10" s="5"/>
      <c r="IEJ10" s="5"/>
      <c r="IEK10" s="5"/>
      <c r="IEL10" s="5"/>
      <c r="IEM10" s="5"/>
      <c r="IEN10" s="5"/>
      <c r="IEO10" s="5"/>
      <c r="IEP10" s="5"/>
      <c r="IEQ10" s="5"/>
      <c r="IER10" s="5"/>
      <c r="IES10" s="5"/>
      <c r="IET10" s="5"/>
      <c r="IEU10" s="5"/>
      <c r="IEV10" s="5"/>
      <c r="IEW10" s="5"/>
      <c r="IEX10" s="5"/>
      <c r="IEY10" s="5"/>
      <c r="IEZ10" s="5"/>
      <c r="IFA10" s="5"/>
      <c r="IFB10" s="5"/>
      <c r="IFC10" s="5"/>
      <c r="IFD10" s="5"/>
      <c r="IFE10" s="5"/>
      <c r="IFF10" s="5"/>
      <c r="IFG10" s="5"/>
      <c r="IFH10" s="5"/>
      <c r="IFI10" s="5"/>
      <c r="IFJ10" s="5"/>
      <c r="IFK10" s="5"/>
      <c r="IFL10" s="5"/>
      <c r="IFM10" s="5"/>
      <c r="IFN10" s="5"/>
      <c r="IFO10" s="5"/>
      <c r="IFP10" s="5"/>
      <c r="IFQ10" s="5"/>
      <c r="IFR10" s="5"/>
      <c r="IFS10" s="5"/>
      <c r="IFT10" s="5"/>
      <c r="IFU10" s="5"/>
      <c r="IFV10" s="5"/>
      <c r="IFW10" s="5"/>
      <c r="IFX10" s="5"/>
      <c r="IFY10" s="5"/>
      <c r="IFZ10" s="5"/>
      <c r="IGA10" s="5"/>
      <c r="IGB10" s="5"/>
      <c r="IGC10" s="5"/>
      <c r="IGD10" s="5"/>
      <c r="IGE10" s="5"/>
      <c r="IGF10" s="5"/>
      <c r="IGG10" s="5"/>
      <c r="IGH10" s="5"/>
      <c r="IGI10" s="5"/>
      <c r="IGJ10" s="5"/>
      <c r="IGK10" s="5"/>
      <c r="IGL10" s="5"/>
      <c r="IGM10" s="5"/>
      <c r="IGN10" s="5"/>
      <c r="IGO10" s="5"/>
      <c r="IGP10" s="5"/>
      <c r="IGQ10" s="5"/>
      <c r="IGR10" s="5"/>
      <c r="IGS10" s="5"/>
      <c r="IGT10" s="5"/>
      <c r="IGU10" s="5"/>
      <c r="IGV10" s="5"/>
      <c r="IGW10" s="5"/>
      <c r="IGX10" s="5"/>
      <c r="IGY10" s="5"/>
      <c r="IGZ10" s="5"/>
      <c r="IHA10" s="5"/>
      <c r="IHB10" s="5"/>
      <c r="IHC10" s="5"/>
      <c r="IHD10" s="5"/>
      <c r="IHE10" s="5"/>
      <c r="IHF10" s="5"/>
      <c r="IHG10" s="5"/>
      <c r="IHH10" s="5"/>
      <c r="IHI10" s="5"/>
      <c r="IHJ10" s="5"/>
      <c r="IHK10" s="5"/>
      <c r="IHL10" s="5"/>
      <c r="IHM10" s="5"/>
      <c r="IHN10" s="5"/>
      <c r="IHO10" s="5"/>
      <c r="IHP10" s="5"/>
      <c r="IHQ10" s="5"/>
      <c r="IHR10" s="5"/>
      <c r="IHS10" s="5"/>
      <c r="IHT10" s="5"/>
      <c r="IHU10" s="5"/>
      <c r="IHV10" s="5"/>
      <c r="IHW10" s="5"/>
      <c r="IHX10" s="5"/>
      <c r="IHY10" s="5"/>
      <c r="IHZ10" s="5"/>
      <c r="IIA10" s="5"/>
      <c r="IIB10" s="5"/>
      <c r="IIC10" s="5"/>
      <c r="IID10" s="5"/>
      <c r="IIE10" s="5"/>
      <c r="IIF10" s="5"/>
      <c r="IIG10" s="5"/>
      <c r="IIH10" s="5"/>
      <c r="III10" s="5"/>
      <c r="IIJ10" s="5"/>
      <c r="IIK10" s="5"/>
      <c r="IIL10" s="5"/>
      <c r="IIM10" s="5"/>
      <c r="IIN10" s="5"/>
      <c r="IIO10" s="5"/>
      <c r="IIP10" s="5"/>
      <c r="IIQ10" s="5"/>
      <c r="IIR10" s="5"/>
      <c r="IIS10" s="5"/>
      <c r="IIT10" s="5"/>
      <c r="IIU10" s="5"/>
      <c r="IIV10" s="5"/>
      <c r="IIW10" s="5"/>
      <c r="IIX10" s="5"/>
      <c r="IIY10" s="5"/>
      <c r="IIZ10" s="5"/>
      <c r="IJA10" s="5"/>
      <c r="IJB10" s="5"/>
      <c r="IJC10" s="5"/>
      <c r="IJD10" s="5"/>
      <c r="IJE10" s="5"/>
      <c r="IJF10" s="5"/>
      <c r="IJG10" s="5"/>
      <c r="IJH10" s="5"/>
      <c r="IJI10" s="5"/>
      <c r="IJJ10" s="5"/>
      <c r="IJK10" s="5"/>
      <c r="IJL10" s="5"/>
      <c r="IJM10" s="5"/>
      <c r="IJN10" s="5"/>
      <c r="IJO10" s="5"/>
      <c r="IJP10" s="5"/>
      <c r="IJQ10" s="5"/>
      <c r="IJR10" s="5"/>
      <c r="IJS10" s="5"/>
      <c r="IJT10" s="5"/>
      <c r="IJU10" s="5"/>
      <c r="IJV10" s="5"/>
      <c r="IJW10" s="5"/>
      <c r="IJX10" s="5"/>
      <c r="IJY10" s="5"/>
      <c r="IJZ10" s="5"/>
      <c r="IKA10" s="5"/>
      <c r="IKB10" s="5"/>
      <c r="IKC10" s="5"/>
      <c r="IKD10" s="5"/>
      <c r="IKE10" s="5"/>
      <c r="IKF10" s="5"/>
      <c r="IKG10" s="5"/>
      <c r="IKH10" s="5"/>
      <c r="IKI10" s="5"/>
      <c r="IKJ10" s="5"/>
      <c r="IKK10" s="5"/>
      <c r="IKL10" s="5"/>
      <c r="IKM10" s="5"/>
      <c r="IKN10" s="5"/>
      <c r="IKO10" s="5"/>
      <c r="IKP10" s="5"/>
      <c r="IKQ10" s="5"/>
      <c r="IKR10" s="5"/>
      <c r="IKS10" s="5"/>
      <c r="IKT10" s="5"/>
      <c r="IKU10" s="5"/>
      <c r="IKV10" s="5"/>
      <c r="IKW10" s="5"/>
      <c r="IKX10" s="5"/>
      <c r="IKY10" s="5"/>
      <c r="IKZ10" s="5"/>
      <c r="ILA10" s="5"/>
      <c r="ILB10" s="5"/>
      <c r="ILC10" s="5"/>
      <c r="ILD10" s="5"/>
      <c r="ILE10" s="5"/>
      <c r="ILF10" s="5"/>
      <c r="ILG10" s="5"/>
      <c r="ILH10" s="5"/>
      <c r="ILI10" s="5"/>
      <c r="ILJ10" s="5"/>
      <c r="ILK10" s="5"/>
      <c r="ILL10" s="5"/>
      <c r="ILM10" s="5"/>
      <c r="ILN10" s="5"/>
      <c r="ILO10" s="5"/>
      <c r="ILP10" s="5"/>
      <c r="ILQ10" s="5"/>
      <c r="ILR10" s="5"/>
      <c r="ILS10" s="5"/>
      <c r="ILT10" s="5"/>
      <c r="ILU10" s="5"/>
      <c r="ILV10" s="5"/>
      <c r="ILW10" s="5"/>
      <c r="ILX10" s="5"/>
      <c r="ILY10" s="5"/>
      <c r="ILZ10" s="5"/>
      <c r="IMA10" s="5"/>
      <c r="IMB10" s="5"/>
      <c r="IMC10" s="5"/>
      <c r="IMD10" s="5"/>
      <c r="IME10" s="5"/>
      <c r="IMF10" s="5"/>
      <c r="IMG10" s="5"/>
      <c r="IMH10" s="5"/>
      <c r="IMI10" s="5"/>
      <c r="IMJ10" s="5"/>
      <c r="IMK10" s="5"/>
      <c r="IML10" s="5"/>
      <c r="IMM10" s="5"/>
      <c r="IMN10" s="5"/>
      <c r="IMO10" s="5"/>
      <c r="IMP10" s="5"/>
      <c r="IMQ10" s="5"/>
      <c r="IMR10" s="5"/>
      <c r="IMS10" s="5"/>
      <c r="IMT10" s="5"/>
      <c r="IMU10" s="5"/>
      <c r="IMV10" s="5"/>
      <c r="IMW10" s="5"/>
      <c r="IMX10" s="5"/>
      <c r="IMY10" s="5"/>
      <c r="IMZ10" s="5"/>
      <c r="INA10" s="5"/>
      <c r="INB10" s="5"/>
      <c r="INC10" s="5"/>
      <c r="IND10" s="5"/>
      <c r="INE10" s="5"/>
      <c r="INF10" s="5"/>
      <c r="ING10" s="5"/>
      <c r="INH10" s="5"/>
      <c r="INI10" s="5"/>
      <c r="INJ10" s="5"/>
      <c r="INK10" s="5"/>
      <c r="INL10" s="5"/>
      <c r="INM10" s="5"/>
      <c r="INN10" s="5"/>
      <c r="INO10" s="5"/>
      <c r="INP10" s="5"/>
      <c r="INQ10" s="5"/>
      <c r="INR10" s="5"/>
      <c r="INS10" s="5"/>
      <c r="INT10" s="5"/>
      <c r="INU10" s="5"/>
      <c r="INV10" s="5"/>
      <c r="INW10" s="5"/>
      <c r="INX10" s="5"/>
      <c r="INY10" s="5"/>
      <c r="INZ10" s="5"/>
      <c r="IOA10" s="5"/>
      <c r="IOB10" s="5"/>
      <c r="IOC10" s="5"/>
      <c r="IOD10" s="5"/>
      <c r="IOE10" s="5"/>
      <c r="IOF10" s="5"/>
      <c r="IOG10" s="5"/>
      <c r="IOH10" s="5"/>
      <c r="IOI10" s="5"/>
      <c r="IOJ10" s="5"/>
      <c r="IOK10" s="5"/>
      <c r="IOL10" s="5"/>
      <c r="IOM10" s="5"/>
      <c r="ION10" s="5"/>
      <c r="IOO10" s="5"/>
      <c r="IOP10" s="5"/>
      <c r="IOQ10" s="5"/>
      <c r="IOR10" s="5"/>
      <c r="IOS10" s="5"/>
      <c r="IOT10" s="5"/>
      <c r="IOU10" s="5"/>
      <c r="IOV10" s="5"/>
      <c r="IOW10" s="5"/>
      <c r="IOX10" s="5"/>
      <c r="IOY10" s="5"/>
      <c r="IOZ10" s="5"/>
      <c r="IPA10" s="5"/>
      <c r="IPB10" s="5"/>
      <c r="IPC10" s="5"/>
      <c r="IPD10" s="5"/>
      <c r="IPE10" s="5"/>
      <c r="IPF10" s="5"/>
      <c r="IPG10" s="5"/>
      <c r="IPH10" s="5"/>
      <c r="IPI10" s="5"/>
      <c r="IPJ10" s="5"/>
      <c r="IPK10" s="5"/>
      <c r="IPL10" s="5"/>
      <c r="IPM10" s="5"/>
      <c r="IPN10" s="5"/>
      <c r="IPO10" s="5"/>
      <c r="IPP10" s="5"/>
      <c r="IPQ10" s="5"/>
      <c r="IPR10" s="5"/>
      <c r="IPS10" s="5"/>
      <c r="IPT10" s="5"/>
      <c r="IPU10" s="5"/>
      <c r="IPV10" s="5"/>
      <c r="IPW10" s="5"/>
      <c r="IPX10" s="5"/>
      <c r="IPY10" s="5"/>
      <c r="IPZ10" s="5"/>
      <c r="IQA10" s="5"/>
      <c r="IQB10" s="5"/>
      <c r="IQC10" s="5"/>
      <c r="IQD10" s="5"/>
      <c r="IQE10" s="5"/>
      <c r="IQF10" s="5"/>
      <c r="IQG10" s="5"/>
      <c r="IQH10" s="5"/>
      <c r="IQI10" s="5"/>
      <c r="IQJ10" s="5"/>
      <c r="IQK10" s="5"/>
      <c r="IQL10" s="5"/>
      <c r="IQM10" s="5"/>
      <c r="IQN10" s="5"/>
      <c r="IQO10" s="5"/>
      <c r="IQP10" s="5"/>
      <c r="IQQ10" s="5"/>
      <c r="IQR10" s="5"/>
      <c r="IQS10" s="5"/>
      <c r="IQT10" s="5"/>
      <c r="IQU10" s="5"/>
      <c r="IQV10" s="5"/>
      <c r="IQW10" s="5"/>
      <c r="IQX10" s="5"/>
      <c r="IQY10" s="5"/>
      <c r="IQZ10" s="5"/>
      <c r="IRA10" s="5"/>
      <c r="IRB10" s="5"/>
      <c r="IRC10" s="5"/>
      <c r="IRD10" s="5"/>
      <c r="IRE10" s="5"/>
      <c r="IRF10" s="5"/>
      <c r="IRG10" s="5"/>
      <c r="IRH10" s="5"/>
      <c r="IRI10" s="5"/>
      <c r="IRJ10" s="5"/>
      <c r="IRK10" s="5"/>
      <c r="IRL10" s="5"/>
      <c r="IRM10" s="5"/>
      <c r="IRN10" s="5"/>
      <c r="IRO10" s="5"/>
      <c r="IRP10" s="5"/>
      <c r="IRQ10" s="5"/>
      <c r="IRR10" s="5"/>
      <c r="IRS10" s="5"/>
      <c r="IRT10" s="5"/>
      <c r="IRU10" s="5"/>
      <c r="IRV10" s="5"/>
      <c r="IRW10" s="5"/>
      <c r="IRX10" s="5"/>
      <c r="IRY10" s="5"/>
      <c r="IRZ10" s="5"/>
      <c r="ISA10" s="5"/>
      <c r="ISB10" s="5"/>
      <c r="ISC10" s="5"/>
      <c r="ISD10" s="5"/>
      <c r="ISE10" s="5"/>
      <c r="ISF10" s="5"/>
      <c r="ISG10" s="5"/>
      <c r="ISH10" s="5"/>
      <c r="ISI10" s="5"/>
      <c r="ISJ10" s="5"/>
      <c r="ISK10" s="5"/>
      <c r="ISL10" s="5"/>
      <c r="ISM10" s="5"/>
      <c r="ISN10" s="5"/>
      <c r="ISO10" s="5"/>
      <c r="ISP10" s="5"/>
      <c r="ISQ10" s="5"/>
      <c r="ISR10" s="5"/>
      <c r="ISS10" s="5"/>
      <c r="IST10" s="5"/>
      <c r="ISU10" s="5"/>
      <c r="ISV10" s="5"/>
      <c r="ISW10" s="5"/>
      <c r="ISX10" s="5"/>
      <c r="ISY10" s="5"/>
      <c r="ISZ10" s="5"/>
      <c r="ITA10" s="5"/>
      <c r="ITB10" s="5"/>
      <c r="ITC10" s="5"/>
      <c r="ITD10" s="5"/>
      <c r="ITE10" s="5"/>
      <c r="ITF10" s="5"/>
      <c r="ITG10" s="5"/>
      <c r="ITH10" s="5"/>
      <c r="ITI10" s="5"/>
      <c r="ITJ10" s="5"/>
      <c r="ITK10" s="5"/>
      <c r="ITL10" s="5"/>
      <c r="ITM10" s="5"/>
      <c r="ITN10" s="5"/>
      <c r="ITO10" s="5"/>
      <c r="ITP10" s="5"/>
      <c r="ITQ10" s="5"/>
      <c r="ITR10" s="5"/>
      <c r="ITS10" s="5"/>
      <c r="ITT10" s="5"/>
      <c r="ITU10" s="5"/>
      <c r="ITV10" s="5"/>
      <c r="ITW10" s="5"/>
      <c r="ITX10" s="5"/>
      <c r="ITY10" s="5"/>
      <c r="ITZ10" s="5"/>
      <c r="IUA10" s="5"/>
      <c r="IUB10" s="5"/>
      <c r="IUC10" s="5"/>
      <c r="IUD10" s="5"/>
      <c r="IUE10" s="5"/>
      <c r="IUF10" s="5"/>
      <c r="IUG10" s="5"/>
      <c r="IUH10" s="5"/>
      <c r="IUI10" s="5"/>
      <c r="IUJ10" s="5"/>
      <c r="IUK10" s="5"/>
      <c r="IUL10" s="5"/>
      <c r="IUM10" s="5"/>
      <c r="IUN10" s="5"/>
      <c r="IUO10" s="5"/>
      <c r="IUP10" s="5"/>
      <c r="IUQ10" s="5"/>
      <c r="IUR10" s="5"/>
      <c r="IUS10" s="5"/>
      <c r="IUT10" s="5"/>
      <c r="IUU10" s="5"/>
      <c r="IUV10" s="5"/>
      <c r="IUW10" s="5"/>
      <c r="IUX10" s="5"/>
      <c r="IUY10" s="5"/>
      <c r="IUZ10" s="5"/>
      <c r="IVA10" s="5"/>
      <c r="IVB10" s="5"/>
      <c r="IVC10" s="5"/>
      <c r="IVD10" s="5"/>
      <c r="IVE10" s="5"/>
      <c r="IVF10" s="5"/>
      <c r="IVG10" s="5"/>
      <c r="IVH10" s="5"/>
      <c r="IVI10" s="5"/>
      <c r="IVJ10" s="5"/>
      <c r="IVK10" s="5"/>
      <c r="IVL10" s="5"/>
      <c r="IVM10" s="5"/>
      <c r="IVN10" s="5"/>
      <c r="IVO10" s="5"/>
      <c r="IVP10" s="5"/>
      <c r="IVQ10" s="5"/>
      <c r="IVR10" s="5"/>
      <c r="IVS10" s="5"/>
      <c r="IVT10" s="5"/>
      <c r="IVU10" s="5"/>
      <c r="IVV10" s="5"/>
      <c r="IVW10" s="5"/>
      <c r="IVX10" s="5"/>
      <c r="IVY10" s="5"/>
      <c r="IVZ10" s="5"/>
      <c r="IWA10" s="5"/>
      <c r="IWB10" s="5"/>
      <c r="IWC10" s="5"/>
      <c r="IWD10" s="5"/>
      <c r="IWE10" s="5"/>
      <c r="IWF10" s="5"/>
      <c r="IWG10" s="5"/>
      <c r="IWH10" s="5"/>
      <c r="IWI10" s="5"/>
      <c r="IWJ10" s="5"/>
      <c r="IWK10" s="5"/>
      <c r="IWL10" s="5"/>
      <c r="IWM10" s="5"/>
      <c r="IWN10" s="5"/>
      <c r="IWO10" s="5"/>
      <c r="IWP10" s="5"/>
      <c r="IWQ10" s="5"/>
      <c r="IWR10" s="5"/>
      <c r="IWS10" s="5"/>
      <c r="IWT10" s="5"/>
      <c r="IWU10" s="5"/>
      <c r="IWV10" s="5"/>
      <c r="IWW10" s="5"/>
      <c r="IWX10" s="5"/>
      <c r="IWY10" s="5"/>
      <c r="IWZ10" s="5"/>
      <c r="IXA10" s="5"/>
      <c r="IXB10" s="5"/>
      <c r="IXC10" s="5"/>
      <c r="IXD10" s="5"/>
      <c r="IXE10" s="5"/>
      <c r="IXF10" s="5"/>
      <c r="IXG10" s="5"/>
      <c r="IXH10" s="5"/>
      <c r="IXI10" s="5"/>
      <c r="IXJ10" s="5"/>
      <c r="IXK10" s="5"/>
      <c r="IXL10" s="5"/>
      <c r="IXM10" s="5"/>
      <c r="IXN10" s="5"/>
      <c r="IXO10" s="5"/>
      <c r="IXP10" s="5"/>
      <c r="IXQ10" s="5"/>
      <c r="IXR10" s="5"/>
      <c r="IXS10" s="5"/>
      <c r="IXT10" s="5"/>
      <c r="IXU10" s="5"/>
      <c r="IXV10" s="5"/>
      <c r="IXW10" s="5"/>
      <c r="IXX10" s="5"/>
      <c r="IXY10" s="5"/>
      <c r="IXZ10" s="5"/>
      <c r="IYA10" s="5"/>
      <c r="IYB10" s="5"/>
      <c r="IYC10" s="5"/>
      <c r="IYD10" s="5"/>
      <c r="IYE10" s="5"/>
      <c r="IYF10" s="5"/>
      <c r="IYG10" s="5"/>
      <c r="IYH10" s="5"/>
      <c r="IYI10" s="5"/>
      <c r="IYJ10" s="5"/>
      <c r="IYK10" s="5"/>
      <c r="IYL10" s="5"/>
      <c r="IYM10" s="5"/>
      <c r="IYN10" s="5"/>
      <c r="IYO10" s="5"/>
      <c r="IYP10" s="5"/>
      <c r="IYQ10" s="5"/>
      <c r="IYR10" s="5"/>
      <c r="IYS10" s="5"/>
      <c r="IYT10" s="5"/>
      <c r="IYU10" s="5"/>
      <c r="IYV10" s="5"/>
      <c r="IYW10" s="5"/>
      <c r="IYX10" s="5"/>
      <c r="IYY10" s="5"/>
      <c r="IYZ10" s="5"/>
      <c r="IZA10" s="5"/>
      <c r="IZB10" s="5"/>
      <c r="IZC10" s="5"/>
      <c r="IZD10" s="5"/>
      <c r="IZE10" s="5"/>
      <c r="IZF10" s="5"/>
      <c r="IZG10" s="5"/>
      <c r="IZH10" s="5"/>
      <c r="IZI10" s="5"/>
      <c r="IZJ10" s="5"/>
      <c r="IZK10" s="5"/>
      <c r="IZL10" s="5"/>
      <c r="IZM10" s="5"/>
      <c r="IZN10" s="5"/>
      <c r="IZO10" s="5"/>
      <c r="IZP10" s="5"/>
      <c r="IZQ10" s="5"/>
      <c r="IZR10" s="5"/>
      <c r="IZS10" s="5"/>
      <c r="IZT10" s="5"/>
      <c r="IZU10" s="5"/>
      <c r="IZV10" s="5"/>
      <c r="IZW10" s="5"/>
      <c r="IZX10" s="5"/>
      <c r="IZY10" s="5"/>
      <c r="IZZ10" s="5"/>
      <c r="JAA10" s="5"/>
      <c r="JAB10" s="5"/>
      <c r="JAC10" s="5"/>
      <c r="JAD10" s="5"/>
      <c r="JAE10" s="5"/>
      <c r="JAF10" s="5"/>
      <c r="JAG10" s="5"/>
      <c r="JAH10" s="5"/>
      <c r="JAI10" s="5"/>
      <c r="JAJ10" s="5"/>
      <c r="JAK10" s="5"/>
      <c r="JAL10" s="5"/>
      <c r="JAM10" s="5"/>
      <c r="JAN10" s="5"/>
      <c r="JAO10" s="5"/>
      <c r="JAP10" s="5"/>
      <c r="JAQ10" s="5"/>
      <c r="JAR10" s="5"/>
      <c r="JAS10" s="5"/>
      <c r="JAT10" s="5"/>
      <c r="JAU10" s="5"/>
      <c r="JAV10" s="5"/>
      <c r="JAW10" s="5"/>
      <c r="JAX10" s="5"/>
      <c r="JAY10" s="5"/>
      <c r="JAZ10" s="5"/>
      <c r="JBA10" s="5"/>
      <c r="JBB10" s="5"/>
      <c r="JBC10" s="5"/>
      <c r="JBD10" s="5"/>
      <c r="JBE10" s="5"/>
      <c r="JBF10" s="5"/>
      <c r="JBG10" s="5"/>
      <c r="JBH10" s="5"/>
      <c r="JBI10" s="5"/>
      <c r="JBJ10" s="5"/>
      <c r="JBK10" s="5"/>
      <c r="JBL10" s="5"/>
      <c r="JBM10" s="5"/>
      <c r="JBN10" s="5"/>
      <c r="JBO10" s="5"/>
      <c r="JBP10" s="5"/>
      <c r="JBQ10" s="5"/>
      <c r="JBR10" s="5"/>
      <c r="JBS10" s="5"/>
      <c r="JBT10" s="5"/>
      <c r="JBU10" s="5"/>
      <c r="JBV10" s="5"/>
      <c r="JBW10" s="5"/>
      <c r="JBX10" s="5"/>
      <c r="JBY10" s="5"/>
      <c r="JBZ10" s="5"/>
      <c r="JCA10" s="5"/>
      <c r="JCB10" s="5"/>
      <c r="JCC10" s="5"/>
      <c r="JCD10" s="5"/>
      <c r="JCE10" s="5"/>
      <c r="JCF10" s="5"/>
      <c r="JCG10" s="5"/>
      <c r="JCH10" s="5"/>
      <c r="JCI10" s="5"/>
      <c r="JCJ10" s="5"/>
      <c r="JCK10" s="5"/>
      <c r="JCL10" s="5"/>
      <c r="JCM10" s="5"/>
      <c r="JCN10" s="5"/>
      <c r="JCO10" s="5"/>
      <c r="JCP10" s="5"/>
      <c r="JCQ10" s="5"/>
      <c r="JCR10" s="5"/>
      <c r="JCS10" s="5"/>
      <c r="JCT10" s="5"/>
      <c r="JCU10" s="5"/>
      <c r="JCV10" s="5"/>
      <c r="JCW10" s="5"/>
      <c r="JCX10" s="5"/>
      <c r="JCY10" s="5"/>
      <c r="JCZ10" s="5"/>
      <c r="JDA10" s="5"/>
      <c r="JDB10" s="5"/>
      <c r="JDC10" s="5"/>
      <c r="JDD10" s="5"/>
      <c r="JDE10" s="5"/>
      <c r="JDF10" s="5"/>
      <c r="JDG10" s="5"/>
      <c r="JDH10" s="5"/>
      <c r="JDI10" s="5"/>
      <c r="JDJ10" s="5"/>
      <c r="JDK10" s="5"/>
      <c r="JDL10" s="5"/>
      <c r="JDM10" s="5"/>
      <c r="JDN10" s="5"/>
      <c r="JDO10" s="5"/>
      <c r="JDP10" s="5"/>
      <c r="JDQ10" s="5"/>
      <c r="JDR10" s="5"/>
      <c r="JDS10" s="5"/>
      <c r="JDT10" s="5"/>
      <c r="JDU10" s="5"/>
      <c r="JDV10" s="5"/>
      <c r="JDW10" s="5"/>
      <c r="JDX10" s="5"/>
      <c r="JDY10" s="5"/>
      <c r="JDZ10" s="5"/>
      <c r="JEA10" s="5"/>
      <c r="JEB10" s="5"/>
      <c r="JEC10" s="5"/>
      <c r="JED10" s="5"/>
      <c r="JEE10" s="5"/>
      <c r="JEF10" s="5"/>
      <c r="JEG10" s="5"/>
      <c r="JEH10" s="5"/>
      <c r="JEI10" s="5"/>
      <c r="JEJ10" s="5"/>
      <c r="JEK10" s="5"/>
      <c r="JEL10" s="5"/>
      <c r="JEM10" s="5"/>
      <c r="JEN10" s="5"/>
      <c r="JEO10" s="5"/>
      <c r="JEP10" s="5"/>
      <c r="JEQ10" s="5"/>
      <c r="JER10" s="5"/>
      <c r="JES10" s="5"/>
      <c r="JET10" s="5"/>
      <c r="JEU10" s="5"/>
      <c r="JEV10" s="5"/>
      <c r="JEW10" s="5"/>
      <c r="JEX10" s="5"/>
      <c r="JEY10" s="5"/>
      <c r="JEZ10" s="5"/>
      <c r="JFA10" s="5"/>
      <c r="JFB10" s="5"/>
      <c r="JFC10" s="5"/>
      <c r="JFD10" s="5"/>
      <c r="JFE10" s="5"/>
      <c r="JFF10" s="5"/>
      <c r="JFG10" s="5"/>
      <c r="JFH10" s="5"/>
      <c r="JFI10" s="5"/>
      <c r="JFJ10" s="5"/>
      <c r="JFK10" s="5"/>
      <c r="JFL10" s="5"/>
      <c r="JFM10" s="5"/>
      <c r="JFN10" s="5"/>
      <c r="JFO10" s="5"/>
      <c r="JFP10" s="5"/>
      <c r="JFQ10" s="5"/>
      <c r="JFR10" s="5"/>
      <c r="JFS10" s="5"/>
      <c r="JFT10" s="5"/>
      <c r="JFU10" s="5"/>
      <c r="JFV10" s="5"/>
      <c r="JFW10" s="5"/>
      <c r="JFX10" s="5"/>
      <c r="JFY10" s="5"/>
      <c r="JFZ10" s="5"/>
      <c r="JGA10" s="5"/>
      <c r="JGB10" s="5"/>
      <c r="JGC10" s="5"/>
      <c r="JGD10" s="5"/>
      <c r="JGE10" s="5"/>
      <c r="JGF10" s="5"/>
      <c r="JGG10" s="5"/>
      <c r="JGH10" s="5"/>
      <c r="JGI10" s="5"/>
      <c r="JGJ10" s="5"/>
      <c r="JGK10" s="5"/>
      <c r="JGL10" s="5"/>
      <c r="JGM10" s="5"/>
      <c r="JGN10" s="5"/>
      <c r="JGO10" s="5"/>
      <c r="JGP10" s="5"/>
      <c r="JGQ10" s="5"/>
      <c r="JGR10" s="5"/>
      <c r="JGS10" s="5"/>
      <c r="JGT10" s="5"/>
      <c r="JGU10" s="5"/>
      <c r="JGV10" s="5"/>
      <c r="JGW10" s="5"/>
      <c r="JGX10" s="5"/>
      <c r="JGY10" s="5"/>
      <c r="JGZ10" s="5"/>
      <c r="JHA10" s="5"/>
      <c r="JHB10" s="5"/>
      <c r="JHC10" s="5"/>
      <c r="JHD10" s="5"/>
      <c r="JHE10" s="5"/>
      <c r="JHF10" s="5"/>
      <c r="JHG10" s="5"/>
      <c r="JHH10" s="5"/>
      <c r="JHI10" s="5"/>
      <c r="JHJ10" s="5"/>
      <c r="JHK10" s="5"/>
      <c r="JHL10" s="5"/>
      <c r="JHM10" s="5"/>
      <c r="JHN10" s="5"/>
      <c r="JHO10" s="5"/>
      <c r="JHP10" s="5"/>
      <c r="JHQ10" s="5"/>
      <c r="JHR10" s="5"/>
      <c r="JHS10" s="5"/>
      <c r="JHT10" s="5"/>
      <c r="JHU10" s="5"/>
      <c r="JHV10" s="5"/>
      <c r="JHW10" s="5"/>
      <c r="JHX10" s="5"/>
      <c r="JHY10" s="5"/>
      <c r="JHZ10" s="5"/>
      <c r="JIA10" s="5"/>
      <c r="JIB10" s="5"/>
      <c r="JIC10" s="5"/>
      <c r="JID10" s="5"/>
      <c r="JIE10" s="5"/>
      <c r="JIF10" s="5"/>
      <c r="JIG10" s="5"/>
      <c r="JIH10" s="5"/>
      <c r="JII10" s="5"/>
      <c r="JIJ10" s="5"/>
      <c r="JIK10" s="5"/>
      <c r="JIL10" s="5"/>
      <c r="JIM10" s="5"/>
      <c r="JIN10" s="5"/>
      <c r="JIO10" s="5"/>
      <c r="JIP10" s="5"/>
      <c r="JIQ10" s="5"/>
      <c r="JIR10" s="5"/>
      <c r="JIS10" s="5"/>
      <c r="JIT10" s="5"/>
      <c r="JIU10" s="5"/>
      <c r="JIV10" s="5"/>
      <c r="JIW10" s="5"/>
      <c r="JIX10" s="5"/>
      <c r="JIY10" s="5"/>
      <c r="JIZ10" s="5"/>
      <c r="JJA10" s="5"/>
      <c r="JJB10" s="5"/>
      <c r="JJC10" s="5"/>
      <c r="JJD10" s="5"/>
      <c r="JJE10" s="5"/>
      <c r="JJF10" s="5"/>
      <c r="JJG10" s="5"/>
      <c r="JJH10" s="5"/>
      <c r="JJI10" s="5"/>
      <c r="JJJ10" s="5"/>
      <c r="JJK10" s="5"/>
      <c r="JJL10" s="5"/>
      <c r="JJM10" s="5"/>
      <c r="JJN10" s="5"/>
      <c r="JJO10" s="5"/>
      <c r="JJP10" s="5"/>
      <c r="JJQ10" s="5"/>
      <c r="JJR10" s="5"/>
      <c r="JJS10" s="5"/>
      <c r="JJT10" s="5"/>
      <c r="JJU10" s="5"/>
      <c r="JJV10" s="5"/>
      <c r="JJW10" s="5"/>
      <c r="JJX10" s="5"/>
      <c r="JJY10" s="5"/>
      <c r="JJZ10" s="5"/>
      <c r="JKA10" s="5"/>
      <c r="JKB10" s="5"/>
      <c r="JKC10" s="5"/>
      <c r="JKD10" s="5"/>
      <c r="JKE10" s="5"/>
      <c r="JKF10" s="5"/>
      <c r="JKG10" s="5"/>
      <c r="JKH10" s="5"/>
      <c r="JKI10" s="5"/>
      <c r="JKJ10" s="5"/>
      <c r="JKK10" s="5"/>
      <c r="JKL10" s="5"/>
      <c r="JKM10" s="5"/>
      <c r="JKN10" s="5"/>
      <c r="JKO10" s="5"/>
      <c r="JKP10" s="5"/>
      <c r="JKQ10" s="5"/>
      <c r="JKR10" s="5"/>
      <c r="JKS10" s="5"/>
      <c r="JKT10" s="5"/>
      <c r="JKU10" s="5"/>
      <c r="JKV10" s="5"/>
      <c r="JKW10" s="5"/>
      <c r="JKX10" s="5"/>
      <c r="JKY10" s="5"/>
      <c r="JKZ10" s="5"/>
      <c r="JLA10" s="5"/>
      <c r="JLB10" s="5"/>
      <c r="JLC10" s="5"/>
      <c r="JLD10" s="5"/>
      <c r="JLE10" s="5"/>
      <c r="JLF10" s="5"/>
      <c r="JLG10" s="5"/>
      <c r="JLH10" s="5"/>
      <c r="JLI10" s="5"/>
      <c r="JLJ10" s="5"/>
      <c r="JLK10" s="5"/>
      <c r="JLL10" s="5"/>
      <c r="JLM10" s="5"/>
      <c r="JLN10" s="5"/>
      <c r="JLO10" s="5"/>
      <c r="JLP10" s="5"/>
      <c r="JLQ10" s="5"/>
      <c r="JLR10" s="5"/>
      <c r="JLS10" s="5"/>
      <c r="JLT10" s="5"/>
      <c r="JLU10" s="5"/>
      <c r="JLV10" s="5"/>
      <c r="JLW10" s="5"/>
      <c r="JLX10" s="5"/>
      <c r="JLY10" s="5"/>
      <c r="JLZ10" s="5"/>
      <c r="JMA10" s="5"/>
      <c r="JMB10" s="5"/>
      <c r="JMC10" s="5"/>
      <c r="JMD10" s="5"/>
      <c r="JME10" s="5"/>
      <c r="JMF10" s="5"/>
      <c r="JMG10" s="5"/>
      <c r="JMH10" s="5"/>
      <c r="JMI10" s="5"/>
      <c r="JMJ10" s="5"/>
      <c r="JMK10" s="5"/>
      <c r="JML10" s="5"/>
      <c r="JMM10" s="5"/>
      <c r="JMN10" s="5"/>
      <c r="JMO10" s="5"/>
      <c r="JMP10" s="5"/>
      <c r="JMQ10" s="5"/>
      <c r="JMR10" s="5"/>
      <c r="JMS10" s="5"/>
      <c r="JMT10" s="5"/>
      <c r="JMU10" s="5"/>
      <c r="JMV10" s="5"/>
      <c r="JMW10" s="5"/>
      <c r="JMX10" s="5"/>
      <c r="JMY10" s="5"/>
      <c r="JMZ10" s="5"/>
      <c r="JNA10" s="5"/>
      <c r="JNB10" s="5"/>
      <c r="JNC10" s="5"/>
      <c r="JND10" s="5"/>
      <c r="JNE10" s="5"/>
      <c r="JNF10" s="5"/>
      <c r="JNG10" s="5"/>
      <c r="JNH10" s="5"/>
      <c r="JNI10" s="5"/>
      <c r="JNJ10" s="5"/>
      <c r="JNK10" s="5"/>
      <c r="JNL10" s="5"/>
      <c r="JNM10" s="5"/>
      <c r="JNN10" s="5"/>
      <c r="JNO10" s="5"/>
      <c r="JNP10" s="5"/>
      <c r="JNQ10" s="5"/>
      <c r="JNR10" s="5"/>
      <c r="JNS10" s="5"/>
      <c r="JNT10" s="5"/>
      <c r="JNU10" s="5"/>
      <c r="JNV10" s="5"/>
      <c r="JNW10" s="5"/>
      <c r="JNX10" s="5"/>
      <c r="JNY10" s="5"/>
      <c r="JNZ10" s="5"/>
      <c r="JOA10" s="5"/>
      <c r="JOB10" s="5"/>
      <c r="JOC10" s="5"/>
      <c r="JOD10" s="5"/>
      <c r="JOE10" s="5"/>
      <c r="JOF10" s="5"/>
      <c r="JOG10" s="5"/>
      <c r="JOH10" s="5"/>
      <c r="JOI10" s="5"/>
      <c r="JOJ10" s="5"/>
      <c r="JOK10" s="5"/>
      <c r="JOL10" s="5"/>
      <c r="JOM10" s="5"/>
      <c r="JON10" s="5"/>
      <c r="JOO10" s="5"/>
      <c r="JOP10" s="5"/>
      <c r="JOQ10" s="5"/>
      <c r="JOR10" s="5"/>
      <c r="JOS10" s="5"/>
      <c r="JOT10" s="5"/>
      <c r="JOU10" s="5"/>
      <c r="JOV10" s="5"/>
      <c r="JOW10" s="5"/>
      <c r="JOX10" s="5"/>
      <c r="JOY10" s="5"/>
      <c r="JOZ10" s="5"/>
      <c r="JPA10" s="5"/>
      <c r="JPB10" s="5"/>
      <c r="JPC10" s="5"/>
      <c r="JPD10" s="5"/>
      <c r="JPE10" s="5"/>
      <c r="JPF10" s="5"/>
      <c r="JPG10" s="5"/>
      <c r="JPH10" s="5"/>
      <c r="JPI10" s="5"/>
      <c r="JPJ10" s="5"/>
      <c r="JPK10" s="5"/>
      <c r="JPL10" s="5"/>
      <c r="JPM10" s="5"/>
      <c r="JPN10" s="5"/>
      <c r="JPO10" s="5"/>
      <c r="JPP10" s="5"/>
      <c r="JPQ10" s="5"/>
      <c r="JPR10" s="5"/>
      <c r="JPS10" s="5"/>
      <c r="JPT10" s="5"/>
      <c r="JPU10" s="5"/>
      <c r="JPV10" s="5"/>
      <c r="JPW10" s="5"/>
      <c r="JPX10" s="5"/>
      <c r="JPY10" s="5"/>
      <c r="JPZ10" s="5"/>
      <c r="JQA10" s="5"/>
      <c r="JQB10" s="5"/>
      <c r="JQC10" s="5"/>
      <c r="JQD10" s="5"/>
      <c r="JQE10" s="5"/>
      <c r="JQF10" s="5"/>
      <c r="JQG10" s="5"/>
      <c r="JQH10" s="5"/>
      <c r="JQI10" s="5"/>
      <c r="JQJ10" s="5"/>
      <c r="JQK10" s="5"/>
      <c r="JQL10" s="5"/>
      <c r="JQM10" s="5"/>
      <c r="JQN10" s="5"/>
      <c r="JQO10" s="5"/>
      <c r="JQP10" s="5"/>
      <c r="JQQ10" s="5"/>
      <c r="JQR10" s="5"/>
      <c r="JQS10" s="5"/>
      <c r="JQT10" s="5"/>
      <c r="JQU10" s="5"/>
      <c r="JQV10" s="5"/>
      <c r="JQW10" s="5"/>
      <c r="JQX10" s="5"/>
      <c r="JQY10" s="5"/>
      <c r="JQZ10" s="5"/>
      <c r="JRA10" s="5"/>
      <c r="JRB10" s="5"/>
      <c r="JRC10" s="5"/>
      <c r="JRD10" s="5"/>
      <c r="JRE10" s="5"/>
      <c r="JRF10" s="5"/>
      <c r="JRG10" s="5"/>
      <c r="JRH10" s="5"/>
      <c r="JRI10" s="5"/>
      <c r="JRJ10" s="5"/>
      <c r="JRK10" s="5"/>
      <c r="JRL10" s="5"/>
      <c r="JRM10" s="5"/>
      <c r="JRN10" s="5"/>
      <c r="JRO10" s="5"/>
      <c r="JRP10" s="5"/>
      <c r="JRQ10" s="5"/>
      <c r="JRR10" s="5"/>
      <c r="JRS10" s="5"/>
      <c r="JRT10" s="5"/>
      <c r="JRU10" s="5"/>
      <c r="JRV10" s="5"/>
      <c r="JRW10" s="5"/>
      <c r="JRX10" s="5"/>
      <c r="JRY10" s="5"/>
      <c r="JRZ10" s="5"/>
      <c r="JSA10" s="5"/>
      <c r="JSB10" s="5"/>
      <c r="JSC10" s="5"/>
      <c r="JSD10" s="5"/>
      <c r="JSE10" s="5"/>
      <c r="JSF10" s="5"/>
      <c r="JSG10" s="5"/>
      <c r="JSH10" s="5"/>
      <c r="JSI10" s="5"/>
      <c r="JSJ10" s="5"/>
      <c r="JSK10" s="5"/>
      <c r="JSL10" s="5"/>
      <c r="JSM10" s="5"/>
      <c r="JSN10" s="5"/>
      <c r="JSO10" s="5"/>
      <c r="JSP10" s="5"/>
      <c r="JSQ10" s="5"/>
      <c r="JSR10" s="5"/>
      <c r="JSS10" s="5"/>
      <c r="JST10" s="5"/>
      <c r="JSU10" s="5"/>
      <c r="JSV10" s="5"/>
      <c r="JSW10" s="5"/>
      <c r="JSX10" s="5"/>
      <c r="JSY10" s="5"/>
      <c r="JSZ10" s="5"/>
      <c r="JTA10" s="5"/>
      <c r="JTB10" s="5"/>
      <c r="JTC10" s="5"/>
      <c r="JTD10" s="5"/>
      <c r="JTE10" s="5"/>
      <c r="JTF10" s="5"/>
      <c r="JTG10" s="5"/>
      <c r="JTH10" s="5"/>
      <c r="JTI10" s="5"/>
      <c r="JTJ10" s="5"/>
      <c r="JTK10" s="5"/>
      <c r="JTL10" s="5"/>
      <c r="JTM10" s="5"/>
      <c r="JTN10" s="5"/>
      <c r="JTO10" s="5"/>
      <c r="JTP10" s="5"/>
      <c r="JTQ10" s="5"/>
      <c r="JTR10" s="5"/>
      <c r="JTS10" s="5"/>
      <c r="JTT10" s="5"/>
      <c r="JTU10" s="5"/>
      <c r="JTV10" s="5"/>
      <c r="JTW10" s="5"/>
      <c r="JTX10" s="5"/>
      <c r="JTY10" s="5"/>
      <c r="JTZ10" s="5"/>
      <c r="JUA10" s="5"/>
      <c r="JUB10" s="5"/>
      <c r="JUC10" s="5"/>
      <c r="JUD10" s="5"/>
      <c r="JUE10" s="5"/>
      <c r="JUF10" s="5"/>
      <c r="JUG10" s="5"/>
      <c r="JUH10" s="5"/>
      <c r="JUI10" s="5"/>
      <c r="JUJ10" s="5"/>
      <c r="JUK10" s="5"/>
      <c r="JUL10" s="5"/>
      <c r="JUM10" s="5"/>
      <c r="JUN10" s="5"/>
      <c r="JUO10" s="5"/>
      <c r="JUP10" s="5"/>
      <c r="JUQ10" s="5"/>
      <c r="JUR10" s="5"/>
      <c r="JUS10" s="5"/>
      <c r="JUT10" s="5"/>
      <c r="JUU10" s="5"/>
      <c r="JUV10" s="5"/>
      <c r="JUW10" s="5"/>
      <c r="JUX10" s="5"/>
      <c r="JUY10" s="5"/>
      <c r="JUZ10" s="5"/>
      <c r="JVA10" s="5"/>
      <c r="JVB10" s="5"/>
      <c r="JVC10" s="5"/>
      <c r="JVD10" s="5"/>
      <c r="JVE10" s="5"/>
      <c r="JVF10" s="5"/>
      <c r="JVG10" s="5"/>
      <c r="JVH10" s="5"/>
      <c r="JVI10" s="5"/>
      <c r="JVJ10" s="5"/>
      <c r="JVK10" s="5"/>
      <c r="JVL10" s="5"/>
      <c r="JVM10" s="5"/>
      <c r="JVN10" s="5"/>
      <c r="JVO10" s="5"/>
      <c r="JVP10" s="5"/>
      <c r="JVQ10" s="5"/>
      <c r="JVR10" s="5"/>
      <c r="JVS10" s="5"/>
      <c r="JVT10" s="5"/>
      <c r="JVU10" s="5"/>
      <c r="JVV10" s="5"/>
      <c r="JVW10" s="5"/>
      <c r="JVX10" s="5"/>
      <c r="JVY10" s="5"/>
      <c r="JVZ10" s="5"/>
      <c r="JWA10" s="5"/>
      <c r="JWB10" s="5"/>
      <c r="JWC10" s="5"/>
      <c r="JWD10" s="5"/>
      <c r="JWE10" s="5"/>
      <c r="JWF10" s="5"/>
      <c r="JWG10" s="5"/>
      <c r="JWH10" s="5"/>
      <c r="JWI10" s="5"/>
      <c r="JWJ10" s="5"/>
      <c r="JWK10" s="5"/>
      <c r="JWL10" s="5"/>
      <c r="JWM10" s="5"/>
      <c r="JWN10" s="5"/>
      <c r="JWO10" s="5"/>
      <c r="JWP10" s="5"/>
      <c r="JWQ10" s="5"/>
      <c r="JWR10" s="5"/>
      <c r="JWS10" s="5"/>
      <c r="JWT10" s="5"/>
      <c r="JWU10" s="5"/>
      <c r="JWV10" s="5"/>
      <c r="JWW10" s="5"/>
      <c r="JWX10" s="5"/>
      <c r="JWY10" s="5"/>
      <c r="JWZ10" s="5"/>
      <c r="JXA10" s="5"/>
      <c r="JXB10" s="5"/>
      <c r="JXC10" s="5"/>
      <c r="JXD10" s="5"/>
      <c r="JXE10" s="5"/>
      <c r="JXF10" s="5"/>
      <c r="JXG10" s="5"/>
      <c r="JXH10" s="5"/>
      <c r="JXI10" s="5"/>
      <c r="JXJ10" s="5"/>
      <c r="JXK10" s="5"/>
      <c r="JXL10" s="5"/>
      <c r="JXM10" s="5"/>
      <c r="JXN10" s="5"/>
      <c r="JXO10" s="5"/>
      <c r="JXP10" s="5"/>
      <c r="JXQ10" s="5"/>
      <c r="JXR10" s="5"/>
      <c r="JXS10" s="5"/>
      <c r="JXT10" s="5"/>
      <c r="JXU10" s="5"/>
      <c r="JXV10" s="5"/>
      <c r="JXW10" s="5"/>
      <c r="JXX10" s="5"/>
      <c r="JXY10" s="5"/>
      <c r="JXZ10" s="5"/>
      <c r="JYA10" s="5"/>
      <c r="JYB10" s="5"/>
      <c r="JYC10" s="5"/>
      <c r="JYD10" s="5"/>
      <c r="JYE10" s="5"/>
      <c r="JYF10" s="5"/>
      <c r="JYG10" s="5"/>
      <c r="JYH10" s="5"/>
      <c r="JYI10" s="5"/>
      <c r="JYJ10" s="5"/>
      <c r="JYK10" s="5"/>
      <c r="JYL10" s="5"/>
      <c r="JYM10" s="5"/>
      <c r="JYN10" s="5"/>
      <c r="JYO10" s="5"/>
      <c r="JYP10" s="5"/>
      <c r="JYQ10" s="5"/>
      <c r="JYR10" s="5"/>
      <c r="JYS10" s="5"/>
      <c r="JYT10" s="5"/>
      <c r="JYU10" s="5"/>
      <c r="JYV10" s="5"/>
      <c r="JYW10" s="5"/>
      <c r="JYX10" s="5"/>
      <c r="JYY10" s="5"/>
      <c r="JYZ10" s="5"/>
      <c r="JZA10" s="5"/>
      <c r="JZB10" s="5"/>
      <c r="JZC10" s="5"/>
      <c r="JZD10" s="5"/>
      <c r="JZE10" s="5"/>
      <c r="JZF10" s="5"/>
      <c r="JZG10" s="5"/>
      <c r="JZH10" s="5"/>
      <c r="JZI10" s="5"/>
      <c r="JZJ10" s="5"/>
      <c r="JZK10" s="5"/>
      <c r="JZL10" s="5"/>
      <c r="JZM10" s="5"/>
      <c r="JZN10" s="5"/>
      <c r="JZO10" s="5"/>
      <c r="JZP10" s="5"/>
      <c r="JZQ10" s="5"/>
      <c r="JZR10" s="5"/>
      <c r="JZS10" s="5"/>
      <c r="JZT10" s="5"/>
      <c r="JZU10" s="5"/>
      <c r="JZV10" s="5"/>
      <c r="JZW10" s="5"/>
      <c r="JZX10" s="5"/>
      <c r="JZY10" s="5"/>
      <c r="JZZ10" s="5"/>
      <c r="KAA10" s="5"/>
      <c r="KAB10" s="5"/>
      <c r="KAC10" s="5"/>
      <c r="KAD10" s="5"/>
      <c r="KAE10" s="5"/>
      <c r="KAF10" s="5"/>
      <c r="KAG10" s="5"/>
      <c r="KAH10" s="5"/>
      <c r="KAI10" s="5"/>
      <c r="KAJ10" s="5"/>
      <c r="KAK10" s="5"/>
      <c r="KAL10" s="5"/>
      <c r="KAM10" s="5"/>
      <c r="KAN10" s="5"/>
      <c r="KAO10" s="5"/>
      <c r="KAP10" s="5"/>
      <c r="KAQ10" s="5"/>
      <c r="KAR10" s="5"/>
      <c r="KAS10" s="5"/>
      <c r="KAT10" s="5"/>
      <c r="KAU10" s="5"/>
      <c r="KAV10" s="5"/>
      <c r="KAW10" s="5"/>
      <c r="KAX10" s="5"/>
      <c r="KAY10" s="5"/>
      <c r="KAZ10" s="5"/>
      <c r="KBA10" s="5"/>
      <c r="KBB10" s="5"/>
      <c r="KBC10" s="5"/>
      <c r="KBD10" s="5"/>
      <c r="KBE10" s="5"/>
      <c r="KBF10" s="5"/>
      <c r="KBG10" s="5"/>
      <c r="KBH10" s="5"/>
      <c r="KBI10" s="5"/>
      <c r="KBJ10" s="5"/>
      <c r="KBK10" s="5"/>
      <c r="KBL10" s="5"/>
      <c r="KBM10" s="5"/>
      <c r="KBN10" s="5"/>
      <c r="KBO10" s="5"/>
      <c r="KBP10" s="5"/>
      <c r="KBQ10" s="5"/>
      <c r="KBR10" s="5"/>
      <c r="KBS10" s="5"/>
      <c r="KBT10" s="5"/>
      <c r="KBU10" s="5"/>
      <c r="KBV10" s="5"/>
      <c r="KBW10" s="5"/>
      <c r="KBX10" s="5"/>
      <c r="KBY10" s="5"/>
      <c r="KBZ10" s="5"/>
      <c r="KCA10" s="5"/>
      <c r="KCB10" s="5"/>
      <c r="KCC10" s="5"/>
      <c r="KCD10" s="5"/>
      <c r="KCE10" s="5"/>
      <c r="KCF10" s="5"/>
      <c r="KCG10" s="5"/>
      <c r="KCH10" s="5"/>
      <c r="KCI10" s="5"/>
      <c r="KCJ10" s="5"/>
      <c r="KCK10" s="5"/>
      <c r="KCL10" s="5"/>
      <c r="KCM10" s="5"/>
      <c r="KCN10" s="5"/>
      <c r="KCO10" s="5"/>
      <c r="KCP10" s="5"/>
      <c r="KCQ10" s="5"/>
      <c r="KCR10" s="5"/>
      <c r="KCS10" s="5"/>
      <c r="KCT10" s="5"/>
      <c r="KCU10" s="5"/>
      <c r="KCV10" s="5"/>
      <c r="KCW10" s="5"/>
      <c r="KCX10" s="5"/>
      <c r="KCY10" s="5"/>
      <c r="KCZ10" s="5"/>
      <c r="KDA10" s="5"/>
      <c r="KDB10" s="5"/>
      <c r="KDC10" s="5"/>
      <c r="KDD10" s="5"/>
      <c r="KDE10" s="5"/>
      <c r="KDF10" s="5"/>
      <c r="KDG10" s="5"/>
      <c r="KDH10" s="5"/>
      <c r="KDI10" s="5"/>
      <c r="KDJ10" s="5"/>
      <c r="KDK10" s="5"/>
      <c r="KDL10" s="5"/>
      <c r="KDM10" s="5"/>
      <c r="KDN10" s="5"/>
      <c r="KDO10" s="5"/>
      <c r="KDP10" s="5"/>
      <c r="KDQ10" s="5"/>
      <c r="KDR10" s="5"/>
      <c r="KDS10" s="5"/>
      <c r="KDT10" s="5"/>
      <c r="KDU10" s="5"/>
      <c r="KDV10" s="5"/>
      <c r="KDW10" s="5"/>
      <c r="KDX10" s="5"/>
      <c r="KDY10" s="5"/>
      <c r="KDZ10" s="5"/>
      <c r="KEA10" s="5"/>
      <c r="KEB10" s="5"/>
      <c r="KEC10" s="5"/>
      <c r="KED10" s="5"/>
      <c r="KEE10" s="5"/>
      <c r="KEF10" s="5"/>
      <c r="KEG10" s="5"/>
      <c r="KEH10" s="5"/>
      <c r="KEI10" s="5"/>
      <c r="KEJ10" s="5"/>
      <c r="KEK10" s="5"/>
      <c r="KEL10" s="5"/>
      <c r="KEM10" s="5"/>
      <c r="KEN10" s="5"/>
      <c r="KEO10" s="5"/>
      <c r="KEP10" s="5"/>
      <c r="KEQ10" s="5"/>
      <c r="KER10" s="5"/>
      <c r="KES10" s="5"/>
      <c r="KET10" s="5"/>
      <c r="KEU10" s="5"/>
      <c r="KEV10" s="5"/>
      <c r="KEW10" s="5"/>
      <c r="KEX10" s="5"/>
      <c r="KEY10" s="5"/>
      <c r="KEZ10" s="5"/>
      <c r="KFA10" s="5"/>
      <c r="KFB10" s="5"/>
      <c r="KFC10" s="5"/>
      <c r="KFD10" s="5"/>
      <c r="KFE10" s="5"/>
      <c r="KFF10" s="5"/>
      <c r="KFG10" s="5"/>
      <c r="KFH10" s="5"/>
      <c r="KFI10" s="5"/>
      <c r="KFJ10" s="5"/>
      <c r="KFK10" s="5"/>
      <c r="KFL10" s="5"/>
      <c r="KFM10" s="5"/>
      <c r="KFN10" s="5"/>
      <c r="KFO10" s="5"/>
      <c r="KFP10" s="5"/>
      <c r="KFQ10" s="5"/>
      <c r="KFR10" s="5"/>
      <c r="KFS10" s="5"/>
      <c r="KFT10" s="5"/>
      <c r="KFU10" s="5"/>
      <c r="KFV10" s="5"/>
      <c r="KFW10" s="5"/>
      <c r="KFX10" s="5"/>
      <c r="KFY10" s="5"/>
      <c r="KFZ10" s="5"/>
      <c r="KGA10" s="5"/>
      <c r="KGB10" s="5"/>
      <c r="KGC10" s="5"/>
      <c r="KGD10" s="5"/>
      <c r="KGE10" s="5"/>
      <c r="KGF10" s="5"/>
      <c r="KGG10" s="5"/>
      <c r="KGH10" s="5"/>
      <c r="KGI10" s="5"/>
      <c r="KGJ10" s="5"/>
      <c r="KGK10" s="5"/>
      <c r="KGL10" s="5"/>
      <c r="KGM10" s="5"/>
      <c r="KGN10" s="5"/>
      <c r="KGO10" s="5"/>
      <c r="KGP10" s="5"/>
      <c r="KGQ10" s="5"/>
      <c r="KGR10" s="5"/>
      <c r="KGS10" s="5"/>
      <c r="KGT10" s="5"/>
      <c r="KGU10" s="5"/>
      <c r="KGV10" s="5"/>
      <c r="KGW10" s="5"/>
      <c r="KGX10" s="5"/>
      <c r="KGY10" s="5"/>
      <c r="KGZ10" s="5"/>
      <c r="KHA10" s="5"/>
      <c r="KHB10" s="5"/>
      <c r="KHC10" s="5"/>
      <c r="KHD10" s="5"/>
      <c r="KHE10" s="5"/>
      <c r="KHF10" s="5"/>
      <c r="KHG10" s="5"/>
      <c r="KHH10" s="5"/>
      <c r="KHI10" s="5"/>
      <c r="KHJ10" s="5"/>
      <c r="KHK10" s="5"/>
      <c r="KHL10" s="5"/>
      <c r="KHM10" s="5"/>
      <c r="KHN10" s="5"/>
      <c r="KHO10" s="5"/>
      <c r="KHP10" s="5"/>
      <c r="KHQ10" s="5"/>
      <c r="KHR10" s="5"/>
      <c r="KHS10" s="5"/>
      <c r="KHT10" s="5"/>
      <c r="KHU10" s="5"/>
      <c r="KHV10" s="5"/>
      <c r="KHW10" s="5"/>
      <c r="KHX10" s="5"/>
      <c r="KHY10" s="5"/>
      <c r="KHZ10" s="5"/>
      <c r="KIA10" s="5"/>
      <c r="KIB10" s="5"/>
      <c r="KIC10" s="5"/>
      <c r="KID10" s="5"/>
      <c r="KIE10" s="5"/>
      <c r="KIF10" s="5"/>
      <c r="KIG10" s="5"/>
      <c r="KIH10" s="5"/>
      <c r="KII10" s="5"/>
      <c r="KIJ10" s="5"/>
      <c r="KIK10" s="5"/>
      <c r="KIL10" s="5"/>
      <c r="KIM10" s="5"/>
      <c r="KIN10" s="5"/>
      <c r="KIO10" s="5"/>
      <c r="KIP10" s="5"/>
      <c r="KIQ10" s="5"/>
      <c r="KIR10" s="5"/>
      <c r="KIS10" s="5"/>
      <c r="KIT10" s="5"/>
      <c r="KIU10" s="5"/>
      <c r="KIV10" s="5"/>
      <c r="KIW10" s="5"/>
      <c r="KIX10" s="5"/>
      <c r="KIY10" s="5"/>
      <c r="KIZ10" s="5"/>
      <c r="KJA10" s="5"/>
      <c r="KJB10" s="5"/>
      <c r="KJC10" s="5"/>
      <c r="KJD10" s="5"/>
      <c r="KJE10" s="5"/>
      <c r="KJF10" s="5"/>
      <c r="KJG10" s="5"/>
      <c r="KJH10" s="5"/>
      <c r="KJI10" s="5"/>
      <c r="KJJ10" s="5"/>
      <c r="KJK10" s="5"/>
      <c r="KJL10" s="5"/>
      <c r="KJM10" s="5"/>
      <c r="KJN10" s="5"/>
      <c r="KJO10" s="5"/>
      <c r="KJP10" s="5"/>
      <c r="KJQ10" s="5"/>
      <c r="KJR10" s="5"/>
      <c r="KJS10" s="5"/>
      <c r="KJT10" s="5"/>
      <c r="KJU10" s="5"/>
      <c r="KJV10" s="5"/>
      <c r="KJW10" s="5"/>
      <c r="KJX10" s="5"/>
      <c r="KJY10" s="5"/>
      <c r="KJZ10" s="5"/>
      <c r="KKA10" s="5"/>
      <c r="KKB10" s="5"/>
      <c r="KKC10" s="5"/>
      <c r="KKD10" s="5"/>
      <c r="KKE10" s="5"/>
      <c r="KKF10" s="5"/>
      <c r="KKG10" s="5"/>
      <c r="KKH10" s="5"/>
      <c r="KKI10" s="5"/>
      <c r="KKJ10" s="5"/>
      <c r="KKK10" s="5"/>
      <c r="KKL10" s="5"/>
      <c r="KKM10" s="5"/>
      <c r="KKN10" s="5"/>
      <c r="KKO10" s="5"/>
      <c r="KKP10" s="5"/>
      <c r="KKQ10" s="5"/>
      <c r="KKR10" s="5"/>
      <c r="KKS10" s="5"/>
      <c r="KKT10" s="5"/>
      <c r="KKU10" s="5"/>
      <c r="KKV10" s="5"/>
      <c r="KKW10" s="5"/>
      <c r="KKX10" s="5"/>
      <c r="KKY10" s="5"/>
      <c r="KKZ10" s="5"/>
      <c r="KLA10" s="5"/>
      <c r="KLB10" s="5"/>
      <c r="KLC10" s="5"/>
      <c r="KLD10" s="5"/>
      <c r="KLE10" s="5"/>
      <c r="KLF10" s="5"/>
      <c r="KLG10" s="5"/>
      <c r="KLH10" s="5"/>
      <c r="KLI10" s="5"/>
      <c r="KLJ10" s="5"/>
      <c r="KLK10" s="5"/>
      <c r="KLL10" s="5"/>
      <c r="KLM10" s="5"/>
      <c r="KLN10" s="5"/>
      <c r="KLO10" s="5"/>
      <c r="KLP10" s="5"/>
      <c r="KLQ10" s="5"/>
      <c r="KLR10" s="5"/>
      <c r="KLS10" s="5"/>
      <c r="KLT10" s="5"/>
      <c r="KLU10" s="5"/>
      <c r="KLV10" s="5"/>
      <c r="KLW10" s="5"/>
      <c r="KLX10" s="5"/>
      <c r="KLY10" s="5"/>
      <c r="KLZ10" s="5"/>
      <c r="KMA10" s="5"/>
      <c r="KMB10" s="5"/>
      <c r="KMC10" s="5"/>
      <c r="KMD10" s="5"/>
      <c r="KME10" s="5"/>
      <c r="KMF10" s="5"/>
      <c r="KMG10" s="5"/>
      <c r="KMH10" s="5"/>
      <c r="KMI10" s="5"/>
      <c r="KMJ10" s="5"/>
      <c r="KMK10" s="5"/>
      <c r="KML10" s="5"/>
      <c r="KMM10" s="5"/>
      <c r="KMN10" s="5"/>
      <c r="KMO10" s="5"/>
      <c r="KMP10" s="5"/>
      <c r="KMQ10" s="5"/>
      <c r="KMR10" s="5"/>
      <c r="KMS10" s="5"/>
      <c r="KMT10" s="5"/>
      <c r="KMU10" s="5"/>
      <c r="KMV10" s="5"/>
      <c r="KMW10" s="5"/>
      <c r="KMX10" s="5"/>
      <c r="KMY10" s="5"/>
      <c r="KMZ10" s="5"/>
      <c r="KNA10" s="5"/>
      <c r="KNB10" s="5"/>
      <c r="KNC10" s="5"/>
      <c r="KND10" s="5"/>
      <c r="KNE10" s="5"/>
      <c r="KNF10" s="5"/>
      <c r="KNG10" s="5"/>
      <c r="KNH10" s="5"/>
      <c r="KNI10" s="5"/>
      <c r="KNJ10" s="5"/>
      <c r="KNK10" s="5"/>
      <c r="KNL10" s="5"/>
      <c r="KNM10" s="5"/>
      <c r="KNN10" s="5"/>
      <c r="KNO10" s="5"/>
      <c r="KNP10" s="5"/>
      <c r="KNQ10" s="5"/>
      <c r="KNR10" s="5"/>
      <c r="KNS10" s="5"/>
      <c r="KNT10" s="5"/>
      <c r="KNU10" s="5"/>
      <c r="KNV10" s="5"/>
      <c r="KNW10" s="5"/>
      <c r="KNX10" s="5"/>
      <c r="KNY10" s="5"/>
      <c r="KNZ10" s="5"/>
      <c r="KOA10" s="5"/>
      <c r="KOB10" s="5"/>
      <c r="KOC10" s="5"/>
      <c r="KOD10" s="5"/>
      <c r="KOE10" s="5"/>
      <c r="KOF10" s="5"/>
      <c r="KOG10" s="5"/>
      <c r="KOH10" s="5"/>
      <c r="KOI10" s="5"/>
      <c r="KOJ10" s="5"/>
      <c r="KOK10" s="5"/>
      <c r="KOL10" s="5"/>
      <c r="KOM10" s="5"/>
      <c r="KON10" s="5"/>
      <c r="KOO10" s="5"/>
      <c r="KOP10" s="5"/>
      <c r="KOQ10" s="5"/>
      <c r="KOR10" s="5"/>
      <c r="KOS10" s="5"/>
      <c r="KOT10" s="5"/>
      <c r="KOU10" s="5"/>
      <c r="KOV10" s="5"/>
      <c r="KOW10" s="5"/>
      <c r="KOX10" s="5"/>
      <c r="KOY10" s="5"/>
      <c r="KOZ10" s="5"/>
      <c r="KPA10" s="5"/>
      <c r="KPB10" s="5"/>
      <c r="KPC10" s="5"/>
      <c r="KPD10" s="5"/>
      <c r="KPE10" s="5"/>
      <c r="KPF10" s="5"/>
      <c r="KPG10" s="5"/>
      <c r="KPH10" s="5"/>
      <c r="KPI10" s="5"/>
      <c r="KPJ10" s="5"/>
      <c r="KPK10" s="5"/>
      <c r="KPL10" s="5"/>
      <c r="KPM10" s="5"/>
      <c r="KPN10" s="5"/>
      <c r="KPO10" s="5"/>
      <c r="KPP10" s="5"/>
      <c r="KPQ10" s="5"/>
      <c r="KPR10" s="5"/>
      <c r="KPS10" s="5"/>
      <c r="KPT10" s="5"/>
      <c r="KPU10" s="5"/>
      <c r="KPV10" s="5"/>
      <c r="KPW10" s="5"/>
      <c r="KPX10" s="5"/>
      <c r="KPY10" s="5"/>
      <c r="KPZ10" s="5"/>
      <c r="KQA10" s="5"/>
      <c r="KQB10" s="5"/>
      <c r="KQC10" s="5"/>
      <c r="KQD10" s="5"/>
      <c r="KQE10" s="5"/>
      <c r="KQF10" s="5"/>
      <c r="KQG10" s="5"/>
      <c r="KQH10" s="5"/>
      <c r="KQI10" s="5"/>
      <c r="KQJ10" s="5"/>
      <c r="KQK10" s="5"/>
      <c r="KQL10" s="5"/>
      <c r="KQM10" s="5"/>
      <c r="KQN10" s="5"/>
      <c r="KQO10" s="5"/>
      <c r="KQP10" s="5"/>
      <c r="KQQ10" s="5"/>
      <c r="KQR10" s="5"/>
      <c r="KQS10" s="5"/>
      <c r="KQT10" s="5"/>
      <c r="KQU10" s="5"/>
      <c r="KQV10" s="5"/>
      <c r="KQW10" s="5"/>
      <c r="KQX10" s="5"/>
      <c r="KQY10" s="5"/>
      <c r="KQZ10" s="5"/>
      <c r="KRA10" s="5"/>
      <c r="KRB10" s="5"/>
      <c r="KRC10" s="5"/>
      <c r="KRD10" s="5"/>
      <c r="KRE10" s="5"/>
      <c r="KRF10" s="5"/>
      <c r="KRG10" s="5"/>
      <c r="KRH10" s="5"/>
      <c r="KRI10" s="5"/>
      <c r="KRJ10" s="5"/>
      <c r="KRK10" s="5"/>
      <c r="KRL10" s="5"/>
      <c r="KRM10" s="5"/>
      <c r="KRN10" s="5"/>
      <c r="KRO10" s="5"/>
      <c r="KRP10" s="5"/>
      <c r="KRQ10" s="5"/>
      <c r="KRR10" s="5"/>
      <c r="KRS10" s="5"/>
      <c r="KRT10" s="5"/>
      <c r="KRU10" s="5"/>
      <c r="KRV10" s="5"/>
      <c r="KRW10" s="5"/>
      <c r="KRX10" s="5"/>
      <c r="KRY10" s="5"/>
      <c r="KRZ10" s="5"/>
      <c r="KSA10" s="5"/>
      <c r="KSB10" s="5"/>
      <c r="KSC10" s="5"/>
      <c r="KSD10" s="5"/>
      <c r="KSE10" s="5"/>
      <c r="KSF10" s="5"/>
      <c r="KSG10" s="5"/>
      <c r="KSH10" s="5"/>
      <c r="KSI10" s="5"/>
      <c r="KSJ10" s="5"/>
      <c r="KSK10" s="5"/>
      <c r="KSL10" s="5"/>
      <c r="KSM10" s="5"/>
      <c r="KSN10" s="5"/>
      <c r="KSO10" s="5"/>
      <c r="KSP10" s="5"/>
      <c r="KSQ10" s="5"/>
      <c r="KSR10" s="5"/>
      <c r="KSS10" s="5"/>
      <c r="KST10" s="5"/>
      <c r="KSU10" s="5"/>
      <c r="KSV10" s="5"/>
      <c r="KSW10" s="5"/>
      <c r="KSX10" s="5"/>
      <c r="KSY10" s="5"/>
      <c r="KSZ10" s="5"/>
      <c r="KTA10" s="5"/>
      <c r="KTB10" s="5"/>
      <c r="KTC10" s="5"/>
      <c r="KTD10" s="5"/>
      <c r="KTE10" s="5"/>
      <c r="KTF10" s="5"/>
      <c r="KTG10" s="5"/>
      <c r="KTH10" s="5"/>
      <c r="KTI10" s="5"/>
      <c r="KTJ10" s="5"/>
      <c r="KTK10" s="5"/>
      <c r="KTL10" s="5"/>
      <c r="KTM10" s="5"/>
      <c r="KTN10" s="5"/>
      <c r="KTO10" s="5"/>
      <c r="KTP10" s="5"/>
      <c r="KTQ10" s="5"/>
      <c r="KTR10" s="5"/>
      <c r="KTS10" s="5"/>
      <c r="KTT10" s="5"/>
      <c r="KTU10" s="5"/>
      <c r="KTV10" s="5"/>
      <c r="KTW10" s="5"/>
      <c r="KTX10" s="5"/>
      <c r="KTY10" s="5"/>
      <c r="KTZ10" s="5"/>
      <c r="KUA10" s="5"/>
      <c r="KUB10" s="5"/>
      <c r="KUC10" s="5"/>
      <c r="KUD10" s="5"/>
      <c r="KUE10" s="5"/>
      <c r="KUF10" s="5"/>
      <c r="KUG10" s="5"/>
      <c r="KUH10" s="5"/>
      <c r="KUI10" s="5"/>
      <c r="KUJ10" s="5"/>
      <c r="KUK10" s="5"/>
      <c r="KUL10" s="5"/>
      <c r="KUM10" s="5"/>
      <c r="KUN10" s="5"/>
      <c r="KUO10" s="5"/>
      <c r="KUP10" s="5"/>
      <c r="KUQ10" s="5"/>
      <c r="KUR10" s="5"/>
      <c r="KUS10" s="5"/>
      <c r="KUT10" s="5"/>
      <c r="KUU10" s="5"/>
      <c r="KUV10" s="5"/>
      <c r="KUW10" s="5"/>
      <c r="KUX10" s="5"/>
      <c r="KUY10" s="5"/>
      <c r="KUZ10" s="5"/>
      <c r="KVA10" s="5"/>
      <c r="KVB10" s="5"/>
      <c r="KVC10" s="5"/>
      <c r="KVD10" s="5"/>
      <c r="KVE10" s="5"/>
      <c r="KVF10" s="5"/>
      <c r="KVG10" s="5"/>
      <c r="KVH10" s="5"/>
      <c r="KVI10" s="5"/>
      <c r="KVJ10" s="5"/>
      <c r="KVK10" s="5"/>
      <c r="KVL10" s="5"/>
      <c r="KVM10" s="5"/>
      <c r="KVN10" s="5"/>
      <c r="KVO10" s="5"/>
      <c r="KVP10" s="5"/>
      <c r="KVQ10" s="5"/>
      <c r="KVR10" s="5"/>
      <c r="KVS10" s="5"/>
      <c r="KVT10" s="5"/>
      <c r="KVU10" s="5"/>
      <c r="KVV10" s="5"/>
      <c r="KVW10" s="5"/>
      <c r="KVX10" s="5"/>
      <c r="KVY10" s="5"/>
      <c r="KVZ10" s="5"/>
      <c r="KWA10" s="5"/>
      <c r="KWB10" s="5"/>
      <c r="KWC10" s="5"/>
      <c r="KWD10" s="5"/>
      <c r="KWE10" s="5"/>
      <c r="KWF10" s="5"/>
      <c r="KWG10" s="5"/>
      <c r="KWH10" s="5"/>
      <c r="KWI10" s="5"/>
      <c r="KWJ10" s="5"/>
      <c r="KWK10" s="5"/>
      <c r="KWL10" s="5"/>
      <c r="KWM10" s="5"/>
      <c r="KWN10" s="5"/>
      <c r="KWO10" s="5"/>
      <c r="KWP10" s="5"/>
      <c r="KWQ10" s="5"/>
      <c r="KWR10" s="5"/>
      <c r="KWS10" s="5"/>
      <c r="KWT10" s="5"/>
      <c r="KWU10" s="5"/>
      <c r="KWV10" s="5"/>
      <c r="KWW10" s="5"/>
      <c r="KWX10" s="5"/>
      <c r="KWY10" s="5"/>
      <c r="KWZ10" s="5"/>
      <c r="KXA10" s="5"/>
      <c r="KXB10" s="5"/>
      <c r="KXC10" s="5"/>
      <c r="KXD10" s="5"/>
      <c r="KXE10" s="5"/>
      <c r="KXF10" s="5"/>
      <c r="KXG10" s="5"/>
      <c r="KXH10" s="5"/>
      <c r="KXI10" s="5"/>
      <c r="KXJ10" s="5"/>
      <c r="KXK10" s="5"/>
      <c r="KXL10" s="5"/>
      <c r="KXM10" s="5"/>
      <c r="KXN10" s="5"/>
      <c r="KXO10" s="5"/>
      <c r="KXP10" s="5"/>
      <c r="KXQ10" s="5"/>
      <c r="KXR10" s="5"/>
      <c r="KXS10" s="5"/>
      <c r="KXT10" s="5"/>
      <c r="KXU10" s="5"/>
      <c r="KXV10" s="5"/>
      <c r="KXW10" s="5"/>
      <c r="KXX10" s="5"/>
      <c r="KXY10" s="5"/>
      <c r="KXZ10" s="5"/>
      <c r="KYA10" s="5"/>
      <c r="KYB10" s="5"/>
      <c r="KYC10" s="5"/>
      <c r="KYD10" s="5"/>
      <c r="KYE10" s="5"/>
      <c r="KYF10" s="5"/>
      <c r="KYG10" s="5"/>
      <c r="KYH10" s="5"/>
      <c r="KYI10" s="5"/>
      <c r="KYJ10" s="5"/>
      <c r="KYK10" s="5"/>
      <c r="KYL10" s="5"/>
      <c r="KYM10" s="5"/>
      <c r="KYN10" s="5"/>
      <c r="KYO10" s="5"/>
      <c r="KYP10" s="5"/>
      <c r="KYQ10" s="5"/>
      <c r="KYR10" s="5"/>
      <c r="KYS10" s="5"/>
      <c r="KYT10" s="5"/>
      <c r="KYU10" s="5"/>
      <c r="KYV10" s="5"/>
      <c r="KYW10" s="5"/>
      <c r="KYX10" s="5"/>
      <c r="KYY10" s="5"/>
      <c r="KYZ10" s="5"/>
      <c r="KZA10" s="5"/>
      <c r="KZB10" s="5"/>
      <c r="KZC10" s="5"/>
      <c r="KZD10" s="5"/>
      <c r="KZE10" s="5"/>
      <c r="KZF10" s="5"/>
      <c r="KZG10" s="5"/>
      <c r="KZH10" s="5"/>
      <c r="KZI10" s="5"/>
      <c r="KZJ10" s="5"/>
      <c r="KZK10" s="5"/>
      <c r="KZL10" s="5"/>
      <c r="KZM10" s="5"/>
      <c r="KZN10" s="5"/>
      <c r="KZO10" s="5"/>
      <c r="KZP10" s="5"/>
      <c r="KZQ10" s="5"/>
      <c r="KZR10" s="5"/>
      <c r="KZS10" s="5"/>
      <c r="KZT10" s="5"/>
      <c r="KZU10" s="5"/>
      <c r="KZV10" s="5"/>
      <c r="KZW10" s="5"/>
      <c r="KZX10" s="5"/>
      <c r="KZY10" s="5"/>
      <c r="KZZ10" s="5"/>
      <c r="LAA10" s="5"/>
      <c r="LAB10" s="5"/>
      <c r="LAC10" s="5"/>
      <c r="LAD10" s="5"/>
      <c r="LAE10" s="5"/>
      <c r="LAF10" s="5"/>
      <c r="LAG10" s="5"/>
      <c r="LAH10" s="5"/>
      <c r="LAI10" s="5"/>
      <c r="LAJ10" s="5"/>
      <c r="LAK10" s="5"/>
      <c r="LAL10" s="5"/>
      <c r="LAM10" s="5"/>
      <c r="LAN10" s="5"/>
      <c r="LAO10" s="5"/>
      <c r="LAP10" s="5"/>
      <c r="LAQ10" s="5"/>
      <c r="LAR10" s="5"/>
      <c r="LAS10" s="5"/>
      <c r="LAT10" s="5"/>
      <c r="LAU10" s="5"/>
      <c r="LAV10" s="5"/>
      <c r="LAW10" s="5"/>
      <c r="LAX10" s="5"/>
      <c r="LAY10" s="5"/>
      <c r="LAZ10" s="5"/>
      <c r="LBA10" s="5"/>
      <c r="LBB10" s="5"/>
      <c r="LBC10" s="5"/>
      <c r="LBD10" s="5"/>
      <c r="LBE10" s="5"/>
      <c r="LBF10" s="5"/>
      <c r="LBG10" s="5"/>
      <c r="LBH10" s="5"/>
      <c r="LBI10" s="5"/>
      <c r="LBJ10" s="5"/>
      <c r="LBK10" s="5"/>
      <c r="LBL10" s="5"/>
      <c r="LBM10" s="5"/>
      <c r="LBN10" s="5"/>
      <c r="LBO10" s="5"/>
      <c r="LBP10" s="5"/>
      <c r="LBQ10" s="5"/>
      <c r="LBR10" s="5"/>
      <c r="LBS10" s="5"/>
      <c r="LBT10" s="5"/>
      <c r="LBU10" s="5"/>
      <c r="LBV10" s="5"/>
      <c r="LBW10" s="5"/>
      <c r="LBX10" s="5"/>
      <c r="LBY10" s="5"/>
      <c r="LBZ10" s="5"/>
      <c r="LCA10" s="5"/>
      <c r="LCB10" s="5"/>
      <c r="LCC10" s="5"/>
      <c r="LCD10" s="5"/>
      <c r="LCE10" s="5"/>
      <c r="LCF10" s="5"/>
      <c r="LCG10" s="5"/>
      <c r="LCH10" s="5"/>
      <c r="LCI10" s="5"/>
      <c r="LCJ10" s="5"/>
      <c r="LCK10" s="5"/>
      <c r="LCL10" s="5"/>
      <c r="LCM10" s="5"/>
      <c r="LCN10" s="5"/>
      <c r="LCO10" s="5"/>
      <c r="LCP10" s="5"/>
      <c r="LCQ10" s="5"/>
      <c r="LCR10" s="5"/>
      <c r="LCS10" s="5"/>
      <c r="LCT10" s="5"/>
      <c r="LCU10" s="5"/>
      <c r="LCV10" s="5"/>
      <c r="LCW10" s="5"/>
      <c r="LCX10" s="5"/>
      <c r="LCY10" s="5"/>
      <c r="LCZ10" s="5"/>
      <c r="LDA10" s="5"/>
      <c r="LDB10" s="5"/>
      <c r="LDC10" s="5"/>
      <c r="LDD10" s="5"/>
      <c r="LDE10" s="5"/>
      <c r="LDF10" s="5"/>
      <c r="LDG10" s="5"/>
      <c r="LDH10" s="5"/>
      <c r="LDI10" s="5"/>
      <c r="LDJ10" s="5"/>
      <c r="LDK10" s="5"/>
      <c r="LDL10" s="5"/>
      <c r="LDM10" s="5"/>
      <c r="LDN10" s="5"/>
      <c r="LDO10" s="5"/>
      <c r="LDP10" s="5"/>
      <c r="LDQ10" s="5"/>
      <c r="LDR10" s="5"/>
      <c r="LDS10" s="5"/>
      <c r="LDT10" s="5"/>
      <c r="LDU10" s="5"/>
      <c r="LDV10" s="5"/>
      <c r="LDW10" s="5"/>
      <c r="LDX10" s="5"/>
      <c r="LDY10" s="5"/>
      <c r="LDZ10" s="5"/>
      <c r="LEA10" s="5"/>
      <c r="LEB10" s="5"/>
      <c r="LEC10" s="5"/>
      <c r="LED10" s="5"/>
      <c r="LEE10" s="5"/>
      <c r="LEF10" s="5"/>
      <c r="LEG10" s="5"/>
      <c r="LEH10" s="5"/>
      <c r="LEI10" s="5"/>
      <c r="LEJ10" s="5"/>
      <c r="LEK10" s="5"/>
      <c r="LEL10" s="5"/>
      <c r="LEM10" s="5"/>
      <c r="LEN10" s="5"/>
      <c r="LEO10" s="5"/>
      <c r="LEP10" s="5"/>
      <c r="LEQ10" s="5"/>
      <c r="LER10" s="5"/>
      <c r="LES10" s="5"/>
      <c r="LET10" s="5"/>
      <c r="LEU10" s="5"/>
      <c r="LEV10" s="5"/>
      <c r="LEW10" s="5"/>
      <c r="LEX10" s="5"/>
      <c r="LEY10" s="5"/>
      <c r="LEZ10" s="5"/>
      <c r="LFA10" s="5"/>
      <c r="LFB10" s="5"/>
      <c r="LFC10" s="5"/>
      <c r="LFD10" s="5"/>
      <c r="LFE10" s="5"/>
      <c r="LFF10" s="5"/>
      <c r="LFG10" s="5"/>
      <c r="LFH10" s="5"/>
      <c r="LFI10" s="5"/>
      <c r="LFJ10" s="5"/>
      <c r="LFK10" s="5"/>
      <c r="LFL10" s="5"/>
      <c r="LFM10" s="5"/>
      <c r="LFN10" s="5"/>
      <c r="LFO10" s="5"/>
      <c r="LFP10" s="5"/>
      <c r="LFQ10" s="5"/>
      <c r="LFR10" s="5"/>
      <c r="LFS10" s="5"/>
      <c r="LFT10" s="5"/>
      <c r="LFU10" s="5"/>
      <c r="LFV10" s="5"/>
      <c r="LFW10" s="5"/>
      <c r="LFX10" s="5"/>
      <c r="LFY10" s="5"/>
      <c r="LFZ10" s="5"/>
      <c r="LGA10" s="5"/>
      <c r="LGB10" s="5"/>
      <c r="LGC10" s="5"/>
      <c r="LGD10" s="5"/>
      <c r="LGE10" s="5"/>
      <c r="LGF10" s="5"/>
      <c r="LGG10" s="5"/>
      <c r="LGH10" s="5"/>
      <c r="LGI10" s="5"/>
      <c r="LGJ10" s="5"/>
      <c r="LGK10" s="5"/>
      <c r="LGL10" s="5"/>
      <c r="LGM10" s="5"/>
      <c r="LGN10" s="5"/>
      <c r="LGO10" s="5"/>
      <c r="LGP10" s="5"/>
      <c r="LGQ10" s="5"/>
      <c r="LGR10" s="5"/>
      <c r="LGS10" s="5"/>
      <c r="LGT10" s="5"/>
      <c r="LGU10" s="5"/>
      <c r="LGV10" s="5"/>
      <c r="LGW10" s="5"/>
      <c r="LGX10" s="5"/>
      <c r="LGY10" s="5"/>
      <c r="LGZ10" s="5"/>
      <c r="LHA10" s="5"/>
      <c r="LHB10" s="5"/>
      <c r="LHC10" s="5"/>
      <c r="LHD10" s="5"/>
      <c r="LHE10" s="5"/>
      <c r="LHF10" s="5"/>
      <c r="LHG10" s="5"/>
      <c r="LHH10" s="5"/>
      <c r="LHI10" s="5"/>
      <c r="LHJ10" s="5"/>
      <c r="LHK10" s="5"/>
      <c r="LHL10" s="5"/>
      <c r="LHM10" s="5"/>
      <c r="LHN10" s="5"/>
      <c r="LHO10" s="5"/>
      <c r="LHP10" s="5"/>
      <c r="LHQ10" s="5"/>
      <c r="LHR10" s="5"/>
      <c r="LHS10" s="5"/>
      <c r="LHT10" s="5"/>
      <c r="LHU10" s="5"/>
      <c r="LHV10" s="5"/>
      <c r="LHW10" s="5"/>
      <c r="LHX10" s="5"/>
      <c r="LHY10" s="5"/>
      <c r="LHZ10" s="5"/>
      <c r="LIA10" s="5"/>
      <c r="LIB10" s="5"/>
      <c r="LIC10" s="5"/>
      <c r="LID10" s="5"/>
      <c r="LIE10" s="5"/>
      <c r="LIF10" s="5"/>
      <c r="LIG10" s="5"/>
      <c r="LIH10" s="5"/>
      <c r="LII10" s="5"/>
      <c r="LIJ10" s="5"/>
      <c r="LIK10" s="5"/>
      <c r="LIL10" s="5"/>
      <c r="LIM10" s="5"/>
      <c r="LIN10" s="5"/>
      <c r="LIO10" s="5"/>
      <c r="LIP10" s="5"/>
      <c r="LIQ10" s="5"/>
      <c r="LIR10" s="5"/>
      <c r="LIS10" s="5"/>
      <c r="LIT10" s="5"/>
      <c r="LIU10" s="5"/>
      <c r="LIV10" s="5"/>
      <c r="LIW10" s="5"/>
      <c r="LIX10" s="5"/>
      <c r="LIY10" s="5"/>
      <c r="LIZ10" s="5"/>
      <c r="LJA10" s="5"/>
      <c r="LJB10" s="5"/>
      <c r="LJC10" s="5"/>
      <c r="LJD10" s="5"/>
      <c r="LJE10" s="5"/>
      <c r="LJF10" s="5"/>
      <c r="LJG10" s="5"/>
      <c r="LJH10" s="5"/>
      <c r="LJI10" s="5"/>
      <c r="LJJ10" s="5"/>
      <c r="LJK10" s="5"/>
      <c r="LJL10" s="5"/>
      <c r="LJM10" s="5"/>
      <c r="LJN10" s="5"/>
      <c r="LJO10" s="5"/>
      <c r="LJP10" s="5"/>
      <c r="LJQ10" s="5"/>
      <c r="LJR10" s="5"/>
      <c r="LJS10" s="5"/>
      <c r="LJT10" s="5"/>
      <c r="LJU10" s="5"/>
      <c r="LJV10" s="5"/>
      <c r="LJW10" s="5"/>
      <c r="LJX10" s="5"/>
      <c r="LJY10" s="5"/>
      <c r="LJZ10" s="5"/>
      <c r="LKA10" s="5"/>
      <c r="LKB10" s="5"/>
      <c r="LKC10" s="5"/>
      <c r="LKD10" s="5"/>
      <c r="LKE10" s="5"/>
      <c r="LKF10" s="5"/>
      <c r="LKG10" s="5"/>
      <c r="LKH10" s="5"/>
      <c r="LKI10" s="5"/>
      <c r="LKJ10" s="5"/>
      <c r="LKK10" s="5"/>
      <c r="LKL10" s="5"/>
      <c r="LKM10" s="5"/>
      <c r="LKN10" s="5"/>
      <c r="LKO10" s="5"/>
      <c r="LKP10" s="5"/>
      <c r="LKQ10" s="5"/>
      <c r="LKR10" s="5"/>
      <c r="LKS10" s="5"/>
      <c r="LKT10" s="5"/>
      <c r="LKU10" s="5"/>
      <c r="LKV10" s="5"/>
      <c r="LKW10" s="5"/>
      <c r="LKX10" s="5"/>
      <c r="LKY10" s="5"/>
      <c r="LKZ10" s="5"/>
      <c r="LLA10" s="5"/>
      <c r="LLB10" s="5"/>
      <c r="LLC10" s="5"/>
      <c r="LLD10" s="5"/>
      <c r="LLE10" s="5"/>
      <c r="LLF10" s="5"/>
      <c r="LLG10" s="5"/>
      <c r="LLH10" s="5"/>
      <c r="LLI10" s="5"/>
      <c r="LLJ10" s="5"/>
      <c r="LLK10" s="5"/>
      <c r="LLL10" s="5"/>
      <c r="LLM10" s="5"/>
      <c r="LLN10" s="5"/>
      <c r="LLO10" s="5"/>
      <c r="LLP10" s="5"/>
      <c r="LLQ10" s="5"/>
      <c r="LLR10" s="5"/>
      <c r="LLS10" s="5"/>
      <c r="LLT10" s="5"/>
      <c r="LLU10" s="5"/>
      <c r="LLV10" s="5"/>
      <c r="LLW10" s="5"/>
      <c r="LLX10" s="5"/>
      <c r="LLY10" s="5"/>
      <c r="LLZ10" s="5"/>
      <c r="LMA10" s="5"/>
      <c r="LMB10" s="5"/>
      <c r="LMC10" s="5"/>
      <c r="LMD10" s="5"/>
      <c r="LME10" s="5"/>
      <c r="LMF10" s="5"/>
      <c r="LMG10" s="5"/>
      <c r="LMH10" s="5"/>
      <c r="LMI10" s="5"/>
      <c r="LMJ10" s="5"/>
      <c r="LMK10" s="5"/>
      <c r="LML10" s="5"/>
      <c r="LMM10" s="5"/>
      <c r="LMN10" s="5"/>
      <c r="LMO10" s="5"/>
      <c r="LMP10" s="5"/>
      <c r="LMQ10" s="5"/>
      <c r="LMR10" s="5"/>
      <c r="LMS10" s="5"/>
      <c r="LMT10" s="5"/>
      <c r="LMU10" s="5"/>
      <c r="LMV10" s="5"/>
      <c r="LMW10" s="5"/>
      <c r="LMX10" s="5"/>
      <c r="LMY10" s="5"/>
      <c r="LMZ10" s="5"/>
      <c r="LNA10" s="5"/>
      <c r="LNB10" s="5"/>
      <c r="LNC10" s="5"/>
      <c r="LND10" s="5"/>
      <c r="LNE10" s="5"/>
      <c r="LNF10" s="5"/>
      <c r="LNG10" s="5"/>
      <c r="LNH10" s="5"/>
      <c r="LNI10" s="5"/>
      <c r="LNJ10" s="5"/>
      <c r="LNK10" s="5"/>
      <c r="LNL10" s="5"/>
      <c r="LNM10" s="5"/>
      <c r="LNN10" s="5"/>
      <c r="LNO10" s="5"/>
      <c r="LNP10" s="5"/>
      <c r="LNQ10" s="5"/>
      <c r="LNR10" s="5"/>
      <c r="LNS10" s="5"/>
      <c r="LNT10" s="5"/>
      <c r="LNU10" s="5"/>
      <c r="LNV10" s="5"/>
      <c r="LNW10" s="5"/>
      <c r="LNX10" s="5"/>
      <c r="LNY10" s="5"/>
      <c r="LNZ10" s="5"/>
      <c r="LOA10" s="5"/>
      <c r="LOB10" s="5"/>
      <c r="LOC10" s="5"/>
      <c r="LOD10" s="5"/>
      <c r="LOE10" s="5"/>
      <c r="LOF10" s="5"/>
      <c r="LOG10" s="5"/>
      <c r="LOH10" s="5"/>
      <c r="LOI10" s="5"/>
      <c r="LOJ10" s="5"/>
      <c r="LOK10" s="5"/>
      <c r="LOL10" s="5"/>
      <c r="LOM10" s="5"/>
      <c r="LON10" s="5"/>
      <c r="LOO10" s="5"/>
      <c r="LOP10" s="5"/>
      <c r="LOQ10" s="5"/>
      <c r="LOR10" s="5"/>
      <c r="LOS10" s="5"/>
      <c r="LOT10" s="5"/>
      <c r="LOU10" s="5"/>
      <c r="LOV10" s="5"/>
      <c r="LOW10" s="5"/>
      <c r="LOX10" s="5"/>
      <c r="LOY10" s="5"/>
      <c r="LOZ10" s="5"/>
      <c r="LPA10" s="5"/>
      <c r="LPB10" s="5"/>
      <c r="LPC10" s="5"/>
      <c r="LPD10" s="5"/>
      <c r="LPE10" s="5"/>
      <c r="LPF10" s="5"/>
      <c r="LPG10" s="5"/>
      <c r="LPH10" s="5"/>
      <c r="LPI10" s="5"/>
      <c r="LPJ10" s="5"/>
      <c r="LPK10" s="5"/>
      <c r="LPL10" s="5"/>
      <c r="LPM10" s="5"/>
      <c r="LPN10" s="5"/>
      <c r="LPO10" s="5"/>
      <c r="LPP10" s="5"/>
      <c r="LPQ10" s="5"/>
      <c r="LPR10" s="5"/>
      <c r="LPS10" s="5"/>
      <c r="LPT10" s="5"/>
      <c r="LPU10" s="5"/>
      <c r="LPV10" s="5"/>
      <c r="LPW10" s="5"/>
      <c r="LPX10" s="5"/>
      <c r="LPY10" s="5"/>
      <c r="LPZ10" s="5"/>
      <c r="LQA10" s="5"/>
      <c r="LQB10" s="5"/>
      <c r="LQC10" s="5"/>
      <c r="LQD10" s="5"/>
      <c r="LQE10" s="5"/>
      <c r="LQF10" s="5"/>
      <c r="LQG10" s="5"/>
      <c r="LQH10" s="5"/>
      <c r="LQI10" s="5"/>
      <c r="LQJ10" s="5"/>
      <c r="LQK10" s="5"/>
      <c r="LQL10" s="5"/>
      <c r="LQM10" s="5"/>
      <c r="LQN10" s="5"/>
      <c r="LQO10" s="5"/>
      <c r="LQP10" s="5"/>
      <c r="LQQ10" s="5"/>
      <c r="LQR10" s="5"/>
      <c r="LQS10" s="5"/>
      <c r="LQT10" s="5"/>
      <c r="LQU10" s="5"/>
      <c r="LQV10" s="5"/>
      <c r="LQW10" s="5"/>
      <c r="LQX10" s="5"/>
      <c r="LQY10" s="5"/>
      <c r="LQZ10" s="5"/>
      <c r="LRA10" s="5"/>
      <c r="LRB10" s="5"/>
      <c r="LRC10" s="5"/>
      <c r="LRD10" s="5"/>
      <c r="LRE10" s="5"/>
      <c r="LRF10" s="5"/>
      <c r="LRG10" s="5"/>
      <c r="LRH10" s="5"/>
      <c r="LRI10" s="5"/>
      <c r="LRJ10" s="5"/>
      <c r="LRK10" s="5"/>
      <c r="LRL10" s="5"/>
      <c r="LRM10" s="5"/>
      <c r="LRN10" s="5"/>
      <c r="LRO10" s="5"/>
      <c r="LRP10" s="5"/>
      <c r="LRQ10" s="5"/>
      <c r="LRR10" s="5"/>
      <c r="LRS10" s="5"/>
      <c r="LRT10" s="5"/>
      <c r="LRU10" s="5"/>
      <c r="LRV10" s="5"/>
      <c r="LRW10" s="5"/>
      <c r="LRX10" s="5"/>
      <c r="LRY10" s="5"/>
      <c r="LRZ10" s="5"/>
      <c r="LSA10" s="5"/>
      <c r="LSB10" s="5"/>
      <c r="LSC10" s="5"/>
      <c r="LSD10" s="5"/>
      <c r="LSE10" s="5"/>
      <c r="LSF10" s="5"/>
      <c r="LSG10" s="5"/>
      <c r="LSH10" s="5"/>
      <c r="LSI10" s="5"/>
      <c r="LSJ10" s="5"/>
      <c r="LSK10" s="5"/>
      <c r="LSL10" s="5"/>
      <c r="LSM10" s="5"/>
      <c r="LSN10" s="5"/>
      <c r="LSO10" s="5"/>
      <c r="LSP10" s="5"/>
      <c r="LSQ10" s="5"/>
      <c r="LSR10" s="5"/>
      <c r="LSS10" s="5"/>
      <c r="LST10" s="5"/>
      <c r="LSU10" s="5"/>
      <c r="LSV10" s="5"/>
      <c r="LSW10" s="5"/>
      <c r="LSX10" s="5"/>
      <c r="LSY10" s="5"/>
      <c r="LSZ10" s="5"/>
      <c r="LTA10" s="5"/>
      <c r="LTB10" s="5"/>
      <c r="LTC10" s="5"/>
      <c r="LTD10" s="5"/>
      <c r="LTE10" s="5"/>
      <c r="LTF10" s="5"/>
      <c r="LTG10" s="5"/>
      <c r="LTH10" s="5"/>
      <c r="LTI10" s="5"/>
      <c r="LTJ10" s="5"/>
      <c r="LTK10" s="5"/>
      <c r="LTL10" s="5"/>
      <c r="LTM10" s="5"/>
      <c r="LTN10" s="5"/>
      <c r="LTO10" s="5"/>
      <c r="LTP10" s="5"/>
      <c r="LTQ10" s="5"/>
      <c r="LTR10" s="5"/>
      <c r="LTS10" s="5"/>
      <c r="LTT10" s="5"/>
      <c r="LTU10" s="5"/>
      <c r="LTV10" s="5"/>
      <c r="LTW10" s="5"/>
      <c r="LTX10" s="5"/>
      <c r="LTY10" s="5"/>
      <c r="LTZ10" s="5"/>
      <c r="LUA10" s="5"/>
      <c r="LUB10" s="5"/>
      <c r="LUC10" s="5"/>
      <c r="LUD10" s="5"/>
      <c r="LUE10" s="5"/>
      <c r="LUF10" s="5"/>
      <c r="LUG10" s="5"/>
      <c r="LUH10" s="5"/>
      <c r="LUI10" s="5"/>
      <c r="LUJ10" s="5"/>
      <c r="LUK10" s="5"/>
      <c r="LUL10" s="5"/>
      <c r="LUM10" s="5"/>
      <c r="LUN10" s="5"/>
      <c r="LUO10" s="5"/>
      <c r="LUP10" s="5"/>
      <c r="LUQ10" s="5"/>
      <c r="LUR10" s="5"/>
      <c r="LUS10" s="5"/>
      <c r="LUT10" s="5"/>
      <c r="LUU10" s="5"/>
      <c r="LUV10" s="5"/>
      <c r="LUW10" s="5"/>
      <c r="LUX10" s="5"/>
      <c r="LUY10" s="5"/>
      <c r="LUZ10" s="5"/>
      <c r="LVA10" s="5"/>
      <c r="LVB10" s="5"/>
      <c r="LVC10" s="5"/>
      <c r="LVD10" s="5"/>
      <c r="LVE10" s="5"/>
      <c r="LVF10" s="5"/>
      <c r="LVG10" s="5"/>
      <c r="LVH10" s="5"/>
      <c r="LVI10" s="5"/>
      <c r="LVJ10" s="5"/>
      <c r="LVK10" s="5"/>
      <c r="LVL10" s="5"/>
      <c r="LVM10" s="5"/>
      <c r="LVN10" s="5"/>
      <c r="LVO10" s="5"/>
      <c r="LVP10" s="5"/>
      <c r="LVQ10" s="5"/>
      <c r="LVR10" s="5"/>
      <c r="LVS10" s="5"/>
      <c r="LVT10" s="5"/>
      <c r="LVU10" s="5"/>
      <c r="LVV10" s="5"/>
      <c r="LVW10" s="5"/>
      <c r="LVX10" s="5"/>
      <c r="LVY10" s="5"/>
      <c r="LVZ10" s="5"/>
      <c r="LWA10" s="5"/>
      <c r="LWB10" s="5"/>
      <c r="LWC10" s="5"/>
      <c r="LWD10" s="5"/>
      <c r="LWE10" s="5"/>
      <c r="LWF10" s="5"/>
      <c r="LWG10" s="5"/>
      <c r="LWH10" s="5"/>
      <c r="LWI10" s="5"/>
      <c r="LWJ10" s="5"/>
      <c r="LWK10" s="5"/>
      <c r="LWL10" s="5"/>
      <c r="LWM10" s="5"/>
      <c r="LWN10" s="5"/>
      <c r="LWO10" s="5"/>
      <c r="LWP10" s="5"/>
      <c r="LWQ10" s="5"/>
      <c r="LWR10" s="5"/>
      <c r="LWS10" s="5"/>
      <c r="LWT10" s="5"/>
      <c r="LWU10" s="5"/>
      <c r="LWV10" s="5"/>
      <c r="LWW10" s="5"/>
      <c r="LWX10" s="5"/>
      <c r="LWY10" s="5"/>
      <c r="LWZ10" s="5"/>
      <c r="LXA10" s="5"/>
      <c r="LXB10" s="5"/>
      <c r="LXC10" s="5"/>
      <c r="LXD10" s="5"/>
      <c r="LXE10" s="5"/>
      <c r="LXF10" s="5"/>
      <c r="LXG10" s="5"/>
      <c r="LXH10" s="5"/>
      <c r="LXI10" s="5"/>
      <c r="LXJ10" s="5"/>
      <c r="LXK10" s="5"/>
      <c r="LXL10" s="5"/>
      <c r="LXM10" s="5"/>
      <c r="LXN10" s="5"/>
      <c r="LXO10" s="5"/>
      <c r="LXP10" s="5"/>
      <c r="LXQ10" s="5"/>
      <c r="LXR10" s="5"/>
      <c r="LXS10" s="5"/>
      <c r="LXT10" s="5"/>
      <c r="LXU10" s="5"/>
      <c r="LXV10" s="5"/>
      <c r="LXW10" s="5"/>
      <c r="LXX10" s="5"/>
      <c r="LXY10" s="5"/>
      <c r="LXZ10" s="5"/>
      <c r="LYA10" s="5"/>
      <c r="LYB10" s="5"/>
      <c r="LYC10" s="5"/>
      <c r="LYD10" s="5"/>
      <c r="LYE10" s="5"/>
      <c r="LYF10" s="5"/>
      <c r="LYG10" s="5"/>
      <c r="LYH10" s="5"/>
      <c r="LYI10" s="5"/>
      <c r="LYJ10" s="5"/>
      <c r="LYK10" s="5"/>
      <c r="LYL10" s="5"/>
      <c r="LYM10" s="5"/>
      <c r="LYN10" s="5"/>
      <c r="LYO10" s="5"/>
      <c r="LYP10" s="5"/>
      <c r="LYQ10" s="5"/>
      <c r="LYR10" s="5"/>
      <c r="LYS10" s="5"/>
      <c r="LYT10" s="5"/>
      <c r="LYU10" s="5"/>
      <c r="LYV10" s="5"/>
      <c r="LYW10" s="5"/>
      <c r="LYX10" s="5"/>
      <c r="LYY10" s="5"/>
      <c r="LYZ10" s="5"/>
      <c r="LZA10" s="5"/>
      <c r="LZB10" s="5"/>
      <c r="LZC10" s="5"/>
      <c r="LZD10" s="5"/>
      <c r="LZE10" s="5"/>
      <c r="LZF10" s="5"/>
      <c r="LZG10" s="5"/>
      <c r="LZH10" s="5"/>
      <c r="LZI10" s="5"/>
      <c r="LZJ10" s="5"/>
      <c r="LZK10" s="5"/>
      <c r="LZL10" s="5"/>
      <c r="LZM10" s="5"/>
      <c r="LZN10" s="5"/>
      <c r="LZO10" s="5"/>
      <c r="LZP10" s="5"/>
      <c r="LZQ10" s="5"/>
      <c r="LZR10" s="5"/>
      <c r="LZS10" s="5"/>
      <c r="LZT10" s="5"/>
      <c r="LZU10" s="5"/>
      <c r="LZV10" s="5"/>
      <c r="LZW10" s="5"/>
      <c r="LZX10" s="5"/>
      <c r="LZY10" s="5"/>
      <c r="LZZ10" s="5"/>
      <c r="MAA10" s="5"/>
      <c r="MAB10" s="5"/>
      <c r="MAC10" s="5"/>
      <c r="MAD10" s="5"/>
      <c r="MAE10" s="5"/>
      <c r="MAF10" s="5"/>
      <c r="MAG10" s="5"/>
      <c r="MAH10" s="5"/>
      <c r="MAI10" s="5"/>
      <c r="MAJ10" s="5"/>
      <c r="MAK10" s="5"/>
      <c r="MAL10" s="5"/>
      <c r="MAM10" s="5"/>
      <c r="MAN10" s="5"/>
      <c r="MAO10" s="5"/>
      <c r="MAP10" s="5"/>
      <c r="MAQ10" s="5"/>
      <c r="MAR10" s="5"/>
      <c r="MAS10" s="5"/>
      <c r="MAT10" s="5"/>
      <c r="MAU10" s="5"/>
      <c r="MAV10" s="5"/>
      <c r="MAW10" s="5"/>
      <c r="MAX10" s="5"/>
      <c r="MAY10" s="5"/>
      <c r="MAZ10" s="5"/>
      <c r="MBA10" s="5"/>
      <c r="MBB10" s="5"/>
      <c r="MBC10" s="5"/>
      <c r="MBD10" s="5"/>
      <c r="MBE10" s="5"/>
      <c r="MBF10" s="5"/>
      <c r="MBG10" s="5"/>
      <c r="MBH10" s="5"/>
      <c r="MBI10" s="5"/>
      <c r="MBJ10" s="5"/>
      <c r="MBK10" s="5"/>
      <c r="MBL10" s="5"/>
      <c r="MBM10" s="5"/>
      <c r="MBN10" s="5"/>
      <c r="MBO10" s="5"/>
      <c r="MBP10" s="5"/>
      <c r="MBQ10" s="5"/>
      <c r="MBR10" s="5"/>
      <c r="MBS10" s="5"/>
      <c r="MBT10" s="5"/>
      <c r="MBU10" s="5"/>
      <c r="MBV10" s="5"/>
      <c r="MBW10" s="5"/>
      <c r="MBX10" s="5"/>
      <c r="MBY10" s="5"/>
      <c r="MBZ10" s="5"/>
      <c r="MCA10" s="5"/>
      <c r="MCB10" s="5"/>
      <c r="MCC10" s="5"/>
      <c r="MCD10" s="5"/>
      <c r="MCE10" s="5"/>
      <c r="MCF10" s="5"/>
      <c r="MCG10" s="5"/>
      <c r="MCH10" s="5"/>
      <c r="MCI10" s="5"/>
      <c r="MCJ10" s="5"/>
      <c r="MCK10" s="5"/>
      <c r="MCL10" s="5"/>
      <c r="MCM10" s="5"/>
      <c r="MCN10" s="5"/>
      <c r="MCO10" s="5"/>
      <c r="MCP10" s="5"/>
      <c r="MCQ10" s="5"/>
      <c r="MCR10" s="5"/>
      <c r="MCS10" s="5"/>
      <c r="MCT10" s="5"/>
      <c r="MCU10" s="5"/>
      <c r="MCV10" s="5"/>
      <c r="MCW10" s="5"/>
      <c r="MCX10" s="5"/>
      <c r="MCY10" s="5"/>
      <c r="MCZ10" s="5"/>
      <c r="MDA10" s="5"/>
      <c r="MDB10" s="5"/>
      <c r="MDC10" s="5"/>
      <c r="MDD10" s="5"/>
      <c r="MDE10" s="5"/>
      <c r="MDF10" s="5"/>
      <c r="MDG10" s="5"/>
      <c r="MDH10" s="5"/>
      <c r="MDI10" s="5"/>
      <c r="MDJ10" s="5"/>
      <c r="MDK10" s="5"/>
      <c r="MDL10" s="5"/>
      <c r="MDM10" s="5"/>
      <c r="MDN10" s="5"/>
      <c r="MDO10" s="5"/>
      <c r="MDP10" s="5"/>
      <c r="MDQ10" s="5"/>
      <c r="MDR10" s="5"/>
      <c r="MDS10" s="5"/>
      <c r="MDT10" s="5"/>
      <c r="MDU10" s="5"/>
      <c r="MDV10" s="5"/>
      <c r="MDW10" s="5"/>
      <c r="MDX10" s="5"/>
      <c r="MDY10" s="5"/>
      <c r="MDZ10" s="5"/>
      <c r="MEA10" s="5"/>
      <c r="MEB10" s="5"/>
      <c r="MEC10" s="5"/>
      <c r="MED10" s="5"/>
      <c r="MEE10" s="5"/>
      <c r="MEF10" s="5"/>
      <c r="MEG10" s="5"/>
      <c r="MEH10" s="5"/>
      <c r="MEI10" s="5"/>
      <c r="MEJ10" s="5"/>
      <c r="MEK10" s="5"/>
      <c r="MEL10" s="5"/>
      <c r="MEM10" s="5"/>
      <c r="MEN10" s="5"/>
      <c r="MEO10" s="5"/>
      <c r="MEP10" s="5"/>
      <c r="MEQ10" s="5"/>
      <c r="MER10" s="5"/>
      <c r="MES10" s="5"/>
      <c r="MET10" s="5"/>
      <c r="MEU10" s="5"/>
      <c r="MEV10" s="5"/>
      <c r="MEW10" s="5"/>
      <c r="MEX10" s="5"/>
      <c r="MEY10" s="5"/>
      <c r="MEZ10" s="5"/>
      <c r="MFA10" s="5"/>
      <c r="MFB10" s="5"/>
      <c r="MFC10" s="5"/>
      <c r="MFD10" s="5"/>
      <c r="MFE10" s="5"/>
      <c r="MFF10" s="5"/>
      <c r="MFG10" s="5"/>
      <c r="MFH10" s="5"/>
      <c r="MFI10" s="5"/>
      <c r="MFJ10" s="5"/>
      <c r="MFK10" s="5"/>
      <c r="MFL10" s="5"/>
      <c r="MFM10" s="5"/>
      <c r="MFN10" s="5"/>
      <c r="MFO10" s="5"/>
      <c r="MFP10" s="5"/>
      <c r="MFQ10" s="5"/>
      <c r="MFR10" s="5"/>
      <c r="MFS10" s="5"/>
      <c r="MFT10" s="5"/>
      <c r="MFU10" s="5"/>
      <c r="MFV10" s="5"/>
      <c r="MFW10" s="5"/>
      <c r="MFX10" s="5"/>
      <c r="MFY10" s="5"/>
      <c r="MFZ10" s="5"/>
      <c r="MGA10" s="5"/>
      <c r="MGB10" s="5"/>
      <c r="MGC10" s="5"/>
      <c r="MGD10" s="5"/>
      <c r="MGE10" s="5"/>
      <c r="MGF10" s="5"/>
      <c r="MGG10" s="5"/>
      <c r="MGH10" s="5"/>
      <c r="MGI10" s="5"/>
      <c r="MGJ10" s="5"/>
      <c r="MGK10" s="5"/>
      <c r="MGL10" s="5"/>
      <c r="MGM10" s="5"/>
      <c r="MGN10" s="5"/>
      <c r="MGO10" s="5"/>
      <c r="MGP10" s="5"/>
      <c r="MGQ10" s="5"/>
      <c r="MGR10" s="5"/>
      <c r="MGS10" s="5"/>
      <c r="MGT10" s="5"/>
      <c r="MGU10" s="5"/>
      <c r="MGV10" s="5"/>
      <c r="MGW10" s="5"/>
      <c r="MGX10" s="5"/>
      <c r="MGY10" s="5"/>
      <c r="MGZ10" s="5"/>
      <c r="MHA10" s="5"/>
      <c r="MHB10" s="5"/>
      <c r="MHC10" s="5"/>
      <c r="MHD10" s="5"/>
      <c r="MHE10" s="5"/>
      <c r="MHF10" s="5"/>
      <c r="MHG10" s="5"/>
      <c r="MHH10" s="5"/>
      <c r="MHI10" s="5"/>
      <c r="MHJ10" s="5"/>
      <c r="MHK10" s="5"/>
      <c r="MHL10" s="5"/>
      <c r="MHM10" s="5"/>
      <c r="MHN10" s="5"/>
      <c r="MHO10" s="5"/>
      <c r="MHP10" s="5"/>
      <c r="MHQ10" s="5"/>
      <c r="MHR10" s="5"/>
      <c r="MHS10" s="5"/>
      <c r="MHT10" s="5"/>
      <c r="MHU10" s="5"/>
      <c r="MHV10" s="5"/>
      <c r="MHW10" s="5"/>
      <c r="MHX10" s="5"/>
      <c r="MHY10" s="5"/>
      <c r="MHZ10" s="5"/>
      <c r="MIA10" s="5"/>
      <c r="MIB10" s="5"/>
      <c r="MIC10" s="5"/>
      <c r="MID10" s="5"/>
      <c r="MIE10" s="5"/>
      <c r="MIF10" s="5"/>
      <c r="MIG10" s="5"/>
      <c r="MIH10" s="5"/>
      <c r="MII10" s="5"/>
      <c r="MIJ10" s="5"/>
      <c r="MIK10" s="5"/>
      <c r="MIL10" s="5"/>
      <c r="MIM10" s="5"/>
      <c r="MIN10" s="5"/>
      <c r="MIO10" s="5"/>
      <c r="MIP10" s="5"/>
      <c r="MIQ10" s="5"/>
      <c r="MIR10" s="5"/>
      <c r="MIS10" s="5"/>
      <c r="MIT10" s="5"/>
      <c r="MIU10" s="5"/>
      <c r="MIV10" s="5"/>
      <c r="MIW10" s="5"/>
      <c r="MIX10" s="5"/>
      <c r="MIY10" s="5"/>
      <c r="MIZ10" s="5"/>
      <c r="MJA10" s="5"/>
      <c r="MJB10" s="5"/>
      <c r="MJC10" s="5"/>
      <c r="MJD10" s="5"/>
      <c r="MJE10" s="5"/>
      <c r="MJF10" s="5"/>
      <c r="MJG10" s="5"/>
      <c r="MJH10" s="5"/>
      <c r="MJI10" s="5"/>
      <c r="MJJ10" s="5"/>
      <c r="MJK10" s="5"/>
      <c r="MJL10" s="5"/>
      <c r="MJM10" s="5"/>
      <c r="MJN10" s="5"/>
      <c r="MJO10" s="5"/>
      <c r="MJP10" s="5"/>
      <c r="MJQ10" s="5"/>
      <c r="MJR10" s="5"/>
      <c r="MJS10" s="5"/>
      <c r="MJT10" s="5"/>
      <c r="MJU10" s="5"/>
      <c r="MJV10" s="5"/>
      <c r="MJW10" s="5"/>
      <c r="MJX10" s="5"/>
      <c r="MJY10" s="5"/>
      <c r="MJZ10" s="5"/>
      <c r="MKA10" s="5"/>
      <c r="MKB10" s="5"/>
      <c r="MKC10" s="5"/>
      <c r="MKD10" s="5"/>
      <c r="MKE10" s="5"/>
      <c r="MKF10" s="5"/>
      <c r="MKG10" s="5"/>
      <c r="MKH10" s="5"/>
      <c r="MKI10" s="5"/>
      <c r="MKJ10" s="5"/>
      <c r="MKK10" s="5"/>
      <c r="MKL10" s="5"/>
      <c r="MKM10" s="5"/>
      <c r="MKN10" s="5"/>
      <c r="MKO10" s="5"/>
      <c r="MKP10" s="5"/>
      <c r="MKQ10" s="5"/>
      <c r="MKR10" s="5"/>
      <c r="MKS10" s="5"/>
      <c r="MKT10" s="5"/>
      <c r="MKU10" s="5"/>
      <c r="MKV10" s="5"/>
      <c r="MKW10" s="5"/>
      <c r="MKX10" s="5"/>
      <c r="MKY10" s="5"/>
      <c r="MKZ10" s="5"/>
      <c r="MLA10" s="5"/>
      <c r="MLB10" s="5"/>
      <c r="MLC10" s="5"/>
      <c r="MLD10" s="5"/>
      <c r="MLE10" s="5"/>
      <c r="MLF10" s="5"/>
      <c r="MLG10" s="5"/>
      <c r="MLH10" s="5"/>
      <c r="MLI10" s="5"/>
      <c r="MLJ10" s="5"/>
      <c r="MLK10" s="5"/>
      <c r="MLL10" s="5"/>
      <c r="MLM10" s="5"/>
      <c r="MLN10" s="5"/>
      <c r="MLO10" s="5"/>
      <c r="MLP10" s="5"/>
      <c r="MLQ10" s="5"/>
      <c r="MLR10" s="5"/>
      <c r="MLS10" s="5"/>
      <c r="MLT10" s="5"/>
      <c r="MLU10" s="5"/>
      <c r="MLV10" s="5"/>
      <c r="MLW10" s="5"/>
      <c r="MLX10" s="5"/>
      <c r="MLY10" s="5"/>
      <c r="MLZ10" s="5"/>
      <c r="MMA10" s="5"/>
      <c r="MMB10" s="5"/>
      <c r="MMC10" s="5"/>
      <c r="MMD10" s="5"/>
      <c r="MME10" s="5"/>
      <c r="MMF10" s="5"/>
      <c r="MMG10" s="5"/>
      <c r="MMH10" s="5"/>
      <c r="MMI10" s="5"/>
      <c r="MMJ10" s="5"/>
      <c r="MMK10" s="5"/>
      <c r="MML10" s="5"/>
      <c r="MMM10" s="5"/>
      <c r="MMN10" s="5"/>
      <c r="MMO10" s="5"/>
      <c r="MMP10" s="5"/>
      <c r="MMQ10" s="5"/>
      <c r="MMR10" s="5"/>
      <c r="MMS10" s="5"/>
      <c r="MMT10" s="5"/>
      <c r="MMU10" s="5"/>
      <c r="MMV10" s="5"/>
      <c r="MMW10" s="5"/>
      <c r="MMX10" s="5"/>
      <c r="MMY10" s="5"/>
      <c r="MMZ10" s="5"/>
      <c r="MNA10" s="5"/>
      <c r="MNB10" s="5"/>
      <c r="MNC10" s="5"/>
      <c r="MND10" s="5"/>
      <c r="MNE10" s="5"/>
      <c r="MNF10" s="5"/>
      <c r="MNG10" s="5"/>
      <c r="MNH10" s="5"/>
      <c r="MNI10" s="5"/>
      <c r="MNJ10" s="5"/>
      <c r="MNK10" s="5"/>
      <c r="MNL10" s="5"/>
      <c r="MNM10" s="5"/>
      <c r="MNN10" s="5"/>
      <c r="MNO10" s="5"/>
      <c r="MNP10" s="5"/>
      <c r="MNQ10" s="5"/>
      <c r="MNR10" s="5"/>
      <c r="MNS10" s="5"/>
      <c r="MNT10" s="5"/>
      <c r="MNU10" s="5"/>
      <c r="MNV10" s="5"/>
      <c r="MNW10" s="5"/>
      <c r="MNX10" s="5"/>
      <c r="MNY10" s="5"/>
      <c r="MNZ10" s="5"/>
      <c r="MOA10" s="5"/>
      <c r="MOB10" s="5"/>
      <c r="MOC10" s="5"/>
      <c r="MOD10" s="5"/>
      <c r="MOE10" s="5"/>
      <c r="MOF10" s="5"/>
      <c r="MOG10" s="5"/>
      <c r="MOH10" s="5"/>
      <c r="MOI10" s="5"/>
      <c r="MOJ10" s="5"/>
      <c r="MOK10" s="5"/>
      <c r="MOL10" s="5"/>
      <c r="MOM10" s="5"/>
      <c r="MON10" s="5"/>
      <c r="MOO10" s="5"/>
      <c r="MOP10" s="5"/>
      <c r="MOQ10" s="5"/>
      <c r="MOR10" s="5"/>
      <c r="MOS10" s="5"/>
      <c r="MOT10" s="5"/>
      <c r="MOU10" s="5"/>
      <c r="MOV10" s="5"/>
      <c r="MOW10" s="5"/>
      <c r="MOX10" s="5"/>
      <c r="MOY10" s="5"/>
      <c r="MOZ10" s="5"/>
      <c r="MPA10" s="5"/>
      <c r="MPB10" s="5"/>
      <c r="MPC10" s="5"/>
      <c r="MPD10" s="5"/>
      <c r="MPE10" s="5"/>
      <c r="MPF10" s="5"/>
      <c r="MPG10" s="5"/>
      <c r="MPH10" s="5"/>
      <c r="MPI10" s="5"/>
      <c r="MPJ10" s="5"/>
      <c r="MPK10" s="5"/>
      <c r="MPL10" s="5"/>
      <c r="MPM10" s="5"/>
      <c r="MPN10" s="5"/>
      <c r="MPO10" s="5"/>
      <c r="MPP10" s="5"/>
      <c r="MPQ10" s="5"/>
      <c r="MPR10" s="5"/>
      <c r="MPS10" s="5"/>
      <c r="MPT10" s="5"/>
      <c r="MPU10" s="5"/>
      <c r="MPV10" s="5"/>
      <c r="MPW10" s="5"/>
      <c r="MPX10" s="5"/>
      <c r="MPY10" s="5"/>
      <c r="MPZ10" s="5"/>
      <c r="MQA10" s="5"/>
      <c r="MQB10" s="5"/>
      <c r="MQC10" s="5"/>
      <c r="MQD10" s="5"/>
      <c r="MQE10" s="5"/>
      <c r="MQF10" s="5"/>
      <c r="MQG10" s="5"/>
      <c r="MQH10" s="5"/>
      <c r="MQI10" s="5"/>
      <c r="MQJ10" s="5"/>
      <c r="MQK10" s="5"/>
      <c r="MQL10" s="5"/>
      <c r="MQM10" s="5"/>
      <c r="MQN10" s="5"/>
      <c r="MQO10" s="5"/>
      <c r="MQP10" s="5"/>
      <c r="MQQ10" s="5"/>
      <c r="MQR10" s="5"/>
      <c r="MQS10" s="5"/>
      <c r="MQT10" s="5"/>
      <c r="MQU10" s="5"/>
      <c r="MQV10" s="5"/>
      <c r="MQW10" s="5"/>
      <c r="MQX10" s="5"/>
      <c r="MQY10" s="5"/>
      <c r="MQZ10" s="5"/>
      <c r="MRA10" s="5"/>
      <c r="MRB10" s="5"/>
      <c r="MRC10" s="5"/>
      <c r="MRD10" s="5"/>
      <c r="MRE10" s="5"/>
      <c r="MRF10" s="5"/>
      <c r="MRG10" s="5"/>
      <c r="MRH10" s="5"/>
      <c r="MRI10" s="5"/>
      <c r="MRJ10" s="5"/>
      <c r="MRK10" s="5"/>
      <c r="MRL10" s="5"/>
      <c r="MRM10" s="5"/>
      <c r="MRN10" s="5"/>
      <c r="MRO10" s="5"/>
      <c r="MRP10" s="5"/>
      <c r="MRQ10" s="5"/>
      <c r="MRR10" s="5"/>
      <c r="MRS10" s="5"/>
      <c r="MRT10" s="5"/>
      <c r="MRU10" s="5"/>
      <c r="MRV10" s="5"/>
      <c r="MRW10" s="5"/>
      <c r="MRX10" s="5"/>
      <c r="MRY10" s="5"/>
      <c r="MRZ10" s="5"/>
      <c r="MSA10" s="5"/>
      <c r="MSB10" s="5"/>
      <c r="MSC10" s="5"/>
      <c r="MSD10" s="5"/>
      <c r="MSE10" s="5"/>
      <c r="MSF10" s="5"/>
      <c r="MSG10" s="5"/>
      <c r="MSH10" s="5"/>
      <c r="MSI10" s="5"/>
      <c r="MSJ10" s="5"/>
      <c r="MSK10" s="5"/>
      <c r="MSL10" s="5"/>
      <c r="MSM10" s="5"/>
      <c r="MSN10" s="5"/>
      <c r="MSO10" s="5"/>
      <c r="MSP10" s="5"/>
      <c r="MSQ10" s="5"/>
      <c r="MSR10" s="5"/>
      <c r="MSS10" s="5"/>
      <c r="MST10" s="5"/>
      <c r="MSU10" s="5"/>
      <c r="MSV10" s="5"/>
      <c r="MSW10" s="5"/>
      <c r="MSX10" s="5"/>
      <c r="MSY10" s="5"/>
      <c r="MSZ10" s="5"/>
      <c r="MTA10" s="5"/>
      <c r="MTB10" s="5"/>
      <c r="MTC10" s="5"/>
      <c r="MTD10" s="5"/>
      <c r="MTE10" s="5"/>
      <c r="MTF10" s="5"/>
      <c r="MTG10" s="5"/>
      <c r="MTH10" s="5"/>
      <c r="MTI10" s="5"/>
      <c r="MTJ10" s="5"/>
      <c r="MTK10" s="5"/>
      <c r="MTL10" s="5"/>
      <c r="MTM10" s="5"/>
      <c r="MTN10" s="5"/>
      <c r="MTO10" s="5"/>
      <c r="MTP10" s="5"/>
      <c r="MTQ10" s="5"/>
      <c r="MTR10" s="5"/>
      <c r="MTS10" s="5"/>
      <c r="MTT10" s="5"/>
      <c r="MTU10" s="5"/>
      <c r="MTV10" s="5"/>
      <c r="MTW10" s="5"/>
      <c r="MTX10" s="5"/>
      <c r="MTY10" s="5"/>
      <c r="MTZ10" s="5"/>
      <c r="MUA10" s="5"/>
      <c r="MUB10" s="5"/>
      <c r="MUC10" s="5"/>
      <c r="MUD10" s="5"/>
      <c r="MUE10" s="5"/>
      <c r="MUF10" s="5"/>
      <c r="MUG10" s="5"/>
      <c r="MUH10" s="5"/>
      <c r="MUI10" s="5"/>
      <c r="MUJ10" s="5"/>
      <c r="MUK10" s="5"/>
      <c r="MUL10" s="5"/>
      <c r="MUM10" s="5"/>
      <c r="MUN10" s="5"/>
      <c r="MUO10" s="5"/>
      <c r="MUP10" s="5"/>
      <c r="MUQ10" s="5"/>
      <c r="MUR10" s="5"/>
      <c r="MUS10" s="5"/>
      <c r="MUT10" s="5"/>
      <c r="MUU10" s="5"/>
      <c r="MUV10" s="5"/>
      <c r="MUW10" s="5"/>
      <c r="MUX10" s="5"/>
      <c r="MUY10" s="5"/>
      <c r="MUZ10" s="5"/>
      <c r="MVA10" s="5"/>
      <c r="MVB10" s="5"/>
      <c r="MVC10" s="5"/>
      <c r="MVD10" s="5"/>
      <c r="MVE10" s="5"/>
      <c r="MVF10" s="5"/>
      <c r="MVG10" s="5"/>
      <c r="MVH10" s="5"/>
      <c r="MVI10" s="5"/>
      <c r="MVJ10" s="5"/>
      <c r="MVK10" s="5"/>
      <c r="MVL10" s="5"/>
      <c r="MVM10" s="5"/>
      <c r="MVN10" s="5"/>
      <c r="MVO10" s="5"/>
      <c r="MVP10" s="5"/>
      <c r="MVQ10" s="5"/>
      <c r="MVR10" s="5"/>
      <c r="MVS10" s="5"/>
      <c r="MVT10" s="5"/>
      <c r="MVU10" s="5"/>
      <c r="MVV10" s="5"/>
      <c r="MVW10" s="5"/>
      <c r="MVX10" s="5"/>
      <c r="MVY10" s="5"/>
      <c r="MVZ10" s="5"/>
      <c r="MWA10" s="5"/>
      <c r="MWB10" s="5"/>
      <c r="MWC10" s="5"/>
      <c r="MWD10" s="5"/>
      <c r="MWE10" s="5"/>
      <c r="MWF10" s="5"/>
      <c r="MWG10" s="5"/>
      <c r="MWH10" s="5"/>
      <c r="MWI10" s="5"/>
      <c r="MWJ10" s="5"/>
      <c r="MWK10" s="5"/>
      <c r="MWL10" s="5"/>
      <c r="MWM10" s="5"/>
      <c r="MWN10" s="5"/>
      <c r="MWO10" s="5"/>
      <c r="MWP10" s="5"/>
      <c r="MWQ10" s="5"/>
      <c r="MWR10" s="5"/>
      <c r="MWS10" s="5"/>
      <c r="MWT10" s="5"/>
      <c r="MWU10" s="5"/>
      <c r="MWV10" s="5"/>
      <c r="MWW10" s="5"/>
      <c r="MWX10" s="5"/>
      <c r="MWY10" s="5"/>
      <c r="MWZ10" s="5"/>
      <c r="MXA10" s="5"/>
      <c r="MXB10" s="5"/>
      <c r="MXC10" s="5"/>
      <c r="MXD10" s="5"/>
      <c r="MXE10" s="5"/>
      <c r="MXF10" s="5"/>
      <c r="MXG10" s="5"/>
      <c r="MXH10" s="5"/>
      <c r="MXI10" s="5"/>
      <c r="MXJ10" s="5"/>
      <c r="MXK10" s="5"/>
      <c r="MXL10" s="5"/>
      <c r="MXM10" s="5"/>
      <c r="MXN10" s="5"/>
      <c r="MXO10" s="5"/>
      <c r="MXP10" s="5"/>
      <c r="MXQ10" s="5"/>
      <c r="MXR10" s="5"/>
      <c r="MXS10" s="5"/>
      <c r="MXT10" s="5"/>
      <c r="MXU10" s="5"/>
      <c r="MXV10" s="5"/>
      <c r="MXW10" s="5"/>
      <c r="MXX10" s="5"/>
      <c r="MXY10" s="5"/>
      <c r="MXZ10" s="5"/>
      <c r="MYA10" s="5"/>
      <c r="MYB10" s="5"/>
      <c r="MYC10" s="5"/>
      <c r="MYD10" s="5"/>
      <c r="MYE10" s="5"/>
      <c r="MYF10" s="5"/>
      <c r="MYG10" s="5"/>
      <c r="MYH10" s="5"/>
      <c r="MYI10" s="5"/>
      <c r="MYJ10" s="5"/>
      <c r="MYK10" s="5"/>
      <c r="MYL10" s="5"/>
      <c r="MYM10" s="5"/>
      <c r="MYN10" s="5"/>
      <c r="MYO10" s="5"/>
      <c r="MYP10" s="5"/>
      <c r="MYQ10" s="5"/>
      <c r="MYR10" s="5"/>
      <c r="MYS10" s="5"/>
      <c r="MYT10" s="5"/>
      <c r="MYU10" s="5"/>
      <c r="MYV10" s="5"/>
      <c r="MYW10" s="5"/>
      <c r="MYX10" s="5"/>
      <c r="MYY10" s="5"/>
      <c r="MYZ10" s="5"/>
      <c r="MZA10" s="5"/>
      <c r="MZB10" s="5"/>
      <c r="MZC10" s="5"/>
      <c r="MZD10" s="5"/>
      <c r="MZE10" s="5"/>
      <c r="MZF10" s="5"/>
      <c r="MZG10" s="5"/>
      <c r="MZH10" s="5"/>
      <c r="MZI10" s="5"/>
      <c r="MZJ10" s="5"/>
      <c r="MZK10" s="5"/>
      <c r="MZL10" s="5"/>
      <c r="MZM10" s="5"/>
      <c r="MZN10" s="5"/>
      <c r="MZO10" s="5"/>
      <c r="MZP10" s="5"/>
      <c r="MZQ10" s="5"/>
      <c r="MZR10" s="5"/>
      <c r="MZS10" s="5"/>
      <c r="MZT10" s="5"/>
      <c r="MZU10" s="5"/>
      <c r="MZV10" s="5"/>
      <c r="MZW10" s="5"/>
      <c r="MZX10" s="5"/>
      <c r="MZY10" s="5"/>
      <c r="MZZ10" s="5"/>
      <c r="NAA10" s="5"/>
      <c r="NAB10" s="5"/>
      <c r="NAC10" s="5"/>
      <c r="NAD10" s="5"/>
      <c r="NAE10" s="5"/>
      <c r="NAF10" s="5"/>
      <c r="NAG10" s="5"/>
      <c r="NAH10" s="5"/>
      <c r="NAI10" s="5"/>
      <c r="NAJ10" s="5"/>
      <c r="NAK10" s="5"/>
      <c r="NAL10" s="5"/>
      <c r="NAM10" s="5"/>
      <c r="NAN10" s="5"/>
      <c r="NAO10" s="5"/>
      <c r="NAP10" s="5"/>
      <c r="NAQ10" s="5"/>
      <c r="NAR10" s="5"/>
      <c r="NAS10" s="5"/>
      <c r="NAT10" s="5"/>
      <c r="NAU10" s="5"/>
      <c r="NAV10" s="5"/>
      <c r="NAW10" s="5"/>
      <c r="NAX10" s="5"/>
      <c r="NAY10" s="5"/>
      <c r="NAZ10" s="5"/>
      <c r="NBA10" s="5"/>
      <c r="NBB10" s="5"/>
      <c r="NBC10" s="5"/>
      <c r="NBD10" s="5"/>
      <c r="NBE10" s="5"/>
      <c r="NBF10" s="5"/>
      <c r="NBG10" s="5"/>
      <c r="NBH10" s="5"/>
      <c r="NBI10" s="5"/>
      <c r="NBJ10" s="5"/>
      <c r="NBK10" s="5"/>
      <c r="NBL10" s="5"/>
      <c r="NBM10" s="5"/>
      <c r="NBN10" s="5"/>
      <c r="NBO10" s="5"/>
      <c r="NBP10" s="5"/>
      <c r="NBQ10" s="5"/>
      <c r="NBR10" s="5"/>
      <c r="NBS10" s="5"/>
      <c r="NBT10" s="5"/>
      <c r="NBU10" s="5"/>
      <c r="NBV10" s="5"/>
      <c r="NBW10" s="5"/>
      <c r="NBX10" s="5"/>
      <c r="NBY10" s="5"/>
      <c r="NBZ10" s="5"/>
      <c r="NCA10" s="5"/>
      <c r="NCB10" s="5"/>
      <c r="NCC10" s="5"/>
      <c r="NCD10" s="5"/>
      <c r="NCE10" s="5"/>
      <c r="NCF10" s="5"/>
      <c r="NCG10" s="5"/>
      <c r="NCH10" s="5"/>
      <c r="NCI10" s="5"/>
      <c r="NCJ10" s="5"/>
      <c r="NCK10" s="5"/>
      <c r="NCL10" s="5"/>
      <c r="NCM10" s="5"/>
      <c r="NCN10" s="5"/>
      <c r="NCO10" s="5"/>
      <c r="NCP10" s="5"/>
      <c r="NCQ10" s="5"/>
      <c r="NCR10" s="5"/>
      <c r="NCS10" s="5"/>
      <c r="NCT10" s="5"/>
      <c r="NCU10" s="5"/>
      <c r="NCV10" s="5"/>
      <c r="NCW10" s="5"/>
      <c r="NCX10" s="5"/>
      <c r="NCY10" s="5"/>
      <c r="NCZ10" s="5"/>
      <c r="NDA10" s="5"/>
      <c r="NDB10" s="5"/>
      <c r="NDC10" s="5"/>
      <c r="NDD10" s="5"/>
      <c r="NDE10" s="5"/>
      <c r="NDF10" s="5"/>
      <c r="NDG10" s="5"/>
      <c r="NDH10" s="5"/>
      <c r="NDI10" s="5"/>
      <c r="NDJ10" s="5"/>
      <c r="NDK10" s="5"/>
      <c r="NDL10" s="5"/>
      <c r="NDM10" s="5"/>
      <c r="NDN10" s="5"/>
      <c r="NDO10" s="5"/>
      <c r="NDP10" s="5"/>
      <c r="NDQ10" s="5"/>
      <c r="NDR10" s="5"/>
      <c r="NDS10" s="5"/>
      <c r="NDT10" s="5"/>
      <c r="NDU10" s="5"/>
      <c r="NDV10" s="5"/>
      <c r="NDW10" s="5"/>
      <c r="NDX10" s="5"/>
      <c r="NDY10" s="5"/>
      <c r="NDZ10" s="5"/>
      <c r="NEA10" s="5"/>
      <c r="NEB10" s="5"/>
      <c r="NEC10" s="5"/>
      <c r="NED10" s="5"/>
      <c r="NEE10" s="5"/>
      <c r="NEF10" s="5"/>
      <c r="NEG10" s="5"/>
      <c r="NEH10" s="5"/>
      <c r="NEI10" s="5"/>
      <c r="NEJ10" s="5"/>
      <c r="NEK10" s="5"/>
      <c r="NEL10" s="5"/>
      <c r="NEM10" s="5"/>
      <c r="NEN10" s="5"/>
      <c r="NEO10" s="5"/>
      <c r="NEP10" s="5"/>
      <c r="NEQ10" s="5"/>
      <c r="NER10" s="5"/>
      <c r="NES10" s="5"/>
      <c r="NET10" s="5"/>
      <c r="NEU10" s="5"/>
      <c r="NEV10" s="5"/>
      <c r="NEW10" s="5"/>
      <c r="NEX10" s="5"/>
      <c r="NEY10" s="5"/>
      <c r="NEZ10" s="5"/>
      <c r="NFA10" s="5"/>
      <c r="NFB10" s="5"/>
      <c r="NFC10" s="5"/>
      <c r="NFD10" s="5"/>
      <c r="NFE10" s="5"/>
      <c r="NFF10" s="5"/>
      <c r="NFG10" s="5"/>
      <c r="NFH10" s="5"/>
      <c r="NFI10" s="5"/>
      <c r="NFJ10" s="5"/>
      <c r="NFK10" s="5"/>
      <c r="NFL10" s="5"/>
      <c r="NFM10" s="5"/>
      <c r="NFN10" s="5"/>
      <c r="NFO10" s="5"/>
      <c r="NFP10" s="5"/>
      <c r="NFQ10" s="5"/>
      <c r="NFR10" s="5"/>
      <c r="NFS10" s="5"/>
      <c r="NFT10" s="5"/>
      <c r="NFU10" s="5"/>
      <c r="NFV10" s="5"/>
      <c r="NFW10" s="5"/>
      <c r="NFX10" s="5"/>
      <c r="NFY10" s="5"/>
      <c r="NFZ10" s="5"/>
      <c r="NGA10" s="5"/>
      <c r="NGB10" s="5"/>
      <c r="NGC10" s="5"/>
      <c r="NGD10" s="5"/>
      <c r="NGE10" s="5"/>
      <c r="NGF10" s="5"/>
      <c r="NGG10" s="5"/>
      <c r="NGH10" s="5"/>
      <c r="NGI10" s="5"/>
      <c r="NGJ10" s="5"/>
      <c r="NGK10" s="5"/>
      <c r="NGL10" s="5"/>
      <c r="NGM10" s="5"/>
      <c r="NGN10" s="5"/>
      <c r="NGO10" s="5"/>
      <c r="NGP10" s="5"/>
      <c r="NGQ10" s="5"/>
      <c r="NGR10" s="5"/>
      <c r="NGS10" s="5"/>
      <c r="NGT10" s="5"/>
      <c r="NGU10" s="5"/>
      <c r="NGV10" s="5"/>
      <c r="NGW10" s="5"/>
      <c r="NGX10" s="5"/>
      <c r="NGY10" s="5"/>
      <c r="NGZ10" s="5"/>
      <c r="NHA10" s="5"/>
      <c r="NHB10" s="5"/>
      <c r="NHC10" s="5"/>
      <c r="NHD10" s="5"/>
      <c r="NHE10" s="5"/>
      <c r="NHF10" s="5"/>
      <c r="NHG10" s="5"/>
      <c r="NHH10" s="5"/>
      <c r="NHI10" s="5"/>
      <c r="NHJ10" s="5"/>
      <c r="NHK10" s="5"/>
      <c r="NHL10" s="5"/>
      <c r="NHM10" s="5"/>
      <c r="NHN10" s="5"/>
      <c r="NHO10" s="5"/>
      <c r="NHP10" s="5"/>
      <c r="NHQ10" s="5"/>
      <c r="NHR10" s="5"/>
      <c r="NHS10" s="5"/>
      <c r="NHT10" s="5"/>
      <c r="NHU10" s="5"/>
      <c r="NHV10" s="5"/>
      <c r="NHW10" s="5"/>
      <c r="NHX10" s="5"/>
      <c r="NHY10" s="5"/>
      <c r="NHZ10" s="5"/>
      <c r="NIA10" s="5"/>
      <c r="NIB10" s="5"/>
      <c r="NIC10" s="5"/>
      <c r="NID10" s="5"/>
      <c r="NIE10" s="5"/>
      <c r="NIF10" s="5"/>
      <c r="NIG10" s="5"/>
      <c r="NIH10" s="5"/>
      <c r="NII10" s="5"/>
      <c r="NIJ10" s="5"/>
      <c r="NIK10" s="5"/>
      <c r="NIL10" s="5"/>
      <c r="NIM10" s="5"/>
      <c r="NIN10" s="5"/>
      <c r="NIO10" s="5"/>
      <c r="NIP10" s="5"/>
      <c r="NIQ10" s="5"/>
      <c r="NIR10" s="5"/>
      <c r="NIS10" s="5"/>
      <c r="NIT10" s="5"/>
      <c r="NIU10" s="5"/>
      <c r="NIV10" s="5"/>
      <c r="NIW10" s="5"/>
      <c r="NIX10" s="5"/>
      <c r="NIY10" s="5"/>
      <c r="NIZ10" s="5"/>
      <c r="NJA10" s="5"/>
      <c r="NJB10" s="5"/>
      <c r="NJC10" s="5"/>
      <c r="NJD10" s="5"/>
      <c r="NJE10" s="5"/>
      <c r="NJF10" s="5"/>
      <c r="NJG10" s="5"/>
      <c r="NJH10" s="5"/>
      <c r="NJI10" s="5"/>
      <c r="NJJ10" s="5"/>
      <c r="NJK10" s="5"/>
      <c r="NJL10" s="5"/>
      <c r="NJM10" s="5"/>
      <c r="NJN10" s="5"/>
      <c r="NJO10" s="5"/>
      <c r="NJP10" s="5"/>
      <c r="NJQ10" s="5"/>
      <c r="NJR10" s="5"/>
      <c r="NJS10" s="5"/>
      <c r="NJT10" s="5"/>
      <c r="NJU10" s="5"/>
      <c r="NJV10" s="5"/>
      <c r="NJW10" s="5"/>
      <c r="NJX10" s="5"/>
      <c r="NJY10" s="5"/>
      <c r="NJZ10" s="5"/>
      <c r="NKA10" s="5"/>
      <c r="NKB10" s="5"/>
      <c r="NKC10" s="5"/>
      <c r="NKD10" s="5"/>
      <c r="NKE10" s="5"/>
      <c r="NKF10" s="5"/>
      <c r="NKG10" s="5"/>
      <c r="NKH10" s="5"/>
      <c r="NKI10" s="5"/>
      <c r="NKJ10" s="5"/>
      <c r="NKK10" s="5"/>
      <c r="NKL10" s="5"/>
      <c r="NKM10" s="5"/>
      <c r="NKN10" s="5"/>
      <c r="NKO10" s="5"/>
      <c r="NKP10" s="5"/>
      <c r="NKQ10" s="5"/>
      <c r="NKR10" s="5"/>
      <c r="NKS10" s="5"/>
      <c r="NKT10" s="5"/>
      <c r="NKU10" s="5"/>
      <c r="NKV10" s="5"/>
      <c r="NKW10" s="5"/>
      <c r="NKX10" s="5"/>
      <c r="NKY10" s="5"/>
      <c r="NKZ10" s="5"/>
      <c r="NLA10" s="5"/>
      <c r="NLB10" s="5"/>
      <c r="NLC10" s="5"/>
      <c r="NLD10" s="5"/>
      <c r="NLE10" s="5"/>
      <c r="NLF10" s="5"/>
      <c r="NLG10" s="5"/>
      <c r="NLH10" s="5"/>
      <c r="NLI10" s="5"/>
      <c r="NLJ10" s="5"/>
      <c r="NLK10" s="5"/>
      <c r="NLL10" s="5"/>
      <c r="NLM10" s="5"/>
      <c r="NLN10" s="5"/>
      <c r="NLO10" s="5"/>
      <c r="NLP10" s="5"/>
      <c r="NLQ10" s="5"/>
      <c r="NLR10" s="5"/>
      <c r="NLS10" s="5"/>
      <c r="NLT10" s="5"/>
      <c r="NLU10" s="5"/>
      <c r="NLV10" s="5"/>
      <c r="NLW10" s="5"/>
      <c r="NLX10" s="5"/>
      <c r="NLY10" s="5"/>
      <c r="NLZ10" s="5"/>
      <c r="NMA10" s="5"/>
      <c r="NMB10" s="5"/>
      <c r="NMC10" s="5"/>
      <c r="NMD10" s="5"/>
      <c r="NME10" s="5"/>
      <c r="NMF10" s="5"/>
      <c r="NMG10" s="5"/>
      <c r="NMH10" s="5"/>
      <c r="NMI10" s="5"/>
      <c r="NMJ10" s="5"/>
      <c r="NMK10" s="5"/>
      <c r="NML10" s="5"/>
      <c r="NMM10" s="5"/>
      <c r="NMN10" s="5"/>
      <c r="NMO10" s="5"/>
      <c r="NMP10" s="5"/>
      <c r="NMQ10" s="5"/>
      <c r="NMR10" s="5"/>
      <c r="NMS10" s="5"/>
      <c r="NMT10" s="5"/>
      <c r="NMU10" s="5"/>
      <c r="NMV10" s="5"/>
      <c r="NMW10" s="5"/>
      <c r="NMX10" s="5"/>
      <c r="NMY10" s="5"/>
      <c r="NMZ10" s="5"/>
      <c r="NNA10" s="5"/>
      <c r="NNB10" s="5"/>
      <c r="NNC10" s="5"/>
      <c r="NND10" s="5"/>
      <c r="NNE10" s="5"/>
      <c r="NNF10" s="5"/>
      <c r="NNG10" s="5"/>
      <c r="NNH10" s="5"/>
      <c r="NNI10" s="5"/>
      <c r="NNJ10" s="5"/>
      <c r="NNK10" s="5"/>
      <c r="NNL10" s="5"/>
      <c r="NNM10" s="5"/>
      <c r="NNN10" s="5"/>
      <c r="NNO10" s="5"/>
      <c r="NNP10" s="5"/>
      <c r="NNQ10" s="5"/>
      <c r="NNR10" s="5"/>
      <c r="NNS10" s="5"/>
      <c r="NNT10" s="5"/>
      <c r="NNU10" s="5"/>
      <c r="NNV10" s="5"/>
      <c r="NNW10" s="5"/>
      <c r="NNX10" s="5"/>
      <c r="NNY10" s="5"/>
      <c r="NNZ10" s="5"/>
      <c r="NOA10" s="5"/>
      <c r="NOB10" s="5"/>
      <c r="NOC10" s="5"/>
      <c r="NOD10" s="5"/>
      <c r="NOE10" s="5"/>
      <c r="NOF10" s="5"/>
      <c r="NOG10" s="5"/>
      <c r="NOH10" s="5"/>
      <c r="NOI10" s="5"/>
      <c r="NOJ10" s="5"/>
      <c r="NOK10" s="5"/>
      <c r="NOL10" s="5"/>
      <c r="NOM10" s="5"/>
      <c r="NON10" s="5"/>
      <c r="NOO10" s="5"/>
      <c r="NOP10" s="5"/>
      <c r="NOQ10" s="5"/>
      <c r="NOR10" s="5"/>
      <c r="NOS10" s="5"/>
      <c r="NOT10" s="5"/>
      <c r="NOU10" s="5"/>
      <c r="NOV10" s="5"/>
      <c r="NOW10" s="5"/>
      <c r="NOX10" s="5"/>
      <c r="NOY10" s="5"/>
      <c r="NOZ10" s="5"/>
      <c r="NPA10" s="5"/>
      <c r="NPB10" s="5"/>
      <c r="NPC10" s="5"/>
      <c r="NPD10" s="5"/>
      <c r="NPE10" s="5"/>
      <c r="NPF10" s="5"/>
      <c r="NPG10" s="5"/>
      <c r="NPH10" s="5"/>
      <c r="NPI10" s="5"/>
      <c r="NPJ10" s="5"/>
      <c r="NPK10" s="5"/>
      <c r="NPL10" s="5"/>
      <c r="NPM10" s="5"/>
      <c r="NPN10" s="5"/>
      <c r="NPO10" s="5"/>
      <c r="NPP10" s="5"/>
      <c r="NPQ10" s="5"/>
      <c r="NPR10" s="5"/>
      <c r="NPS10" s="5"/>
      <c r="NPT10" s="5"/>
      <c r="NPU10" s="5"/>
      <c r="NPV10" s="5"/>
      <c r="NPW10" s="5"/>
      <c r="NPX10" s="5"/>
      <c r="NPY10" s="5"/>
      <c r="NPZ10" s="5"/>
      <c r="NQA10" s="5"/>
      <c r="NQB10" s="5"/>
      <c r="NQC10" s="5"/>
      <c r="NQD10" s="5"/>
      <c r="NQE10" s="5"/>
      <c r="NQF10" s="5"/>
      <c r="NQG10" s="5"/>
      <c r="NQH10" s="5"/>
      <c r="NQI10" s="5"/>
      <c r="NQJ10" s="5"/>
      <c r="NQK10" s="5"/>
      <c r="NQL10" s="5"/>
      <c r="NQM10" s="5"/>
      <c r="NQN10" s="5"/>
      <c r="NQO10" s="5"/>
      <c r="NQP10" s="5"/>
      <c r="NQQ10" s="5"/>
      <c r="NQR10" s="5"/>
      <c r="NQS10" s="5"/>
      <c r="NQT10" s="5"/>
      <c r="NQU10" s="5"/>
      <c r="NQV10" s="5"/>
      <c r="NQW10" s="5"/>
      <c r="NQX10" s="5"/>
      <c r="NQY10" s="5"/>
      <c r="NQZ10" s="5"/>
      <c r="NRA10" s="5"/>
      <c r="NRB10" s="5"/>
      <c r="NRC10" s="5"/>
      <c r="NRD10" s="5"/>
      <c r="NRE10" s="5"/>
      <c r="NRF10" s="5"/>
      <c r="NRG10" s="5"/>
      <c r="NRH10" s="5"/>
      <c r="NRI10" s="5"/>
      <c r="NRJ10" s="5"/>
      <c r="NRK10" s="5"/>
      <c r="NRL10" s="5"/>
      <c r="NRM10" s="5"/>
      <c r="NRN10" s="5"/>
      <c r="NRO10" s="5"/>
      <c r="NRP10" s="5"/>
      <c r="NRQ10" s="5"/>
      <c r="NRR10" s="5"/>
      <c r="NRS10" s="5"/>
      <c r="NRT10" s="5"/>
      <c r="NRU10" s="5"/>
      <c r="NRV10" s="5"/>
      <c r="NRW10" s="5"/>
      <c r="NRX10" s="5"/>
      <c r="NRY10" s="5"/>
      <c r="NRZ10" s="5"/>
      <c r="NSA10" s="5"/>
      <c r="NSB10" s="5"/>
      <c r="NSC10" s="5"/>
      <c r="NSD10" s="5"/>
      <c r="NSE10" s="5"/>
      <c r="NSF10" s="5"/>
      <c r="NSG10" s="5"/>
      <c r="NSH10" s="5"/>
      <c r="NSI10" s="5"/>
      <c r="NSJ10" s="5"/>
      <c r="NSK10" s="5"/>
      <c r="NSL10" s="5"/>
      <c r="NSM10" s="5"/>
      <c r="NSN10" s="5"/>
      <c r="NSO10" s="5"/>
      <c r="NSP10" s="5"/>
      <c r="NSQ10" s="5"/>
      <c r="NSR10" s="5"/>
      <c r="NSS10" s="5"/>
      <c r="NST10" s="5"/>
      <c r="NSU10" s="5"/>
      <c r="NSV10" s="5"/>
      <c r="NSW10" s="5"/>
      <c r="NSX10" s="5"/>
      <c r="NSY10" s="5"/>
      <c r="NSZ10" s="5"/>
      <c r="NTA10" s="5"/>
      <c r="NTB10" s="5"/>
      <c r="NTC10" s="5"/>
      <c r="NTD10" s="5"/>
      <c r="NTE10" s="5"/>
      <c r="NTF10" s="5"/>
      <c r="NTG10" s="5"/>
    </row>
    <row r="11" spans="1:9991">
      <c r="A11" t="str">
        <f t="shared" si="0"/>
        <v>Will Zalatoris</v>
      </c>
      <c r="B11">
        <f t="shared" si="1"/>
        <v>10</v>
      </c>
      <c r="C11">
        <f t="shared" si="2"/>
        <v>0.74639999999999995</v>
      </c>
      <c r="D11">
        <f t="shared" si="3"/>
        <v>206</v>
      </c>
      <c r="E11">
        <f t="shared" si="4"/>
        <v>276</v>
      </c>
      <c r="G11">
        <v>10</v>
      </c>
      <c r="H11" t="s">
        <v>233</v>
      </c>
      <c r="I11" s="38">
        <v>0.74639999999999995</v>
      </c>
      <c r="J11" s="3">
        <v>206</v>
      </c>
      <c r="K11" s="3">
        <v>276</v>
      </c>
    </row>
    <row r="12" spans="1:9991">
      <c r="A12" t="str">
        <f t="shared" si="0"/>
        <v>Thorbjørn Olesen</v>
      </c>
      <c r="B12">
        <f t="shared" si="1"/>
        <v>11</v>
      </c>
      <c r="C12">
        <f t="shared" si="2"/>
        <v>0.74470000000000003</v>
      </c>
      <c r="D12">
        <f t="shared" si="3"/>
        <v>140</v>
      </c>
      <c r="E12">
        <f t="shared" si="4"/>
        <v>188</v>
      </c>
      <c r="G12">
        <v>11</v>
      </c>
      <c r="H12" t="s">
        <v>795</v>
      </c>
      <c r="I12" s="38">
        <v>0.74470000000000003</v>
      </c>
      <c r="J12" s="3">
        <v>140</v>
      </c>
      <c r="K12" s="3">
        <v>188</v>
      </c>
    </row>
    <row r="13" spans="1:9991">
      <c r="A13" t="str">
        <f t="shared" si="0"/>
        <v>Zach Johnson</v>
      </c>
      <c r="B13">
        <f t="shared" si="1"/>
        <v>12</v>
      </c>
      <c r="C13">
        <f t="shared" si="2"/>
        <v>0.74229999999999996</v>
      </c>
      <c r="D13">
        <f t="shared" si="3"/>
        <v>144</v>
      </c>
      <c r="E13">
        <f t="shared" si="4"/>
        <v>194</v>
      </c>
      <c r="G13">
        <v>12</v>
      </c>
      <c r="H13" t="s">
        <v>170</v>
      </c>
      <c r="I13" s="38">
        <v>0.74229999999999996</v>
      </c>
      <c r="J13" s="3">
        <v>144</v>
      </c>
      <c r="K13" s="3">
        <v>194</v>
      </c>
    </row>
    <row r="14" spans="1:9991">
      <c r="A14" t="str">
        <f t="shared" si="0"/>
        <v>Russell Henley</v>
      </c>
      <c r="B14">
        <f t="shared" si="1"/>
        <v>13</v>
      </c>
      <c r="C14">
        <f t="shared" si="2"/>
        <v>0.73660000000000003</v>
      </c>
      <c r="D14">
        <f t="shared" si="3"/>
        <v>302</v>
      </c>
      <c r="E14">
        <f t="shared" si="4"/>
        <v>410</v>
      </c>
      <c r="G14">
        <v>13</v>
      </c>
      <c r="H14" t="s">
        <v>166</v>
      </c>
      <c r="I14" s="38">
        <v>0.73660000000000003</v>
      </c>
      <c r="J14" s="3">
        <v>302</v>
      </c>
      <c r="K14" s="3">
        <v>410</v>
      </c>
    </row>
    <row r="15" spans="1:9991">
      <c r="A15" t="str">
        <f t="shared" si="0"/>
        <v>Scottie Scheffler</v>
      </c>
      <c r="B15">
        <f t="shared" si="1"/>
        <v>14</v>
      </c>
      <c r="C15">
        <f t="shared" si="2"/>
        <v>0.73540000000000005</v>
      </c>
      <c r="D15">
        <f t="shared" si="3"/>
        <v>278</v>
      </c>
      <c r="E15">
        <f t="shared" si="4"/>
        <v>378</v>
      </c>
      <c r="G15">
        <v>14</v>
      </c>
      <c r="H15" t="s">
        <v>35</v>
      </c>
      <c r="I15" s="38">
        <v>0.73540000000000005</v>
      </c>
      <c r="J15" s="3">
        <v>278</v>
      </c>
      <c r="K15" s="3">
        <v>378</v>
      </c>
    </row>
    <row r="16" spans="1:9991">
      <c r="A16" t="str">
        <f t="shared" si="0"/>
        <v>Chris Kirk</v>
      </c>
      <c r="B16">
        <f t="shared" si="1"/>
        <v>15</v>
      </c>
      <c r="C16">
        <f t="shared" si="2"/>
        <v>0.73450000000000004</v>
      </c>
      <c r="D16">
        <f t="shared" si="3"/>
        <v>260</v>
      </c>
      <c r="E16">
        <f t="shared" si="4"/>
        <v>354</v>
      </c>
      <c r="G16">
        <v>15</v>
      </c>
      <c r="H16" t="s">
        <v>132</v>
      </c>
      <c r="I16" s="38">
        <v>0.73450000000000004</v>
      </c>
      <c r="J16" s="3">
        <v>260</v>
      </c>
      <c r="K16" s="3">
        <v>354</v>
      </c>
    </row>
    <row r="17" spans="1:11">
      <c r="A17" t="str">
        <f t="shared" si="0"/>
        <v>Akshay Bhatia</v>
      </c>
      <c r="B17">
        <f t="shared" si="1"/>
        <v>16</v>
      </c>
      <c r="C17">
        <f t="shared" si="2"/>
        <v>0.72599999999999998</v>
      </c>
      <c r="D17">
        <f t="shared" si="3"/>
        <v>302</v>
      </c>
      <c r="E17">
        <f t="shared" si="4"/>
        <v>416</v>
      </c>
      <c r="G17">
        <v>16</v>
      </c>
      <c r="H17" t="s">
        <v>370</v>
      </c>
      <c r="I17" s="38">
        <v>0.72599999999999998</v>
      </c>
      <c r="J17" s="3">
        <v>302</v>
      </c>
      <c r="K17" s="3">
        <v>416</v>
      </c>
    </row>
    <row r="18" spans="1:11">
      <c r="A18" t="str">
        <f t="shared" si="0"/>
        <v>Rory McIlroy</v>
      </c>
      <c r="B18">
        <f t="shared" si="1"/>
        <v>17</v>
      </c>
      <c r="C18">
        <f t="shared" si="2"/>
        <v>0.72050000000000003</v>
      </c>
      <c r="D18">
        <f t="shared" si="3"/>
        <v>232</v>
      </c>
      <c r="E18">
        <f t="shared" si="4"/>
        <v>322</v>
      </c>
      <c r="G18">
        <v>17</v>
      </c>
      <c r="H18" t="s">
        <v>6</v>
      </c>
      <c r="I18" s="38">
        <v>0.72050000000000003</v>
      </c>
      <c r="J18" s="3">
        <v>232</v>
      </c>
      <c r="K18" s="3">
        <v>322</v>
      </c>
    </row>
    <row r="19" spans="1:11">
      <c r="A19" t="str">
        <f t="shared" si="0"/>
        <v>Tom Kim</v>
      </c>
      <c r="B19">
        <f t="shared" si="1"/>
        <v>18</v>
      </c>
      <c r="C19">
        <f t="shared" si="2"/>
        <v>0.71750000000000003</v>
      </c>
      <c r="D19">
        <f t="shared" si="3"/>
        <v>254</v>
      </c>
      <c r="E19">
        <f t="shared" si="4"/>
        <v>354</v>
      </c>
      <c r="G19">
        <v>18</v>
      </c>
      <c r="H19" t="s">
        <v>124</v>
      </c>
      <c r="I19" s="38">
        <v>0.71750000000000003</v>
      </c>
      <c r="J19" s="3">
        <v>254</v>
      </c>
      <c r="K19" s="3">
        <v>354</v>
      </c>
    </row>
    <row r="20" spans="1:11">
      <c r="A20" t="str">
        <f t="shared" si="0"/>
        <v>Harris English</v>
      </c>
      <c r="B20">
        <f t="shared" si="1"/>
        <v>19</v>
      </c>
      <c r="C20">
        <f t="shared" si="2"/>
        <v>0.71030000000000004</v>
      </c>
      <c r="D20">
        <f t="shared" si="3"/>
        <v>331</v>
      </c>
      <c r="E20">
        <f t="shared" si="4"/>
        <v>466</v>
      </c>
      <c r="G20">
        <v>19</v>
      </c>
      <c r="H20" t="s">
        <v>125</v>
      </c>
      <c r="I20" s="38">
        <v>0.71030000000000004</v>
      </c>
      <c r="J20" s="3">
        <v>331</v>
      </c>
      <c r="K20" s="3">
        <v>466</v>
      </c>
    </row>
    <row r="21" spans="1:11">
      <c r="A21" t="str">
        <f t="shared" si="0"/>
        <v>Min Woo Lee</v>
      </c>
      <c r="B21">
        <f t="shared" si="1"/>
        <v>20</v>
      </c>
      <c r="C21">
        <f t="shared" si="2"/>
        <v>0.70920000000000005</v>
      </c>
      <c r="D21">
        <f t="shared" si="3"/>
        <v>217</v>
      </c>
      <c r="E21">
        <f t="shared" si="4"/>
        <v>306</v>
      </c>
      <c r="G21">
        <v>20</v>
      </c>
      <c r="H21" t="s">
        <v>544</v>
      </c>
      <c r="I21" s="38">
        <v>0.70920000000000005</v>
      </c>
      <c r="J21" s="3">
        <v>217</v>
      </c>
      <c r="K21" s="3">
        <v>306</v>
      </c>
    </row>
    <row r="22" spans="1:11">
      <c r="A22" t="str">
        <f t="shared" si="0"/>
        <v>Corey Conners</v>
      </c>
      <c r="B22">
        <f t="shared" si="1"/>
        <v>21</v>
      </c>
      <c r="C22">
        <f t="shared" si="2"/>
        <v>0.70450000000000002</v>
      </c>
      <c r="D22">
        <f t="shared" si="3"/>
        <v>348</v>
      </c>
      <c r="E22">
        <f t="shared" si="4"/>
        <v>494</v>
      </c>
      <c r="G22">
        <v>21</v>
      </c>
      <c r="H22" t="s">
        <v>93</v>
      </c>
      <c r="I22" s="38">
        <v>0.70450000000000002</v>
      </c>
      <c r="J22" s="3">
        <v>348</v>
      </c>
      <c r="K22" s="3">
        <v>494</v>
      </c>
    </row>
    <row r="23" spans="1:11">
      <c r="A23" t="str">
        <f t="shared" si="0"/>
        <v>Cam Davis</v>
      </c>
      <c r="B23">
        <f t="shared" si="1"/>
        <v>22</v>
      </c>
      <c r="C23">
        <f t="shared" si="2"/>
        <v>0.70289999999999997</v>
      </c>
      <c r="D23">
        <f t="shared" si="3"/>
        <v>246</v>
      </c>
      <c r="E23">
        <f t="shared" si="4"/>
        <v>350</v>
      </c>
      <c r="G23">
        <v>22</v>
      </c>
      <c r="H23" t="s">
        <v>29</v>
      </c>
      <c r="I23" s="38">
        <v>0.70289999999999997</v>
      </c>
      <c r="J23" s="3">
        <v>246</v>
      </c>
      <c r="K23" s="3">
        <v>350</v>
      </c>
    </row>
    <row r="24" spans="1:11">
      <c r="A24" t="str">
        <f t="shared" si="0"/>
        <v>Daniel Berger</v>
      </c>
      <c r="B24">
        <f t="shared" si="1"/>
        <v>23</v>
      </c>
      <c r="C24">
        <f t="shared" si="2"/>
        <v>0.70179999999999998</v>
      </c>
      <c r="D24">
        <f t="shared" si="3"/>
        <v>153</v>
      </c>
      <c r="E24">
        <f t="shared" si="4"/>
        <v>218</v>
      </c>
      <c r="G24">
        <v>23</v>
      </c>
      <c r="H24" t="s">
        <v>384</v>
      </c>
      <c r="I24" s="38">
        <v>0.70179999999999998</v>
      </c>
      <c r="J24" s="3">
        <v>153</v>
      </c>
      <c r="K24" s="3">
        <v>218</v>
      </c>
    </row>
    <row r="25" spans="1:11">
      <c r="A25" t="str">
        <f t="shared" si="0"/>
        <v>Lee Hodges</v>
      </c>
      <c r="B25">
        <f t="shared" si="1"/>
        <v>24</v>
      </c>
      <c r="C25">
        <f t="shared" si="2"/>
        <v>0.70050000000000001</v>
      </c>
      <c r="D25">
        <f t="shared" si="3"/>
        <v>304</v>
      </c>
      <c r="E25">
        <f t="shared" si="4"/>
        <v>434</v>
      </c>
      <c r="G25">
        <v>24</v>
      </c>
      <c r="H25" t="s">
        <v>101</v>
      </c>
      <c r="I25" s="38">
        <v>0.70050000000000001</v>
      </c>
      <c r="J25" s="3">
        <v>304</v>
      </c>
      <c r="K25" s="3">
        <v>434</v>
      </c>
    </row>
    <row r="26" spans="1:11">
      <c r="A26" t="str">
        <f t="shared" si="0"/>
        <v>Adam Hadwin</v>
      </c>
      <c r="B26">
        <f t="shared" si="1"/>
        <v>25</v>
      </c>
      <c r="C26">
        <f t="shared" si="2"/>
        <v>0.69710000000000005</v>
      </c>
      <c r="D26">
        <f t="shared" si="3"/>
        <v>244</v>
      </c>
      <c r="E26">
        <f t="shared" si="4"/>
        <v>350</v>
      </c>
      <c r="G26">
        <v>25</v>
      </c>
      <c r="H26" t="s">
        <v>141</v>
      </c>
      <c r="I26" s="38">
        <v>0.69710000000000005</v>
      </c>
      <c r="J26" s="3">
        <v>244</v>
      </c>
      <c r="K26" s="3">
        <v>350</v>
      </c>
    </row>
    <row r="27" spans="1:11">
      <c r="A27" t="str">
        <f t="shared" si="0"/>
        <v>Austin Eckroat</v>
      </c>
      <c r="B27">
        <f t="shared" si="1"/>
        <v>26</v>
      </c>
      <c r="C27">
        <f t="shared" si="2"/>
        <v>0.69230000000000003</v>
      </c>
      <c r="D27">
        <f t="shared" si="3"/>
        <v>288</v>
      </c>
      <c r="E27">
        <f t="shared" si="4"/>
        <v>416</v>
      </c>
      <c r="G27">
        <v>26</v>
      </c>
      <c r="H27" t="s">
        <v>88</v>
      </c>
      <c r="I27" s="38">
        <v>0.69230000000000003</v>
      </c>
      <c r="J27" s="3">
        <v>288</v>
      </c>
      <c r="K27" s="3">
        <v>416</v>
      </c>
    </row>
    <row r="28" spans="1:11">
      <c r="A28" t="str">
        <f t="shared" si="0"/>
        <v>Emiliano Grillo</v>
      </c>
      <c r="B28">
        <f t="shared" si="1"/>
        <v>27</v>
      </c>
      <c r="C28">
        <f t="shared" si="2"/>
        <v>0.69179999999999997</v>
      </c>
      <c r="D28">
        <f t="shared" si="3"/>
        <v>339</v>
      </c>
      <c r="E28">
        <f t="shared" si="4"/>
        <v>490</v>
      </c>
      <c r="G28">
        <v>27</v>
      </c>
      <c r="H28" t="s">
        <v>90</v>
      </c>
      <c r="I28" s="38">
        <v>0.69179999999999997</v>
      </c>
      <c r="J28" s="3">
        <v>339</v>
      </c>
      <c r="K28" s="3">
        <v>490</v>
      </c>
    </row>
    <row r="29" spans="1:11">
      <c r="A29" t="str">
        <f t="shared" si="0"/>
        <v>Cameron Young</v>
      </c>
      <c r="B29">
        <f t="shared" si="1"/>
        <v>28</v>
      </c>
      <c r="C29">
        <f t="shared" si="2"/>
        <v>0.69120000000000004</v>
      </c>
      <c r="D29">
        <f t="shared" si="3"/>
        <v>300</v>
      </c>
      <c r="E29">
        <f t="shared" si="4"/>
        <v>434</v>
      </c>
      <c r="G29">
        <v>28</v>
      </c>
      <c r="H29" t="s">
        <v>9</v>
      </c>
      <c r="I29" s="38">
        <v>0.69120000000000004</v>
      </c>
      <c r="J29" s="3">
        <v>300</v>
      </c>
      <c r="K29" s="3">
        <v>434</v>
      </c>
    </row>
    <row r="30" spans="1:11">
      <c r="A30" t="str">
        <f t="shared" si="0"/>
        <v>Matt Fitzpatrick</v>
      </c>
      <c r="B30">
        <f t="shared" si="1"/>
        <v>29</v>
      </c>
      <c r="C30">
        <f t="shared" si="2"/>
        <v>0.69020000000000004</v>
      </c>
      <c r="D30">
        <f t="shared" si="3"/>
        <v>283</v>
      </c>
      <c r="E30">
        <f t="shared" si="4"/>
        <v>410</v>
      </c>
      <c r="G30">
        <v>29</v>
      </c>
      <c r="H30" t="s">
        <v>72</v>
      </c>
      <c r="I30" s="38">
        <v>0.69020000000000004</v>
      </c>
      <c r="J30" s="3">
        <v>283</v>
      </c>
      <c r="K30" s="3">
        <v>410</v>
      </c>
    </row>
    <row r="31" spans="1:11">
      <c r="A31" t="str">
        <f t="shared" ref="A31:A59" si="5">H31</f>
        <v>Aaron Rai</v>
      </c>
      <c r="B31">
        <f t="shared" ref="B31:B59" si="6">G31</f>
        <v>30</v>
      </c>
      <c r="C31">
        <f t="shared" ref="C31:C59" si="7">I31</f>
        <v>0.6895</v>
      </c>
      <c r="D31">
        <f t="shared" ref="D31:D59" si="8">J31</f>
        <v>302</v>
      </c>
      <c r="E31">
        <f t="shared" ref="E31:E59" si="9">K31</f>
        <v>438</v>
      </c>
      <c r="G31">
        <v>30</v>
      </c>
      <c r="H31" t="s">
        <v>152</v>
      </c>
      <c r="I31" s="38">
        <v>0.6895</v>
      </c>
      <c r="J31" s="3">
        <v>302</v>
      </c>
      <c r="K31" s="3">
        <v>438</v>
      </c>
    </row>
    <row r="32" spans="1:11">
      <c r="A32" t="str">
        <f t="shared" si="5"/>
        <v>Xander Schauffele</v>
      </c>
      <c r="B32">
        <f t="shared" si="6"/>
        <v>31</v>
      </c>
      <c r="C32">
        <f t="shared" si="7"/>
        <v>0.68779999999999997</v>
      </c>
      <c r="D32">
        <f t="shared" si="8"/>
        <v>260</v>
      </c>
      <c r="E32">
        <f t="shared" si="9"/>
        <v>378</v>
      </c>
      <c r="G32">
        <v>31</v>
      </c>
      <c r="H32" t="s">
        <v>73</v>
      </c>
      <c r="I32" s="38">
        <v>0.68779999999999997</v>
      </c>
      <c r="J32" s="3">
        <v>260</v>
      </c>
      <c r="K32" s="3">
        <v>378</v>
      </c>
    </row>
    <row r="33" spans="1:9991">
      <c r="A33" t="str">
        <f t="shared" si="5"/>
        <v>Ryan Moore</v>
      </c>
      <c r="B33">
        <f t="shared" si="6"/>
        <v>32</v>
      </c>
      <c r="C33">
        <f t="shared" si="7"/>
        <v>0.68679999999999997</v>
      </c>
      <c r="D33">
        <f t="shared" si="8"/>
        <v>261</v>
      </c>
      <c r="E33">
        <f t="shared" si="9"/>
        <v>380</v>
      </c>
      <c r="G33">
        <v>32</v>
      </c>
      <c r="H33" t="s">
        <v>179</v>
      </c>
      <c r="I33" s="38">
        <v>0.68679999999999997</v>
      </c>
      <c r="J33" s="3">
        <v>261</v>
      </c>
      <c r="K33" s="3">
        <v>380</v>
      </c>
    </row>
    <row r="34" spans="1:9991">
      <c r="A34" t="str">
        <f t="shared" si="5"/>
        <v>Ludvig Åberg</v>
      </c>
      <c r="B34">
        <f t="shared" si="6"/>
        <v>33</v>
      </c>
      <c r="C34">
        <f t="shared" si="7"/>
        <v>0.68259999999999998</v>
      </c>
      <c r="D34">
        <f t="shared" si="8"/>
        <v>299</v>
      </c>
      <c r="E34">
        <f t="shared" si="9"/>
        <v>438</v>
      </c>
      <c r="G34">
        <v>33</v>
      </c>
      <c r="H34" t="s">
        <v>439</v>
      </c>
      <c r="I34" s="38">
        <v>0.68259999999999998</v>
      </c>
      <c r="J34" s="3">
        <v>299</v>
      </c>
      <c r="K34" s="3">
        <v>438</v>
      </c>
    </row>
    <row r="35" spans="1:9991">
      <c r="A35" t="str">
        <f t="shared" si="5"/>
        <v>Jason Day</v>
      </c>
      <c r="B35">
        <f t="shared" si="6"/>
        <v>34</v>
      </c>
      <c r="C35">
        <f t="shared" si="7"/>
        <v>0.68210000000000004</v>
      </c>
      <c r="D35">
        <f t="shared" si="8"/>
        <v>221</v>
      </c>
      <c r="E35">
        <f t="shared" si="9"/>
        <v>324</v>
      </c>
      <c r="G35">
        <v>34</v>
      </c>
      <c r="H35" t="s">
        <v>68</v>
      </c>
      <c r="I35" s="38">
        <v>0.68210000000000004</v>
      </c>
      <c r="J35" s="3">
        <v>221</v>
      </c>
      <c r="K35" s="3">
        <v>324</v>
      </c>
    </row>
    <row r="36" spans="1:9991">
      <c r="A36" t="str">
        <f t="shared" si="5"/>
        <v>Nate Lashley</v>
      </c>
      <c r="B36">
        <f t="shared" si="6"/>
        <v>35</v>
      </c>
      <c r="C36">
        <f t="shared" si="7"/>
        <v>0.68159999999999998</v>
      </c>
      <c r="D36">
        <f t="shared" si="8"/>
        <v>244</v>
      </c>
      <c r="E36">
        <f t="shared" si="9"/>
        <v>358</v>
      </c>
      <c r="G36">
        <v>35</v>
      </c>
      <c r="H36" t="s">
        <v>122</v>
      </c>
      <c r="I36" s="38">
        <v>0.68159999999999998</v>
      </c>
      <c r="J36" s="3">
        <v>244</v>
      </c>
      <c r="K36" s="3">
        <v>358</v>
      </c>
    </row>
    <row r="37" spans="1:9991">
      <c r="A37" t="str">
        <f t="shared" si="5"/>
        <v>Patrick Cantlay</v>
      </c>
      <c r="B37">
        <f t="shared" si="6"/>
        <v>36</v>
      </c>
      <c r="C37">
        <f t="shared" si="7"/>
        <v>0.68100000000000005</v>
      </c>
      <c r="D37">
        <f t="shared" si="8"/>
        <v>222</v>
      </c>
      <c r="E37">
        <f t="shared" si="9"/>
        <v>326</v>
      </c>
      <c r="G37">
        <v>36</v>
      </c>
      <c r="H37" t="s">
        <v>40</v>
      </c>
      <c r="I37" s="38">
        <v>0.68100000000000005</v>
      </c>
      <c r="J37" s="3">
        <v>222</v>
      </c>
      <c r="K37" s="3">
        <v>326</v>
      </c>
    </row>
    <row r="38" spans="1:9991">
      <c r="A38" t="str">
        <f t="shared" si="5"/>
        <v>Adam Scott</v>
      </c>
      <c r="B38">
        <f t="shared" si="6"/>
        <v>37</v>
      </c>
      <c r="C38">
        <f t="shared" si="7"/>
        <v>0.67689999999999995</v>
      </c>
      <c r="D38">
        <f t="shared" si="8"/>
        <v>199</v>
      </c>
      <c r="E38">
        <f t="shared" si="9"/>
        <v>294</v>
      </c>
      <c r="G38">
        <v>37</v>
      </c>
      <c r="H38" t="s">
        <v>19</v>
      </c>
      <c r="I38" s="38">
        <v>0.67689999999999995</v>
      </c>
      <c r="J38" s="3">
        <v>199</v>
      </c>
      <c r="K38" s="3">
        <v>294</v>
      </c>
    </row>
    <row r="39" spans="1:9991">
      <c r="A39" t="str">
        <f t="shared" si="5"/>
        <v>Alexander Björk</v>
      </c>
      <c r="B39">
        <f t="shared" si="6"/>
        <v>38</v>
      </c>
      <c r="C39">
        <f t="shared" si="7"/>
        <v>0.67379999999999995</v>
      </c>
      <c r="D39">
        <f t="shared" si="8"/>
        <v>221</v>
      </c>
      <c r="E39">
        <f t="shared" si="9"/>
        <v>328</v>
      </c>
      <c r="G39">
        <v>38</v>
      </c>
      <c r="H39" t="s">
        <v>491</v>
      </c>
      <c r="I39" s="38">
        <v>0.67379999999999995</v>
      </c>
      <c r="J39" s="3">
        <v>221</v>
      </c>
      <c r="K39" s="3">
        <v>328</v>
      </c>
    </row>
    <row r="40" spans="1:9991">
      <c r="A40" t="str">
        <f t="shared" si="5"/>
        <v>Adam Schenk</v>
      </c>
      <c r="B40">
        <f t="shared" si="6"/>
        <v>39</v>
      </c>
      <c r="C40">
        <f t="shared" si="7"/>
        <v>0.67349999999999999</v>
      </c>
      <c r="D40">
        <f t="shared" si="8"/>
        <v>330</v>
      </c>
      <c r="E40">
        <f t="shared" si="9"/>
        <v>490</v>
      </c>
      <c r="G40">
        <v>39</v>
      </c>
      <c r="H40" t="s">
        <v>56</v>
      </c>
      <c r="I40" s="38">
        <v>0.67349999999999999</v>
      </c>
      <c r="J40" s="3">
        <v>330</v>
      </c>
      <c r="K40" s="3">
        <v>490</v>
      </c>
      <c r="O40" s="5"/>
      <c r="P40" s="5"/>
      <c r="Q40" s="5"/>
    </row>
    <row r="41" spans="1:9991">
      <c r="A41" t="str">
        <f t="shared" si="5"/>
        <v>Brian Harman</v>
      </c>
      <c r="B41">
        <f t="shared" si="6"/>
        <v>40</v>
      </c>
      <c r="C41">
        <f t="shared" si="7"/>
        <v>0.67030000000000001</v>
      </c>
      <c r="D41">
        <f t="shared" si="8"/>
        <v>311</v>
      </c>
      <c r="E41">
        <f t="shared" si="9"/>
        <v>464</v>
      </c>
      <c r="G41">
        <v>40</v>
      </c>
      <c r="H41" t="s">
        <v>154</v>
      </c>
      <c r="I41" s="38">
        <v>0.67030000000000001</v>
      </c>
      <c r="J41" s="3">
        <v>311</v>
      </c>
      <c r="K41" s="3">
        <v>464</v>
      </c>
    </row>
    <row r="42" spans="1:9991">
      <c r="A42" t="str">
        <f t="shared" si="5"/>
        <v>Doug Ghim</v>
      </c>
      <c r="B42">
        <f t="shared" si="6"/>
        <v>41</v>
      </c>
      <c r="C42">
        <f t="shared" si="7"/>
        <v>0.66830000000000001</v>
      </c>
      <c r="D42">
        <f t="shared" si="8"/>
        <v>274</v>
      </c>
      <c r="E42">
        <f t="shared" si="9"/>
        <v>410</v>
      </c>
      <c r="G42" s="5">
        <v>41</v>
      </c>
      <c r="H42" t="s">
        <v>121</v>
      </c>
      <c r="I42" s="38">
        <v>0.66830000000000001</v>
      </c>
      <c r="J42" s="3">
        <v>274</v>
      </c>
      <c r="K42" s="3">
        <v>410</v>
      </c>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c r="AAA42" s="5"/>
      <c r="AAB42" s="5"/>
      <c r="AAC42" s="5"/>
      <c r="AAD42" s="5"/>
      <c r="AAE42" s="5"/>
      <c r="AAF42" s="5"/>
      <c r="AAG42" s="5"/>
      <c r="AAH42" s="5"/>
      <c r="AAI42" s="5"/>
      <c r="AAJ42" s="5"/>
      <c r="AAK42" s="5"/>
      <c r="AAL42" s="5"/>
      <c r="AAM42" s="5"/>
      <c r="AAN42" s="5"/>
      <c r="AAO42" s="5"/>
      <c r="AAP42" s="5"/>
      <c r="AAQ42" s="5"/>
      <c r="AAR42" s="5"/>
      <c r="AAS42" s="5"/>
      <c r="AAT42" s="5"/>
      <c r="AAU42" s="5"/>
      <c r="AAV42" s="5"/>
      <c r="AAW42" s="5"/>
      <c r="AAX42" s="5"/>
      <c r="AAY42" s="5"/>
      <c r="AAZ42" s="5"/>
      <c r="ABA42" s="5"/>
      <c r="ABB42" s="5"/>
      <c r="ABC42" s="5"/>
      <c r="ABD42" s="5"/>
      <c r="ABE42" s="5"/>
      <c r="ABF42" s="5"/>
      <c r="ABG42" s="5"/>
      <c r="ABH42" s="5"/>
      <c r="ABI42" s="5"/>
      <c r="ABJ42" s="5"/>
      <c r="ABK42" s="5"/>
      <c r="ABL42" s="5"/>
      <c r="ABM42" s="5"/>
      <c r="ABN42" s="5"/>
      <c r="ABO42" s="5"/>
      <c r="ABP42" s="5"/>
      <c r="ABQ42" s="5"/>
      <c r="ABR42" s="5"/>
      <c r="ABS42" s="5"/>
      <c r="ABT42" s="5"/>
      <c r="ABU42" s="5"/>
      <c r="ABV42" s="5"/>
      <c r="ABW42" s="5"/>
      <c r="ABX42" s="5"/>
      <c r="ABY42" s="5"/>
      <c r="ABZ42" s="5"/>
      <c r="ACA42" s="5"/>
      <c r="ACB42" s="5"/>
      <c r="ACC42" s="5"/>
      <c r="ACD42" s="5"/>
      <c r="ACE42" s="5"/>
      <c r="ACF42" s="5"/>
      <c r="ACG42" s="5"/>
      <c r="ACH42" s="5"/>
      <c r="ACI42" s="5"/>
      <c r="ACJ42" s="5"/>
      <c r="ACK42" s="5"/>
      <c r="ACL42" s="5"/>
      <c r="ACM42" s="5"/>
      <c r="ACN42" s="5"/>
      <c r="ACO42" s="5"/>
      <c r="ACP42" s="5"/>
      <c r="ACQ42" s="5"/>
      <c r="ACR42" s="5"/>
      <c r="ACS42" s="5"/>
      <c r="ACT42" s="5"/>
      <c r="ACU42" s="5"/>
      <c r="ACV42" s="5"/>
      <c r="ACW42" s="5"/>
      <c r="ACX42" s="5"/>
      <c r="ACY42" s="5"/>
      <c r="ACZ42" s="5"/>
      <c r="ADA42" s="5"/>
      <c r="ADB42" s="5"/>
      <c r="ADC42" s="5"/>
      <c r="ADD42" s="5"/>
      <c r="ADE42" s="5"/>
      <c r="ADF42" s="5"/>
      <c r="ADG42" s="5"/>
      <c r="ADH42" s="5"/>
      <c r="ADI42" s="5"/>
      <c r="ADJ42" s="5"/>
      <c r="ADK42" s="5"/>
      <c r="ADL42" s="5"/>
      <c r="ADM42" s="5"/>
      <c r="ADN42" s="5"/>
      <c r="ADO42" s="5"/>
      <c r="ADP42" s="5"/>
      <c r="ADQ42" s="5"/>
      <c r="ADR42" s="5"/>
      <c r="ADS42" s="5"/>
      <c r="ADT42" s="5"/>
      <c r="ADU42" s="5"/>
      <c r="ADV42" s="5"/>
      <c r="ADW42" s="5"/>
      <c r="ADX42" s="5"/>
      <c r="ADY42" s="5"/>
      <c r="ADZ42" s="5"/>
      <c r="AEA42" s="5"/>
      <c r="AEB42" s="5"/>
      <c r="AEC42" s="5"/>
      <c r="AED42" s="5"/>
      <c r="AEE42" s="5"/>
      <c r="AEF42" s="5"/>
      <c r="AEG42" s="5"/>
      <c r="AEH42" s="5"/>
      <c r="AEI42" s="5"/>
      <c r="AEJ42" s="5"/>
      <c r="AEK42" s="5"/>
      <c r="AEL42" s="5"/>
      <c r="AEM42" s="5"/>
      <c r="AEN42" s="5"/>
      <c r="AEO42" s="5"/>
      <c r="AEP42" s="5"/>
      <c r="AEQ42" s="5"/>
      <c r="AER42" s="5"/>
      <c r="AES42" s="5"/>
      <c r="AET42" s="5"/>
      <c r="AEU42" s="5"/>
      <c r="AEV42" s="5"/>
      <c r="AEW42" s="5"/>
      <c r="AEX42" s="5"/>
      <c r="AEY42" s="5"/>
      <c r="AEZ42" s="5"/>
      <c r="AFA42" s="5"/>
      <c r="AFB42" s="5"/>
      <c r="AFC42" s="5"/>
      <c r="AFD42" s="5"/>
      <c r="AFE42" s="5"/>
      <c r="AFF42" s="5"/>
      <c r="AFG42" s="5"/>
      <c r="AFH42" s="5"/>
      <c r="AFI42" s="5"/>
      <c r="AFJ42" s="5"/>
      <c r="AFK42" s="5"/>
      <c r="AFL42" s="5"/>
      <c r="AFM42" s="5"/>
      <c r="AFN42" s="5"/>
      <c r="AFO42" s="5"/>
      <c r="AFP42" s="5"/>
      <c r="AFQ42" s="5"/>
      <c r="AFR42" s="5"/>
      <c r="AFS42" s="5"/>
      <c r="AFT42" s="5"/>
      <c r="AFU42" s="5"/>
      <c r="AFV42" s="5"/>
      <c r="AFW42" s="5"/>
      <c r="AFX42" s="5"/>
      <c r="AFY42" s="5"/>
      <c r="AFZ42" s="5"/>
      <c r="AGA42" s="5"/>
      <c r="AGB42" s="5"/>
      <c r="AGC42" s="5"/>
      <c r="AGD42" s="5"/>
      <c r="AGE42" s="5"/>
      <c r="AGF42" s="5"/>
      <c r="AGG42" s="5"/>
      <c r="AGH42" s="5"/>
      <c r="AGI42" s="5"/>
      <c r="AGJ42" s="5"/>
      <c r="AGK42" s="5"/>
      <c r="AGL42" s="5"/>
      <c r="AGM42" s="5"/>
      <c r="AGN42" s="5"/>
      <c r="AGO42" s="5"/>
      <c r="AGP42" s="5"/>
      <c r="AGQ42" s="5"/>
      <c r="AGR42" s="5"/>
      <c r="AGS42" s="5"/>
      <c r="AGT42" s="5"/>
      <c r="AGU42" s="5"/>
      <c r="AGV42" s="5"/>
      <c r="AGW42" s="5"/>
      <c r="AGX42" s="5"/>
      <c r="AGY42" s="5"/>
      <c r="AGZ42" s="5"/>
      <c r="AHA42" s="5"/>
      <c r="AHB42" s="5"/>
      <c r="AHC42" s="5"/>
      <c r="AHD42" s="5"/>
      <c r="AHE42" s="5"/>
      <c r="AHF42" s="5"/>
      <c r="AHG42" s="5"/>
      <c r="AHH42" s="5"/>
      <c r="AHI42" s="5"/>
      <c r="AHJ42" s="5"/>
      <c r="AHK42" s="5"/>
      <c r="AHL42" s="5"/>
      <c r="AHM42" s="5"/>
      <c r="AHN42" s="5"/>
      <c r="AHO42" s="5"/>
      <c r="AHP42" s="5"/>
      <c r="AHQ42" s="5"/>
      <c r="AHR42" s="5"/>
      <c r="AHS42" s="5"/>
      <c r="AHT42" s="5"/>
      <c r="AHU42" s="5"/>
      <c r="AHV42" s="5"/>
      <c r="AHW42" s="5"/>
      <c r="AHX42" s="5"/>
      <c r="AHY42" s="5"/>
      <c r="AHZ42" s="5"/>
      <c r="AIA42" s="5"/>
      <c r="AIB42" s="5"/>
      <c r="AIC42" s="5"/>
      <c r="AID42" s="5"/>
      <c r="AIE42" s="5"/>
      <c r="AIF42" s="5"/>
      <c r="AIG42" s="5"/>
      <c r="AIH42" s="5"/>
      <c r="AII42" s="5"/>
      <c r="AIJ42" s="5"/>
      <c r="AIK42" s="5"/>
      <c r="AIL42" s="5"/>
      <c r="AIM42" s="5"/>
      <c r="AIN42" s="5"/>
      <c r="AIO42" s="5"/>
      <c r="AIP42" s="5"/>
      <c r="AIQ42" s="5"/>
      <c r="AIR42" s="5"/>
      <c r="AIS42" s="5"/>
      <c r="AIT42" s="5"/>
      <c r="AIU42" s="5"/>
      <c r="AIV42" s="5"/>
      <c r="AIW42" s="5"/>
      <c r="AIX42" s="5"/>
      <c r="AIY42" s="5"/>
      <c r="AIZ42" s="5"/>
      <c r="AJA42" s="5"/>
      <c r="AJB42" s="5"/>
      <c r="AJC42" s="5"/>
      <c r="AJD42" s="5"/>
      <c r="AJE42" s="5"/>
      <c r="AJF42" s="5"/>
      <c r="AJG42" s="5"/>
      <c r="AJH42" s="5"/>
      <c r="AJI42" s="5"/>
      <c r="AJJ42" s="5"/>
      <c r="AJK42" s="5"/>
      <c r="AJL42" s="5"/>
      <c r="AJM42" s="5"/>
      <c r="AJN42" s="5"/>
      <c r="AJO42" s="5"/>
      <c r="AJP42" s="5"/>
      <c r="AJQ42" s="5"/>
      <c r="AJR42" s="5"/>
      <c r="AJS42" s="5"/>
      <c r="AJT42" s="5"/>
      <c r="AJU42" s="5"/>
      <c r="AJV42" s="5"/>
      <c r="AJW42" s="5"/>
      <c r="AJX42" s="5"/>
      <c r="AJY42" s="5"/>
      <c r="AJZ42" s="5"/>
      <c r="AKA42" s="5"/>
      <c r="AKB42" s="5"/>
      <c r="AKC42" s="5"/>
      <c r="AKD42" s="5"/>
      <c r="AKE42" s="5"/>
      <c r="AKF42" s="5"/>
      <c r="AKG42" s="5"/>
      <c r="AKH42" s="5"/>
      <c r="AKI42" s="5"/>
      <c r="AKJ42" s="5"/>
      <c r="AKK42" s="5"/>
      <c r="AKL42" s="5"/>
      <c r="AKM42" s="5"/>
      <c r="AKN42" s="5"/>
      <c r="AKO42" s="5"/>
      <c r="AKP42" s="5"/>
      <c r="AKQ42" s="5"/>
      <c r="AKR42" s="5"/>
      <c r="AKS42" s="5"/>
      <c r="AKT42" s="5"/>
      <c r="AKU42" s="5"/>
      <c r="AKV42" s="5"/>
      <c r="AKW42" s="5"/>
      <c r="AKX42" s="5"/>
      <c r="AKY42" s="5"/>
      <c r="AKZ42" s="5"/>
      <c r="ALA42" s="5"/>
      <c r="ALB42" s="5"/>
      <c r="ALC42" s="5"/>
      <c r="ALD42" s="5"/>
      <c r="ALE42" s="5"/>
      <c r="ALF42" s="5"/>
      <c r="ALG42" s="5"/>
      <c r="ALH42" s="5"/>
      <c r="ALI42" s="5"/>
      <c r="ALJ42" s="5"/>
      <c r="ALK42" s="5"/>
      <c r="ALL42" s="5"/>
      <c r="ALM42" s="5"/>
      <c r="ALN42" s="5"/>
      <c r="ALO42" s="5"/>
      <c r="ALP42" s="5"/>
      <c r="ALQ42" s="5"/>
      <c r="ALR42" s="5"/>
      <c r="ALS42" s="5"/>
      <c r="ALT42" s="5"/>
      <c r="ALU42" s="5"/>
      <c r="ALV42" s="5"/>
      <c r="ALW42" s="5"/>
      <c r="ALX42" s="5"/>
      <c r="ALY42" s="5"/>
      <c r="ALZ42" s="5"/>
      <c r="AMA42" s="5"/>
      <c r="AMB42" s="5"/>
      <c r="AMC42" s="5"/>
      <c r="AMD42" s="5"/>
      <c r="AME42" s="5"/>
      <c r="AMF42" s="5"/>
      <c r="AMG42" s="5"/>
      <c r="AMH42" s="5"/>
      <c r="AMI42" s="5"/>
      <c r="AMJ42" s="5"/>
      <c r="AMK42" s="5"/>
      <c r="AML42" s="5"/>
      <c r="AMM42" s="5"/>
      <c r="AMN42" s="5"/>
      <c r="AMO42" s="5"/>
      <c r="AMP42" s="5"/>
      <c r="AMQ42" s="5"/>
      <c r="AMR42" s="5"/>
      <c r="AMS42" s="5"/>
      <c r="AMT42" s="5"/>
      <c r="AMU42" s="5"/>
      <c r="AMV42" s="5"/>
      <c r="AMW42" s="5"/>
      <c r="AMX42" s="5"/>
      <c r="AMY42" s="5"/>
      <c r="AMZ42" s="5"/>
      <c r="ANA42" s="5"/>
      <c r="ANB42" s="5"/>
      <c r="ANC42" s="5"/>
      <c r="AND42" s="5"/>
      <c r="ANE42" s="5"/>
      <c r="ANF42" s="5"/>
      <c r="ANG42" s="5"/>
      <c r="ANH42" s="5"/>
      <c r="ANI42" s="5"/>
      <c r="ANJ42" s="5"/>
      <c r="ANK42" s="5"/>
      <c r="ANL42" s="5"/>
      <c r="ANM42" s="5"/>
      <c r="ANN42" s="5"/>
      <c r="ANO42" s="5"/>
      <c r="ANP42" s="5"/>
      <c r="ANQ42" s="5"/>
      <c r="ANR42" s="5"/>
      <c r="ANS42" s="5"/>
      <c r="ANT42" s="5"/>
      <c r="ANU42" s="5"/>
      <c r="ANV42" s="5"/>
      <c r="ANW42" s="5"/>
      <c r="ANX42" s="5"/>
      <c r="ANY42" s="5"/>
      <c r="ANZ42" s="5"/>
      <c r="AOA42" s="5"/>
      <c r="AOB42" s="5"/>
      <c r="AOC42" s="5"/>
      <c r="AOD42" s="5"/>
      <c r="AOE42" s="5"/>
      <c r="AOF42" s="5"/>
      <c r="AOG42" s="5"/>
      <c r="AOH42" s="5"/>
      <c r="AOI42" s="5"/>
      <c r="AOJ42" s="5"/>
      <c r="AOK42" s="5"/>
      <c r="AOL42" s="5"/>
      <c r="AOM42" s="5"/>
      <c r="AON42" s="5"/>
      <c r="AOO42" s="5"/>
      <c r="AOP42" s="5"/>
      <c r="AOQ42" s="5"/>
      <c r="AOR42" s="5"/>
      <c r="AOS42" s="5"/>
      <c r="AOT42" s="5"/>
      <c r="AOU42" s="5"/>
      <c r="AOV42" s="5"/>
      <c r="AOW42" s="5"/>
      <c r="AOX42" s="5"/>
      <c r="AOY42" s="5"/>
      <c r="AOZ42" s="5"/>
      <c r="APA42" s="5"/>
      <c r="APB42" s="5"/>
      <c r="APC42" s="5"/>
      <c r="APD42" s="5"/>
      <c r="APE42" s="5"/>
      <c r="APF42" s="5"/>
      <c r="APG42" s="5"/>
      <c r="APH42" s="5"/>
      <c r="API42" s="5"/>
      <c r="APJ42" s="5"/>
      <c r="APK42" s="5"/>
      <c r="APL42" s="5"/>
      <c r="APM42" s="5"/>
      <c r="APN42" s="5"/>
      <c r="APO42" s="5"/>
      <c r="APP42" s="5"/>
      <c r="APQ42" s="5"/>
      <c r="APR42" s="5"/>
      <c r="APS42" s="5"/>
      <c r="APT42" s="5"/>
      <c r="APU42" s="5"/>
      <c r="APV42" s="5"/>
      <c r="APW42" s="5"/>
      <c r="APX42" s="5"/>
      <c r="APY42" s="5"/>
      <c r="APZ42" s="5"/>
      <c r="AQA42" s="5"/>
      <c r="AQB42" s="5"/>
      <c r="AQC42" s="5"/>
      <c r="AQD42" s="5"/>
      <c r="AQE42" s="5"/>
      <c r="AQF42" s="5"/>
      <c r="AQG42" s="5"/>
      <c r="AQH42" s="5"/>
      <c r="AQI42" s="5"/>
      <c r="AQJ42" s="5"/>
      <c r="AQK42" s="5"/>
      <c r="AQL42" s="5"/>
      <c r="AQM42" s="5"/>
      <c r="AQN42" s="5"/>
      <c r="AQO42" s="5"/>
      <c r="AQP42" s="5"/>
      <c r="AQQ42" s="5"/>
      <c r="AQR42" s="5"/>
      <c r="AQS42" s="5"/>
      <c r="AQT42" s="5"/>
      <c r="AQU42" s="5"/>
      <c r="AQV42" s="5"/>
      <c r="AQW42" s="5"/>
      <c r="AQX42" s="5"/>
      <c r="AQY42" s="5"/>
      <c r="AQZ42" s="5"/>
      <c r="ARA42" s="5"/>
      <c r="ARB42" s="5"/>
      <c r="ARC42" s="5"/>
      <c r="ARD42" s="5"/>
      <c r="ARE42" s="5"/>
      <c r="ARF42" s="5"/>
      <c r="ARG42" s="5"/>
      <c r="ARH42" s="5"/>
      <c r="ARI42" s="5"/>
      <c r="ARJ42" s="5"/>
      <c r="ARK42" s="5"/>
      <c r="ARL42" s="5"/>
      <c r="ARM42" s="5"/>
      <c r="ARN42" s="5"/>
      <c r="ARO42" s="5"/>
      <c r="ARP42" s="5"/>
      <c r="ARQ42" s="5"/>
      <c r="ARR42" s="5"/>
      <c r="ARS42" s="5"/>
      <c r="ART42" s="5"/>
      <c r="ARU42" s="5"/>
      <c r="ARV42" s="5"/>
      <c r="ARW42" s="5"/>
      <c r="ARX42" s="5"/>
      <c r="ARY42" s="5"/>
      <c r="ARZ42" s="5"/>
      <c r="ASA42" s="5"/>
      <c r="ASB42" s="5"/>
      <c r="ASC42" s="5"/>
      <c r="ASD42" s="5"/>
      <c r="ASE42" s="5"/>
      <c r="ASF42" s="5"/>
      <c r="ASG42" s="5"/>
      <c r="ASH42" s="5"/>
      <c r="ASI42" s="5"/>
      <c r="ASJ42" s="5"/>
      <c r="ASK42" s="5"/>
      <c r="ASL42" s="5"/>
      <c r="ASM42" s="5"/>
      <c r="ASN42" s="5"/>
      <c r="ASO42" s="5"/>
      <c r="ASP42" s="5"/>
      <c r="ASQ42" s="5"/>
      <c r="ASR42" s="5"/>
      <c r="ASS42" s="5"/>
      <c r="AST42" s="5"/>
      <c r="ASU42" s="5"/>
      <c r="ASV42" s="5"/>
      <c r="ASW42" s="5"/>
      <c r="ASX42" s="5"/>
      <c r="ASY42" s="5"/>
      <c r="ASZ42" s="5"/>
      <c r="ATA42" s="5"/>
      <c r="ATB42" s="5"/>
      <c r="ATC42" s="5"/>
      <c r="ATD42" s="5"/>
      <c r="ATE42" s="5"/>
      <c r="ATF42" s="5"/>
      <c r="ATG42" s="5"/>
      <c r="ATH42" s="5"/>
      <c r="ATI42" s="5"/>
      <c r="ATJ42" s="5"/>
      <c r="ATK42" s="5"/>
      <c r="ATL42" s="5"/>
      <c r="ATM42" s="5"/>
      <c r="ATN42" s="5"/>
      <c r="ATO42" s="5"/>
      <c r="ATP42" s="5"/>
      <c r="ATQ42" s="5"/>
      <c r="ATR42" s="5"/>
      <c r="ATS42" s="5"/>
      <c r="ATT42" s="5"/>
      <c r="ATU42" s="5"/>
      <c r="ATV42" s="5"/>
      <c r="ATW42" s="5"/>
      <c r="ATX42" s="5"/>
      <c r="ATY42" s="5"/>
      <c r="ATZ42" s="5"/>
      <c r="AUA42" s="5"/>
      <c r="AUB42" s="5"/>
      <c r="AUC42" s="5"/>
      <c r="AUD42" s="5"/>
      <c r="AUE42" s="5"/>
      <c r="AUF42" s="5"/>
      <c r="AUG42" s="5"/>
      <c r="AUH42" s="5"/>
      <c r="AUI42" s="5"/>
      <c r="AUJ42" s="5"/>
      <c r="AUK42" s="5"/>
      <c r="AUL42" s="5"/>
      <c r="AUM42" s="5"/>
      <c r="AUN42" s="5"/>
      <c r="AUO42" s="5"/>
      <c r="AUP42" s="5"/>
      <c r="AUQ42" s="5"/>
      <c r="AUR42" s="5"/>
      <c r="AUS42" s="5"/>
      <c r="AUT42" s="5"/>
      <c r="AUU42" s="5"/>
      <c r="AUV42" s="5"/>
      <c r="AUW42" s="5"/>
      <c r="AUX42" s="5"/>
      <c r="AUY42" s="5"/>
      <c r="AUZ42" s="5"/>
      <c r="AVA42" s="5"/>
      <c r="AVB42" s="5"/>
      <c r="AVC42" s="5"/>
      <c r="AVD42" s="5"/>
      <c r="AVE42" s="5"/>
      <c r="AVF42" s="5"/>
      <c r="AVG42" s="5"/>
      <c r="AVH42" s="5"/>
      <c r="AVI42" s="5"/>
      <c r="AVJ42" s="5"/>
      <c r="AVK42" s="5"/>
      <c r="AVL42" s="5"/>
      <c r="AVM42" s="5"/>
      <c r="AVN42" s="5"/>
      <c r="AVO42" s="5"/>
      <c r="AVP42" s="5"/>
      <c r="AVQ42" s="5"/>
      <c r="AVR42" s="5"/>
      <c r="AVS42" s="5"/>
      <c r="AVT42" s="5"/>
      <c r="AVU42" s="5"/>
      <c r="AVV42" s="5"/>
      <c r="AVW42" s="5"/>
      <c r="AVX42" s="5"/>
      <c r="AVY42" s="5"/>
      <c r="AVZ42" s="5"/>
      <c r="AWA42" s="5"/>
      <c r="AWB42" s="5"/>
      <c r="AWC42" s="5"/>
      <c r="AWD42" s="5"/>
      <c r="AWE42" s="5"/>
      <c r="AWF42" s="5"/>
      <c r="AWG42" s="5"/>
      <c r="AWH42" s="5"/>
      <c r="AWI42" s="5"/>
      <c r="AWJ42" s="5"/>
      <c r="AWK42" s="5"/>
      <c r="AWL42" s="5"/>
      <c r="AWM42" s="5"/>
      <c r="AWN42" s="5"/>
      <c r="AWO42" s="5"/>
      <c r="AWP42" s="5"/>
      <c r="AWQ42" s="5"/>
      <c r="AWR42" s="5"/>
      <c r="AWS42" s="5"/>
      <c r="AWT42" s="5"/>
      <c r="AWU42" s="5"/>
      <c r="AWV42" s="5"/>
      <c r="AWW42" s="5"/>
      <c r="AWX42" s="5"/>
      <c r="AWY42" s="5"/>
      <c r="AWZ42" s="5"/>
      <c r="AXA42" s="5"/>
      <c r="AXB42" s="5"/>
      <c r="AXC42" s="5"/>
      <c r="AXD42" s="5"/>
      <c r="AXE42" s="5"/>
      <c r="AXF42" s="5"/>
      <c r="AXG42" s="5"/>
      <c r="AXH42" s="5"/>
      <c r="AXI42" s="5"/>
      <c r="AXJ42" s="5"/>
      <c r="AXK42" s="5"/>
      <c r="AXL42" s="5"/>
      <c r="AXM42" s="5"/>
      <c r="AXN42" s="5"/>
      <c r="AXO42" s="5"/>
      <c r="AXP42" s="5"/>
      <c r="AXQ42" s="5"/>
      <c r="AXR42" s="5"/>
      <c r="AXS42" s="5"/>
      <c r="AXT42" s="5"/>
      <c r="AXU42" s="5"/>
      <c r="AXV42" s="5"/>
      <c r="AXW42" s="5"/>
      <c r="AXX42" s="5"/>
      <c r="AXY42" s="5"/>
      <c r="AXZ42" s="5"/>
      <c r="AYA42" s="5"/>
      <c r="AYB42" s="5"/>
      <c r="AYC42" s="5"/>
      <c r="AYD42" s="5"/>
      <c r="AYE42" s="5"/>
      <c r="AYF42" s="5"/>
      <c r="AYG42" s="5"/>
      <c r="AYH42" s="5"/>
      <c r="AYI42" s="5"/>
      <c r="AYJ42" s="5"/>
      <c r="AYK42" s="5"/>
      <c r="AYL42" s="5"/>
      <c r="AYM42" s="5"/>
      <c r="AYN42" s="5"/>
      <c r="AYO42" s="5"/>
      <c r="AYP42" s="5"/>
      <c r="AYQ42" s="5"/>
      <c r="AYR42" s="5"/>
      <c r="AYS42" s="5"/>
      <c r="AYT42" s="5"/>
      <c r="AYU42" s="5"/>
      <c r="AYV42" s="5"/>
      <c r="AYW42" s="5"/>
      <c r="AYX42" s="5"/>
      <c r="AYY42" s="5"/>
      <c r="AYZ42" s="5"/>
      <c r="AZA42" s="5"/>
      <c r="AZB42" s="5"/>
      <c r="AZC42" s="5"/>
      <c r="AZD42" s="5"/>
      <c r="AZE42" s="5"/>
      <c r="AZF42" s="5"/>
      <c r="AZG42" s="5"/>
      <c r="AZH42" s="5"/>
      <c r="AZI42" s="5"/>
      <c r="AZJ42" s="5"/>
      <c r="AZK42" s="5"/>
      <c r="AZL42" s="5"/>
      <c r="AZM42" s="5"/>
      <c r="AZN42" s="5"/>
      <c r="AZO42" s="5"/>
      <c r="AZP42" s="5"/>
      <c r="AZQ42" s="5"/>
      <c r="AZR42" s="5"/>
      <c r="AZS42" s="5"/>
      <c r="AZT42" s="5"/>
      <c r="AZU42" s="5"/>
      <c r="AZV42" s="5"/>
      <c r="AZW42" s="5"/>
      <c r="AZX42" s="5"/>
      <c r="AZY42" s="5"/>
      <c r="AZZ42" s="5"/>
      <c r="BAA42" s="5"/>
      <c r="BAB42" s="5"/>
      <c r="BAC42" s="5"/>
      <c r="BAD42" s="5"/>
      <c r="BAE42" s="5"/>
      <c r="BAF42" s="5"/>
      <c r="BAG42" s="5"/>
      <c r="BAH42" s="5"/>
      <c r="BAI42" s="5"/>
      <c r="BAJ42" s="5"/>
      <c r="BAK42" s="5"/>
      <c r="BAL42" s="5"/>
      <c r="BAM42" s="5"/>
      <c r="BAN42" s="5"/>
      <c r="BAO42" s="5"/>
      <c r="BAP42" s="5"/>
      <c r="BAQ42" s="5"/>
      <c r="BAR42" s="5"/>
      <c r="BAS42" s="5"/>
      <c r="BAT42" s="5"/>
      <c r="BAU42" s="5"/>
      <c r="BAV42" s="5"/>
      <c r="BAW42" s="5"/>
      <c r="BAX42" s="5"/>
      <c r="BAY42" s="5"/>
      <c r="BAZ42" s="5"/>
      <c r="BBA42" s="5"/>
      <c r="BBB42" s="5"/>
      <c r="BBC42" s="5"/>
      <c r="BBD42" s="5"/>
      <c r="BBE42" s="5"/>
      <c r="BBF42" s="5"/>
      <c r="BBG42" s="5"/>
      <c r="BBH42" s="5"/>
      <c r="BBI42" s="5"/>
      <c r="BBJ42" s="5"/>
      <c r="BBK42" s="5"/>
      <c r="BBL42" s="5"/>
      <c r="BBM42" s="5"/>
      <c r="BBN42" s="5"/>
      <c r="BBO42" s="5"/>
      <c r="BBP42" s="5"/>
      <c r="BBQ42" s="5"/>
      <c r="BBR42" s="5"/>
      <c r="BBS42" s="5"/>
      <c r="BBT42" s="5"/>
      <c r="BBU42" s="5"/>
      <c r="BBV42" s="5"/>
      <c r="BBW42" s="5"/>
      <c r="BBX42" s="5"/>
      <c r="BBY42" s="5"/>
      <c r="BBZ42" s="5"/>
      <c r="BCA42" s="5"/>
      <c r="BCB42" s="5"/>
      <c r="BCC42" s="5"/>
      <c r="BCD42" s="5"/>
      <c r="BCE42" s="5"/>
      <c r="BCF42" s="5"/>
      <c r="BCG42" s="5"/>
      <c r="BCH42" s="5"/>
      <c r="BCI42" s="5"/>
      <c r="BCJ42" s="5"/>
      <c r="BCK42" s="5"/>
      <c r="BCL42" s="5"/>
      <c r="BCM42" s="5"/>
      <c r="BCN42" s="5"/>
      <c r="BCO42" s="5"/>
      <c r="BCP42" s="5"/>
      <c r="BCQ42" s="5"/>
      <c r="BCR42" s="5"/>
      <c r="BCS42" s="5"/>
      <c r="BCT42" s="5"/>
      <c r="BCU42" s="5"/>
      <c r="BCV42" s="5"/>
      <c r="BCW42" s="5"/>
      <c r="BCX42" s="5"/>
      <c r="BCY42" s="5"/>
      <c r="BCZ42" s="5"/>
      <c r="BDA42" s="5"/>
      <c r="BDB42" s="5"/>
      <c r="BDC42" s="5"/>
      <c r="BDD42" s="5"/>
      <c r="BDE42" s="5"/>
      <c r="BDF42" s="5"/>
      <c r="BDG42" s="5"/>
      <c r="BDH42" s="5"/>
      <c r="BDI42" s="5"/>
      <c r="BDJ42" s="5"/>
      <c r="BDK42" s="5"/>
      <c r="BDL42" s="5"/>
      <c r="BDM42" s="5"/>
      <c r="BDN42" s="5"/>
      <c r="BDO42" s="5"/>
      <c r="BDP42" s="5"/>
      <c r="BDQ42" s="5"/>
      <c r="BDR42" s="5"/>
      <c r="BDS42" s="5"/>
      <c r="BDT42" s="5"/>
      <c r="BDU42" s="5"/>
      <c r="BDV42" s="5"/>
      <c r="BDW42" s="5"/>
      <c r="BDX42" s="5"/>
      <c r="BDY42" s="5"/>
      <c r="BDZ42" s="5"/>
      <c r="BEA42" s="5"/>
      <c r="BEB42" s="5"/>
      <c r="BEC42" s="5"/>
      <c r="BED42" s="5"/>
      <c r="BEE42" s="5"/>
      <c r="BEF42" s="5"/>
      <c r="BEG42" s="5"/>
      <c r="BEH42" s="5"/>
      <c r="BEI42" s="5"/>
      <c r="BEJ42" s="5"/>
      <c r="BEK42" s="5"/>
      <c r="BEL42" s="5"/>
      <c r="BEM42" s="5"/>
      <c r="BEN42" s="5"/>
      <c r="BEO42" s="5"/>
      <c r="BEP42" s="5"/>
      <c r="BEQ42" s="5"/>
      <c r="BER42" s="5"/>
      <c r="BES42" s="5"/>
      <c r="BET42" s="5"/>
      <c r="BEU42" s="5"/>
      <c r="BEV42" s="5"/>
      <c r="BEW42" s="5"/>
      <c r="BEX42" s="5"/>
      <c r="BEY42" s="5"/>
      <c r="BEZ42" s="5"/>
      <c r="BFA42" s="5"/>
      <c r="BFB42" s="5"/>
      <c r="BFC42" s="5"/>
      <c r="BFD42" s="5"/>
      <c r="BFE42" s="5"/>
      <c r="BFF42" s="5"/>
      <c r="BFG42" s="5"/>
      <c r="BFH42" s="5"/>
      <c r="BFI42" s="5"/>
      <c r="BFJ42" s="5"/>
      <c r="BFK42" s="5"/>
      <c r="BFL42" s="5"/>
      <c r="BFM42" s="5"/>
      <c r="BFN42" s="5"/>
      <c r="BFO42" s="5"/>
      <c r="BFP42" s="5"/>
      <c r="BFQ42" s="5"/>
      <c r="BFR42" s="5"/>
      <c r="BFS42" s="5"/>
      <c r="BFT42" s="5"/>
      <c r="BFU42" s="5"/>
      <c r="BFV42" s="5"/>
      <c r="BFW42" s="5"/>
      <c r="BFX42" s="5"/>
      <c r="BFY42" s="5"/>
      <c r="BFZ42" s="5"/>
      <c r="BGA42" s="5"/>
      <c r="BGB42" s="5"/>
      <c r="BGC42" s="5"/>
      <c r="BGD42" s="5"/>
      <c r="BGE42" s="5"/>
      <c r="BGF42" s="5"/>
      <c r="BGG42" s="5"/>
      <c r="BGH42" s="5"/>
      <c r="BGI42" s="5"/>
      <c r="BGJ42" s="5"/>
      <c r="BGK42" s="5"/>
      <c r="BGL42" s="5"/>
      <c r="BGM42" s="5"/>
      <c r="BGN42" s="5"/>
      <c r="BGO42" s="5"/>
      <c r="BGP42" s="5"/>
      <c r="BGQ42" s="5"/>
      <c r="BGR42" s="5"/>
      <c r="BGS42" s="5"/>
      <c r="BGT42" s="5"/>
      <c r="BGU42" s="5"/>
      <c r="BGV42" s="5"/>
      <c r="BGW42" s="5"/>
      <c r="BGX42" s="5"/>
      <c r="BGY42" s="5"/>
      <c r="BGZ42" s="5"/>
      <c r="BHA42" s="5"/>
      <c r="BHB42" s="5"/>
      <c r="BHC42" s="5"/>
      <c r="BHD42" s="5"/>
      <c r="BHE42" s="5"/>
      <c r="BHF42" s="5"/>
      <c r="BHG42" s="5"/>
      <c r="BHH42" s="5"/>
      <c r="BHI42" s="5"/>
      <c r="BHJ42" s="5"/>
      <c r="BHK42" s="5"/>
      <c r="BHL42" s="5"/>
      <c r="BHM42" s="5"/>
      <c r="BHN42" s="5"/>
      <c r="BHO42" s="5"/>
      <c r="BHP42" s="5"/>
      <c r="BHQ42" s="5"/>
      <c r="BHR42" s="5"/>
      <c r="BHS42" s="5"/>
      <c r="BHT42" s="5"/>
      <c r="BHU42" s="5"/>
      <c r="BHV42" s="5"/>
      <c r="BHW42" s="5"/>
      <c r="BHX42" s="5"/>
      <c r="BHY42" s="5"/>
      <c r="BHZ42" s="5"/>
      <c r="BIA42" s="5"/>
      <c r="BIB42" s="5"/>
      <c r="BIC42" s="5"/>
      <c r="BID42" s="5"/>
      <c r="BIE42" s="5"/>
      <c r="BIF42" s="5"/>
      <c r="BIG42" s="5"/>
      <c r="BIH42" s="5"/>
      <c r="BII42" s="5"/>
      <c r="BIJ42" s="5"/>
      <c r="BIK42" s="5"/>
      <c r="BIL42" s="5"/>
      <c r="BIM42" s="5"/>
      <c r="BIN42" s="5"/>
      <c r="BIO42" s="5"/>
      <c r="BIP42" s="5"/>
      <c r="BIQ42" s="5"/>
      <c r="BIR42" s="5"/>
      <c r="BIS42" s="5"/>
      <c r="BIT42" s="5"/>
      <c r="BIU42" s="5"/>
      <c r="BIV42" s="5"/>
      <c r="BIW42" s="5"/>
      <c r="BIX42" s="5"/>
      <c r="BIY42" s="5"/>
      <c r="BIZ42" s="5"/>
      <c r="BJA42" s="5"/>
      <c r="BJB42" s="5"/>
      <c r="BJC42" s="5"/>
      <c r="BJD42" s="5"/>
      <c r="BJE42" s="5"/>
      <c r="BJF42" s="5"/>
      <c r="BJG42" s="5"/>
      <c r="BJH42" s="5"/>
      <c r="BJI42" s="5"/>
      <c r="BJJ42" s="5"/>
      <c r="BJK42" s="5"/>
      <c r="BJL42" s="5"/>
      <c r="BJM42" s="5"/>
      <c r="BJN42" s="5"/>
      <c r="BJO42" s="5"/>
      <c r="BJP42" s="5"/>
      <c r="BJQ42" s="5"/>
      <c r="BJR42" s="5"/>
      <c r="BJS42" s="5"/>
      <c r="BJT42" s="5"/>
      <c r="BJU42" s="5"/>
      <c r="BJV42" s="5"/>
      <c r="BJW42" s="5"/>
      <c r="BJX42" s="5"/>
      <c r="BJY42" s="5"/>
      <c r="BJZ42" s="5"/>
      <c r="BKA42" s="5"/>
      <c r="BKB42" s="5"/>
      <c r="BKC42" s="5"/>
      <c r="BKD42" s="5"/>
      <c r="BKE42" s="5"/>
      <c r="BKF42" s="5"/>
      <c r="BKG42" s="5"/>
      <c r="BKH42" s="5"/>
      <c r="BKI42" s="5"/>
      <c r="BKJ42" s="5"/>
      <c r="BKK42" s="5"/>
      <c r="BKL42" s="5"/>
      <c r="BKM42" s="5"/>
      <c r="BKN42" s="5"/>
      <c r="BKO42" s="5"/>
      <c r="BKP42" s="5"/>
      <c r="BKQ42" s="5"/>
      <c r="BKR42" s="5"/>
      <c r="BKS42" s="5"/>
      <c r="BKT42" s="5"/>
      <c r="BKU42" s="5"/>
      <c r="BKV42" s="5"/>
      <c r="BKW42" s="5"/>
      <c r="BKX42" s="5"/>
      <c r="BKY42" s="5"/>
      <c r="BKZ42" s="5"/>
      <c r="BLA42" s="5"/>
      <c r="BLB42" s="5"/>
      <c r="BLC42" s="5"/>
      <c r="BLD42" s="5"/>
      <c r="BLE42" s="5"/>
      <c r="BLF42" s="5"/>
      <c r="BLG42" s="5"/>
      <c r="BLH42" s="5"/>
      <c r="BLI42" s="5"/>
      <c r="BLJ42" s="5"/>
      <c r="BLK42" s="5"/>
      <c r="BLL42" s="5"/>
      <c r="BLM42" s="5"/>
      <c r="BLN42" s="5"/>
      <c r="BLO42" s="5"/>
      <c r="BLP42" s="5"/>
      <c r="BLQ42" s="5"/>
      <c r="BLR42" s="5"/>
      <c r="BLS42" s="5"/>
      <c r="BLT42" s="5"/>
      <c r="BLU42" s="5"/>
      <c r="BLV42" s="5"/>
      <c r="BLW42" s="5"/>
      <c r="BLX42" s="5"/>
      <c r="BLY42" s="5"/>
      <c r="BLZ42" s="5"/>
      <c r="BMA42" s="5"/>
      <c r="BMB42" s="5"/>
      <c r="BMC42" s="5"/>
      <c r="BMD42" s="5"/>
      <c r="BME42" s="5"/>
      <c r="BMF42" s="5"/>
      <c r="BMG42" s="5"/>
      <c r="BMH42" s="5"/>
      <c r="BMI42" s="5"/>
      <c r="BMJ42" s="5"/>
      <c r="BMK42" s="5"/>
      <c r="BML42" s="5"/>
      <c r="BMM42" s="5"/>
      <c r="BMN42" s="5"/>
      <c r="BMO42" s="5"/>
      <c r="BMP42" s="5"/>
      <c r="BMQ42" s="5"/>
      <c r="BMR42" s="5"/>
      <c r="BMS42" s="5"/>
      <c r="BMT42" s="5"/>
      <c r="BMU42" s="5"/>
      <c r="BMV42" s="5"/>
      <c r="BMW42" s="5"/>
      <c r="BMX42" s="5"/>
      <c r="BMY42" s="5"/>
      <c r="BMZ42" s="5"/>
      <c r="BNA42" s="5"/>
      <c r="BNB42" s="5"/>
      <c r="BNC42" s="5"/>
      <c r="BND42" s="5"/>
      <c r="BNE42" s="5"/>
      <c r="BNF42" s="5"/>
      <c r="BNG42" s="5"/>
      <c r="BNH42" s="5"/>
      <c r="BNI42" s="5"/>
      <c r="BNJ42" s="5"/>
      <c r="BNK42" s="5"/>
      <c r="BNL42" s="5"/>
      <c r="BNM42" s="5"/>
      <c r="BNN42" s="5"/>
      <c r="BNO42" s="5"/>
      <c r="BNP42" s="5"/>
      <c r="BNQ42" s="5"/>
      <c r="BNR42" s="5"/>
      <c r="BNS42" s="5"/>
      <c r="BNT42" s="5"/>
      <c r="BNU42" s="5"/>
      <c r="BNV42" s="5"/>
      <c r="BNW42" s="5"/>
      <c r="BNX42" s="5"/>
      <c r="BNY42" s="5"/>
      <c r="BNZ42" s="5"/>
      <c r="BOA42" s="5"/>
      <c r="BOB42" s="5"/>
      <c r="BOC42" s="5"/>
      <c r="BOD42" s="5"/>
      <c r="BOE42" s="5"/>
      <c r="BOF42" s="5"/>
      <c r="BOG42" s="5"/>
      <c r="BOH42" s="5"/>
      <c r="BOI42" s="5"/>
      <c r="BOJ42" s="5"/>
      <c r="BOK42" s="5"/>
      <c r="BOL42" s="5"/>
      <c r="BOM42" s="5"/>
      <c r="BON42" s="5"/>
      <c r="BOO42" s="5"/>
      <c r="BOP42" s="5"/>
      <c r="BOQ42" s="5"/>
      <c r="BOR42" s="5"/>
      <c r="BOS42" s="5"/>
      <c r="BOT42" s="5"/>
      <c r="BOU42" s="5"/>
      <c r="BOV42" s="5"/>
      <c r="BOW42" s="5"/>
      <c r="BOX42" s="5"/>
      <c r="BOY42" s="5"/>
      <c r="BOZ42" s="5"/>
      <c r="BPA42" s="5"/>
      <c r="BPB42" s="5"/>
      <c r="BPC42" s="5"/>
      <c r="BPD42" s="5"/>
      <c r="BPE42" s="5"/>
      <c r="BPF42" s="5"/>
      <c r="BPG42" s="5"/>
      <c r="BPH42" s="5"/>
      <c r="BPI42" s="5"/>
      <c r="BPJ42" s="5"/>
      <c r="BPK42" s="5"/>
      <c r="BPL42" s="5"/>
      <c r="BPM42" s="5"/>
      <c r="BPN42" s="5"/>
      <c r="BPO42" s="5"/>
      <c r="BPP42" s="5"/>
      <c r="BPQ42" s="5"/>
      <c r="BPR42" s="5"/>
      <c r="BPS42" s="5"/>
      <c r="BPT42" s="5"/>
      <c r="BPU42" s="5"/>
      <c r="BPV42" s="5"/>
      <c r="BPW42" s="5"/>
      <c r="BPX42" s="5"/>
      <c r="BPY42" s="5"/>
      <c r="BPZ42" s="5"/>
      <c r="BQA42" s="5"/>
      <c r="BQB42" s="5"/>
      <c r="BQC42" s="5"/>
      <c r="BQD42" s="5"/>
      <c r="BQE42" s="5"/>
      <c r="BQF42" s="5"/>
      <c r="BQG42" s="5"/>
      <c r="BQH42" s="5"/>
      <c r="BQI42" s="5"/>
      <c r="BQJ42" s="5"/>
      <c r="BQK42" s="5"/>
      <c r="BQL42" s="5"/>
      <c r="BQM42" s="5"/>
      <c r="BQN42" s="5"/>
      <c r="BQO42" s="5"/>
      <c r="BQP42" s="5"/>
      <c r="BQQ42" s="5"/>
      <c r="BQR42" s="5"/>
      <c r="BQS42" s="5"/>
      <c r="BQT42" s="5"/>
      <c r="BQU42" s="5"/>
      <c r="BQV42" s="5"/>
      <c r="BQW42" s="5"/>
      <c r="BQX42" s="5"/>
      <c r="BQY42" s="5"/>
      <c r="BQZ42" s="5"/>
      <c r="BRA42" s="5"/>
      <c r="BRB42" s="5"/>
      <c r="BRC42" s="5"/>
      <c r="BRD42" s="5"/>
      <c r="BRE42" s="5"/>
      <c r="BRF42" s="5"/>
      <c r="BRG42" s="5"/>
      <c r="BRH42" s="5"/>
      <c r="BRI42" s="5"/>
      <c r="BRJ42" s="5"/>
      <c r="BRK42" s="5"/>
      <c r="BRL42" s="5"/>
      <c r="BRM42" s="5"/>
      <c r="BRN42" s="5"/>
      <c r="BRO42" s="5"/>
      <c r="BRP42" s="5"/>
      <c r="BRQ42" s="5"/>
      <c r="BRR42" s="5"/>
      <c r="BRS42" s="5"/>
      <c r="BRT42" s="5"/>
      <c r="BRU42" s="5"/>
      <c r="BRV42" s="5"/>
      <c r="BRW42" s="5"/>
      <c r="BRX42" s="5"/>
      <c r="BRY42" s="5"/>
      <c r="BRZ42" s="5"/>
      <c r="BSA42" s="5"/>
      <c r="BSB42" s="5"/>
      <c r="BSC42" s="5"/>
      <c r="BSD42" s="5"/>
      <c r="BSE42" s="5"/>
      <c r="BSF42" s="5"/>
      <c r="BSG42" s="5"/>
      <c r="BSH42" s="5"/>
      <c r="BSI42" s="5"/>
      <c r="BSJ42" s="5"/>
      <c r="BSK42" s="5"/>
      <c r="BSL42" s="5"/>
      <c r="BSM42" s="5"/>
      <c r="BSN42" s="5"/>
      <c r="BSO42" s="5"/>
      <c r="BSP42" s="5"/>
      <c r="BSQ42" s="5"/>
      <c r="BSR42" s="5"/>
      <c r="BSS42" s="5"/>
      <c r="BST42" s="5"/>
      <c r="BSU42" s="5"/>
      <c r="BSV42" s="5"/>
      <c r="BSW42" s="5"/>
      <c r="BSX42" s="5"/>
      <c r="BSY42" s="5"/>
      <c r="BSZ42" s="5"/>
      <c r="BTA42" s="5"/>
      <c r="BTB42" s="5"/>
      <c r="BTC42" s="5"/>
      <c r="BTD42" s="5"/>
      <c r="BTE42" s="5"/>
      <c r="BTF42" s="5"/>
      <c r="BTG42" s="5"/>
      <c r="BTH42" s="5"/>
      <c r="BTI42" s="5"/>
      <c r="BTJ42" s="5"/>
      <c r="BTK42" s="5"/>
      <c r="BTL42" s="5"/>
      <c r="BTM42" s="5"/>
      <c r="BTN42" s="5"/>
      <c r="BTO42" s="5"/>
      <c r="BTP42" s="5"/>
      <c r="BTQ42" s="5"/>
      <c r="BTR42" s="5"/>
      <c r="BTS42" s="5"/>
      <c r="BTT42" s="5"/>
      <c r="BTU42" s="5"/>
      <c r="BTV42" s="5"/>
      <c r="BTW42" s="5"/>
      <c r="BTX42" s="5"/>
      <c r="BTY42" s="5"/>
      <c r="BTZ42" s="5"/>
      <c r="BUA42" s="5"/>
      <c r="BUB42" s="5"/>
      <c r="BUC42" s="5"/>
      <c r="BUD42" s="5"/>
      <c r="BUE42" s="5"/>
      <c r="BUF42" s="5"/>
      <c r="BUG42" s="5"/>
      <c r="BUH42" s="5"/>
      <c r="BUI42" s="5"/>
      <c r="BUJ42" s="5"/>
      <c r="BUK42" s="5"/>
      <c r="BUL42" s="5"/>
      <c r="BUM42" s="5"/>
      <c r="BUN42" s="5"/>
      <c r="BUO42" s="5"/>
      <c r="BUP42" s="5"/>
      <c r="BUQ42" s="5"/>
      <c r="BUR42" s="5"/>
      <c r="BUS42" s="5"/>
      <c r="BUT42" s="5"/>
      <c r="BUU42" s="5"/>
      <c r="BUV42" s="5"/>
      <c r="BUW42" s="5"/>
      <c r="BUX42" s="5"/>
      <c r="BUY42" s="5"/>
      <c r="BUZ42" s="5"/>
      <c r="BVA42" s="5"/>
      <c r="BVB42" s="5"/>
      <c r="BVC42" s="5"/>
      <c r="BVD42" s="5"/>
      <c r="BVE42" s="5"/>
      <c r="BVF42" s="5"/>
      <c r="BVG42" s="5"/>
      <c r="BVH42" s="5"/>
      <c r="BVI42" s="5"/>
      <c r="BVJ42" s="5"/>
      <c r="BVK42" s="5"/>
      <c r="BVL42" s="5"/>
      <c r="BVM42" s="5"/>
      <c r="BVN42" s="5"/>
      <c r="BVO42" s="5"/>
      <c r="BVP42" s="5"/>
      <c r="BVQ42" s="5"/>
      <c r="BVR42" s="5"/>
      <c r="BVS42" s="5"/>
      <c r="BVT42" s="5"/>
      <c r="BVU42" s="5"/>
      <c r="BVV42" s="5"/>
      <c r="BVW42" s="5"/>
      <c r="BVX42" s="5"/>
      <c r="BVY42" s="5"/>
      <c r="BVZ42" s="5"/>
      <c r="BWA42" s="5"/>
      <c r="BWB42" s="5"/>
      <c r="BWC42" s="5"/>
      <c r="BWD42" s="5"/>
      <c r="BWE42" s="5"/>
      <c r="BWF42" s="5"/>
      <c r="BWG42" s="5"/>
      <c r="BWH42" s="5"/>
      <c r="BWI42" s="5"/>
      <c r="BWJ42" s="5"/>
      <c r="BWK42" s="5"/>
      <c r="BWL42" s="5"/>
      <c r="BWM42" s="5"/>
      <c r="BWN42" s="5"/>
      <c r="BWO42" s="5"/>
      <c r="BWP42" s="5"/>
      <c r="BWQ42" s="5"/>
      <c r="BWR42" s="5"/>
      <c r="BWS42" s="5"/>
      <c r="BWT42" s="5"/>
      <c r="BWU42" s="5"/>
      <c r="BWV42" s="5"/>
      <c r="BWW42" s="5"/>
      <c r="BWX42" s="5"/>
      <c r="BWY42" s="5"/>
      <c r="BWZ42" s="5"/>
      <c r="BXA42" s="5"/>
      <c r="BXB42" s="5"/>
      <c r="BXC42" s="5"/>
      <c r="BXD42" s="5"/>
      <c r="BXE42" s="5"/>
      <c r="BXF42" s="5"/>
      <c r="BXG42" s="5"/>
      <c r="BXH42" s="5"/>
      <c r="BXI42" s="5"/>
      <c r="BXJ42" s="5"/>
      <c r="BXK42" s="5"/>
      <c r="BXL42" s="5"/>
      <c r="BXM42" s="5"/>
      <c r="BXN42" s="5"/>
      <c r="BXO42" s="5"/>
      <c r="BXP42" s="5"/>
      <c r="BXQ42" s="5"/>
      <c r="BXR42" s="5"/>
      <c r="BXS42" s="5"/>
      <c r="BXT42" s="5"/>
      <c r="BXU42" s="5"/>
      <c r="BXV42" s="5"/>
      <c r="BXW42" s="5"/>
      <c r="BXX42" s="5"/>
      <c r="BXY42" s="5"/>
      <c r="BXZ42" s="5"/>
      <c r="BYA42" s="5"/>
      <c r="BYB42" s="5"/>
      <c r="BYC42" s="5"/>
      <c r="BYD42" s="5"/>
      <c r="BYE42" s="5"/>
      <c r="BYF42" s="5"/>
      <c r="BYG42" s="5"/>
      <c r="BYH42" s="5"/>
      <c r="BYI42" s="5"/>
      <c r="BYJ42" s="5"/>
      <c r="BYK42" s="5"/>
      <c r="BYL42" s="5"/>
      <c r="BYM42" s="5"/>
      <c r="BYN42" s="5"/>
      <c r="BYO42" s="5"/>
      <c r="BYP42" s="5"/>
      <c r="BYQ42" s="5"/>
      <c r="BYR42" s="5"/>
      <c r="BYS42" s="5"/>
      <c r="BYT42" s="5"/>
      <c r="BYU42" s="5"/>
      <c r="BYV42" s="5"/>
      <c r="BYW42" s="5"/>
      <c r="BYX42" s="5"/>
      <c r="BYY42" s="5"/>
      <c r="BYZ42" s="5"/>
      <c r="BZA42" s="5"/>
      <c r="BZB42" s="5"/>
      <c r="BZC42" s="5"/>
      <c r="BZD42" s="5"/>
      <c r="BZE42" s="5"/>
      <c r="BZF42" s="5"/>
      <c r="BZG42" s="5"/>
      <c r="BZH42" s="5"/>
      <c r="BZI42" s="5"/>
      <c r="BZJ42" s="5"/>
      <c r="BZK42" s="5"/>
      <c r="BZL42" s="5"/>
      <c r="BZM42" s="5"/>
      <c r="BZN42" s="5"/>
      <c r="BZO42" s="5"/>
      <c r="BZP42" s="5"/>
      <c r="BZQ42" s="5"/>
      <c r="BZR42" s="5"/>
      <c r="BZS42" s="5"/>
      <c r="BZT42" s="5"/>
      <c r="BZU42" s="5"/>
      <c r="BZV42" s="5"/>
      <c r="BZW42" s="5"/>
      <c r="BZX42" s="5"/>
      <c r="BZY42" s="5"/>
      <c r="BZZ42" s="5"/>
      <c r="CAA42" s="5"/>
      <c r="CAB42" s="5"/>
      <c r="CAC42" s="5"/>
      <c r="CAD42" s="5"/>
      <c r="CAE42" s="5"/>
      <c r="CAF42" s="5"/>
      <c r="CAG42" s="5"/>
      <c r="CAH42" s="5"/>
      <c r="CAI42" s="5"/>
      <c r="CAJ42" s="5"/>
      <c r="CAK42" s="5"/>
      <c r="CAL42" s="5"/>
      <c r="CAM42" s="5"/>
      <c r="CAN42" s="5"/>
      <c r="CAO42" s="5"/>
      <c r="CAP42" s="5"/>
      <c r="CAQ42" s="5"/>
      <c r="CAR42" s="5"/>
      <c r="CAS42" s="5"/>
      <c r="CAT42" s="5"/>
      <c r="CAU42" s="5"/>
      <c r="CAV42" s="5"/>
      <c r="CAW42" s="5"/>
      <c r="CAX42" s="5"/>
      <c r="CAY42" s="5"/>
      <c r="CAZ42" s="5"/>
      <c r="CBA42" s="5"/>
      <c r="CBB42" s="5"/>
      <c r="CBC42" s="5"/>
      <c r="CBD42" s="5"/>
      <c r="CBE42" s="5"/>
      <c r="CBF42" s="5"/>
      <c r="CBG42" s="5"/>
      <c r="CBH42" s="5"/>
      <c r="CBI42" s="5"/>
      <c r="CBJ42" s="5"/>
      <c r="CBK42" s="5"/>
      <c r="CBL42" s="5"/>
      <c r="CBM42" s="5"/>
      <c r="CBN42" s="5"/>
      <c r="CBO42" s="5"/>
      <c r="CBP42" s="5"/>
      <c r="CBQ42" s="5"/>
      <c r="CBR42" s="5"/>
      <c r="CBS42" s="5"/>
      <c r="CBT42" s="5"/>
      <c r="CBU42" s="5"/>
      <c r="CBV42" s="5"/>
      <c r="CBW42" s="5"/>
      <c r="CBX42" s="5"/>
      <c r="CBY42" s="5"/>
      <c r="CBZ42" s="5"/>
      <c r="CCA42" s="5"/>
      <c r="CCB42" s="5"/>
      <c r="CCC42" s="5"/>
      <c r="CCD42" s="5"/>
      <c r="CCE42" s="5"/>
      <c r="CCF42" s="5"/>
      <c r="CCG42" s="5"/>
      <c r="CCH42" s="5"/>
      <c r="CCI42" s="5"/>
      <c r="CCJ42" s="5"/>
      <c r="CCK42" s="5"/>
      <c r="CCL42" s="5"/>
      <c r="CCM42" s="5"/>
      <c r="CCN42" s="5"/>
      <c r="CCO42" s="5"/>
      <c r="CCP42" s="5"/>
      <c r="CCQ42" s="5"/>
      <c r="CCR42" s="5"/>
      <c r="CCS42" s="5"/>
      <c r="CCT42" s="5"/>
      <c r="CCU42" s="5"/>
      <c r="CCV42" s="5"/>
      <c r="CCW42" s="5"/>
      <c r="CCX42" s="5"/>
      <c r="CCY42" s="5"/>
      <c r="CCZ42" s="5"/>
      <c r="CDA42" s="5"/>
      <c r="CDB42" s="5"/>
      <c r="CDC42" s="5"/>
      <c r="CDD42" s="5"/>
      <c r="CDE42" s="5"/>
      <c r="CDF42" s="5"/>
      <c r="CDG42" s="5"/>
      <c r="CDH42" s="5"/>
      <c r="CDI42" s="5"/>
      <c r="CDJ42" s="5"/>
      <c r="CDK42" s="5"/>
      <c r="CDL42" s="5"/>
      <c r="CDM42" s="5"/>
      <c r="CDN42" s="5"/>
      <c r="CDO42" s="5"/>
      <c r="CDP42" s="5"/>
      <c r="CDQ42" s="5"/>
      <c r="CDR42" s="5"/>
      <c r="CDS42" s="5"/>
      <c r="CDT42" s="5"/>
      <c r="CDU42" s="5"/>
      <c r="CDV42" s="5"/>
      <c r="CDW42" s="5"/>
      <c r="CDX42" s="5"/>
      <c r="CDY42" s="5"/>
      <c r="CDZ42" s="5"/>
      <c r="CEA42" s="5"/>
      <c r="CEB42" s="5"/>
      <c r="CEC42" s="5"/>
      <c r="CED42" s="5"/>
      <c r="CEE42" s="5"/>
      <c r="CEF42" s="5"/>
      <c r="CEG42" s="5"/>
      <c r="CEH42" s="5"/>
      <c r="CEI42" s="5"/>
      <c r="CEJ42" s="5"/>
      <c r="CEK42" s="5"/>
      <c r="CEL42" s="5"/>
      <c r="CEM42" s="5"/>
      <c r="CEN42" s="5"/>
      <c r="CEO42" s="5"/>
      <c r="CEP42" s="5"/>
      <c r="CEQ42" s="5"/>
      <c r="CER42" s="5"/>
      <c r="CES42" s="5"/>
      <c r="CET42" s="5"/>
      <c r="CEU42" s="5"/>
      <c r="CEV42" s="5"/>
      <c r="CEW42" s="5"/>
      <c r="CEX42" s="5"/>
      <c r="CEY42" s="5"/>
      <c r="CEZ42" s="5"/>
      <c r="CFA42" s="5"/>
      <c r="CFB42" s="5"/>
      <c r="CFC42" s="5"/>
      <c r="CFD42" s="5"/>
      <c r="CFE42" s="5"/>
      <c r="CFF42" s="5"/>
      <c r="CFG42" s="5"/>
      <c r="CFH42" s="5"/>
      <c r="CFI42" s="5"/>
      <c r="CFJ42" s="5"/>
      <c r="CFK42" s="5"/>
      <c r="CFL42" s="5"/>
      <c r="CFM42" s="5"/>
      <c r="CFN42" s="5"/>
      <c r="CFO42" s="5"/>
      <c r="CFP42" s="5"/>
      <c r="CFQ42" s="5"/>
      <c r="CFR42" s="5"/>
      <c r="CFS42" s="5"/>
      <c r="CFT42" s="5"/>
      <c r="CFU42" s="5"/>
      <c r="CFV42" s="5"/>
      <c r="CFW42" s="5"/>
      <c r="CFX42" s="5"/>
      <c r="CFY42" s="5"/>
      <c r="CFZ42" s="5"/>
      <c r="CGA42" s="5"/>
      <c r="CGB42" s="5"/>
      <c r="CGC42" s="5"/>
      <c r="CGD42" s="5"/>
      <c r="CGE42" s="5"/>
      <c r="CGF42" s="5"/>
      <c r="CGG42" s="5"/>
      <c r="CGH42" s="5"/>
      <c r="CGI42" s="5"/>
      <c r="CGJ42" s="5"/>
      <c r="CGK42" s="5"/>
      <c r="CGL42" s="5"/>
      <c r="CGM42" s="5"/>
      <c r="CGN42" s="5"/>
      <c r="CGO42" s="5"/>
      <c r="CGP42" s="5"/>
      <c r="CGQ42" s="5"/>
      <c r="CGR42" s="5"/>
      <c r="CGS42" s="5"/>
      <c r="CGT42" s="5"/>
      <c r="CGU42" s="5"/>
      <c r="CGV42" s="5"/>
      <c r="CGW42" s="5"/>
      <c r="CGX42" s="5"/>
      <c r="CGY42" s="5"/>
      <c r="CGZ42" s="5"/>
      <c r="CHA42" s="5"/>
      <c r="CHB42" s="5"/>
      <c r="CHC42" s="5"/>
      <c r="CHD42" s="5"/>
      <c r="CHE42" s="5"/>
      <c r="CHF42" s="5"/>
      <c r="CHG42" s="5"/>
      <c r="CHH42" s="5"/>
      <c r="CHI42" s="5"/>
      <c r="CHJ42" s="5"/>
      <c r="CHK42" s="5"/>
      <c r="CHL42" s="5"/>
      <c r="CHM42" s="5"/>
      <c r="CHN42" s="5"/>
      <c r="CHO42" s="5"/>
      <c r="CHP42" s="5"/>
      <c r="CHQ42" s="5"/>
      <c r="CHR42" s="5"/>
      <c r="CHS42" s="5"/>
      <c r="CHT42" s="5"/>
      <c r="CHU42" s="5"/>
      <c r="CHV42" s="5"/>
      <c r="CHW42" s="5"/>
      <c r="CHX42" s="5"/>
      <c r="CHY42" s="5"/>
      <c r="CHZ42" s="5"/>
      <c r="CIA42" s="5"/>
      <c r="CIB42" s="5"/>
      <c r="CIC42" s="5"/>
      <c r="CID42" s="5"/>
      <c r="CIE42" s="5"/>
      <c r="CIF42" s="5"/>
      <c r="CIG42" s="5"/>
      <c r="CIH42" s="5"/>
      <c r="CII42" s="5"/>
      <c r="CIJ42" s="5"/>
      <c r="CIK42" s="5"/>
      <c r="CIL42" s="5"/>
      <c r="CIM42" s="5"/>
      <c r="CIN42" s="5"/>
      <c r="CIO42" s="5"/>
      <c r="CIP42" s="5"/>
      <c r="CIQ42" s="5"/>
      <c r="CIR42" s="5"/>
      <c r="CIS42" s="5"/>
      <c r="CIT42" s="5"/>
      <c r="CIU42" s="5"/>
      <c r="CIV42" s="5"/>
      <c r="CIW42" s="5"/>
      <c r="CIX42" s="5"/>
      <c r="CIY42" s="5"/>
      <c r="CIZ42" s="5"/>
      <c r="CJA42" s="5"/>
      <c r="CJB42" s="5"/>
      <c r="CJC42" s="5"/>
      <c r="CJD42" s="5"/>
      <c r="CJE42" s="5"/>
      <c r="CJF42" s="5"/>
      <c r="CJG42" s="5"/>
      <c r="CJH42" s="5"/>
      <c r="CJI42" s="5"/>
      <c r="CJJ42" s="5"/>
      <c r="CJK42" s="5"/>
      <c r="CJL42" s="5"/>
      <c r="CJM42" s="5"/>
      <c r="CJN42" s="5"/>
      <c r="CJO42" s="5"/>
      <c r="CJP42" s="5"/>
      <c r="CJQ42" s="5"/>
      <c r="CJR42" s="5"/>
      <c r="CJS42" s="5"/>
      <c r="CJT42" s="5"/>
      <c r="CJU42" s="5"/>
      <c r="CJV42" s="5"/>
      <c r="CJW42" s="5"/>
      <c r="CJX42" s="5"/>
      <c r="CJY42" s="5"/>
      <c r="CJZ42" s="5"/>
      <c r="CKA42" s="5"/>
      <c r="CKB42" s="5"/>
      <c r="CKC42" s="5"/>
      <c r="CKD42" s="5"/>
      <c r="CKE42" s="5"/>
      <c r="CKF42" s="5"/>
      <c r="CKG42" s="5"/>
      <c r="CKH42" s="5"/>
      <c r="CKI42" s="5"/>
      <c r="CKJ42" s="5"/>
      <c r="CKK42" s="5"/>
      <c r="CKL42" s="5"/>
      <c r="CKM42" s="5"/>
      <c r="CKN42" s="5"/>
      <c r="CKO42" s="5"/>
      <c r="CKP42" s="5"/>
      <c r="CKQ42" s="5"/>
      <c r="CKR42" s="5"/>
      <c r="CKS42" s="5"/>
      <c r="CKT42" s="5"/>
      <c r="CKU42" s="5"/>
      <c r="CKV42" s="5"/>
      <c r="CKW42" s="5"/>
      <c r="CKX42" s="5"/>
      <c r="CKY42" s="5"/>
      <c r="CKZ42" s="5"/>
      <c r="CLA42" s="5"/>
      <c r="CLB42" s="5"/>
      <c r="CLC42" s="5"/>
      <c r="CLD42" s="5"/>
      <c r="CLE42" s="5"/>
      <c r="CLF42" s="5"/>
      <c r="CLG42" s="5"/>
      <c r="CLH42" s="5"/>
      <c r="CLI42" s="5"/>
      <c r="CLJ42" s="5"/>
      <c r="CLK42" s="5"/>
      <c r="CLL42" s="5"/>
      <c r="CLM42" s="5"/>
      <c r="CLN42" s="5"/>
      <c r="CLO42" s="5"/>
      <c r="CLP42" s="5"/>
      <c r="CLQ42" s="5"/>
      <c r="CLR42" s="5"/>
      <c r="CLS42" s="5"/>
      <c r="CLT42" s="5"/>
      <c r="CLU42" s="5"/>
      <c r="CLV42" s="5"/>
      <c r="CLW42" s="5"/>
      <c r="CLX42" s="5"/>
      <c r="CLY42" s="5"/>
      <c r="CLZ42" s="5"/>
      <c r="CMA42" s="5"/>
      <c r="CMB42" s="5"/>
      <c r="CMC42" s="5"/>
      <c r="CMD42" s="5"/>
      <c r="CME42" s="5"/>
      <c r="CMF42" s="5"/>
      <c r="CMG42" s="5"/>
      <c r="CMH42" s="5"/>
      <c r="CMI42" s="5"/>
      <c r="CMJ42" s="5"/>
      <c r="CMK42" s="5"/>
      <c r="CML42" s="5"/>
      <c r="CMM42" s="5"/>
      <c r="CMN42" s="5"/>
      <c r="CMO42" s="5"/>
      <c r="CMP42" s="5"/>
      <c r="CMQ42" s="5"/>
      <c r="CMR42" s="5"/>
      <c r="CMS42" s="5"/>
      <c r="CMT42" s="5"/>
      <c r="CMU42" s="5"/>
      <c r="CMV42" s="5"/>
      <c r="CMW42" s="5"/>
      <c r="CMX42" s="5"/>
      <c r="CMY42" s="5"/>
      <c r="CMZ42" s="5"/>
      <c r="CNA42" s="5"/>
      <c r="CNB42" s="5"/>
      <c r="CNC42" s="5"/>
      <c r="CND42" s="5"/>
      <c r="CNE42" s="5"/>
      <c r="CNF42" s="5"/>
      <c r="CNG42" s="5"/>
      <c r="CNH42" s="5"/>
      <c r="CNI42" s="5"/>
      <c r="CNJ42" s="5"/>
      <c r="CNK42" s="5"/>
      <c r="CNL42" s="5"/>
      <c r="CNM42" s="5"/>
      <c r="CNN42" s="5"/>
      <c r="CNO42" s="5"/>
      <c r="CNP42" s="5"/>
      <c r="CNQ42" s="5"/>
      <c r="CNR42" s="5"/>
      <c r="CNS42" s="5"/>
      <c r="CNT42" s="5"/>
      <c r="CNU42" s="5"/>
      <c r="CNV42" s="5"/>
      <c r="CNW42" s="5"/>
      <c r="CNX42" s="5"/>
      <c r="CNY42" s="5"/>
      <c r="CNZ42" s="5"/>
      <c r="COA42" s="5"/>
      <c r="COB42" s="5"/>
      <c r="COC42" s="5"/>
      <c r="COD42" s="5"/>
      <c r="COE42" s="5"/>
      <c r="COF42" s="5"/>
      <c r="COG42" s="5"/>
      <c r="COH42" s="5"/>
      <c r="COI42" s="5"/>
      <c r="COJ42" s="5"/>
      <c r="COK42" s="5"/>
      <c r="COL42" s="5"/>
      <c r="COM42" s="5"/>
      <c r="CON42" s="5"/>
      <c r="COO42" s="5"/>
      <c r="COP42" s="5"/>
      <c r="COQ42" s="5"/>
      <c r="COR42" s="5"/>
      <c r="COS42" s="5"/>
      <c r="COT42" s="5"/>
      <c r="COU42" s="5"/>
      <c r="COV42" s="5"/>
      <c r="COW42" s="5"/>
      <c r="COX42" s="5"/>
      <c r="COY42" s="5"/>
      <c r="COZ42" s="5"/>
      <c r="CPA42" s="5"/>
      <c r="CPB42" s="5"/>
      <c r="CPC42" s="5"/>
      <c r="CPD42" s="5"/>
      <c r="CPE42" s="5"/>
      <c r="CPF42" s="5"/>
      <c r="CPG42" s="5"/>
      <c r="CPH42" s="5"/>
      <c r="CPI42" s="5"/>
      <c r="CPJ42" s="5"/>
      <c r="CPK42" s="5"/>
      <c r="CPL42" s="5"/>
      <c r="CPM42" s="5"/>
      <c r="CPN42" s="5"/>
      <c r="CPO42" s="5"/>
      <c r="CPP42" s="5"/>
      <c r="CPQ42" s="5"/>
      <c r="CPR42" s="5"/>
      <c r="CPS42" s="5"/>
      <c r="CPT42" s="5"/>
      <c r="CPU42" s="5"/>
      <c r="CPV42" s="5"/>
      <c r="CPW42" s="5"/>
      <c r="CPX42" s="5"/>
      <c r="CPY42" s="5"/>
      <c r="CPZ42" s="5"/>
      <c r="CQA42" s="5"/>
      <c r="CQB42" s="5"/>
      <c r="CQC42" s="5"/>
      <c r="CQD42" s="5"/>
      <c r="CQE42" s="5"/>
      <c r="CQF42" s="5"/>
      <c r="CQG42" s="5"/>
      <c r="CQH42" s="5"/>
      <c r="CQI42" s="5"/>
      <c r="CQJ42" s="5"/>
      <c r="CQK42" s="5"/>
      <c r="CQL42" s="5"/>
      <c r="CQM42" s="5"/>
      <c r="CQN42" s="5"/>
      <c r="CQO42" s="5"/>
      <c r="CQP42" s="5"/>
      <c r="CQQ42" s="5"/>
      <c r="CQR42" s="5"/>
      <c r="CQS42" s="5"/>
      <c r="CQT42" s="5"/>
      <c r="CQU42" s="5"/>
      <c r="CQV42" s="5"/>
      <c r="CQW42" s="5"/>
      <c r="CQX42" s="5"/>
      <c r="CQY42" s="5"/>
      <c r="CQZ42" s="5"/>
      <c r="CRA42" s="5"/>
      <c r="CRB42" s="5"/>
      <c r="CRC42" s="5"/>
      <c r="CRD42" s="5"/>
      <c r="CRE42" s="5"/>
      <c r="CRF42" s="5"/>
      <c r="CRG42" s="5"/>
      <c r="CRH42" s="5"/>
      <c r="CRI42" s="5"/>
      <c r="CRJ42" s="5"/>
      <c r="CRK42" s="5"/>
      <c r="CRL42" s="5"/>
      <c r="CRM42" s="5"/>
      <c r="CRN42" s="5"/>
      <c r="CRO42" s="5"/>
      <c r="CRP42" s="5"/>
      <c r="CRQ42" s="5"/>
      <c r="CRR42" s="5"/>
      <c r="CRS42" s="5"/>
      <c r="CRT42" s="5"/>
      <c r="CRU42" s="5"/>
      <c r="CRV42" s="5"/>
      <c r="CRW42" s="5"/>
      <c r="CRX42" s="5"/>
      <c r="CRY42" s="5"/>
      <c r="CRZ42" s="5"/>
      <c r="CSA42" s="5"/>
      <c r="CSB42" s="5"/>
      <c r="CSC42" s="5"/>
      <c r="CSD42" s="5"/>
      <c r="CSE42" s="5"/>
      <c r="CSF42" s="5"/>
      <c r="CSG42" s="5"/>
      <c r="CSH42" s="5"/>
      <c r="CSI42" s="5"/>
      <c r="CSJ42" s="5"/>
      <c r="CSK42" s="5"/>
      <c r="CSL42" s="5"/>
      <c r="CSM42" s="5"/>
      <c r="CSN42" s="5"/>
      <c r="CSO42" s="5"/>
      <c r="CSP42" s="5"/>
      <c r="CSQ42" s="5"/>
      <c r="CSR42" s="5"/>
      <c r="CSS42" s="5"/>
      <c r="CST42" s="5"/>
      <c r="CSU42" s="5"/>
      <c r="CSV42" s="5"/>
      <c r="CSW42" s="5"/>
      <c r="CSX42" s="5"/>
      <c r="CSY42" s="5"/>
      <c r="CSZ42" s="5"/>
      <c r="CTA42" s="5"/>
      <c r="CTB42" s="5"/>
      <c r="CTC42" s="5"/>
      <c r="CTD42" s="5"/>
      <c r="CTE42" s="5"/>
      <c r="CTF42" s="5"/>
      <c r="CTG42" s="5"/>
      <c r="CTH42" s="5"/>
      <c r="CTI42" s="5"/>
      <c r="CTJ42" s="5"/>
      <c r="CTK42" s="5"/>
      <c r="CTL42" s="5"/>
      <c r="CTM42" s="5"/>
      <c r="CTN42" s="5"/>
      <c r="CTO42" s="5"/>
      <c r="CTP42" s="5"/>
      <c r="CTQ42" s="5"/>
      <c r="CTR42" s="5"/>
      <c r="CTS42" s="5"/>
      <c r="CTT42" s="5"/>
      <c r="CTU42" s="5"/>
      <c r="CTV42" s="5"/>
      <c r="CTW42" s="5"/>
      <c r="CTX42" s="5"/>
      <c r="CTY42" s="5"/>
      <c r="CTZ42" s="5"/>
      <c r="CUA42" s="5"/>
      <c r="CUB42" s="5"/>
      <c r="CUC42" s="5"/>
      <c r="CUD42" s="5"/>
      <c r="CUE42" s="5"/>
      <c r="CUF42" s="5"/>
      <c r="CUG42" s="5"/>
      <c r="CUH42" s="5"/>
      <c r="CUI42" s="5"/>
      <c r="CUJ42" s="5"/>
      <c r="CUK42" s="5"/>
      <c r="CUL42" s="5"/>
      <c r="CUM42" s="5"/>
      <c r="CUN42" s="5"/>
      <c r="CUO42" s="5"/>
      <c r="CUP42" s="5"/>
      <c r="CUQ42" s="5"/>
      <c r="CUR42" s="5"/>
      <c r="CUS42" s="5"/>
      <c r="CUT42" s="5"/>
      <c r="CUU42" s="5"/>
      <c r="CUV42" s="5"/>
      <c r="CUW42" s="5"/>
      <c r="CUX42" s="5"/>
      <c r="CUY42" s="5"/>
      <c r="CUZ42" s="5"/>
      <c r="CVA42" s="5"/>
      <c r="CVB42" s="5"/>
      <c r="CVC42" s="5"/>
      <c r="CVD42" s="5"/>
      <c r="CVE42" s="5"/>
      <c r="CVF42" s="5"/>
      <c r="CVG42" s="5"/>
      <c r="CVH42" s="5"/>
      <c r="CVI42" s="5"/>
      <c r="CVJ42" s="5"/>
      <c r="CVK42" s="5"/>
      <c r="CVL42" s="5"/>
      <c r="CVM42" s="5"/>
      <c r="CVN42" s="5"/>
      <c r="CVO42" s="5"/>
      <c r="CVP42" s="5"/>
      <c r="CVQ42" s="5"/>
      <c r="CVR42" s="5"/>
      <c r="CVS42" s="5"/>
      <c r="CVT42" s="5"/>
      <c r="CVU42" s="5"/>
      <c r="CVV42" s="5"/>
      <c r="CVW42" s="5"/>
      <c r="CVX42" s="5"/>
      <c r="CVY42" s="5"/>
      <c r="CVZ42" s="5"/>
      <c r="CWA42" s="5"/>
      <c r="CWB42" s="5"/>
      <c r="CWC42" s="5"/>
      <c r="CWD42" s="5"/>
      <c r="CWE42" s="5"/>
      <c r="CWF42" s="5"/>
      <c r="CWG42" s="5"/>
      <c r="CWH42" s="5"/>
      <c r="CWI42" s="5"/>
      <c r="CWJ42" s="5"/>
      <c r="CWK42" s="5"/>
      <c r="CWL42" s="5"/>
      <c r="CWM42" s="5"/>
      <c r="CWN42" s="5"/>
      <c r="CWO42" s="5"/>
      <c r="CWP42" s="5"/>
      <c r="CWQ42" s="5"/>
      <c r="CWR42" s="5"/>
      <c r="CWS42" s="5"/>
      <c r="CWT42" s="5"/>
      <c r="CWU42" s="5"/>
      <c r="CWV42" s="5"/>
      <c r="CWW42" s="5"/>
      <c r="CWX42" s="5"/>
      <c r="CWY42" s="5"/>
      <c r="CWZ42" s="5"/>
      <c r="CXA42" s="5"/>
      <c r="CXB42" s="5"/>
      <c r="CXC42" s="5"/>
      <c r="CXD42" s="5"/>
      <c r="CXE42" s="5"/>
      <c r="CXF42" s="5"/>
      <c r="CXG42" s="5"/>
      <c r="CXH42" s="5"/>
      <c r="CXI42" s="5"/>
      <c r="CXJ42" s="5"/>
      <c r="CXK42" s="5"/>
      <c r="CXL42" s="5"/>
      <c r="CXM42" s="5"/>
      <c r="CXN42" s="5"/>
      <c r="CXO42" s="5"/>
      <c r="CXP42" s="5"/>
      <c r="CXQ42" s="5"/>
      <c r="CXR42" s="5"/>
      <c r="CXS42" s="5"/>
      <c r="CXT42" s="5"/>
      <c r="CXU42" s="5"/>
      <c r="CXV42" s="5"/>
      <c r="CXW42" s="5"/>
      <c r="CXX42" s="5"/>
      <c r="CXY42" s="5"/>
      <c r="CXZ42" s="5"/>
      <c r="CYA42" s="5"/>
      <c r="CYB42" s="5"/>
      <c r="CYC42" s="5"/>
      <c r="CYD42" s="5"/>
      <c r="CYE42" s="5"/>
      <c r="CYF42" s="5"/>
      <c r="CYG42" s="5"/>
      <c r="CYH42" s="5"/>
      <c r="CYI42" s="5"/>
      <c r="CYJ42" s="5"/>
      <c r="CYK42" s="5"/>
      <c r="CYL42" s="5"/>
      <c r="CYM42" s="5"/>
      <c r="CYN42" s="5"/>
      <c r="CYO42" s="5"/>
      <c r="CYP42" s="5"/>
      <c r="CYQ42" s="5"/>
      <c r="CYR42" s="5"/>
      <c r="CYS42" s="5"/>
      <c r="CYT42" s="5"/>
      <c r="CYU42" s="5"/>
      <c r="CYV42" s="5"/>
      <c r="CYW42" s="5"/>
      <c r="CYX42" s="5"/>
      <c r="CYY42" s="5"/>
      <c r="CYZ42" s="5"/>
      <c r="CZA42" s="5"/>
      <c r="CZB42" s="5"/>
      <c r="CZC42" s="5"/>
      <c r="CZD42" s="5"/>
      <c r="CZE42" s="5"/>
      <c r="CZF42" s="5"/>
      <c r="CZG42" s="5"/>
      <c r="CZH42" s="5"/>
      <c r="CZI42" s="5"/>
      <c r="CZJ42" s="5"/>
      <c r="CZK42" s="5"/>
      <c r="CZL42" s="5"/>
      <c r="CZM42" s="5"/>
      <c r="CZN42" s="5"/>
      <c r="CZO42" s="5"/>
      <c r="CZP42" s="5"/>
      <c r="CZQ42" s="5"/>
      <c r="CZR42" s="5"/>
      <c r="CZS42" s="5"/>
      <c r="CZT42" s="5"/>
      <c r="CZU42" s="5"/>
      <c r="CZV42" s="5"/>
      <c r="CZW42" s="5"/>
      <c r="CZX42" s="5"/>
      <c r="CZY42" s="5"/>
      <c r="CZZ42" s="5"/>
      <c r="DAA42" s="5"/>
      <c r="DAB42" s="5"/>
      <c r="DAC42" s="5"/>
      <c r="DAD42" s="5"/>
      <c r="DAE42" s="5"/>
      <c r="DAF42" s="5"/>
      <c r="DAG42" s="5"/>
      <c r="DAH42" s="5"/>
      <c r="DAI42" s="5"/>
      <c r="DAJ42" s="5"/>
      <c r="DAK42" s="5"/>
      <c r="DAL42" s="5"/>
      <c r="DAM42" s="5"/>
      <c r="DAN42" s="5"/>
      <c r="DAO42" s="5"/>
      <c r="DAP42" s="5"/>
      <c r="DAQ42" s="5"/>
      <c r="DAR42" s="5"/>
      <c r="DAS42" s="5"/>
      <c r="DAT42" s="5"/>
      <c r="DAU42" s="5"/>
      <c r="DAV42" s="5"/>
      <c r="DAW42" s="5"/>
      <c r="DAX42" s="5"/>
      <c r="DAY42" s="5"/>
      <c r="DAZ42" s="5"/>
      <c r="DBA42" s="5"/>
      <c r="DBB42" s="5"/>
      <c r="DBC42" s="5"/>
      <c r="DBD42" s="5"/>
      <c r="DBE42" s="5"/>
      <c r="DBF42" s="5"/>
      <c r="DBG42" s="5"/>
      <c r="DBH42" s="5"/>
      <c r="DBI42" s="5"/>
      <c r="DBJ42" s="5"/>
      <c r="DBK42" s="5"/>
      <c r="DBL42" s="5"/>
      <c r="DBM42" s="5"/>
      <c r="DBN42" s="5"/>
      <c r="DBO42" s="5"/>
      <c r="DBP42" s="5"/>
      <c r="DBQ42" s="5"/>
      <c r="DBR42" s="5"/>
      <c r="DBS42" s="5"/>
      <c r="DBT42" s="5"/>
      <c r="DBU42" s="5"/>
      <c r="DBV42" s="5"/>
      <c r="DBW42" s="5"/>
      <c r="DBX42" s="5"/>
      <c r="DBY42" s="5"/>
      <c r="DBZ42" s="5"/>
      <c r="DCA42" s="5"/>
      <c r="DCB42" s="5"/>
      <c r="DCC42" s="5"/>
      <c r="DCD42" s="5"/>
      <c r="DCE42" s="5"/>
      <c r="DCF42" s="5"/>
      <c r="DCG42" s="5"/>
      <c r="DCH42" s="5"/>
      <c r="DCI42" s="5"/>
      <c r="DCJ42" s="5"/>
      <c r="DCK42" s="5"/>
      <c r="DCL42" s="5"/>
      <c r="DCM42" s="5"/>
      <c r="DCN42" s="5"/>
      <c r="DCO42" s="5"/>
      <c r="DCP42" s="5"/>
      <c r="DCQ42" s="5"/>
      <c r="DCR42" s="5"/>
      <c r="DCS42" s="5"/>
      <c r="DCT42" s="5"/>
      <c r="DCU42" s="5"/>
      <c r="DCV42" s="5"/>
      <c r="DCW42" s="5"/>
      <c r="DCX42" s="5"/>
      <c r="DCY42" s="5"/>
      <c r="DCZ42" s="5"/>
      <c r="DDA42" s="5"/>
      <c r="DDB42" s="5"/>
      <c r="DDC42" s="5"/>
      <c r="DDD42" s="5"/>
      <c r="DDE42" s="5"/>
      <c r="DDF42" s="5"/>
      <c r="DDG42" s="5"/>
      <c r="DDH42" s="5"/>
      <c r="DDI42" s="5"/>
      <c r="DDJ42" s="5"/>
      <c r="DDK42" s="5"/>
      <c r="DDL42" s="5"/>
      <c r="DDM42" s="5"/>
      <c r="DDN42" s="5"/>
      <c r="DDO42" s="5"/>
      <c r="DDP42" s="5"/>
      <c r="DDQ42" s="5"/>
      <c r="DDR42" s="5"/>
      <c r="DDS42" s="5"/>
      <c r="DDT42" s="5"/>
      <c r="DDU42" s="5"/>
      <c r="DDV42" s="5"/>
      <c r="DDW42" s="5"/>
      <c r="DDX42" s="5"/>
      <c r="DDY42" s="5"/>
      <c r="DDZ42" s="5"/>
      <c r="DEA42" s="5"/>
      <c r="DEB42" s="5"/>
      <c r="DEC42" s="5"/>
      <c r="DED42" s="5"/>
      <c r="DEE42" s="5"/>
      <c r="DEF42" s="5"/>
      <c r="DEG42" s="5"/>
      <c r="DEH42" s="5"/>
      <c r="DEI42" s="5"/>
      <c r="DEJ42" s="5"/>
      <c r="DEK42" s="5"/>
      <c r="DEL42" s="5"/>
      <c r="DEM42" s="5"/>
      <c r="DEN42" s="5"/>
      <c r="DEO42" s="5"/>
      <c r="DEP42" s="5"/>
      <c r="DEQ42" s="5"/>
      <c r="DER42" s="5"/>
      <c r="DES42" s="5"/>
      <c r="DET42" s="5"/>
      <c r="DEU42" s="5"/>
      <c r="DEV42" s="5"/>
      <c r="DEW42" s="5"/>
      <c r="DEX42" s="5"/>
      <c r="DEY42" s="5"/>
      <c r="DEZ42" s="5"/>
      <c r="DFA42" s="5"/>
      <c r="DFB42" s="5"/>
      <c r="DFC42" s="5"/>
      <c r="DFD42" s="5"/>
      <c r="DFE42" s="5"/>
      <c r="DFF42" s="5"/>
      <c r="DFG42" s="5"/>
      <c r="DFH42" s="5"/>
      <c r="DFI42" s="5"/>
      <c r="DFJ42" s="5"/>
      <c r="DFK42" s="5"/>
      <c r="DFL42" s="5"/>
      <c r="DFM42" s="5"/>
      <c r="DFN42" s="5"/>
      <c r="DFO42" s="5"/>
      <c r="DFP42" s="5"/>
      <c r="DFQ42" s="5"/>
      <c r="DFR42" s="5"/>
      <c r="DFS42" s="5"/>
      <c r="DFT42" s="5"/>
      <c r="DFU42" s="5"/>
      <c r="DFV42" s="5"/>
      <c r="DFW42" s="5"/>
      <c r="DFX42" s="5"/>
      <c r="DFY42" s="5"/>
      <c r="DFZ42" s="5"/>
      <c r="DGA42" s="5"/>
      <c r="DGB42" s="5"/>
      <c r="DGC42" s="5"/>
      <c r="DGD42" s="5"/>
      <c r="DGE42" s="5"/>
      <c r="DGF42" s="5"/>
      <c r="DGG42" s="5"/>
      <c r="DGH42" s="5"/>
      <c r="DGI42" s="5"/>
      <c r="DGJ42" s="5"/>
      <c r="DGK42" s="5"/>
      <c r="DGL42" s="5"/>
      <c r="DGM42" s="5"/>
      <c r="DGN42" s="5"/>
      <c r="DGO42" s="5"/>
      <c r="DGP42" s="5"/>
      <c r="DGQ42" s="5"/>
      <c r="DGR42" s="5"/>
      <c r="DGS42" s="5"/>
      <c r="DGT42" s="5"/>
      <c r="DGU42" s="5"/>
      <c r="DGV42" s="5"/>
      <c r="DGW42" s="5"/>
      <c r="DGX42" s="5"/>
      <c r="DGY42" s="5"/>
      <c r="DGZ42" s="5"/>
      <c r="DHA42" s="5"/>
      <c r="DHB42" s="5"/>
      <c r="DHC42" s="5"/>
      <c r="DHD42" s="5"/>
      <c r="DHE42" s="5"/>
      <c r="DHF42" s="5"/>
      <c r="DHG42" s="5"/>
      <c r="DHH42" s="5"/>
      <c r="DHI42" s="5"/>
      <c r="DHJ42" s="5"/>
      <c r="DHK42" s="5"/>
      <c r="DHL42" s="5"/>
      <c r="DHM42" s="5"/>
      <c r="DHN42" s="5"/>
      <c r="DHO42" s="5"/>
      <c r="DHP42" s="5"/>
      <c r="DHQ42" s="5"/>
      <c r="DHR42" s="5"/>
      <c r="DHS42" s="5"/>
      <c r="DHT42" s="5"/>
      <c r="DHU42" s="5"/>
      <c r="DHV42" s="5"/>
      <c r="DHW42" s="5"/>
      <c r="DHX42" s="5"/>
      <c r="DHY42" s="5"/>
      <c r="DHZ42" s="5"/>
      <c r="DIA42" s="5"/>
      <c r="DIB42" s="5"/>
      <c r="DIC42" s="5"/>
      <c r="DID42" s="5"/>
      <c r="DIE42" s="5"/>
      <c r="DIF42" s="5"/>
      <c r="DIG42" s="5"/>
      <c r="DIH42" s="5"/>
      <c r="DII42" s="5"/>
      <c r="DIJ42" s="5"/>
      <c r="DIK42" s="5"/>
      <c r="DIL42" s="5"/>
      <c r="DIM42" s="5"/>
      <c r="DIN42" s="5"/>
      <c r="DIO42" s="5"/>
      <c r="DIP42" s="5"/>
      <c r="DIQ42" s="5"/>
      <c r="DIR42" s="5"/>
      <c r="DIS42" s="5"/>
      <c r="DIT42" s="5"/>
      <c r="DIU42" s="5"/>
      <c r="DIV42" s="5"/>
      <c r="DIW42" s="5"/>
      <c r="DIX42" s="5"/>
      <c r="DIY42" s="5"/>
      <c r="DIZ42" s="5"/>
      <c r="DJA42" s="5"/>
      <c r="DJB42" s="5"/>
      <c r="DJC42" s="5"/>
      <c r="DJD42" s="5"/>
      <c r="DJE42" s="5"/>
      <c r="DJF42" s="5"/>
      <c r="DJG42" s="5"/>
      <c r="DJH42" s="5"/>
      <c r="DJI42" s="5"/>
      <c r="DJJ42" s="5"/>
      <c r="DJK42" s="5"/>
      <c r="DJL42" s="5"/>
      <c r="DJM42" s="5"/>
      <c r="DJN42" s="5"/>
      <c r="DJO42" s="5"/>
      <c r="DJP42" s="5"/>
      <c r="DJQ42" s="5"/>
      <c r="DJR42" s="5"/>
      <c r="DJS42" s="5"/>
      <c r="DJT42" s="5"/>
      <c r="DJU42" s="5"/>
      <c r="DJV42" s="5"/>
      <c r="DJW42" s="5"/>
      <c r="DJX42" s="5"/>
      <c r="DJY42" s="5"/>
      <c r="DJZ42" s="5"/>
      <c r="DKA42" s="5"/>
      <c r="DKB42" s="5"/>
      <c r="DKC42" s="5"/>
      <c r="DKD42" s="5"/>
      <c r="DKE42" s="5"/>
      <c r="DKF42" s="5"/>
      <c r="DKG42" s="5"/>
      <c r="DKH42" s="5"/>
      <c r="DKI42" s="5"/>
      <c r="DKJ42" s="5"/>
      <c r="DKK42" s="5"/>
      <c r="DKL42" s="5"/>
      <c r="DKM42" s="5"/>
      <c r="DKN42" s="5"/>
      <c r="DKO42" s="5"/>
      <c r="DKP42" s="5"/>
      <c r="DKQ42" s="5"/>
      <c r="DKR42" s="5"/>
      <c r="DKS42" s="5"/>
      <c r="DKT42" s="5"/>
      <c r="DKU42" s="5"/>
      <c r="DKV42" s="5"/>
      <c r="DKW42" s="5"/>
      <c r="DKX42" s="5"/>
      <c r="DKY42" s="5"/>
      <c r="DKZ42" s="5"/>
      <c r="DLA42" s="5"/>
      <c r="DLB42" s="5"/>
      <c r="DLC42" s="5"/>
      <c r="DLD42" s="5"/>
      <c r="DLE42" s="5"/>
      <c r="DLF42" s="5"/>
      <c r="DLG42" s="5"/>
      <c r="DLH42" s="5"/>
      <c r="DLI42" s="5"/>
      <c r="DLJ42" s="5"/>
      <c r="DLK42" s="5"/>
      <c r="DLL42" s="5"/>
      <c r="DLM42" s="5"/>
      <c r="DLN42" s="5"/>
      <c r="DLO42" s="5"/>
      <c r="DLP42" s="5"/>
      <c r="DLQ42" s="5"/>
      <c r="DLR42" s="5"/>
      <c r="DLS42" s="5"/>
      <c r="DLT42" s="5"/>
      <c r="DLU42" s="5"/>
      <c r="DLV42" s="5"/>
      <c r="DLW42" s="5"/>
      <c r="DLX42" s="5"/>
      <c r="DLY42" s="5"/>
      <c r="DLZ42" s="5"/>
      <c r="DMA42" s="5"/>
      <c r="DMB42" s="5"/>
      <c r="DMC42" s="5"/>
      <c r="DMD42" s="5"/>
      <c r="DME42" s="5"/>
      <c r="DMF42" s="5"/>
      <c r="DMG42" s="5"/>
      <c r="DMH42" s="5"/>
      <c r="DMI42" s="5"/>
      <c r="DMJ42" s="5"/>
      <c r="DMK42" s="5"/>
      <c r="DML42" s="5"/>
      <c r="DMM42" s="5"/>
      <c r="DMN42" s="5"/>
      <c r="DMO42" s="5"/>
      <c r="DMP42" s="5"/>
      <c r="DMQ42" s="5"/>
      <c r="DMR42" s="5"/>
      <c r="DMS42" s="5"/>
      <c r="DMT42" s="5"/>
      <c r="DMU42" s="5"/>
      <c r="DMV42" s="5"/>
      <c r="DMW42" s="5"/>
      <c r="DMX42" s="5"/>
      <c r="DMY42" s="5"/>
      <c r="DMZ42" s="5"/>
      <c r="DNA42" s="5"/>
      <c r="DNB42" s="5"/>
      <c r="DNC42" s="5"/>
      <c r="DND42" s="5"/>
      <c r="DNE42" s="5"/>
      <c r="DNF42" s="5"/>
      <c r="DNG42" s="5"/>
      <c r="DNH42" s="5"/>
      <c r="DNI42" s="5"/>
      <c r="DNJ42" s="5"/>
      <c r="DNK42" s="5"/>
      <c r="DNL42" s="5"/>
      <c r="DNM42" s="5"/>
      <c r="DNN42" s="5"/>
      <c r="DNO42" s="5"/>
      <c r="DNP42" s="5"/>
      <c r="DNQ42" s="5"/>
      <c r="DNR42" s="5"/>
      <c r="DNS42" s="5"/>
      <c r="DNT42" s="5"/>
      <c r="DNU42" s="5"/>
      <c r="DNV42" s="5"/>
      <c r="DNW42" s="5"/>
      <c r="DNX42" s="5"/>
      <c r="DNY42" s="5"/>
      <c r="DNZ42" s="5"/>
      <c r="DOA42" s="5"/>
      <c r="DOB42" s="5"/>
      <c r="DOC42" s="5"/>
      <c r="DOD42" s="5"/>
      <c r="DOE42" s="5"/>
      <c r="DOF42" s="5"/>
      <c r="DOG42" s="5"/>
      <c r="DOH42" s="5"/>
      <c r="DOI42" s="5"/>
      <c r="DOJ42" s="5"/>
      <c r="DOK42" s="5"/>
      <c r="DOL42" s="5"/>
      <c r="DOM42" s="5"/>
      <c r="DON42" s="5"/>
      <c r="DOO42" s="5"/>
      <c r="DOP42" s="5"/>
      <c r="DOQ42" s="5"/>
      <c r="DOR42" s="5"/>
      <c r="DOS42" s="5"/>
      <c r="DOT42" s="5"/>
      <c r="DOU42" s="5"/>
      <c r="DOV42" s="5"/>
      <c r="DOW42" s="5"/>
      <c r="DOX42" s="5"/>
      <c r="DOY42" s="5"/>
      <c r="DOZ42" s="5"/>
      <c r="DPA42" s="5"/>
      <c r="DPB42" s="5"/>
      <c r="DPC42" s="5"/>
      <c r="DPD42" s="5"/>
      <c r="DPE42" s="5"/>
      <c r="DPF42" s="5"/>
      <c r="DPG42" s="5"/>
      <c r="DPH42" s="5"/>
      <c r="DPI42" s="5"/>
      <c r="DPJ42" s="5"/>
      <c r="DPK42" s="5"/>
      <c r="DPL42" s="5"/>
      <c r="DPM42" s="5"/>
      <c r="DPN42" s="5"/>
      <c r="DPO42" s="5"/>
      <c r="DPP42" s="5"/>
      <c r="DPQ42" s="5"/>
      <c r="DPR42" s="5"/>
      <c r="DPS42" s="5"/>
      <c r="DPT42" s="5"/>
      <c r="DPU42" s="5"/>
      <c r="DPV42" s="5"/>
      <c r="DPW42" s="5"/>
      <c r="DPX42" s="5"/>
      <c r="DPY42" s="5"/>
      <c r="DPZ42" s="5"/>
      <c r="DQA42" s="5"/>
      <c r="DQB42" s="5"/>
      <c r="DQC42" s="5"/>
      <c r="DQD42" s="5"/>
      <c r="DQE42" s="5"/>
      <c r="DQF42" s="5"/>
      <c r="DQG42" s="5"/>
      <c r="DQH42" s="5"/>
      <c r="DQI42" s="5"/>
      <c r="DQJ42" s="5"/>
      <c r="DQK42" s="5"/>
      <c r="DQL42" s="5"/>
      <c r="DQM42" s="5"/>
      <c r="DQN42" s="5"/>
      <c r="DQO42" s="5"/>
      <c r="DQP42" s="5"/>
      <c r="DQQ42" s="5"/>
      <c r="DQR42" s="5"/>
      <c r="DQS42" s="5"/>
      <c r="DQT42" s="5"/>
      <c r="DQU42" s="5"/>
      <c r="DQV42" s="5"/>
      <c r="DQW42" s="5"/>
      <c r="DQX42" s="5"/>
      <c r="DQY42" s="5"/>
      <c r="DQZ42" s="5"/>
      <c r="DRA42" s="5"/>
      <c r="DRB42" s="5"/>
      <c r="DRC42" s="5"/>
      <c r="DRD42" s="5"/>
      <c r="DRE42" s="5"/>
      <c r="DRF42" s="5"/>
      <c r="DRG42" s="5"/>
      <c r="DRH42" s="5"/>
      <c r="DRI42" s="5"/>
      <c r="DRJ42" s="5"/>
      <c r="DRK42" s="5"/>
      <c r="DRL42" s="5"/>
      <c r="DRM42" s="5"/>
      <c r="DRN42" s="5"/>
      <c r="DRO42" s="5"/>
      <c r="DRP42" s="5"/>
      <c r="DRQ42" s="5"/>
      <c r="DRR42" s="5"/>
      <c r="DRS42" s="5"/>
      <c r="DRT42" s="5"/>
      <c r="DRU42" s="5"/>
      <c r="DRV42" s="5"/>
      <c r="DRW42" s="5"/>
      <c r="DRX42" s="5"/>
      <c r="DRY42" s="5"/>
      <c r="DRZ42" s="5"/>
      <c r="DSA42" s="5"/>
      <c r="DSB42" s="5"/>
      <c r="DSC42" s="5"/>
      <c r="DSD42" s="5"/>
      <c r="DSE42" s="5"/>
      <c r="DSF42" s="5"/>
      <c r="DSG42" s="5"/>
      <c r="DSH42" s="5"/>
      <c r="DSI42" s="5"/>
      <c r="DSJ42" s="5"/>
      <c r="DSK42" s="5"/>
      <c r="DSL42" s="5"/>
      <c r="DSM42" s="5"/>
      <c r="DSN42" s="5"/>
      <c r="DSO42" s="5"/>
      <c r="DSP42" s="5"/>
      <c r="DSQ42" s="5"/>
      <c r="DSR42" s="5"/>
      <c r="DSS42" s="5"/>
      <c r="DST42" s="5"/>
      <c r="DSU42" s="5"/>
      <c r="DSV42" s="5"/>
      <c r="DSW42" s="5"/>
      <c r="DSX42" s="5"/>
      <c r="DSY42" s="5"/>
      <c r="DSZ42" s="5"/>
      <c r="DTA42" s="5"/>
      <c r="DTB42" s="5"/>
      <c r="DTC42" s="5"/>
      <c r="DTD42" s="5"/>
      <c r="DTE42" s="5"/>
      <c r="DTF42" s="5"/>
      <c r="DTG42" s="5"/>
      <c r="DTH42" s="5"/>
      <c r="DTI42" s="5"/>
      <c r="DTJ42" s="5"/>
      <c r="DTK42" s="5"/>
      <c r="DTL42" s="5"/>
      <c r="DTM42" s="5"/>
      <c r="DTN42" s="5"/>
      <c r="DTO42" s="5"/>
      <c r="DTP42" s="5"/>
      <c r="DTQ42" s="5"/>
      <c r="DTR42" s="5"/>
      <c r="DTS42" s="5"/>
      <c r="DTT42" s="5"/>
      <c r="DTU42" s="5"/>
      <c r="DTV42" s="5"/>
      <c r="DTW42" s="5"/>
      <c r="DTX42" s="5"/>
      <c r="DTY42" s="5"/>
      <c r="DTZ42" s="5"/>
      <c r="DUA42" s="5"/>
      <c r="DUB42" s="5"/>
      <c r="DUC42" s="5"/>
      <c r="DUD42" s="5"/>
      <c r="DUE42" s="5"/>
      <c r="DUF42" s="5"/>
      <c r="DUG42" s="5"/>
      <c r="DUH42" s="5"/>
      <c r="DUI42" s="5"/>
      <c r="DUJ42" s="5"/>
      <c r="DUK42" s="5"/>
      <c r="DUL42" s="5"/>
      <c r="DUM42" s="5"/>
      <c r="DUN42" s="5"/>
      <c r="DUO42" s="5"/>
      <c r="DUP42" s="5"/>
      <c r="DUQ42" s="5"/>
      <c r="DUR42" s="5"/>
      <c r="DUS42" s="5"/>
      <c r="DUT42" s="5"/>
      <c r="DUU42" s="5"/>
      <c r="DUV42" s="5"/>
      <c r="DUW42" s="5"/>
      <c r="DUX42" s="5"/>
      <c r="DUY42" s="5"/>
      <c r="DUZ42" s="5"/>
      <c r="DVA42" s="5"/>
      <c r="DVB42" s="5"/>
      <c r="DVC42" s="5"/>
      <c r="DVD42" s="5"/>
      <c r="DVE42" s="5"/>
      <c r="DVF42" s="5"/>
      <c r="DVG42" s="5"/>
      <c r="DVH42" s="5"/>
      <c r="DVI42" s="5"/>
      <c r="DVJ42" s="5"/>
      <c r="DVK42" s="5"/>
      <c r="DVL42" s="5"/>
      <c r="DVM42" s="5"/>
      <c r="DVN42" s="5"/>
      <c r="DVO42" s="5"/>
      <c r="DVP42" s="5"/>
      <c r="DVQ42" s="5"/>
      <c r="DVR42" s="5"/>
      <c r="DVS42" s="5"/>
      <c r="DVT42" s="5"/>
      <c r="DVU42" s="5"/>
      <c r="DVV42" s="5"/>
      <c r="DVW42" s="5"/>
      <c r="DVX42" s="5"/>
      <c r="DVY42" s="5"/>
      <c r="DVZ42" s="5"/>
      <c r="DWA42" s="5"/>
      <c r="DWB42" s="5"/>
      <c r="DWC42" s="5"/>
      <c r="DWD42" s="5"/>
      <c r="DWE42" s="5"/>
      <c r="DWF42" s="5"/>
      <c r="DWG42" s="5"/>
      <c r="DWH42" s="5"/>
      <c r="DWI42" s="5"/>
      <c r="DWJ42" s="5"/>
      <c r="DWK42" s="5"/>
      <c r="DWL42" s="5"/>
      <c r="DWM42" s="5"/>
      <c r="DWN42" s="5"/>
      <c r="DWO42" s="5"/>
      <c r="DWP42" s="5"/>
      <c r="DWQ42" s="5"/>
      <c r="DWR42" s="5"/>
      <c r="DWS42" s="5"/>
      <c r="DWT42" s="5"/>
      <c r="DWU42" s="5"/>
      <c r="DWV42" s="5"/>
      <c r="DWW42" s="5"/>
      <c r="DWX42" s="5"/>
      <c r="DWY42" s="5"/>
      <c r="DWZ42" s="5"/>
      <c r="DXA42" s="5"/>
      <c r="DXB42" s="5"/>
      <c r="DXC42" s="5"/>
      <c r="DXD42" s="5"/>
      <c r="DXE42" s="5"/>
      <c r="DXF42" s="5"/>
      <c r="DXG42" s="5"/>
      <c r="DXH42" s="5"/>
      <c r="DXI42" s="5"/>
      <c r="DXJ42" s="5"/>
      <c r="DXK42" s="5"/>
      <c r="DXL42" s="5"/>
      <c r="DXM42" s="5"/>
      <c r="DXN42" s="5"/>
      <c r="DXO42" s="5"/>
      <c r="DXP42" s="5"/>
      <c r="DXQ42" s="5"/>
      <c r="DXR42" s="5"/>
      <c r="DXS42" s="5"/>
      <c r="DXT42" s="5"/>
      <c r="DXU42" s="5"/>
      <c r="DXV42" s="5"/>
      <c r="DXW42" s="5"/>
      <c r="DXX42" s="5"/>
      <c r="DXY42" s="5"/>
      <c r="DXZ42" s="5"/>
      <c r="DYA42" s="5"/>
      <c r="DYB42" s="5"/>
      <c r="DYC42" s="5"/>
      <c r="DYD42" s="5"/>
      <c r="DYE42" s="5"/>
      <c r="DYF42" s="5"/>
      <c r="DYG42" s="5"/>
      <c r="DYH42" s="5"/>
      <c r="DYI42" s="5"/>
      <c r="DYJ42" s="5"/>
      <c r="DYK42" s="5"/>
      <c r="DYL42" s="5"/>
      <c r="DYM42" s="5"/>
      <c r="DYN42" s="5"/>
      <c r="DYO42" s="5"/>
      <c r="DYP42" s="5"/>
      <c r="DYQ42" s="5"/>
      <c r="DYR42" s="5"/>
      <c r="DYS42" s="5"/>
      <c r="DYT42" s="5"/>
      <c r="DYU42" s="5"/>
      <c r="DYV42" s="5"/>
      <c r="DYW42" s="5"/>
      <c r="DYX42" s="5"/>
      <c r="DYY42" s="5"/>
      <c r="DYZ42" s="5"/>
      <c r="DZA42" s="5"/>
      <c r="DZB42" s="5"/>
      <c r="DZC42" s="5"/>
      <c r="DZD42" s="5"/>
      <c r="DZE42" s="5"/>
      <c r="DZF42" s="5"/>
      <c r="DZG42" s="5"/>
      <c r="DZH42" s="5"/>
      <c r="DZI42" s="5"/>
      <c r="DZJ42" s="5"/>
      <c r="DZK42" s="5"/>
      <c r="DZL42" s="5"/>
      <c r="DZM42" s="5"/>
      <c r="DZN42" s="5"/>
      <c r="DZO42" s="5"/>
      <c r="DZP42" s="5"/>
      <c r="DZQ42" s="5"/>
      <c r="DZR42" s="5"/>
      <c r="DZS42" s="5"/>
      <c r="DZT42" s="5"/>
      <c r="DZU42" s="5"/>
      <c r="DZV42" s="5"/>
      <c r="DZW42" s="5"/>
      <c r="DZX42" s="5"/>
      <c r="DZY42" s="5"/>
      <c r="DZZ42" s="5"/>
      <c r="EAA42" s="5"/>
      <c r="EAB42" s="5"/>
      <c r="EAC42" s="5"/>
      <c r="EAD42" s="5"/>
      <c r="EAE42" s="5"/>
      <c r="EAF42" s="5"/>
      <c r="EAG42" s="5"/>
      <c r="EAH42" s="5"/>
      <c r="EAI42" s="5"/>
      <c r="EAJ42" s="5"/>
      <c r="EAK42" s="5"/>
      <c r="EAL42" s="5"/>
      <c r="EAM42" s="5"/>
      <c r="EAN42" s="5"/>
      <c r="EAO42" s="5"/>
      <c r="EAP42" s="5"/>
      <c r="EAQ42" s="5"/>
      <c r="EAR42" s="5"/>
      <c r="EAS42" s="5"/>
      <c r="EAT42" s="5"/>
      <c r="EAU42" s="5"/>
      <c r="EAV42" s="5"/>
      <c r="EAW42" s="5"/>
      <c r="EAX42" s="5"/>
      <c r="EAY42" s="5"/>
      <c r="EAZ42" s="5"/>
      <c r="EBA42" s="5"/>
      <c r="EBB42" s="5"/>
      <c r="EBC42" s="5"/>
      <c r="EBD42" s="5"/>
      <c r="EBE42" s="5"/>
      <c r="EBF42" s="5"/>
      <c r="EBG42" s="5"/>
      <c r="EBH42" s="5"/>
      <c r="EBI42" s="5"/>
      <c r="EBJ42" s="5"/>
      <c r="EBK42" s="5"/>
      <c r="EBL42" s="5"/>
      <c r="EBM42" s="5"/>
      <c r="EBN42" s="5"/>
      <c r="EBO42" s="5"/>
      <c r="EBP42" s="5"/>
      <c r="EBQ42" s="5"/>
      <c r="EBR42" s="5"/>
      <c r="EBS42" s="5"/>
      <c r="EBT42" s="5"/>
      <c r="EBU42" s="5"/>
      <c r="EBV42" s="5"/>
      <c r="EBW42" s="5"/>
      <c r="EBX42" s="5"/>
      <c r="EBY42" s="5"/>
      <c r="EBZ42" s="5"/>
      <c r="ECA42" s="5"/>
      <c r="ECB42" s="5"/>
      <c r="ECC42" s="5"/>
      <c r="ECD42" s="5"/>
      <c r="ECE42" s="5"/>
      <c r="ECF42" s="5"/>
      <c r="ECG42" s="5"/>
      <c r="ECH42" s="5"/>
      <c r="ECI42" s="5"/>
      <c r="ECJ42" s="5"/>
      <c r="ECK42" s="5"/>
      <c r="ECL42" s="5"/>
      <c r="ECM42" s="5"/>
      <c r="ECN42" s="5"/>
      <c r="ECO42" s="5"/>
      <c r="ECP42" s="5"/>
      <c r="ECQ42" s="5"/>
      <c r="ECR42" s="5"/>
      <c r="ECS42" s="5"/>
      <c r="ECT42" s="5"/>
      <c r="ECU42" s="5"/>
      <c r="ECV42" s="5"/>
      <c r="ECW42" s="5"/>
      <c r="ECX42" s="5"/>
      <c r="ECY42" s="5"/>
      <c r="ECZ42" s="5"/>
      <c r="EDA42" s="5"/>
      <c r="EDB42" s="5"/>
      <c r="EDC42" s="5"/>
      <c r="EDD42" s="5"/>
      <c r="EDE42" s="5"/>
      <c r="EDF42" s="5"/>
      <c r="EDG42" s="5"/>
      <c r="EDH42" s="5"/>
      <c r="EDI42" s="5"/>
      <c r="EDJ42" s="5"/>
      <c r="EDK42" s="5"/>
      <c r="EDL42" s="5"/>
      <c r="EDM42" s="5"/>
      <c r="EDN42" s="5"/>
      <c r="EDO42" s="5"/>
      <c r="EDP42" s="5"/>
      <c r="EDQ42" s="5"/>
      <c r="EDR42" s="5"/>
      <c r="EDS42" s="5"/>
      <c r="EDT42" s="5"/>
      <c r="EDU42" s="5"/>
      <c r="EDV42" s="5"/>
      <c r="EDW42" s="5"/>
      <c r="EDX42" s="5"/>
      <c r="EDY42" s="5"/>
      <c r="EDZ42" s="5"/>
      <c r="EEA42" s="5"/>
      <c r="EEB42" s="5"/>
      <c r="EEC42" s="5"/>
      <c r="EED42" s="5"/>
      <c r="EEE42" s="5"/>
      <c r="EEF42" s="5"/>
      <c r="EEG42" s="5"/>
      <c r="EEH42" s="5"/>
      <c r="EEI42" s="5"/>
      <c r="EEJ42" s="5"/>
      <c r="EEK42" s="5"/>
      <c r="EEL42" s="5"/>
      <c r="EEM42" s="5"/>
      <c r="EEN42" s="5"/>
      <c r="EEO42" s="5"/>
      <c r="EEP42" s="5"/>
      <c r="EEQ42" s="5"/>
      <c r="EER42" s="5"/>
      <c r="EES42" s="5"/>
      <c r="EET42" s="5"/>
      <c r="EEU42" s="5"/>
      <c r="EEV42" s="5"/>
      <c r="EEW42" s="5"/>
      <c r="EEX42" s="5"/>
      <c r="EEY42" s="5"/>
      <c r="EEZ42" s="5"/>
      <c r="EFA42" s="5"/>
      <c r="EFB42" s="5"/>
      <c r="EFC42" s="5"/>
      <c r="EFD42" s="5"/>
      <c r="EFE42" s="5"/>
      <c r="EFF42" s="5"/>
      <c r="EFG42" s="5"/>
      <c r="EFH42" s="5"/>
      <c r="EFI42" s="5"/>
      <c r="EFJ42" s="5"/>
      <c r="EFK42" s="5"/>
      <c r="EFL42" s="5"/>
      <c r="EFM42" s="5"/>
      <c r="EFN42" s="5"/>
      <c r="EFO42" s="5"/>
      <c r="EFP42" s="5"/>
      <c r="EFQ42" s="5"/>
      <c r="EFR42" s="5"/>
      <c r="EFS42" s="5"/>
      <c r="EFT42" s="5"/>
      <c r="EFU42" s="5"/>
      <c r="EFV42" s="5"/>
      <c r="EFW42" s="5"/>
      <c r="EFX42" s="5"/>
      <c r="EFY42" s="5"/>
      <c r="EFZ42" s="5"/>
      <c r="EGA42" s="5"/>
      <c r="EGB42" s="5"/>
      <c r="EGC42" s="5"/>
      <c r="EGD42" s="5"/>
      <c r="EGE42" s="5"/>
      <c r="EGF42" s="5"/>
      <c r="EGG42" s="5"/>
      <c r="EGH42" s="5"/>
      <c r="EGI42" s="5"/>
      <c r="EGJ42" s="5"/>
      <c r="EGK42" s="5"/>
      <c r="EGL42" s="5"/>
      <c r="EGM42" s="5"/>
      <c r="EGN42" s="5"/>
      <c r="EGO42" s="5"/>
      <c r="EGP42" s="5"/>
      <c r="EGQ42" s="5"/>
      <c r="EGR42" s="5"/>
      <c r="EGS42" s="5"/>
      <c r="EGT42" s="5"/>
      <c r="EGU42" s="5"/>
      <c r="EGV42" s="5"/>
      <c r="EGW42" s="5"/>
      <c r="EGX42" s="5"/>
      <c r="EGY42" s="5"/>
      <c r="EGZ42" s="5"/>
      <c r="EHA42" s="5"/>
      <c r="EHB42" s="5"/>
      <c r="EHC42" s="5"/>
      <c r="EHD42" s="5"/>
      <c r="EHE42" s="5"/>
      <c r="EHF42" s="5"/>
      <c r="EHG42" s="5"/>
      <c r="EHH42" s="5"/>
      <c r="EHI42" s="5"/>
      <c r="EHJ42" s="5"/>
      <c r="EHK42" s="5"/>
      <c r="EHL42" s="5"/>
      <c r="EHM42" s="5"/>
      <c r="EHN42" s="5"/>
      <c r="EHO42" s="5"/>
      <c r="EHP42" s="5"/>
      <c r="EHQ42" s="5"/>
      <c r="EHR42" s="5"/>
      <c r="EHS42" s="5"/>
      <c r="EHT42" s="5"/>
      <c r="EHU42" s="5"/>
      <c r="EHV42" s="5"/>
      <c r="EHW42" s="5"/>
      <c r="EHX42" s="5"/>
      <c r="EHY42" s="5"/>
      <c r="EHZ42" s="5"/>
      <c r="EIA42" s="5"/>
      <c r="EIB42" s="5"/>
      <c r="EIC42" s="5"/>
      <c r="EID42" s="5"/>
      <c r="EIE42" s="5"/>
      <c r="EIF42" s="5"/>
      <c r="EIG42" s="5"/>
      <c r="EIH42" s="5"/>
      <c r="EII42" s="5"/>
      <c r="EIJ42" s="5"/>
      <c r="EIK42" s="5"/>
      <c r="EIL42" s="5"/>
      <c r="EIM42" s="5"/>
      <c r="EIN42" s="5"/>
      <c r="EIO42" s="5"/>
      <c r="EIP42" s="5"/>
      <c r="EIQ42" s="5"/>
      <c r="EIR42" s="5"/>
      <c r="EIS42" s="5"/>
      <c r="EIT42" s="5"/>
      <c r="EIU42" s="5"/>
      <c r="EIV42" s="5"/>
      <c r="EIW42" s="5"/>
      <c r="EIX42" s="5"/>
      <c r="EIY42" s="5"/>
      <c r="EIZ42" s="5"/>
      <c r="EJA42" s="5"/>
      <c r="EJB42" s="5"/>
      <c r="EJC42" s="5"/>
      <c r="EJD42" s="5"/>
      <c r="EJE42" s="5"/>
      <c r="EJF42" s="5"/>
      <c r="EJG42" s="5"/>
      <c r="EJH42" s="5"/>
      <c r="EJI42" s="5"/>
      <c r="EJJ42" s="5"/>
      <c r="EJK42" s="5"/>
      <c r="EJL42" s="5"/>
      <c r="EJM42" s="5"/>
      <c r="EJN42" s="5"/>
      <c r="EJO42" s="5"/>
      <c r="EJP42" s="5"/>
      <c r="EJQ42" s="5"/>
      <c r="EJR42" s="5"/>
      <c r="EJS42" s="5"/>
      <c r="EJT42" s="5"/>
      <c r="EJU42" s="5"/>
      <c r="EJV42" s="5"/>
      <c r="EJW42" s="5"/>
      <c r="EJX42" s="5"/>
      <c r="EJY42" s="5"/>
      <c r="EJZ42" s="5"/>
      <c r="EKA42" s="5"/>
      <c r="EKB42" s="5"/>
      <c r="EKC42" s="5"/>
      <c r="EKD42" s="5"/>
      <c r="EKE42" s="5"/>
      <c r="EKF42" s="5"/>
      <c r="EKG42" s="5"/>
      <c r="EKH42" s="5"/>
      <c r="EKI42" s="5"/>
      <c r="EKJ42" s="5"/>
      <c r="EKK42" s="5"/>
      <c r="EKL42" s="5"/>
      <c r="EKM42" s="5"/>
      <c r="EKN42" s="5"/>
      <c r="EKO42" s="5"/>
      <c r="EKP42" s="5"/>
      <c r="EKQ42" s="5"/>
      <c r="EKR42" s="5"/>
      <c r="EKS42" s="5"/>
      <c r="EKT42" s="5"/>
      <c r="EKU42" s="5"/>
      <c r="EKV42" s="5"/>
      <c r="EKW42" s="5"/>
      <c r="EKX42" s="5"/>
      <c r="EKY42" s="5"/>
      <c r="EKZ42" s="5"/>
      <c r="ELA42" s="5"/>
      <c r="ELB42" s="5"/>
      <c r="ELC42" s="5"/>
      <c r="ELD42" s="5"/>
      <c r="ELE42" s="5"/>
      <c r="ELF42" s="5"/>
      <c r="ELG42" s="5"/>
      <c r="ELH42" s="5"/>
      <c r="ELI42" s="5"/>
      <c r="ELJ42" s="5"/>
      <c r="ELK42" s="5"/>
      <c r="ELL42" s="5"/>
      <c r="ELM42" s="5"/>
      <c r="ELN42" s="5"/>
      <c r="ELO42" s="5"/>
      <c r="ELP42" s="5"/>
      <c r="ELQ42" s="5"/>
      <c r="ELR42" s="5"/>
      <c r="ELS42" s="5"/>
      <c r="ELT42" s="5"/>
      <c r="ELU42" s="5"/>
      <c r="ELV42" s="5"/>
      <c r="ELW42" s="5"/>
      <c r="ELX42" s="5"/>
      <c r="ELY42" s="5"/>
      <c r="ELZ42" s="5"/>
      <c r="EMA42" s="5"/>
      <c r="EMB42" s="5"/>
      <c r="EMC42" s="5"/>
      <c r="EMD42" s="5"/>
      <c r="EME42" s="5"/>
      <c r="EMF42" s="5"/>
      <c r="EMG42" s="5"/>
      <c r="EMH42" s="5"/>
      <c r="EMI42" s="5"/>
      <c r="EMJ42" s="5"/>
      <c r="EMK42" s="5"/>
      <c r="EML42" s="5"/>
      <c r="EMM42" s="5"/>
      <c r="EMN42" s="5"/>
      <c r="EMO42" s="5"/>
      <c r="EMP42" s="5"/>
      <c r="EMQ42" s="5"/>
      <c r="EMR42" s="5"/>
      <c r="EMS42" s="5"/>
      <c r="EMT42" s="5"/>
      <c r="EMU42" s="5"/>
      <c r="EMV42" s="5"/>
      <c r="EMW42" s="5"/>
      <c r="EMX42" s="5"/>
      <c r="EMY42" s="5"/>
      <c r="EMZ42" s="5"/>
      <c r="ENA42" s="5"/>
      <c r="ENB42" s="5"/>
      <c r="ENC42" s="5"/>
      <c r="END42" s="5"/>
      <c r="ENE42" s="5"/>
      <c r="ENF42" s="5"/>
      <c r="ENG42" s="5"/>
      <c r="ENH42" s="5"/>
      <c r="ENI42" s="5"/>
      <c r="ENJ42" s="5"/>
      <c r="ENK42" s="5"/>
      <c r="ENL42" s="5"/>
      <c r="ENM42" s="5"/>
      <c r="ENN42" s="5"/>
      <c r="ENO42" s="5"/>
      <c r="ENP42" s="5"/>
      <c r="ENQ42" s="5"/>
      <c r="ENR42" s="5"/>
      <c r="ENS42" s="5"/>
      <c r="ENT42" s="5"/>
      <c r="ENU42" s="5"/>
      <c r="ENV42" s="5"/>
      <c r="ENW42" s="5"/>
      <c r="ENX42" s="5"/>
      <c r="ENY42" s="5"/>
      <c r="ENZ42" s="5"/>
      <c r="EOA42" s="5"/>
      <c r="EOB42" s="5"/>
      <c r="EOC42" s="5"/>
      <c r="EOD42" s="5"/>
      <c r="EOE42" s="5"/>
      <c r="EOF42" s="5"/>
      <c r="EOG42" s="5"/>
      <c r="EOH42" s="5"/>
      <c r="EOI42" s="5"/>
      <c r="EOJ42" s="5"/>
      <c r="EOK42" s="5"/>
      <c r="EOL42" s="5"/>
      <c r="EOM42" s="5"/>
      <c r="EON42" s="5"/>
      <c r="EOO42" s="5"/>
      <c r="EOP42" s="5"/>
      <c r="EOQ42" s="5"/>
      <c r="EOR42" s="5"/>
      <c r="EOS42" s="5"/>
      <c r="EOT42" s="5"/>
      <c r="EOU42" s="5"/>
      <c r="EOV42" s="5"/>
      <c r="EOW42" s="5"/>
      <c r="EOX42" s="5"/>
      <c r="EOY42" s="5"/>
      <c r="EOZ42" s="5"/>
      <c r="EPA42" s="5"/>
      <c r="EPB42" s="5"/>
      <c r="EPC42" s="5"/>
      <c r="EPD42" s="5"/>
      <c r="EPE42" s="5"/>
      <c r="EPF42" s="5"/>
      <c r="EPG42" s="5"/>
      <c r="EPH42" s="5"/>
      <c r="EPI42" s="5"/>
      <c r="EPJ42" s="5"/>
      <c r="EPK42" s="5"/>
      <c r="EPL42" s="5"/>
      <c r="EPM42" s="5"/>
      <c r="EPN42" s="5"/>
      <c r="EPO42" s="5"/>
      <c r="EPP42" s="5"/>
      <c r="EPQ42" s="5"/>
      <c r="EPR42" s="5"/>
      <c r="EPS42" s="5"/>
      <c r="EPT42" s="5"/>
      <c r="EPU42" s="5"/>
      <c r="EPV42" s="5"/>
      <c r="EPW42" s="5"/>
      <c r="EPX42" s="5"/>
      <c r="EPY42" s="5"/>
      <c r="EPZ42" s="5"/>
      <c r="EQA42" s="5"/>
      <c r="EQB42" s="5"/>
      <c r="EQC42" s="5"/>
      <c r="EQD42" s="5"/>
      <c r="EQE42" s="5"/>
      <c r="EQF42" s="5"/>
      <c r="EQG42" s="5"/>
      <c r="EQH42" s="5"/>
      <c r="EQI42" s="5"/>
      <c r="EQJ42" s="5"/>
      <c r="EQK42" s="5"/>
      <c r="EQL42" s="5"/>
      <c r="EQM42" s="5"/>
      <c r="EQN42" s="5"/>
      <c r="EQO42" s="5"/>
      <c r="EQP42" s="5"/>
      <c r="EQQ42" s="5"/>
      <c r="EQR42" s="5"/>
      <c r="EQS42" s="5"/>
      <c r="EQT42" s="5"/>
      <c r="EQU42" s="5"/>
      <c r="EQV42" s="5"/>
      <c r="EQW42" s="5"/>
      <c r="EQX42" s="5"/>
      <c r="EQY42" s="5"/>
      <c r="EQZ42" s="5"/>
      <c r="ERA42" s="5"/>
      <c r="ERB42" s="5"/>
      <c r="ERC42" s="5"/>
      <c r="ERD42" s="5"/>
      <c r="ERE42" s="5"/>
      <c r="ERF42" s="5"/>
      <c r="ERG42" s="5"/>
      <c r="ERH42" s="5"/>
      <c r="ERI42" s="5"/>
      <c r="ERJ42" s="5"/>
      <c r="ERK42" s="5"/>
      <c r="ERL42" s="5"/>
      <c r="ERM42" s="5"/>
      <c r="ERN42" s="5"/>
      <c r="ERO42" s="5"/>
      <c r="ERP42" s="5"/>
      <c r="ERQ42" s="5"/>
      <c r="ERR42" s="5"/>
      <c r="ERS42" s="5"/>
      <c r="ERT42" s="5"/>
      <c r="ERU42" s="5"/>
      <c r="ERV42" s="5"/>
      <c r="ERW42" s="5"/>
      <c r="ERX42" s="5"/>
      <c r="ERY42" s="5"/>
      <c r="ERZ42" s="5"/>
      <c r="ESA42" s="5"/>
      <c r="ESB42" s="5"/>
      <c r="ESC42" s="5"/>
      <c r="ESD42" s="5"/>
      <c r="ESE42" s="5"/>
      <c r="ESF42" s="5"/>
      <c r="ESG42" s="5"/>
      <c r="ESH42" s="5"/>
      <c r="ESI42" s="5"/>
      <c r="ESJ42" s="5"/>
      <c r="ESK42" s="5"/>
      <c r="ESL42" s="5"/>
      <c r="ESM42" s="5"/>
      <c r="ESN42" s="5"/>
      <c r="ESO42" s="5"/>
      <c r="ESP42" s="5"/>
      <c r="ESQ42" s="5"/>
      <c r="ESR42" s="5"/>
      <c r="ESS42" s="5"/>
      <c r="EST42" s="5"/>
      <c r="ESU42" s="5"/>
      <c r="ESV42" s="5"/>
      <c r="ESW42" s="5"/>
      <c r="ESX42" s="5"/>
      <c r="ESY42" s="5"/>
      <c r="ESZ42" s="5"/>
      <c r="ETA42" s="5"/>
      <c r="ETB42" s="5"/>
      <c r="ETC42" s="5"/>
      <c r="ETD42" s="5"/>
      <c r="ETE42" s="5"/>
      <c r="ETF42" s="5"/>
      <c r="ETG42" s="5"/>
      <c r="ETH42" s="5"/>
      <c r="ETI42" s="5"/>
      <c r="ETJ42" s="5"/>
      <c r="ETK42" s="5"/>
      <c r="ETL42" s="5"/>
      <c r="ETM42" s="5"/>
      <c r="ETN42" s="5"/>
      <c r="ETO42" s="5"/>
      <c r="ETP42" s="5"/>
      <c r="ETQ42" s="5"/>
      <c r="ETR42" s="5"/>
      <c r="ETS42" s="5"/>
      <c r="ETT42" s="5"/>
      <c r="ETU42" s="5"/>
      <c r="ETV42" s="5"/>
      <c r="ETW42" s="5"/>
      <c r="ETX42" s="5"/>
      <c r="ETY42" s="5"/>
      <c r="ETZ42" s="5"/>
      <c r="EUA42" s="5"/>
      <c r="EUB42" s="5"/>
      <c r="EUC42" s="5"/>
      <c r="EUD42" s="5"/>
      <c r="EUE42" s="5"/>
      <c r="EUF42" s="5"/>
      <c r="EUG42" s="5"/>
      <c r="EUH42" s="5"/>
      <c r="EUI42" s="5"/>
      <c r="EUJ42" s="5"/>
      <c r="EUK42" s="5"/>
      <c r="EUL42" s="5"/>
      <c r="EUM42" s="5"/>
      <c r="EUN42" s="5"/>
      <c r="EUO42" s="5"/>
      <c r="EUP42" s="5"/>
      <c r="EUQ42" s="5"/>
      <c r="EUR42" s="5"/>
      <c r="EUS42" s="5"/>
      <c r="EUT42" s="5"/>
      <c r="EUU42" s="5"/>
      <c r="EUV42" s="5"/>
      <c r="EUW42" s="5"/>
      <c r="EUX42" s="5"/>
      <c r="EUY42" s="5"/>
      <c r="EUZ42" s="5"/>
      <c r="EVA42" s="5"/>
      <c r="EVB42" s="5"/>
      <c r="EVC42" s="5"/>
      <c r="EVD42" s="5"/>
      <c r="EVE42" s="5"/>
      <c r="EVF42" s="5"/>
      <c r="EVG42" s="5"/>
      <c r="EVH42" s="5"/>
      <c r="EVI42" s="5"/>
      <c r="EVJ42" s="5"/>
      <c r="EVK42" s="5"/>
      <c r="EVL42" s="5"/>
      <c r="EVM42" s="5"/>
      <c r="EVN42" s="5"/>
      <c r="EVO42" s="5"/>
      <c r="EVP42" s="5"/>
      <c r="EVQ42" s="5"/>
      <c r="EVR42" s="5"/>
      <c r="EVS42" s="5"/>
      <c r="EVT42" s="5"/>
      <c r="EVU42" s="5"/>
      <c r="EVV42" s="5"/>
      <c r="EVW42" s="5"/>
      <c r="EVX42" s="5"/>
      <c r="EVY42" s="5"/>
      <c r="EVZ42" s="5"/>
      <c r="EWA42" s="5"/>
      <c r="EWB42" s="5"/>
      <c r="EWC42" s="5"/>
      <c r="EWD42" s="5"/>
      <c r="EWE42" s="5"/>
      <c r="EWF42" s="5"/>
      <c r="EWG42" s="5"/>
      <c r="EWH42" s="5"/>
      <c r="EWI42" s="5"/>
      <c r="EWJ42" s="5"/>
      <c r="EWK42" s="5"/>
      <c r="EWL42" s="5"/>
      <c r="EWM42" s="5"/>
      <c r="EWN42" s="5"/>
      <c r="EWO42" s="5"/>
      <c r="EWP42" s="5"/>
      <c r="EWQ42" s="5"/>
      <c r="EWR42" s="5"/>
      <c r="EWS42" s="5"/>
      <c r="EWT42" s="5"/>
      <c r="EWU42" s="5"/>
      <c r="EWV42" s="5"/>
      <c r="EWW42" s="5"/>
      <c r="EWX42" s="5"/>
      <c r="EWY42" s="5"/>
      <c r="EWZ42" s="5"/>
      <c r="EXA42" s="5"/>
      <c r="EXB42" s="5"/>
      <c r="EXC42" s="5"/>
      <c r="EXD42" s="5"/>
      <c r="EXE42" s="5"/>
      <c r="EXF42" s="5"/>
      <c r="EXG42" s="5"/>
      <c r="EXH42" s="5"/>
      <c r="EXI42" s="5"/>
      <c r="EXJ42" s="5"/>
      <c r="EXK42" s="5"/>
      <c r="EXL42" s="5"/>
      <c r="EXM42" s="5"/>
      <c r="EXN42" s="5"/>
      <c r="EXO42" s="5"/>
      <c r="EXP42" s="5"/>
      <c r="EXQ42" s="5"/>
      <c r="EXR42" s="5"/>
      <c r="EXS42" s="5"/>
      <c r="EXT42" s="5"/>
      <c r="EXU42" s="5"/>
      <c r="EXV42" s="5"/>
      <c r="EXW42" s="5"/>
      <c r="EXX42" s="5"/>
      <c r="EXY42" s="5"/>
      <c r="EXZ42" s="5"/>
      <c r="EYA42" s="5"/>
      <c r="EYB42" s="5"/>
      <c r="EYC42" s="5"/>
      <c r="EYD42" s="5"/>
      <c r="EYE42" s="5"/>
      <c r="EYF42" s="5"/>
      <c r="EYG42" s="5"/>
      <c r="EYH42" s="5"/>
      <c r="EYI42" s="5"/>
      <c r="EYJ42" s="5"/>
      <c r="EYK42" s="5"/>
      <c r="EYL42" s="5"/>
      <c r="EYM42" s="5"/>
      <c r="EYN42" s="5"/>
      <c r="EYO42" s="5"/>
      <c r="EYP42" s="5"/>
      <c r="EYQ42" s="5"/>
      <c r="EYR42" s="5"/>
      <c r="EYS42" s="5"/>
      <c r="EYT42" s="5"/>
      <c r="EYU42" s="5"/>
      <c r="EYV42" s="5"/>
      <c r="EYW42" s="5"/>
      <c r="EYX42" s="5"/>
      <c r="EYY42" s="5"/>
      <c r="EYZ42" s="5"/>
      <c r="EZA42" s="5"/>
      <c r="EZB42" s="5"/>
      <c r="EZC42" s="5"/>
      <c r="EZD42" s="5"/>
      <c r="EZE42" s="5"/>
      <c r="EZF42" s="5"/>
      <c r="EZG42" s="5"/>
      <c r="EZH42" s="5"/>
      <c r="EZI42" s="5"/>
      <c r="EZJ42" s="5"/>
      <c r="EZK42" s="5"/>
      <c r="EZL42" s="5"/>
      <c r="EZM42" s="5"/>
      <c r="EZN42" s="5"/>
      <c r="EZO42" s="5"/>
      <c r="EZP42" s="5"/>
      <c r="EZQ42" s="5"/>
      <c r="EZR42" s="5"/>
      <c r="EZS42" s="5"/>
      <c r="EZT42" s="5"/>
      <c r="EZU42" s="5"/>
      <c r="EZV42" s="5"/>
      <c r="EZW42" s="5"/>
      <c r="EZX42" s="5"/>
      <c r="EZY42" s="5"/>
      <c r="EZZ42" s="5"/>
      <c r="FAA42" s="5"/>
      <c r="FAB42" s="5"/>
      <c r="FAC42" s="5"/>
      <c r="FAD42" s="5"/>
      <c r="FAE42" s="5"/>
      <c r="FAF42" s="5"/>
      <c r="FAG42" s="5"/>
      <c r="FAH42" s="5"/>
      <c r="FAI42" s="5"/>
      <c r="FAJ42" s="5"/>
      <c r="FAK42" s="5"/>
      <c r="FAL42" s="5"/>
      <c r="FAM42" s="5"/>
      <c r="FAN42" s="5"/>
      <c r="FAO42" s="5"/>
      <c r="FAP42" s="5"/>
      <c r="FAQ42" s="5"/>
      <c r="FAR42" s="5"/>
      <c r="FAS42" s="5"/>
      <c r="FAT42" s="5"/>
      <c r="FAU42" s="5"/>
      <c r="FAV42" s="5"/>
      <c r="FAW42" s="5"/>
      <c r="FAX42" s="5"/>
      <c r="FAY42" s="5"/>
      <c r="FAZ42" s="5"/>
      <c r="FBA42" s="5"/>
      <c r="FBB42" s="5"/>
      <c r="FBC42" s="5"/>
      <c r="FBD42" s="5"/>
      <c r="FBE42" s="5"/>
      <c r="FBF42" s="5"/>
      <c r="FBG42" s="5"/>
      <c r="FBH42" s="5"/>
      <c r="FBI42" s="5"/>
      <c r="FBJ42" s="5"/>
      <c r="FBK42" s="5"/>
      <c r="FBL42" s="5"/>
      <c r="FBM42" s="5"/>
      <c r="FBN42" s="5"/>
      <c r="FBO42" s="5"/>
      <c r="FBP42" s="5"/>
      <c r="FBQ42" s="5"/>
      <c r="FBR42" s="5"/>
      <c r="FBS42" s="5"/>
      <c r="FBT42" s="5"/>
      <c r="FBU42" s="5"/>
      <c r="FBV42" s="5"/>
      <c r="FBW42" s="5"/>
      <c r="FBX42" s="5"/>
      <c r="FBY42" s="5"/>
      <c r="FBZ42" s="5"/>
      <c r="FCA42" s="5"/>
      <c r="FCB42" s="5"/>
      <c r="FCC42" s="5"/>
      <c r="FCD42" s="5"/>
      <c r="FCE42" s="5"/>
      <c r="FCF42" s="5"/>
      <c r="FCG42" s="5"/>
      <c r="FCH42" s="5"/>
      <c r="FCI42" s="5"/>
      <c r="FCJ42" s="5"/>
      <c r="FCK42" s="5"/>
      <c r="FCL42" s="5"/>
      <c r="FCM42" s="5"/>
      <c r="FCN42" s="5"/>
      <c r="FCO42" s="5"/>
      <c r="FCP42" s="5"/>
      <c r="FCQ42" s="5"/>
      <c r="FCR42" s="5"/>
      <c r="FCS42" s="5"/>
      <c r="FCT42" s="5"/>
      <c r="FCU42" s="5"/>
      <c r="FCV42" s="5"/>
      <c r="FCW42" s="5"/>
      <c r="FCX42" s="5"/>
      <c r="FCY42" s="5"/>
      <c r="FCZ42" s="5"/>
      <c r="FDA42" s="5"/>
      <c r="FDB42" s="5"/>
      <c r="FDC42" s="5"/>
      <c r="FDD42" s="5"/>
      <c r="FDE42" s="5"/>
      <c r="FDF42" s="5"/>
      <c r="FDG42" s="5"/>
      <c r="FDH42" s="5"/>
      <c r="FDI42" s="5"/>
      <c r="FDJ42" s="5"/>
      <c r="FDK42" s="5"/>
      <c r="FDL42" s="5"/>
      <c r="FDM42" s="5"/>
      <c r="FDN42" s="5"/>
      <c r="FDO42" s="5"/>
      <c r="FDP42" s="5"/>
      <c r="FDQ42" s="5"/>
      <c r="FDR42" s="5"/>
      <c r="FDS42" s="5"/>
      <c r="FDT42" s="5"/>
      <c r="FDU42" s="5"/>
      <c r="FDV42" s="5"/>
      <c r="FDW42" s="5"/>
      <c r="FDX42" s="5"/>
      <c r="FDY42" s="5"/>
      <c r="FDZ42" s="5"/>
      <c r="FEA42" s="5"/>
      <c r="FEB42" s="5"/>
      <c r="FEC42" s="5"/>
      <c r="FED42" s="5"/>
      <c r="FEE42" s="5"/>
      <c r="FEF42" s="5"/>
      <c r="FEG42" s="5"/>
      <c r="FEH42" s="5"/>
      <c r="FEI42" s="5"/>
      <c r="FEJ42" s="5"/>
      <c r="FEK42" s="5"/>
      <c r="FEL42" s="5"/>
      <c r="FEM42" s="5"/>
      <c r="FEN42" s="5"/>
      <c r="FEO42" s="5"/>
      <c r="FEP42" s="5"/>
      <c r="FEQ42" s="5"/>
      <c r="FER42" s="5"/>
      <c r="FES42" s="5"/>
      <c r="FET42" s="5"/>
      <c r="FEU42" s="5"/>
      <c r="FEV42" s="5"/>
      <c r="FEW42" s="5"/>
      <c r="FEX42" s="5"/>
      <c r="FEY42" s="5"/>
      <c r="FEZ42" s="5"/>
      <c r="FFA42" s="5"/>
      <c r="FFB42" s="5"/>
      <c r="FFC42" s="5"/>
      <c r="FFD42" s="5"/>
      <c r="FFE42" s="5"/>
      <c r="FFF42" s="5"/>
      <c r="FFG42" s="5"/>
      <c r="FFH42" s="5"/>
      <c r="FFI42" s="5"/>
      <c r="FFJ42" s="5"/>
      <c r="FFK42" s="5"/>
      <c r="FFL42" s="5"/>
      <c r="FFM42" s="5"/>
      <c r="FFN42" s="5"/>
      <c r="FFO42" s="5"/>
      <c r="FFP42" s="5"/>
      <c r="FFQ42" s="5"/>
      <c r="FFR42" s="5"/>
      <c r="FFS42" s="5"/>
      <c r="FFT42" s="5"/>
      <c r="FFU42" s="5"/>
      <c r="FFV42" s="5"/>
      <c r="FFW42" s="5"/>
      <c r="FFX42" s="5"/>
      <c r="FFY42" s="5"/>
      <c r="FFZ42" s="5"/>
      <c r="FGA42" s="5"/>
      <c r="FGB42" s="5"/>
      <c r="FGC42" s="5"/>
      <c r="FGD42" s="5"/>
      <c r="FGE42" s="5"/>
      <c r="FGF42" s="5"/>
      <c r="FGG42" s="5"/>
      <c r="FGH42" s="5"/>
      <c r="FGI42" s="5"/>
      <c r="FGJ42" s="5"/>
      <c r="FGK42" s="5"/>
      <c r="FGL42" s="5"/>
      <c r="FGM42" s="5"/>
      <c r="FGN42" s="5"/>
      <c r="FGO42" s="5"/>
      <c r="FGP42" s="5"/>
      <c r="FGQ42" s="5"/>
      <c r="FGR42" s="5"/>
      <c r="FGS42" s="5"/>
      <c r="FGT42" s="5"/>
      <c r="FGU42" s="5"/>
      <c r="FGV42" s="5"/>
      <c r="FGW42" s="5"/>
      <c r="FGX42" s="5"/>
      <c r="FGY42" s="5"/>
      <c r="FGZ42" s="5"/>
      <c r="FHA42" s="5"/>
      <c r="FHB42" s="5"/>
      <c r="FHC42" s="5"/>
      <c r="FHD42" s="5"/>
      <c r="FHE42" s="5"/>
      <c r="FHF42" s="5"/>
      <c r="FHG42" s="5"/>
      <c r="FHH42" s="5"/>
      <c r="FHI42" s="5"/>
      <c r="FHJ42" s="5"/>
      <c r="FHK42" s="5"/>
      <c r="FHL42" s="5"/>
      <c r="FHM42" s="5"/>
      <c r="FHN42" s="5"/>
      <c r="FHO42" s="5"/>
      <c r="FHP42" s="5"/>
      <c r="FHQ42" s="5"/>
      <c r="FHR42" s="5"/>
      <c r="FHS42" s="5"/>
      <c r="FHT42" s="5"/>
      <c r="FHU42" s="5"/>
      <c r="FHV42" s="5"/>
      <c r="FHW42" s="5"/>
      <c r="FHX42" s="5"/>
      <c r="FHY42" s="5"/>
      <c r="FHZ42" s="5"/>
      <c r="FIA42" s="5"/>
      <c r="FIB42" s="5"/>
      <c r="FIC42" s="5"/>
      <c r="FID42" s="5"/>
      <c r="FIE42" s="5"/>
      <c r="FIF42" s="5"/>
      <c r="FIG42" s="5"/>
      <c r="FIH42" s="5"/>
      <c r="FII42" s="5"/>
      <c r="FIJ42" s="5"/>
      <c r="FIK42" s="5"/>
      <c r="FIL42" s="5"/>
      <c r="FIM42" s="5"/>
      <c r="FIN42" s="5"/>
      <c r="FIO42" s="5"/>
      <c r="FIP42" s="5"/>
      <c r="FIQ42" s="5"/>
      <c r="FIR42" s="5"/>
      <c r="FIS42" s="5"/>
      <c r="FIT42" s="5"/>
      <c r="FIU42" s="5"/>
      <c r="FIV42" s="5"/>
      <c r="FIW42" s="5"/>
      <c r="FIX42" s="5"/>
      <c r="FIY42" s="5"/>
      <c r="FIZ42" s="5"/>
      <c r="FJA42" s="5"/>
      <c r="FJB42" s="5"/>
      <c r="FJC42" s="5"/>
      <c r="FJD42" s="5"/>
      <c r="FJE42" s="5"/>
      <c r="FJF42" s="5"/>
      <c r="FJG42" s="5"/>
      <c r="FJH42" s="5"/>
      <c r="FJI42" s="5"/>
      <c r="FJJ42" s="5"/>
      <c r="FJK42" s="5"/>
      <c r="FJL42" s="5"/>
      <c r="FJM42" s="5"/>
      <c r="FJN42" s="5"/>
      <c r="FJO42" s="5"/>
      <c r="FJP42" s="5"/>
      <c r="FJQ42" s="5"/>
      <c r="FJR42" s="5"/>
      <c r="FJS42" s="5"/>
      <c r="FJT42" s="5"/>
      <c r="FJU42" s="5"/>
      <c r="FJV42" s="5"/>
      <c r="FJW42" s="5"/>
      <c r="FJX42" s="5"/>
      <c r="FJY42" s="5"/>
      <c r="FJZ42" s="5"/>
      <c r="FKA42" s="5"/>
      <c r="FKB42" s="5"/>
      <c r="FKC42" s="5"/>
      <c r="FKD42" s="5"/>
      <c r="FKE42" s="5"/>
      <c r="FKF42" s="5"/>
      <c r="FKG42" s="5"/>
      <c r="FKH42" s="5"/>
      <c r="FKI42" s="5"/>
      <c r="FKJ42" s="5"/>
      <c r="FKK42" s="5"/>
      <c r="FKL42" s="5"/>
      <c r="FKM42" s="5"/>
      <c r="FKN42" s="5"/>
      <c r="FKO42" s="5"/>
      <c r="FKP42" s="5"/>
      <c r="FKQ42" s="5"/>
      <c r="FKR42" s="5"/>
      <c r="FKS42" s="5"/>
      <c r="FKT42" s="5"/>
      <c r="FKU42" s="5"/>
      <c r="FKV42" s="5"/>
      <c r="FKW42" s="5"/>
      <c r="FKX42" s="5"/>
      <c r="FKY42" s="5"/>
      <c r="FKZ42" s="5"/>
      <c r="FLA42" s="5"/>
      <c r="FLB42" s="5"/>
      <c r="FLC42" s="5"/>
      <c r="FLD42" s="5"/>
      <c r="FLE42" s="5"/>
      <c r="FLF42" s="5"/>
      <c r="FLG42" s="5"/>
      <c r="FLH42" s="5"/>
      <c r="FLI42" s="5"/>
      <c r="FLJ42" s="5"/>
      <c r="FLK42" s="5"/>
      <c r="FLL42" s="5"/>
      <c r="FLM42" s="5"/>
      <c r="FLN42" s="5"/>
      <c r="FLO42" s="5"/>
      <c r="FLP42" s="5"/>
      <c r="FLQ42" s="5"/>
      <c r="FLR42" s="5"/>
      <c r="FLS42" s="5"/>
      <c r="FLT42" s="5"/>
      <c r="FLU42" s="5"/>
      <c r="FLV42" s="5"/>
      <c r="FLW42" s="5"/>
      <c r="FLX42" s="5"/>
      <c r="FLY42" s="5"/>
      <c r="FLZ42" s="5"/>
      <c r="FMA42" s="5"/>
      <c r="FMB42" s="5"/>
      <c r="FMC42" s="5"/>
      <c r="FMD42" s="5"/>
      <c r="FME42" s="5"/>
      <c r="FMF42" s="5"/>
      <c r="FMG42" s="5"/>
      <c r="FMH42" s="5"/>
      <c r="FMI42" s="5"/>
      <c r="FMJ42" s="5"/>
      <c r="FMK42" s="5"/>
      <c r="FML42" s="5"/>
      <c r="FMM42" s="5"/>
      <c r="FMN42" s="5"/>
      <c r="FMO42" s="5"/>
      <c r="FMP42" s="5"/>
      <c r="FMQ42" s="5"/>
      <c r="FMR42" s="5"/>
      <c r="FMS42" s="5"/>
      <c r="FMT42" s="5"/>
      <c r="FMU42" s="5"/>
      <c r="FMV42" s="5"/>
      <c r="FMW42" s="5"/>
      <c r="FMX42" s="5"/>
      <c r="FMY42" s="5"/>
      <c r="FMZ42" s="5"/>
      <c r="FNA42" s="5"/>
      <c r="FNB42" s="5"/>
      <c r="FNC42" s="5"/>
      <c r="FND42" s="5"/>
      <c r="FNE42" s="5"/>
      <c r="FNF42" s="5"/>
      <c r="FNG42" s="5"/>
      <c r="FNH42" s="5"/>
      <c r="FNI42" s="5"/>
      <c r="FNJ42" s="5"/>
      <c r="FNK42" s="5"/>
      <c r="FNL42" s="5"/>
      <c r="FNM42" s="5"/>
      <c r="FNN42" s="5"/>
      <c r="FNO42" s="5"/>
      <c r="FNP42" s="5"/>
      <c r="FNQ42" s="5"/>
      <c r="FNR42" s="5"/>
      <c r="FNS42" s="5"/>
      <c r="FNT42" s="5"/>
      <c r="FNU42" s="5"/>
      <c r="FNV42" s="5"/>
      <c r="FNW42" s="5"/>
      <c r="FNX42" s="5"/>
      <c r="FNY42" s="5"/>
      <c r="FNZ42" s="5"/>
      <c r="FOA42" s="5"/>
      <c r="FOB42" s="5"/>
      <c r="FOC42" s="5"/>
      <c r="FOD42" s="5"/>
      <c r="FOE42" s="5"/>
      <c r="FOF42" s="5"/>
      <c r="FOG42" s="5"/>
      <c r="FOH42" s="5"/>
      <c r="FOI42" s="5"/>
      <c r="FOJ42" s="5"/>
      <c r="FOK42" s="5"/>
      <c r="FOL42" s="5"/>
      <c r="FOM42" s="5"/>
      <c r="FON42" s="5"/>
      <c r="FOO42" s="5"/>
      <c r="FOP42" s="5"/>
      <c r="FOQ42" s="5"/>
      <c r="FOR42" s="5"/>
      <c r="FOS42" s="5"/>
      <c r="FOT42" s="5"/>
      <c r="FOU42" s="5"/>
      <c r="FOV42" s="5"/>
      <c r="FOW42" s="5"/>
      <c r="FOX42" s="5"/>
      <c r="FOY42" s="5"/>
      <c r="FOZ42" s="5"/>
      <c r="FPA42" s="5"/>
      <c r="FPB42" s="5"/>
      <c r="FPC42" s="5"/>
      <c r="FPD42" s="5"/>
      <c r="FPE42" s="5"/>
      <c r="FPF42" s="5"/>
      <c r="FPG42" s="5"/>
      <c r="FPH42" s="5"/>
      <c r="FPI42" s="5"/>
      <c r="FPJ42" s="5"/>
      <c r="FPK42" s="5"/>
      <c r="FPL42" s="5"/>
      <c r="FPM42" s="5"/>
      <c r="FPN42" s="5"/>
      <c r="FPO42" s="5"/>
      <c r="FPP42" s="5"/>
      <c r="FPQ42" s="5"/>
      <c r="FPR42" s="5"/>
      <c r="FPS42" s="5"/>
      <c r="FPT42" s="5"/>
      <c r="FPU42" s="5"/>
      <c r="FPV42" s="5"/>
      <c r="FPW42" s="5"/>
      <c r="FPX42" s="5"/>
      <c r="FPY42" s="5"/>
      <c r="FPZ42" s="5"/>
      <c r="FQA42" s="5"/>
      <c r="FQB42" s="5"/>
      <c r="FQC42" s="5"/>
      <c r="FQD42" s="5"/>
      <c r="FQE42" s="5"/>
      <c r="FQF42" s="5"/>
      <c r="FQG42" s="5"/>
      <c r="FQH42" s="5"/>
      <c r="FQI42" s="5"/>
      <c r="FQJ42" s="5"/>
      <c r="FQK42" s="5"/>
      <c r="FQL42" s="5"/>
      <c r="FQM42" s="5"/>
      <c r="FQN42" s="5"/>
      <c r="FQO42" s="5"/>
      <c r="FQP42" s="5"/>
      <c r="FQQ42" s="5"/>
      <c r="FQR42" s="5"/>
      <c r="FQS42" s="5"/>
      <c r="FQT42" s="5"/>
      <c r="FQU42" s="5"/>
      <c r="FQV42" s="5"/>
      <c r="FQW42" s="5"/>
      <c r="FQX42" s="5"/>
      <c r="FQY42" s="5"/>
      <c r="FQZ42" s="5"/>
      <c r="FRA42" s="5"/>
      <c r="FRB42" s="5"/>
      <c r="FRC42" s="5"/>
      <c r="FRD42" s="5"/>
      <c r="FRE42" s="5"/>
      <c r="FRF42" s="5"/>
      <c r="FRG42" s="5"/>
      <c r="FRH42" s="5"/>
      <c r="FRI42" s="5"/>
      <c r="FRJ42" s="5"/>
      <c r="FRK42" s="5"/>
      <c r="FRL42" s="5"/>
      <c r="FRM42" s="5"/>
      <c r="FRN42" s="5"/>
      <c r="FRO42" s="5"/>
      <c r="FRP42" s="5"/>
      <c r="FRQ42" s="5"/>
      <c r="FRR42" s="5"/>
      <c r="FRS42" s="5"/>
      <c r="FRT42" s="5"/>
      <c r="FRU42" s="5"/>
      <c r="FRV42" s="5"/>
      <c r="FRW42" s="5"/>
      <c r="FRX42" s="5"/>
      <c r="FRY42" s="5"/>
      <c r="FRZ42" s="5"/>
      <c r="FSA42" s="5"/>
      <c r="FSB42" s="5"/>
      <c r="FSC42" s="5"/>
      <c r="FSD42" s="5"/>
      <c r="FSE42" s="5"/>
      <c r="FSF42" s="5"/>
      <c r="FSG42" s="5"/>
      <c r="FSH42" s="5"/>
      <c r="FSI42" s="5"/>
      <c r="FSJ42" s="5"/>
      <c r="FSK42" s="5"/>
      <c r="FSL42" s="5"/>
      <c r="FSM42" s="5"/>
      <c r="FSN42" s="5"/>
      <c r="FSO42" s="5"/>
      <c r="FSP42" s="5"/>
      <c r="FSQ42" s="5"/>
      <c r="FSR42" s="5"/>
      <c r="FSS42" s="5"/>
      <c r="FST42" s="5"/>
      <c r="FSU42" s="5"/>
      <c r="FSV42" s="5"/>
      <c r="FSW42" s="5"/>
      <c r="FSX42" s="5"/>
      <c r="FSY42" s="5"/>
      <c r="FSZ42" s="5"/>
      <c r="FTA42" s="5"/>
      <c r="FTB42" s="5"/>
      <c r="FTC42" s="5"/>
      <c r="FTD42" s="5"/>
      <c r="FTE42" s="5"/>
      <c r="FTF42" s="5"/>
      <c r="FTG42" s="5"/>
      <c r="FTH42" s="5"/>
      <c r="FTI42" s="5"/>
      <c r="FTJ42" s="5"/>
      <c r="FTK42" s="5"/>
      <c r="FTL42" s="5"/>
      <c r="FTM42" s="5"/>
      <c r="FTN42" s="5"/>
      <c r="FTO42" s="5"/>
      <c r="FTP42" s="5"/>
      <c r="FTQ42" s="5"/>
      <c r="FTR42" s="5"/>
      <c r="FTS42" s="5"/>
      <c r="FTT42" s="5"/>
      <c r="FTU42" s="5"/>
      <c r="FTV42" s="5"/>
      <c r="FTW42" s="5"/>
      <c r="FTX42" s="5"/>
      <c r="FTY42" s="5"/>
      <c r="FTZ42" s="5"/>
      <c r="FUA42" s="5"/>
      <c r="FUB42" s="5"/>
      <c r="FUC42" s="5"/>
      <c r="FUD42" s="5"/>
      <c r="FUE42" s="5"/>
      <c r="FUF42" s="5"/>
      <c r="FUG42" s="5"/>
      <c r="FUH42" s="5"/>
      <c r="FUI42" s="5"/>
      <c r="FUJ42" s="5"/>
      <c r="FUK42" s="5"/>
      <c r="FUL42" s="5"/>
      <c r="FUM42" s="5"/>
      <c r="FUN42" s="5"/>
      <c r="FUO42" s="5"/>
      <c r="FUP42" s="5"/>
      <c r="FUQ42" s="5"/>
      <c r="FUR42" s="5"/>
      <c r="FUS42" s="5"/>
      <c r="FUT42" s="5"/>
      <c r="FUU42" s="5"/>
      <c r="FUV42" s="5"/>
      <c r="FUW42" s="5"/>
      <c r="FUX42" s="5"/>
      <c r="FUY42" s="5"/>
      <c r="FUZ42" s="5"/>
      <c r="FVA42" s="5"/>
      <c r="FVB42" s="5"/>
      <c r="FVC42" s="5"/>
      <c r="FVD42" s="5"/>
      <c r="FVE42" s="5"/>
      <c r="FVF42" s="5"/>
      <c r="FVG42" s="5"/>
      <c r="FVH42" s="5"/>
      <c r="FVI42" s="5"/>
      <c r="FVJ42" s="5"/>
      <c r="FVK42" s="5"/>
      <c r="FVL42" s="5"/>
      <c r="FVM42" s="5"/>
      <c r="FVN42" s="5"/>
      <c r="FVO42" s="5"/>
      <c r="FVP42" s="5"/>
      <c r="FVQ42" s="5"/>
      <c r="FVR42" s="5"/>
      <c r="FVS42" s="5"/>
      <c r="FVT42" s="5"/>
      <c r="FVU42" s="5"/>
      <c r="FVV42" s="5"/>
      <c r="FVW42" s="5"/>
      <c r="FVX42" s="5"/>
      <c r="FVY42" s="5"/>
      <c r="FVZ42" s="5"/>
      <c r="FWA42" s="5"/>
      <c r="FWB42" s="5"/>
      <c r="FWC42" s="5"/>
      <c r="FWD42" s="5"/>
      <c r="FWE42" s="5"/>
      <c r="FWF42" s="5"/>
      <c r="FWG42" s="5"/>
      <c r="FWH42" s="5"/>
      <c r="FWI42" s="5"/>
      <c r="FWJ42" s="5"/>
      <c r="FWK42" s="5"/>
      <c r="FWL42" s="5"/>
      <c r="FWM42" s="5"/>
      <c r="FWN42" s="5"/>
      <c r="FWO42" s="5"/>
      <c r="FWP42" s="5"/>
      <c r="FWQ42" s="5"/>
      <c r="FWR42" s="5"/>
      <c r="FWS42" s="5"/>
      <c r="FWT42" s="5"/>
      <c r="FWU42" s="5"/>
      <c r="FWV42" s="5"/>
      <c r="FWW42" s="5"/>
      <c r="FWX42" s="5"/>
      <c r="FWY42" s="5"/>
      <c r="FWZ42" s="5"/>
      <c r="FXA42" s="5"/>
      <c r="FXB42" s="5"/>
      <c r="FXC42" s="5"/>
      <c r="FXD42" s="5"/>
      <c r="FXE42" s="5"/>
      <c r="FXF42" s="5"/>
      <c r="FXG42" s="5"/>
      <c r="FXH42" s="5"/>
      <c r="FXI42" s="5"/>
      <c r="FXJ42" s="5"/>
      <c r="FXK42" s="5"/>
      <c r="FXL42" s="5"/>
      <c r="FXM42" s="5"/>
      <c r="FXN42" s="5"/>
      <c r="FXO42" s="5"/>
      <c r="FXP42" s="5"/>
      <c r="FXQ42" s="5"/>
      <c r="FXR42" s="5"/>
      <c r="FXS42" s="5"/>
      <c r="FXT42" s="5"/>
      <c r="FXU42" s="5"/>
      <c r="FXV42" s="5"/>
      <c r="FXW42" s="5"/>
      <c r="FXX42" s="5"/>
      <c r="FXY42" s="5"/>
      <c r="FXZ42" s="5"/>
      <c r="FYA42" s="5"/>
      <c r="FYB42" s="5"/>
      <c r="FYC42" s="5"/>
      <c r="FYD42" s="5"/>
      <c r="FYE42" s="5"/>
      <c r="FYF42" s="5"/>
      <c r="FYG42" s="5"/>
      <c r="FYH42" s="5"/>
      <c r="FYI42" s="5"/>
      <c r="FYJ42" s="5"/>
      <c r="FYK42" s="5"/>
      <c r="FYL42" s="5"/>
      <c r="FYM42" s="5"/>
      <c r="FYN42" s="5"/>
      <c r="FYO42" s="5"/>
      <c r="FYP42" s="5"/>
      <c r="FYQ42" s="5"/>
      <c r="FYR42" s="5"/>
      <c r="FYS42" s="5"/>
      <c r="FYT42" s="5"/>
      <c r="FYU42" s="5"/>
      <c r="FYV42" s="5"/>
      <c r="FYW42" s="5"/>
      <c r="FYX42" s="5"/>
      <c r="FYY42" s="5"/>
      <c r="FYZ42" s="5"/>
      <c r="FZA42" s="5"/>
      <c r="FZB42" s="5"/>
      <c r="FZC42" s="5"/>
      <c r="FZD42" s="5"/>
      <c r="FZE42" s="5"/>
      <c r="FZF42" s="5"/>
      <c r="FZG42" s="5"/>
      <c r="FZH42" s="5"/>
      <c r="FZI42" s="5"/>
      <c r="FZJ42" s="5"/>
      <c r="FZK42" s="5"/>
      <c r="FZL42" s="5"/>
      <c r="FZM42" s="5"/>
      <c r="FZN42" s="5"/>
      <c r="FZO42" s="5"/>
      <c r="FZP42" s="5"/>
      <c r="FZQ42" s="5"/>
      <c r="FZR42" s="5"/>
      <c r="FZS42" s="5"/>
      <c r="FZT42" s="5"/>
      <c r="FZU42" s="5"/>
      <c r="FZV42" s="5"/>
      <c r="FZW42" s="5"/>
      <c r="FZX42" s="5"/>
      <c r="FZY42" s="5"/>
      <c r="FZZ42" s="5"/>
      <c r="GAA42" s="5"/>
      <c r="GAB42" s="5"/>
      <c r="GAC42" s="5"/>
      <c r="GAD42" s="5"/>
      <c r="GAE42" s="5"/>
      <c r="GAF42" s="5"/>
      <c r="GAG42" s="5"/>
      <c r="GAH42" s="5"/>
      <c r="GAI42" s="5"/>
      <c r="GAJ42" s="5"/>
      <c r="GAK42" s="5"/>
      <c r="GAL42" s="5"/>
      <c r="GAM42" s="5"/>
      <c r="GAN42" s="5"/>
      <c r="GAO42" s="5"/>
      <c r="GAP42" s="5"/>
      <c r="GAQ42" s="5"/>
      <c r="GAR42" s="5"/>
      <c r="GAS42" s="5"/>
      <c r="GAT42" s="5"/>
      <c r="GAU42" s="5"/>
      <c r="GAV42" s="5"/>
      <c r="GAW42" s="5"/>
      <c r="GAX42" s="5"/>
      <c r="GAY42" s="5"/>
      <c r="GAZ42" s="5"/>
      <c r="GBA42" s="5"/>
      <c r="GBB42" s="5"/>
      <c r="GBC42" s="5"/>
      <c r="GBD42" s="5"/>
      <c r="GBE42" s="5"/>
      <c r="GBF42" s="5"/>
      <c r="GBG42" s="5"/>
      <c r="GBH42" s="5"/>
      <c r="GBI42" s="5"/>
      <c r="GBJ42" s="5"/>
      <c r="GBK42" s="5"/>
      <c r="GBL42" s="5"/>
      <c r="GBM42" s="5"/>
      <c r="GBN42" s="5"/>
      <c r="GBO42" s="5"/>
      <c r="GBP42" s="5"/>
      <c r="GBQ42" s="5"/>
      <c r="GBR42" s="5"/>
      <c r="GBS42" s="5"/>
      <c r="GBT42" s="5"/>
      <c r="GBU42" s="5"/>
      <c r="GBV42" s="5"/>
      <c r="GBW42" s="5"/>
      <c r="GBX42" s="5"/>
      <c r="GBY42" s="5"/>
      <c r="GBZ42" s="5"/>
      <c r="GCA42" s="5"/>
      <c r="GCB42" s="5"/>
      <c r="GCC42" s="5"/>
      <c r="GCD42" s="5"/>
      <c r="GCE42" s="5"/>
      <c r="GCF42" s="5"/>
      <c r="GCG42" s="5"/>
      <c r="GCH42" s="5"/>
      <c r="GCI42" s="5"/>
      <c r="GCJ42" s="5"/>
      <c r="GCK42" s="5"/>
      <c r="GCL42" s="5"/>
      <c r="GCM42" s="5"/>
      <c r="GCN42" s="5"/>
      <c r="GCO42" s="5"/>
      <c r="GCP42" s="5"/>
      <c r="GCQ42" s="5"/>
      <c r="GCR42" s="5"/>
      <c r="GCS42" s="5"/>
      <c r="GCT42" s="5"/>
      <c r="GCU42" s="5"/>
      <c r="GCV42" s="5"/>
      <c r="GCW42" s="5"/>
      <c r="GCX42" s="5"/>
      <c r="GCY42" s="5"/>
      <c r="GCZ42" s="5"/>
      <c r="GDA42" s="5"/>
      <c r="GDB42" s="5"/>
      <c r="GDC42" s="5"/>
      <c r="GDD42" s="5"/>
      <c r="GDE42" s="5"/>
      <c r="GDF42" s="5"/>
      <c r="GDG42" s="5"/>
      <c r="GDH42" s="5"/>
      <c r="GDI42" s="5"/>
      <c r="GDJ42" s="5"/>
      <c r="GDK42" s="5"/>
      <c r="GDL42" s="5"/>
      <c r="GDM42" s="5"/>
      <c r="GDN42" s="5"/>
      <c r="GDO42" s="5"/>
      <c r="GDP42" s="5"/>
      <c r="GDQ42" s="5"/>
      <c r="GDR42" s="5"/>
      <c r="GDS42" s="5"/>
      <c r="GDT42" s="5"/>
      <c r="GDU42" s="5"/>
      <c r="GDV42" s="5"/>
      <c r="GDW42" s="5"/>
      <c r="GDX42" s="5"/>
      <c r="GDY42" s="5"/>
      <c r="GDZ42" s="5"/>
      <c r="GEA42" s="5"/>
      <c r="GEB42" s="5"/>
      <c r="GEC42" s="5"/>
      <c r="GED42" s="5"/>
      <c r="GEE42" s="5"/>
      <c r="GEF42" s="5"/>
      <c r="GEG42" s="5"/>
      <c r="GEH42" s="5"/>
      <c r="GEI42" s="5"/>
      <c r="GEJ42" s="5"/>
      <c r="GEK42" s="5"/>
      <c r="GEL42" s="5"/>
      <c r="GEM42" s="5"/>
      <c r="GEN42" s="5"/>
      <c r="GEO42" s="5"/>
      <c r="GEP42" s="5"/>
      <c r="GEQ42" s="5"/>
      <c r="GER42" s="5"/>
      <c r="GES42" s="5"/>
      <c r="GET42" s="5"/>
      <c r="GEU42" s="5"/>
      <c r="GEV42" s="5"/>
      <c r="GEW42" s="5"/>
      <c r="GEX42" s="5"/>
      <c r="GEY42" s="5"/>
      <c r="GEZ42" s="5"/>
      <c r="GFA42" s="5"/>
      <c r="GFB42" s="5"/>
      <c r="GFC42" s="5"/>
      <c r="GFD42" s="5"/>
      <c r="GFE42" s="5"/>
      <c r="GFF42" s="5"/>
      <c r="GFG42" s="5"/>
      <c r="GFH42" s="5"/>
      <c r="GFI42" s="5"/>
      <c r="GFJ42" s="5"/>
      <c r="GFK42" s="5"/>
      <c r="GFL42" s="5"/>
      <c r="GFM42" s="5"/>
      <c r="GFN42" s="5"/>
      <c r="GFO42" s="5"/>
      <c r="GFP42" s="5"/>
      <c r="GFQ42" s="5"/>
      <c r="GFR42" s="5"/>
      <c r="GFS42" s="5"/>
      <c r="GFT42" s="5"/>
      <c r="GFU42" s="5"/>
      <c r="GFV42" s="5"/>
      <c r="GFW42" s="5"/>
      <c r="GFX42" s="5"/>
      <c r="GFY42" s="5"/>
      <c r="GFZ42" s="5"/>
      <c r="GGA42" s="5"/>
      <c r="GGB42" s="5"/>
      <c r="GGC42" s="5"/>
      <c r="GGD42" s="5"/>
      <c r="GGE42" s="5"/>
      <c r="GGF42" s="5"/>
      <c r="GGG42" s="5"/>
      <c r="GGH42" s="5"/>
      <c r="GGI42" s="5"/>
      <c r="GGJ42" s="5"/>
      <c r="GGK42" s="5"/>
      <c r="GGL42" s="5"/>
      <c r="GGM42" s="5"/>
      <c r="GGN42" s="5"/>
      <c r="GGO42" s="5"/>
      <c r="GGP42" s="5"/>
      <c r="GGQ42" s="5"/>
      <c r="GGR42" s="5"/>
      <c r="GGS42" s="5"/>
      <c r="GGT42" s="5"/>
      <c r="GGU42" s="5"/>
      <c r="GGV42" s="5"/>
      <c r="GGW42" s="5"/>
      <c r="GGX42" s="5"/>
      <c r="GGY42" s="5"/>
      <c r="GGZ42" s="5"/>
      <c r="GHA42" s="5"/>
      <c r="GHB42" s="5"/>
      <c r="GHC42" s="5"/>
      <c r="GHD42" s="5"/>
      <c r="GHE42" s="5"/>
      <c r="GHF42" s="5"/>
      <c r="GHG42" s="5"/>
      <c r="GHH42" s="5"/>
      <c r="GHI42" s="5"/>
      <c r="GHJ42" s="5"/>
      <c r="GHK42" s="5"/>
      <c r="GHL42" s="5"/>
      <c r="GHM42" s="5"/>
      <c r="GHN42" s="5"/>
      <c r="GHO42" s="5"/>
      <c r="GHP42" s="5"/>
      <c r="GHQ42" s="5"/>
      <c r="GHR42" s="5"/>
      <c r="GHS42" s="5"/>
      <c r="GHT42" s="5"/>
      <c r="GHU42" s="5"/>
      <c r="GHV42" s="5"/>
      <c r="GHW42" s="5"/>
      <c r="GHX42" s="5"/>
      <c r="GHY42" s="5"/>
      <c r="GHZ42" s="5"/>
      <c r="GIA42" s="5"/>
      <c r="GIB42" s="5"/>
      <c r="GIC42" s="5"/>
      <c r="GID42" s="5"/>
      <c r="GIE42" s="5"/>
      <c r="GIF42" s="5"/>
      <c r="GIG42" s="5"/>
      <c r="GIH42" s="5"/>
      <c r="GII42" s="5"/>
      <c r="GIJ42" s="5"/>
      <c r="GIK42" s="5"/>
      <c r="GIL42" s="5"/>
      <c r="GIM42" s="5"/>
      <c r="GIN42" s="5"/>
      <c r="GIO42" s="5"/>
      <c r="GIP42" s="5"/>
      <c r="GIQ42" s="5"/>
      <c r="GIR42" s="5"/>
      <c r="GIS42" s="5"/>
      <c r="GIT42" s="5"/>
      <c r="GIU42" s="5"/>
      <c r="GIV42" s="5"/>
      <c r="GIW42" s="5"/>
      <c r="GIX42" s="5"/>
      <c r="GIY42" s="5"/>
      <c r="GIZ42" s="5"/>
      <c r="GJA42" s="5"/>
      <c r="GJB42" s="5"/>
      <c r="GJC42" s="5"/>
      <c r="GJD42" s="5"/>
      <c r="GJE42" s="5"/>
      <c r="GJF42" s="5"/>
      <c r="GJG42" s="5"/>
      <c r="GJH42" s="5"/>
      <c r="GJI42" s="5"/>
      <c r="GJJ42" s="5"/>
      <c r="GJK42" s="5"/>
      <c r="GJL42" s="5"/>
      <c r="GJM42" s="5"/>
      <c r="GJN42" s="5"/>
      <c r="GJO42" s="5"/>
      <c r="GJP42" s="5"/>
      <c r="GJQ42" s="5"/>
      <c r="GJR42" s="5"/>
      <c r="GJS42" s="5"/>
      <c r="GJT42" s="5"/>
      <c r="GJU42" s="5"/>
      <c r="GJV42" s="5"/>
      <c r="GJW42" s="5"/>
      <c r="GJX42" s="5"/>
      <c r="GJY42" s="5"/>
      <c r="GJZ42" s="5"/>
      <c r="GKA42" s="5"/>
      <c r="GKB42" s="5"/>
      <c r="GKC42" s="5"/>
      <c r="GKD42" s="5"/>
      <c r="GKE42" s="5"/>
      <c r="GKF42" s="5"/>
      <c r="GKG42" s="5"/>
      <c r="GKH42" s="5"/>
      <c r="GKI42" s="5"/>
      <c r="GKJ42" s="5"/>
      <c r="GKK42" s="5"/>
      <c r="GKL42" s="5"/>
      <c r="GKM42" s="5"/>
      <c r="GKN42" s="5"/>
      <c r="GKO42" s="5"/>
      <c r="GKP42" s="5"/>
      <c r="GKQ42" s="5"/>
      <c r="GKR42" s="5"/>
      <c r="GKS42" s="5"/>
      <c r="GKT42" s="5"/>
      <c r="GKU42" s="5"/>
      <c r="GKV42" s="5"/>
      <c r="GKW42" s="5"/>
      <c r="GKX42" s="5"/>
      <c r="GKY42" s="5"/>
      <c r="GKZ42" s="5"/>
      <c r="GLA42" s="5"/>
      <c r="GLB42" s="5"/>
      <c r="GLC42" s="5"/>
      <c r="GLD42" s="5"/>
      <c r="GLE42" s="5"/>
      <c r="GLF42" s="5"/>
      <c r="GLG42" s="5"/>
      <c r="GLH42" s="5"/>
      <c r="GLI42" s="5"/>
      <c r="GLJ42" s="5"/>
      <c r="GLK42" s="5"/>
      <c r="GLL42" s="5"/>
      <c r="GLM42" s="5"/>
      <c r="GLN42" s="5"/>
      <c r="GLO42" s="5"/>
      <c r="GLP42" s="5"/>
      <c r="GLQ42" s="5"/>
      <c r="GLR42" s="5"/>
      <c r="GLS42" s="5"/>
      <c r="GLT42" s="5"/>
      <c r="GLU42" s="5"/>
      <c r="GLV42" s="5"/>
      <c r="GLW42" s="5"/>
      <c r="GLX42" s="5"/>
      <c r="GLY42" s="5"/>
      <c r="GLZ42" s="5"/>
      <c r="GMA42" s="5"/>
      <c r="GMB42" s="5"/>
      <c r="GMC42" s="5"/>
      <c r="GMD42" s="5"/>
      <c r="GME42" s="5"/>
      <c r="GMF42" s="5"/>
      <c r="GMG42" s="5"/>
      <c r="GMH42" s="5"/>
      <c r="GMI42" s="5"/>
      <c r="GMJ42" s="5"/>
      <c r="GMK42" s="5"/>
      <c r="GML42" s="5"/>
      <c r="GMM42" s="5"/>
      <c r="GMN42" s="5"/>
      <c r="GMO42" s="5"/>
      <c r="GMP42" s="5"/>
      <c r="GMQ42" s="5"/>
      <c r="GMR42" s="5"/>
      <c r="GMS42" s="5"/>
      <c r="GMT42" s="5"/>
      <c r="GMU42" s="5"/>
      <c r="GMV42" s="5"/>
      <c r="GMW42" s="5"/>
      <c r="GMX42" s="5"/>
      <c r="GMY42" s="5"/>
      <c r="GMZ42" s="5"/>
      <c r="GNA42" s="5"/>
      <c r="GNB42" s="5"/>
      <c r="GNC42" s="5"/>
      <c r="GND42" s="5"/>
      <c r="GNE42" s="5"/>
      <c r="GNF42" s="5"/>
      <c r="GNG42" s="5"/>
      <c r="GNH42" s="5"/>
      <c r="GNI42" s="5"/>
      <c r="GNJ42" s="5"/>
      <c r="GNK42" s="5"/>
      <c r="GNL42" s="5"/>
      <c r="GNM42" s="5"/>
      <c r="GNN42" s="5"/>
      <c r="GNO42" s="5"/>
      <c r="GNP42" s="5"/>
      <c r="GNQ42" s="5"/>
      <c r="GNR42" s="5"/>
      <c r="GNS42" s="5"/>
      <c r="GNT42" s="5"/>
      <c r="GNU42" s="5"/>
      <c r="GNV42" s="5"/>
      <c r="GNW42" s="5"/>
      <c r="GNX42" s="5"/>
      <c r="GNY42" s="5"/>
      <c r="GNZ42" s="5"/>
      <c r="GOA42" s="5"/>
      <c r="GOB42" s="5"/>
      <c r="GOC42" s="5"/>
      <c r="GOD42" s="5"/>
      <c r="GOE42" s="5"/>
      <c r="GOF42" s="5"/>
      <c r="GOG42" s="5"/>
      <c r="GOH42" s="5"/>
      <c r="GOI42" s="5"/>
      <c r="GOJ42" s="5"/>
      <c r="GOK42" s="5"/>
      <c r="GOL42" s="5"/>
      <c r="GOM42" s="5"/>
      <c r="GON42" s="5"/>
      <c r="GOO42" s="5"/>
      <c r="GOP42" s="5"/>
      <c r="GOQ42" s="5"/>
      <c r="GOR42" s="5"/>
      <c r="GOS42" s="5"/>
      <c r="GOT42" s="5"/>
      <c r="GOU42" s="5"/>
      <c r="GOV42" s="5"/>
      <c r="GOW42" s="5"/>
      <c r="GOX42" s="5"/>
      <c r="GOY42" s="5"/>
      <c r="GOZ42" s="5"/>
      <c r="GPA42" s="5"/>
      <c r="GPB42" s="5"/>
      <c r="GPC42" s="5"/>
      <c r="GPD42" s="5"/>
      <c r="GPE42" s="5"/>
      <c r="GPF42" s="5"/>
      <c r="GPG42" s="5"/>
      <c r="GPH42" s="5"/>
      <c r="GPI42" s="5"/>
      <c r="GPJ42" s="5"/>
      <c r="GPK42" s="5"/>
      <c r="GPL42" s="5"/>
      <c r="GPM42" s="5"/>
      <c r="GPN42" s="5"/>
      <c r="GPO42" s="5"/>
      <c r="GPP42" s="5"/>
      <c r="GPQ42" s="5"/>
      <c r="GPR42" s="5"/>
      <c r="GPS42" s="5"/>
      <c r="GPT42" s="5"/>
      <c r="GPU42" s="5"/>
      <c r="GPV42" s="5"/>
      <c r="GPW42" s="5"/>
      <c r="GPX42" s="5"/>
      <c r="GPY42" s="5"/>
      <c r="GPZ42" s="5"/>
      <c r="GQA42" s="5"/>
      <c r="GQB42" s="5"/>
      <c r="GQC42" s="5"/>
      <c r="GQD42" s="5"/>
      <c r="GQE42" s="5"/>
      <c r="GQF42" s="5"/>
      <c r="GQG42" s="5"/>
      <c r="GQH42" s="5"/>
      <c r="GQI42" s="5"/>
      <c r="GQJ42" s="5"/>
      <c r="GQK42" s="5"/>
      <c r="GQL42" s="5"/>
      <c r="GQM42" s="5"/>
      <c r="GQN42" s="5"/>
      <c r="GQO42" s="5"/>
      <c r="GQP42" s="5"/>
      <c r="GQQ42" s="5"/>
      <c r="GQR42" s="5"/>
      <c r="GQS42" s="5"/>
      <c r="GQT42" s="5"/>
      <c r="GQU42" s="5"/>
      <c r="GQV42" s="5"/>
      <c r="GQW42" s="5"/>
      <c r="GQX42" s="5"/>
      <c r="GQY42" s="5"/>
      <c r="GQZ42" s="5"/>
      <c r="GRA42" s="5"/>
      <c r="GRB42" s="5"/>
      <c r="GRC42" s="5"/>
      <c r="GRD42" s="5"/>
      <c r="GRE42" s="5"/>
      <c r="GRF42" s="5"/>
      <c r="GRG42" s="5"/>
      <c r="GRH42" s="5"/>
      <c r="GRI42" s="5"/>
      <c r="GRJ42" s="5"/>
      <c r="GRK42" s="5"/>
      <c r="GRL42" s="5"/>
      <c r="GRM42" s="5"/>
      <c r="GRN42" s="5"/>
      <c r="GRO42" s="5"/>
      <c r="GRP42" s="5"/>
      <c r="GRQ42" s="5"/>
      <c r="GRR42" s="5"/>
      <c r="GRS42" s="5"/>
      <c r="GRT42" s="5"/>
      <c r="GRU42" s="5"/>
      <c r="GRV42" s="5"/>
      <c r="GRW42" s="5"/>
      <c r="GRX42" s="5"/>
      <c r="GRY42" s="5"/>
      <c r="GRZ42" s="5"/>
      <c r="GSA42" s="5"/>
      <c r="GSB42" s="5"/>
      <c r="GSC42" s="5"/>
      <c r="GSD42" s="5"/>
      <c r="GSE42" s="5"/>
      <c r="GSF42" s="5"/>
      <c r="GSG42" s="5"/>
      <c r="GSH42" s="5"/>
      <c r="GSI42" s="5"/>
      <c r="GSJ42" s="5"/>
      <c r="GSK42" s="5"/>
      <c r="GSL42" s="5"/>
      <c r="GSM42" s="5"/>
      <c r="GSN42" s="5"/>
      <c r="GSO42" s="5"/>
      <c r="GSP42" s="5"/>
      <c r="GSQ42" s="5"/>
      <c r="GSR42" s="5"/>
      <c r="GSS42" s="5"/>
      <c r="GST42" s="5"/>
      <c r="GSU42" s="5"/>
      <c r="GSV42" s="5"/>
      <c r="GSW42" s="5"/>
      <c r="GSX42" s="5"/>
      <c r="GSY42" s="5"/>
      <c r="GSZ42" s="5"/>
      <c r="GTA42" s="5"/>
      <c r="GTB42" s="5"/>
      <c r="GTC42" s="5"/>
      <c r="GTD42" s="5"/>
      <c r="GTE42" s="5"/>
      <c r="GTF42" s="5"/>
      <c r="GTG42" s="5"/>
      <c r="GTH42" s="5"/>
      <c r="GTI42" s="5"/>
      <c r="GTJ42" s="5"/>
      <c r="GTK42" s="5"/>
      <c r="GTL42" s="5"/>
      <c r="GTM42" s="5"/>
      <c r="GTN42" s="5"/>
      <c r="GTO42" s="5"/>
      <c r="GTP42" s="5"/>
      <c r="GTQ42" s="5"/>
      <c r="GTR42" s="5"/>
      <c r="GTS42" s="5"/>
      <c r="GTT42" s="5"/>
      <c r="GTU42" s="5"/>
      <c r="GTV42" s="5"/>
      <c r="GTW42" s="5"/>
      <c r="GTX42" s="5"/>
      <c r="GTY42" s="5"/>
      <c r="GTZ42" s="5"/>
      <c r="GUA42" s="5"/>
      <c r="GUB42" s="5"/>
      <c r="GUC42" s="5"/>
      <c r="GUD42" s="5"/>
      <c r="GUE42" s="5"/>
      <c r="GUF42" s="5"/>
      <c r="GUG42" s="5"/>
      <c r="GUH42" s="5"/>
      <c r="GUI42" s="5"/>
      <c r="GUJ42" s="5"/>
      <c r="GUK42" s="5"/>
      <c r="GUL42" s="5"/>
      <c r="GUM42" s="5"/>
      <c r="GUN42" s="5"/>
      <c r="GUO42" s="5"/>
      <c r="GUP42" s="5"/>
      <c r="GUQ42" s="5"/>
      <c r="GUR42" s="5"/>
      <c r="GUS42" s="5"/>
      <c r="GUT42" s="5"/>
      <c r="GUU42" s="5"/>
      <c r="GUV42" s="5"/>
      <c r="GUW42" s="5"/>
      <c r="GUX42" s="5"/>
      <c r="GUY42" s="5"/>
      <c r="GUZ42" s="5"/>
      <c r="GVA42" s="5"/>
      <c r="GVB42" s="5"/>
      <c r="GVC42" s="5"/>
      <c r="GVD42" s="5"/>
      <c r="GVE42" s="5"/>
      <c r="GVF42" s="5"/>
      <c r="GVG42" s="5"/>
      <c r="GVH42" s="5"/>
      <c r="GVI42" s="5"/>
      <c r="GVJ42" s="5"/>
      <c r="GVK42" s="5"/>
      <c r="GVL42" s="5"/>
      <c r="GVM42" s="5"/>
      <c r="GVN42" s="5"/>
      <c r="GVO42" s="5"/>
      <c r="GVP42" s="5"/>
      <c r="GVQ42" s="5"/>
      <c r="GVR42" s="5"/>
      <c r="GVS42" s="5"/>
      <c r="GVT42" s="5"/>
      <c r="GVU42" s="5"/>
      <c r="GVV42" s="5"/>
      <c r="GVW42" s="5"/>
      <c r="GVX42" s="5"/>
      <c r="GVY42" s="5"/>
      <c r="GVZ42" s="5"/>
      <c r="GWA42" s="5"/>
      <c r="GWB42" s="5"/>
      <c r="GWC42" s="5"/>
      <c r="GWD42" s="5"/>
      <c r="GWE42" s="5"/>
      <c r="GWF42" s="5"/>
      <c r="GWG42" s="5"/>
      <c r="GWH42" s="5"/>
      <c r="GWI42" s="5"/>
      <c r="GWJ42" s="5"/>
      <c r="GWK42" s="5"/>
      <c r="GWL42" s="5"/>
      <c r="GWM42" s="5"/>
      <c r="GWN42" s="5"/>
      <c r="GWO42" s="5"/>
      <c r="GWP42" s="5"/>
      <c r="GWQ42" s="5"/>
      <c r="GWR42" s="5"/>
      <c r="GWS42" s="5"/>
      <c r="GWT42" s="5"/>
      <c r="GWU42" s="5"/>
      <c r="GWV42" s="5"/>
      <c r="GWW42" s="5"/>
      <c r="GWX42" s="5"/>
      <c r="GWY42" s="5"/>
      <c r="GWZ42" s="5"/>
      <c r="GXA42" s="5"/>
      <c r="GXB42" s="5"/>
      <c r="GXC42" s="5"/>
      <c r="GXD42" s="5"/>
      <c r="GXE42" s="5"/>
      <c r="GXF42" s="5"/>
      <c r="GXG42" s="5"/>
      <c r="GXH42" s="5"/>
      <c r="GXI42" s="5"/>
      <c r="GXJ42" s="5"/>
      <c r="GXK42" s="5"/>
      <c r="GXL42" s="5"/>
      <c r="GXM42" s="5"/>
      <c r="GXN42" s="5"/>
      <c r="GXO42" s="5"/>
      <c r="GXP42" s="5"/>
      <c r="GXQ42" s="5"/>
      <c r="GXR42" s="5"/>
      <c r="GXS42" s="5"/>
      <c r="GXT42" s="5"/>
      <c r="GXU42" s="5"/>
      <c r="GXV42" s="5"/>
      <c r="GXW42" s="5"/>
      <c r="GXX42" s="5"/>
      <c r="GXY42" s="5"/>
      <c r="GXZ42" s="5"/>
      <c r="GYA42" s="5"/>
      <c r="GYB42" s="5"/>
      <c r="GYC42" s="5"/>
      <c r="GYD42" s="5"/>
      <c r="GYE42" s="5"/>
      <c r="GYF42" s="5"/>
      <c r="GYG42" s="5"/>
      <c r="GYH42" s="5"/>
      <c r="GYI42" s="5"/>
      <c r="GYJ42" s="5"/>
      <c r="GYK42" s="5"/>
      <c r="GYL42" s="5"/>
      <c r="GYM42" s="5"/>
      <c r="GYN42" s="5"/>
      <c r="GYO42" s="5"/>
      <c r="GYP42" s="5"/>
      <c r="GYQ42" s="5"/>
      <c r="GYR42" s="5"/>
      <c r="GYS42" s="5"/>
      <c r="GYT42" s="5"/>
      <c r="GYU42" s="5"/>
      <c r="GYV42" s="5"/>
      <c r="GYW42" s="5"/>
      <c r="GYX42" s="5"/>
      <c r="GYY42" s="5"/>
      <c r="GYZ42" s="5"/>
      <c r="GZA42" s="5"/>
      <c r="GZB42" s="5"/>
      <c r="GZC42" s="5"/>
      <c r="GZD42" s="5"/>
      <c r="GZE42" s="5"/>
      <c r="GZF42" s="5"/>
      <c r="GZG42" s="5"/>
      <c r="GZH42" s="5"/>
      <c r="GZI42" s="5"/>
      <c r="GZJ42" s="5"/>
      <c r="GZK42" s="5"/>
      <c r="GZL42" s="5"/>
      <c r="GZM42" s="5"/>
      <c r="GZN42" s="5"/>
      <c r="GZO42" s="5"/>
      <c r="GZP42" s="5"/>
      <c r="GZQ42" s="5"/>
      <c r="GZR42" s="5"/>
      <c r="GZS42" s="5"/>
      <c r="GZT42" s="5"/>
      <c r="GZU42" s="5"/>
      <c r="GZV42" s="5"/>
      <c r="GZW42" s="5"/>
      <c r="GZX42" s="5"/>
      <c r="GZY42" s="5"/>
      <c r="GZZ42" s="5"/>
      <c r="HAA42" s="5"/>
      <c r="HAB42" s="5"/>
      <c r="HAC42" s="5"/>
      <c r="HAD42" s="5"/>
      <c r="HAE42" s="5"/>
      <c r="HAF42" s="5"/>
      <c r="HAG42" s="5"/>
      <c r="HAH42" s="5"/>
      <c r="HAI42" s="5"/>
      <c r="HAJ42" s="5"/>
      <c r="HAK42" s="5"/>
      <c r="HAL42" s="5"/>
      <c r="HAM42" s="5"/>
      <c r="HAN42" s="5"/>
      <c r="HAO42" s="5"/>
      <c r="HAP42" s="5"/>
      <c r="HAQ42" s="5"/>
      <c r="HAR42" s="5"/>
      <c r="HAS42" s="5"/>
      <c r="HAT42" s="5"/>
      <c r="HAU42" s="5"/>
      <c r="HAV42" s="5"/>
      <c r="HAW42" s="5"/>
      <c r="HAX42" s="5"/>
      <c r="HAY42" s="5"/>
      <c r="HAZ42" s="5"/>
      <c r="HBA42" s="5"/>
      <c r="HBB42" s="5"/>
      <c r="HBC42" s="5"/>
      <c r="HBD42" s="5"/>
      <c r="HBE42" s="5"/>
      <c r="HBF42" s="5"/>
      <c r="HBG42" s="5"/>
      <c r="HBH42" s="5"/>
      <c r="HBI42" s="5"/>
      <c r="HBJ42" s="5"/>
      <c r="HBK42" s="5"/>
      <c r="HBL42" s="5"/>
      <c r="HBM42" s="5"/>
      <c r="HBN42" s="5"/>
      <c r="HBO42" s="5"/>
      <c r="HBP42" s="5"/>
      <c r="HBQ42" s="5"/>
      <c r="HBR42" s="5"/>
      <c r="HBS42" s="5"/>
      <c r="HBT42" s="5"/>
      <c r="HBU42" s="5"/>
      <c r="HBV42" s="5"/>
      <c r="HBW42" s="5"/>
      <c r="HBX42" s="5"/>
      <c r="HBY42" s="5"/>
      <c r="HBZ42" s="5"/>
      <c r="HCA42" s="5"/>
      <c r="HCB42" s="5"/>
      <c r="HCC42" s="5"/>
      <c r="HCD42" s="5"/>
      <c r="HCE42" s="5"/>
      <c r="HCF42" s="5"/>
      <c r="HCG42" s="5"/>
      <c r="HCH42" s="5"/>
      <c r="HCI42" s="5"/>
      <c r="HCJ42" s="5"/>
      <c r="HCK42" s="5"/>
      <c r="HCL42" s="5"/>
      <c r="HCM42" s="5"/>
      <c r="HCN42" s="5"/>
      <c r="HCO42" s="5"/>
      <c r="HCP42" s="5"/>
      <c r="HCQ42" s="5"/>
      <c r="HCR42" s="5"/>
      <c r="HCS42" s="5"/>
      <c r="HCT42" s="5"/>
      <c r="HCU42" s="5"/>
      <c r="HCV42" s="5"/>
      <c r="HCW42" s="5"/>
      <c r="HCX42" s="5"/>
      <c r="HCY42" s="5"/>
      <c r="HCZ42" s="5"/>
      <c r="HDA42" s="5"/>
      <c r="HDB42" s="5"/>
      <c r="HDC42" s="5"/>
      <c r="HDD42" s="5"/>
      <c r="HDE42" s="5"/>
      <c r="HDF42" s="5"/>
      <c r="HDG42" s="5"/>
      <c r="HDH42" s="5"/>
      <c r="HDI42" s="5"/>
      <c r="HDJ42" s="5"/>
      <c r="HDK42" s="5"/>
      <c r="HDL42" s="5"/>
      <c r="HDM42" s="5"/>
      <c r="HDN42" s="5"/>
      <c r="HDO42" s="5"/>
      <c r="HDP42" s="5"/>
      <c r="HDQ42" s="5"/>
      <c r="HDR42" s="5"/>
      <c r="HDS42" s="5"/>
      <c r="HDT42" s="5"/>
      <c r="HDU42" s="5"/>
      <c r="HDV42" s="5"/>
      <c r="HDW42" s="5"/>
      <c r="HDX42" s="5"/>
      <c r="HDY42" s="5"/>
      <c r="HDZ42" s="5"/>
      <c r="HEA42" s="5"/>
      <c r="HEB42" s="5"/>
      <c r="HEC42" s="5"/>
      <c r="HED42" s="5"/>
      <c r="HEE42" s="5"/>
      <c r="HEF42" s="5"/>
      <c r="HEG42" s="5"/>
      <c r="HEH42" s="5"/>
      <c r="HEI42" s="5"/>
      <c r="HEJ42" s="5"/>
      <c r="HEK42" s="5"/>
      <c r="HEL42" s="5"/>
      <c r="HEM42" s="5"/>
      <c r="HEN42" s="5"/>
      <c r="HEO42" s="5"/>
      <c r="HEP42" s="5"/>
      <c r="HEQ42" s="5"/>
      <c r="HER42" s="5"/>
      <c r="HES42" s="5"/>
      <c r="HET42" s="5"/>
      <c r="HEU42" s="5"/>
      <c r="HEV42" s="5"/>
      <c r="HEW42" s="5"/>
      <c r="HEX42" s="5"/>
      <c r="HEY42" s="5"/>
      <c r="HEZ42" s="5"/>
      <c r="HFA42" s="5"/>
      <c r="HFB42" s="5"/>
      <c r="HFC42" s="5"/>
      <c r="HFD42" s="5"/>
      <c r="HFE42" s="5"/>
      <c r="HFF42" s="5"/>
      <c r="HFG42" s="5"/>
      <c r="HFH42" s="5"/>
      <c r="HFI42" s="5"/>
      <c r="HFJ42" s="5"/>
      <c r="HFK42" s="5"/>
      <c r="HFL42" s="5"/>
      <c r="HFM42" s="5"/>
      <c r="HFN42" s="5"/>
      <c r="HFO42" s="5"/>
      <c r="HFP42" s="5"/>
      <c r="HFQ42" s="5"/>
      <c r="HFR42" s="5"/>
      <c r="HFS42" s="5"/>
      <c r="HFT42" s="5"/>
      <c r="HFU42" s="5"/>
      <c r="HFV42" s="5"/>
      <c r="HFW42" s="5"/>
      <c r="HFX42" s="5"/>
      <c r="HFY42" s="5"/>
      <c r="HFZ42" s="5"/>
      <c r="HGA42" s="5"/>
      <c r="HGB42" s="5"/>
      <c r="HGC42" s="5"/>
      <c r="HGD42" s="5"/>
      <c r="HGE42" s="5"/>
      <c r="HGF42" s="5"/>
      <c r="HGG42" s="5"/>
      <c r="HGH42" s="5"/>
      <c r="HGI42" s="5"/>
      <c r="HGJ42" s="5"/>
      <c r="HGK42" s="5"/>
      <c r="HGL42" s="5"/>
      <c r="HGM42" s="5"/>
      <c r="HGN42" s="5"/>
      <c r="HGO42" s="5"/>
      <c r="HGP42" s="5"/>
      <c r="HGQ42" s="5"/>
      <c r="HGR42" s="5"/>
      <c r="HGS42" s="5"/>
      <c r="HGT42" s="5"/>
      <c r="HGU42" s="5"/>
      <c r="HGV42" s="5"/>
      <c r="HGW42" s="5"/>
      <c r="HGX42" s="5"/>
      <c r="HGY42" s="5"/>
      <c r="HGZ42" s="5"/>
      <c r="HHA42" s="5"/>
      <c r="HHB42" s="5"/>
      <c r="HHC42" s="5"/>
      <c r="HHD42" s="5"/>
      <c r="HHE42" s="5"/>
      <c r="HHF42" s="5"/>
      <c r="HHG42" s="5"/>
      <c r="HHH42" s="5"/>
      <c r="HHI42" s="5"/>
      <c r="HHJ42" s="5"/>
      <c r="HHK42" s="5"/>
      <c r="HHL42" s="5"/>
      <c r="HHM42" s="5"/>
      <c r="HHN42" s="5"/>
      <c r="HHO42" s="5"/>
      <c r="HHP42" s="5"/>
      <c r="HHQ42" s="5"/>
      <c r="HHR42" s="5"/>
      <c r="HHS42" s="5"/>
      <c r="HHT42" s="5"/>
      <c r="HHU42" s="5"/>
      <c r="HHV42" s="5"/>
      <c r="HHW42" s="5"/>
      <c r="HHX42" s="5"/>
      <c r="HHY42" s="5"/>
      <c r="HHZ42" s="5"/>
      <c r="HIA42" s="5"/>
      <c r="HIB42" s="5"/>
      <c r="HIC42" s="5"/>
      <c r="HID42" s="5"/>
      <c r="HIE42" s="5"/>
      <c r="HIF42" s="5"/>
      <c r="HIG42" s="5"/>
      <c r="HIH42" s="5"/>
      <c r="HII42" s="5"/>
      <c r="HIJ42" s="5"/>
      <c r="HIK42" s="5"/>
      <c r="HIL42" s="5"/>
      <c r="HIM42" s="5"/>
      <c r="HIN42" s="5"/>
      <c r="HIO42" s="5"/>
      <c r="HIP42" s="5"/>
      <c r="HIQ42" s="5"/>
      <c r="HIR42" s="5"/>
      <c r="HIS42" s="5"/>
      <c r="HIT42" s="5"/>
      <c r="HIU42" s="5"/>
      <c r="HIV42" s="5"/>
      <c r="HIW42" s="5"/>
      <c r="HIX42" s="5"/>
      <c r="HIY42" s="5"/>
      <c r="HIZ42" s="5"/>
      <c r="HJA42" s="5"/>
      <c r="HJB42" s="5"/>
      <c r="HJC42" s="5"/>
      <c r="HJD42" s="5"/>
      <c r="HJE42" s="5"/>
      <c r="HJF42" s="5"/>
      <c r="HJG42" s="5"/>
      <c r="HJH42" s="5"/>
      <c r="HJI42" s="5"/>
      <c r="HJJ42" s="5"/>
      <c r="HJK42" s="5"/>
      <c r="HJL42" s="5"/>
      <c r="HJM42" s="5"/>
      <c r="HJN42" s="5"/>
      <c r="HJO42" s="5"/>
      <c r="HJP42" s="5"/>
      <c r="HJQ42" s="5"/>
      <c r="HJR42" s="5"/>
      <c r="HJS42" s="5"/>
      <c r="HJT42" s="5"/>
      <c r="HJU42" s="5"/>
      <c r="HJV42" s="5"/>
      <c r="HJW42" s="5"/>
      <c r="HJX42" s="5"/>
      <c r="HJY42" s="5"/>
      <c r="HJZ42" s="5"/>
      <c r="HKA42" s="5"/>
      <c r="HKB42" s="5"/>
      <c r="HKC42" s="5"/>
      <c r="HKD42" s="5"/>
      <c r="HKE42" s="5"/>
      <c r="HKF42" s="5"/>
      <c r="HKG42" s="5"/>
      <c r="HKH42" s="5"/>
      <c r="HKI42" s="5"/>
      <c r="HKJ42" s="5"/>
      <c r="HKK42" s="5"/>
      <c r="HKL42" s="5"/>
      <c r="HKM42" s="5"/>
      <c r="HKN42" s="5"/>
      <c r="HKO42" s="5"/>
      <c r="HKP42" s="5"/>
      <c r="HKQ42" s="5"/>
      <c r="HKR42" s="5"/>
      <c r="HKS42" s="5"/>
      <c r="HKT42" s="5"/>
      <c r="HKU42" s="5"/>
      <c r="HKV42" s="5"/>
      <c r="HKW42" s="5"/>
      <c r="HKX42" s="5"/>
      <c r="HKY42" s="5"/>
      <c r="HKZ42" s="5"/>
      <c r="HLA42" s="5"/>
      <c r="HLB42" s="5"/>
      <c r="HLC42" s="5"/>
      <c r="HLD42" s="5"/>
      <c r="HLE42" s="5"/>
      <c r="HLF42" s="5"/>
      <c r="HLG42" s="5"/>
      <c r="HLH42" s="5"/>
      <c r="HLI42" s="5"/>
      <c r="HLJ42" s="5"/>
      <c r="HLK42" s="5"/>
      <c r="HLL42" s="5"/>
      <c r="HLM42" s="5"/>
      <c r="HLN42" s="5"/>
      <c r="HLO42" s="5"/>
      <c r="HLP42" s="5"/>
      <c r="HLQ42" s="5"/>
      <c r="HLR42" s="5"/>
      <c r="HLS42" s="5"/>
      <c r="HLT42" s="5"/>
      <c r="HLU42" s="5"/>
      <c r="HLV42" s="5"/>
      <c r="HLW42" s="5"/>
      <c r="HLX42" s="5"/>
      <c r="HLY42" s="5"/>
      <c r="HLZ42" s="5"/>
      <c r="HMA42" s="5"/>
      <c r="HMB42" s="5"/>
      <c r="HMC42" s="5"/>
      <c r="HMD42" s="5"/>
      <c r="HME42" s="5"/>
      <c r="HMF42" s="5"/>
      <c r="HMG42" s="5"/>
      <c r="HMH42" s="5"/>
      <c r="HMI42" s="5"/>
      <c r="HMJ42" s="5"/>
      <c r="HMK42" s="5"/>
      <c r="HML42" s="5"/>
      <c r="HMM42" s="5"/>
      <c r="HMN42" s="5"/>
      <c r="HMO42" s="5"/>
      <c r="HMP42" s="5"/>
      <c r="HMQ42" s="5"/>
      <c r="HMR42" s="5"/>
      <c r="HMS42" s="5"/>
      <c r="HMT42" s="5"/>
      <c r="HMU42" s="5"/>
      <c r="HMV42" s="5"/>
      <c r="HMW42" s="5"/>
      <c r="HMX42" s="5"/>
      <c r="HMY42" s="5"/>
      <c r="HMZ42" s="5"/>
      <c r="HNA42" s="5"/>
      <c r="HNB42" s="5"/>
      <c r="HNC42" s="5"/>
      <c r="HND42" s="5"/>
      <c r="HNE42" s="5"/>
      <c r="HNF42" s="5"/>
      <c r="HNG42" s="5"/>
      <c r="HNH42" s="5"/>
      <c r="HNI42" s="5"/>
      <c r="HNJ42" s="5"/>
      <c r="HNK42" s="5"/>
      <c r="HNL42" s="5"/>
      <c r="HNM42" s="5"/>
      <c r="HNN42" s="5"/>
      <c r="HNO42" s="5"/>
      <c r="HNP42" s="5"/>
      <c r="HNQ42" s="5"/>
      <c r="HNR42" s="5"/>
      <c r="HNS42" s="5"/>
      <c r="HNT42" s="5"/>
      <c r="HNU42" s="5"/>
      <c r="HNV42" s="5"/>
      <c r="HNW42" s="5"/>
      <c r="HNX42" s="5"/>
      <c r="HNY42" s="5"/>
      <c r="HNZ42" s="5"/>
      <c r="HOA42" s="5"/>
      <c r="HOB42" s="5"/>
      <c r="HOC42" s="5"/>
      <c r="HOD42" s="5"/>
      <c r="HOE42" s="5"/>
      <c r="HOF42" s="5"/>
      <c r="HOG42" s="5"/>
      <c r="HOH42" s="5"/>
      <c r="HOI42" s="5"/>
      <c r="HOJ42" s="5"/>
      <c r="HOK42" s="5"/>
      <c r="HOL42" s="5"/>
      <c r="HOM42" s="5"/>
      <c r="HON42" s="5"/>
      <c r="HOO42" s="5"/>
      <c r="HOP42" s="5"/>
      <c r="HOQ42" s="5"/>
      <c r="HOR42" s="5"/>
      <c r="HOS42" s="5"/>
      <c r="HOT42" s="5"/>
      <c r="HOU42" s="5"/>
      <c r="HOV42" s="5"/>
      <c r="HOW42" s="5"/>
      <c r="HOX42" s="5"/>
      <c r="HOY42" s="5"/>
      <c r="HOZ42" s="5"/>
      <c r="HPA42" s="5"/>
      <c r="HPB42" s="5"/>
      <c r="HPC42" s="5"/>
      <c r="HPD42" s="5"/>
      <c r="HPE42" s="5"/>
      <c r="HPF42" s="5"/>
      <c r="HPG42" s="5"/>
      <c r="HPH42" s="5"/>
      <c r="HPI42" s="5"/>
      <c r="HPJ42" s="5"/>
      <c r="HPK42" s="5"/>
      <c r="HPL42" s="5"/>
      <c r="HPM42" s="5"/>
      <c r="HPN42" s="5"/>
      <c r="HPO42" s="5"/>
      <c r="HPP42" s="5"/>
      <c r="HPQ42" s="5"/>
      <c r="HPR42" s="5"/>
      <c r="HPS42" s="5"/>
      <c r="HPT42" s="5"/>
      <c r="HPU42" s="5"/>
      <c r="HPV42" s="5"/>
      <c r="HPW42" s="5"/>
      <c r="HPX42" s="5"/>
      <c r="HPY42" s="5"/>
      <c r="HPZ42" s="5"/>
      <c r="HQA42" s="5"/>
      <c r="HQB42" s="5"/>
      <c r="HQC42" s="5"/>
      <c r="HQD42" s="5"/>
      <c r="HQE42" s="5"/>
      <c r="HQF42" s="5"/>
      <c r="HQG42" s="5"/>
      <c r="HQH42" s="5"/>
      <c r="HQI42" s="5"/>
      <c r="HQJ42" s="5"/>
      <c r="HQK42" s="5"/>
      <c r="HQL42" s="5"/>
      <c r="HQM42" s="5"/>
      <c r="HQN42" s="5"/>
      <c r="HQO42" s="5"/>
      <c r="HQP42" s="5"/>
      <c r="HQQ42" s="5"/>
      <c r="HQR42" s="5"/>
      <c r="HQS42" s="5"/>
      <c r="HQT42" s="5"/>
      <c r="HQU42" s="5"/>
      <c r="HQV42" s="5"/>
      <c r="HQW42" s="5"/>
      <c r="HQX42" s="5"/>
      <c r="HQY42" s="5"/>
      <c r="HQZ42" s="5"/>
      <c r="HRA42" s="5"/>
      <c r="HRB42" s="5"/>
      <c r="HRC42" s="5"/>
      <c r="HRD42" s="5"/>
      <c r="HRE42" s="5"/>
      <c r="HRF42" s="5"/>
      <c r="HRG42" s="5"/>
      <c r="HRH42" s="5"/>
      <c r="HRI42" s="5"/>
      <c r="HRJ42" s="5"/>
      <c r="HRK42" s="5"/>
      <c r="HRL42" s="5"/>
      <c r="HRM42" s="5"/>
      <c r="HRN42" s="5"/>
      <c r="HRO42" s="5"/>
      <c r="HRP42" s="5"/>
      <c r="HRQ42" s="5"/>
      <c r="HRR42" s="5"/>
      <c r="HRS42" s="5"/>
      <c r="HRT42" s="5"/>
      <c r="HRU42" s="5"/>
      <c r="HRV42" s="5"/>
      <c r="HRW42" s="5"/>
      <c r="HRX42" s="5"/>
      <c r="HRY42" s="5"/>
      <c r="HRZ42" s="5"/>
      <c r="HSA42" s="5"/>
      <c r="HSB42" s="5"/>
      <c r="HSC42" s="5"/>
      <c r="HSD42" s="5"/>
      <c r="HSE42" s="5"/>
      <c r="HSF42" s="5"/>
      <c r="HSG42" s="5"/>
      <c r="HSH42" s="5"/>
      <c r="HSI42" s="5"/>
      <c r="HSJ42" s="5"/>
      <c r="HSK42" s="5"/>
      <c r="HSL42" s="5"/>
      <c r="HSM42" s="5"/>
      <c r="HSN42" s="5"/>
      <c r="HSO42" s="5"/>
      <c r="HSP42" s="5"/>
      <c r="HSQ42" s="5"/>
      <c r="HSR42" s="5"/>
      <c r="HSS42" s="5"/>
      <c r="HST42" s="5"/>
      <c r="HSU42" s="5"/>
      <c r="HSV42" s="5"/>
      <c r="HSW42" s="5"/>
      <c r="HSX42" s="5"/>
      <c r="HSY42" s="5"/>
      <c r="HSZ42" s="5"/>
      <c r="HTA42" s="5"/>
      <c r="HTB42" s="5"/>
      <c r="HTC42" s="5"/>
      <c r="HTD42" s="5"/>
      <c r="HTE42" s="5"/>
      <c r="HTF42" s="5"/>
      <c r="HTG42" s="5"/>
      <c r="HTH42" s="5"/>
      <c r="HTI42" s="5"/>
      <c r="HTJ42" s="5"/>
      <c r="HTK42" s="5"/>
      <c r="HTL42" s="5"/>
      <c r="HTM42" s="5"/>
      <c r="HTN42" s="5"/>
      <c r="HTO42" s="5"/>
      <c r="HTP42" s="5"/>
      <c r="HTQ42" s="5"/>
      <c r="HTR42" s="5"/>
      <c r="HTS42" s="5"/>
      <c r="HTT42" s="5"/>
      <c r="HTU42" s="5"/>
      <c r="HTV42" s="5"/>
      <c r="HTW42" s="5"/>
      <c r="HTX42" s="5"/>
      <c r="HTY42" s="5"/>
      <c r="HTZ42" s="5"/>
      <c r="HUA42" s="5"/>
      <c r="HUB42" s="5"/>
      <c r="HUC42" s="5"/>
      <c r="HUD42" s="5"/>
      <c r="HUE42" s="5"/>
      <c r="HUF42" s="5"/>
      <c r="HUG42" s="5"/>
      <c r="HUH42" s="5"/>
      <c r="HUI42" s="5"/>
      <c r="HUJ42" s="5"/>
      <c r="HUK42" s="5"/>
      <c r="HUL42" s="5"/>
      <c r="HUM42" s="5"/>
      <c r="HUN42" s="5"/>
      <c r="HUO42" s="5"/>
      <c r="HUP42" s="5"/>
      <c r="HUQ42" s="5"/>
      <c r="HUR42" s="5"/>
      <c r="HUS42" s="5"/>
      <c r="HUT42" s="5"/>
      <c r="HUU42" s="5"/>
      <c r="HUV42" s="5"/>
      <c r="HUW42" s="5"/>
      <c r="HUX42" s="5"/>
      <c r="HUY42" s="5"/>
      <c r="HUZ42" s="5"/>
      <c r="HVA42" s="5"/>
      <c r="HVB42" s="5"/>
      <c r="HVC42" s="5"/>
      <c r="HVD42" s="5"/>
      <c r="HVE42" s="5"/>
      <c r="HVF42" s="5"/>
      <c r="HVG42" s="5"/>
      <c r="HVH42" s="5"/>
      <c r="HVI42" s="5"/>
      <c r="HVJ42" s="5"/>
      <c r="HVK42" s="5"/>
      <c r="HVL42" s="5"/>
      <c r="HVM42" s="5"/>
      <c r="HVN42" s="5"/>
      <c r="HVO42" s="5"/>
      <c r="HVP42" s="5"/>
      <c r="HVQ42" s="5"/>
      <c r="HVR42" s="5"/>
      <c r="HVS42" s="5"/>
      <c r="HVT42" s="5"/>
      <c r="HVU42" s="5"/>
      <c r="HVV42" s="5"/>
      <c r="HVW42" s="5"/>
      <c r="HVX42" s="5"/>
      <c r="HVY42" s="5"/>
      <c r="HVZ42" s="5"/>
      <c r="HWA42" s="5"/>
      <c r="HWB42" s="5"/>
      <c r="HWC42" s="5"/>
      <c r="HWD42" s="5"/>
      <c r="HWE42" s="5"/>
      <c r="HWF42" s="5"/>
      <c r="HWG42" s="5"/>
      <c r="HWH42" s="5"/>
      <c r="HWI42" s="5"/>
      <c r="HWJ42" s="5"/>
      <c r="HWK42" s="5"/>
      <c r="HWL42" s="5"/>
      <c r="HWM42" s="5"/>
      <c r="HWN42" s="5"/>
      <c r="HWO42" s="5"/>
      <c r="HWP42" s="5"/>
      <c r="HWQ42" s="5"/>
      <c r="HWR42" s="5"/>
      <c r="HWS42" s="5"/>
      <c r="HWT42" s="5"/>
      <c r="HWU42" s="5"/>
      <c r="HWV42" s="5"/>
      <c r="HWW42" s="5"/>
      <c r="HWX42" s="5"/>
      <c r="HWY42" s="5"/>
      <c r="HWZ42" s="5"/>
      <c r="HXA42" s="5"/>
      <c r="HXB42" s="5"/>
      <c r="HXC42" s="5"/>
      <c r="HXD42" s="5"/>
      <c r="HXE42" s="5"/>
      <c r="HXF42" s="5"/>
      <c r="HXG42" s="5"/>
      <c r="HXH42" s="5"/>
      <c r="HXI42" s="5"/>
      <c r="HXJ42" s="5"/>
      <c r="HXK42" s="5"/>
      <c r="HXL42" s="5"/>
      <c r="HXM42" s="5"/>
      <c r="HXN42" s="5"/>
      <c r="HXO42" s="5"/>
      <c r="HXP42" s="5"/>
      <c r="HXQ42" s="5"/>
      <c r="HXR42" s="5"/>
      <c r="HXS42" s="5"/>
      <c r="HXT42" s="5"/>
      <c r="HXU42" s="5"/>
      <c r="HXV42" s="5"/>
      <c r="HXW42" s="5"/>
      <c r="HXX42" s="5"/>
      <c r="HXY42" s="5"/>
      <c r="HXZ42" s="5"/>
      <c r="HYA42" s="5"/>
      <c r="HYB42" s="5"/>
      <c r="HYC42" s="5"/>
      <c r="HYD42" s="5"/>
      <c r="HYE42" s="5"/>
      <c r="HYF42" s="5"/>
      <c r="HYG42" s="5"/>
      <c r="HYH42" s="5"/>
      <c r="HYI42" s="5"/>
      <c r="HYJ42" s="5"/>
      <c r="HYK42" s="5"/>
      <c r="HYL42" s="5"/>
      <c r="HYM42" s="5"/>
      <c r="HYN42" s="5"/>
      <c r="HYO42" s="5"/>
      <c r="HYP42" s="5"/>
      <c r="HYQ42" s="5"/>
      <c r="HYR42" s="5"/>
      <c r="HYS42" s="5"/>
      <c r="HYT42" s="5"/>
      <c r="HYU42" s="5"/>
      <c r="HYV42" s="5"/>
      <c r="HYW42" s="5"/>
      <c r="HYX42" s="5"/>
      <c r="HYY42" s="5"/>
      <c r="HYZ42" s="5"/>
      <c r="HZA42" s="5"/>
      <c r="HZB42" s="5"/>
      <c r="HZC42" s="5"/>
      <c r="HZD42" s="5"/>
      <c r="HZE42" s="5"/>
      <c r="HZF42" s="5"/>
      <c r="HZG42" s="5"/>
      <c r="HZH42" s="5"/>
      <c r="HZI42" s="5"/>
      <c r="HZJ42" s="5"/>
      <c r="HZK42" s="5"/>
      <c r="HZL42" s="5"/>
      <c r="HZM42" s="5"/>
      <c r="HZN42" s="5"/>
      <c r="HZO42" s="5"/>
      <c r="HZP42" s="5"/>
      <c r="HZQ42" s="5"/>
      <c r="HZR42" s="5"/>
      <c r="HZS42" s="5"/>
      <c r="HZT42" s="5"/>
      <c r="HZU42" s="5"/>
      <c r="HZV42" s="5"/>
      <c r="HZW42" s="5"/>
      <c r="HZX42" s="5"/>
      <c r="HZY42" s="5"/>
      <c r="HZZ42" s="5"/>
      <c r="IAA42" s="5"/>
      <c r="IAB42" s="5"/>
      <c r="IAC42" s="5"/>
      <c r="IAD42" s="5"/>
      <c r="IAE42" s="5"/>
      <c r="IAF42" s="5"/>
      <c r="IAG42" s="5"/>
      <c r="IAH42" s="5"/>
      <c r="IAI42" s="5"/>
      <c r="IAJ42" s="5"/>
      <c r="IAK42" s="5"/>
      <c r="IAL42" s="5"/>
      <c r="IAM42" s="5"/>
      <c r="IAN42" s="5"/>
      <c r="IAO42" s="5"/>
      <c r="IAP42" s="5"/>
      <c r="IAQ42" s="5"/>
      <c r="IAR42" s="5"/>
      <c r="IAS42" s="5"/>
      <c r="IAT42" s="5"/>
      <c r="IAU42" s="5"/>
      <c r="IAV42" s="5"/>
      <c r="IAW42" s="5"/>
      <c r="IAX42" s="5"/>
      <c r="IAY42" s="5"/>
      <c r="IAZ42" s="5"/>
      <c r="IBA42" s="5"/>
      <c r="IBB42" s="5"/>
      <c r="IBC42" s="5"/>
      <c r="IBD42" s="5"/>
      <c r="IBE42" s="5"/>
      <c r="IBF42" s="5"/>
      <c r="IBG42" s="5"/>
      <c r="IBH42" s="5"/>
      <c r="IBI42" s="5"/>
      <c r="IBJ42" s="5"/>
      <c r="IBK42" s="5"/>
      <c r="IBL42" s="5"/>
      <c r="IBM42" s="5"/>
      <c r="IBN42" s="5"/>
      <c r="IBO42" s="5"/>
      <c r="IBP42" s="5"/>
      <c r="IBQ42" s="5"/>
      <c r="IBR42" s="5"/>
      <c r="IBS42" s="5"/>
      <c r="IBT42" s="5"/>
      <c r="IBU42" s="5"/>
      <c r="IBV42" s="5"/>
      <c r="IBW42" s="5"/>
      <c r="IBX42" s="5"/>
      <c r="IBY42" s="5"/>
      <c r="IBZ42" s="5"/>
      <c r="ICA42" s="5"/>
      <c r="ICB42" s="5"/>
      <c r="ICC42" s="5"/>
      <c r="ICD42" s="5"/>
      <c r="ICE42" s="5"/>
      <c r="ICF42" s="5"/>
      <c r="ICG42" s="5"/>
      <c r="ICH42" s="5"/>
      <c r="ICI42" s="5"/>
      <c r="ICJ42" s="5"/>
      <c r="ICK42" s="5"/>
      <c r="ICL42" s="5"/>
      <c r="ICM42" s="5"/>
      <c r="ICN42" s="5"/>
      <c r="ICO42" s="5"/>
      <c r="ICP42" s="5"/>
      <c r="ICQ42" s="5"/>
      <c r="ICR42" s="5"/>
      <c r="ICS42" s="5"/>
      <c r="ICT42" s="5"/>
      <c r="ICU42" s="5"/>
      <c r="ICV42" s="5"/>
      <c r="ICW42" s="5"/>
      <c r="ICX42" s="5"/>
      <c r="ICY42" s="5"/>
      <c r="ICZ42" s="5"/>
      <c r="IDA42" s="5"/>
      <c r="IDB42" s="5"/>
      <c r="IDC42" s="5"/>
      <c r="IDD42" s="5"/>
      <c r="IDE42" s="5"/>
      <c r="IDF42" s="5"/>
      <c r="IDG42" s="5"/>
      <c r="IDH42" s="5"/>
      <c r="IDI42" s="5"/>
      <c r="IDJ42" s="5"/>
      <c r="IDK42" s="5"/>
      <c r="IDL42" s="5"/>
      <c r="IDM42" s="5"/>
      <c r="IDN42" s="5"/>
      <c r="IDO42" s="5"/>
      <c r="IDP42" s="5"/>
      <c r="IDQ42" s="5"/>
      <c r="IDR42" s="5"/>
      <c r="IDS42" s="5"/>
      <c r="IDT42" s="5"/>
      <c r="IDU42" s="5"/>
      <c r="IDV42" s="5"/>
      <c r="IDW42" s="5"/>
      <c r="IDX42" s="5"/>
      <c r="IDY42" s="5"/>
      <c r="IDZ42" s="5"/>
      <c r="IEA42" s="5"/>
      <c r="IEB42" s="5"/>
      <c r="IEC42" s="5"/>
      <c r="IED42" s="5"/>
      <c r="IEE42" s="5"/>
      <c r="IEF42" s="5"/>
      <c r="IEG42" s="5"/>
      <c r="IEH42" s="5"/>
      <c r="IEI42" s="5"/>
      <c r="IEJ42" s="5"/>
      <c r="IEK42" s="5"/>
      <c r="IEL42" s="5"/>
      <c r="IEM42" s="5"/>
      <c r="IEN42" s="5"/>
      <c r="IEO42" s="5"/>
      <c r="IEP42" s="5"/>
      <c r="IEQ42" s="5"/>
      <c r="IER42" s="5"/>
      <c r="IES42" s="5"/>
      <c r="IET42" s="5"/>
      <c r="IEU42" s="5"/>
      <c r="IEV42" s="5"/>
      <c r="IEW42" s="5"/>
      <c r="IEX42" s="5"/>
      <c r="IEY42" s="5"/>
      <c r="IEZ42" s="5"/>
      <c r="IFA42" s="5"/>
      <c r="IFB42" s="5"/>
      <c r="IFC42" s="5"/>
      <c r="IFD42" s="5"/>
      <c r="IFE42" s="5"/>
      <c r="IFF42" s="5"/>
      <c r="IFG42" s="5"/>
      <c r="IFH42" s="5"/>
      <c r="IFI42" s="5"/>
      <c r="IFJ42" s="5"/>
      <c r="IFK42" s="5"/>
      <c r="IFL42" s="5"/>
      <c r="IFM42" s="5"/>
      <c r="IFN42" s="5"/>
      <c r="IFO42" s="5"/>
      <c r="IFP42" s="5"/>
      <c r="IFQ42" s="5"/>
      <c r="IFR42" s="5"/>
      <c r="IFS42" s="5"/>
      <c r="IFT42" s="5"/>
      <c r="IFU42" s="5"/>
      <c r="IFV42" s="5"/>
      <c r="IFW42" s="5"/>
      <c r="IFX42" s="5"/>
      <c r="IFY42" s="5"/>
      <c r="IFZ42" s="5"/>
      <c r="IGA42" s="5"/>
      <c r="IGB42" s="5"/>
      <c r="IGC42" s="5"/>
      <c r="IGD42" s="5"/>
      <c r="IGE42" s="5"/>
      <c r="IGF42" s="5"/>
      <c r="IGG42" s="5"/>
      <c r="IGH42" s="5"/>
      <c r="IGI42" s="5"/>
      <c r="IGJ42" s="5"/>
      <c r="IGK42" s="5"/>
      <c r="IGL42" s="5"/>
      <c r="IGM42" s="5"/>
      <c r="IGN42" s="5"/>
      <c r="IGO42" s="5"/>
      <c r="IGP42" s="5"/>
      <c r="IGQ42" s="5"/>
      <c r="IGR42" s="5"/>
      <c r="IGS42" s="5"/>
      <c r="IGT42" s="5"/>
      <c r="IGU42" s="5"/>
      <c r="IGV42" s="5"/>
      <c r="IGW42" s="5"/>
      <c r="IGX42" s="5"/>
      <c r="IGY42" s="5"/>
      <c r="IGZ42" s="5"/>
      <c r="IHA42" s="5"/>
      <c r="IHB42" s="5"/>
      <c r="IHC42" s="5"/>
      <c r="IHD42" s="5"/>
      <c r="IHE42" s="5"/>
      <c r="IHF42" s="5"/>
      <c r="IHG42" s="5"/>
      <c r="IHH42" s="5"/>
      <c r="IHI42" s="5"/>
      <c r="IHJ42" s="5"/>
      <c r="IHK42" s="5"/>
      <c r="IHL42" s="5"/>
      <c r="IHM42" s="5"/>
      <c r="IHN42" s="5"/>
      <c r="IHO42" s="5"/>
      <c r="IHP42" s="5"/>
      <c r="IHQ42" s="5"/>
      <c r="IHR42" s="5"/>
      <c r="IHS42" s="5"/>
      <c r="IHT42" s="5"/>
      <c r="IHU42" s="5"/>
      <c r="IHV42" s="5"/>
      <c r="IHW42" s="5"/>
      <c r="IHX42" s="5"/>
      <c r="IHY42" s="5"/>
      <c r="IHZ42" s="5"/>
      <c r="IIA42" s="5"/>
      <c r="IIB42" s="5"/>
      <c r="IIC42" s="5"/>
      <c r="IID42" s="5"/>
      <c r="IIE42" s="5"/>
      <c r="IIF42" s="5"/>
      <c r="IIG42" s="5"/>
      <c r="IIH42" s="5"/>
      <c r="III42" s="5"/>
      <c r="IIJ42" s="5"/>
      <c r="IIK42" s="5"/>
      <c r="IIL42" s="5"/>
      <c r="IIM42" s="5"/>
      <c r="IIN42" s="5"/>
      <c r="IIO42" s="5"/>
      <c r="IIP42" s="5"/>
      <c r="IIQ42" s="5"/>
      <c r="IIR42" s="5"/>
      <c r="IIS42" s="5"/>
      <c r="IIT42" s="5"/>
      <c r="IIU42" s="5"/>
      <c r="IIV42" s="5"/>
      <c r="IIW42" s="5"/>
      <c r="IIX42" s="5"/>
      <c r="IIY42" s="5"/>
      <c r="IIZ42" s="5"/>
      <c r="IJA42" s="5"/>
      <c r="IJB42" s="5"/>
      <c r="IJC42" s="5"/>
      <c r="IJD42" s="5"/>
      <c r="IJE42" s="5"/>
      <c r="IJF42" s="5"/>
      <c r="IJG42" s="5"/>
      <c r="IJH42" s="5"/>
      <c r="IJI42" s="5"/>
      <c r="IJJ42" s="5"/>
      <c r="IJK42" s="5"/>
      <c r="IJL42" s="5"/>
      <c r="IJM42" s="5"/>
      <c r="IJN42" s="5"/>
      <c r="IJO42" s="5"/>
      <c r="IJP42" s="5"/>
      <c r="IJQ42" s="5"/>
      <c r="IJR42" s="5"/>
      <c r="IJS42" s="5"/>
      <c r="IJT42" s="5"/>
      <c r="IJU42" s="5"/>
      <c r="IJV42" s="5"/>
      <c r="IJW42" s="5"/>
      <c r="IJX42" s="5"/>
      <c r="IJY42" s="5"/>
      <c r="IJZ42" s="5"/>
      <c r="IKA42" s="5"/>
      <c r="IKB42" s="5"/>
      <c r="IKC42" s="5"/>
      <c r="IKD42" s="5"/>
      <c r="IKE42" s="5"/>
      <c r="IKF42" s="5"/>
      <c r="IKG42" s="5"/>
      <c r="IKH42" s="5"/>
      <c r="IKI42" s="5"/>
      <c r="IKJ42" s="5"/>
      <c r="IKK42" s="5"/>
      <c r="IKL42" s="5"/>
      <c r="IKM42" s="5"/>
      <c r="IKN42" s="5"/>
      <c r="IKO42" s="5"/>
      <c r="IKP42" s="5"/>
      <c r="IKQ42" s="5"/>
      <c r="IKR42" s="5"/>
      <c r="IKS42" s="5"/>
      <c r="IKT42" s="5"/>
      <c r="IKU42" s="5"/>
      <c r="IKV42" s="5"/>
      <c r="IKW42" s="5"/>
      <c r="IKX42" s="5"/>
      <c r="IKY42" s="5"/>
      <c r="IKZ42" s="5"/>
      <c r="ILA42" s="5"/>
      <c r="ILB42" s="5"/>
      <c r="ILC42" s="5"/>
      <c r="ILD42" s="5"/>
      <c r="ILE42" s="5"/>
      <c r="ILF42" s="5"/>
      <c r="ILG42" s="5"/>
      <c r="ILH42" s="5"/>
      <c r="ILI42" s="5"/>
      <c r="ILJ42" s="5"/>
      <c r="ILK42" s="5"/>
      <c r="ILL42" s="5"/>
      <c r="ILM42" s="5"/>
      <c r="ILN42" s="5"/>
      <c r="ILO42" s="5"/>
      <c r="ILP42" s="5"/>
      <c r="ILQ42" s="5"/>
      <c r="ILR42" s="5"/>
      <c r="ILS42" s="5"/>
      <c r="ILT42" s="5"/>
      <c r="ILU42" s="5"/>
      <c r="ILV42" s="5"/>
      <c r="ILW42" s="5"/>
      <c r="ILX42" s="5"/>
      <c r="ILY42" s="5"/>
      <c r="ILZ42" s="5"/>
      <c r="IMA42" s="5"/>
      <c r="IMB42" s="5"/>
      <c r="IMC42" s="5"/>
      <c r="IMD42" s="5"/>
      <c r="IME42" s="5"/>
      <c r="IMF42" s="5"/>
      <c r="IMG42" s="5"/>
      <c r="IMH42" s="5"/>
      <c r="IMI42" s="5"/>
      <c r="IMJ42" s="5"/>
      <c r="IMK42" s="5"/>
      <c r="IML42" s="5"/>
      <c r="IMM42" s="5"/>
      <c r="IMN42" s="5"/>
      <c r="IMO42" s="5"/>
      <c r="IMP42" s="5"/>
      <c r="IMQ42" s="5"/>
      <c r="IMR42" s="5"/>
      <c r="IMS42" s="5"/>
      <c r="IMT42" s="5"/>
      <c r="IMU42" s="5"/>
      <c r="IMV42" s="5"/>
      <c r="IMW42" s="5"/>
      <c r="IMX42" s="5"/>
      <c r="IMY42" s="5"/>
      <c r="IMZ42" s="5"/>
      <c r="INA42" s="5"/>
      <c r="INB42" s="5"/>
      <c r="INC42" s="5"/>
      <c r="IND42" s="5"/>
      <c r="INE42" s="5"/>
      <c r="INF42" s="5"/>
      <c r="ING42" s="5"/>
      <c r="INH42" s="5"/>
      <c r="INI42" s="5"/>
      <c r="INJ42" s="5"/>
      <c r="INK42" s="5"/>
      <c r="INL42" s="5"/>
      <c r="INM42" s="5"/>
      <c r="INN42" s="5"/>
      <c r="INO42" s="5"/>
      <c r="INP42" s="5"/>
      <c r="INQ42" s="5"/>
      <c r="INR42" s="5"/>
      <c r="INS42" s="5"/>
      <c r="INT42" s="5"/>
      <c r="INU42" s="5"/>
      <c r="INV42" s="5"/>
      <c r="INW42" s="5"/>
      <c r="INX42" s="5"/>
      <c r="INY42" s="5"/>
      <c r="INZ42" s="5"/>
      <c r="IOA42" s="5"/>
      <c r="IOB42" s="5"/>
      <c r="IOC42" s="5"/>
      <c r="IOD42" s="5"/>
      <c r="IOE42" s="5"/>
      <c r="IOF42" s="5"/>
      <c r="IOG42" s="5"/>
      <c r="IOH42" s="5"/>
      <c r="IOI42" s="5"/>
      <c r="IOJ42" s="5"/>
      <c r="IOK42" s="5"/>
      <c r="IOL42" s="5"/>
      <c r="IOM42" s="5"/>
      <c r="ION42" s="5"/>
      <c r="IOO42" s="5"/>
      <c r="IOP42" s="5"/>
      <c r="IOQ42" s="5"/>
      <c r="IOR42" s="5"/>
      <c r="IOS42" s="5"/>
      <c r="IOT42" s="5"/>
      <c r="IOU42" s="5"/>
      <c r="IOV42" s="5"/>
      <c r="IOW42" s="5"/>
      <c r="IOX42" s="5"/>
      <c r="IOY42" s="5"/>
      <c r="IOZ42" s="5"/>
      <c r="IPA42" s="5"/>
      <c r="IPB42" s="5"/>
      <c r="IPC42" s="5"/>
      <c r="IPD42" s="5"/>
      <c r="IPE42" s="5"/>
      <c r="IPF42" s="5"/>
      <c r="IPG42" s="5"/>
      <c r="IPH42" s="5"/>
      <c r="IPI42" s="5"/>
      <c r="IPJ42" s="5"/>
      <c r="IPK42" s="5"/>
      <c r="IPL42" s="5"/>
      <c r="IPM42" s="5"/>
      <c r="IPN42" s="5"/>
      <c r="IPO42" s="5"/>
      <c r="IPP42" s="5"/>
      <c r="IPQ42" s="5"/>
      <c r="IPR42" s="5"/>
      <c r="IPS42" s="5"/>
      <c r="IPT42" s="5"/>
      <c r="IPU42" s="5"/>
      <c r="IPV42" s="5"/>
      <c r="IPW42" s="5"/>
      <c r="IPX42" s="5"/>
      <c r="IPY42" s="5"/>
      <c r="IPZ42" s="5"/>
      <c r="IQA42" s="5"/>
      <c r="IQB42" s="5"/>
      <c r="IQC42" s="5"/>
      <c r="IQD42" s="5"/>
      <c r="IQE42" s="5"/>
      <c r="IQF42" s="5"/>
      <c r="IQG42" s="5"/>
      <c r="IQH42" s="5"/>
      <c r="IQI42" s="5"/>
      <c r="IQJ42" s="5"/>
      <c r="IQK42" s="5"/>
      <c r="IQL42" s="5"/>
      <c r="IQM42" s="5"/>
      <c r="IQN42" s="5"/>
      <c r="IQO42" s="5"/>
      <c r="IQP42" s="5"/>
      <c r="IQQ42" s="5"/>
      <c r="IQR42" s="5"/>
      <c r="IQS42" s="5"/>
      <c r="IQT42" s="5"/>
      <c r="IQU42" s="5"/>
      <c r="IQV42" s="5"/>
      <c r="IQW42" s="5"/>
      <c r="IQX42" s="5"/>
      <c r="IQY42" s="5"/>
      <c r="IQZ42" s="5"/>
      <c r="IRA42" s="5"/>
      <c r="IRB42" s="5"/>
      <c r="IRC42" s="5"/>
      <c r="IRD42" s="5"/>
      <c r="IRE42" s="5"/>
      <c r="IRF42" s="5"/>
      <c r="IRG42" s="5"/>
      <c r="IRH42" s="5"/>
      <c r="IRI42" s="5"/>
      <c r="IRJ42" s="5"/>
      <c r="IRK42" s="5"/>
      <c r="IRL42" s="5"/>
      <c r="IRM42" s="5"/>
      <c r="IRN42" s="5"/>
      <c r="IRO42" s="5"/>
      <c r="IRP42" s="5"/>
      <c r="IRQ42" s="5"/>
      <c r="IRR42" s="5"/>
      <c r="IRS42" s="5"/>
      <c r="IRT42" s="5"/>
      <c r="IRU42" s="5"/>
      <c r="IRV42" s="5"/>
      <c r="IRW42" s="5"/>
      <c r="IRX42" s="5"/>
      <c r="IRY42" s="5"/>
      <c r="IRZ42" s="5"/>
      <c r="ISA42" s="5"/>
      <c r="ISB42" s="5"/>
      <c r="ISC42" s="5"/>
      <c r="ISD42" s="5"/>
      <c r="ISE42" s="5"/>
      <c r="ISF42" s="5"/>
      <c r="ISG42" s="5"/>
      <c r="ISH42" s="5"/>
      <c r="ISI42" s="5"/>
      <c r="ISJ42" s="5"/>
      <c r="ISK42" s="5"/>
      <c r="ISL42" s="5"/>
      <c r="ISM42" s="5"/>
      <c r="ISN42" s="5"/>
      <c r="ISO42" s="5"/>
      <c r="ISP42" s="5"/>
      <c r="ISQ42" s="5"/>
      <c r="ISR42" s="5"/>
      <c r="ISS42" s="5"/>
      <c r="IST42" s="5"/>
      <c r="ISU42" s="5"/>
      <c r="ISV42" s="5"/>
      <c r="ISW42" s="5"/>
      <c r="ISX42" s="5"/>
      <c r="ISY42" s="5"/>
      <c r="ISZ42" s="5"/>
      <c r="ITA42" s="5"/>
      <c r="ITB42" s="5"/>
      <c r="ITC42" s="5"/>
      <c r="ITD42" s="5"/>
      <c r="ITE42" s="5"/>
      <c r="ITF42" s="5"/>
      <c r="ITG42" s="5"/>
      <c r="ITH42" s="5"/>
      <c r="ITI42" s="5"/>
      <c r="ITJ42" s="5"/>
      <c r="ITK42" s="5"/>
      <c r="ITL42" s="5"/>
      <c r="ITM42" s="5"/>
      <c r="ITN42" s="5"/>
      <c r="ITO42" s="5"/>
      <c r="ITP42" s="5"/>
      <c r="ITQ42" s="5"/>
      <c r="ITR42" s="5"/>
      <c r="ITS42" s="5"/>
      <c r="ITT42" s="5"/>
      <c r="ITU42" s="5"/>
      <c r="ITV42" s="5"/>
      <c r="ITW42" s="5"/>
      <c r="ITX42" s="5"/>
      <c r="ITY42" s="5"/>
      <c r="ITZ42" s="5"/>
      <c r="IUA42" s="5"/>
      <c r="IUB42" s="5"/>
      <c r="IUC42" s="5"/>
      <c r="IUD42" s="5"/>
      <c r="IUE42" s="5"/>
      <c r="IUF42" s="5"/>
      <c r="IUG42" s="5"/>
      <c r="IUH42" s="5"/>
      <c r="IUI42" s="5"/>
      <c r="IUJ42" s="5"/>
      <c r="IUK42" s="5"/>
      <c r="IUL42" s="5"/>
      <c r="IUM42" s="5"/>
      <c r="IUN42" s="5"/>
      <c r="IUO42" s="5"/>
      <c r="IUP42" s="5"/>
      <c r="IUQ42" s="5"/>
      <c r="IUR42" s="5"/>
      <c r="IUS42" s="5"/>
      <c r="IUT42" s="5"/>
      <c r="IUU42" s="5"/>
      <c r="IUV42" s="5"/>
      <c r="IUW42" s="5"/>
      <c r="IUX42" s="5"/>
      <c r="IUY42" s="5"/>
      <c r="IUZ42" s="5"/>
      <c r="IVA42" s="5"/>
      <c r="IVB42" s="5"/>
      <c r="IVC42" s="5"/>
      <c r="IVD42" s="5"/>
      <c r="IVE42" s="5"/>
      <c r="IVF42" s="5"/>
      <c r="IVG42" s="5"/>
      <c r="IVH42" s="5"/>
      <c r="IVI42" s="5"/>
      <c r="IVJ42" s="5"/>
      <c r="IVK42" s="5"/>
      <c r="IVL42" s="5"/>
      <c r="IVM42" s="5"/>
      <c r="IVN42" s="5"/>
      <c r="IVO42" s="5"/>
      <c r="IVP42" s="5"/>
      <c r="IVQ42" s="5"/>
      <c r="IVR42" s="5"/>
      <c r="IVS42" s="5"/>
      <c r="IVT42" s="5"/>
      <c r="IVU42" s="5"/>
      <c r="IVV42" s="5"/>
      <c r="IVW42" s="5"/>
      <c r="IVX42" s="5"/>
      <c r="IVY42" s="5"/>
      <c r="IVZ42" s="5"/>
      <c r="IWA42" s="5"/>
      <c r="IWB42" s="5"/>
      <c r="IWC42" s="5"/>
      <c r="IWD42" s="5"/>
      <c r="IWE42" s="5"/>
      <c r="IWF42" s="5"/>
      <c r="IWG42" s="5"/>
      <c r="IWH42" s="5"/>
      <c r="IWI42" s="5"/>
      <c r="IWJ42" s="5"/>
      <c r="IWK42" s="5"/>
      <c r="IWL42" s="5"/>
      <c r="IWM42" s="5"/>
      <c r="IWN42" s="5"/>
      <c r="IWO42" s="5"/>
      <c r="IWP42" s="5"/>
      <c r="IWQ42" s="5"/>
      <c r="IWR42" s="5"/>
      <c r="IWS42" s="5"/>
      <c r="IWT42" s="5"/>
      <c r="IWU42" s="5"/>
      <c r="IWV42" s="5"/>
      <c r="IWW42" s="5"/>
      <c r="IWX42" s="5"/>
      <c r="IWY42" s="5"/>
      <c r="IWZ42" s="5"/>
      <c r="IXA42" s="5"/>
      <c r="IXB42" s="5"/>
      <c r="IXC42" s="5"/>
      <c r="IXD42" s="5"/>
      <c r="IXE42" s="5"/>
      <c r="IXF42" s="5"/>
      <c r="IXG42" s="5"/>
      <c r="IXH42" s="5"/>
      <c r="IXI42" s="5"/>
      <c r="IXJ42" s="5"/>
      <c r="IXK42" s="5"/>
      <c r="IXL42" s="5"/>
      <c r="IXM42" s="5"/>
      <c r="IXN42" s="5"/>
      <c r="IXO42" s="5"/>
      <c r="IXP42" s="5"/>
      <c r="IXQ42" s="5"/>
      <c r="IXR42" s="5"/>
      <c r="IXS42" s="5"/>
      <c r="IXT42" s="5"/>
      <c r="IXU42" s="5"/>
      <c r="IXV42" s="5"/>
      <c r="IXW42" s="5"/>
      <c r="IXX42" s="5"/>
      <c r="IXY42" s="5"/>
      <c r="IXZ42" s="5"/>
      <c r="IYA42" s="5"/>
      <c r="IYB42" s="5"/>
      <c r="IYC42" s="5"/>
      <c r="IYD42" s="5"/>
      <c r="IYE42" s="5"/>
      <c r="IYF42" s="5"/>
      <c r="IYG42" s="5"/>
      <c r="IYH42" s="5"/>
      <c r="IYI42" s="5"/>
      <c r="IYJ42" s="5"/>
      <c r="IYK42" s="5"/>
      <c r="IYL42" s="5"/>
      <c r="IYM42" s="5"/>
      <c r="IYN42" s="5"/>
      <c r="IYO42" s="5"/>
      <c r="IYP42" s="5"/>
      <c r="IYQ42" s="5"/>
      <c r="IYR42" s="5"/>
      <c r="IYS42" s="5"/>
      <c r="IYT42" s="5"/>
      <c r="IYU42" s="5"/>
      <c r="IYV42" s="5"/>
      <c r="IYW42" s="5"/>
      <c r="IYX42" s="5"/>
      <c r="IYY42" s="5"/>
      <c r="IYZ42" s="5"/>
      <c r="IZA42" s="5"/>
      <c r="IZB42" s="5"/>
      <c r="IZC42" s="5"/>
      <c r="IZD42" s="5"/>
      <c r="IZE42" s="5"/>
      <c r="IZF42" s="5"/>
      <c r="IZG42" s="5"/>
      <c r="IZH42" s="5"/>
      <c r="IZI42" s="5"/>
      <c r="IZJ42" s="5"/>
      <c r="IZK42" s="5"/>
      <c r="IZL42" s="5"/>
      <c r="IZM42" s="5"/>
      <c r="IZN42" s="5"/>
      <c r="IZO42" s="5"/>
      <c r="IZP42" s="5"/>
      <c r="IZQ42" s="5"/>
      <c r="IZR42" s="5"/>
      <c r="IZS42" s="5"/>
      <c r="IZT42" s="5"/>
      <c r="IZU42" s="5"/>
      <c r="IZV42" s="5"/>
      <c r="IZW42" s="5"/>
      <c r="IZX42" s="5"/>
      <c r="IZY42" s="5"/>
      <c r="IZZ42" s="5"/>
      <c r="JAA42" s="5"/>
      <c r="JAB42" s="5"/>
      <c r="JAC42" s="5"/>
      <c r="JAD42" s="5"/>
      <c r="JAE42" s="5"/>
      <c r="JAF42" s="5"/>
      <c r="JAG42" s="5"/>
      <c r="JAH42" s="5"/>
      <c r="JAI42" s="5"/>
      <c r="JAJ42" s="5"/>
      <c r="JAK42" s="5"/>
      <c r="JAL42" s="5"/>
      <c r="JAM42" s="5"/>
      <c r="JAN42" s="5"/>
      <c r="JAO42" s="5"/>
      <c r="JAP42" s="5"/>
      <c r="JAQ42" s="5"/>
      <c r="JAR42" s="5"/>
      <c r="JAS42" s="5"/>
      <c r="JAT42" s="5"/>
      <c r="JAU42" s="5"/>
      <c r="JAV42" s="5"/>
      <c r="JAW42" s="5"/>
      <c r="JAX42" s="5"/>
      <c r="JAY42" s="5"/>
      <c r="JAZ42" s="5"/>
      <c r="JBA42" s="5"/>
      <c r="JBB42" s="5"/>
      <c r="JBC42" s="5"/>
      <c r="JBD42" s="5"/>
      <c r="JBE42" s="5"/>
      <c r="JBF42" s="5"/>
      <c r="JBG42" s="5"/>
      <c r="JBH42" s="5"/>
      <c r="JBI42" s="5"/>
      <c r="JBJ42" s="5"/>
      <c r="JBK42" s="5"/>
      <c r="JBL42" s="5"/>
      <c r="JBM42" s="5"/>
      <c r="JBN42" s="5"/>
      <c r="JBO42" s="5"/>
      <c r="JBP42" s="5"/>
      <c r="JBQ42" s="5"/>
      <c r="JBR42" s="5"/>
      <c r="JBS42" s="5"/>
      <c r="JBT42" s="5"/>
      <c r="JBU42" s="5"/>
      <c r="JBV42" s="5"/>
      <c r="JBW42" s="5"/>
      <c r="JBX42" s="5"/>
      <c r="JBY42" s="5"/>
      <c r="JBZ42" s="5"/>
      <c r="JCA42" s="5"/>
      <c r="JCB42" s="5"/>
      <c r="JCC42" s="5"/>
      <c r="JCD42" s="5"/>
      <c r="JCE42" s="5"/>
      <c r="JCF42" s="5"/>
      <c r="JCG42" s="5"/>
      <c r="JCH42" s="5"/>
      <c r="JCI42" s="5"/>
      <c r="JCJ42" s="5"/>
      <c r="JCK42" s="5"/>
      <c r="JCL42" s="5"/>
      <c r="JCM42" s="5"/>
      <c r="JCN42" s="5"/>
      <c r="JCO42" s="5"/>
      <c r="JCP42" s="5"/>
      <c r="JCQ42" s="5"/>
      <c r="JCR42" s="5"/>
      <c r="JCS42" s="5"/>
      <c r="JCT42" s="5"/>
      <c r="JCU42" s="5"/>
      <c r="JCV42" s="5"/>
      <c r="JCW42" s="5"/>
      <c r="JCX42" s="5"/>
      <c r="JCY42" s="5"/>
      <c r="JCZ42" s="5"/>
      <c r="JDA42" s="5"/>
      <c r="JDB42" s="5"/>
      <c r="JDC42" s="5"/>
      <c r="JDD42" s="5"/>
      <c r="JDE42" s="5"/>
      <c r="JDF42" s="5"/>
      <c r="JDG42" s="5"/>
      <c r="JDH42" s="5"/>
      <c r="JDI42" s="5"/>
      <c r="JDJ42" s="5"/>
      <c r="JDK42" s="5"/>
      <c r="JDL42" s="5"/>
      <c r="JDM42" s="5"/>
      <c r="JDN42" s="5"/>
      <c r="JDO42" s="5"/>
      <c r="JDP42" s="5"/>
      <c r="JDQ42" s="5"/>
      <c r="JDR42" s="5"/>
      <c r="JDS42" s="5"/>
      <c r="JDT42" s="5"/>
      <c r="JDU42" s="5"/>
      <c r="JDV42" s="5"/>
      <c r="JDW42" s="5"/>
      <c r="JDX42" s="5"/>
      <c r="JDY42" s="5"/>
      <c r="JDZ42" s="5"/>
      <c r="JEA42" s="5"/>
      <c r="JEB42" s="5"/>
      <c r="JEC42" s="5"/>
      <c r="JED42" s="5"/>
      <c r="JEE42" s="5"/>
      <c r="JEF42" s="5"/>
      <c r="JEG42" s="5"/>
      <c r="JEH42" s="5"/>
      <c r="JEI42" s="5"/>
      <c r="JEJ42" s="5"/>
      <c r="JEK42" s="5"/>
      <c r="JEL42" s="5"/>
      <c r="JEM42" s="5"/>
      <c r="JEN42" s="5"/>
      <c r="JEO42" s="5"/>
      <c r="JEP42" s="5"/>
      <c r="JEQ42" s="5"/>
      <c r="JER42" s="5"/>
      <c r="JES42" s="5"/>
      <c r="JET42" s="5"/>
      <c r="JEU42" s="5"/>
      <c r="JEV42" s="5"/>
      <c r="JEW42" s="5"/>
      <c r="JEX42" s="5"/>
      <c r="JEY42" s="5"/>
      <c r="JEZ42" s="5"/>
      <c r="JFA42" s="5"/>
      <c r="JFB42" s="5"/>
      <c r="JFC42" s="5"/>
      <c r="JFD42" s="5"/>
      <c r="JFE42" s="5"/>
      <c r="JFF42" s="5"/>
      <c r="JFG42" s="5"/>
      <c r="JFH42" s="5"/>
      <c r="JFI42" s="5"/>
      <c r="JFJ42" s="5"/>
      <c r="JFK42" s="5"/>
      <c r="JFL42" s="5"/>
      <c r="JFM42" s="5"/>
      <c r="JFN42" s="5"/>
      <c r="JFO42" s="5"/>
      <c r="JFP42" s="5"/>
      <c r="JFQ42" s="5"/>
      <c r="JFR42" s="5"/>
      <c r="JFS42" s="5"/>
      <c r="JFT42" s="5"/>
      <c r="JFU42" s="5"/>
      <c r="JFV42" s="5"/>
      <c r="JFW42" s="5"/>
      <c r="JFX42" s="5"/>
      <c r="JFY42" s="5"/>
      <c r="JFZ42" s="5"/>
      <c r="JGA42" s="5"/>
      <c r="JGB42" s="5"/>
      <c r="JGC42" s="5"/>
      <c r="JGD42" s="5"/>
      <c r="JGE42" s="5"/>
      <c r="JGF42" s="5"/>
      <c r="JGG42" s="5"/>
      <c r="JGH42" s="5"/>
      <c r="JGI42" s="5"/>
      <c r="JGJ42" s="5"/>
      <c r="JGK42" s="5"/>
      <c r="JGL42" s="5"/>
      <c r="JGM42" s="5"/>
      <c r="JGN42" s="5"/>
      <c r="JGO42" s="5"/>
      <c r="JGP42" s="5"/>
      <c r="JGQ42" s="5"/>
      <c r="JGR42" s="5"/>
      <c r="JGS42" s="5"/>
      <c r="JGT42" s="5"/>
      <c r="JGU42" s="5"/>
      <c r="JGV42" s="5"/>
      <c r="JGW42" s="5"/>
      <c r="JGX42" s="5"/>
      <c r="JGY42" s="5"/>
      <c r="JGZ42" s="5"/>
      <c r="JHA42" s="5"/>
      <c r="JHB42" s="5"/>
      <c r="JHC42" s="5"/>
      <c r="JHD42" s="5"/>
      <c r="JHE42" s="5"/>
      <c r="JHF42" s="5"/>
      <c r="JHG42" s="5"/>
      <c r="JHH42" s="5"/>
      <c r="JHI42" s="5"/>
      <c r="JHJ42" s="5"/>
      <c r="JHK42" s="5"/>
      <c r="JHL42" s="5"/>
      <c r="JHM42" s="5"/>
      <c r="JHN42" s="5"/>
      <c r="JHO42" s="5"/>
      <c r="JHP42" s="5"/>
      <c r="JHQ42" s="5"/>
      <c r="JHR42" s="5"/>
      <c r="JHS42" s="5"/>
      <c r="JHT42" s="5"/>
      <c r="JHU42" s="5"/>
      <c r="JHV42" s="5"/>
      <c r="JHW42" s="5"/>
      <c r="JHX42" s="5"/>
      <c r="JHY42" s="5"/>
      <c r="JHZ42" s="5"/>
      <c r="JIA42" s="5"/>
      <c r="JIB42" s="5"/>
      <c r="JIC42" s="5"/>
      <c r="JID42" s="5"/>
      <c r="JIE42" s="5"/>
      <c r="JIF42" s="5"/>
      <c r="JIG42" s="5"/>
      <c r="JIH42" s="5"/>
      <c r="JII42" s="5"/>
      <c r="JIJ42" s="5"/>
      <c r="JIK42" s="5"/>
      <c r="JIL42" s="5"/>
      <c r="JIM42" s="5"/>
      <c r="JIN42" s="5"/>
      <c r="JIO42" s="5"/>
      <c r="JIP42" s="5"/>
      <c r="JIQ42" s="5"/>
      <c r="JIR42" s="5"/>
      <c r="JIS42" s="5"/>
      <c r="JIT42" s="5"/>
      <c r="JIU42" s="5"/>
      <c r="JIV42" s="5"/>
      <c r="JIW42" s="5"/>
      <c r="JIX42" s="5"/>
      <c r="JIY42" s="5"/>
      <c r="JIZ42" s="5"/>
      <c r="JJA42" s="5"/>
      <c r="JJB42" s="5"/>
      <c r="JJC42" s="5"/>
      <c r="JJD42" s="5"/>
      <c r="JJE42" s="5"/>
      <c r="JJF42" s="5"/>
      <c r="JJG42" s="5"/>
      <c r="JJH42" s="5"/>
      <c r="JJI42" s="5"/>
      <c r="JJJ42" s="5"/>
      <c r="JJK42" s="5"/>
      <c r="JJL42" s="5"/>
      <c r="JJM42" s="5"/>
      <c r="JJN42" s="5"/>
      <c r="JJO42" s="5"/>
      <c r="JJP42" s="5"/>
      <c r="JJQ42" s="5"/>
      <c r="JJR42" s="5"/>
      <c r="JJS42" s="5"/>
      <c r="JJT42" s="5"/>
      <c r="JJU42" s="5"/>
      <c r="JJV42" s="5"/>
      <c r="JJW42" s="5"/>
      <c r="JJX42" s="5"/>
      <c r="JJY42" s="5"/>
      <c r="JJZ42" s="5"/>
      <c r="JKA42" s="5"/>
      <c r="JKB42" s="5"/>
      <c r="JKC42" s="5"/>
      <c r="JKD42" s="5"/>
      <c r="JKE42" s="5"/>
      <c r="JKF42" s="5"/>
      <c r="JKG42" s="5"/>
      <c r="JKH42" s="5"/>
      <c r="JKI42" s="5"/>
      <c r="JKJ42" s="5"/>
      <c r="JKK42" s="5"/>
      <c r="JKL42" s="5"/>
      <c r="JKM42" s="5"/>
      <c r="JKN42" s="5"/>
      <c r="JKO42" s="5"/>
      <c r="JKP42" s="5"/>
      <c r="JKQ42" s="5"/>
      <c r="JKR42" s="5"/>
      <c r="JKS42" s="5"/>
      <c r="JKT42" s="5"/>
      <c r="JKU42" s="5"/>
      <c r="JKV42" s="5"/>
      <c r="JKW42" s="5"/>
      <c r="JKX42" s="5"/>
      <c r="JKY42" s="5"/>
      <c r="JKZ42" s="5"/>
      <c r="JLA42" s="5"/>
      <c r="JLB42" s="5"/>
      <c r="JLC42" s="5"/>
      <c r="JLD42" s="5"/>
      <c r="JLE42" s="5"/>
      <c r="JLF42" s="5"/>
      <c r="JLG42" s="5"/>
      <c r="JLH42" s="5"/>
      <c r="JLI42" s="5"/>
      <c r="JLJ42" s="5"/>
      <c r="JLK42" s="5"/>
      <c r="JLL42" s="5"/>
      <c r="JLM42" s="5"/>
      <c r="JLN42" s="5"/>
      <c r="JLO42" s="5"/>
      <c r="JLP42" s="5"/>
      <c r="JLQ42" s="5"/>
      <c r="JLR42" s="5"/>
      <c r="JLS42" s="5"/>
      <c r="JLT42" s="5"/>
      <c r="JLU42" s="5"/>
      <c r="JLV42" s="5"/>
      <c r="JLW42" s="5"/>
      <c r="JLX42" s="5"/>
      <c r="JLY42" s="5"/>
      <c r="JLZ42" s="5"/>
      <c r="JMA42" s="5"/>
      <c r="JMB42" s="5"/>
      <c r="JMC42" s="5"/>
      <c r="JMD42" s="5"/>
      <c r="JME42" s="5"/>
      <c r="JMF42" s="5"/>
      <c r="JMG42" s="5"/>
      <c r="JMH42" s="5"/>
      <c r="JMI42" s="5"/>
      <c r="JMJ42" s="5"/>
      <c r="JMK42" s="5"/>
      <c r="JML42" s="5"/>
      <c r="JMM42" s="5"/>
      <c r="JMN42" s="5"/>
      <c r="JMO42" s="5"/>
      <c r="JMP42" s="5"/>
      <c r="JMQ42" s="5"/>
      <c r="JMR42" s="5"/>
      <c r="JMS42" s="5"/>
      <c r="JMT42" s="5"/>
      <c r="JMU42" s="5"/>
      <c r="JMV42" s="5"/>
      <c r="JMW42" s="5"/>
      <c r="JMX42" s="5"/>
      <c r="JMY42" s="5"/>
      <c r="JMZ42" s="5"/>
      <c r="JNA42" s="5"/>
      <c r="JNB42" s="5"/>
      <c r="JNC42" s="5"/>
      <c r="JND42" s="5"/>
      <c r="JNE42" s="5"/>
      <c r="JNF42" s="5"/>
      <c r="JNG42" s="5"/>
      <c r="JNH42" s="5"/>
      <c r="JNI42" s="5"/>
      <c r="JNJ42" s="5"/>
      <c r="JNK42" s="5"/>
      <c r="JNL42" s="5"/>
      <c r="JNM42" s="5"/>
      <c r="JNN42" s="5"/>
      <c r="JNO42" s="5"/>
      <c r="JNP42" s="5"/>
      <c r="JNQ42" s="5"/>
      <c r="JNR42" s="5"/>
      <c r="JNS42" s="5"/>
      <c r="JNT42" s="5"/>
      <c r="JNU42" s="5"/>
      <c r="JNV42" s="5"/>
      <c r="JNW42" s="5"/>
      <c r="JNX42" s="5"/>
      <c r="JNY42" s="5"/>
      <c r="JNZ42" s="5"/>
      <c r="JOA42" s="5"/>
      <c r="JOB42" s="5"/>
      <c r="JOC42" s="5"/>
      <c r="JOD42" s="5"/>
      <c r="JOE42" s="5"/>
      <c r="JOF42" s="5"/>
      <c r="JOG42" s="5"/>
      <c r="JOH42" s="5"/>
      <c r="JOI42" s="5"/>
      <c r="JOJ42" s="5"/>
      <c r="JOK42" s="5"/>
      <c r="JOL42" s="5"/>
      <c r="JOM42" s="5"/>
      <c r="JON42" s="5"/>
      <c r="JOO42" s="5"/>
      <c r="JOP42" s="5"/>
      <c r="JOQ42" s="5"/>
      <c r="JOR42" s="5"/>
      <c r="JOS42" s="5"/>
      <c r="JOT42" s="5"/>
      <c r="JOU42" s="5"/>
      <c r="JOV42" s="5"/>
      <c r="JOW42" s="5"/>
      <c r="JOX42" s="5"/>
      <c r="JOY42" s="5"/>
      <c r="JOZ42" s="5"/>
      <c r="JPA42" s="5"/>
      <c r="JPB42" s="5"/>
      <c r="JPC42" s="5"/>
      <c r="JPD42" s="5"/>
      <c r="JPE42" s="5"/>
      <c r="JPF42" s="5"/>
      <c r="JPG42" s="5"/>
      <c r="JPH42" s="5"/>
      <c r="JPI42" s="5"/>
      <c r="JPJ42" s="5"/>
      <c r="JPK42" s="5"/>
      <c r="JPL42" s="5"/>
      <c r="JPM42" s="5"/>
      <c r="JPN42" s="5"/>
      <c r="JPO42" s="5"/>
      <c r="JPP42" s="5"/>
      <c r="JPQ42" s="5"/>
      <c r="JPR42" s="5"/>
      <c r="JPS42" s="5"/>
      <c r="JPT42" s="5"/>
      <c r="JPU42" s="5"/>
      <c r="JPV42" s="5"/>
      <c r="JPW42" s="5"/>
      <c r="JPX42" s="5"/>
      <c r="JPY42" s="5"/>
      <c r="JPZ42" s="5"/>
      <c r="JQA42" s="5"/>
      <c r="JQB42" s="5"/>
      <c r="JQC42" s="5"/>
      <c r="JQD42" s="5"/>
      <c r="JQE42" s="5"/>
      <c r="JQF42" s="5"/>
      <c r="JQG42" s="5"/>
      <c r="JQH42" s="5"/>
      <c r="JQI42" s="5"/>
      <c r="JQJ42" s="5"/>
      <c r="JQK42" s="5"/>
      <c r="JQL42" s="5"/>
      <c r="JQM42" s="5"/>
      <c r="JQN42" s="5"/>
      <c r="JQO42" s="5"/>
      <c r="JQP42" s="5"/>
      <c r="JQQ42" s="5"/>
      <c r="JQR42" s="5"/>
      <c r="JQS42" s="5"/>
      <c r="JQT42" s="5"/>
      <c r="JQU42" s="5"/>
      <c r="JQV42" s="5"/>
      <c r="JQW42" s="5"/>
      <c r="JQX42" s="5"/>
      <c r="JQY42" s="5"/>
      <c r="JQZ42" s="5"/>
      <c r="JRA42" s="5"/>
      <c r="JRB42" s="5"/>
      <c r="JRC42" s="5"/>
      <c r="JRD42" s="5"/>
      <c r="JRE42" s="5"/>
      <c r="JRF42" s="5"/>
      <c r="JRG42" s="5"/>
      <c r="JRH42" s="5"/>
      <c r="JRI42" s="5"/>
      <c r="JRJ42" s="5"/>
      <c r="JRK42" s="5"/>
      <c r="JRL42" s="5"/>
      <c r="JRM42" s="5"/>
      <c r="JRN42" s="5"/>
      <c r="JRO42" s="5"/>
      <c r="JRP42" s="5"/>
      <c r="JRQ42" s="5"/>
      <c r="JRR42" s="5"/>
      <c r="JRS42" s="5"/>
      <c r="JRT42" s="5"/>
      <c r="JRU42" s="5"/>
      <c r="JRV42" s="5"/>
      <c r="JRW42" s="5"/>
      <c r="JRX42" s="5"/>
      <c r="JRY42" s="5"/>
      <c r="JRZ42" s="5"/>
      <c r="JSA42" s="5"/>
      <c r="JSB42" s="5"/>
      <c r="JSC42" s="5"/>
      <c r="JSD42" s="5"/>
      <c r="JSE42" s="5"/>
      <c r="JSF42" s="5"/>
      <c r="JSG42" s="5"/>
      <c r="JSH42" s="5"/>
      <c r="JSI42" s="5"/>
      <c r="JSJ42" s="5"/>
      <c r="JSK42" s="5"/>
      <c r="JSL42" s="5"/>
      <c r="JSM42" s="5"/>
      <c r="JSN42" s="5"/>
      <c r="JSO42" s="5"/>
      <c r="JSP42" s="5"/>
      <c r="JSQ42" s="5"/>
      <c r="JSR42" s="5"/>
      <c r="JSS42" s="5"/>
      <c r="JST42" s="5"/>
      <c r="JSU42" s="5"/>
      <c r="JSV42" s="5"/>
      <c r="JSW42" s="5"/>
      <c r="JSX42" s="5"/>
      <c r="JSY42" s="5"/>
      <c r="JSZ42" s="5"/>
      <c r="JTA42" s="5"/>
      <c r="JTB42" s="5"/>
      <c r="JTC42" s="5"/>
      <c r="JTD42" s="5"/>
      <c r="JTE42" s="5"/>
      <c r="JTF42" s="5"/>
      <c r="JTG42" s="5"/>
      <c r="JTH42" s="5"/>
      <c r="JTI42" s="5"/>
      <c r="JTJ42" s="5"/>
      <c r="JTK42" s="5"/>
      <c r="JTL42" s="5"/>
      <c r="JTM42" s="5"/>
      <c r="JTN42" s="5"/>
      <c r="JTO42" s="5"/>
      <c r="JTP42" s="5"/>
      <c r="JTQ42" s="5"/>
      <c r="JTR42" s="5"/>
      <c r="JTS42" s="5"/>
      <c r="JTT42" s="5"/>
      <c r="JTU42" s="5"/>
      <c r="JTV42" s="5"/>
      <c r="JTW42" s="5"/>
      <c r="JTX42" s="5"/>
      <c r="JTY42" s="5"/>
      <c r="JTZ42" s="5"/>
      <c r="JUA42" s="5"/>
      <c r="JUB42" s="5"/>
      <c r="JUC42" s="5"/>
      <c r="JUD42" s="5"/>
      <c r="JUE42" s="5"/>
      <c r="JUF42" s="5"/>
      <c r="JUG42" s="5"/>
      <c r="JUH42" s="5"/>
      <c r="JUI42" s="5"/>
      <c r="JUJ42" s="5"/>
      <c r="JUK42" s="5"/>
      <c r="JUL42" s="5"/>
      <c r="JUM42" s="5"/>
      <c r="JUN42" s="5"/>
      <c r="JUO42" s="5"/>
      <c r="JUP42" s="5"/>
      <c r="JUQ42" s="5"/>
      <c r="JUR42" s="5"/>
      <c r="JUS42" s="5"/>
      <c r="JUT42" s="5"/>
      <c r="JUU42" s="5"/>
      <c r="JUV42" s="5"/>
      <c r="JUW42" s="5"/>
      <c r="JUX42" s="5"/>
      <c r="JUY42" s="5"/>
      <c r="JUZ42" s="5"/>
      <c r="JVA42" s="5"/>
      <c r="JVB42" s="5"/>
      <c r="JVC42" s="5"/>
      <c r="JVD42" s="5"/>
      <c r="JVE42" s="5"/>
      <c r="JVF42" s="5"/>
      <c r="JVG42" s="5"/>
      <c r="JVH42" s="5"/>
      <c r="JVI42" s="5"/>
      <c r="JVJ42" s="5"/>
      <c r="JVK42" s="5"/>
      <c r="JVL42" s="5"/>
      <c r="JVM42" s="5"/>
      <c r="JVN42" s="5"/>
      <c r="JVO42" s="5"/>
      <c r="JVP42" s="5"/>
      <c r="JVQ42" s="5"/>
      <c r="JVR42" s="5"/>
      <c r="JVS42" s="5"/>
      <c r="JVT42" s="5"/>
      <c r="JVU42" s="5"/>
      <c r="JVV42" s="5"/>
      <c r="JVW42" s="5"/>
      <c r="JVX42" s="5"/>
      <c r="JVY42" s="5"/>
      <c r="JVZ42" s="5"/>
      <c r="JWA42" s="5"/>
      <c r="JWB42" s="5"/>
      <c r="JWC42" s="5"/>
      <c r="JWD42" s="5"/>
      <c r="JWE42" s="5"/>
      <c r="JWF42" s="5"/>
      <c r="JWG42" s="5"/>
      <c r="JWH42" s="5"/>
      <c r="JWI42" s="5"/>
      <c r="JWJ42" s="5"/>
      <c r="JWK42" s="5"/>
      <c r="JWL42" s="5"/>
      <c r="JWM42" s="5"/>
      <c r="JWN42" s="5"/>
      <c r="JWO42" s="5"/>
      <c r="JWP42" s="5"/>
      <c r="JWQ42" s="5"/>
      <c r="JWR42" s="5"/>
      <c r="JWS42" s="5"/>
      <c r="JWT42" s="5"/>
      <c r="JWU42" s="5"/>
      <c r="JWV42" s="5"/>
      <c r="JWW42" s="5"/>
      <c r="JWX42" s="5"/>
      <c r="JWY42" s="5"/>
      <c r="JWZ42" s="5"/>
      <c r="JXA42" s="5"/>
      <c r="JXB42" s="5"/>
      <c r="JXC42" s="5"/>
      <c r="JXD42" s="5"/>
      <c r="JXE42" s="5"/>
      <c r="JXF42" s="5"/>
      <c r="JXG42" s="5"/>
      <c r="JXH42" s="5"/>
      <c r="JXI42" s="5"/>
      <c r="JXJ42" s="5"/>
      <c r="JXK42" s="5"/>
      <c r="JXL42" s="5"/>
      <c r="JXM42" s="5"/>
      <c r="JXN42" s="5"/>
      <c r="JXO42" s="5"/>
      <c r="JXP42" s="5"/>
      <c r="JXQ42" s="5"/>
      <c r="JXR42" s="5"/>
      <c r="JXS42" s="5"/>
      <c r="JXT42" s="5"/>
      <c r="JXU42" s="5"/>
      <c r="JXV42" s="5"/>
      <c r="JXW42" s="5"/>
      <c r="JXX42" s="5"/>
      <c r="JXY42" s="5"/>
      <c r="JXZ42" s="5"/>
      <c r="JYA42" s="5"/>
      <c r="JYB42" s="5"/>
      <c r="JYC42" s="5"/>
      <c r="JYD42" s="5"/>
      <c r="JYE42" s="5"/>
      <c r="JYF42" s="5"/>
      <c r="JYG42" s="5"/>
      <c r="JYH42" s="5"/>
      <c r="JYI42" s="5"/>
      <c r="JYJ42" s="5"/>
      <c r="JYK42" s="5"/>
      <c r="JYL42" s="5"/>
      <c r="JYM42" s="5"/>
      <c r="JYN42" s="5"/>
      <c r="JYO42" s="5"/>
      <c r="JYP42" s="5"/>
      <c r="JYQ42" s="5"/>
      <c r="JYR42" s="5"/>
      <c r="JYS42" s="5"/>
      <c r="JYT42" s="5"/>
      <c r="JYU42" s="5"/>
      <c r="JYV42" s="5"/>
      <c r="JYW42" s="5"/>
      <c r="JYX42" s="5"/>
      <c r="JYY42" s="5"/>
      <c r="JYZ42" s="5"/>
      <c r="JZA42" s="5"/>
      <c r="JZB42" s="5"/>
      <c r="JZC42" s="5"/>
      <c r="JZD42" s="5"/>
      <c r="JZE42" s="5"/>
      <c r="JZF42" s="5"/>
      <c r="JZG42" s="5"/>
      <c r="JZH42" s="5"/>
      <c r="JZI42" s="5"/>
      <c r="JZJ42" s="5"/>
      <c r="JZK42" s="5"/>
      <c r="JZL42" s="5"/>
      <c r="JZM42" s="5"/>
      <c r="JZN42" s="5"/>
      <c r="JZO42" s="5"/>
      <c r="JZP42" s="5"/>
      <c r="JZQ42" s="5"/>
      <c r="JZR42" s="5"/>
      <c r="JZS42" s="5"/>
      <c r="JZT42" s="5"/>
      <c r="JZU42" s="5"/>
      <c r="JZV42" s="5"/>
      <c r="JZW42" s="5"/>
      <c r="JZX42" s="5"/>
      <c r="JZY42" s="5"/>
      <c r="JZZ42" s="5"/>
      <c r="KAA42" s="5"/>
      <c r="KAB42" s="5"/>
      <c r="KAC42" s="5"/>
      <c r="KAD42" s="5"/>
      <c r="KAE42" s="5"/>
      <c r="KAF42" s="5"/>
      <c r="KAG42" s="5"/>
      <c r="KAH42" s="5"/>
      <c r="KAI42" s="5"/>
      <c r="KAJ42" s="5"/>
      <c r="KAK42" s="5"/>
      <c r="KAL42" s="5"/>
      <c r="KAM42" s="5"/>
      <c r="KAN42" s="5"/>
      <c r="KAO42" s="5"/>
      <c r="KAP42" s="5"/>
      <c r="KAQ42" s="5"/>
      <c r="KAR42" s="5"/>
      <c r="KAS42" s="5"/>
      <c r="KAT42" s="5"/>
      <c r="KAU42" s="5"/>
      <c r="KAV42" s="5"/>
      <c r="KAW42" s="5"/>
      <c r="KAX42" s="5"/>
      <c r="KAY42" s="5"/>
      <c r="KAZ42" s="5"/>
      <c r="KBA42" s="5"/>
      <c r="KBB42" s="5"/>
      <c r="KBC42" s="5"/>
      <c r="KBD42" s="5"/>
      <c r="KBE42" s="5"/>
      <c r="KBF42" s="5"/>
      <c r="KBG42" s="5"/>
      <c r="KBH42" s="5"/>
      <c r="KBI42" s="5"/>
      <c r="KBJ42" s="5"/>
      <c r="KBK42" s="5"/>
      <c r="KBL42" s="5"/>
      <c r="KBM42" s="5"/>
      <c r="KBN42" s="5"/>
      <c r="KBO42" s="5"/>
      <c r="KBP42" s="5"/>
      <c r="KBQ42" s="5"/>
      <c r="KBR42" s="5"/>
      <c r="KBS42" s="5"/>
      <c r="KBT42" s="5"/>
      <c r="KBU42" s="5"/>
      <c r="KBV42" s="5"/>
      <c r="KBW42" s="5"/>
      <c r="KBX42" s="5"/>
      <c r="KBY42" s="5"/>
      <c r="KBZ42" s="5"/>
      <c r="KCA42" s="5"/>
      <c r="KCB42" s="5"/>
      <c r="KCC42" s="5"/>
      <c r="KCD42" s="5"/>
      <c r="KCE42" s="5"/>
      <c r="KCF42" s="5"/>
      <c r="KCG42" s="5"/>
      <c r="KCH42" s="5"/>
      <c r="KCI42" s="5"/>
      <c r="KCJ42" s="5"/>
      <c r="KCK42" s="5"/>
      <c r="KCL42" s="5"/>
      <c r="KCM42" s="5"/>
      <c r="KCN42" s="5"/>
      <c r="KCO42" s="5"/>
      <c r="KCP42" s="5"/>
      <c r="KCQ42" s="5"/>
      <c r="KCR42" s="5"/>
      <c r="KCS42" s="5"/>
      <c r="KCT42" s="5"/>
      <c r="KCU42" s="5"/>
      <c r="KCV42" s="5"/>
      <c r="KCW42" s="5"/>
      <c r="KCX42" s="5"/>
      <c r="KCY42" s="5"/>
      <c r="KCZ42" s="5"/>
      <c r="KDA42" s="5"/>
      <c r="KDB42" s="5"/>
      <c r="KDC42" s="5"/>
      <c r="KDD42" s="5"/>
      <c r="KDE42" s="5"/>
      <c r="KDF42" s="5"/>
      <c r="KDG42" s="5"/>
      <c r="KDH42" s="5"/>
      <c r="KDI42" s="5"/>
      <c r="KDJ42" s="5"/>
      <c r="KDK42" s="5"/>
      <c r="KDL42" s="5"/>
      <c r="KDM42" s="5"/>
      <c r="KDN42" s="5"/>
      <c r="KDO42" s="5"/>
      <c r="KDP42" s="5"/>
      <c r="KDQ42" s="5"/>
      <c r="KDR42" s="5"/>
      <c r="KDS42" s="5"/>
      <c r="KDT42" s="5"/>
      <c r="KDU42" s="5"/>
      <c r="KDV42" s="5"/>
      <c r="KDW42" s="5"/>
      <c r="KDX42" s="5"/>
      <c r="KDY42" s="5"/>
      <c r="KDZ42" s="5"/>
      <c r="KEA42" s="5"/>
      <c r="KEB42" s="5"/>
      <c r="KEC42" s="5"/>
      <c r="KED42" s="5"/>
      <c r="KEE42" s="5"/>
      <c r="KEF42" s="5"/>
      <c r="KEG42" s="5"/>
      <c r="KEH42" s="5"/>
      <c r="KEI42" s="5"/>
      <c r="KEJ42" s="5"/>
      <c r="KEK42" s="5"/>
      <c r="KEL42" s="5"/>
      <c r="KEM42" s="5"/>
      <c r="KEN42" s="5"/>
      <c r="KEO42" s="5"/>
      <c r="KEP42" s="5"/>
      <c r="KEQ42" s="5"/>
      <c r="KER42" s="5"/>
      <c r="KES42" s="5"/>
      <c r="KET42" s="5"/>
      <c r="KEU42" s="5"/>
      <c r="KEV42" s="5"/>
      <c r="KEW42" s="5"/>
      <c r="KEX42" s="5"/>
      <c r="KEY42" s="5"/>
      <c r="KEZ42" s="5"/>
      <c r="KFA42" s="5"/>
      <c r="KFB42" s="5"/>
      <c r="KFC42" s="5"/>
      <c r="KFD42" s="5"/>
      <c r="KFE42" s="5"/>
      <c r="KFF42" s="5"/>
      <c r="KFG42" s="5"/>
      <c r="KFH42" s="5"/>
      <c r="KFI42" s="5"/>
      <c r="KFJ42" s="5"/>
      <c r="KFK42" s="5"/>
      <c r="KFL42" s="5"/>
      <c r="KFM42" s="5"/>
      <c r="KFN42" s="5"/>
      <c r="KFO42" s="5"/>
      <c r="KFP42" s="5"/>
      <c r="KFQ42" s="5"/>
      <c r="KFR42" s="5"/>
      <c r="KFS42" s="5"/>
      <c r="KFT42" s="5"/>
      <c r="KFU42" s="5"/>
      <c r="KFV42" s="5"/>
      <c r="KFW42" s="5"/>
      <c r="KFX42" s="5"/>
      <c r="KFY42" s="5"/>
      <c r="KFZ42" s="5"/>
      <c r="KGA42" s="5"/>
      <c r="KGB42" s="5"/>
      <c r="KGC42" s="5"/>
      <c r="KGD42" s="5"/>
      <c r="KGE42" s="5"/>
      <c r="KGF42" s="5"/>
      <c r="KGG42" s="5"/>
      <c r="KGH42" s="5"/>
      <c r="KGI42" s="5"/>
      <c r="KGJ42" s="5"/>
      <c r="KGK42" s="5"/>
      <c r="KGL42" s="5"/>
      <c r="KGM42" s="5"/>
      <c r="KGN42" s="5"/>
      <c r="KGO42" s="5"/>
      <c r="KGP42" s="5"/>
      <c r="KGQ42" s="5"/>
      <c r="KGR42" s="5"/>
      <c r="KGS42" s="5"/>
      <c r="KGT42" s="5"/>
      <c r="KGU42" s="5"/>
      <c r="KGV42" s="5"/>
      <c r="KGW42" s="5"/>
      <c r="KGX42" s="5"/>
      <c r="KGY42" s="5"/>
      <c r="KGZ42" s="5"/>
      <c r="KHA42" s="5"/>
      <c r="KHB42" s="5"/>
      <c r="KHC42" s="5"/>
      <c r="KHD42" s="5"/>
      <c r="KHE42" s="5"/>
      <c r="KHF42" s="5"/>
      <c r="KHG42" s="5"/>
      <c r="KHH42" s="5"/>
      <c r="KHI42" s="5"/>
      <c r="KHJ42" s="5"/>
      <c r="KHK42" s="5"/>
      <c r="KHL42" s="5"/>
      <c r="KHM42" s="5"/>
      <c r="KHN42" s="5"/>
      <c r="KHO42" s="5"/>
      <c r="KHP42" s="5"/>
      <c r="KHQ42" s="5"/>
      <c r="KHR42" s="5"/>
      <c r="KHS42" s="5"/>
      <c r="KHT42" s="5"/>
      <c r="KHU42" s="5"/>
      <c r="KHV42" s="5"/>
      <c r="KHW42" s="5"/>
      <c r="KHX42" s="5"/>
      <c r="KHY42" s="5"/>
      <c r="KHZ42" s="5"/>
      <c r="KIA42" s="5"/>
      <c r="KIB42" s="5"/>
      <c r="KIC42" s="5"/>
      <c r="KID42" s="5"/>
      <c r="KIE42" s="5"/>
      <c r="KIF42" s="5"/>
      <c r="KIG42" s="5"/>
      <c r="KIH42" s="5"/>
      <c r="KII42" s="5"/>
      <c r="KIJ42" s="5"/>
      <c r="KIK42" s="5"/>
      <c r="KIL42" s="5"/>
      <c r="KIM42" s="5"/>
      <c r="KIN42" s="5"/>
      <c r="KIO42" s="5"/>
      <c r="KIP42" s="5"/>
      <c r="KIQ42" s="5"/>
      <c r="KIR42" s="5"/>
      <c r="KIS42" s="5"/>
      <c r="KIT42" s="5"/>
      <c r="KIU42" s="5"/>
      <c r="KIV42" s="5"/>
      <c r="KIW42" s="5"/>
      <c r="KIX42" s="5"/>
      <c r="KIY42" s="5"/>
      <c r="KIZ42" s="5"/>
      <c r="KJA42" s="5"/>
      <c r="KJB42" s="5"/>
      <c r="KJC42" s="5"/>
      <c r="KJD42" s="5"/>
      <c r="KJE42" s="5"/>
      <c r="KJF42" s="5"/>
      <c r="KJG42" s="5"/>
      <c r="KJH42" s="5"/>
      <c r="KJI42" s="5"/>
      <c r="KJJ42" s="5"/>
      <c r="KJK42" s="5"/>
      <c r="KJL42" s="5"/>
      <c r="KJM42" s="5"/>
      <c r="KJN42" s="5"/>
      <c r="KJO42" s="5"/>
      <c r="KJP42" s="5"/>
      <c r="KJQ42" s="5"/>
      <c r="KJR42" s="5"/>
      <c r="KJS42" s="5"/>
      <c r="KJT42" s="5"/>
      <c r="KJU42" s="5"/>
      <c r="KJV42" s="5"/>
      <c r="KJW42" s="5"/>
      <c r="KJX42" s="5"/>
      <c r="KJY42" s="5"/>
      <c r="KJZ42" s="5"/>
      <c r="KKA42" s="5"/>
      <c r="KKB42" s="5"/>
      <c r="KKC42" s="5"/>
      <c r="KKD42" s="5"/>
      <c r="KKE42" s="5"/>
      <c r="KKF42" s="5"/>
      <c r="KKG42" s="5"/>
      <c r="KKH42" s="5"/>
      <c r="KKI42" s="5"/>
      <c r="KKJ42" s="5"/>
      <c r="KKK42" s="5"/>
      <c r="KKL42" s="5"/>
      <c r="KKM42" s="5"/>
      <c r="KKN42" s="5"/>
      <c r="KKO42" s="5"/>
      <c r="KKP42" s="5"/>
      <c r="KKQ42" s="5"/>
      <c r="KKR42" s="5"/>
      <c r="KKS42" s="5"/>
      <c r="KKT42" s="5"/>
      <c r="KKU42" s="5"/>
      <c r="KKV42" s="5"/>
      <c r="KKW42" s="5"/>
      <c r="KKX42" s="5"/>
      <c r="KKY42" s="5"/>
      <c r="KKZ42" s="5"/>
      <c r="KLA42" s="5"/>
      <c r="KLB42" s="5"/>
      <c r="KLC42" s="5"/>
      <c r="KLD42" s="5"/>
      <c r="KLE42" s="5"/>
      <c r="KLF42" s="5"/>
      <c r="KLG42" s="5"/>
      <c r="KLH42" s="5"/>
      <c r="KLI42" s="5"/>
      <c r="KLJ42" s="5"/>
      <c r="KLK42" s="5"/>
      <c r="KLL42" s="5"/>
      <c r="KLM42" s="5"/>
      <c r="KLN42" s="5"/>
      <c r="KLO42" s="5"/>
      <c r="KLP42" s="5"/>
      <c r="KLQ42" s="5"/>
      <c r="KLR42" s="5"/>
      <c r="KLS42" s="5"/>
      <c r="KLT42" s="5"/>
      <c r="KLU42" s="5"/>
      <c r="KLV42" s="5"/>
      <c r="KLW42" s="5"/>
      <c r="KLX42" s="5"/>
      <c r="KLY42" s="5"/>
      <c r="KLZ42" s="5"/>
      <c r="KMA42" s="5"/>
      <c r="KMB42" s="5"/>
      <c r="KMC42" s="5"/>
      <c r="KMD42" s="5"/>
      <c r="KME42" s="5"/>
      <c r="KMF42" s="5"/>
      <c r="KMG42" s="5"/>
      <c r="KMH42" s="5"/>
      <c r="KMI42" s="5"/>
      <c r="KMJ42" s="5"/>
      <c r="KMK42" s="5"/>
      <c r="KML42" s="5"/>
      <c r="KMM42" s="5"/>
      <c r="KMN42" s="5"/>
      <c r="KMO42" s="5"/>
      <c r="KMP42" s="5"/>
      <c r="KMQ42" s="5"/>
      <c r="KMR42" s="5"/>
      <c r="KMS42" s="5"/>
      <c r="KMT42" s="5"/>
      <c r="KMU42" s="5"/>
      <c r="KMV42" s="5"/>
      <c r="KMW42" s="5"/>
      <c r="KMX42" s="5"/>
      <c r="KMY42" s="5"/>
      <c r="KMZ42" s="5"/>
      <c r="KNA42" s="5"/>
      <c r="KNB42" s="5"/>
      <c r="KNC42" s="5"/>
      <c r="KND42" s="5"/>
      <c r="KNE42" s="5"/>
      <c r="KNF42" s="5"/>
      <c r="KNG42" s="5"/>
      <c r="KNH42" s="5"/>
      <c r="KNI42" s="5"/>
      <c r="KNJ42" s="5"/>
      <c r="KNK42" s="5"/>
      <c r="KNL42" s="5"/>
      <c r="KNM42" s="5"/>
      <c r="KNN42" s="5"/>
      <c r="KNO42" s="5"/>
      <c r="KNP42" s="5"/>
      <c r="KNQ42" s="5"/>
      <c r="KNR42" s="5"/>
      <c r="KNS42" s="5"/>
      <c r="KNT42" s="5"/>
      <c r="KNU42" s="5"/>
      <c r="KNV42" s="5"/>
      <c r="KNW42" s="5"/>
      <c r="KNX42" s="5"/>
      <c r="KNY42" s="5"/>
      <c r="KNZ42" s="5"/>
      <c r="KOA42" s="5"/>
      <c r="KOB42" s="5"/>
      <c r="KOC42" s="5"/>
      <c r="KOD42" s="5"/>
      <c r="KOE42" s="5"/>
      <c r="KOF42" s="5"/>
      <c r="KOG42" s="5"/>
      <c r="KOH42" s="5"/>
      <c r="KOI42" s="5"/>
      <c r="KOJ42" s="5"/>
      <c r="KOK42" s="5"/>
      <c r="KOL42" s="5"/>
      <c r="KOM42" s="5"/>
      <c r="KON42" s="5"/>
      <c r="KOO42" s="5"/>
      <c r="KOP42" s="5"/>
      <c r="KOQ42" s="5"/>
      <c r="KOR42" s="5"/>
      <c r="KOS42" s="5"/>
      <c r="KOT42" s="5"/>
      <c r="KOU42" s="5"/>
      <c r="KOV42" s="5"/>
      <c r="KOW42" s="5"/>
      <c r="KOX42" s="5"/>
      <c r="KOY42" s="5"/>
      <c r="KOZ42" s="5"/>
      <c r="KPA42" s="5"/>
      <c r="KPB42" s="5"/>
      <c r="KPC42" s="5"/>
      <c r="KPD42" s="5"/>
      <c r="KPE42" s="5"/>
      <c r="KPF42" s="5"/>
      <c r="KPG42" s="5"/>
      <c r="KPH42" s="5"/>
      <c r="KPI42" s="5"/>
      <c r="KPJ42" s="5"/>
      <c r="KPK42" s="5"/>
      <c r="KPL42" s="5"/>
      <c r="KPM42" s="5"/>
      <c r="KPN42" s="5"/>
      <c r="KPO42" s="5"/>
      <c r="KPP42" s="5"/>
      <c r="KPQ42" s="5"/>
      <c r="KPR42" s="5"/>
      <c r="KPS42" s="5"/>
      <c r="KPT42" s="5"/>
      <c r="KPU42" s="5"/>
      <c r="KPV42" s="5"/>
      <c r="KPW42" s="5"/>
      <c r="KPX42" s="5"/>
      <c r="KPY42" s="5"/>
      <c r="KPZ42" s="5"/>
      <c r="KQA42" s="5"/>
      <c r="KQB42" s="5"/>
      <c r="KQC42" s="5"/>
      <c r="KQD42" s="5"/>
      <c r="KQE42" s="5"/>
      <c r="KQF42" s="5"/>
      <c r="KQG42" s="5"/>
      <c r="KQH42" s="5"/>
      <c r="KQI42" s="5"/>
      <c r="KQJ42" s="5"/>
      <c r="KQK42" s="5"/>
      <c r="KQL42" s="5"/>
      <c r="KQM42" s="5"/>
      <c r="KQN42" s="5"/>
      <c r="KQO42" s="5"/>
      <c r="KQP42" s="5"/>
      <c r="KQQ42" s="5"/>
      <c r="KQR42" s="5"/>
      <c r="KQS42" s="5"/>
      <c r="KQT42" s="5"/>
      <c r="KQU42" s="5"/>
      <c r="KQV42" s="5"/>
      <c r="KQW42" s="5"/>
      <c r="KQX42" s="5"/>
      <c r="KQY42" s="5"/>
      <c r="KQZ42" s="5"/>
      <c r="KRA42" s="5"/>
      <c r="KRB42" s="5"/>
      <c r="KRC42" s="5"/>
      <c r="KRD42" s="5"/>
      <c r="KRE42" s="5"/>
      <c r="KRF42" s="5"/>
      <c r="KRG42" s="5"/>
      <c r="KRH42" s="5"/>
      <c r="KRI42" s="5"/>
      <c r="KRJ42" s="5"/>
      <c r="KRK42" s="5"/>
      <c r="KRL42" s="5"/>
      <c r="KRM42" s="5"/>
      <c r="KRN42" s="5"/>
      <c r="KRO42" s="5"/>
      <c r="KRP42" s="5"/>
      <c r="KRQ42" s="5"/>
      <c r="KRR42" s="5"/>
      <c r="KRS42" s="5"/>
      <c r="KRT42" s="5"/>
      <c r="KRU42" s="5"/>
      <c r="KRV42" s="5"/>
      <c r="KRW42" s="5"/>
      <c r="KRX42" s="5"/>
      <c r="KRY42" s="5"/>
      <c r="KRZ42" s="5"/>
      <c r="KSA42" s="5"/>
      <c r="KSB42" s="5"/>
      <c r="KSC42" s="5"/>
      <c r="KSD42" s="5"/>
      <c r="KSE42" s="5"/>
      <c r="KSF42" s="5"/>
      <c r="KSG42" s="5"/>
      <c r="KSH42" s="5"/>
      <c r="KSI42" s="5"/>
      <c r="KSJ42" s="5"/>
      <c r="KSK42" s="5"/>
      <c r="KSL42" s="5"/>
      <c r="KSM42" s="5"/>
      <c r="KSN42" s="5"/>
      <c r="KSO42" s="5"/>
      <c r="KSP42" s="5"/>
      <c r="KSQ42" s="5"/>
      <c r="KSR42" s="5"/>
      <c r="KSS42" s="5"/>
      <c r="KST42" s="5"/>
      <c r="KSU42" s="5"/>
      <c r="KSV42" s="5"/>
      <c r="KSW42" s="5"/>
      <c r="KSX42" s="5"/>
      <c r="KSY42" s="5"/>
      <c r="KSZ42" s="5"/>
      <c r="KTA42" s="5"/>
      <c r="KTB42" s="5"/>
      <c r="KTC42" s="5"/>
      <c r="KTD42" s="5"/>
      <c r="KTE42" s="5"/>
      <c r="KTF42" s="5"/>
      <c r="KTG42" s="5"/>
      <c r="KTH42" s="5"/>
      <c r="KTI42" s="5"/>
      <c r="KTJ42" s="5"/>
      <c r="KTK42" s="5"/>
      <c r="KTL42" s="5"/>
      <c r="KTM42" s="5"/>
      <c r="KTN42" s="5"/>
      <c r="KTO42" s="5"/>
      <c r="KTP42" s="5"/>
      <c r="KTQ42" s="5"/>
      <c r="KTR42" s="5"/>
      <c r="KTS42" s="5"/>
      <c r="KTT42" s="5"/>
      <c r="KTU42" s="5"/>
      <c r="KTV42" s="5"/>
      <c r="KTW42" s="5"/>
      <c r="KTX42" s="5"/>
      <c r="KTY42" s="5"/>
      <c r="KTZ42" s="5"/>
      <c r="KUA42" s="5"/>
      <c r="KUB42" s="5"/>
      <c r="KUC42" s="5"/>
      <c r="KUD42" s="5"/>
      <c r="KUE42" s="5"/>
      <c r="KUF42" s="5"/>
      <c r="KUG42" s="5"/>
      <c r="KUH42" s="5"/>
      <c r="KUI42" s="5"/>
      <c r="KUJ42" s="5"/>
      <c r="KUK42" s="5"/>
      <c r="KUL42" s="5"/>
      <c r="KUM42" s="5"/>
      <c r="KUN42" s="5"/>
      <c r="KUO42" s="5"/>
      <c r="KUP42" s="5"/>
      <c r="KUQ42" s="5"/>
      <c r="KUR42" s="5"/>
      <c r="KUS42" s="5"/>
      <c r="KUT42" s="5"/>
      <c r="KUU42" s="5"/>
      <c r="KUV42" s="5"/>
      <c r="KUW42" s="5"/>
      <c r="KUX42" s="5"/>
      <c r="KUY42" s="5"/>
      <c r="KUZ42" s="5"/>
      <c r="KVA42" s="5"/>
      <c r="KVB42" s="5"/>
      <c r="KVC42" s="5"/>
      <c r="KVD42" s="5"/>
      <c r="KVE42" s="5"/>
      <c r="KVF42" s="5"/>
      <c r="KVG42" s="5"/>
      <c r="KVH42" s="5"/>
      <c r="KVI42" s="5"/>
      <c r="KVJ42" s="5"/>
      <c r="KVK42" s="5"/>
      <c r="KVL42" s="5"/>
      <c r="KVM42" s="5"/>
      <c r="KVN42" s="5"/>
      <c r="KVO42" s="5"/>
      <c r="KVP42" s="5"/>
      <c r="KVQ42" s="5"/>
      <c r="KVR42" s="5"/>
      <c r="KVS42" s="5"/>
      <c r="KVT42" s="5"/>
      <c r="KVU42" s="5"/>
      <c r="KVV42" s="5"/>
      <c r="KVW42" s="5"/>
      <c r="KVX42" s="5"/>
      <c r="KVY42" s="5"/>
      <c r="KVZ42" s="5"/>
      <c r="KWA42" s="5"/>
      <c r="KWB42" s="5"/>
      <c r="KWC42" s="5"/>
      <c r="KWD42" s="5"/>
      <c r="KWE42" s="5"/>
      <c r="KWF42" s="5"/>
      <c r="KWG42" s="5"/>
      <c r="KWH42" s="5"/>
      <c r="KWI42" s="5"/>
      <c r="KWJ42" s="5"/>
      <c r="KWK42" s="5"/>
      <c r="KWL42" s="5"/>
      <c r="KWM42" s="5"/>
      <c r="KWN42" s="5"/>
      <c r="KWO42" s="5"/>
      <c r="KWP42" s="5"/>
      <c r="KWQ42" s="5"/>
      <c r="KWR42" s="5"/>
      <c r="KWS42" s="5"/>
      <c r="KWT42" s="5"/>
      <c r="KWU42" s="5"/>
      <c r="KWV42" s="5"/>
      <c r="KWW42" s="5"/>
      <c r="KWX42" s="5"/>
      <c r="KWY42" s="5"/>
      <c r="KWZ42" s="5"/>
      <c r="KXA42" s="5"/>
      <c r="KXB42" s="5"/>
      <c r="KXC42" s="5"/>
      <c r="KXD42" s="5"/>
      <c r="KXE42" s="5"/>
      <c r="KXF42" s="5"/>
      <c r="KXG42" s="5"/>
      <c r="KXH42" s="5"/>
      <c r="KXI42" s="5"/>
      <c r="KXJ42" s="5"/>
      <c r="KXK42" s="5"/>
      <c r="KXL42" s="5"/>
      <c r="KXM42" s="5"/>
      <c r="KXN42" s="5"/>
      <c r="KXO42" s="5"/>
      <c r="KXP42" s="5"/>
      <c r="KXQ42" s="5"/>
      <c r="KXR42" s="5"/>
      <c r="KXS42" s="5"/>
      <c r="KXT42" s="5"/>
      <c r="KXU42" s="5"/>
      <c r="KXV42" s="5"/>
      <c r="KXW42" s="5"/>
      <c r="KXX42" s="5"/>
      <c r="KXY42" s="5"/>
      <c r="KXZ42" s="5"/>
      <c r="KYA42" s="5"/>
      <c r="KYB42" s="5"/>
      <c r="KYC42" s="5"/>
      <c r="KYD42" s="5"/>
      <c r="KYE42" s="5"/>
      <c r="KYF42" s="5"/>
      <c r="KYG42" s="5"/>
      <c r="KYH42" s="5"/>
      <c r="KYI42" s="5"/>
      <c r="KYJ42" s="5"/>
      <c r="KYK42" s="5"/>
      <c r="KYL42" s="5"/>
      <c r="KYM42" s="5"/>
      <c r="KYN42" s="5"/>
      <c r="KYO42" s="5"/>
      <c r="KYP42" s="5"/>
      <c r="KYQ42" s="5"/>
      <c r="KYR42" s="5"/>
      <c r="KYS42" s="5"/>
      <c r="KYT42" s="5"/>
      <c r="KYU42" s="5"/>
      <c r="KYV42" s="5"/>
      <c r="KYW42" s="5"/>
      <c r="KYX42" s="5"/>
      <c r="KYY42" s="5"/>
      <c r="KYZ42" s="5"/>
      <c r="KZA42" s="5"/>
      <c r="KZB42" s="5"/>
      <c r="KZC42" s="5"/>
      <c r="KZD42" s="5"/>
      <c r="KZE42" s="5"/>
      <c r="KZF42" s="5"/>
      <c r="KZG42" s="5"/>
      <c r="KZH42" s="5"/>
      <c r="KZI42" s="5"/>
      <c r="KZJ42" s="5"/>
      <c r="KZK42" s="5"/>
      <c r="KZL42" s="5"/>
      <c r="KZM42" s="5"/>
      <c r="KZN42" s="5"/>
      <c r="KZO42" s="5"/>
      <c r="KZP42" s="5"/>
      <c r="KZQ42" s="5"/>
      <c r="KZR42" s="5"/>
      <c r="KZS42" s="5"/>
      <c r="KZT42" s="5"/>
      <c r="KZU42" s="5"/>
      <c r="KZV42" s="5"/>
      <c r="KZW42" s="5"/>
      <c r="KZX42" s="5"/>
      <c r="KZY42" s="5"/>
      <c r="KZZ42" s="5"/>
      <c r="LAA42" s="5"/>
      <c r="LAB42" s="5"/>
      <c r="LAC42" s="5"/>
      <c r="LAD42" s="5"/>
      <c r="LAE42" s="5"/>
      <c r="LAF42" s="5"/>
      <c r="LAG42" s="5"/>
      <c r="LAH42" s="5"/>
      <c r="LAI42" s="5"/>
      <c r="LAJ42" s="5"/>
      <c r="LAK42" s="5"/>
      <c r="LAL42" s="5"/>
      <c r="LAM42" s="5"/>
      <c r="LAN42" s="5"/>
      <c r="LAO42" s="5"/>
      <c r="LAP42" s="5"/>
      <c r="LAQ42" s="5"/>
      <c r="LAR42" s="5"/>
      <c r="LAS42" s="5"/>
      <c r="LAT42" s="5"/>
      <c r="LAU42" s="5"/>
      <c r="LAV42" s="5"/>
      <c r="LAW42" s="5"/>
      <c r="LAX42" s="5"/>
      <c r="LAY42" s="5"/>
      <c r="LAZ42" s="5"/>
      <c r="LBA42" s="5"/>
      <c r="LBB42" s="5"/>
      <c r="LBC42" s="5"/>
      <c r="LBD42" s="5"/>
      <c r="LBE42" s="5"/>
      <c r="LBF42" s="5"/>
      <c r="LBG42" s="5"/>
      <c r="LBH42" s="5"/>
      <c r="LBI42" s="5"/>
      <c r="LBJ42" s="5"/>
      <c r="LBK42" s="5"/>
      <c r="LBL42" s="5"/>
      <c r="LBM42" s="5"/>
      <c r="LBN42" s="5"/>
      <c r="LBO42" s="5"/>
      <c r="LBP42" s="5"/>
      <c r="LBQ42" s="5"/>
      <c r="LBR42" s="5"/>
      <c r="LBS42" s="5"/>
      <c r="LBT42" s="5"/>
      <c r="LBU42" s="5"/>
      <c r="LBV42" s="5"/>
      <c r="LBW42" s="5"/>
      <c r="LBX42" s="5"/>
      <c r="LBY42" s="5"/>
      <c r="LBZ42" s="5"/>
      <c r="LCA42" s="5"/>
      <c r="LCB42" s="5"/>
      <c r="LCC42" s="5"/>
      <c r="LCD42" s="5"/>
      <c r="LCE42" s="5"/>
      <c r="LCF42" s="5"/>
      <c r="LCG42" s="5"/>
      <c r="LCH42" s="5"/>
      <c r="LCI42" s="5"/>
      <c r="LCJ42" s="5"/>
      <c r="LCK42" s="5"/>
      <c r="LCL42" s="5"/>
      <c r="LCM42" s="5"/>
      <c r="LCN42" s="5"/>
      <c r="LCO42" s="5"/>
      <c r="LCP42" s="5"/>
      <c r="LCQ42" s="5"/>
      <c r="LCR42" s="5"/>
      <c r="LCS42" s="5"/>
      <c r="LCT42" s="5"/>
      <c r="LCU42" s="5"/>
      <c r="LCV42" s="5"/>
      <c r="LCW42" s="5"/>
      <c r="LCX42" s="5"/>
      <c r="LCY42" s="5"/>
      <c r="LCZ42" s="5"/>
      <c r="LDA42" s="5"/>
      <c r="LDB42" s="5"/>
      <c r="LDC42" s="5"/>
      <c r="LDD42" s="5"/>
      <c r="LDE42" s="5"/>
      <c r="LDF42" s="5"/>
      <c r="LDG42" s="5"/>
      <c r="LDH42" s="5"/>
      <c r="LDI42" s="5"/>
      <c r="LDJ42" s="5"/>
      <c r="LDK42" s="5"/>
      <c r="LDL42" s="5"/>
      <c r="LDM42" s="5"/>
      <c r="LDN42" s="5"/>
      <c r="LDO42" s="5"/>
      <c r="LDP42" s="5"/>
      <c r="LDQ42" s="5"/>
      <c r="LDR42" s="5"/>
      <c r="LDS42" s="5"/>
      <c r="LDT42" s="5"/>
      <c r="LDU42" s="5"/>
      <c r="LDV42" s="5"/>
      <c r="LDW42" s="5"/>
      <c r="LDX42" s="5"/>
      <c r="LDY42" s="5"/>
      <c r="LDZ42" s="5"/>
      <c r="LEA42" s="5"/>
      <c r="LEB42" s="5"/>
      <c r="LEC42" s="5"/>
      <c r="LED42" s="5"/>
      <c r="LEE42" s="5"/>
      <c r="LEF42" s="5"/>
      <c r="LEG42" s="5"/>
      <c r="LEH42" s="5"/>
      <c r="LEI42" s="5"/>
      <c r="LEJ42" s="5"/>
      <c r="LEK42" s="5"/>
      <c r="LEL42" s="5"/>
      <c r="LEM42" s="5"/>
      <c r="LEN42" s="5"/>
      <c r="LEO42" s="5"/>
      <c r="LEP42" s="5"/>
      <c r="LEQ42" s="5"/>
      <c r="LER42" s="5"/>
      <c r="LES42" s="5"/>
      <c r="LET42" s="5"/>
      <c r="LEU42" s="5"/>
      <c r="LEV42" s="5"/>
      <c r="LEW42" s="5"/>
      <c r="LEX42" s="5"/>
      <c r="LEY42" s="5"/>
      <c r="LEZ42" s="5"/>
      <c r="LFA42" s="5"/>
      <c r="LFB42" s="5"/>
      <c r="LFC42" s="5"/>
      <c r="LFD42" s="5"/>
      <c r="LFE42" s="5"/>
      <c r="LFF42" s="5"/>
      <c r="LFG42" s="5"/>
      <c r="LFH42" s="5"/>
      <c r="LFI42" s="5"/>
      <c r="LFJ42" s="5"/>
      <c r="LFK42" s="5"/>
      <c r="LFL42" s="5"/>
      <c r="LFM42" s="5"/>
      <c r="LFN42" s="5"/>
      <c r="LFO42" s="5"/>
      <c r="LFP42" s="5"/>
      <c r="LFQ42" s="5"/>
      <c r="LFR42" s="5"/>
      <c r="LFS42" s="5"/>
      <c r="LFT42" s="5"/>
      <c r="LFU42" s="5"/>
      <c r="LFV42" s="5"/>
      <c r="LFW42" s="5"/>
      <c r="LFX42" s="5"/>
      <c r="LFY42" s="5"/>
      <c r="LFZ42" s="5"/>
      <c r="LGA42" s="5"/>
      <c r="LGB42" s="5"/>
      <c r="LGC42" s="5"/>
      <c r="LGD42" s="5"/>
      <c r="LGE42" s="5"/>
      <c r="LGF42" s="5"/>
      <c r="LGG42" s="5"/>
      <c r="LGH42" s="5"/>
      <c r="LGI42" s="5"/>
      <c r="LGJ42" s="5"/>
      <c r="LGK42" s="5"/>
      <c r="LGL42" s="5"/>
      <c r="LGM42" s="5"/>
      <c r="LGN42" s="5"/>
      <c r="LGO42" s="5"/>
      <c r="LGP42" s="5"/>
      <c r="LGQ42" s="5"/>
      <c r="LGR42" s="5"/>
      <c r="LGS42" s="5"/>
      <c r="LGT42" s="5"/>
      <c r="LGU42" s="5"/>
      <c r="LGV42" s="5"/>
      <c r="LGW42" s="5"/>
      <c r="LGX42" s="5"/>
      <c r="LGY42" s="5"/>
      <c r="LGZ42" s="5"/>
      <c r="LHA42" s="5"/>
      <c r="LHB42" s="5"/>
      <c r="LHC42" s="5"/>
      <c r="LHD42" s="5"/>
      <c r="LHE42" s="5"/>
      <c r="LHF42" s="5"/>
      <c r="LHG42" s="5"/>
      <c r="LHH42" s="5"/>
      <c r="LHI42" s="5"/>
      <c r="LHJ42" s="5"/>
      <c r="LHK42" s="5"/>
      <c r="LHL42" s="5"/>
      <c r="LHM42" s="5"/>
      <c r="LHN42" s="5"/>
      <c r="LHO42" s="5"/>
      <c r="LHP42" s="5"/>
      <c r="LHQ42" s="5"/>
      <c r="LHR42" s="5"/>
      <c r="LHS42" s="5"/>
      <c r="LHT42" s="5"/>
      <c r="LHU42" s="5"/>
      <c r="LHV42" s="5"/>
      <c r="LHW42" s="5"/>
      <c r="LHX42" s="5"/>
      <c r="LHY42" s="5"/>
      <c r="LHZ42" s="5"/>
      <c r="LIA42" s="5"/>
      <c r="LIB42" s="5"/>
      <c r="LIC42" s="5"/>
      <c r="LID42" s="5"/>
      <c r="LIE42" s="5"/>
      <c r="LIF42" s="5"/>
      <c r="LIG42" s="5"/>
      <c r="LIH42" s="5"/>
      <c r="LII42" s="5"/>
      <c r="LIJ42" s="5"/>
      <c r="LIK42" s="5"/>
      <c r="LIL42" s="5"/>
      <c r="LIM42" s="5"/>
      <c r="LIN42" s="5"/>
      <c r="LIO42" s="5"/>
      <c r="LIP42" s="5"/>
      <c r="LIQ42" s="5"/>
      <c r="LIR42" s="5"/>
      <c r="LIS42" s="5"/>
      <c r="LIT42" s="5"/>
      <c r="LIU42" s="5"/>
      <c r="LIV42" s="5"/>
      <c r="LIW42" s="5"/>
      <c r="LIX42" s="5"/>
      <c r="LIY42" s="5"/>
      <c r="LIZ42" s="5"/>
      <c r="LJA42" s="5"/>
      <c r="LJB42" s="5"/>
      <c r="LJC42" s="5"/>
      <c r="LJD42" s="5"/>
      <c r="LJE42" s="5"/>
      <c r="LJF42" s="5"/>
      <c r="LJG42" s="5"/>
      <c r="LJH42" s="5"/>
      <c r="LJI42" s="5"/>
      <c r="LJJ42" s="5"/>
      <c r="LJK42" s="5"/>
      <c r="LJL42" s="5"/>
      <c r="LJM42" s="5"/>
      <c r="LJN42" s="5"/>
      <c r="LJO42" s="5"/>
      <c r="LJP42" s="5"/>
      <c r="LJQ42" s="5"/>
      <c r="LJR42" s="5"/>
      <c r="LJS42" s="5"/>
      <c r="LJT42" s="5"/>
      <c r="LJU42" s="5"/>
      <c r="LJV42" s="5"/>
      <c r="LJW42" s="5"/>
      <c r="LJX42" s="5"/>
      <c r="LJY42" s="5"/>
      <c r="LJZ42" s="5"/>
      <c r="LKA42" s="5"/>
      <c r="LKB42" s="5"/>
      <c r="LKC42" s="5"/>
      <c r="LKD42" s="5"/>
      <c r="LKE42" s="5"/>
      <c r="LKF42" s="5"/>
      <c r="LKG42" s="5"/>
      <c r="LKH42" s="5"/>
      <c r="LKI42" s="5"/>
      <c r="LKJ42" s="5"/>
      <c r="LKK42" s="5"/>
      <c r="LKL42" s="5"/>
      <c r="LKM42" s="5"/>
      <c r="LKN42" s="5"/>
      <c r="LKO42" s="5"/>
      <c r="LKP42" s="5"/>
      <c r="LKQ42" s="5"/>
      <c r="LKR42" s="5"/>
      <c r="LKS42" s="5"/>
      <c r="LKT42" s="5"/>
      <c r="LKU42" s="5"/>
      <c r="LKV42" s="5"/>
      <c r="LKW42" s="5"/>
      <c r="LKX42" s="5"/>
      <c r="LKY42" s="5"/>
      <c r="LKZ42" s="5"/>
      <c r="LLA42" s="5"/>
      <c r="LLB42" s="5"/>
      <c r="LLC42" s="5"/>
      <c r="LLD42" s="5"/>
      <c r="LLE42" s="5"/>
      <c r="LLF42" s="5"/>
      <c r="LLG42" s="5"/>
      <c r="LLH42" s="5"/>
      <c r="LLI42" s="5"/>
      <c r="LLJ42" s="5"/>
      <c r="LLK42" s="5"/>
      <c r="LLL42" s="5"/>
      <c r="LLM42" s="5"/>
      <c r="LLN42" s="5"/>
      <c r="LLO42" s="5"/>
      <c r="LLP42" s="5"/>
      <c r="LLQ42" s="5"/>
      <c r="LLR42" s="5"/>
      <c r="LLS42" s="5"/>
      <c r="LLT42" s="5"/>
      <c r="LLU42" s="5"/>
      <c r="LLV42" s="5"/>
      <c r="LLW42" s="5"/>
      <c r="LLX42" s="5"/>
      <c r="LLY42" s="5"/>
      <c r="LLZ42" s="5"/>
      <c r="LMA42" s="5"/>
      <c r="LMB42" s="5"/>
      <c r="LMC42" s="5"/>
      <c r="LMD42" s="5"/>
      <c r="LME42" s="5"/>
      <c r="LMF42" s="5"/>
      <c r="LMG42" s="5"/>
      <c r="LMH42" s="5"/>
      <c r="LMI42" s="5"/>
      <c r="LMJ42" s="5"/>
      <c r="LMK42" s="5"/>
      <c r="LML42" s="5"/>
      <c r="LMM42" s="5"/>
      <c r="LMN42" s="5"/>
      <c r="LMO42" s="5"/>
      <c r="LMP42" s="5"/>
      <c r="LMQ42" s="5"/>
      <c r="LMR42" s="5"/>
      <c r="LMS42" s="5"/>
      <c r="LMT42" s="5"/>
      <c r="LMU42" s="5"/>
      <c r="LMV42" s="5"/>
      <c r="LMW42" s="5"/>
      <c r="LMX42" s="5"/>
      <c r="LMY42" s="5"/>
      <c r="LMZ42" s="5"/>
      <c r="LNA42" s="5"/>
      <c r="LNB42" s="5"/>
      <c r="LNC42" s="5"/>
      <c r="LND42" s="5"/>
      <c r="LNE42" s="5"/>
      <c r="LNF42" s="5"/>
      <c r="LNG42" s="5"/>
      <c r="LNH42" s="5"/>
      <c r="LNI42" s="5"/>
      <c r="LNJ42" s="5"/>
      <c r="LNK42" s="5"/>
      <c r="LNL42" s="5"/>
      <c r="LNM42" s="5"/>
      <c r="LNN42" s="5"/>
      <c r="LNO42" s="5"/>
      <c r="LNP42" s="5"/>
      <c r="LNQ42" s="5"/>
      <c r="LNR42" s="5"/>
      <c r="LNS42" s="5"/>
      <c r="LNT42" s="5"/>
      <c r="LNU42" s="5"/>
      <c r="LNV42" s="5"/>
      <c r="LNW42" s="5"/>
      <c r="LNX42" s="5"/>
      <c r="LNY42" s="5"/>
      <c r="LNZ42" s="5"/>
      <c r="LOA42" s="5"/>
      <c r="LOB42" s="5"/>
      <c r="LOC42" s="5"/>
      <c r="LOD42" s="5"/>
      <c r="LOE42" s="5"/>
      <c r="LOF42" s="5"/>
      <c r="LOG42" s="5"/>
      <c r="LOH42" s="5"/>
      <c r="LOI42" s="5"/>
      <c r="LOJ42" s="5"/>
      <c r="LOK42" s="5"/>
      <c r="LOL42" s="5"/>
      <c r="LOM42" s="5"/>
      <c r="LON42" s="5"/>
      <c r="LOO42" s="5"/>
      <c r="LOP42" s="5"/>
      <c r="LOQ42" s="5"/>
      <c r="LOR42" s="5"/>
      <c r="LOS42" s="5"/>
      <c r="LOT42" s="5"/>
      <c r="LOU42" s="5"/>
      <c r="LOV42" s="5"/>
      <c r="LOW42" s="5"/>
      <c r="LOX42" s="5"/>
      <c r="LOY42" s="5"/>
      <c r="LOZ42" s="5"/>
      <c r="LPA42" s="5"/>
      <c r="LPB42" s="5"/>
      <c r="LPC42" s="5"/>
      <c r="LPD42" s="5"/>
      <c r="LPE42" s="5"/>
      <c r="LPF42" s="5"/>
      <c r="LPG42" s="5"/>
      <c r="LPH42" s="5"/>
      <c r="LPI42" s="5"/>
      <c r="LPJ42" s="5"/>
      <c r="LPK42" s="5"/>
      <c r="LPL42" s="5"/>
      <c r="LPM42" s="5"/>
      <c r="LPN42" s="5"/>
      <c r="LPO42" s="5"/>
      <c r="LPP42" s="5"/>
      <c r="LPQ42" s="5"/>
      <c r="LPR42" s="5"/>
      <c r="LPS42" s="5"/>
      <c r="LPT42" s="5"/>
      <c r="LPU42" s="5"/>
      <c r="LPV42" s="5"/>
      <c r="LPW42" s="5"/>
      <c r="LPX42" s="5"/>
      <c r="LPY42" s="5"/>
      <c r="LPZ42" s="5"/>
      <c r="LQA42" s="5"/>
      <c r="LQB42" s="5"/>
      <c r="LQC42" s="5"/>
      <c r="LQD42" s="5"/>
      <c r="LQE42" s="5"/>
      <c r="LQF42" s="5"/>
      <c r="LQG42" s="5"/>
      <c r="LQH42" s="5"/>
      <c r="LQI42" s="5"/>
      <c r="LQJ42" s="5"/>
      <c r="LQK42" s="5"/>
      <c r="LQL42" s="5"/>
      <c r="LQM42" s="5"/>
      <c r="LQN42" s="5"/>
      <c r="LQO42" s="5"/>
      <c r="LQP42" s="5"/>
      <c r="LQQ42" s="5"/>
      <c r="LQR42" s="5"/>
      <c r="LQS42" s="5"/>
      <c r="LQT42" s="5"/>
      <c r="LQU42" s="5"/>
      <c r="LQV42" s="5"/>
      <c r="LQW42" s="5"/>
      <c r="LQX42" s="5"/>
      <c r="LQY42" s="5"/>
      <c r="LQZ42" s="5"/>
      <c r="LRA42" s="5"/>
      <c r="LRB42" s="5"/>
      <c r="LRC42" s="5"/>
      <c r="LRD42" s="5"/>
      <c r="LRE42" s="5"/>
      <c r="LRF42" s="5"/>
      <c r="LRG42" s="5"/>
      <c r="LRH42" s="5"/>
      <c r="LRI42" s="5"/>
      <c r="LRJ42" s="5"/>
      <c r="LRK42" s="5"/>
      <c r="LRL42" s="5"/>
      <c r="LRM42" s="5"/>
      <c r="LRN42" s="5"/>
      <c r="LRO42" s="5"/>
      <c r="LRP42" s="5"/>
      <c r="LRQ42" s="5"/>
      <c r="LRR42" s="5"/>
      <c r="LRS42" s="5"/>
      <c r="LRT42" s="5"/>
      <c r="LRU42" s="5"/>
      <c r="LRV42" s="5"/>
      <c r="LRW42" s="5"/>
      <c r="LRX42" s="5"/>
      <c r="LRY42" s="5"/>
      <c r="LRZ42" s="5"/>
      <c r="LSA42" s="5"/>
      <c r="LSB42" s="5"/>
      <c r="LSC42" s="5"/>
      <c r="LSD42" s="5"/>
      <c r="LSE42" s="5"/>
      <c r="LSF42" s="5"/>
      <c r="LSG42" s="5"/>
      <c r="LSH42" s="5"/>
      <c r="LSI42" s="5"/>
      <c r="LSJ42" s="5"/>
      <c r="LSK42" s="5"/>
      <c r="LSL42" s="5"/>
      <c r="LSM42" s="5"/>
      <c r="LSN42" s="5"/>
      <c r="LSO42" s="5"/>
      <c r="LSP42" s="5"/>
      <c r="LSQ42" s="5"/>
      <c r="LSR42" s="5"/>
      <c r="LSS42" s="5"/>
      <c r="LST42" s="5"/>
      <c r="LSU42" s="5"/>
      <c r="LSV42" s="5"/>
      <c r="LSW42" s="5"/>
      <c r="LSX42" s="5"/>
      <c r="LSY42" s="5"/>
      <c r="LSZ42" s="5"/>
      <c r="LTA42" s="5"/>
      <c r="LTB42" s="5"/>
      <c r="LTC42" s="5"/>
      <c r="LTD42" s="5"/>
      <c r="LTE42" s="5"/>
      <c r="LTF42" s="5"/>
      <c r="LTG42" s="5"/>
      <c r="LTH42" s="5"/>
      <c r="LTI42" s="5"/>
      <c r="LTJ42" s="5"/>
      <c r="LTK42" s="5"/>
      <c r="LTL42" s="5"/>
      <c r="LTM42" s="5"/>
      <c r="LTN42" s="5"/>
      <c r="LTO42" s="5"/>
      <c r="LTP42" s="5"/>
      <c r="LTQ42" s="5"/>
      <c r="LTR42" s="5"/>
      <c r="LTS42" s="5"/>
      <c r="LTT42" s="5"/>
      <c r="LTU42" s="5"/>
      <c r="LTV42" s="5"/>
      <c r="LTW42" s="5"/>
      <c r="LTX42" s="5"/>
      <c r="LTY42" s="5"/>
      <c r="LTZ42" s="5"/>
      <c r="LUA42" s="5"/>
      <c r="LUB42" s="5"/>
      <c r="LUC42" s="5"/>
      <c r="LUD42" s="5"/>
      <c r="LUE42" s="5"/>
      <c r="LUF42" s="5"/>
      <c r="LUG42" s="5"/>
      <c r="LUH42" s="5"/>
      <c r="LUI42" s="5"/>
      <c r="LUJ42" s="5"/>
      <c r="LUK42" s="5"/>
      <c r="LUL42" s="5"/>
      <c r="LUM42" s="5"/>
      <c r="LUN42" s="5"/>
      <c r="LUO42" s="5"/>
      <c r="LUP42" s="5"/>
      <c r="LUQ42" s="5"/>
      <c r="LUR42" s="5"/>
      <c r="LUS42" s="5"/>
      <c r="LUT42" s="5"/>
      <c r="LUU42" s="5"/>
      <c r="LUV42" s="5"/>
      <c r="LUW42" s="5"/>
      <c r="LUX42" s="5"/>
      <c r="LUY42" s="5"/>
      <c r="LUZ42" s="5"/>
      <c r="LVA42" s="5"/>
      <c r="LVB42" s="5"/>
      <c r="LVC42" s="5"/>
      <c r="LVD42" s="5"/>
      <c r="LVE42" s="5"/>
      <c r="LVF42" s="5"/>
      <c r="LVG42" s="5"/>
      <c r="LVH42" s="5"/>
      <c r="LVI42" s="5"/>
      <c r="LVJ42" s="5"/>
      <c r="LVK42" s="5"/>
      <c r="LVL42" s="5"/>
      <c r="LVM42" s="5"/>
      <c r="LVN42" s="5"/>
      <c r="LVO42" s="5"/>
      <c r="LVP42" s="5"/>
      <c r="LVQ42" s="5"/>
      <c r="LVR42" s="5"/>
      <c r="LVS42" s="5"/>
      <c r="LVT42" s="5"/>
      <c r="LVU42" s="5"/>
      <c r="LVV42" s="5"/>
      <c r="LVW42" s="5"/>
      <c r="LVX42" s="5"/>
      <c r="LVY42" s="5"/>
      <c r="LVZ42" s="5"/>
      <c r="LWA42" s="5"/>
      <c r="LWB42" s="5"/>
      <c r="LWC42" s="5"/>
      <c r="LWD42" s="5"/>
      <c r="LWE42" s="5"/>
      <c r="LWF42" s="5"/>
      <c r="LWG42" s="5"/>
      <c r="LWH42" s="5"/>
      <c r="LWI42" s="5"/>
      <c r="LWJ42" s="5"/>
      <c r="LWK42" s="5"/>
      <c r="LWL42" s="5"/>
      <c r="LWM42" s="5"/>
      <c r="LWN42" s="5"/>
      <c r="LWO42" s="5"/>
      <c r="LWP42" s="5"/>
      <c r="LWQ42" s="5"/>
      <c r="LWR42" s="5"/>
      <c r="LWS42" s="5"/>
      <c r="LWT42" s="5"/>
      <c r="LWU42" s="5"/>
      <c r="LWV42" s="5"/>
      <c r="LWW42" s="5"/>
      <c r="LWX42" s="5"/>
      <c r="LWY42" s="5"/>
      <c r="LWZ42" s="5"/>
      <c r="LXA42" s="5"/>
      <c r="LXB42" s="5"/>
      <c r="LXC42" s="5"/>
      <c r="LXD42" s="5"/>
      <c r="LXE42" s="5"/>
      <c r="LXF42" s="5"/>
      <c r="LXG42" s="5"/>
      <c r="LXH42" s="5"/>
      <c r="LXI42" s="5"/>
      <c r="LXJ42" s="5"/>
      <c r="LXK42" s="5"/>
      <c r="LXL42" s="5"/>
      <c r="LXM42" s="5"/>
      <c r="LXN42" s="5"/>
      <c r="LXO42" s="5"/>
      <c r="LXP42" s="5"/>
      <c r="LXQ42" s="5"/>
      <c r="LXR42" s="5"/>
      <c r="LXS42" s="5"/>
      <c r="LXT42" s="5"/>
      <c r="LXU42" s="5"/>
      <c r="LXV42" s="5"/>
      <c r="LXW42" s="5"/>
      <c r="LXX42" s="5"/>
      <c r="LXY42" s="5"/>
      <c r="LXZ42" s="5"/>
      <c r="LYA42" s="5"/>
      <c r="LYB42" s="5"/>
      <c r="LYC42" s="5"/>
      <c r="LYD42" s="5"/>
      <c r="LYE42" s="5"/>
      <c r="LYF42" s="5"/>
      <c r="LYG42" s="5"/>
      <c r="LYH42" s="5"/>
      <c r="LYI42" s="5"/>
      <c r="LYJ42" s="5"/>
      <c r="LYK42" s="5"/>
      <c r="LYL42" s="5"/>
      <c r="LYM42" s="5"/>
      <c r="LYN42" s="5"/>
      <c r="LYO42" s="5"/>
      <c r="LYP42" s="5"/>
      <c r="LYQ42" s="5"/>
      <c r="LYR42" s="5"/>
      <c r="LYS42" s="5"/>
      <c r="LYT42" s="5"/>
      <c r="LYU42" s="5"/>
      <c r="LYV42" s="5"/>
      <c r="LYW42" s="5"/>
      <c r="LYX42" s="5"/>
      <c r="LYY42" s="5"/>
      <c r="LYZ42" s="5"/>
      <c r="LZA42" s="5"/>
      <c r="LZB42" s="5"/>
      <c r="LZC42" s="5"/>
      <c r="LZD42" s="5"/>
      <c r="LZE42" s="5"/>
      <c r="LZF42" s="5"/>
      <c r="LZG42" s="5"/>
      <c r="LZH42" s="5"/>
      <c r="LZI42" s="5"/>
      <c r="LZJ42" s="5"/>
      <c r="LZK42" s="5"/>
      <c r="LZL42" s="5"/>
      <c r="LZM42" s="5"/>
      <c r="LZN42" s="5"/>
      <c r="LZO42" s="5"/>
      <c r="LZP42" s="5"/>
      <c r="LZQ42" s="5"/>
      <c r="LZR42" s="5"/>
      <c r="LZS42" s="5"/>
      <c r="LZT42" s="5"/>
      <c r="LZU42" s="5"/>
      <c r="LZV42" s="5"/>
      <c r="LZW42" s="5"/>
      <c r="LZX42" s="5"/>
      <c r="LZY42" s="5"/>
      <c r="LZZ42" s="5"/>
      <c r="MAA42" s="5"/>
      <c r="MAB42" s="5"/>
      <c r="MAC42" s="5"/>
      <c r="MAD42" s="5"/>
      <c r="MAE42" s="5"/>
      <c r="MAF42" s="5"/>
      <c r="MAG42" s="5"/>
      <c r="MAH42" s="5"/>
      <c r="MAI42" s="5"/>
      <c r="MAJ42" s="5"/>
      <c r="MAK42" s="5"/>
      <c r="MAL42" s="5"/>
      <c r="MAM42" s="5"/>
      <c r="MAN42" s="5"/>
      <c r="MAO42" s="5"/>
      <c r="MAP42" s="5"/>
      <c r="MAQ42" s="5"/>
      <c r="MAR42" s="5"/>
      <c r="MAS42" s="5"/>
      <c r="MAT42" s="5"/>
      <c r="MAU42" s="5"/>
      <c r="MAV42" s="5"/>
      <c r="MAW42" s="5"/>
      <c r="MAX42" s="5"/>
      <c r="MAY42" s="5"/>
      <c r="MAZ42" s="5"/>
      <c r="MBA42" s="5"/>
      <c r="MBB42" s="5"/>
      <c r="MBC42" s="5"/>
      <c r="MBD42" s="5"/>
      <c r="MBE42" s="5"/>
      <c r="MBF42" s="5"/>
      <c r="MBG42" s="5"/>
      <c r="MBH42" s="5"/>
      <c r="MBI42" s="5"/>
      <c r="MBJ42" s="5"/>
      <c r="MBK42" s="5"/>
      <c r="MBL42" s="5"/>
      <c r="MBM42" s="5"/>
      <c r="MBN42" s="5"/>
      <c r="MBO42" s="5"/>
      <c r="MBP42" s="5"/>
      <c r="MBQ42" s="5"/>
      <c r="MBR42" s="5"/>
      <c r="MBS42" s="5"/>
      <c r="MBT42" s="5"/>
      <c r="MBU42" s="5"/>
      <c r="MBV42" s="5"/>
      <c r="MBW42" s="5"/>
      <c r="MBX42" s="5"/>
      <c r="MBY42" s="5"/>
      <c r="MBZ42" s="5"/>
      <c r="MCA42" s="5"/>
      <c r="MCB42" s="5"/>
      <c r="MCC42" s="5"/>
      <c r="MCD42" s="5"/>
      <c r="MCE42" s="5"/>
      <c r="MCF42" s="5"/>
      <c r="MCG42" s="5"/>
      <c r="MCH42" s="5"/>
      <c r="MCI42" s="5"/>
      <c r="MCJ42" s="5"/>
      <c r="MCK42" s="5"/>
      <c r="MCL42" s="5"/>
      <c r="MCM42" s="5"/>
      <c r="MCN42" s="5"/>
      <c r="MCO42" s="5"/>
      <c r="MCP42" s="5"/>
      <c r="MCQ42" s="5"/>
      <c r="MCR42" s="5"/>
      <c r="MCS42" s="5"/>
      <c r="MCT42" s="5"/>
      <c r="MCU42" s="5"/>
      <c r="MCV42" s="5"/>
      <c r="MCW42" s="5"/>
      <c r="MCX42" s="5"/>
      <c r="MCY42" s="5"/>
      <c r="MCZ42" s="5"/>
      <c r="MDA42" s="5"/>
      <c r="MDB42" s="5"/>
      <c r="MDC42" s="5"/>
      <c r="MDD42" s="5"/>
      <c r="MDE42" s="5"/>
      <c r="MDF42" s="5"/>
      <c r="MDG42" s="5"/>
      <c r="MDH42" s="5"/>
      <c r="MDI42" s="5"/>
      <c r="MDJ42" s="5"/>
      <c r="MDK42" s="5"/>
      <c r="MDL42" s="5"/>
      <c r="MDM42" s="5"/>
      <c r="MDN42" s="5"/>
      <c r="MDO42" s="5"/>
      <c r="MDP42" s="5"/>
      <c r="MDQ42" s="5"/>
      <c r="MDR42" s="5"/>
      <c r="MDS42" s="5"/>
      <c r="MDT42" s="5"/>
      <c r="MDU42" s="5"/>
      <c r="MDV42" s="5"/>
      <c r="MDW42" s="5"/>
      <c r="MDX42" s="5"/>
      <c r="MDY42" s="5"/>
      <c r="MDZ42" s="5"/>
      <c r="MEA42" s="5"/>
      <c r="MEB42" s="5"/>
      <c r="MEC42" s="5"/>
      <c r="MED42" s="5"/>
      <c r="MEE42" s="5"/>
      <c r="MEF42" s="5"/>
      <c r="MEG42" s="5"/>
      <c r="MEH42" s="5"/>
      <c r="MEI42" s="5"/>
      <c r="MEJ42" s="5"/>
      <c r="MEK42" s="5"/>
      <c r="MEL42" s="5"/>
      <c r="MEM42" s="5"/>
      <c r="MEN42" s="5"/>
      <c r="MEO42" s="5"/>
      <c r="MEP42" s="5"/>
      <c r="MEQ42" s="5"/>
      <c r="MER42" s="5"/>
      <c r="MES42" s="5"/>
      <c r="MET42" s="5"/>
      <c r="MEU42" s="5"/>
      <c r="MEV42" s="5"/>
      <c r="MEW42" s="5"/>
      <c r="MEX42" s="5"/>
      <c r="MEY42" s="5"/>
      <c r="MEZ42" s="5"/>
      <c r="MFA42" s="5"/>
      <c r="MFB42" s="5"/>
      <c r="MFC42" s="5"/>
      <c r="MFD42" s="5"/>
      <c r="MFE42" s="5"/>
      <c r="MFF42" s="5"/>
      <c r="MFG42" s="5"/>
      <c r="MFH42" s="5"/>
      <c r="MFI42" s="5"/>
      <c r="MFJ42" s="5"/>
      <c r="MFK42" s="5"/>
      <c r="MFL42" s="5"/>
      <c r="MFM42" s="5"/>
      <c r="MFN42" s="5"/>
      <c r="MFO42" s="5"/>
      <c r="MFP42" s="5"/>
      <c r="MFQ42" s="5"/>
      <c r="MFR42" s="5"/>
      <c r="MFS42" s="5"/>
      <c r="MFT42" s="5"/>
      <c r="MFU42" s="5"/>
      <c r="MFV42" s="5"/>
      <c r="MFW42" s="5"/>
      <c r="MFX42" s="5"/>
      <c r="MFY42" s="5"/>
      <c r="MFZ42" s="5"/>
      <c r="MGA42" s="5"/>
      <c r="MGB42" s="5"/>
      <c r="MGC42" s="5"/>
      <c r="MGD42" s="5"/>
      <c r="MGE42" s="5"/>
      <c r="MGF42" s="5"/>
      <c r="MGG42" s="5"/>
      <c r="MGH42" s="5"/>
      <c r="MGI42" s="5"/>
      <c r="MGJ42" s="5"/>
      <c r="MGK42" s="5"/>
      <c r="MGL42" s="5"/>
      <c r="MGM42" s="5"/>
      <c r="MGN42" s="5"/>
      <c r="MGO42" s="5"/>
      <c r="MGP42" s="5"/>
      <c r="MGQ42" s="5"/>
      <c r="MGR42" s="5"/>
      <c r="MGS42" s="5"/>
      <c r="MGT42" s="5"/>
      <c r="MGU42" s="5"/>
      <c r="MGV42" s="5"/>
      <c r="MGW42" s="5"/>
      <c r="MGX42" s="5"/>
      <c r="MGY42" s="5"/>
      <c r="MGZ42" s="5"/>
      <c r="MHA42" s="5"/>
      <c r="MHB42" s="5"/>
      <c r="MHC42" s="5"/>
      <c r="MHD42" s="5"/>
      <c r="MHE42" s="5"/>
      <c r="MHF42" s="5"/>
      <c r="MHG42" s="5"/>
      <c r="MHH42" s="5"/>
      <c r="MHI42" s="5"/>
      <c r="MHJ42" s="5"/>
      <c r="MHK42" s="5"/>
      <c r="MHL42" s="5"/>
      <c r="MHM42" s="5"/>
      <c r="MHN42" s="5"/>
      <c r="MHO42" s="5"/>
      <c r="MHP42" s="5"/>
      <c r="MHQ42" s="5"/>
      <c r="MHR42" s="5"/>
      <c r="MHS42" s="5"/>
      <c r="MHT42" s="5"/>
      <c r="MHU42" s="5"/>
      <c r="MHV42" s="5"/>
      <c r="MHW42" s="5"/>
      <c r="MHX42" s="5"/>
      <c r="MHY42" s="5"/>
      <c r="MHZ42" s="5"/>
      <c r="MIA42" s="5"/>
      <c r="MIB42" s="5"/>
      <c r="MIC42" s="5"/>
      <c r="MID42" s="5"/>
      <c r="MIE42" s="5"/>
      <c r="MIF42" s="5"/>
      <c r="MIG42" s="5"/>
      <c r="MIH42" s="5"/>
      <c r="MII42" s="5"/>
      <c r="MIJ42" s="5"/>
      <c r="MIK42" s="5"/>
      <c r="MIL42" s="5"/>
      <c r="MIM42" s="5"/>
      <c r="MIN42" s="5"/>
      <c r="MIO42" s="5"/>
      <c r="MIP42" s="5"/>
      <c r="MIQ42" s="5"/>
      <c r="MIR42" s="5"/>
      <c r="MIS42" s="5"/>
      <c r="MIT42" s="5"/>
      <c r="MIU42" s="5"/>
      <c r="MIV42" s="5"/>
      <c r="MIW42" s="5"/>
      <c r="MIX42" s="5"/>
      <c r="MIY42" s="5"/>
      <c r="MIZ42" s="5"/>
      <c r="MJA42" s="5"/>
      <c r="MJB42" s="5"/>
      <c r="MJC42" s="5"/>
      <c r="MJD42" s="5"/>
      <c r="MJE42" s="5"/>
      <c r="MJF42" s="5"/>
      <c r="MJG42" s="5"/>
      <c r="MJH42" s="5"/>
      <c r="MJI42" s="5"/>
      <c r="MJJ42" s="5"/>
      <c r="MJK42" s="5"/>
      <c r="MJL42" s="5"/>
      <c r="MJM42" s="5"/>
      <c r="MJN42" s="5"/>
      <c r="MJO42" s="5"/>
      <c r="MJP42" s="5"/>
      <c r="MJQ42" s="5"/>
      <c r="MJR42" s="5"/>
      <c r="MJS42" s="5"/>
      <c r="MJT42" s="5"/>
      <c r="MJU42" s="5"/>
      <c r="MJV42" s="5"/>
      <c r="MJW42" s="5"/>
      <c r="MJX42" s="5"/>
      <c r="MJY42" s="5"/>
      <c r="MJZ42" s="5"/>
      <c r="MKA42" s="5"/>
      <c r="MKB42" s="5"/>
      <c r="MKC42" s="5"/>
      <c r="MKD42" s="5"/>
      <c r="MKE42" s="5"/>
      <c r="MKF42" s="5"/>
      <c r="MKG42" s="5"/>
      <c r="MKH42" s="5"/>
      <c r="MKI42" s="5"/>
      <c r="MKJ42" s="5"/>
      <c r="MKK42" s="5"/>
      <c r="MKL42" s="5"/>
      <c r="MKM42" s="5"/>
      <c r="MKN42" s="5"/>
      <c r="MKO42" s="5"/>
      <c r="MKP42" s="5"/>
      <c r="MKQ42" s="5"/>
      <c r="MKR42" s="5"/>
      <c r="MKS42" s="5"/>
      <c r="MKT42" s="5"/>
      <c r="MKU42" s="5"/>
      <c r="MKV42" s="5"/>
      <c r="MKW42" s="5"/>
      <c r="MKX42" s="5"/>
      <c r="MKY42" s="5"/>
      <c r="MKZ42" s="5"/>
      <c r="MLA42" s="5"/>
      <c r="MLB42" s="5"/>
      <c r="MLC42" s="5"/>
      <c r="MLD42" s="5"/>
      <c r="MLE42" s="5"/>
      <c r="MLF42" s="5"/>
      <c r="MLG42" s="5"/>
      <c r="MLH42" s="5"/>
      <c r="MLI42" s="5"/>
      <c r="MLJ42" s="5"/>
      <c r="MLK42" s="5"/>
      <c r="MLL42" s="5"/>
      <c r="MLM42" s="5"/>
      <c r="MLN42" s="5"/>
      <c r="MLO42" s="5"/>
      <c r="MLP42" s="5"/>
      <c r="MLQ42" s="5"/>
      <c r="MLR42" s="5"/>
      <c r="MLS42" s="5"/>
      <c r="MLT42" s="5"/>
      <c r="MLU42" s="5"/>
      <c r="MLV42" s="5"/>
      <c r="MLW42" s="5"/>
      <c r="MLX42" s="5"/>
      <c r="MLY42" s="5"/>
      <c r="MLZ42" s="5"/>
      <c r="MMA42" s="5"/>
      <c r="MMB42" s="5"/>
      <c r="MMC42" s="5"/>
      <c r="MMD42" s="5"/>
      <c r="MME42" s="5"/>
      <c r="MMF42" s="5"/>
      <c r="MMG42" s="5"/>
      <c r="MMH42" s="5"/>
      <c r="MMI42" s="5"/>
      <c r="MMJ42" s="5"/>
      <c r="MMK42" s="5"/>
      <c r="MML42" s="5"/>
      <c r="MMM42" s="5"/>
      <c r="MMN42" s="5"/>
      <c r="MMO42" s="5"/>
      <c r="MMP42" s="5"/>
      <c r="MMQ42" s="5"/>
      <c r="MMR42" s="5"/>
      <c r="MMS42" s="5"/>
      <c r="MMT42" s="5"/>
      <c r="MMU42" s="5"/>
      <c r="MMV42" s="5"/>
      <c r="MMW42" s="5"/>
      <c r="MMX42" s="5"/>
      <c r="MMY42" s="5"/>
      <c r="MMZ42" s="5"/>
      <c r="MNA42" s="5"/>
      <c r="MNB42" s="5"/>
      <c r="MNC42" s="5"/>
      <c r="MND42" s="5"/>
      <c r="MNE42" s="5"/>
      <c r="MNF42" s="5"/>
      <c r="MNG42" s="5"/>
      <c r="MNH42" s="5"/>
      <c r="MNI42" s="5"/>
      <c r="MNJ42" s="5"/>
      <c r="MNK42" s="5"/>
      <c r="MNL42" s="5"/>
      <c r="MNM42" s="5"/>
      <c r="MNN42" s="5"/>
      <c r="MNO42" s="5"/>
      <c r="MNP42" s="5"/>
      <c r="MNQ42" s="5"/>
      <c r="MNR42" s="5"/>
      <c r="MNS42" s="5"/>
      <c r="MNT42" s="5"/>
      <c r="MNU42" s="5"/>
      <c r="MNV42" s="5"/>
      <c r="MNW42" s="5"/>
      <c r="MNX42" s="5"/>
      <c r="MNY42" s="5"/>
      <c r="MNZ42" s="5"/>
      <c r="MOA42" s="5"/>
      <c r="MOB42" s="5"/>
      <c r="MOC42" s="5"/>
      <c r="MOD42" s="5"/>
      <c r="MOE42" s="5"/>
      <c r="MOF42" s="5"/>
      <c r="MOG42" s="5"/>
      <c r="MOH42" s="5"/>
      <c r="MOI42" s="5"/>
      <c r="MOJ42" s="5"/>
      <c r="MOK42" s="5"/>
      <c r="MOL42" s="5"/>
      <c r="MOM42" s="5"/>
      <c r="MON42" s="5"/>
      <c r="MOO42" s="5"/>
      <c r="MOP42" s="5"/>
      <c r="MOQ42" s="5"/>
      <c r="MOR42" s="5"/>
      <c r="MOS42" s="5"/>
      <c r="MOT42" s="5"/>
      <c r="MOU42" s="5"/>
      <c r="MOV42" s="5"/>
      <c r="MOW42" s="5"/>
      <c r="MOX42" s="5"/>
      <c r="MOY42" s="5"/>
      <c r="MOZ42" s="5"/>
      <c r="MPA42" s="5"/>
      <c r="MPB42" s="5"/>
      <c r="MPC42" s="5"/>
      <c r="MPD42" s="5"/>
      <c r="MPE42" s="5"/>
      <c r="MPF42" s="5"/>
      <c r="MPG42" s="5"/>
      <c r="MPH42" s="5"/>
      <c r="MPI42" s="5"/>
      <c r="MPJ42" s="5"/>
      <c r="MPK42" s="5"/>
      <c r="MPL42" s="5"/>
      <c r="MPM42" s="5"/>
      <c r="MPN42" s="5"/>
      <c r="MPO42" s="5"/>
      <c r="MPP42" s="5"/>
      <c r="MPQ42" s="5"/>
      <c r="MPR42" s="5"/>
      <c r="MPS42" s="5"/>
      <c r="MPT42" s="5"/>
      <c r="MPU42" s="5"/>
      <c r="MPV42" s="5"/>
      <c r="MPW42" s="5"/>
      <c r="MPX42" s="5"/>
      <c r="MPY42" s="5"/>
      <c r="MPZ42" s="5"/>
      <c r="MQA42" s="5"/>
      <c r="MQB42" s="5"/>
      <c r="MQC42" s="5"/>
      <c r="MQD42" s="5"/>
      <c r="MQE42" s="5"/>
      <c r="MQF42" s="5"/>
      <c r="MQG42" s="5"/>
      <c r="MQH42" s="5"/>
      <c r="MQI42" s="5"/>
      <c r="MQJ42" s="5"/>
      <c r="MQK42" s="5"/>
      <c r="MQL42" s="5"/>
      <c r="MQM42" s="5"/>
      <c r="MQN42" s="5"/>
      <c r="MQO42" s="5"/>
      <c r="MQP42" s="5"/>
      <c r="MQQ42" s="5"/>
      <c r="MQR42" s="5"/>
      <c r="MQS42" s="5"/>
      <c r="MQT42" s="5"/>
      <c r="MQU42" s="5"/>
      <c r="MQV42" s="5"/>
      <c r="MQW42" s="5"/>
      <c r="MQX42" s="5"/>
      <c r="MQY42" s="5"/>
      <c r="MQZ42" s="5"/>
      <c r="MRA42" s="5"/>
      <c r="MRB42" s="5"/>
      <c r="MRC42" s="5"/>
      <c r="MRD42" s="5"/>
      <c r="MRE42" s="5"/>
      <c r="MRF42" s="5"/>
      <c r="MRG42" s="5"/>
      <c r="MRH42" s="5"/>
      <c r="MRI42" s="5"/>
      <c r="MRJ42" s="5"/>
      <c r="MRK42" s="5"/>
      <c r="MRL42" s="5"/>
      <c r="MRM42" s="5"/>
      <c r="MRN42" s="5"/>
      <c r="MRO42" s="5"/>
      <c r="MRP42" s="5"/>
      <c r="MRQ42" s="5"/>
      <c r="MRR42" s="5"/>
      <c r="MRS42" s="5"/>
      <c r="MRT42" s="5"/>
      <c r="MRU42" s="5"/>
      <c r="MRV42" s="5"/>
      <c r="MRW42" s="5"/>
      <c r="MRX42" s="5"/>
      <c r="MRY42" s="5"/>
      <c r="MRZ42" s="5"/>
      <c r="MSA42" s="5"/>
      <c r="MSB42" s="5"/>
      <c r="MSC42" s="5"/>
      <c r="MSD42" s="5"/>
      <c r="MSE42" s="5"/>
      <c r="MSF42" s="5"/>
      <c r="MSG42" s="5"/>
      <c r="MSH42" s="5"/>
      <c r="MSI42" s="5"/>
      <c r="MSJ42" s="5"/>
      <c r="MSK42" s="5"/>
      <c r="MSL42" s="5"/>
      <c r="MSM42" s="5"/>
      <c r="MSN42" s="5"/>
      <c r="MSO42" s="5"/>
      <c r="MSP42" s="5"/>
      <c r="MSQ42" s="5"/>
      <c r="MSR42" s="5"/>
      <c r="MSS42" s="5"/>
      <c r="MST42" s="5"/>
      <c r="MSU42" s="5"/>
      <c r="MSV42" s="5"/>
      <c r="MSW42" s="5"/>
      <c r="MSX42" s="5"/>
      <c r="MSY42" s="5"/>
      <c r="MSZ42" s="5"/>
      <c r="MTA42" s="5"/>
      <c r="MTB42" s="5"/>
      <c r="MTC42" s="5"/>
      <c r="MTD42" s="5"/>
      <c r="MTE42" s="5"/>
      <c r="MTF42" s="5"/>
      <c r="MTG42" s="5"/>
      <c r="MTH42" s="5"/>
      <c r="MTI42" s="5"/>
      <c r="MTJ42" s="5"/>
      <c r="MTK42" s="5"/>
      <c r="MTL42" s="5"/>
      <c r="MTM42" s="5"/>
      <c r="MTN42" s="5"/>
      <c r="MTO42" s="5"/>
      <c r="MTP42" s="5"/>
      <c r="MTQ42" s="5"/>
      <c r="MTR42" s="5"/>
      <c r="MTS42" s="5"/>
      <c r="MTT42" s="5"/>
      <c r="MTU42" s="5"/>
      <c r="MTV42" s="5"/>
      <c r="MTW42" s="5"/>
      <c r="MTX42" s="5"/>
      <c r="MTY42" s="5"/>
      <c r="MTZ42" s="5"/>
      <c r="MUA42" s="5"/>
      <c r="MUB42" s="5"/>
      <c r="MUC42" s="5"/>
      <c r="MUD42" s="5"/>
      <c r="MUE42" s="5"/>
      <c r="MUF42" s="5"/>
      <c r="MUG42" s="5"/>
      <c r="MUH42" s="5"/>
      <c r="MUI42" s="5"/>
      <c r="MUJ42" s="5"/>
      <c r="MUK42" s="5"/>
      <c r="MUL42" s="5"/>
      <c r="MUM42" s="5"/>
      <c r="MUN42" s="5"/>
      <c r="MUO42" s="5"/>
      <c r="MUP42" s="5"/>
      <c r="MUQ42" s="5"/>
      <c r="MUR42" s="5"/>
      <c r="MUS42" s="5"/>
      <c r="MUT42" s="5"/>
      <c r="MUU42" s="5"/>
      <c r="MUV42" s="5"/>
      <c r="MUW42" s="5"/>
      <c r="MUX42" s="5"/>
      <c r="MUY42" s="5"/>
      <c r="MUZ42" s="5"/>
      <c r="MVA42" s="5"/>
      <c r="MVB42" s="5"/>
      <c r="MVC42" s="5"/>
      <c r="MVD42" s="5"/>
      <c r="MVE42" s="5"/>
      <c r="MVF42" s="5"/>
      <c r="MVG42" s="5"/>
      <c r="MVH42" s="5"/>
      <c r="MVI42" s="5"/>
      <c r="MVJ42" s="5"/>
      <c r="MVK42" s="5"/>
      <c r="MVL42" s="5"/>
      <c r="MVM42" s="5"/>
      <c r="MVN42" s="5"/>
      <c r="MVO42" s="5"/>
      <c r="MVP42" s="5"/>
      <c r="MVQ42" s="5"/>
      <c r="MVR42" s="5"/>
      <c r="MVS42" s="5"/>
      <c r="MVT42" s="5"/>
      <c r="MVU42" s="5"/>
      <c r="MVV42" s="5"/>
      <c r="MVW42" s="5"/>
      <c r="MVX42" s="5"/>
      <c r="MVY42" s="5"/>
      <c r="MVZ42" s="5"/>
      <c r="MWA42" s="5"/>
      <c r="MWB42" s="5"/>
      <c r="MWC42" s="5"/>
      <c r="MWD42" s="5"/>
      <c r="MWE42" s="5"/>
      <c r="MWF42" s="5"/>
      <c r="MWG42" s="5"/>
      <c r="MWH42" s="5"/>
      <c r="MWI42" s="5"/>
      <c r="MWJ42" s="5"/>
      <c r="MWK42" s="5"/>
      <c r="MWL42" s="5"/>
      <c r="MWM42" s="5"/>
      <c r="MWN42" s="5"/>
      <c r="MWO42" s="5"/>
      <c r="MWP42" s="5"/>
      <c r="MWQ42" s="5"/>
      <c r="MWR42" s="5"/>
      <c r="MWS42" s="5"/>
      <c r="MWT42" s="5"/>
      <c r="MWU42" s="5"/>
      <c r="MWV42" s="5"/>
      <c r="MWW42" s="5"/>
      <c r="MWX42" s="5"/>
      <c r="MWY42" s="5"/>
      <c r="MWZ42" s="5"/>
      <c r="MXA42" s="5"/>
      <c r="MXB42" s="5"/>
      <c r="MXC42" s="5"/>
      <c r="MXD42" s="5"/>
      <c r="MXE42" s="5"/>
      <c r="MXF42" s="5"/>
      <c r="MXG42" s="5"/>
      <c r="MXH42" s="5"/>
      <c r="MXI42" s="5"/>
      <c r="MXJ42" s="5"/>
      <c r="MXK42" s="5"/>
      <c r="MXL42" s="5"/>
      <c r="MXM42" s="5"/>
      <c r="MXN42" s="5"/>
      <c r="MXO42" s="5"/>
      <c r="MXP42" s="5"/>
      <c r="MXQ42" s="5"/>
      <c r="MXR42" s="5"/>
      <c r="MXS42" s="5"/>
      <c r="MXT42" s="5"/>
      <c r="MXU42" s="5"/>
      <c r="MXV42" s="5"/>
      <c r="MXW42" s="5"/>
      <c r="MXX42" s="5"/>
      <c r="MXY42" s="5"/>
      <c r="MXZ42" s="5"/>
      <c r="MYA42" s="5"/>
      <c r="MYB42" s="5"/>
      <c r="MYC42" s="5"/>
      <c r="MYD42" s="5"/>
      <c r="MYE42" s="5"/>
      <c r="MYF42" s="5"/>
      <c r="MYG42" s="5"/>
      <c r="MYH42" s="5"/>
      <c r="MYI42" s="5"/>
      <c r="MYJ42" s="5"/>
      <c r="MYK42" s="5"/>
      <c r="MYL42" s="5"/>
      <c r="MYM42" s="5"/>
      <c r="MYN42" s="5"/>
      <c r="MYO42" s="5"/>
      <c r="MYP42" s="5"/>
      <c r="MYQ42" s="5"/>
      <c r="MYR42" s="5"/>
      <c r="MYS42" s="5"/>
      <c r="MYT42" s="5"/>
      <c r="MYU42" s="5"/>
      <c r="MYV42" s="5"/>
      <c r="MYW42" s="5"/>
      <c r="MYX42" s="5"/>
      <c r="MYY42" s="5"/>
      <c r="MYZ42" s="5"/>
      <c r="MZA42" s="5"/>
      <c r="MZB42" s="5"/>
      <c r="MZC42" s="5"/>
      <c r="MZD42" s="5"/>
      <c r="MZE42" s="5"/>
      <c r="MZF42" s="5"/>
      <c r="MZG42" s="5"/>
      <c r="MZH42" s="5"/>
      <c r="MZI42" s="5"/>
      <c r="MZJ42" s="5"/>
      <c r="MZK42" s="5"/>
      <c r="MZL42" s="5"/>
      <c r="MZM42" s="5"/>
      <c r="MZN42" s="5"/>
      <c r="MZO42" s="5"/>
      <c r="MZP42" s="5"/>
      <c r="MZQ42" s="5"/>
      <c r="MZR42" s="5"/>
      <c r="MZS42" s="5"/>
      <c r="MZT42" s="5"/>
      <c r="MZU42" s="5"/>
      <c r="MZV42" s="5"/>
      <c r="MZW42" s="5"/>
      <c r="MZX42" s="5"/>
      <c r="MZY42" s="5"/>
      <c r="MZZ42" s="5"/>
      <c r="NAA42" s="5"/>
      <c r="NAB42" s="5"/>
      <c r="NAC42" s="5"/>
      <c r="NAD42" s="5"/>
      <c r="NAE42" s="5"/>
      <c r="NAF42" s="5"/>
      <c r="NAG42" s="5"/>
      <c r="NAH42" s="5"/>
      <c r="NAI42" s="5"/>
      <c r="NAJ42" s="5"/>
      <c r="NAK42" s="5"/>
      <c r="NAL42" s="5"/>
      <c r="NAM42" s="5"/>
      <c r="NAN42" s="5"/>
      <c r="NAO42" s="5"/>
      <c r="NAP42" s="5"/>
      <c r="NAQ42" s="5"/>
      <c r="NAR42" s="5"/>
      <c r="NAS42" s="5"/>
      <c r="NAT42" s="5"/>
      <c r="NAU42" s="5"/>
      <c r="NAV42" s="5"/>
      <c r="NAW42" s="5"/>
      <c r="NAX42" s="5"/>
      <c r="NAY42" s="5"/>
      <c r="NAZ42" s="5"/>
      <c r="NBA42" s="5"/>
      <c r="NBB42" s="5"/>
      <c r="NBC42" s="5"/>
      <c r="NBD42" s="5"/>
      <c r="NBE42" s="5"/>
      <c r="NBF42" s="5"/>
      <c r="NBG42" s="5"/>
      <c r="NBH42" s="5"/>
      <c r="NBI42" s="5"/>
      <c r="NBJ42" s="5"/>
      <c r="NBK42" s="5"/>
      <c r="NBL42" s="5"/>
      <c r="NBM42" s="5"/>
      <c r="NBN42" s="5"/>
      <c r="NBO42" s="5"/>
      <c r="NBP42" s="5"/>
      <c r="NBQ42" s="5"/>
      <c r="NBR42" s="5"/>
      <c r="NBS42" s="5"/>
      <c r="NBT42" s="5"/>
      <c r="NBU42" s="5"/>
      <c r="NBV42" s="5"/>
      <c r="NBW42" s="5"/>
      <c r="NBX42" s="5"/>
      <c r="NBY42" s="5"/>
      <c r="NBZ42" s="5"/>
      <c r="NCA42" s="5"/>
      <c r="NCB42" s="5"/>
      <c r="NCC42" s="5"/>
      <c r="NCD42" s="5"/>
      <c r="NCE42" s="5"/>
      <c r="NCF42" s="5"/>
      <c r="NCG42" s="5"/>
      <c r="NCH42" s="5"/>
      <c r="NCI42" s="5"/>
      <c r="NCJ42" s="5"/>
      <c r="NCK42" s="5"/>
      <c r="NCL42" s="5"/>
      <c r="NCM42" s="5"/>
      <c r="NCN42" s="5"/>
      <c r="NCO42" s="5"/>
      <c r="NCP42" s="5"/>
      <c r="NCQ42" s="5"/>
      <c r="NCR42" s="5"/>
      <c r="NCS42" s="5"/>
      <c r="NCT42" s="5"/>
      <c r="NCU42" s="5"/>
      <c r="NCV42" s="5"/>
      <c r="NCW42" s="5"/>
      <c r="NCX42" s="5"/>
      <c r="NCY42" s="5"/>
      <c r="NCZ42" s="5"/>
      <c r="NDA42" s="5"/>
      <c r="NDB42" s="5"/>
      <c r="NDC42" s="5"/>
      <c r="NDD42" s="5"/>
      <c r="NDE42" s="5"/>
      <c r="NDF42" s="5"/>
      <c r="NDG42" s="5"/>
      <c r="NDH42" s="5"/>
      <c r="NDI42" s="5"/>
      <c r="NDJ42" s="5"/>
      <c r="NDK42" s="5"/>
      <c r="NDL42" s="5"/>
      <c r="NDM42" s="5"/>
      <c r="NDN42" s="5"/>
      <c r="NDO42" s="5"/>
      <c r="NDP42" s="5"/>
      <c r="NDQ42" s="5"/>
      <c r="NDR42" s="5"/>
      <c r="NDS42" s="5"/>
      <c r="NDT42" s="5"/>
      <c r="NDU42" s="5"/>
      <c r="NDV42" s="5"/>
      <c r="NDW42" s="5"/>
      <c r="NDX42" s="5"/>
      <c r="NDY42" s="5"/>
      <c r="NDZ42" s="5"/>
      <c r="NEA42" s="5"/>
      <c r="NEB42" s="5"/>
      <c r="NEC42" s="5"/>
      <c r="NED42" s="5"/>
      <c r="NEE42" s="5"/>
      <c r="NEF42" s="5"/>
      <c r="NEG42" s="5"/>
      <c r="NEH42" s="5"/>
      <c r="NEI42" s="5"/>
      <c r="NEJ42" s="5"/>
      <c r="NEK42" s="5"/>
      <c r="NEL42" s="5"/>
      <c r="NEM42" s="5"/>
      <c r="NEN42" s="5"/>
      <c r="NEO42" s="5"/>
      <c r="NEP42" s="5"/>
      <c r="NEQ42" s="5"/>
      <c r="NER42" s="5"/>
      <c r="NES42" s="5"/>
      <c r="NET42" s="5"/>
      <c r="NEU42" s="5"/>
      <c r="NEV42" s="5"/>
      <c r="NEW42" s="5"/>
      <c r="NEX42" s="5"/>
      <c r="NEY42" s="5"/>
      <c r="NEZ42" s="5"/>
      <c r="NFA42" s="5"/>
      <c r="NFB42" s="5"/>
      <c r="NFC42" s="5"/>
      <c r="NFD42" s="5"/>
      <c r="NFE42" s="5"/>
      <c r="NFF42" s="5"/>
      <c r="NFG42" s="5"/>
      <c r="NFH42" s="5"/>
      <c r="NFI42" s="5"/>
      <c r="NFJ42" s="5"/>
      <c r="NFK42" s="5"/>
      <c r="NFL42" s="5"/>
      <c r="NFM42" s="5"/>
      <c r="NFN42" s="5"/>
      <c r="NFO42" s="5"/>
      <c r="NFP42" s="5"/>
      <c r="NFQ42" s="5"/>
      <c r="NFR42" s="5"/>
      <c r="NFS42" s="5"/>
      <c r="NFT42" s="5"/>
      <c r="NFU42" s="5"/>
      <c r="NFV42" s="5"/>
      <c r="NFW42" s="5"/>
      <c r="NFX42" s="5"/>
      <c r="NFY42" s="5"/>
      <c r="NFZ42" s="5"/>
      <c r="NGA42" s="5"/>
      <c r="NGB42" s="5"/>
      <c r="NGC42" s="5"/>
      <c r="NGD42" s="5"/>
      <c r="NGE42" s="5"/>
      <c r="NGF42" s="5"/>
      <c r="NGG42" s="5"/>
      <c r="NGH42" s="5"/>
      <c r="NGI42" s="5"/>
      <c r="NGJ42" s="5"/>
      <c r="NGK42" s="5"/>
      <c r="NGL42" s="5"/>
      <c r="NGM42" s="5"/>
      <c r="NGN42" s="5"/>
      <c r="NGO42" s="5"/>
      <c r="NGP42" s="5"/>
      <c r="NGQ42" s="5"/>
      <c r="NGR42" s="5"/>
      <c r="NGS42" s="5"/>
      <c r="NGT42" s="5"/>
      <c r="NGU42" s="5"/>
      <c r="NGV42" s="5"/>
      <c r="NGW42" s="5"/>
      <c r="NGX42" s="5"/>
      <c r="NGY42" s="5"/>
      <c r="NGZ42" s="5"/>
      <c r="NHA42" s="5"/>
      <c r="NHB42" s="5"/>
      <c r="NHC42" s="5"/>
      <c r="NHD42" s="5"/>
      <c r="NHE42" s="5"/>
      <c r="NHF42" s="5"/>
      <c r="NHG42" s="5"/>
      <c r="NHH42" s="5"/>
      <c r="NHI42" s="5"/>
      <c r="NHJ42" s="5"/>
      <c r="NHK42" s="5"/>
      <c r="NHL42" s="5"/>
      <c r="NHM42" s="5"/>
      <c r="NHN42" s="5"/>
      <c r="NHO42" s="5"/>
      <c r="NHP42" s="5"/>
      <c r="NHQ42" s="5"/>
      <c r="NHR42" s="5"/>
      <c r="NHS42" s="5"/>
      <c r="NHT42" s="5"/>
      <c r="NHU42" s="5"/>
      <c r="NHV42" s="5"/>
      <c r="NHW42" s="5"/>
      <c r="NHX42" s="5"/>
      <c r="NHY42" s="5"/>
      <c r="NHZ42" s="5"/>
      <c r="NIA42" s="5"/>
      <c r="NIB42" s="5"/>
      <c r="NIC42" s="5"/>
      <c r="NID42" s="5"/>
      <c r="NIE42" s="5"/>
      <c r="NIF42" s="5"/>
      <c r="NIG42" s="5"/>
      <c r="NIH42" s="5"/>
      <c r="NII42" s="5"/>
      <c r="NIJ42" s="5"/>
      <c r="NIK42" s="5"/>
      <c r="NIL42" s="5"/>
      <c r="NIM42" s="5"/>
      <c r="NIN42" s="5"/>
      <c r="NIO42" s="5"/>
      <c r="NIP42" s="5"/>
      <c r="NIQ42" s="5"/>
      <c r="NIR42" s="5"/>
      <c r="NIS42" s="5"/>
      <c r="NIT42" s="5"/>
      <c r="NIU42" s="5"/>
      <c r="NIV42" s="5"/>
      <c r="NIW42" s="5"/>
      <c r="NIX42" s="5"/>
      <c r="NIY42" s="5"/>
      <c r="NIZ42" s="5"/>
      <c r="NJA42" s="5"/>
      <c r="NJB42" s="5"/>
      <c r="NJC42" s="5"/>
      <c r="NJD42" s="5"/>
      <c r="NJE42" s="5"/>
      <c r="NJF42" s="5"/>
      <c r="NJG42" s="5"/>
      <c r="NJH42" s="5"/>
      <c r="NJI42" s="5"/>
      <c r="NJJ42" s="5"/>
      <c r="NJK42" s="5"/>
      <c r="NJL42" s="5"/>
      <c r="NJM42" s="5"/>
      <c r="NJN42" s="5"/>
      <c r="NJO42" s="5"/>
      <c r="NJP42" s="5"/>
      <c r="NJQ42" s="5"/>
      <c r="NJR42" s="5"/>
      <c r="NJS42" s="5"/>
      <c r="NJT42" s="5"/>
      <c r="NJU42" s="5"/>
      <c r="NJV42" s="5"/>
      <c r="NJW42" s="5"/>
      <c r="NJX42" s="5"/>
      <c r="NJY42" s="5"/>
      <c r="NJZ42" s="5"/>
      <c r="NKA42" s="5"/>
      <c r="NKB42" s="5"/>
      <c r="NKC42" s="5"/>
      <c r="NKD42" s="5"/>
      <c r="NKE42" s="5"/>
      <c r="NKF42" s="5"/>
      <c r="NKG42" s="5"/>
      <c r="NKH42" s="5"/>
      <c r="NKI42" s="5"/>
      <c r="NKJ42" s="5"/>
      <c r="NKK42" s="5"/>
      <c r="NKL42" s="5"/>
      <c r="NKM42" s="5"/>
      <c r="NKN42" s="5"/>
      <c r="NKO42" s="5"/>
      <c r="NKP42" s="5"/>
      <c r="NKQ42" s="5"/>
      <c r="NKR42" s="5"/>
      <c r="NKS42" s="5"/>
      <c r="NKT42" s="5"/>
      <c r="NKU42" s="5"/>
      <c r="NKV42" s="5"/>
      <c r="NKW42" s="5"/>
      <c r="NKX42" s="5"/>
      <c r="NKY42" s="5"/>
      <c r="NKZ42" s="5"/>
      <c r="NLA42" s="5"/>
      <c r="NLB42" s="5"/>
      <c r="NLC42" s="5"/>
      <c r="NLD42" s="5"/>
      <c r="NLE42" s="5"/>
      <c r="NLF42" s="5"/>
      <c r="NLG42" s="5"/>
      <c r="NLH42" s="5"/>
      <c r="NLI42" s="5"/>
      <c r="NLJ42" s="5"/>
      <c r="NLK42" s="5"/>
      <c r="NLL42" s="5"/>
      <c r="NLM42" s="5"/>
      <c r="NLN42" s="5"/>
      <c r="NLO42" s="5"/>
      <c r="NLP42" s="5"/>
      <c r="NLQ42" s="5"/>
      <c r="NLR42" s="5"/>
      <c r="NLS42" s="5"/>
      <c r="NLT42" s="5"/>
      <c r="NLU42" s="5"/>
      <c r="NLV42" s="5"/>
      <c r="NLW42" s="5"/>
      <c r="NLX42" s="5"/>
      <c r="NLY42" s="5"/>
      <c r="NLZ42" s="5"/>
      <c r="NMA42" s="5"/>
      <c r="NMB42" s="5"/>
      <c r="NMC42" s="5"/>
      <c r="NMD42" s="5"/>
      <c r="NME42" s="5"/>
      <c r="NMF42" s="5"/>
      <c r="NMG42" s="5"/>
      <c r="NMH42" s="5"/>
      <c r="NMI42" s="5"/>
      <c r="NMJ42" s="5"/>
      <c r="NMK42" s="5"/>
      <c r="NML42" s="5"/>
      <c r="NMM42" s="5"/>
      <c r="NMN42" s="5"/>
      <c r="NMO42" s="5"/>
      <c r="NMP42" s="5"/>
      <c r="NMQ42" s="5"/>
      <c r="NMR42" s="5"/>
      <c r="NMS42" s="5"/>
      <c r="NMT42" s="5"/>
      <c r="NMU42" s="5"/>
      <c r="NMV42" s="5"/>
      <c r="NMW42" s="5"/>
      <c r="NMX42" s="5"/>
      <c r="NMY42" s="5"/>
      <c r="NMZ42" s="5"/>
      <c r="NNA42" s="5"/>
      <c r="NNB42" s="5"/>
      <c r="NNC42" s="5"/>
      <c r="NND42" s="5"/>
      <c r="NNE42" s="5"/>
      <c r="NNF42" s="5"/>
      <c r="NNG42" s="5"/>
      <c r="NNH42" s="5"/>
      <c r="NNI42" s="5"/>
      <c r="NNJ42" s="5"/>
      <c r="NNK42" s="5"/>
      <c r="NNL42" s="5"/>
      <c r="NNM42" s="5"/>
      <c r="NNN42" s="5"/>
      <c r="NNO42" s="5"/>
      <c r="NNP42" s="5"/>
      <c r="NNQ42" s="5"/>
      <c r="NNR42" s="5"/>
      <c r="NNS42" s="5"/>
      <c r="NNT42" s="5"/>
      <c r="NNU42" s="5"/>
      <c r="NNV42" s="5"/>
      <c r="NNW42" s="5"/>
      <c r="NNX42" s="5"/>
      <c r="NNY42" s="5"/>
      <c r="NNZ42" s="5"/>
      <c r="NOA42" s="5"/>
      <c r="NOB42" s="5"/>
      <c r="NOC42" s="5"/>
      <c r="NOD42" s="5"/>
      <c r="NOE42" s="5"/>
      <c r="NOF42" s="5"/>
      <c r="NOG42" s="5"/>
      <c r="NOH42" s="5"/>
      <c r="NOI42" s="5"/>
      <c r="NOJ42" s="5"/>
      <c r="NOK42" s="5"/>
      <c r="NOL42" s="5"/>
      <c r="NOM42" s="5"/>
      <c r="NON42" s="5"/>
      <c r="NOO42" s="5"/>
      <c r="NOP42" s="5"/>
      <c r="NOQ42" s="5"/>
      <c r="NOR42" s="5"/>
      <c r="NOS42" s="5"/>
      <c r="NOT42" s="5"/>
      <c r="NOU42" s="5"/>
      <c r="NOV42" s="5"/>
      <c r="NOW42" s="5"/>
      <c r="NOX42" s="5"/>
      <c r="NOY42" s="5"/>
      <c r="NOZ42" s="5"/>
      <c r="NPA42" s="5"/>
      <c r="NPB42" s="5"/>
      <c r="NPC42" s="5"/>
      <c r="NPD42" s="5"/>
      <c r="NPE42" s="5"/>
      <c r="NPF42" s="5"/>
      <c r="NPG42" s="5"/>
      <c r="NPH42" s="5"/>
      <c r="NPI42" s="5"/>
      <c r="NPJ42" s="5"/>
      <c r="NPK42" s="5"/>
      <c r="NPL42" s="5"/>
      <c r="NPM42" s="5"/>
      <c r="NPN42" s="5"/>
      <c r="NPO42" s="5"/>
      <c r="NPP42" s="5"/>
      <c r="NPQ42" s="5"/>
      <c r="NPR42" s="5"/>
      <c r="NPS42" s="5"/>
      <c r="NPT42" s="5"/>
      <c r="NPU42" s="5"/>
      <c r="NPV42" s="5"/>
      <c r="NPW42" s="5"/>
      <c r="NPX42" s="5"/>
      <c r="NPY42" s="5"/>
      <c r="NPZ42" s="5"/>
      <c r="NQA42" s="5"/>
      <c r="NQB42" s="5"/>
      <c r="NQC42" s="5"/>
      <c r="NQD42" s="5"/>
      <c r="NQE42" s="5"/>
      <c r="NQF42" s="5"/>
      <c r="NQG42" s="5"/>
      <c r="NQH42" s="5"/>
      <c r="NQI42" s="5"/>
      <c r="NQJ42" s="5"/>
      <c r="NQK42" s="5"/>
      <c r="NQL42" s="5"/>
      <c r="NQM42" s="5"/>
      <c r="NQN42" s="5"/>
      <c r="NQO42" s="5"/>
      <c r="NQP42" s="5"/>
      <c r="NQQ42" s="5"/>
      <c r="NQR42" s="5"/>
      <c r="NQS42" s="5"/>
      <c r="NQT42" s="5"/>
      <c r="NQU42" s="5"/>
      <c r="NQV42" s="5"/>
      <c r="NQW42" s="5"/>
      <c r="NQX42" s="5"/>
      <c r="NQY42" s="5"/>
      <c r="NQZ42" s="5"/>
      <c r="NRA42" s="5"/>
      <c r="NRB42" s="5"/>
      <c r="NRC42" s="5"/>
      <c r="NRD42" s="5"/>
      <c r="NRE42" s="5"/>
      <c r="NRF42" s="5"/>
      <c r="NRG42" s="5"/>
      <c r="NRH42" s="5"/>
      <c r="NRI42" s="5"/>
      <c r="NRJ42" s="5"/>
      <c r="NRK42" s="5"/>
      <c r="NRL42" s="5"/>
      <c r="NRM42" s="5"/>
      <c r="NRN42" s="5"/>
      <c r="NRO42" s="5"/>
      <c r="NRP42" s="5"/>
      <c r="NRQ42" s="5"/>
      <c r="NRR42" s="5"/>
      <c r="NRS42" s="5"/>
      <c r="NRT42" s="5"/>
      <c r="NRU42" s="5"/>
      <c r="NRV42" s="5"/>
      <c r="NRW42" s="5"/>
      <c r="NRX42" s="5"/>
      <c r="NRY42" s="5"/>
      <c r="NRZ42" s="5"/>
      <c r="NSA42" s="5"/>
      <c r="NSB42" s="5"/>
      <c r="NSC42" s="5"/>
      <c r="NSD42" s="5"/>
      <c r="NSE42" s="5"/>
      <c r="NSF42" s="5"/>
      <c r="NSG42" s="5"/>
      <c r="NSH42" s="5"/>
      <c r="NSI42" s="5"/>
      <c r="NSJ42" s="5"/>
      <c r="NSK42" s="5"/>
      <c r="NSL42" s="5"/>
      <c r="NSM42" s="5"/>
      <c r="NSN42" s="5"/>
      <c r="NSO42" s="5"/>
      <c r="NSP42" s="5"/>
      <c r="NSQ42" s="5"/>
      <c r="NSR42" s="5"/>
      <c r="NSS42" s="5"/>
      <c r="NST42" s="5"/>
      <c r="NSU42" s="5"/>
      <c r="NSV42" s="5"/>
      <c r="NSW42" s="5"/>
      <c r="NSX42" s="5"/>
      <c r="NSY42" s="5"/>
      <c r="NSZ42" s="5"/>
      <c r="NTA42" s="5"/>
      <c r="NTB42" s="5"/>
      <c r="NTC42" s="5"/>
      <c r="NTD42" s="5"/>
      <c r="NTE42" s="5"/>
      <c r="NTF42" s="5"/>
      <c r="NTG42" s="5"/>
    </row>
    <row r="43" spans="1:9991">
      <c r="A43" t="str">
        <f t="shared" si="5"/>
        <v>Denny McCarthy</v>
      </c>
      <c r="B43">
        <f t="shared" si="6"/>
        <v>42</v>
      </c>
      <c r="C43">
        <f t="shared" si="7"/>
        <v>0.66739999999999999</v>
      </c>
      <c r="D43">
        <f t="shared" si="8"/>
        <v>311</v>
      </c>
      <c r="E43">
        <f t="shared" si="9"/>
        <v>466</v>
      </c>
      <c r="G43">
        <v>42</v>
      </c>
      <c r="H43" t="s">
        <v>140</v>
      </c>
      <c r="I43" s="38">
        <v>0.66739999999999999</v>
      </c>
      <c r="J43" s="3">
        <v>311</v>
      </c>
      <c r="K43" s="3">
        <v>466</v>
      </c>
    </row>
    <row r="44" spans="1:9991">
      <c r="A44" t="str">
        <f t="shared" si="5"/>
        <v>Justin Rose</v>
      </c>
      <c r="B44">
        <f t="shared" si="6"/>
        <v>43</v>
      </c>
      <c r="C44">
        <f t="shared" si="7"/>
        <v>0.66559999999999997</v>
      </c>
      <c r="D44">
        <f t="shared" si="8"/>
        <v>217</v>
      </c>
      <c r="E44">
        <f t="shared" si="9"/>
        <v>326</v>
      </c>
      <c r="G44">
        <v>43</v>
      </c>
      <c r="H44" t="s">
        <v>143</v>
      </c>
      <c r="I44" s="38">
        <v>0.66559999999999997</v>
      </c>
      <c r="J44" s="3">
        <v>217</v>
      </c>
      <c r="K44" s="3">
        <v>326</v>
      </c>
    </row>
    <row r="45" spans="1:9991">
      <c r="A45" t="str">
        <f t="shared" si="5"/>
        <v>Tony Finau</v>
      </c>
      <c r="B45">
        <f t="shared" si="6"/>
        <v>44</v>
      </c>
      <c r="C45">
        <f t="shared" si="7"/>
        <v>0.66500000000000004</v>
      </c>
      <c r="D45">
        <f t="shared" si="8"/>
        <v>266</v>
      </c>
      <c r="E45">
        <f t="shared" si="9"/>
        <v>400</v>
      </c>
      <c r="G45">
        <v>44</v>
      </c>
      <c r="H45" t="s">
        <v>69</v>
      </c>
      <c r="I45" s="38">
        <v>0.66500000000000004</v>
      </c>
      <c r="J45" s="3">
        <v>266</v>
      </c>
      <c r="K45" s="3">
        <v>400</v>
      </c>
    </row>
    <row r="46" spans="1:9991">
      <c r="A46" t="str">
        <f t="shared" si="5"/>
        <v>Kurt Kitayama</v>
      </c>
      <c r="B46">
        <f t="shared" si="6"/>
        <v>44</v>
      </c>
      <c r="C46">
        <f t="shared" si="7"/>
        <v>0.66500000000000004</v>
      </c>
      <c r="D46">
        <f t="shared" si="8"/>
        <v>270</v>
      </c>
      <c r="E46">
        <f t="shared" si="9"/>
        <v>406</v>
      </c>
      <c r="G46">
        <v>44</v>
      </c>
      <c r="H46" t="s">
        <v>54</v>
      </c>
      <c r="I46" s="38">
        <v>0.66500000000000004</v>
      </c>
      <c r="J46" s="3">
        <v>270</v>
      </c>
      <c r="K46" s="3">
        <v>406</v>
      </c>
    </row>
    <row r="47" spans="1:9991">
      <c r="A47" t="str">
        <f t="shared" si="5"/>
        <v>Nicolai Højgaard</v>
      </c>
      <c r="B47">
        <f t="shared" si="6"/>
        <v>46</v>
      </c>
      <c r="C47">
        <f t="shared" si="7"/>
        <v>0.66039999999999999</v>
      </c>
      <c r="D47">
        <f t="shared" si="8"/>
        <v>210</v>
      </c>
      <c r="E47">
        <f t="shared" si="9"/>
        <v>318</v>
      </c>
      <c r="G47">
        <v>46</v>
      </c>
      <c r="H47" t="s">
        <v>595</v>
      </c>
      <c r="I47" s="38">
        <v>0.66039999999999999</v>
      </c>
      <c r="J47" s="3">
        <v>210</v>
      </c>
      <c r="K47" s="3">
        <v>318</v>
      </c>
    </row>
    <row r="48" spans="1:9991">
      <c r="A48" t="str">
        <f t="shared" si="5"/>
        <v>Erik van Rooyen</v>
      </c>
      <c r="B48">
        <f t="shared" si="6"/>
        <v>47</v>
      </c>
      <c r="C48">
        <f t="shared" si="7"/>
        <v>0.66010000000000002</v>
      </c>
      <c r="D48">
        <f t="shared" si="8"/>
        <v>268</v>
      </c>
      <c r="E48">
        <f t="shared" si="9"/>
        <v>406</v>
      </c>
      <c r="G48">
        <v>47</v>
      </c>
      <c r="H48" t="s">
        <v>65</v>
      </c>
      <c r="I48" s="38">
        <v>0.66010000000000002</v>
      </c>
      <c r="J48" s="3">
        <v>268</v>
      </c>
      <c r="K48" s="3">
        <v>406</v>
      </c>
    </row>
    <row r="49" spans="1:11">
      <c r="A49" t="str">
        <f t="shared" si="5"/>
        <v>Tyler Duncan</v>
      </c>
      <c r="B49">
        <f t="shared" si="6"/>
        <v>48</v>
      </c>
      <c r="C49">
        <f t="shared" si="7"/>
        <v>0.65980000000000005</v>
      </c>
      <c r="D49">
        <f t="shared" si="8"/>
        <v>256</v>
      </c>
      <c r="E49">
        <f t="shared" si="9"/>
        <v>388</v>
      </c>
      <c r="G49">
        <v>48</v>
      </c>
      <c r="H49" t="s">
        <v>116</v>
      </c>
      <c r="I49" s="38">
        <v>0.65980000000000005</v>
      </c>
      <c r="J49" s="3">
        <v>256</v>
      </c>
      <c r="K49" s="3">
        <v>388</v>
      </c>
    </row>
    <row r="50" spans="1:11">
      <c r="A50" t="str">
        <f t="shared" si="5"/>
        <v>Rickie Fowler</v>
      </c>
      <c r="B50">
        <f t="shared" si="6"/>
        <v>49</v>
      </c>
      <c r="C50">
        <f t="shared" si="7"/>
        <v>0.65969999999999995</v>
      </c>
      <c r="D50">
        <f t="shared" si="8"/>
        <v>252</v>
      </c>
      <c r="E50">
        <f t="shared" si="9"/>
        <v>382</v>
      </c>
      <c r="G50">
        <v>49</v>
      </c>
      <c r="H50" t="s">
        <v>44</v>
      </c>
      <c r="I50" s="38">
        <v>0.65969999999999995</v>
      </c>
      <c r="J50" s="3">
        <v>252</v>
      </c>
      <c r="K50" s="3">
        <v>382</v>
      </c>
    </row>
    <row r="51" spans="1:11">
      <c r="A51" t="str">
        <f t="shared" si="5"/>
        <v>Brendon Todd</v>
      </c>
      <c r="B51">
        <f t="shared" si="6"/>
        <v>50</v>
      </c>
      <c r="C51">
        <f t="shared" si="7"/>
        <v>0.65920000000000001</v>
      </c>
      <c r="D51">
        <f t="shared" si="8"/>
        <v>323</v>
      </c>
      <c r="E51">
        <f t="shared" si="9"/>
        <v>490</v>
      </c>
      <c r="G51">
        <v>50</v>
      </c>
      <c r="H51" t="s">
        <v>188</v>
      </c>
      <c r="I51" s="38">
        <v>0.65920000000000001</v>
      </c>
      <c r="J51" s="3">
        <v>323</v>
      </c>
      <c r="K51" s="3">
        <v>490</v>
      </c>
    </row>
    <row r="52" spans="1:11">
      <c r="A52" t="str">
        <f t="shared" si="5"/>
        <v>Ryan Palmer</v>
      </c>
      <c r="B52">
        <f t="shared" si="6"/>
        <v>51</v>
      </c>
      <c r="C52">
        <f t="shared" si="7"/>
        <v>0.6583</v>
      </c>
      <c r="D52">
        <f t="shared" si="8"/>
        <v>158</v>
      </c>
      <c r="E52">
        <f t="shared" si="9"/>
        <v>240</v>
      </c>
      <c r="G52">
        <v>51</v>
      </c>
      <c r="H52" t="s">
        <v>87</v>
      </c>
      <c r="I52" s="38">
        <v>0.6583</v>
      </c>
      <c r="J52" s="3">
        <v>158</v>
      </c>
      <c r="K52" s="3">
        <v>240</v>
      </c>
    </row>
    <row r="53" spans="1:11">
      <c r="A53" t="str">
        <f t="shared" si="5"/>
        <v>Sungjae Im</v>
      </c>
      <c r="B53">
        <f t="shared" si="6"/>
        <v>52</v>
      </c>
      <c r="C53">
        <f t="shared" si="7"/>
        <v>0.65690000000000004</v>
      </c>
      <c r="D53">
        <f t="shared" si="8"/>
        <v>268</v>
      </c>
      <c r="E53">
        <f t="shared" si="9"/>
        <v>408</v>
      </c>
      <c r="G53">
        <v>52</v>
      </c>
      <c r="H53" t="s">
        <v>113</v>
      </c>
      <c r="I53" s="38">
        <v>0.65690000000000004</v>
      </c>
      <c r="J53" s="3">
        <v>268</v>
      </c>
      <c r="K53" s="3">
        <v>408</v>
      </c>
    </row>
    <row r="54" spans="1:11">
      <c r="A54" t="str">
        <f t="shared" si="5"/>
        <v>Zac Blair</v>
      </c>
      <c r="B54">
        <f t="shared" si="6"/>
        <v>53</v>
      </c>
      <c r="C54">
        <f t="shared" si="7"/>
        <v>0.65659999999999996</v>
      </c>
      <c r="D54">
        <f t="shared" si="8"/>
        <v>218</v>
      </c>
      <c r="E54">
        <f t="shared" si="9"/>
        <v>332</v>
      </c>
      <c r="G54">
        <v>53</v>
      </c>
      <c r="H54" t="s">
        <v>187</v>
      </c>
      <c r="I54" s="38">
        <v>0.65659999999999996</v>
      </c>
      <c r="J54" s="3">
        <v>218</v>
      </c>
      <c r="K54" s="3">
        <v>332</v>
      </c>
    </row>
    <row r="55" spans="1:11">
      <c r="A55" t="str">
        <f t="shared" si="5"/>
        <v>Sam Burns</v>
      </c>
      <c r="B55">
        <f t="shared" si="6"/>
        <v>54</v>
      </c>
      <c r="C55">
        <f t="shared" si="7"/>
        <v>0.65629999999999999</v>
      </c>
      <c r="D55">
        <f t="shared" si="8"/>
        <v>231</v>
      </c>
      <c r="E55">
        <f t="shared" si="9"/>
        <v>352</v>
      </c>
      <c r="G55">
        <v>54</v>
      </c>
      <c r="H55" t="s">
        <v>27</v>
      </c>
      <c r="I55" s="38">
        <v>0.65629999999999999</v>
      </c>
      <c r="J55" s="3">
        <v>231</v>
      </c>
      <c r="K55" s="3">
        <v>352</v>
      </c>
    </row>
    <row r="56" spans="1:11">
      <c r="A56" t="str">
        <f t="shared" si="5"/>
        <v>Eric Cole</v>
      </c>
      <c r="B56">
        <f t="shared" si="6"/>
        <v>55</v>
      </c>
      <c r="C56">
        <f t="shared" si="7"/>
        <v>0.65510000000000002</v>
      </c>
      <c r="D56">
        <f t="shared" si="8"/>
        <v>321</v>
      </c>
      <c r="E56">
        <f t="shared" si="9"/>
        <v>490</v>
      </c>
      <c r="G56">
        <v>55</v>
      </c>
      <c r="H56" t="s">
        <v>114</v>
      </c>
      <c r="I56" s="38">
        <v>0.65510000000000002</v>
      </c>
      <c r="J56" s="3">
        <v>321</v>
      </c>
      <c r="K56" s="3">
        <v>490</v>
      </c>
    </row>
    <row r="57" spans="1:11">
      <c r="A57" t="str">
        <f t="shared" si="5"/>
        <v>Troy Merritt</v>
      </c>
      <c r="B57">
        <f t="shared" si="6"/>
        <v>56</v>
      </c>
      <c r="C57">
        <f t="shared" si="7"/>
        <v>0.65359999999999996</v>
      </c>
      <c r="D57">
        <f t="shared" si="8"/>
        <v>234</v>
      </c>
      <c r="E57">
        <f t="shared" si="9"/>
        <v>358</v>
      </c>
      <c r="G57">
        <v>56</v>
      </c>
      <c r="H57" t="s">
        <v>156</v>
      </c>
      <c r="I57" s="38">
        <v>0.65359999999999996</v>
      </c>
      <c r="J57" s="3">
        <v>234</v>
      </c>
      <c r="K57" s="3">
        <v>358</v>
      </c>
    </row>
    <row r="58" spans="1:11">
      <c r="A58" t="str">
        <f t="shared" si="5"/>
        <v>Keegan Bradley</v>
      </c>
      <c r="B58">
        <f t="shared" si="6"/>
        <v>57</v>
      </c>
      <c r="C58">
        <f t="shared" si="7"/>
        <v>0.65339999999999998</v>
      </c>
      <c r="D58">
        <f t="shared" si="8"/>
        <v>230</v>
      </c>
      <c r="E58">
        <f t="shared" si="9"/>
        <v>352</v>
      </c>
      <c r="G58">
        <v>57</v>
      </c>
      <c r="H58" t="s">
        <v>58</v>
      </c>
      <c r="I58" s="38">
        <v>0.65339999999999998</v>
      </c>
      <c r="J58" s="3">
        <v>230</v>
      </c>
      <c r="K58" s="3">
        <v>352</v>
      </c>
    </row>
    <row r="59" spans="1:11">
      <c r="A59" t="str">
        <f t="shared" si="5"/>
        <v>Ryo Hisatsune</v>
      </c>
      <c r="B59">
        <f t="shared" si="6"/>
        <v>58</v>
      </c>
      <c r="C59">
        <f t="shared" si="7"/>
        <v>0.65290000000000004</v>
      </c>
      <c r="D59">
        <f t="shared" si="8"/>
        <v>269</v>
      </c>
      <c r="E59">
        <f t="shared" si="9"/>
        <v>412</v>
      </c>
      <c r="G59">
        <v>58</v>
      </c>
      <c r="H59" t="s">
        <v>427</v>
      </c>
      <c r="I59" s="38">
        <v>0.65290000000000004</v>
      </c>
      <c r="J59" s="3">
        <v>269</v>
      </c>
      <c r="K59" s="3">
        <v>412</v>
      </c>
    </row>
    <row r="60" spans="1:11">
      <c r="A60" t="str">
        <f t="shared" ref="A60:A86" si="10">H60</f>
        <v>Viktor Hovland</v>
      </c>
      <c r="B60">
        <f t="shared" ref="B60:B86" si="11">G60</f>
        <v>59</v>
      </c>
      <c r="C60">
        <f t="shared" ref="C60:C86" si="12">I60</f>
        <v>0.65190000000000003</v>
      </c>
      <c r="D60">
        <f t="shared" ref="D60:D86" si="13">J60</f>
        <v>176</v>
      </c>
      <c r="E60">
        <f t="shared" ref="E60:E86" si="14">K60</f>
        <v>270</v>
      </c>
      <c r="G60">
        <v>59</v>
      </c>
      <c r="H60" t="s">
        <v>47</v>
      </c>
      <c r="I60" s="38">
        <v>0.65190000000000003</v>
      </c>
      <c r="J60" s="3">
        <v>176</v>
      </c>
      <c r="K60" s="3">
        <v>270</v>
      </c>
    </row>
    <row r="61" spans="1:11">
      <c r="A61" t="str">
        <f t="shared" si="10"/>
        <v>Carson Young</v>
      </c>
      <c r="B61">
        <f t="shared" si="11"/>
        <v>60</v>
      </c>
      <c r="C61">
        <f t="shared" si="12"/>
        <v>0.65180000000000005</v>
      </c>
      <c r="D61">
        <f t="shared" si="13"/>
        <v>249</v>
      </c>
      <c r="E61">
        <f t="shared" si="14"/>
        <v>382</v>
      </c>
      <c r="G61">
        <v>60</v>
      </c>
      <c r="H61" t="s">
        <v>136</v>
      </c>
      <c r="I61" s="38">
        <v>0.65180000000000005</v>
      </c>
      <c r="J61" s="3">
        <v>249</v>
      </c>
      <c r="K61" s="3">
        <v>382</v>
      </c>
    </row>
    <row r="62" spans="1:11">
      <c r="A62" t="str">
        <f t="shared" si="10"/>
        <v>Sahith Theegala</v>
      </c>
      <c r="B62">
        <f t="shared" si="11"/>
        <v>61</v>
      </c>
      <c r="C62">
        <f t="shared" si="12"/>
        <v>0.65149999999999997</v>
      </c>
      <c r="D62">
        <f t="shared" si="13"/>
        <v>301</v>
      </c>
      <c r="E62">
        <f t="shared" si="14"/>
        <v>462</v>
      </c>
      <c r="G62">
        <v>61</v>
      </c>
      <c r="H62" t="s">
        <v>64</v>
      </c>
      <c r="I62" s="38">
        <v>0.65149999999999997</v>
      </c>
      <c r="J62" s="3">
        <v>301</v>
      </c>
      <c r="K62" s="3">
        <v>462</v>
      </c>
    </row>
    <row r="63" spans="1:11">
      <c r="A63" t="str">
        <f t="shared" si="10"/>
        <v>Alex Noren</v>
      </c>
      <c r="B63">
        <f t="shared" si="11"/>
        <v>62</v>
      </c>
      <c r="C63">
        <f t="shared" si="12"/>
        <v>0.64970000000000006</v>
      </c>
      <c r="D63">
        <f t="shared" si="13"/>
        <v>243</v>
      </c>
      <c r="E63">
        <f t="shared" si="14"/>
        <v>374</v>
      </c>
      <c r="G63">
        <v>62</v>
      </c>
      <c r="H63" t="s">
        <v>95</v>
      </c>
      <c r="I63" s="38">
        <v>0.64970000000000006</v>
      </c>
      <c r="J63" s="3">
        <v>243</v>
      </c>
      <c r="K63" s="3">
        <v>374</v>
      </c>
    </row>
    <row r="64" spans="1:11">
      <c r="A64" t="str">
        <f t="shared" si="10"/>
        <v>Max Homa</v>
      </c>
      <c r="B64">
        <f t="shared" si="11"/>
        <v>63</v>
      </c>
      <c r="C64">
        <f t="shared" si="12"/>
        <v>0.64629999999999999</v>
      </c>
      <c r="D64">
        <f t="shared" si="13"/>
        <v>265</v>
      </c>
      <c r="E64">
        <f t="shared" si="14"/>
        <v>410</v>
      </c>
      <c r="G64">
        <v>63</v>
      </c>
      <c r="H64" t="s">
        <v>66</v>
      </c>
      <c r="I64" s="38">
        <v>0.64629999999999999</v>
      </c>
      <c r="J64" s="3">
        <v>265</v>
      </c>
      <c r="K64" s="3">
        <v>410</v>
      </c>
    </row>
    <row r="65" spans="1:11">
      <c r="A65" t="str">
        <f t="shared" si="10"/>
        <v>Ben Kohles</v>
      </c>
      <c r="B65">
        <f t="shared" si="11"/>
        <v>64</v>
      </c>
      <c r="C65">
        <f t="shared" si="12"/>
        <v>0.64259999999999995</v>
      </c>
      <c r="D65">
        <f t="shared" si="13"/>
        <v>205</v>
      </c>
      <c r="E65">
        <f t="shared" si="14"/>
        <v>319</v>
      </c>
      <c r="G65">
        <v>64</v>
      </c>
      <c r="H65" t="s">
        <v>419</v>
      </c>
      <c r="I65" s="38">
        <v>0.64259999999999995</v>
      </c>
      <c r="J65" s="3">
        <v>205</v>
      </c>
      <c r="K65" s="3">
        <v>319</v>
      </c>
    </row>
    <row r="66" spans="1:11">
      <c r="A66" t="str">
        <f t="shared" si="10"/>
        <v>Hideki Matsuyama</v>
      </c>
      <c r="B66">
        <f t="shared" si="11"/>
        <v>65</v>
      </c>
      <c r="C66">
        <f t="shared" si="12"/>
        <v>0.63970000000000005</v>
      </c>
      <c r="D66">
        <f t="shared" si="13"/>
        <v>316</v>
      </c>
      <c r="E66">
        <f t="shared" si="14"/>
        <v>494</v>
      </c>
      <c r="G66">
        <v>65</v>
      </c>
      <c r="H66" t="s">
        <v>129</v>
      </c>
      <c r="I66" s="38">
        <v>0.63970000000000005</v>
      </c>
      <c r="J66" s="3">
        <v>316</v>
      </c>
      <c r="K66" s="3">
        <v>494</v>
      </c>
    </row>
    <row r="67" spans="1:11">
      <c r="A67" t="str">
        <f t="shared" si="10"/>
        <v>Jordan Spieth</v>
      </c>
      <c r="B67">
        <f t="shared" si="11"/>
        <v>66</v>
      </c>
      <c r="C67">
        <f t="shared" si="12"/>
        <v>0.6391</v>
      </c>
      <c r="D67">
        <f t="shared" si="13"/>
        <v>216</v>
      </c>
      <c r="E67">
        <f t="shared" si="14"/>
        <v>338</v>
      </c>
      <c r="G67">
        <v>66</v>
      </c>
      <c r="H67" t="s">
        <v>76</v>
      </c>
      <c r="I67" s="38">
        <v>0.6391</v>
      </c>
      <c r="J67" s="3">
        <v>216</v>
      </c>
      <c r="K67" s="3">
        <v>338</v>
      </c>
    </row>
    <row r="68" spans="1:11">
      <c r="A68" t="str">
        <f t="shared" si="10"/>
        <v>Stephan Jaeger</v>
      </c>
      <c r="B68">
        <f t="shared" si="11"/>
        <v>67</v>
      </c>
      <c r="C68">
        <f t="shared" si="12"/>
        <v>0.6351</v>
      </c>
      <c r="D68">
        <f t="shared" si="13"/>
        <v>235</v>
      </c>
      <c r="E68">
        <f t="shared" si="14"/>
        <v>370</v>
      </c>
      <c r="G68">
        <v>67</v>
      </c>
      <c r="H68" t="s">
        <v>52</v>
      </c>
      <c r="I68" s="38">
        <v>0.6351</v>
      </c>
      <c r="J68" s="3">
        <v>235</v>
      </c>
      <c r="K68" s="3">
        <v>370</v>
      </c>
    </row>
    <row r="69" spans="1:11">
      <c r="A69" t="str">
        <f t="shared" si="10"/>
        <v>Andrew Putnam</v>
      </c>
      <c r="B69">
        <f t="shared" si="11"/>
        <v>68</v>
      </c>
      <c r="C69">
        <f t="shared" si="12"/>
        <v>0.63300000000000001</v>
      </c>
      <c r="D69">
        <f t="shared" si="13"/>
        <v>276</v>
      </c>
      <c r="E69">
        <f t="shared" si="14"/>
        <v>436</v>
      </c>
      <c r="G69">
        <v>68</v>
      </c>
      <c r="H69" t="s">
        <v>183</v>
      </c>
      <c r="I69" s="38">
        <v>0.63300000000000001</v>
      </c>
      <c r="J69" s="3">
        <v>276</v>
      </c>
      <c r="K69" s="3">
        <v>436</v>
      </c>
    </row>
    <row r="70" spans="1:11">
      <c r="A70" t="str">
        <f t="shared" si="10"/>
        <v>Mark Hubbard</v>
      </c>
      <c r="B70">
        <f t="shared" si="11"/>
        <v>69</v>
      </c>
      <c r="C70">
        <f t="shared" si="12"/>
        <v>0.63280000000000003</v>
      </c>
      <c r="D70">
        <f t="shared" si="13"/>
        <v>305</v>
      </c>
      <c r="E70">
        <f t="shared" si="14"/>
        <v>482</v>
      </c>
      <c r="G70">
        <v>69</v>
      </c>
      <c r="H70" t="s">
        <v>162</v>
      </c>
      <c r="I70" s="38">
        <v>0.63280000000000003</v>
      </c>
      <c r="J70" s="3">
        <v>305</v>
      </c>
      <c r="K70" s="3">
        <v>482</v>
      </c>
    </row>
    <row r="71" spans="1:11">
      <c r="A71" t="str">
        <f t="shared" si="10"/>
        <v>Joel Dahmen</v>
      </c>
      <c r="B71">
        <f t="shared" si="11"/>
        <v>70</v>
      </c>
      <c r="C71">
        <f t="shared" si="12"/>
        <v>0.6321</v>
      </c>
      <c r="D71">
        <f t="shared" si="13"/>
        <v>244</v>
      </c>
      <c r="E71">
        <f t="shared" si="14"/>
        <v>386</v>
      </c>
      <c r="G71">
        <v>70</v>
      </c>
      <c r="H71" t="s">
        <v>137</v>
      </c>
      <c r="I71" s="38">
        <v>0.6321</v>
      </c>
      <c r="J71" s="3">
        <v>244</v>
      </c>
      <c r="K71" s="3">
        <v>386</v>
      </c>
    </row>
    <row r="72" spans="1:11">
      <c r="A72" t="str">
        <f t="shared" si="10"/>
        <v>Taylor Moore</v>
      </c>
      <c r="B72">
        <f t="shared" si="11"/>
        <v>71</v>
      </c>
      <c r="C72">
        <f t="shared" si="12"/>
        <v>0.63170000000000004</v>
      </c>
      <c r="D72">
        <f t="shared" si="13"/>
        <v>307</v>
      </c>
      <c r="E72">
        <f t="shared" si="14"/>
        <v>486</v>
      </c>
      <c r="G72">
        <v>71</v>
      </c>
      <c r="H72" t="s">
        <v>49</v>
      </c>
      <c r="I72" s="38">
        <v>0.63170000000000004</v>
      </c>
      <c r="J72" s="3">
        <v>307</v>
      </c>
      <c r="K72" s="3">
        <v>486</v>
      </c>
    </row>
    <row r="73" spans="1:11">
      <c r="A73" t="str">
        <f t="shared" si="10"/>
        <v>Greyson Sigg</v>
      </c>
      <c r="B73">
        <f t="shared" si="11"/>
        <v>72</v>
      </c>
      <c r="C73">
        <f t="shared" si="12"/>
        <v>0.62890000000000001</v>
      </c>
      <c r="D73">
        <f t="shared" si="13"/>
        <v>239</v>
      </c>
      <c r="E73">
        <f t="shared" si="14"/>
        <v>380</v>
      </c>
      <c r="G73">
        <v>72</v>
      </c>
      <c r="H73" t="s">
        <v>134</v>
      </c>
      <c r="I73" s="38">
        <v>0.62890000000000001</v>
      </c>
      <c r="J73" s="3">
        <v>239</v>
      </c>
      <c r="K73" s="3">
        <v>380</v>
      </c>
    </row>
    <row r="74" spans="1:11">
      <c r="A74" t="str">
        <f t="shared" si="10"/>
        <v>Camilo Villegas</v>
      </c>
      <c r="B74">
        <f t="shared" si="11"/>
        <v>73</v>
      </c>
      <c r="C74">
        <f t="shared" si="12"/>
        <v>0.62829999999999997</v>
      </c>
      <c r="D74">
        <f t="shared" si="13"/>
        <v>169</v>
      </c>
      <c r="E74">
        <f t="shared" si="14"/>
        <v>269</v>
      </c>
      <c r="G74">
        <v>73</v>
      </c>
      <c r="H74" t="s">
        <v>222</v>
      </c>
      <c r="I74" s="38">
        <v>0.62829999999999997</v>
      </c>
      <c r="J74" s="3">
        <v>169</v>
      </c>
      <c r="K74" s="3">
        <v>269</v>
      </c>
    </row>
    <row r="75" spans="1:11">
      <c r="A75" t="str">
        <f t="shared" si="10"/>
        <v>Ben Silverman</v>
      </c>
      <c r="B75">
        <f t="shared" si="11"/>
        <v>74</v>
      </c>
      <c r="C75">
        <f t="shared" si="12"/>
        <v>0.62790000000000001</v>
      </c>
      <c r="D75">
        <f t="shared" si="13"/>
        <v>275</v>
      </c>
      <c r="E75">
        <f t="shared" si="14"/>
        <v>438</v>
      </c>
      <c r="G75">
        <v>74</v>
      </c>
      <c r="H75" t="s">
        <v>433</v>
      </c>
      <c r="I75" s="38">
        <v>0.62790000000000001</v>
      </c>
      <c r="J75" s="3">
        <v>275</v>
      </c>
      <c r="K75" s="3">
        <v>438</v>
      </c>
    </row>
    <row r="76" spans="1:11">
      <c r="A76" t="str">
        <f t="shared" si="10"/>
        <v>C.T. Pan</v>
      </c>
      <c r="B76">
        <f t="shared" si="11"/>
        <v>75</v>
      </c>
      <c r="C76">
        <f t="shared" si="12"/>
        <v>0.62649999999999995</v>
      </c>
      <c r="D76">
        <f t="shared" si="13"/>
        <v>208</v>
      </c>
      <c r="E76">
        <f t="shared" si="14"/>
        <v>332</v>
      </c>
      <c r="G76">
        <v>75</v>
      </c>
      <c r="H76" t="s">
        <v>131</v>
      </c>
      <c r="I76" s="38">
        <v>0.62649999999999995</v>
      </c>
      <c r="J76" s="3">
        <v>208</v>
      </c>
      <c r="K76" s="3">
        <v>332</v>
      </c>
    </row>
    <row r="77" spans="1:11">
      <c r="A77" t="str">
        <f t="shared" si="10"/>
        <v>Luke List</v>
      </c>
      <c r="B77">
        <f t="shared" si="11"/>
        <v>76</v>
      </c>
      <c r="C77">
        <f t="shared" si="12"/>
        <v>0.62390000000000001</v>
      </c>
      <c r="D77">
        <f t="shared" si="13"/>
        <v>272</v>
      </c>
      <c r="E77">
        <f t="shared" si="14"/>
        <v>436</v>
      </c>
      <c r="G77">
        <v>76</v>
      </c>
      <c r="H77" t="s">
        <v>23</v>
      </c>
      <c r="I77" s="38">
        <v>0.62390000000000001</v>
      </c>
      <c r="J77" s="3">
        <v>272</v>
      </c>
      <c r="K77" s="3">
        <v>436</v>
      </c>
    </row>
    <row r="78" spans="1:11">
      <c r="A78" t="str">
        <f t="shared" si="10"/>
        <v>Chad Ramey</v>
      </c>
      <c r="B78">
        <f t="shared" si="11"/>
        <v>77</v>
      </c>
      <c r="C78">
        <f t="shared" si="12"/>
        <v>0.62150000000000005</v>
      </c>
      <c r="D78">
        <f t="shared" si="13"/>
        <v>220</v>
      </c>
      <c r="E78">
        <f t="shared" si="14"/>
        <v>354</v>
      </c>
      <c r="G78">
        <v>77</v>
      </c>
      <c r="H78" t="s">
        <v>148</v>
      </c>
      <c r="I78" s="38">
        <v>0.62150000000000005</v>
      </c>
      <c r="J78" s="3">
        <v>220</v>
      </c>
      <c r="K78" s="3">
        <v>354</v>
      </c>
    </row>
    <row r="79" spans="1:11">
      <c r="A79" t="str">
        <f t="shared" si="10"/>
        <v>Chan Kim</v>
      </c>
      <c r="B79">
        <f t="shared" si="11"/>
        <v>78</v>
      </c>
      <c r="C79">
        <f t="shared" si="12"/>
        <v>0.61929999999999996</v>
      </c>
      <c r="D79">
        <f t="shared" si="13"/>
        <v>270</v>
      </c>
      <c r="E79">
        <f t="shared" si="14"/>
        <v>436</v>
      </c>
      <c r="G79">
        <v>78</v>
      </c>
      <c r="H79" t="s">
        <v>424</v>
      </c>
      <c r="I79" s="38">
        <v>0.61929999999999996</v>
      </c>
      <c r="J79" s="3">
        <v>270</v>
      </c>
      <c r="K79" s="3">
        <v>436</v>
      </c>
    </row>
    <row r="80" spans="1:11">
      <c r="A80" t="str">
        <f t="shared" si="10"/>
        <v>Martin Laird</v>
      </c>
      <c r="B80">
        <f t="shared" si="11"/>
        <v>79</v>
      </c>
      <c r="C80">
        <f t="shared" si="12"/>
        <v>0.61860000000000004</v>
      </c>
      <c r="D80">
        <f t="shared" si="13"/>
        <v>240</v>
      </c>
      <c r="E80">
        <f t="shared" si="14"/>
        <v>388</v>
      </c>
      <c r="G80">
        <v>79</v>
      </c>
      <c r="H80" t="s">
        <v>161</v>
      </c>
      <c r="I80" s="38">
        <v>0.61860000000000004</v>
      </c>
      <c r="J80" s="3">
        <v>240</v>
      </c>
      <c r="K80" s="3">
        <v>388</v>
      </c>
    </row>
    <row r="81" spans="1:11">
      <c r="A81" t="str">
        <f t="shared" si="10"/>
        <v>Jake Knapp</v>
      </c>
      <c r="B81">
        <f t="shared" si="11"/>
        <v>80</v>
      </c>
      <c r="C81">
        <f t="shared" si="12"/>
        <v>0.61839999999999995</v>
      </c>
      <c r="D81">
        <f t="shared" si="13"/>
        <v>256</v>
      </c>
      <c r="E81">
        <f t="shared" si="14"/>
        <v>414</v>
      </c>
      <c r="G81">
        <v>80</v>
      </c>
      <c r="H81" t="s">
        <v>492</v>
      </c>
      <c r="I81" s="38">
        <v>0.61839999999999995</v>
      </c>
      <c r="J81" s="3">
        <v>256</v>
      </c>
      <c r="K81" s="3">
        <v>414</v>
      </c>
    </row>
    <row r="82" spans="1:11">
      <c r="A82" t="str">
        <f t="shared" si="10"/>
        <v>Matt Kuchar</v>
      </c>
      <c r="B82">
        <f t="shared" si="11"/>
        <v>81</v>
      </c>
      <c r="C82">
        <f t="shared" si="12"/>
        <v>0.61829999999999996</v>
      </c>
      <c r="D82">
        <f t="shared" si="13"/>
        <v>162</v>
      </c>
      <c r="E82">
        <f t="shared" si="14"/>
        <v>262</v>
      </c>
      <c r="G82">
        <v>81</v>
      </c>
      <c r="H82" t="s">
        <v>144</v>
      </c>
      <c r="I82" s="38">
        <v>0.61829999999999996</v>
      </c>
      <c r="J82" s="3">
        <v>162</v>
      </c>
      <c r="K82" s="3">
        <v>262</v>
      </c>
    </row>
    <row r="83" spans="1:11">
      <c r="A83" t="str">
        <f t="shared" si="10"/>
        <v>Nico Echavarria</v>
      </c>
      <c r="B83">
        <f t="shared" si="11"/>
        <v>82</v>
      </c>
      <c r="C83">
        <f t="shared" si="12"/>
        <v>0.61719999999999997</v>
      </c>
      <c r="D83">
        <f t="shared" si="13"/>
        <v>258</v>
      </c>
      <c r="E83">
        <f t="shared" si="14"/>
        <v>418</v>
      </c>
      <c r="G83">
        <v>82</v>
      </c>
      <c r="H83" t="s">
        <v>103</v>
      </c>
      <c r="I83" s="38">
        <v>0.61719999999999997</v>
      </c>
      <c r="J83" s="3">
        <v>258</v>
      </c>
      <c r="K83" s="3">
        <v>418</v>
      </c>
    </row>
    <row r="84" spans="1:11">
      <c r="A84" t="str">
        <f t="shared" si="10"/>
        <v>Webb Simpson</v>
      </c>
      <c r="B84">
        <f t="shared" si="11"/>
        <v>82</v>
      </c>
      <c r="C84">
        <f t="shared" si="12"/>
        <v>0.61719999999999997</v>
      </c>
      <c r="D84">
        <f t="shared" si="13"/>
        <v>179</v>
      </c>
      <c r="E84">
        <f t="shared" si="14"/>
        <v>290</v>
      </c>
      <c r="G84">
        <v>82</v>
      </c>
      <c r="H84" t="s">
        <v>102</v>
      </c>
      <c r="I84" s="38">
        <v>0.61719999999999997</v>
      </c>
      <c r="J84" s="3">
        <v>179</v>
      </c>
      <c r="K84" s="3">
        <v>290</v>
      </c>
    </row>
    <row r="85" spans="1:11">
      <c r="A85" t="str">
        <f t="shared" si="10"/>
        <v>Billy Horschel</v>
      </c>
      <c r="B85">
        <f t="shared" si="11"/>
        <v>84</v>
      </c>
      <c r="C85">
        <f t="shared" si="12"/>
        <v>0.61519999999999997</v>
      </c>
      <c r="D85">
        <f t="shared" si="13"/>
        <v>219</v>
      </c>
      <c r="E85">
        <f t="shared" si="14"/>
        <v>356</v>
      </c>
      <c r="G85">
        <v>84</v>
      </c>
      <c r="H85" t="s">
        <v>115</v>
      </c>
      <c r="I85" s="38">
        <v>0.61519999999999997</v>
      </c>
      <c r="J85" s="3">
        <v>219</v>
      </c>
      <c r="K85" s="3">
        <v>356</v>
      </c>
    </row>
    <row r="86" spans="1:11">
      <c r="A86" t="str">
        <f t="shared" si="10"/>
        <v>Nick Taylor</v>
      </c>
      <c r="B86">
        <f t="shared" si="11"/>
        <v>84</v>
      </c>
      <c r="C86">
        <f t="shared" si="12"/>
        <v>0.61519999999999997</v>
      </c>
      <c r="D86">
        <f t="shared" si="13"/>
        <v>267</v>
      </c>
      <c r="E86">
        <f t="shared" si="14"/>
        <v>434</v>
      </c>
      <c r="G86">
        <v>84</v>
      </c>
      <c r="H86" t="s">
        <v>158</v>
      </c>
      <c r="I86" s="38">
        <v>0.61519999999999997</v>
      </c>
      <c r="J86" s="3">
        <v>267</v>
      </c>
      <c r="K86" s="3">
        <v>434</v>
      </c>
    </row>
    <row r="87" spans="1:11">
      <c r="A87" t="str">
        <f t="shared" ref="A87:A100" si="15">H87</f>
        <v>Sami Valimaki</v>
      </c>
      <c r="B87">
        <f t="shared" ref="B87:B100" si="16">G87</f>
        <v>84</v>
      </c>
      <c r="C87">
        <f t="shared" ref="C87:C100" si="17">I87</f>
        <v>0.61519999999999997</v>
      </c>
      <c r="D87">
        <f t="shared" ref="D87:D100" si="18">J87</f>
        <v>219</v>
      </c>
      <c r="E87">
        <f t="shared" ref="E87:E100" si="19">K87</f>
        <v>356</v>
      </c>
      <c r="G87">
        <v>84</v>
      </c>
      <c r="H87" t="s">
        <v>488</v>
      </c>
      <c r="I87" s="38">
        <v>0.61519999999999997</v>
      </c>
      <c r="J87" s="3">
        <v>219</v>
      </c>
      <c r="K87" s="3">
        <v>356</v>
      </c>
    </row>
    <row r="88" spans="1:11">
      <c r="A88" t="str">
        <f t="shared" si="15"/>
        <v>Byeong Hun An</v>
      </c>
      <c r="B88">
        <f t="shared" si="16"/>
        <v>87</v>
      </c>
      <c r="C88">
        <f t="shared" si="17"/>
        <v>0.61419999999999997</v>
      </c>
      <c r="D88">
        <f t="shared" si="18"/>
        <v>269</v>
      </c>
      <c r="E88">
        <f t="shared" si="19"/>
        <v>438</v>
      </c>
      <c r="G88">
        <v>87</v>
      </c>
      <c r="H88" t="s">
        <v>10</v>
      </c>
      <c r="I88" s="38">
        <v>0.61419999999999997</v>
      </c>
      <c r="J88" s="3">
        <v>269</v>
      </c>
      <c r="K88" s="3">
        <v>438</v>
      </c>
    </row>
    <row r="89" spans="1:11">
      <c r="A89" t="str">
        <f t="shared" si="15"/>
        <v>Roger Sloan</v>
      </c>
      <c r="B89">
        <f t="shared" si="16"/>
        <v>88</v>
      </c>
      <c r="C89">
        <f t="shared" si="17"/>
        <v>0.61160000000000003</v>
      </c>
      <c r="D89">
        <f t="shared" si="18"/>
        <v>148</v>
      </c>
      <c r="E89">
        <f t="shared" si="19"/>
        <v>242</v>
      </c>
      <c r="G89">
        <v>88</v>
      </c>
      <c r="H89" t="s">
        <v>393</v>
      </c>
      <c r="I89" s="38">
        <v>0.61160000000000003</v>
      </c>
      <c r="J89" s="3">
        <v>148</v>
      </c>
      <c r="K89" s="3">
        <v>242</v>
      </c>
    </row>
    <row r="90" spans="1:11">
      <c r="A90" t="str">
        <f t="shared" si="15"/>
        <v>Sam Ryder</v>
      </c>
      <c r="B90">
        <f t="shared" si="16"/>
        <v>89</v>
      </c>
      <c r="C90">
        <f t="shared" si="17"/>
        <v>0.61080000000000001</v>
      </c>
      <c r="D90">
        <f t="shared" si="18"/>
        <v>226</v>
      </c>
      <c r="E90">
        <f t="shared" si="19"/>
        <v>370</v>
      </c>
      <c r="G90">
        <v>89</v>
      </c>
      <c r="H90" t="s">
        <v>146</v>
      </c>
      <c r="I90" s="38">
        <v>0.61080000000000001</v>
      </c>
      <c r="J90" s="3">
        <v>226</v>
      </c>
      <c r="K90" s="3">
        <v>370</v>
      </c>
    </row>
    <row r="91" spans="1:11">
      <c r="A91" t="str">
        <f t="shared" si="15"/>
        <v>Jorge Campillo</v>
      </c>
      <c r="B91">
        <f t="shared" si="16"/>
        <v>90</v>
      </c>
      <c r="C91">
        <f t="shared" si="17"/>
        <v>0.60740000000000005</v>
      </c>
      <c r="D91">
        <f t="shared" si="18"/>
        <v>147</v>
      </c>
      <c r="E91">
        <f t="shared" si="19"/>
        <v>242</v>
      </c>
      <c r="G91">
        <v>90</v>
      </c>
      <c r="H91" t="s">
        <v>693</v>
      </c>
      <c r="I91" s="38">
        <v>0.60740000000000005</v>
      </c>
      <c r="J91" s="3">
        <v>147</v>
      </c>
      <c r="K91" s="3">
        <v>242</v>
      </c>
    </row>
    <row r="92" spans="1:11">
      <c r="A92" t="str">
        <f t="shared" si="15"/>
        <v>Dylan Wu</v>
      </c>
      <c r="B92">
        <f t="shared" si="16"/>
        <v>91</v>
      </c>
      <c r="C92">
        <f t="shared" si="17"/>
        <v>0.60550000000000004</v>
      </c>
      <c r="D92">
        <f t="shared" si="18"/>
        <v>264</v>
      </c>
      <c r="E92">
        <f t="shared" si="19"/>
        <v>436</v>
      </c>
      <c r="G92">
        <v>91</v>
      </c>
      <c r="H92" t="s">
        <v>118</v>
      </c>
      <c r="I92" s="38">
        <v>0.60550000000000004</v>
      </c>
      <c r="J92" s="3">
        <v>264</v>
      </c>
      <c r="K92" s="3">
        <v>436</v>
      </c>
    </row>
    <row r="93" spans="1:11">
      <c r="A93" t="str">
        <f t="shared" si="15"/>
        <v>Seamus Power</v>
      </c>
      <c r="B93">
        <f t="shared" si="16"/>
        <v>92</v>
      </c>
      <c r="C93">
        <f t="shared" si="17"/>
        <v>0.60409999999999997</v>
      </c>
      <c r="D93">
        <f t="shared" si="18"/>
        <v>296</v>
      </c>
      <c r="E93">
        <f t="shared" si="19"/>
        <v>490</v>
      </c>
      <c r="G93">
        <v>92</v>
      </c>
      <c r="H93" t="s">
        <v>105</v>
      </c>
      <c r="I93" s="38">
        <v>0.60409999999999997</v>
      </c>
      <c r="J93" s="3">
        <v>296</v>
      </c>
      <c r="K93" s="3">
        <v>490</v>
      </c>
    </row>
    <row r="94" spans="1:11">
      <c r="A94" t="str">
        <f t="shared" si="15"/>
        <v>K.H. Lee</v>
      </c>
      <c r="B94">
        <f t="shared" si="16"/>
        <v>93</v>
      </c>
      <c r="C94">
        <f t="shared" si="17"/>
        <v>0.60170000000000001</v>
      </c>
      <c r="D94">
        <f t="shared" si="18"/>
        <v>213</v>
      </c>
      <c r="E94">
        <f t="shared" si="19"/>
        <v>354</v>
      </c>
      <c r="G94">
        <v>93</v>
      </c>
      <c r="H94" t="s">
        <v>92</v>
      </c>
      <c r="I94" s="38">
        <v>0.60170000000000001</v>
      </c>
      <c r="J94" s="3">
        <v>213</v>
      </c>
      <c r="K94" s="3">
        <v>354</v>
      </c>
    </row>
    <row r="95" spans="1:11">
      <c r="A95" t="str">
        <f t="shared" si="15"/>
        <v>Hayden Buckley</v>
      </c>
      <c r="B95">
        <f t="shared" si="16"/>
        <v>94</v>
      </c>
      <c r="C95">
        <f t="shared" si="17"/>
        <v>0.60129999999999995</v>
      </c>
      <c r="D95">
        <f t="shared" si="18"/>
        <v>190</v>
      </c>
      <c r="E95">
        <f t="shared" si="19"/>
        <v>316</v>
      </c>
      <c r="G95">
        <v>94</v>
      </c>
      <c r="H95" t="s">
        <v>60</v>
      </c>
      <c r="I95" s="38">
        <v>0.60129999999999995</v>
      </c>
      <c r="J95" s="3">
        <v>190</v>
      </c>
      <c r="K95" s="3">
        <v>316</v>
      </c>
    </row>
    <row r="96" spans="1:11">
      <c r="A96" t="str">
        <f t="shared" si="15"/>
        <v>Keith Mitchell</v>
      </c>
      <c r="B96">
        <f t="shared" si="16"/>
        <v>95</v>
      </c>
      <c r="C96">
        <f t="shared" si="17"/>
        <v>0.6</v>
      </c>
      <c r="D96">
        <f t="shared" si="18"/>
        <v>288</v>
      </c>
      <c r="E96">
        <f t="shared" si="19"/>
        <v>480</v>
      </c>
      <c r="G96">
        <v>95</v>
      </c>
      <c r="H96" t="s">
        <v>14</v>
      </c>
      <c r="I96" s="38">
        <v>0.6</v>
      </c>
      <c r="J96" s="3">
        <v>288</v>
      </c>
      <c r="K96" s="3">
        <v>480</v>
      </c>
    </row>
    <row r="97" spans="1:11">
      <c r="A97" t="str">
        <f t="shared" si="15"/>
        <v>Tom Whitney</v>
      </c>
      <c r="B97">
        <f t="shared" si="16"/>
        <v>95</v>
      </c>
      <c r="C97">
        <f t="shared" si="17"/>
        <v>0.6</v>
      </c>
      <c r="D97">
        <f t="shared" si="18"/>
        <v>180</v>
      </c>
      <c r="E97">
        <f t="shared" si="19"/>
        <v>300</v>
      </c>
      <c r="G97">
        <v>95</v>
      </c>
      <c r="H97" t="s">
        <v>563</v>
      </c>
      <c r="I97" s="38">
        <v>0.6</v>
      </c>
      <c r="J97" s="3">
        <v>180</v>
      </c>
      <c r="K97" s="3">
        <v>300</v>
      </c>
    </row>
    <row r="98" spans="1:11">
      <c r="A98" t="str">
        <f t="shared" si="15"/>
        <v>Justin Thomas</v>
      </c>
      <c r="B98">
        <f t="shared" si="16"/>
        <v>97</v>
      </c>
      <c r="C98">
        <f t="shared" si="17"/>
        <v>0.59919999999999995</v>
      </c>
      <c r="D98">
        <f t="shared" si="18"/>
        <v>157</v>
      </c>
      <c r="E98">
        <f t="shared" si="19"/>
        <v>262</v>
      </c>
      <c r="G98">
        <v>97</v>
      </c>
      <c r="H98" t="s">
        <v>42</v>
      </c>
      <c r="I98" s="38">
        <v>0.59919999999999995</v>
      </c>
      <c r="J98" s="3">
        <v>157</v>
      </c>
      <c r="K98" s="3">
        <v>262</v>
      </c>
    </row>
    <row r="99" spans="1:11">
      <c r="A99" t="str">
        <f t="shared" si="15"/>
        <v>Victor Perez</v>
      </c>
      <c r="B99">
        <f t="shared" si="16"/>
        <v>98</v>
      </c>
      <c r="C99">
        <f t="shared" si="17"/>
        <v>0.59889999999999999</v>
      </c>
      <c r="D99">
        <f t="shared" si="18"/>
        <v>212</v>
      </c>
      <c r="E99">
        <f t="shared" si="19"/>
        <v>354</v>
      </c>
      <c r="G99">
        <v>98</v>
      </c>
      <c r="H99" t="s">
        <v>632</v>
      </c>
      <c r="I99" s="38">
        <v>0.59889999999999999</v>
      </c>
      <c r="J99">
        <v>212</v>
      </c>
      <c r="K99" s="3">
        <v>354</v>
      </c>
    </row>
    <row r="100" spans="1:11">
      <c r="A100" t="str">
        <f t="shared" si="15"/>
        <v>Brandon Wu</v>
      </c>
      <c r="B100">
        <f t="shared" si="16"/>
        <v>99</v>
      </c>
      <c r="C100">
        <f t="shared" si="17"/>
        <v>0.5988</v>
      </c>
      <c r="D100">
        <f t="shared" si="18"/>
        <v>206</v>
      </c>
      <c r="E100">
        <f t="shared" si="19"/>
        <v>344</v>
      </c>
      <c r="G100">
        <v>99</v>
      </c>
      <c r="H100" t="s">
        <v>133</v>
      </c>
      <c r="I100" s="38">
        <v>0.5988</v>
      </c>
      <c r="J100" s="3">
        <v>206</v>
      </c>
      <c r="K100" s="3">
        <v>344</v>
      </c>
    </row>
    <row r="101" spans="1:11">
      <c r="A101" t="str">
        <f t="shared" ref="A101:A120" si="20">H101</f>
        <v>Adam Svensson</v>
      </c>
      <c r="B101">
        <f t="shared" ref="B101:B120" si="21">G101</f>
        <v>100</v>
      </c>
      <c r="C101">
        <f t="shared" ref="C101:C120" si="22">I101</f>
        <v>0.59730000000000005</v>
      </c>
      <c r="D101">
        <f t="shared" ref="D101:D120" si="23">J101</f>
        <v>307</v>
      </c>
      <c r="E101">
        <f t="shared" ref="E101:E120" si="24">K101</f>
        <v>514</v>
      </c>
      <c r="G101">
        <v>100</v>
      </c>
      <c r="H101" t="s">
        <v>130</v>
      </c>
      <c r="I101" s="38">
        <v>0.59730000000000005</v>
      </c>
      <c r="J101" s="3">
        <v>307</v>
      </c>
      <c r="K101" s="3">
        <v>514</v>
      </c>
    </row>
    <row r="102" spans="1:11">
      <c r="A102" t="str">
        <f t="shared" si="20"/>
        <v>Jimmy Stanger</v>
      </c>
      <c r="B102">
        <f t="shared" si="21"/>
        <v>101</v>
      </c>
      <c r="C102">
        <f t="shared" si="22"/>
        <v>0.59089999999999998</v>
      </c>
      <c r="D102">
        <f t="shared" si="23"/>
        <v>195</v>
      </c>
      <c r="E102">
        <f t="shared" si="24"/>
        <v>330</v>
      </c>
      <c r="G102">
        <v>101</v>
      </c>
      <c r="H102" t="s">
        <v>495</v>
      </c>
      <c r="I102" s="38">
        <v>0.59089999999999998</v>
      </c>
      <c r="J102" s="3">
        <v>195</v>
      </c>
      <c r="K102" s="3">
        <v>330</v>
      </c>
    </row>
    <row r="103" spans="1:11">
      <c r="A103" t="str">
        <f t="shared" si="20"/>
        <v>Bud Cauley</v>
      </c>
      <c r="B103">
        <f t="shared" si="21"/>
        <v>102</v>
      </c>
      <c r="C103">
        <f t="shared" si="22"/>
        <v>0.58940000000000003</v>
      </c>
      <c r="D103">
        <f t="shared" si="23"/>
        <v>145</v>
      </c>
      <c r="E103">
        <f t="shared" si="24"/>
        <v>246</v>
      </c>
      <c r="G103">
        <v>102</v>
      </c>
      <c r="H103" t="s">
        <v>633</v>
      </c>
      <c r="I103" s="38">
        <v>0.58940000000000003</v>
      </c>
      <c r="J103" s="3">
        <v>145</v>
      </c>
      <c r="K103" s="3">
        <v>246</v>
      </c>
    </row>
    <row r="104" spans="1:11">
      <c r="A104" t="str">
        <f t="shared" si="20"/>
        <v>Kevin Yu</v>
      </c>
      <c r="B104">
        <f t="shared" si="21"/>
        <v>103</v>
      </c>
      <c r="C104">
        <f t="shared" si="22"/>
        <v>0.58620000000000005</v>
      </c>
      <c r="D104">
        <f t="shared" si="23"/>
        <v>204</v>
      </c>
      <c r="E104">
        <f t="shared" si="24"/>
        <v>348</v>
      </c>
      <c r="G104">
        <v>103</v>
      </c>
      <c r="H104" t="s">
        <v>26</v>
      </c>
      <c r="I104" s="38">
        <v>0.58620000000000005</v>
      </c>
      <c r="J104" s="3">
        <v>204</v>
      </c>
      <c r="K104" s="3">
        <v>348</v>
      </c>
    </row>
    <row r="105" spans="1:11">
      <c r="A105" t="str">
        <f t="shared" si="20"/>
        <v>Tom Hoge</v>
      </c>
      <c r="B105">
        <f t="shared" si="21"/>
        <v>104</v>
      </c>
      <c r="C105">
        <f t="shared" si="22"/>
        <v>0.58489999999999998</v>
      </c>
      <c r="D105">
        <f t="shared" si="23"/>
        <v>303</v>
      </c>
      <c r="E105">
        <f t="shared" si="24"/>
        <v>518</v>
      </c>
      <c r="G105">
        <v>104</v>
      </c>
      <c r="H105" t="s">
        <v>139</v>
      </c>
      <c r="I105" s="38">
        <v>0.58489999999999998</v>
      </c>
      <c r="J105" s="3">
        <v>303</v>
      </c>
      <c r="K105" s="3">
        <v>518</v>
      </c>
    </row>
    <row r="106" spans="1:11">
      <c r="A106" t="str">
        <f t="shared" si="20"/>
        <v>David Lipsky</v>
      </c>
      <c r="B106">
        <f t="shared" si="21"/>
        <v>105</v>
      </c>
      <c r="C106">
        <f t="shared" si="22"/>
        <v>0.58479999999999999</v>
      </c>
      <c r="D106">
        <f t="shared" si="23"/>
        <v>193</v>
      </c>
      <c r="E106">
        <f t="shared" si="24"/>
        <v>330</v>
      </c>
      <c r="G106">
        <v>105</v>
      </c>
      <c r="H106" t="s">
        <v>163</v>
      </c>
      <c r="I106" s="38">
        <v>0.58479999999999999</v>
      </c>
      <c r="J106" s="3">
        <v>193</v>
      </c>
      <c r="K106" s="3">
        <v>330</v>
      </c>
    </row>
    <row r="107" spans="1:11">
      <c r="A107" t="str">
        <f t="shared" si="20"/>
        <v>Matt NeSmith</v>
      </c>
      <c r="B107">
        <f t="shared" si="21"/>
        <v>105</v>
      </c>
      <c r="C107">
        <f t="shared" si="22"/>
        <v>0.58479999999999999</v>
      </c>
      <c r="D107">
        <f t="shared" si="23"/>
        <v>193</v>
      </c>
      <c r="E107">
        <f t="shared" si="24"/>
        <v>330</v>
      </c>
      <c r="G107">
        <v>105</v>
      </c>
      <c r="H107" t="s">
        <v>443</v>
      </c>
      <c r="I107" s="38">
        <v>0.58479999999999999</v>
      </c>
      <c r="J107" s="3">
        <v>193</v>
      </c>
      <c r="K107" s="3">
        <v>330</v>
      </c>
    </row>
    <row r="108" spans="1:11">
      <c r="A108" t="str">
        <f t="shared" si="20"/>
        <v>Chez Reavie</v>
      </c>
      <c r="B108">
        <f t="shared" si="21"/>
        <v>107</v>
      </c>
      <c r="C108">
        <f t="shared" si="22"/>
        <v>0.58460000000000001</v>
      </c>
      <c r="D108">
        <f t="shared" si="23"/>
        <v>159</v>
      </c>
      <c r="E108">
        <f t="shared" si="24"/>
        <v>272</v>
      </c>
      <c r="G108">
        <v>107</v>
      </c>
      <c r="H108" t="s">
        <v>177</v>
      </c>
      <c r="I108" s="38">
        <v>0.58460000000000001</v>
      </c>
      <c r="J108" s="3">
        <v>159</v>
      </c>
      <c r="K108" s="3">
        <v>272</v>
      </c>
    </row>
    <row r="109" spans="1:11">
      <c r="A109" t="str">
        <f t="shared" si="20"/>
        <v>Harrison Endycott</v>
      </c>
      <c r="B109">
        <f t="shared" si="21"/>
        <v>108</v>
      </c>
      <c r="C109">
        <f t="shared" si="22"/>
        <v>0.58330000000000004</v>
      </c>
      <c r="D109">
        <f t="shared" si="23"/>
        <v>126</v>
      </c>
      <c r="E109">
        <f t="shared" si="24"/>
        <v>216</v>
      </c>
      <c r="G109">
        <v>108</v>
      </c>
      <c r="H109" t="s">
        <v>160</v>
      </c>
      <c r="I109" s="38">
        <v>0.58330000000000004</v>
      </c>
      <c r="J109" s="3">
        <v>126</v>
      </c>
      <c r="K109" s="3">
        <v>216</v>
      </c>
    </row>
    <row r="110" spans="1:11">
      <c r="A110" t="str">
        <f t="shared" si="20"/>
        <v>Wyndham Clark</v>
      </c>
      <c r="B110">
        <f t="shared" si="21"/>
        <v>109</v>
      </c>
      <c r="C110">
        <f t="shared" si="22"/>
        <v>0.58289999999999997</v>
      </c>
      <c r="D110">
        <f t="shared" si="23"/>
        <v>204</v>
      </c>
      <c r="E110">
        <f t="shared" si="24"/>
        <v>350</v>
      </c>
      <c r="G110">
        <v>109</v>
      </c>
      <c r="H110" t="s">
        <v>18</v>
      </c>
      <c r="I110" s="38">
        <v>0.58289999999999997</v>
      </c>
      <c r="J110" s="3">
        <v>204</v>
      </c>
      <c r="K110" s="3">
        <v>350</v>
      </c>
    </row>
    <row r="111" spans="1:11">
      <c r="A111" t="str">
        <f t="shared" si="20"/>
        <v>Ben Martin</v>
      </c>
      <c r="B111">
        <f t="shared" si="21"/>
        <v>110</v>
      </c>
      <c r="C111">
        <f t="shared" si="22"/>
        <v>0.5806</v>
      </c>
      <c r="D111">
        <f t="shared" si="23"/>
        <v>209</v>
      </c>
      <c r="E111">
        <f t="shared" si="24"/>
        <v>360</v>
      </c>
      <c r="G111">
        <v>110</v>
      </c>
      <c r="H111" t="s">
        <v>151</v>
      </c>
      <c r="I111" s="38">
        <v>0.5806</v>
      </c>
      <c r="J111" s="3">
        <v>209</v>
      </c>
      <c r="K111" s="3">
        <v>360</v>
      </c>
    </row>
    <row r="112" spans="1:11">
      <c r="A112" t="str">
        <f t="shared" si="20"/>
        <v>Chandler Phillips</v>
      </c>
      <c r="B112">
        <f t="shared" si="21"/>
        <v>111</v>
      </c>
      <c r="C112">
        <f t="shared" si="22"/>
        <v>0.57989999999999997</v>
      </c>
      <c r="D112">
        <f t="shared" si="23"/>
        <v>196</v>
      </c>
      <c r="E112">
        <f t="shared" si="24"/>
        <v>338</v>
      </c>
      <c r="G112">
        <v>111</v>
      </c>
      <c r="H112" t="s">
        <v>489</v>
      </c>
      <c r="I112" s="38">
        <v>0.57989999999999997</v>
      </c>
      <c r="J112" s="3">
        <v>196</v>
      </c>
      <c r="K112" s="3">
        <v>338</v>
      </c>
    </row>
    <row r="113" spans="1:11">
      <c r="A113" t="str">
        <f t="shared" si="20"/>
        <v>Carl Yuan</v>
      </c>
      <c r="B113">
        <f t="shared" si="21"/>
        <v>112</v>
      </c>
      <c r="C113">
        <f t="shared" si="22"/>
        <v>0.57650000000000001</v>
      </c>
      <c r="D113">
        <f t="shared" si="23"/>
        <v>196</v>
      </c>
      <c r="E113">
        <f t="shared" si="24"/>
        <v>340</v>
      </c>
      <c r="G113">
        <v>112</v>
      </c>
      <c r="H113" t="s">
        <v>48</v>
      </c>
      <c r="I113" s="38">
        <v>0.57650000000000001</v>
      </c>
      <c r="J113" s="3">
        <v>196</v>
      </c>
      <c r="K113" s="3">
        <v>340</v>
      </c>
    </row>
    <row r="114" spans="1:11">
      <c r="A114" t="str">
        <f t="shared" si="20"/>
        <v>Brandt Snedeker</v>
      </c>
      <c r="B114">
        <f t="shared" si="21"/>
        <v>113</v>
      </c>
      <c r="C114">
        <f t="shared" si="22"/>
        <v>0.57620000000000005</v>
      </c>
      <c r="D114">
        <f t="shared" si="23"/>
        <v>174</v>
      </c>
      <c r="E114">
        <f t="shared" si="24"/>
        <v>302</v>
      </c>
      <c r="G114">
        <v>113</v>
      </c>
      <c r="H114" t="s">
        <v>247</v>
      </c>
      <c r="I114" s="38">
        <v>0.57620000000000005</v>
      </c>
      <c r="J114" s="3">
        <v>174</v>
      </c>
      <c r="K114" s="3">
        <v>302</v>
      </c>
    </row>
    <row r="115" spans="1:11">
      <c r="A115" t="str">
        <f t="shared" si="20"/>
        <v>Robby Shelton</v>
      </c>
      <c r="B115">
        <f t="shared" si="21"/>
        <v>114</v>
      </c>
      <c r="C115">
        <f t="shared" si="22"/>
        <v>0.5756</v>
      </c>
      <c r="D115">
        <f t="shared" si="23"/>
        <v>236</v>
      </c>
      <c r="E115">
        <f t="shared" si="24"/>
        <v>410</v>
      </c>
      <c r="G115">
        <v>114</v>
      </c>
      <c r="H115" t="s">
        <v>149</v>
      </c>
      <c r="I115" s="38">
        <v>0.5756</v>
      </c>
      <c r="J115" s="3">
        <v>236</v>
      </c>
      <c r="K115" s="3">
        <v>410</v>
      </c>
    </row>
    <row r="116" spans="1:11">
      <c r="A116" t="str">
        <f t="shared" si="20"/>
        <v>Josh Teater</v>
      </c>
      <c r="B116">
        <f t="shared" si="21"/>
        <v>115</v>
      </c>
      <c r="C116">
        <f t="shared" si="22"/>
        <v>0.57320000000000004</v>
      </c>
      <c r="D116">
        <f t="shared" si="23"/>
        <v>141</v>
      </c>
      <c r="E116">
        <f t="shared" si="24"/>
        <v>246</v>
      </c>
      <c r="G116">
        <v>115</v>
      </c>
      <c r="H116" t="s">
        <v>444</v>
      </c>
      <c r="I116" s="38">
        <v>0.57320000000000004</v>
      </c>
      <c r="J116" s="3">
        <v>141</v>
      </c>
      <c r="K116" s="3">
        <v>246</v>
      </c>
    </row>
    <row r="117" spans="1:11">
      <c r="A117" t="str">
        <f t="shared" si="20"/>
        <v>Thomas Detry</v>
      </c>
      <c r="B117">
        <f t="shared" si="21"/>
        <v>116</v>
      </c>
      <c r="C117">
        <f t="shared" si="22"/>
        <v>0.56789999999999996</v>
      </c>
      <c r="D117">
        <f t="shared" si="23"/>
        <v>209</v>
      </c>
      <c r="E117">
        <f t="shared" si="24"/>
        <v>368</v>
      </c>
      <c r="G117">
        <v>116</v>
      </c>
      <c r="H117" t="s">
        <v>46</v>
      </c>
      <c r="I117" s="38">
        <v>0.56789999999999996</v>
      </c>
      <c r="J117" s="3">
        <v>209</v>
      </c>
      <c r="K117" s="3">
        <v>368</v>
      </c>
    </row>
    <row r="118" spans="1:11">
      <c r="A118" t="str">
        <f t="shared" si="20"/>
        <v>Christiaan Bezuidenhout</v>
      </c>
      <c r="B118">
        <f t="shared" si="21"/>
        <v>117</v>
      </c>
      <c r="C118">
        <f t="shared" si="22"/>
        <v>0.56740000000000002</v>
      </c>
      <c r="D118">
        <f t="shared" si="23"/>
        <v>244</v>
      </c>
      <c r="E118">
        <f t="shared" si="24"/>
        <v>430</v>
      </c>
      <c r="G118">
        <v>117</v>
      </c>
      <c r="H118" t="s">
        <v>165</v>
      </c>
      <c r="I118" s="38">
        <v>0.56740000000000002</v>
      </c>
      <c r="J118" s="3">
        <v>244</v>
      </c>
      <c r="K118" s="3">
        <v>430</v>
      </c>
    </row>
    <row r="119" spans="1:11">
      <c r="A119" t="str">
        <f t="shared" si="20"/>
        <v>Justin Suh</v>
      </c>
      <c r="B119">
        <f t="shared" si="21"/>
        <v>118</v>
      </c>
      <c r="C119">
        <f t="shared" si="22"/>
        <v>0.56710000000000005</v>
      </c>
      <c r="D119">
        <f t="shared" si="23"/>
        <v>186</v>
      </c>
      <c r="E119">
        <f t="shared" si="24"/>
        <v>328</v>
      </c>
      <c r="G119">
        <v>118</v>
      </c>
      <c r="H119" t="s">
        <v>109</v>
      </c>
      <c r="I119" s="38">
        <v>0.56710000000000005</v>
      </c>
      <c r="J119" s="3">
        <v>186</v>
      </c>
      <c r="K119" s="3">
        <v>328</v>
      </c>
    </row>
    <row r="120" spans="1:11">
      <c r="A120" t="str">
        <f t="shared" si="20"/>
        <v>Norman Xiong</v>
      </c>
      <c r="B120">
        <f t="shared" si="21"/>
        <v>119</v>
      </c>
      <c r="C120">
        <f t="shared" si="22"/>
        <v>0.56669999999999998</v>
      </c>
      <c r="D120">
        <f t="shared" si="23"/>
        <v>170</v>
      </c>
      <c r="E120">
        <f t="shared" si="24"/>
        <v>300</v>
      </c>
      <c r="G120">
        <v>119</v>
      </c>
      <c r="H120" t="s">
        <v>494</v>
      </c>
      <c r="I120" s="38">
        <v>0.56669999999999998</v>
      </c>
      <c r="J120" s="3">
        <v>170</v>
      </c>
      <c r="K120" s="3">
        <v>300</v>
      </c>
    </row>
    <row r="121" spans="1:11">
      <c r="A121" t="str">
        <f t="shared" ref="A121:A152" si="25">H121</f>
        <v>Maverick McNealy</v>
      </c>
      <c r="B121">
        <f t="shared" ref="B121:B152" si="26">G121</f>
        <v>120</v>
      </c>
      <c r="C121">
        <f t="shared" ref="C121:C152" si="27">I121</f>
        <v>0.56640000000000001</v>
      </c>
      <c r="D121">
        <f t="shared" ref="D121:D152" si="28">J121</f>
        <v>273</v>
      </c>
      <c r="E121">
        <f t="shared" ref="E121:E152" si="29">K121</f>
        <v>482</v>
      </c>
      <c r="G121">
        <v>120</v>
      </c>
      <c r="H121" t="s">
        <v>98</v>
      </c>
      <c r="I121" s="38">
        <v>0.56640000000000001</v>
      </c>
      <c r="J121" s="3">
        <v>273</v>
      </c>
      <c r="K121" s="3">
        <v>482</v>
      </c>
    </row>
    <row r="122" spans="1:11">
      <c r="A122" t="str">
        <f t="shared" si="25"/>
        <v>J.J. Spaun</v>
      </c>
      <c r="B122">
        <f t="shared" si="26"/>
        <v>121</v>
      </c>
      <c r="C122">
        <f t="shared" si="27"/>
        <v>0.56489999999999996</v>
      </c>
      <c r="D122">
        <f t="shared" si="28"/>
        <v>209</v>
      </c>
      <c r="E122">
        <f t="shared" si="29"/>
        <v>370</v>
      </c>
      <c r="G122">
        <v>121</v>
      </c>
      <c r="H122" t="s">
        <v>112</v>
      </c>
      <c r="I122" s="38">
        <v>0.56489999999999996</v>
      </c>
      <c r="J122" s="3">
        <v>209</v>
      </c>
      <c r="K122" s="3">
        <v>370</v>
      </c>
    </row>
    <row r="123" spans="1:11">
      <c r="A123" t="str">
        <f t="shared" si="25"/>
        <v>Jacob Bridgeman</v>
      </c>
      <c r="B123">
        <f t="shared" si="26"/>
        <v>122</v>
      </c>
      <c r="C123">
        <f t="shared" si="27"/>
        <v>0.56399999999999995</v>
      </c>
      <c r="D123">
        <f t="shared" si="28"/>
        <v>185</v>
      </c>
      <c r="E123">
        <f t="shared" si="29"/>
        <v>328</v>
      </c>
      <c r="G123">
        <v>122</v>
      </c>
      <c r="H123" t="s">
        <v>496</v>
      </c>
      <c r="I123" s="38">
        <v>0.56399999999999995</v>
      </c>
      <c r="J123" s="3">
        <v>185</v>
      </c>
      <c r="K123" s="3">
        <v>328</v>
      </c>
    </row>
    <row r="124" spans="1:11">
      <c r="A124" t="str">
        <f t="shared" si="25"/>
        <v>Rafael Campos</v>
      </c>
      <c r="B124">
        <f t="shared" si="26"/>
        <v>123</v>
      </c>
      <c r="C124">
        <f t="shared" si="27"/>
        <v>0.5615</v>
      </c>
      <c r="D124">
        <f t="shared" si="28"/>
        <v>137</v>
      </c>
      <c r="E124">
        <f t="shared" si="29"/>
        <v>244</v>
      </c>
      <c r="G124">
        <v>123</v>
      </c>
      <c r="H124" t="s">
        <v>558</v>
      </c>
      <c r="I124" s="38">
        <v>0.5615</v>
      </c>
      <c r="J124" s="3">
        <v>137</v>
      </c>
      <c r="K124" s="3">
        <v>244</v>
      </c>
    </row>
    <row r="125" spans="1:11">
      <c r="A125" t="str">
        <f t="shared" si="25"/>
        <v>Erik Barnes</v>
      </c>
      <c r="B125">
        <f t="shared" si="26"/>
        <v>124</v>
      </c>
      <c r="C125">
        <f t="shared" si="27"/>
        <v>0.56030000000000002</v>
      </c>
      <c r="D125">
        <f t="shared" si="28"/>
        <v>144</v>
      </c>
      <c r="E125">
        <f t="shared" si="29"/>
        <v>257</v>
      </c>
      <c r="G125">
        <v>124</v>
      </c>
      <c r="H125" t="s">
        <v>235</v>
      </c>
      <c r="I125" s="38">
        <v>0.56030000000000002</v>
      </c>
      <c r="J125" s="3">
        <v>144</v>
      </c>
      <c r="K125" s="3">
        <v>257</v>
      </c>
    </row>
    <row r="126" spans="1:11">
      <c r="A126" t="str">
        <f t="shared" si="25"/>
        <v>Ryan Fox</v>
      </c>
      <c r="B126">
        <f t="shared" si="26"/>
        <v>125</v>
      </c>
      <c r="C126">
        <f t="shared" si="27"/>
        <v>0.56000000000000005</v>
      </c>
      <c r="D126">
        <f t="shared" si="28"/>
        <v>168</v>
      </c>
      <c r="E126">
        <f t="shared" si="29"/>
        <v>300</v>
      </c>
      <c r="G126">
        <v>125</v>
      </c>
      <c r="H126" t="s">
        <v>549</v>
      </c>
      <c r="I126" s="38">
        <v>0.56000000000000005</v>
      </c>
      <c r="J126" s="3">
        <v>168</v>
      </c>
      <c r="K126" s="3">
        <v>300</v>
      </c>
    </row>
    <row r="127" spans="1:11">
      <c r="A127" t="str">
        <f t="shared" si="25"/>
        <v>Andrew Novak</v>
      </c>
      <c r="B127">
        <f t="shared" si="26"/>
        <v>126</v>
      </c>
      <c r="C127">
        <f t="shared" si="27"/>
        <v>0.55879999999999996</v>
      </c>
      <c r="D127">
        <f t="shared" si="28"/>
        <v>228</v>
      </c>
      <c r="E127">
        <f t="shared" si="29"/>
        <v>408</v>
      </c>
      <c r="G127">
        <v>126</v>
      </c>
      <c r="H127" t="s">
        <v>100</v>
      </c>
      <c r="I127" s="38">
        <v>0.55879999999999996</v>
      </c>
      <c r="J127" s="3">
        <v>228</v>
      </c>
      <c r="K127" s="3">
        <v>408</v>
      </c>
    </row>
    <row r="128" spans="1:11">
      <c r="A128" t="str">
        <f t="shared" si="25"/>
        <v>Peter Malnati</v>
      </c>
      <c r="B128">
        <f t="shared" si="26"/>
        <v>127</v>
      </c>
      <c r="C128">
        <f t="shared" si="27"/>
        <v>0.5585</v>
      </c>
      <c r="D128">
        <f t="shared" si="28"/>
        <v>191</v>
      </c>
      <c r="E128">
        <f t="shared" si="29"/>
        <v>342</v>
      </c>
      <c r="G128">
        <v>127</v>
      </c>
      <c r="H128" t="s">
        <v>142</v>
      </c>
      <c r="I128" s="38">
        <v>0.5585</v>
      </c>
      <c r="J128" s="3">
        <v>191</v>
      </c>
      <c r="K128" s="3">
        <v>342</v>
      </c>
    </row>
    <row r="129" spans="1:11">
      <c r="A129" t="str">
        <f t="shared" si="25"/>
        <v>Rico Hoey</v>
      </c>
      <c r="B129">
        <f t="shared" si="26"/>
        <v>128</v>
      </c>
      <c r="C129">
        <f t="shared" si="27"/>
        <v>0.55789999999999995</v>
      </c>
      <c r="D129">
        <f t="shared" si="28"/>
        <v>183</v>
      </c>
      <c r="E129">
        <f t="shared" si="29"/>
        <v>328</v>
      </c>
      <c r="G129">
        <v>128</v>
      </c>
      <c r="H129" t="s">
        <v>485</v>
      </c>
      <c r="I129" s="38">
        <v>0.55789999999999995</v>
      </c>
      <c r="J129" s="3">
        <v>183</v>
      </c>
      <c r="K129" s="3">
        <v>328</v>
      </c>
    </row>
    <row r="130" spans="1:11">
      <c r="A130" t="str">
        <f t="shared" si="25"/>
        <v>Lanto Griffin</v>
      </c>
      <c r="B130">
        <f t="shared" si="26"/>
        <v>129</v>
      </c>
      <c r="C130">
        <f t="shared" si="27"/>
        <v>0.55669999999999997</v>
      </c>
      <c r="D130">
        <f t="shared" si="28"/>
        <v>167</v>
      </c>
      <c r="E130">
        <f t="shared" si="29"/>
        <v>300</v>
      </c>
      <c r="G130">
        <v>129</v>
      </c>
      <c r="H130" t="s">
        <v>80</v>
      </c>
      <c r="I130" s="38">
        <v>0.55669999999999997</v>
      </c>
      <c r="J130" s="3">
        <v>167</v>
      </c>
      <c r="K130" s="3">
        <v>300</v>
      </c>
    </row>
    <row r="131" spans="1:11">
      <c r="A131" t="str">
        <f t="shared" si="25"/>
        <v>Justin Lower</v>
      </c>
      <c r="B131">
        <f t="shared" si="26"/>
        <v>130</v>
      </c>
      <c r="C131">
        <f t="shared" si="27"/>
        <v>0.55630000000000002</v>
      </c>
      <c r="D131">
        <f t="shared" si="28"/>
        <v>252</v>
      </c>
      <c r="E131">
        <f t="shared" si="29"/>
        <v>453</v>
      </c>
      <c r="G131">
        <v>130</v>
      </c>
      <c r="H131" t="s">
        <v>147</v>
      </c>
      <c r="I131" s="38">
        <v>0.55630000000000002</v>
      </c>
      <c r="J131" s="3">
        <v>252</v>
      </c>
      <c r="K131" s="3">
        <v>453</v>
      </c>
    </row>
    <row r="132" spans="1:11">
      <c r="A132" t="str">
        <f t="shared" si="25"/>
        <v>Bronson Burgoon</v>
      </c>
      <c r="B132">
        <f t="shared" si="26"/>
        <v>131</v>
      </c>
      <c r="C132">
        <f t="shared" si="27"/>
        <v>0.55559999999999998</v>
      </c>
      <c r="D132">
        <f t="shared" si="28"/>
        <v>120</v>
      </c>
      <c r="E132">
        <f t="shared" si="29"/>
        <v>216</v>
      </c>
      <c r="G132">
        <v>131</v>
      </c>
      <c r="H132" t="s">
        <v>412</v>
      </c>
      <c r="I132" s="38">
        <v>0.55559999999999998</v>
      </c>
      <c r="J132" s="3">
        <v>120</v>
      </c>
      <c r="K132" s="3">
        <v>216</v>
      </c>
    </row>
    <row r="133" spans="1:11">
      <c r="A133" t="str">
        <f t="shared" si="25"/>
        <v>Davis Riley</v>
      </c>
      <c r="B133">
        <f t="shared" si="26"/>
        <v>132</v>
      </c>
      <c r="C133">
        <f t="shared" si="27"/>
        <v>0.55349999999999999</v>
      </c>
      <c r="D133">
        <f t="shared" si="28"/>
        <v>207</v>
      </c>
      <c r="E133">
        <f t="shared" si="29"/>
        <v>374</v>
      </c>
      <c r="G133">
        <v>132</v>
      </c>
      <c r="H133" t="s">
        <v>55</v>
      </c>
      <c r="I133" s="38">
        <v>0.55349999999999999</v>
      </c>
      <c r="J133" s="3">
        <v>207</v>
      </c>
      <c r="K133" s="3">
        <v>374</v>
      </c>
    </row>
    <row r="134" spans="1:11">
      <c r="A134" t="str">
        <f t="shared" si="25"/>
        <v>Robert MacIntyre</v>
      </c>
      <c r="B134">
        <f t="shared" si="26"/>
        <v>133</v>
      </c>
      <c r="C134">
        <f t="shared" si="27"/>
        <v>0.5524</v>
      </c>
      <c r="D134">
        <f t="shared" si="28"/>
        <v>211</v>
      </c>
      <c r="E134">
        <f t="shared" si="29"/>
        <v>382</v>
      </c>
      <c r="G134">
        <v>133</v>
      </c>
      <c r="H134" t="s">
        <v>434</v>
      </c>
      <c r="I134" s="38">
        <v>0.5524</v>
      </c>
      <c r="J134" s="3">
        <v>211</v>
      </c>
      <c r="K134" s="3">
        <v>382</v>
      </c>
    </row>
    <row r="135" spans="1:11">
      <c r="A135" t="str">
        <f t="shared" si="25"/>
        <v>Jhonattan Vegas</v>
      </c>
      <c r="B135">
        <f t="shared" si="26"/>
        <v>134</v>
      </c>
      <c r="C135">
        <f t="shared" si="27"/>
        <v>0.55189999999999995</v>
      </c>
      <c r="D135">
        <f t="shared" si="28"/>
        <v>149</v>
      </c>
      <c r="E135">
        <f t="shared" si="29"/>
        <v>270</v>
      </c>
      <c r="G135">
        <v>134</v>
      </c>
      <c r="H135" t="s">
        <v>241</v>
      </c>
      <c r="I135" s="38">
        <v>0.55189999999999995</v>
      </c>
      <c r="J135" s="3">
        <v>149</v>
      </c>
      <c r="K135" s="3">
        <v>270</v>
      </c>
    </row>
    <row r="136" spans="1:11">
      <c r="A136" t="str">
        <f t="shared" si="25"/>
        <v>Beau Hossler</v>
      </c>
      <c r="B136">
        <f t="shared" si="26"/>
        <v>135</v>
      </c>
      <c r="C136">
        <f t="shared" si="27"/>
        <v>0.5514</v>
      </c>
      <c r="D136">
        <f t="shared" si="28"/>
        <v>236</v>
      </c>
      <c r="E136">
        <f t="shared" si="29"/>
        <v>428</v>
      </c>
      <c r="G136">
        <v>135</v>
      </c>
      <c r="H136" t="s">
        <v>59</v>
      </c>
      <c r="I136" s="38">
        <v>0.5514</v>
      </c>
      <c r="J136" s="3">
        <v>236</v>
      </c>
      <c r="K136" s="3">
        <v>428</v>
      </c>
    </row>
    <row r="137" spans="1:11">
      <c r="A137" t="str">
        <f t="shared" si="25"/>
        <v>Davis Thompson</v>
      </c>
      <c r="B137">
        <f t="shared" si="26"/>
        <v>136</v>
      </c>
      <c r="C137">
        <f t="shared" si="27"/>
        <v>0.55120000000000002</v>
      </c>
      <c r="D137">
        <f t="shared" si="28"/>
        <v>226</v>
      </c>
      <c r="E137">
        <f t="shared" si="29"/>
        <v>410</v>
      </c>
      <c r="G137">
        <v>136</v>
      </c>
      <c r="H137" t="s">
        <v>28</v>
      </c>
      <c r="I137" s="38">
        <v>0.55120000000000002</v>
      </c>
      <c r="J137" s="3">
        <v>226</v>
      </c>
      <c r="K137" s="3">
        <v>410</v>
      </c>
    </row>
    <row r="138" spans="1:11">
      <c r="A138" t="str">
        <f t="shared" si="25"/>
        <v>Patrick Fishburn</v>
      </c>
      <c r="B138">
        <f t="shared" si="26"/>
        <v>137</v>
      </c>
      <c r="C138">
        <f t="shared" si="27"/>
        <v>0.55049999999999999</v>
      </c>
      <c r="D138">
        <f t="shared" si="28"/>
        <v>120</v>
      </c>
      <c r="E138">
        <f t="shared" si="29"/>
        <v>218</v>
      </c>
      <c r="G138">
        <v>137</v>
      </c>
      <c r="H138" t="s">
        <v>556</v>
      </c>
      <c r="I138" s="38">
        <v>0.55049999999999999</v>
      </c>
      <c r="J138" s="3">
        <v>120</v>
      </c>
      <c r="K138" s="3">
        <v>218</v>
      </c>
    </row>
    <row r="139" spans="1:11">
      <c r="A139" t="str">
        <f t="shared" si="25"/>
        <v>Kevin Streelman</v>
      </c>
      <c r="B139">
        <f t="shared" si="26"/>
        <v>138</v>
      </c>
      <c r="C139">
        <f t="shared" si="27"/>
        <v>0.54959999999999998</v>
      </c>
      <c r="D139">
        <f t="shared" si="28"/>
        <v>144</v>
      </c>
      <c r="E139">
        <f t="shared" si="29"/>
        <v>262</v>
      </c>
      <c r="G139">
        <v>138</v>
      </c>
      <c r="H139" t="s">
        <v>123</v>
      </c>
      <c r="I139" s="38">
        <v>0.54959999999999998</v>
      </c>
      <c r="J139" s="3">
        <v>144</v>
      </c>
      <c r="K139" s="3">
        <v>262</v>
      </c>
    </row>
    <row r="140" spans="1:11">
      <c r="A140" t="str">
        <f t="shared" si="25"/>
        <v>Max Greyserman</v>
      </c>
      <c r="B140">
        <f t="shared" si="26"/>
        <v>139</v>
      </c>
      <c r="C140">
        <f t="shared" si="27"/>
        <v>0.54949999999999999</v>
      </c>
      <c r="D140">
        <f t="shared" si="28"/>
        <v>172</v>
      </c>
      <c r="E140">
        <f t="shared" si="29"/>
        <v>313</v>
      </c>
      <c r="G140">
        <v>139</v>
      </c>
      <c r="H140" t="s">
        <v>493</v>
      </c>
      <c r="I140" s="38">
        <v>0.54949999999999999</v>
      </c>
      <c r="J140" s="3">
        <v>172</v>
      </c>
      <c r="K140" s="3">
        <v>313</v>
      </c>
    </row>
    <row r="141" spans="1:11">
      <c r="A141" t="str">
        <f t="shared" si="25"/>
        <v>Patrick Rodgers</v>
      </c>
      <c r="B141">
        <f t="shared" si="26"/>
        <v>140</v>
      </c>
      <c r="C141">
        <f t="shared" si="27"/>
        <v>0.54890000000000005</v>
      </c>
      <c r="D141">
        <f t="shared" si="28"/>
        <v>258</v>
      </c>
      <c r="E141">
        <f t="shared" si="29"/>
        <v>470</v>
      </c>
      <c r="G141">
        <v>140</v>
      </c>
      <c r="H141" t="s">
        <v>38</v>
      </c>
      <c r="I141" s="38">
        <v>0.54890000000000005</v>
      </c>
      <c r="J141" s="3">
        <v>258</v>
      </c>
      <c r="K141" s="3">
        <v>470</v>
      </c>
    </row>
    <row r="142" spans="1:11">
      <c r="A142" t="str">
        <f t="shared" si="25"/>
        <v>Vincent Norrman</v>
      </c>
      <c r="B142">
        <f t="shared" si="26"/>
        <v>141</v>
      </c>
      <c r="C142">
        <f t="shared" si="27"/>
        <v>0.54869999999999997</v>
      </c>
      <c r="D142">
        <f t="shared" si="28"/>
        <v>214</v>
      </c>
      <c r="E142">
        <f t="shared" si="29"/>
        <v>390</v>
      </c>
      <c r="G142">
        <v>141</v>
      </c>
      <c r="H142" t="s">
        <v>13</v>
      </c>
      <c r="I142" s="38">
        <v>0.54869999999999997</v>
      </c>
      <c r="J142" s="3">
        <v>214</v>
      </c>
      <c r="K142" s="3">
        <v>390</v>
      </c>
    </row>
    <row r="143" spans="1:11">
      <c r="A143" t="str">
        <f t="shared" si="25"/>
        <v>Aaron Baddeley</v>
      </c>
      <c r="B143">
        <f t="shared" si="26"/>
        <v>142</v>
      </c>
      <c r="C143">
        <f t="shared" si="27"/>
        <v>0.54820000000000002</v>
      </c>
      <c r="D143">
        <f t="shared" si="28"/>
        <v>239</v>
      </c>
      <c r="E143">
        <f t="shared" si="29"/>
        <v>436</v>
      </c>
      <c r="G143">
        <v>142</v>
      </c>
      <c r="H143" t="s">
        <v>182</v>
      </c>
      <c r="I143" s="38">
        <v>0.54820000000000002</v>
      </c>
      <c r="J143" s="3">
        <v>239</v>
      </c>
      <c r="K143" s="3">
        <v>436</v>
      </c>
    </row>
    <row r="144" spans="1:11">
      <c r="A144" t="str">
        <f t="shared" si="25"/>
        <v>Cameron Champ</v>
      </c>
      <c r="B144">
        <f t="shared" si="26"/>
        <v>143</v>
      </c>
      <c r="C144">
        <f t="shared" si="27"/>
        <v>0.54630000000000001</v>
      </c>
      <c r="D144">
        <f t="shared" si="28"/>
        <v>177</v>
      </c>
      <c r="E144">
        <f t="shared" si="29"/>
        <v>324</v>
      </c>
      <c r="G144">
        <v>143</v>
      </c>
      <c r="H144" t="s">
        <v>8</v>
      </c>
      <c r="I144" s="38">
        <v>0.54630000000000001</v>
      </c>
      <c r="J144" s="3">
        <v>177</v>
      </c>
      <c r="K144" s="3">
        <v>324</v>
      </c>
    </row>
    <row r="145" spans="1:11">
      <c r="A145" t="str">
        <f t="shared" si="25"/>
        <v>Matti Schmid</v>
      </c>
      <c r="B145">
        <f t="shared" si="26"/>
        <v>143</v>
      </c>
      <c r="C145">
        <f t="shared" si="27"/>
        <v>0.54630000000000001</v>
      </c>
      <c r="D145">
        <f t="shared" si="28"/>
        <v>224</v>
      </c>
      <c r="E145">
        <f t="shared" si="29"/>
        <v>410</v>
      </c>
      <c r="G145">
        <v>143</v>
      </c>
      <c r="H145" t="s">
        <v>11</v>
      </c>
      <c r="I145" s="38">
        <v>0.54630000000000001</v>
      </c>
      <c r="J145" s="3">
        <v>224</v>
      </c>
      <c r="K145" s="3">
        <v>410</v>
      </c>
    </row>
    <row r="146" spans="1:11">
      <c r="A146" t="str">
        <f t="shared" si="25"/>
        <v>Nick Hardy</v>
      </c>
      <c r="B146">
        <f t="shared" si="26"/>
        <v>145</v>
      </c>
      <c r="C146">
        <f t="shared" si="27"/>
        <v>0.54300000000000004</v>
      </c>
      <c r="D146">
        <f t="shared" si="28"/>
        <v>265</v>
      </c>
      <c r="E146">
        <f t="shared" si="29"/>
        <v>488</v>
      </c>
      <c r="G146">
        <v>145</v>
      </c>
      <c r="H146" t="s">
        <v>36</v>
      </c>
      <c r="I146" s="38">
        <v>0.54300000000000004</v>
      </c>
      <c r="J146" s="3">
        <v>265</v>
      </c>
      <c r="K146" s="3">
        <v>488</v>
      </c>
    </row>
    <row r="147" spans="1:11">
      <c r="A147" t="str">
        <f t="shared" si="25"/>
        <v>Nick Dunlap</v>
      </c>
      <c r="B147">
        <f t="shared" si="26"/>
        <v>146</v>
      </c>
      <c r="C147">
        <f t="shared" si="27"/>
        <v>0.54200000000000004</v>
      </c>
      <c r="D147">
        <f t="shared" si="28"/>
        <v>142</v>
      </c>
      <c r="E147">
        <f t="shared" si="29"/>
        <v>262</v>
      </c>
      <c r="G147">
        <v>146</v>
      </c>
      <c r="H147" t="s">
        <v>539</v>
      </c>
      <c r="I147" s="38">
        <v>0.54200000000000004</v>
      </c>
      <c r="J147" s="3">
        <v>142</v>
      </c>
      <c r="K147" s="3">
        <v>262</v>
      </c>
    </row>
    <row r="148" spans="1:11">
      <c r="A148" t="str">
        <f t="shared" si="25"/>
        <v>Hayden Springer</v>
      </c>
      <c r="B148">
        <f t="shared" si="26"/>
        <v>147</v>
      </c>
      <c r="C148">
        <f t="shared" si="27"/>
        <v>0.53690000000000004</v>
      </c>
      <c r="D148">
        <f t="shared" si="28"/>
        <v>160</v>
      </c>
      <c r="E148">
        <f t="shared" si="29"/>
        <v>298</v>
      </c>
      <c r="G148">
        <v>147</v>
      </c>
      <c r="H148" t="s">
        <v>557</v>
      </c>
      <c r="I148" s="38">
        <v>0.53690000000000004</v>
      </c>
      <c r="J148" s="3">
        <v>160</v>
      </c>
      <c r="K148" s="3">
        <v>298</v>
      </c>
    </row>
    <row r="149" spans="1:11">
      <c r="A149" t="str">
        <f t="shared" si="25"/>
        <v>Alex Smalley</v>
      </c>
      <c r="B149">
        <f t="shared" si="26"/>
        <v>148</v>
      </c>
      <c r="C149">
        <f t="shared" si="27"/>
        <v>0.53469999999999995</v>
      </c>
      <c r="D149">
        <f t="shared" si="28"/>
        <v>154</v>
      </c>
      <c r="E149">
        <f t="shared" si="29"/>
        <v>288</v>
      </c>
      <c r="G149">
        <v>148</v>
      </c>
      <c r="H149" t="s">
        <v>79</v>
      </c>
      <c r="I149" s="38">
        <v>0.53469999999999995</v>
      </c>
      <c r="J149" s="3">
        <v>154</v>
      </c>
      <c r="K149" s="3">
        <v>288</v>
      </c>
    </row>
    <row r="150" spans="1:11">
      <c r="A150" t="str">
        <f t="shared" si="25"/>
        <v>David Skinns</v>
      </c>
      <c r="B150">
        <f t="shared" si="26"/>
        <v>149</v>
      </c>
      <c r="C150">
        <f t="shared" si="27"/>
        <v>0.53390000000000004</v>
      </c>
      <c r="D150">
        <f t="shared" si="28"/>
        <v>189</v>
      </c>
      <c r="E150">
        <f t="shared" si="29"/>
        <v>354</v>
      </c>
      <c r="G150">
        <v>149</v>
      </c>
      <c r="H150" t="s">
        <v>410</v>
      </c>
      <c r="I150" s="38">
        <v>0.53390000000000004</v>
      </c>
      <c r="J150" s="3">
        <v>189</v>
      </c>
      <c r="K150" s="3">
        <v>354</v>
      </c>
    </row>
    <row r="151" spans="1:11">
      <c r="A151" t="str">
        <f t="shared" si="25"/>
        <v>Chesson Hadley</v>
      </c>
      <c r="B151">
        <f t="shared" si="26"/>
        <v>150</v>
      </c>
      <c r="C151">
        <f t="shared" si="27"/>
        <v>0.5333</v>
      </c>
      <c r="D151">
        <f t="shared" si="28"/>
        <v>160</v>
      </c>
      <c r="E151">
        <f t="shared" si="29"/>
        <v>300</v>
      </c>
      <c r="G151">
        <v>150</v>
      </c>
      <c r="H151" t="s">
        <v>106</v>
      </c>
      <c r="I151" s="38">
        <v>0.5333</v>
      </c>
      <c r="J151" s="3">
        <v>160</v>
      </c>
      <c r="K151" s="3">
        <v>300</v>
      </c>
    </row>
    <row r="152" spans="1:11">
      <c r="A152" t="str">
        <f t="shared" si="25"/>
        <v>Tyson Alexander</v>
      </c>
      <c r="B152">
        <f t="shared" si="26"/>
        <v>151</v>
      </c>
      <c r="C152">
        <f t="shared" si="27"/>
        <v>0.53269999999999995</v>
      </c>
      <c r="D152">
        <f t="shared" si="28"/>
        <v>212</v>
      </c>
      <c r="E152">
        <f t="shared" si="29"/>
        <v>398</v>
      </c>
      <c r="G152">
        <v>151</v>
      </c>
      <c r="H152" t="s">
        <v>107</v>
      </c>
      <c r="I152" s="38">
        <v>0.53269999999999995</v>
      </c>
      <c r="J152" s="3">
        <v>212</v>
      </c>
      <c r="K152" s="3">
        <v>398</v>
      </c>
    </row>
    <row r="153" spans="1:11">
      <c r="A153" t="str">
        <f t="shared" ref="A153:A159" si="30">H153</f>
        <v>Mackenzie Hughes</v>
      </c>
      <c r="B153">
        <f t="shared" ref="B153:B159" si="31">G153</f>
        <v>152</v>
      </c>
      <c r="C153">
        <f t="shared" ref="C153:C159" si="32">I153</f>
        <v>0.53069999999999995</v>
      </c>
      <c r="D153">
        <f t="shared" ref="D153:D159" si="33">J153</f>
        <v>242</v>
      </c>
      <c r="E153">
        <f t="shared" ref="E153:E159" si="34">K153</f>
        <v>456</v>
      </c>
      <c r="G153">
        <v>152</v>
      </c>
      <c r="H153" t="s">
        <v>104</v>
      </c>
      <c r="I153" s="38">
        <v>0.53069999999999995</v>
      </c>
      <c r="J153" s="3">
        <v>242</v>
      </c>
      <c r="K153" s="3">
        <v>456</v>
      </c>
    </row>
    <row r="154" spans="1:11">
      <c r="A154" t="str">
        <f t="shared" si="30"/>
        <v>Scott Stallings</v>
      </c>
      <c r="B154">
        <f t="shared" si="31"/>
        <v>153</v>
      </c>
      <c r="C154">
        <f t="shared" si="32"/>
        <v>0.52959999999999996</v>
      </c>
      <c r="D154">
        <f t="shared" si="33"/>
        <v>152</v>
      </c>
      <c r="E154">
        <f t="shared" si="34"/>
        <v>287</v>
      </c>
      <c r="G154">
        <v>153</v>
      </c>
      <c r="H154" t="s">
        <v>89</v>
      </c>
      <c r="I154" s="38">
        <v>0.52959999999999996</v>
      </c>
      <c r="J154" s="3">
        <v>152</v>
      </c>
      <c r="K154" s="3">
        <v>287</v>
      </c>
    </row>
    <row r="155" spans="1:11">
      <c r="A155" t="str">
        <f t="shared" si="30"/>
        <v>Ben Griffin</v>
      </c>
      <c r="B155">
        <f t="shared" si="31"/>
        <v>154</v>
      </c>
      <c r="C155">
        <f t="shared" si="32"/>
        <v>0.52749999999999997</v>
      </c>
      <c r="D155">
        <f t="shared" si="33"/>
        <v>269</v>
      </c>
      <c r="E155">
        <f t="shared" si="34"/>
        <v>510</v>
      </c>
      <c r="G155">
        <v>154</v>
      </c>
      <c r="H155" t="s">
        <v>97</v>
      </c>
      <c r="I155" s="38">
        <v>0.52749999999999997</v>
      </c>
      <c r="J155" s="3">
        <v>269</v>
      </c>
      <c r="K155" s="3">
        <v>510</v>
      </c>
    </row>
    <row r="156" spans="1:11">
      <c r="A156" t="str">
        <f t="shared" si="30"/>
        <v>Joe Highsmith</v>
      </c>
      <c r="B156">
        <f t="shared" si="31"/>
        <v>155</v>
      </c>
      <c r="C156">
        <f t="shared" si="32"/>
        <v>0.52739999999999998</v>
      </c>
      <c r="D156">
        <f t="shared" si="33"/>
        <v>173</v>
      </c>
      <c r="E156">
        <f t="shared" si="34"/>
        <v>328</v>
      </c>
      <c r="G156">
        <v>155</v>
      </c>
      <c r="H156" t="s">
        <v>522</v>
      </c>
      <c r="I156" s="38">
        <v>0.52739999999999998</v>
      </c>
      <c r="J156" s="3">
        <v>173</v>
      </c>
      <c r="K156" s="3">
        <v>328</v>
      </c>
    </row>
    <row r="157" spans="1:11">
      <c r="A157" t="str">
        <f t="shared" si="30"/>
        <v>Harry Hall</v>
      </c>
      <c r="B157">
        <f t="shared" si="31"/>
        <v>156</v>
      </c>
      <c r="C157">
        <f t="shared" si="32"/>
        <v>0.52590000000000003</v>
      </c>
      <c r="D157">
        <f t="shared" si="33"/>
        <v>244</v>
      </c>
      <c r="E157">
        <f t="shared" si="34"/>
        <v>464</v>
      </c>
      <c r="G157">
        <v>156</v>
      </c>
      <c r="H157" t="s">
        <v>108</v>
      </c>
      <c r="I157" s="38">
        <v>0.52590000000000003</v>
      </c>
      <c r="J157" s="3">
        <v>244</v>
      </c>
      <c r="K157" s="3">
        <v>464</v>
      </c>
    </row>
    <row r="158" spans="1:11">
      <c r="A158" t="str">
        <f t="shared" si="30"/>
        <v>Charley Hoffman</v>
      </c>
      <c r="B158">
        <f t="shared" si="31"/>
        <v>157</v>
      </c>
      <c r="C158">
        <f t="shared" si="32"/>
        <v>0.52500000000000002</v>
      </c>
      <c r="D158">
        <f t="shared" si="33"/>
        <v>189</v>
      </c>
      <c r="E158">
        <f t="shared" si="34"/>
        <v>360</v>
      </c>
      <c r="G158">
        <v>157</v>
      </c>
      <c r="H158" t="s">
        <v>50</v>
      </c>
      <c r="I158" s="38">
        <v>0.52500000000000002</v>
      </c>
      <c r="J158" s="3">
        <v>189</v>
      </c>
      <c r="K158" s="3">
        <v>360</v>
      </c>
    </row>
    <row r="159" spans="1:11">
      <c r="A159" t="str">
        <f t="shared" si="30"/>
        <v>Kevin Dougherty</v>
      </c>
      <c r="B159">
        <f t="shared" si="31"/>
        <v>158</v>
      </c>
      <c r="C159">
        <f t="shared" si="32"/>
        <v>0.52359999999999995</v>
      </c>
      <c r="D159">
        <f t="shared" si="33"/>
        <v>155</v>
      </c>
      <c r="E159">
        <f t="shared" si="34"/>
        <v>296</v>
      </c>
      <c r="G159">
        <v>158</v>
      </c>
      <c r="H159" t="s">
        <v>562</v>
      </c>
      <c r="I159" s="38">
        <v>0.52359999999999995</v>
      </c>
      <c r="J159" s="3">
        <v>155</v>
      </c>
      <c r="K159" s="3">
        <v>296</v>
      </c>
    </row>
    <row r="160" spans="1:11">
      <c r="A160" t="str">
        <f>H160</f>
        <v>Pierceson Coody</v>
      </c>
      <c r="B160">
        <f>G160</f>
        <v>159</v>
      </c>
      <c r="C160">
        <f t="shared" ref="C160:E164" si="35">I160</f>
        <v>0.52190000000000003</v>
      </c>
      <c r="D160">
        <f t="shared" si="35"/>
        <v>143</v>
      </c>
      <c r="E160">
        <f t="shared" si="35"/>
        <v>274</v>
      </c>
      <c r="G160">
        <v>159</v>
      </c>
      <c r="H160" t="s">
        <v>490</v>
      </c>
      <c r="I160" s="38">
        <v>0.52190000000000003</v>
      </c>
      <c r="J160" s="3">
        <v>143</v>
      </c>
      <c r="K160" s="3">
        <v>274</v>
      </c>
    </row>
    <row r="161" spans="1:11">
      <c r="A161" t="str">
        <f>H161</f>
        <v>Trace Crowe</v>
      </c>
      <c r="B161">
        <f>G161</f>
        <v>160</v>
      </c>
      <c r="C161">
        <f t="shared" si="35"/>
        <v>0.51980000000000004</v>
      </c>
      <c r="D161">
        <f t="shared" si="35"/>
        <v>105</v>
      </c>
      <c r="E161">
        <f t="shared" si="35"/>
        <v>202</v>
      </c>
      <c r="G161">
        <v>160</v>
      </c>
      <c r="H161" t="s">
        <v>559</v>
      </c>
      <c r="I161" s="38">
        <v>0.51980000000000004</v>
      </c>
      <c r="J161" s="3">
        <v>105</v>
      </c>
      <c r="K161" s="3">
        <v>202</v>
      </c>
    </row>
    <row r="162" spans="1:11">
      <c r="A162" t="str">
        <f>H162</f>
        <v>Sam Stevens</v>
      </c>
      <c r="B162">
        <f>G162</f>
        <v>161</v>
      </c>
      <c r="C162">
        <f t="shared" si="35"/>
        <v>0.51719999999999999</v>
      </c>
      <c r="D162">
        <f t="shared" si="35"/>
        <v>241</v>
      </c>
      <c r="E162">
        <f t="shared" si="35"/>
        <v>466</v>
      </c>
      <c r="G162">
        <v>161</v>
      </c>
      <c r="H162" t="s">
        <v>30</v>
      </c>
      <c r="I162" s="38">
        <v>0.51719999999999999</v>
      </c>
      <c r="J162" s="3">
        <v>241</v>
      </c>
      <c r="K162" s="3">
        <v>466</v>
      </c>
    </row>
    <row r="163" spans="1:11">
      <c r="A163" t="str">
        <f>H163</f>
        <v>Adrien Dumont de Chassart</v>
      </c>
      <c r="B163">
        <f>G163</f>
        <v>162</v>
      </c>
      <c r="C163">
        <f t="shared" si="35"/>
        <v>0.51690000000000003</v>
      </c>
      <c r="D163">
        <f t="shared" si="35"/>
        <v>184</v>
      </c>
      <c r="E163">
        <f t="shared" si="35"/>
        <v>356</v>
      </c>
      <c r="G163">
        <v>162</v>
      </c>
      <c r="H163" t="s">
        <v>486</v>
      </c>
      <c r="I163" s="38">
        <v>0.51690000000000003</v>
      </c>
      <c r="J163" s="3">
        <v>184</v>
      </c>
      <c r="K163" s="3">
        <v>356</v>
      </c>
    </row>
    <row r="164" spans="1:11">
      <c r="A164" t="str">
        <f>H164</f>
        <v>Mac Meissner</v>
      </c>
      <c r="B164">
        <f>G164</f>
        <v>163</v>
      </c>
      <c r="C164">
        <f t="shared" si="35"/>
        <v>0.51670000000000005</v>
      </c>
      <c r="D164">
        <f t="shared" si="35"/>
        <v>155</v>
      </c>
      <c r="E164">
        <f t="shared" si="35"/>
        <v>300</v>
      </c>
      <c r="G164">
        <v>163</v>
      </c>
      <c r="H164" t="s">
        <v>560</v>
      </c>
      <c r="I164" s="38">
        <v>0.51670000000000005</v>
      </c>
      <c r="J164" s="3">
        <v>155</v>
      </c>
      <c r="K164" s="3">
        <v>300</v>
      </c>
    </row>
    <row r="165" spans="1:11">
      <c r="A165" t="str">
        <f t="shared" ref="A165:A193" si="36">H165</f>
        <v>Garrick Higgo</v>
      </c>
      <c r="B165">
        <f t="shared" ref="B165:B193" si="37">G165</f>
        <v>164</v>
      </c>
      <c r="C165">
        <f t="shared" ref="C165:C193" si="38">I165</f>
        <v>0.5141</v>
      </c>
      <c r="D165">
        <f t="shared" ref="D165:D193" si="39">J165</f>
        <v>219</v>
      </c>
      <c r="E165">
        <f t="shared" ref="E165:E193" si="40">K165</f>
        <v>426</v>
      </c>
      <c r="G165">
        <v>164</v>
      </c>
      <c r="H165" t="s">
        <v>32</v>
      </c>
      <c r="I165" s="38">
        <v>0.5141</v>
      </c>
      <c r="J165" s="3">
        <v>219</v>
      </c>
      <c r="K165" s="3">
        <v>426</v>
      </c>
    </row>
    <row r="166" spans="1:11">
      <c r="A166" t="str">
        <f t="shared" si="36"/>
        <v>Gary Woodland</v>
      </c>
      <c r="B166">
        <f t="shared" si="37"/>
        <v>165</v>
      </c>
      <c r="C166">
        <f t="shared" si="38"/>
        <v>0.51319999999999999</v>
      </c>
      <c r="D166">
        <f t="shared" si="39"/>
        <v>155</v>
      </c>
      <c r="E166">
        <f t="shared" si="40"/>
        <v>302</v>
      </c>
      <c r="G166">
        <v>165</v>
      </c>
      <c r="H166" t="s">
        <v>17</v>
      </c>
      <c r="I166" s="38">
        <v>0.51319999999999999</v>
      </c>
      <c r="J166" s="3">
        <v>155</v>
      </c>
      <c r="K166" s="3">
        <v>302</v>
      </c>
    </row>
    <row r="167" spans="1:11">
      <c r="A167" t="str">
        <f t="shared" si="36"/>
        <v>Joseph Bramlett</v>
      </c>
      <c r="B167">
        <f t="shared" si="37"/>
        <v>166</v>
      </c>
      <c r="C167">
        <f t="shared" si="38"/>
        <v>0.51229999999999998</v>
      </c>
      <c r="D167">
        <f t="shared" si="39"/>
        <v>209</v>
      </c>
      <c r="E167">
        <f t="shared" si="40"/>
        <v>408</v>
      </c>
      <c r="G167">
        <v>166</v>
      </c>
      <c r="H167" t="s">
        <v>20</v>
      </c>
      <c r="I167" s="38">
        <v>0.51229999999999998</v>
      </c>
      <c r="J167" s="3">
        <v>209</v>
      </c>
      <c r="K167" s="3">
        <v>408</v>
      </c>
    </row>
    <row r="168" spans="1:11">
      <c r="A168" t="str">
        <f t="shared" si="36"/>
        <v>Parker Coody</v>
      </c>
      <c r="B168">
        <f t="shared" si="37"/>
        <v>167</v>
      </c>
      <c r="C168">
        <f t="shared" si="38"/>
        <v>0.50790000000000002</v>
      </c>
      <c r="D168">
        <f t="shared" si="39"/>
        <v>194</v>
      </c>
      <c r="E168">
        <f t="shared" si="40"/>
        <v>382</v>
      </c>
      <c r="G168">
        <v>167</v>
      </c>
      <c r="H168" t="s">
        <v>497</v>
      </c>
      <c r="I168" s="38">
        <v>0.50790000000000002</v>
      </c>
      <c r="J168" s="3">
        <v>194</v>
      </c>
      <c r="K168" s="3">
        <v>382</v>
      </c>
    </row>
    <row r="169" spans="1:11">
      <c r="A169" t="str">
        <f t="shared" si="36"/>
        <v>Paul Barjon</v>
      </c>
      <c r="B169">
        <f t="shared" si="37"/>
        <v>168</v>
      </c>
      <c r="C169">
        <f t="shared" si="38"/>
        <v>0.49540000000000001</v>
      </c>
      <c r="D169">
        <f t="shared" si="39"/>
        <v>108</v>
      </c>
      <c r="E169">
        <f t="shared" si="40"/>
        <v>218</v>
      </c>
      <c r="G169">
        <v>168</v>
      </c>
      <c r="H169" t="s">
        <v>401</v>
      </c>
      <c r="I169" s="38">
        <v>0.49540000000000001</v>
      </c>
      <c r="J169" s="3">
        <v>108</v>
      </c>
      <c r="K169">
        <v>218</v>
      </c>
    </row>
    <row r="170" spans="1:11">
      <c r="A170" t="str">
        <f t="shared" si="36"/>
        <v>Raul Pereda</v>
      </c>
      <c r="B170">
        <f t="shared" si="37"/>
        <v>168</v>
      </c>
      <c r="C170">
        <f t="shared" si="38"/>
        <v>0.49540000000000001</v>
      </c>
      <c r="D170">
        <f t="shared" si="39"/>
        <v>107</v>
      </c>
      <c r="E170">
        <f t="shared" si="40"/>
        <v>216</v>
      </c>
      <c r="G170">
        <v>168</v>
      </c>
      <c r="H170" t="s">
        <v>564</v>
      </c>
      <c r="I170" s="38">
        <v>0.49540000000000001</v>
      </c>
      <c r="J170" s="3">
        <v>107</v>
      </c>
      <c r="K170" s="3">
        <v>216</v>
      </c>
    </row>
    <row r="171" spans="1:11">
      <c r="A171" t="str">
        <f t="shared" si="36"/>
        <v>Alejandro Tosti</v>
      </c>
      <c r="B171">
        <f t="shared" si="37"/>
        <v>170</v>
      </c>
      <c r="C171">
        <f t="shared" si="38"/>
        <v>0.49390000000000001</v>
      </c>
      <c r="D171">
        <f t="shared" si="39"/>
        <v>161</v>
      </c>
      <c r="E171">
        <f t="shared" si="40"/>
        <v>326</v>
      </c>
      <c r="G171">
        <v>170</v>
      </c>
      <c r="H171" t="s">
        <v>445</v>
      </c>
      <c r="I171" s="38">
        <v>0.49390000000000001</v>
      </c>
      <c r="J171" s="3">
        <v>161</v>
      </c>
      <c r="K171" s="3">
        <v>326</v>
      </c>
    </row>
    <row r="172" spans="1:11">
      <c r="A172" t="str">
        <f t="shared" si="36"/>
        <v>Michael Kim</v>
      </c>
      <c r="B172">
        <f t="shared" si="37"/>
        <v>171</v>
      </c>
      <c r="C172">
        <f t="shared" si="38"/>
        <v>0.49270000000000003</v>
      </c>
      <c r="D172">
        <f t="shared" si="39"/>
        <v>202</v>
      </c>
      <c r="E172">
        <f t="shared" si="40"/>
        <v>410</v>
      </c>
      <c r="G172">
        <v>171</v>
      </c>
      <c r="H172" t="s">
        <v>62</v>
      </c>
      <c r="I172" s="38">
        <v>0.49270000000000003</v>
      </c>
      <c r="J172" s="3">
        <v>202</v>
      </c>
      <c r="K172" s="3">
        <v>410</v>
      </c>
    </row>
    <row r="173" spans="1:11">
      <c r="A173" t="str">
        <f t="shared" si="36"/>
        <v>Ryan Brehm</v>
      </c>
      <c r="B173">
        <f t="shared" si="37"/>
        <v>172</v>
      </c>
      <c r="C173">
        <f t="shared" si="38"/>
        <v>0.49149999999999999</v>
      </c>
      <c r="D173">
        <f t="shared" si="39"/>
        <v>174</v>
      </c>
      <c r="E173">
        <f t="shared" si="40"/>
        <v>354</v>
      </c>
      <c r="G173">
        <v>172</v>
      </c>
      <c r="H173" t="s">
        <v>37</v>
      </c>
      <c r="I173" s="38">
        <v>0.49149999999999999</v>
      </c>
      <c r="J173" s="3">
        <v>174</v>
      </c>
      <c r="K173" s="3">
        <v>354</v>
      </c>
    </row>
    <row r="174" spans="1:11">
      <c r="A174" t="str">
        <f t="shared" si="36"/>
        <v>Taylor Montgomery</v>
      </c>
      <c r="B174">
        <f t="shared" si="37"/>
        <v>173</v>
      </c>
      <c r="C174">
        <f t="shared" si="38"/>
        <v>0.4904</v>
      </c>
      <c r="D174">
        <f t="shared" si="39"/>
        <v>204</v>
      </c>
      <c r="E174">
        <f t="shared" si="40"/>
        <v>416</v>
      </c>
      <c r="G174">
        <v>173</v>
      </c>
      <c r="H174" t="s">
        <v>63</v>
      </c>
      <c r="I174" s="38">
        <v>0.4904</v>
      </c>
      <c r="J174" s="3">
        <v>204</v>
      </c>
      <c r="K174" s="3">
        <v>416</v>
      </c>
    </row>
    <row r="175" spans="1:11">
      <c r="A175" t="str">
        <f>H175</f>
        <v>Matt Wallace</v>
      </c>
      <c r="B175">
        <f>G175</f>
        <v>174</v>
      </c>
      <c r="C175">
        <f>I175</f>
        <v>0.48699999999999999</v>
      </c>
      <c r="D175">
        <f>J175</f>
        <v>188</v>
      </c>
      <c r="E175">
        <f>K175</f>
        <v>386</v>
      </c>
      <c r="G175">
        <v>174</v>
      </c>
      <c r="H175" t="s">
        <v>82</v>
      </c>
      <c r="I175" s="38">
        <v>0.48699999999999999</v>
      </c>
      <c r="J175" s="3">
        <v>188</v>
      </c>
      <c r="K175" s="3">
        <v>386</v>
      </c>
    </row>
    <row r="176" spans="1:11">
      <c r="A176" t="str">
        <f t="shared" si="36"/>
        <v>Wilson Furr</v>
      </c>
      <c r="B176">
        <f t="shared" si="37"/>
        <v>175</v>
      </c>
      <c r="C176">
        <f t="shared" si="38"/>
        <v>0.48599999999999999</v>
      </c>
      <c r="D176">
        <f t="shared" si="39"/>
        <v>104</v>
      </c>
      <c r="E176">
        <f t="shared" si="40"/>
        <v>214</v>
      </c>
      <c r="G176">
        <v>175</v>
      </c>
      <c r="H176" t="s">
        <v>692</v>
      </c>
      <c r="I176" s="38">
        <v>0.48599999999999999</v>
      </c>
      <c r="J176" s="3">
        <v>104</v>
      </c>
      <c r="K176" s="3">
        <v>214</v>
      </c>
    </row>
    <row r="177" spans="1:11">
      <c r="A177" t="str">
        <f t="shared" si="36"/>
        <v>Stewart Cink</v>
      </c>
      <c r="B177">
        <f t="shared" si="37"/>
        <v>176</v>
      </c>
      <c r="C177">
        <f t="shared" si="38"/>
        <v>0.48370000000000002</v>
      </c>
      <c r="D177">
        <f t="shared" si="39"/>
        <v>119</v>
      </c>
      <c r="E177">
        <f t="shared" si="40"/>
        <v>246</v>
      </c>
      <c r="G177">
        <v>176</v>
      </c>
      <c r="H177" t="s">
        <v>53</v>
      </c>
      <c r="I177" s="38">
        <v>0.48370000000000002</v>
      </c>
      <c r="J177" s="3">
        <v>119</v>
      </c>
      <c r="K177" s="3">
        <v>246</v>
      </c>
    </row>
    <row r="178" spans="1:11">
      <c r="A178" t="str">
        <f t="shared" si="36"/>
        <v>S.H. Kim</v>
      </c>
      <c r="B178">
        <f t="shared" si="37"/>
        <v>177</v>
      </c>
      <c r="C178">
        <f t="shared" si="38"/>
        <v>0.4783</v>
      </c>
      <c r="D178">
        <f t="shared" si="39"/>
        <v>243</v>
      </c>
      <c r="E178">
        <f t="shared" si="40"/>
        <v>508</v>
      </c>
      <c r="G178">
        <v>177</v>
      </c>
      <c r="H178" t="s">
        <v>39</v>
      </c>
      <c r="I178" s="38">
        <v>0.4783</v>
      </c>
      <c r="J178" s="3">
        <v>243</v>
      </c>
      <c r="K178">
        <v>508</v>
      </c>
    </row>
    <row r="179" spans="1:11">
      <c r="A179" t="str">
        <f t="shared" si="36"/>
        <v>Taylor Pendrith</v>
      </c>
      <c r="B179">
        <f t="shared" si="37"/>
        <v>178</v>
      </c>
      <c r="C179">
        <f t="shared" si="38"/>
        <v>0.46329999999999999</v>
      </c>
      <c r="D179">
        <f t="shared" si="39"/>
        <v>139</v>
      </c>
      <c r="E179">
        <f t="shared" si="40"/>
        <v>300</v>
      </c>
      <c r="G179">
        <v>178</v>
      </c>
      <c r="H179" t="s">
        <v>33</v>
      </c>
      <c r="I179" s="38">
        <v>0.46329999999999999</v>
      </c>
      <c r="J179" s="3">
        <v>139</v>
      </c>
      <c r="K179" s="3">
        <v>300</v>
      </c>
    </row>
    <row r="180" spans="1:11">
      <c r="A180" t="str">
        <f t="shared" si="36"/>
        <v>Vince Whaley</v>
      </c>
      <c r="B180">
        <f t="shared" si="37"/>
        <v>179</v>
      </c>
      <c r="C180">
        <f t="shared" si="38"/>
        <v>0.46</v>
      </c>
      <c r="D180">
        <f t="shared" si="39"/>
        <v>138</v>
      </c>
      <c r="E180">
        <f t="shared" si="40"/>
        <v>300</v>
      </c>
      <c r="G180">
        <v>179</v>
      </c>
      <c r="H180" t="s">
        <v>223</v>
      </c>
      <c r="I180" s="38">
        <v>0.46</v>
      </c>
      <c r="J180" s="3">
        <v>138</v>
      </c>
      <c r="K180" s="3">
        <v>300</v>
      </c>
    </row>
    <row r="181" spans="1:11">
      <c r="A181" t="str">
        <f t="shared" si="36"/>
        <v>Callum Tarren</v>
      </c>
      <c r="B181">
        <f t="shared" si="37"/>
        <v>180</v>
      </c>
      <c r="C181">
        <f t="shared" si="38"/>
        <v>0.45639999999999997</v>
      </c>
      <c r="D181">
        <f t="shared" si="39"/>
        <v>136</v>
      </c>
      <c r="E181">
        <f t="shared" si="40"/>
        <v>298</v>
      </c>
      <c r="G181">
        <v>180</v>
      </c>
      <c r="H181" t="s">
        <v>21</v>
      </c>
      <c r="I181" s="38">
        <v>0.45639999999999997</v>
      </c>
      <c r="J181" s="3">
        <v>136</v>
      </c>
      <c r="K181">
        <v>298</v>
      </c>
    </row>
    <row r="182" spans="1:11">
      <c r="A182" t="str">
        <f t="shared" si="36"/>
        <v>Ryan McCormick</v>
      </c>
      <c r="B182">
        <f t="shared" si="37"/>
        <v>181</v>
      </c>
      <c r="C182">
        <f t="shared" si="38"/>
        <v>0.45079999999999998</v>
      </c>
      <c r="D182">
        <f t="shared" si="39"/>
        <v>110</v>
      </c>
      <c r="E182">
        <f t="shared" si="40"/>
        <v>244</v>
      </c>
      <c r="G182">
        <v>181</v>
      </c>
      <c r="H182" t="s">
        <v>561</v>
      </c>
      <c r="I182" s="38">
        <v>0.45079999999999998</v>
      </c>
      <c r="J182" s="3">
        <v>110</v>
      </c>
      <c r="K182">
        <v>244</v>
      </c>
    </row>
    <row r="183" spans="1:11">
      <c r="A183" t="str">
        <f t="shared" si="36"/>
        <v>Chris Gotterup</v>
      </c>
      <c r="B183">
        <f t="shared" si="37"/>
        <v>182</v>
      </c>
      <c r="C183">
        <f t="shared" si="38"/>
        <v>0.4345</v>
      </c>
      <c r="D183">
        <f t="shared" si="39"/>
        <v>136</v>
      </c>
      <c r="E183">
        <f t="shared" si="40"/>
        <v>313</v>
      </c>
      <c r="G183">
        <v>182</v>
      </c>
      <c r="H183" t="s">
        <v>596</v>
      </c>
      <c r="I183" s="38">
        <v>0.4345</v>
      </c>
      <c r="J183" s="3">
        <v>136</v>
      </c>
      <c r="K183">
        <v>313</v>
      </c>
    </row>
    <row r="184" spans="1:11">
      <c r="A184" t="str">
        <f t="shared" si="36"/>
        <v>Ben Taylor</v>
      </c>
      <c r="B184">
        <f t="shared" si="37"/>
        <v>183</v>
      </c>
      <c r="C184">
        <f t="shared" si="38"/>
        <v>0.43070000000000003</v>
      </c>
      <c r="D184">
        <f t="shared" si="39"/>
        <v>118</v>
      </c>
      <c r="E184">
        <f t="shared" si="40"/>
        <v>274</v>
      </c>
      <c r="G184">
        <v>183</v>
      </c>
      <c r="H184" t="s">
        <v>71</v>
      </c>
      <c r="I184" s="38">
        <v>0.43070000000000003</v>
      </c>
      <c r="J184" s="3">
        <v>118</v>
      </c>
      <c r="K184">
        <v>274</v>
      </c>
    </row>
    <row r="185" spans="1:11">
      <c r="A185">
        <f t="shared" si="36"/>
        <v>0</v>
      </c>
      <c r="B185">
        <f t="shared" si="37"/>
        <v>0</v>
      </c>
      <c r="C185">
        <f t="shared" si="38"/>
        <v>0</v>
      </c>
      <c r="D185">
        <f t="shared" si="39"/>
        <v>0</v>
      </c>
      <c r="E185">
        <f t="shared" si="40"/>
        <v>0</v>
      </c>
      <c r="I185" s="38"/>
      <c r="J185" s="3"/>
    </row>
    <row r="186" spans="1:11">
      <c r="A186">
        <f t="shared" si="36"/>
        <v>0</v>
      </c>
      <c r="B186">
        <f t="shared" si="37"/>
        <v>0</v>
      </c>
      <c r="C186">
        <f t="shared" si="38"/>
        <v>0</v>
      </c>
      <c r="D186">
        <f t="shared" si="39"/>
        <v>0</v>
      </c>
      <c r="E186">
        <f t="shared" si="40"/>
        <v>0</v>
      </c>
      <c r="I186" s="38"/>
      <c r="J186" s="3"/>
    </row>
    <row r="187" spans="1:11">
      <c r="A187">
        <f t="shared" si="36"/>
        <v>0</v>
      </c>
      <c r="B187">
        <f t="shared" si="37"/>
        <v>0</v>
      </c>
      <c r="C187">
        <f t="shared" si="38"/>
        <v>0</v>
      </c>
      <c r="D187">
        <f t="shared" si="39"/>
        <v>0</v>
      </c>
      <c r="E187">
        <f t="shared" si="40"/>
        <v>0</v>
      </c>
      <c r="I187" s="38"/>
      <c r="J187" s="3"/>
    </row>
    <row r="188" spans="1:11">
      <c r="A188">
        <f t="shared" si="36"/>
        <v>0</v>
      </c>
      <c r="B188">
        <f t="shared" si="37"/>
        <v>0</v>
      </c>
      <c r="C188">
        <f t="shared" si="38"/>
        <v>0</v>
      </c>
      <c r="D188">
        <f t="shared" si="39"/>
        <v>0</v>
      </c>
      <c r="E188">
        <f t="shared" si="40"/>
        <v>0</v>
      </c>
      <c r="I188" s="38"/>
      <c r="J188" s="3"/>
    </row>
    <row r="189" spans="1:11">
      <c r="A189">
        <f t="shared" si="36"/>
        <v>0</v>
      </c>
      <c r="B189">
        <f t="shared" si="37"/>
        <v>0</v>
      </c>
      <c r="C189">
        <f t="shared" si="38"/>
        <v>0</v>
      </c>
      <c r="D189">
        <f t="shared" si="39"/>
        <v>0</v>
      </c>
      <c r="E189">
        <f t="shared" si="40"/>
        <v>0</v>
      </c>
      <c r="I189" s="38"/>
      <c r="J189" s="3"/>
    </row>
    <row r="190" spans="1:11">
      <c r="A190">
        <f t="shared" si="36"/>
        <v>0</v>
      </c>
      <c r="B190">
        <f t="shared" si="37"/>
        <v>0</v>
      </c>
      <c r="C190">
        <f t="shared" si="38"/>
        <v>0</v>
      </c>
      <c r="D190">
        <f t="shared" si="39"/>
        <v>0</v>
      </c>
      <c r="E190">
        <f t="shared" si="40"/>
        <v>0</v>
      </c>
      <c r="I190" s="38"/>
      <c r="J190" s="3"/>
    </row>
    <row r="191" spans="1:11">
      <c r="A191">
        <f t="shared" si="36"/>
        <v>0</v>
      </c>
      <c r="B191">
        <f t="shared" si="37"/>
        <v>0</v>
      </c>
      <c r="C191">
        <f t="shared" si="38"/>
        <v>0</v>
      </c>
      <c r="D191">
        <f t="shared" si="39"/>
        <v>0</v>
      </c>
      <c r="E191">
        <f t="shared" si="40"/>
        <v>0</v>
      </c>
      <c r="I191" s="38"/>
      <c r="J191" s="3"/>
    </row>
    <row r="192" spans="1:11">
      <c r="A192">
        <f t="shared" si="36"/>
        <v>0</v>
      </c>
      <c r="B192">
        <f t="shared" si="37"/>
        <v>0</v>
      </c>
      <c r="C192">
        <f t="shared" si="38"/>
        <v>0</v>
      </c>
      <c r="D192">
        <f t="shared" si="39"/>
        <v>0</v>
      </c>
      <c r="E192">
        <f t="shared" si="40"/>
        <v>0</v>
      </c>
      <c r="I192" s="38"/>
      <c r="J192" s="3"/>
    </row>
    <row r="193" spans="1:10">
      <c r="A193">
        <f t="shared" si="36"/>
        <v>0</v>
      </c>
      <c r="B193">
        <f t="shared" si="37"/>
        <v>0</v>
      </c>
      <c r="C193">
        <f t="shared" si="38"/>
        <v>0</v>
      </c>
      <c r="D193">
        <f t="shared" si="39"/>
        <v>0</v>
      </c>
      <c r="E193">
        <f t="shared" si="40"/>
        <v>0</v>
      </c>
      <c r="I193" s="38"/>
      <c r="J193" s="3"/>
    </row>
    <row r="194" spans="1:10">
      <c r="A194">
        <f t="shared" ref="A194:A224" si="41">H194</f>
        <v>0</v>
      </c>
      <c r="B194">
        <f t="shared" ref="B194:B224" si="42">G194</f>
        <v>0</v>
      </c>
      <c r="C194">
        <f t="shared" ref="C194:C224" si="43">I194</f>
        <v>0</v>
      </c>
      <c r="D194">
        <f t="shared" ref="D194:D224" si="44">J194</f>
        <v>0</v>
      </c>
      <c r="E194">
        <f t="shared" ref="E194:E224" si="45">K194</f>
        <v>0</v>
      </c>
      <c r="I194" s="38"/>
      <c r="J194" s="3"/>
    </row>
    <row r="195" spans="1:10">
      <c r="A195">
        <f t="shared" si="41"/>
        <v>0</v>
      </c>
      <c r="B195">
        <f t="shared" si="42"/>
        <v>0</v>
      </c>
      <c r="C195">
        <f t="shared" si="43"/>
        <v>0</v>
      </c>
      <c r="D195">
        <f t="shared" si="44"/>
        <v>0</v>
      </c>
      <c r="E195">
        <f t="shared" si="45"/>
        <v>0</v>
      </c>
      <c r="I195" s="38"/>
      <c r="J195" s="3"/>
    </row>
    <row r="196" spans="1:10">
      <c r="A196">
        <f t="shared" si="41"/>
        <v>0</v>
      </c>
      <c r="B196">
        <f t="shared" si="42"/>
        <v>0</v>
      </c>
      <c r="C196">
        <f t="shared" si="43"/>
        <v>0</v>
      </c>
      <c r="D196">
        <f t="shared" si="44"/>
        <v>0</v>
      </c>
      <c r="E196">
        <f t="shared" si="45"/>
        <v>0</v>
      </c>
      <c r="I196" s="38"/>
      <c r="J196" s="3"/>
    </row>
    <row r="197" spans="1:10">
      <c r="A197">
        <f t="shared" si="41"/>
        <v>0</v>
      </c>
      <c r="B197">
        <f t="shared" si="42"/>
        <v>0</v>
      </c>
      <c r="C197">
        <f t="shared" si="43"/>
        <v>0</v>
      </c>
      <c r="D197">
        <f t="shared" si="44"/>
        <v>0</v>
      </c>
      <c r="E197">
        <f t="shared" si="45"/>
        <v>0</v>
      </c>
      <c r="I197" s="38"/>
      <c r="J197" s="3"/>
    </row>
    <row r="198" spans="1:10">
      <c r="A198">
        <f t="shared" si="41"/>
        <v>0</v>
      </c>
      <c r="B198">
        <f t="shared" si="42"/>
        <v>0</v>
      </c>
      <c r="C198">
        <f t="shared" si="43"/>
        <v>0</v>
      </c>
      <c r="D198">
        <f t="shared" si="44"/>
        <v>0</v>
      </c>
      <c r="E198">
        <f t="shared" si="45"/>
        <v>0</v>
      </c>
      <c r="I198" s="38"/>
      <c r="J198" s="3"/>
    </row>
    <row r="199" spans="1:10">
      <c r="A199">
        <f t="shared" si="41"/>
        <v>0</v>
      </c>
      <c r="B199">
        <f t="shared" si="42"/>
        <v>0</v>
      </c>
      <c r="C199">
        <f t="shared" si="43"/>
        <v>0</v>
      </c>
      <c r="D199">
        <f t="shared" si="44"/>
        <v>0</v>
      </c>
      <c r="E199">
        <f t="shared" si="45"/>
        <v>0</v>
      </c>
      <c r="I199" s="38"/>
    </row>
    <row r="200" spans="1:10">
      <c r="A200">
        <f t="shared" si="41"/>
        <v>0</v>
      </c>
      <c r="B200">
        <f t="shared" si="42"/>
        <v>0</v>
      </c>
      <c r="C200">
        <f t="shared" si="43"/>
        <v>0</v>
      </c>
      <c r="D200">
        <f t="shared" si="44"/>
        <v>0</v>
      </c>
      <c r="E200">
        <f t="shared" si="45"/>
        <v>0</v>
      </c>
      <c r="I200" s="38"/>
    </row>
    <row r="201" spans="1:10">
      <c r="A201">
        <f t="shared" si="41"/>
        <v>0</v>
      </c>
      <c r="B201">
        <f t="shared" si="42"/>
        <v>0</v>
      </c>
      <c r="C201">
        <f t="shared" si="43"/>
        <v>0</v>
      </c>
      <c r="D201">
        <f t="shared" si="44"/>
        <v>0</v>
      </c>
      <c r="E201">
        <f t="shared" si="45"/>
        <v>0</v>
      </c>
    </row>
    <row r="202" spans="1:10">
      <c r="A202">
        <f t="shared" si="41"/>
        <v>0</v>
      </c>
      <c r="B202">
        <f t="shared" si="42"/>
        <v>0</v>
      </c>
      <c r="C202">
        <f t="shared" si="43"/>
        <v>0</v>
      </c>
      <c r="D202">
        <f t="shared" si="44"/>
        <v>0</v>
      </c>
      <c r="E202">
        <f t="shared" si="45"/>
        <v>0</v>
      </c>
    </row>
    <row r="203" spans="1:10">
      <c r="A203">
        <f t="shared" si="41"/>
        <v>0</v>
      </c>
      <c r="B203">
        <f t="shared" si="42"/>
        <v>0</v>
      </c>
      <c r="C203">
        <f t="shared" si="43"/>
        <v>0</v>
      </c>
      <c r="D203">
        <f t="shared" si="44"/>
        <v>0</v>
      </c>
      <c r="E203">
        <f t="shared" si="45"/>
        <v>0</v>
      </c>
    </row>
    <row r="204" spans="1:10">
      <c r="A204">
        <f t="shared" si="41"/>
        <v>0</v>
      </c>
      <c r="B204">
        <f t="shared" si="42"/>
        <v>0</v>
      </c>
      <c r="C204">
        <f t="shared" si="43"/>
        <v>0</v>
      </c>
      <c r="D204">
        <f t="shared" si="44"/>
        <v>0</v>
      </c>
      <c r="E204">
        <f t="shared" si="45"/>
        <v>0</v>
      </c>
    </row>
    <row r="205" spans="1:10">
      <c r="A205">
        <f t="shared" si="41"/>
        <v>0</v>
      </c>
      <c r="B205">
        <f t="shared" si="42"/>
        <v>0</v>
      </c>
      <c r="C205">
        <f t="shared" si="43"/>
        <v>0</v>
      </c>
      <c r="D205">
        <f t="shared" si="44"/>
        <v>0</v>
      </c>
      <c r="E205">
        <f t="shared" si="45"/>
        <v>0</v>
      </c>
    </row>
    <row r="206" spans="1:10">
      <c r="A206">
        <f t="shared" si="41"/>
        <v>0</v>
      </c>
      <c r="B206">
        <f t="shared" si="42"/>
        <v>0</v>
      </c>
      <c r="C206">
        <f t="shared" si="43"/>
        <v>0</v>
      </c>
      <c r="D206">
        <f t="shared" si="44"/>
        <v>0</v>
      </c>
      <c r="E206">
        <f t="shared" si="45"/>
        <v>0</v>
      </c>
    </row>
    <row r="207" spans="1:10">
      <c r="A207">
        <f t="shared" si="41"/>
        <v>0</v>
      </c>
      <c r="B207">
        <f t="shared" si="42"/>
        <v>0</v>
      </c>
      <c r="C207">
        <f t="shared" si="43"/>
        <v>0</v>
      </c>
      <c r="D207">
        <f t="shared" si="44"/>
        <v>0</v>
      </c>
      <c r="E207">
        <f t="shared" si="45"/>
        <v>0</v>
      </c>
    </row>
    <row r="208" spans="1:10">
      <c r="A208">
        <f t="shared" si="41"/>
        <v>0</v>
      </c>
      <c r="B208">
        <f t="shared" si="42"/>
        <v>0</v>
      </c>
      <c r="C208">
        <f t="shared" si="43"/>
        <v>0</v>
      </c>
      <c r="D208">
        <f t="shared" si="44"/>
        <v>0</v>
      </c>
      <c r="E208">
        <f t="shared" si="45"/>
        <v>0</v>
      </c>
    </row>
    <row r="209" spans="1:5">
      <c r="A209">
        <f t="shared" si="41"/>
        <v>0</v>
      </c>
      <c r="B209">
        <f t="shared" si="42"/>
        <v>0</v>
      </c>
      <c r="C209">
        <f t="shared" si="43"/>
        <v>0</v>
      </c>
      <c r="D209">
        <f t="shared" si="44"/>
        <v>0</v>
      </c>
      <c r="E209">
        <f t="shared" si="45"/>
        <v>0</v>
      </c>
    </row>
    <row r="210" spans="1:5">
      <c r="A210">
        <f t="shared" si="41"/>
        <v>0</v>
      </c>
      <c r="B210">
        <f t="shared" si="42"/>
        <v>0</v>
      </c>
      <c r="C210">
        <f t="shared" si="43"/>
        <v>0</v>
      </c>
      <c r="D210">
        <f t="shared" si="44"/>
        <v>0</v>
      </c>
      <c r="E210">
        <f t="shared" si="45"/>
        <v>0</v>
      </c>
    </row>
    <row r="211" spans="1:5">
      <c r="A211">
        <f t="shared" si="41"/>
        <v>0</v>
      </c>
      <c r="B211">
        <f t="shared" si="42"/>
        <v>0</v>
      </c>
      <c r="C211">
        <f t="shared" si="43"/>
        <v>0</v>
      </c>
      <c r="D211">
        <f t="shared" si="44"/>
        <v>0</v>
      </c>
      <c r="E211">
        <f t="shared" si="45"/>
        <v>0</v>
      </c>
    </row>
    <row r="212" spans="1:5">
      <c r="A212">
        <f t="shared" si="41"/>
        <v>0</v>
      </c>
      <c r="B212">
        <f t="shared" si="42"/>
        <v>0</v>
      </c>
      <c r="C212">
        <f t="shared" si="43"/>
        <v>0</v>
      </c>
      <c r="D212">
        <f t="shared" si="44"/>
        <v>0</v>
      </c>
      <c r="E212">
        <f t="shared" si="45"/>
        <v>0</v>
      </c>
    </row>
    <row r="213" spans="1:5">
      <c r="A213">
        <f t="shared" si="41"/>
        <v>0</v>
      </c>
      <c r="B213">
        <f t="shared" si="42"/>
        <v>0</v>
      </c>
      <c r="C213">
        <f t="shared" si="43"/>
        <v>0</v>
      </c>
      <c r="D213">
        <f t="shared" si="44"/>
        <v>0</v>
      </c>
      <c r="E213">
        <f t="shared" si="45"/>
        <v>0</v>
      </c>
    </row>
    <row r="214" spans="1:5">
      <c r="A214">
        <f t="shared" si="41"/>
        <v>0</v>
      </c>
      <c r="B214">
        <f t="shared" si="42"/>
        <v>0</v>
      </c>
      <c r="C214">
        <f t="shared" si="43"/>
        <v>0</v>
      </c>
      <c r="D214">
        <f t="shared" si="44"/>
        <v>0</v>
      </c>
      <c r="E214">
        <f t="shared" si="45"/>
        <v>0</v>
      </c>
    </row>
    <row r="215" spans="1:5">
      <c r="A215">
        <f t="shared" si="41"/>
        <v>0</v>
      </c>
      <c r="B215">
        <f t="shared" si="42"/>
        <v>0</v>
      </c>
      <c r="C215">
        <f t="shared" si="43"/>
        <v>0</v>
      </c>
      <c r="D215">
        <f t="shared" si="44"/>
        <v>0</v>
      </c>
      <c r="E215">
        <f t="shared" si="45"/>
        <v>0</v>
      </c>
    </row>
    <row r="216" spans="1:5">
      <c r="A216">
        <f t="shared" si="41"/>
        <v>0</v>
      </c>
      <c r="B216">
        <f t="shared" si="42"/>
        <v>0</v>
      </c>
      <c r="C216">
        <f t="shared" si="43"/>
        <v>0</v>
      </c>
      <c r="D216">
        <f t="shared" si="44"/>
        <v>0</v>
      </c>
      <c r="E216">
        <f t="shared" si="45"/>
        <v>0</v>
      </c>
    </row>
    <row r="217" spans="1:5">
      <c r="A217">
        <f t="shared" si="41"/>
        <v>0</v>
      </c>
      <c r="B217">
        <f t="shared" si="42"/>
        <v>0</v>
      </c>
      <c r="C217">
        <f t="shared" si="43"/>
        <v>0</v>
      </c>
      <c r="D217">
        <f t="shared" si="44"/>
        <v>0</v>
      </c>
      <c r="E217">
        <f t="shared" si="45"/>
        <v>0</v>
      </c>
    </row>
    <row r="218" spans="1:5">
      <c r="A218">
        <f t="shared" si="41"/>
        <v>0</v>
      </c>
      <c r="B218">
        <f t="shared" si="42"/>
        <v>0</v>
      </c>
      <c r="C218">
        <f t="shared" si="43"/>
        <v>0</v>
      </c>
      <c r="D218">
        <f t="shared" si="44"/>
        <v>0</v>
      </c>
      <c r="E218">
        <f t="shared" si="45"/>
        <v>0</v>
      </c>
    </row>
    <row r="219" spans="1:5">
      <c r="A219">
        <f t="shared" si="41"/>
        <v>0</v>
      </c>
      <c r="B219">
        <f t="shared" si="42"/>
        <v>0</v>
      </c>
      <c r="C219">
        <f t="shared" si="43"/>
        <v>0</v>
      </c>
      <c r="D219">
        <f t="shared" si="44"/>
        <v>0</v>
      </c>
      <c r="E219">
        <f t="shared" si="45"/>
        <v>0</v>
      </c>
    </row>
    <row r="220" spans="1:5">
      <c r="A220">
        <f t="shared" si="41"/>
        <v>0</v>
      </c>
      <c r="B220">
        <f t="shared" si="42"/>
        <v>0</v>
      </c>
      <c r="C220">
        <f t="shared" si="43"/>
        <v>0</v>
      </c>
      <c r="D220">
        <f t="shared" si="44"/>
        <v>0</v>
      </c>
      <c r="E220">
        <f t="shared" si="45"/>
        <v>0</v>
      </c>
    </row>
    <row r="221" spans="1:5">
      <c r="A221">
        <f t="shared" si="41"/>
        <v>0</v>
      </c>
      <c r="B221">
        <f t="shared" si="42"/>
        <v>0</v>
      </c>
      <c r="C221">
        <f t="shared" si="43"/>
        <v>0</v>
      </c>
      <c r="D221">
        <f t="shared" si="44"/>
        <v>0</v>
      </c>
      <c r="E221">
        <f t="shared" si="45"/>
        <v>0</v>
      </c>
    </row>
    <row r="222" spans="1:5">
      <c r="A222">
        <f t="shared" si="41"/>
        <v>0</v>
      </c>
      <c r="B222">
        <f t="shared" si="42"/>
        <v>0</v>
      </c>
      <c r="C222">
        <f t="shared" si="43"/>
        <v>0</v>
      </c>
      <c r="D222">
        <f t="shared" si="44"/>
        <v>0</v>
      </c>
      <c r="E222">
        <f t="shared" si="45"/>
        <v>0</v>
      </c>
    </row>
    <row r="223" spans="1:5">
      <c r="A223">
        <f t="shared" si="41"/>
        <v>0</v>
      </c>
      <c r="B223">
        <f t="shared" si="42"/>
        <v>0</v>
      </c>
      <c r="C223">
        <f t="shared" si="43"/>
        <v>0</v>
      </c>
      <c r="D223">
        <f t="shared" si="44"/>
        <v>0</v>
      </c>
      <c r="E223">
        <f t="shared" si="45"/>
        <v>0</v>
      </c>
    </row>
    <row r="224" spans="1:5">
      <c r="A224">
        <f t="shared" si="41"/>
        <v>0</v>
      </c>
      <c r="B224">
        <f t="shared" si="42"/>
        <v>0</v>
      </c>
      <c r="C224">
        <f t="shared" si="43"/>
        <v>0</v>
      </c>
      <c r="D224">
        <f t="shared" si="44"/>
        <v>0</v>
      </c>
      <c r="E224">
        <f t="shared" si="45"/>
        <v>0</v>
      </c>
    </row>
    <row r="225" spans="1:5">
      <c r="A225">
        <f t="shared" ref="A225:A237" si="46">H225</f>
        <v>0</v>
      </c>
      <c r="B225">
        <f t="shared" ref="B225:B237" si="47">G225</f>
        <v>0</v>
      </c>
      <c r="C225">
        <f t="shared" ref="C225:C237" si="48">I225</f>
        <v>0</v>
      </c>
      <c r="D225">
        <f t="shared" ref="D225:D237" si="49">J225</f>
        <v>0</v>
      </c>
      <c r="E225">
        <f t="shared" ref="E225:E237" si="50">K225</f>
        <v>0</v>
      </c>
    </row>
    <row r="226" spans="1:5">
      <c r="A226">
        <f t="shared" si="46"/>
        <v>0</v>
      </c>
      <c r="B226">
        <f t="shared" si="47"/>
        <v>0</v>
      </c>
      <c r="C226">
        <f t="shared" si="48"/>
        <v>0</v>
      </c>
      <c r="D226">
        <f t="shared" si="49"/>
        <v>0</v>
      </c>
      <c r="E226">
        <f t="shared" si="50"/>
        <v>0</v>
      </c>
    </row>
    <row r="227" spans="1:5">
      <c r="A227">
        <f t="shared" si="46"/>
        <v>0</v>
      </c>
      <c r="B227">
        <f t="shared" si="47"/>
        <v>0</v>
      </c>
      <c r="C227">
        <f t="shared" si="48"/>
        <v>0</v>
      </c>
      <c r="D227">
        <f t="shared" si="49"/>
        <v>0</v>
      </c>
      <c r="E227">
        <f t="shared" si="50"/>
        <v>0</v>
      </c>
    </row>
    <row r="228" spans="1:5">
      <c r="A228">
        <f t="shared" si="46"/>
        <v>0</v>
      </c>
      <c r="B228">
        <f t="shared" si="47"/>
        <v>0</v>
      </c>
      <c r="C228">
        <f t="shared" si="48"/>
        <v>0</v>
      </c>
      <c r="D228">
        <f t="shared" si="49"/>
        <v>0</v>
      </c>
      <c r="E228">
        <f t="shared" si="50"/>
        <v>0</v>
      </c>
    </row>
    <row r="229" spans="1:5">
      <c r="A229">
        <f t="shared" si="46"/>
        <v>0</v>
      </c>
      <c r="B229">
        <f t="shared" si="47"/>
        <v>0</v>
      </c>
      <c r="C229">
        <f t="shared" si="48"/>
        <v>0</v>
      </c>
      <c r="D229">
        <f t="shared" si="49"/>
        <v>0</v>
      </c>
      <c r="E229">
        <f t="shared" si="50"/>
        <v>0</v>
      </c>
    </row>
    <row r="230" spans="1:5">
      <c r="A230">
        <f t="shared" si="46"/>
        <v>0</v>
      </c>
      <c r="B230">
        <f t="shared" si="47"/>
        <v>0</v>
      </c>
      <c r="C230">
        <f t="shared" si="48"/>
        <v>0</v>
      </c>
      <c r="D230">
        <f t="shared" si="49"/>
        <v>0</v>
      </c>
      <c r="E230">
        <f t="shared" si="50"/>
        <v>0</v>
      </c>
    </row>
    <row r="231" spans="1:5">
      <c r="A231">
        <f t="shared" si="46"/>
        <v>0</v>
      </c>
      <c r="B231">
        <f t="shared" si="47"/>
        <v>0</v>
      </c>
      <c r="C231">
        <f t="shared" si="48"/>
        <v>0</v>
      </c>
      <c r="D231">
        <f t="shared" si="49"/>
        <v>0</v>
      </c>
      <c r="E231">
        <f t="shared" si="50"/>
        <v>0</v>
      </c>
    </row>
    <row r="232" spans="1:5">
      <c r="A232">
        <f t="shared" si="46"/>
        <v>0</v>
      </c>
      <c r="B232">
        <f t="shared" si="47"/>
        <v>0</v>
      </c>
      <c r="C232">
        <f t="shared" si="48"/>
        <v>0</v>
      </c>
      <c r="D232">
        <f t="shared" si="49"/>
        <v>0</v>
      </c>
      <c r="E232">
        <f t="shared" si="50"/>
        <v>0</v>
      </c>
    </row>
    <row r="233" spans="1:5">
      <c r="A233">
        <f t="shared" si="46"/>
        <v>0</v>
      </c>
      <c r="B233">
        <f t="shared" si="47"/>
        <v>0</v>
      </c>
      <c r="C233">
        <f t="shared" si="48"/>
        <v>0</v>
      </c>
      <c r="D233">
        <f t="shared" si="49"/>
        <v>0</v>
      </c>
      <c r="E233">
        <f t="shared" si="50"/>
        <v>0</v>
      </c>
    </row>
    <row r="234" spans="1:5">
      <c r="A234">
        <f t="shared" si="46"/>
        <v>0</v>
      </c>
      <c r="B234">
        <f t="shared" si="47"/>
        <v>0</v>
      </c>
      <c r="C234">
        <f t="shared" si="48"/>
        <v>0</v>
      </c>
      <c r="D234">
        <f t="shared" si="49"/>
        <v>0</v>
      </c>
      <c r="E234">
        <f t="shared" si="50"/>
        <v>0</v>
      </c>
    </row>
    <row r="235" spans="1:5">
      <c r="A235">
        <f t="shared" si="46"/>
        <v>0</v>
      </c>
      <c r="B235">
        <f t="shared" si="47"/>
        <v>0</v>
      </c>
      <c r="C235">
        <f t="shared" si="48"/>
        <v>0</v>
      </c>
      <c r="D235">
        <f t="shared" si="49"/>
        <v>0</v>
      </c>
      <c r="E235">
        <f t="shared" si="50"/>
        <v>0</v>
      </c>
    </row>
    <row r="236" spans="1:5">
      <c r="A236">
        <f t="shared" si="46"/>
        <v>0</v>
      </c>
      <c r="B236">
        <f t="shared" si="47"/>
        <v>0</v>
      </c>
      <c r="C236">
        <f t="shared" si="48"/>
        <v>0</v>
      </c>
      <c r="D236">
        <f t="shared" si="49"/>
        <v>0</v>
      </c>
      <c r="E236">
        <f t="shared" si="50"/>
        <v>0</v>
      </c>
    </row>
    <row r="237" spans="1:5">
      <c r="A237">
        <f t="shared" si="46"/>
        <v>0</v>
      </c>
      <c r="B237">
        <f t="shared" si="47"/>
        <v>0</v>
      </c>
      <c r="C237">
        <f t="shared" si="48"/>
        <v>0</v>
      </c>
      <c r="D237">
        <f t="shared" si="49"/>
        <v>0</v>
      </c>
      <c r="E237">
        <f t="shared" si="50"/>
        <v>0</v>
      </c>
    </row>
    <row r="238" spans="1:5">
      <c r="A238">
        <f t="shared" ref="A238:A257" si="51">H238</f>
        <v>0</v>
      </c>
      <c r="B238">
        <f t="shared" ref="B238:B257" si="52">G238</f>
        <v>0</v>
      </c>
      <c r="C238">
        <f t="shared" ref="C238:C257" si="53">I238</f>
        <v>0</v>
      </c>
      <c r="D238">
        <f t="shared" ref="D238:D257" si="54">J238</f>
        <v>0</v>
      </c>
      <c r="E238">
        <f t="shared" ref="E238:E257" si="55">K238</f>
        <v>0</v>
      </c>
    </row>
    <row r="239" spans="1:5">
      <c r="A239">
        <f t="shared" si="51"/>
        <v>0</v>
      </c>
      <c r="B239">
        <f t="shared" si="52"/>
        <v>0</v>
      </c>
      <c r="C239">
        <f t="shared" si="53"/>
        <v>0</v>
      </c>
      <c r="D239">
        <f t="shared" si="54"/>
        <v>0</v>
      </c>
      <c r="E239">
        <f t="shared" si="55"/>
        <v>0</v>
      </c>
    </row>
    <row r="240" spans="1:5">
      <c r="A240">
        <f t="shared" si="51"/>
        <v>0</v>
      </c>
      <c r="B240">
        <f t="shared" si="52"/>
        <v>0</v>
      </c>
      <c r="C240">
        <f t="shared" si="53"/>
        <v>0</v>
      </c>
      <c r="D240">
        <f t="shared" si="54"/>
        <v>0</v>
      </c>
      <c r="E240">
        <f t="shared" si="55"/>
        <v>0</v>
      </c>
    </row>
    <row r="241" spans="1:5">
      <c r="A241">
        <f t="shared" si="51"/>
        <v>0</v>
      </c>
      <c r="B241">
        <f t="shared" si="52"/>
        <v>0</v>
      </c>
      <c r="C241">
        <f t="shared" si="53"/>
        <v>0</v>
      </c>
      <c r="D241">
        <f t="shared" si="54"/>
        <v>0</v>
      </c>
      <c r="E241">
        <f t="shared" si="55"/>
        <v>0</v>
      </c>
    </row>
    <row r="242" spans="1:5">
      <c r="A242">
        <f t="shared" si="51"/>
        <v>0</v>
      </c>
      <c r="B242">
        <f t="shared" si="52"/>
        <v>0</v>
      </c>
      <c r="C242">
        <f t="shared" si="53"/>
        <v>0</v>
      </c>
      <c r="D242">
        <f t="shared" si="54"/>
        <v>0</v>
      </c>
      <c r="E242">
        <f t="shared" si="55"/>
        <v>0</v>
      </c>
    </row>
    <row r="243" spans="1:5">
      <c r="A243">
        <f t="shared" si="51"/>
        <v>0</v>
      </c>
      <c r="B243">
        <f t="shared" si="52"/>
        <v>0</v>
      </c>
      <c r="C243">
        <f t="shared" si="53"/>
        <v>0</v>
      </c>
      <c r="D243">
        <f t="shared" si="54"/>
        <v>0</v>
      </c>
      <c r="E243">
        <f t="shared" si="55"/>
        <v>0</v>
      </c>
    </row>
    <row r="244" spans="1:5">
      <c r="A244">
        <f t="shared" si="51"/>
        <v>0</v>
      </c>
      <c r="B244">
        <f t="shared" si="52"/>
        <v>0</v>
      </c>
      <c r="C244">
        <f t="shared" si="53"/>
        <v>0</v>
      </c>
      <c r="D244">
        <f t="shared" si="54"/>
        <v>0</v>
      </c>
      <c r="E244">
        <f t="shared" si="55"/>
        <v>0</v>
      </c>
    </row>
    <row r="245" spans="1:5">
      <c r="A245">
        <f t="shared" si="51"/>
        <v>0</v>
      </c>
      <c r="B245">
        <f t="shared" si="52"/>
        <v>0</v>
      </c>
      <c r="C245">
        <f t="shared" si="53"/>
        <v>0</v>
      </c>
      <c r="D245">
        <f t="shared" si="54"/>
        <v>0</v>
      </c>
      <c r="E245">
        <f t="shared" si="55"/>
        <v>0</v>
      </c>
    </row>
    <row r="246" spans="1:5">
      <c r="A246">
        <f t="shared" si="51"/>
        <v>0</v>
      </c>
      <c r="B246">
        <f t="shared" si="52"/>
        <v>0</v>
      </c>
      <c r="C246">
        <f t="shared" si="53"/>
        <v>0</v>
      </c>
      <c r="D246">
        <f t="shared" si="54"/>
        <v>0</v>
      </c>
      <c r="E246">
        <f t="shared" si="55"/>
        <v>0</v>
      </c>
    </row>
    <row r="247" spans="1:5">
      <c r="A247">
        <f t="shared" si="51"/>
        <v>0</v>
      </c>
      <c r="B247">
        <f t="shared" si="52"/>
        <v>0</v>
      </c>
      <c r="C247">
        <f t="shared" si="53"/>
        <v>0</v>
      </c>
      <c r="D247">
        <f t="shared" si="54"/>
        <v>0</v>
      </c>
      <c r="E247">
        <f t="shared" si="55"/>
        <v>0</v>
      </c>
    </row>
    <row r="248" spans="1:5">
      <c r="A248">
        <f t="shared" si="51"/>
        <v>0</v>
      </c>
      <c r="B248">
        <f t="shared" si="52"/>
        <v>0</v>
      </c>
      <c r="C248">
        <f t="shared" si="53"/>
        <v>0</v>
      </c>
      <c r="D248">
        <f t="shared" si="54"/>
        <v>0</v>
      </c>
      <c r="E248">
        <f t="shared" si="55"/>
        <v>0</v>
      </c>
    </row>
    <row r="249" spans="1:5">
      <c r="A249">
        <f t="shared" si="51"/>
        <v>0</v>
      </c>
      <c r="B249">
        <f t="shared" si="52"/>
        <v>0</v>
      </c>
      <c r="C249">
        <f t="shared" si="53"/>
        <v>0</v>
      </c>
      <c r="D249">
        <f t="shared" si="54"/>
        <v>0</v>
      </c>
      <c r="E249">
        <f t="shared" si="55"/>
        <v>0</v>
      </c>
    </row>
    <row r="250" spans="1:5">
      <c r="A250">
        <f t="shared" si="51"/>
        <v>0</v>
      </c>
      <c r="B250">
        <f t="shared" si="52"/>
        <v>0</v>
      </c>
      <c r="C250">
        <f t="shared" si="53"/>
        <v>0</v>
      </c>
      <c r="D250">
        <f t="shared" si="54"/>
        <v>0</v>
      </c>
      <c r="E250">
        <f t="shared" si="55"/>
        <v>0</v>
      </c>
    </row>
    <row r="251" spans="1:5">
      <c r="A251">
        <f t="shared" si="51"/>
        <v>0</v>
      </c>
      <c r="B251">
        <f t="shared" si="52"/>
        <v>0</v>
      </c>
      <c r="C251">
        <f t="shared" si="53"/>
        <v>0</v>
      </c>
      <c r="D251">
        <f t="shared" si="54"/>
        <v>0</v>
      </c>
      <c r="E251">
        <f t="shared" si="55"/>
        <v>0</v>
      </c>
    </row>
    <row r="252" spans="1:5">
      <c r="A252">
        <f t="shared" si="51"/>
        <v>0</v>
      </c>
      <c r="B252">
        <f t="shared" si="52"/>
        <v>0</v>
      </c>
      <c r="C252">
        <f t="shared" si="53"/>
        <v>0</v>
      </c>
      <c r="D252">
        <f t="shared" si="54"/>
        <v>0</v>
      </c>
      <c r="E252">
        <f t="shared" si="55"/>
        <v>0</v>
      </c>
    </row>
    <row r="253" spans="1:5">
      <c r="A253">
        <f t="shared" si="51"/>
        <v>0</v>
      </c>
      <c r="B253">
        <f t="shared" si="52"/>
        <v>0</v>
      </c>
      <c r="C253">
        <f t="shared" si="53"/>
        <v>0</v>
      </c>
      <c r="D253">
        <f t="shared" si="54"/>
        <v>0</v>
      </c>
      <c r="E253">
        <f t="shared" si="55"/>
        <v>0</v>
      </c>
    </row>
    <row r="254" spans="1:5">
      <c r="A254">
        <f t="shared" si="51"/>
        <v>0</v>
      </c>
      <c r="B254">
        <f t="shared" si="52"/>
        <v>0</v>
      </c>
      <c r="C254">
        <f t="shared" si="53"/>
        <v>0</v>
      </c>
      <c r="D254">
        <f t="shared" si="54"/>
        <v>0</v>
      </c>
      <c r="E254">
        <f t="shared" si="55"/>
        <v>0</v>
      </c>
    </row>
    <row r="255" spans="1:5">
      <c r="A255">
        <f t="shared" si="51"/>
        <v>0</v>
      </c>
      <c r="B255">
        <f t="shared" si="52"/>
        <v>0</v>
      </c>
      <c r="C255">
        <f t="shared" si="53"/>
        <v>0</v>
      </c>
      <c r="D255">
        <f t="shared" si="54"/>
        <v>0</v>
      </c>
      <c r="E255">
        <f t="shared" si="55"/>
        <v>0</v>
      </c>
    </row>
    <row r="256" spans="1:5">
      <c r="A256">
        <f t="shared" si="51"/>
        <v>0</v>
      </c>
      <c r="B256">
        <f t="shared" si="52"/>
        <v>0</v>
      </c>
      <c r="C256">
        <f t="shared" si="53"/>
        <v>0</v>
      </c>
      <c r="D256">
        <f t="shared" si="54"/>
        <v>0</v>
      </c>
      <c r="E256">
        <f t="shared" si="55"/>
        <v>0</v>
      </c>
    </row>
    <row r="257" spans="1:5">
      <c r="A257">
        <f t="shared" si="51"/>
        <v>0</v>
      </c>
      <c r="B257">
        <f t="shared" si="52"/>
        <v>0</v>
      </c>
      <c r="C257">
        <f t="shared" si="53"/>
        <v>0</v>
      </c>
      <c r="D257">
        <f t="shared" si="54"/>
        <v>0</v>
      </c>
      <c r="E257">
        <f t="shared" si="55"/>
        <v>0</v>
      </c>
    </row>
    <row r="306" ht="23.25" customHeight="1"/>
  </sheetData>
  <autoFilter ref="A1:E1" xr:uid="{67183BDD-BA4D-44E7-B301-856BA69AC74D}"/>
  <mergeCells count="1">
    <mergeCell ref="G1:K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D4E3F-7B8B-4BC9-925D-88B5A52548F2}">
  <sheetPr codeName="Sheet10">
    <tabColor rgb="FF00B050"/>
  </sheetPr>
  <dimension ref="A1:K298"/>
  <sheetViews>
    <sheetView workbookViewId="0">
      <selection activeCell="G185" sqref="G185:K187"/>
    </sheetView>
  </sheetViews>
  <sheetFormatPr defaultRowHeight="15"/>
  <cols>
    <col min="1" max="1" width="23.140625" bestFit="1" customWidth="1"/>
    <col min="4" max="4" width="14.5703125" bestFit="1" customWidth="1"/>
    <col min="5" max="5" width="19.28515625" bestFit="1" customWidth="1"/>
    <col min="8" max="8" width="23.28515625" bestFit="1" customWidth="1"/>
  </cols>
  <sheetData>
    <row r="1" spans="1:11">
      <c r="A1" s="1" t="s">
        <v>0</v>
      </c>
      <c r="B1" s="1" t="s">
        <v>1</v>
      </c>
      <c r="C1" s="1" t="s">
        <v>2</v>
      </c>
      <c r="D1" s="1" t="s">
        <v>259</v>
      </c>
      <c r="E1" s="1" t="s">
        <v>257</v>
      </c>
      <c r="G1" s="403" t="s">
        <v>5</v>
      </c>
      <c r="H1" s="403"/>
      <c r="I1" s="403"/>
      <c r="J1" s="403"/>
      <c r="K1" s="403"/>
    </row>
    <row r="2" spans="1:11">
      <c r="A2" t="str">
        <f>H2</f>
        <v>Scottie Scheffler</v>
      </c>
      <c r="B2">
        <f>G2</f>
        <v>1</v>
      </c>
      <c r="C2">
        <f>I2</f>
        <v>1.347</v>
      </c>
      <c r="D2">
        <f t="shared" ref="D2:E17" si="0">J2</f>
        <v>35.029000000000003</v>
      </c>
      <c r="E2">
        <f t="shared" si="0"/>
        <v>26</v>
      </c>
      <c r="G2">
        <v>1</v>
      </c>
      <c r="H2" t="s">
        <v>35</v>
      </c>
      <c r="I2">
        <v>1.347</v>
      </c>
      <c r="J2">
        <v>35.029000000000003</v>
      </c>
      <c r="K2">
        <v>26</v>
      </c>
    </row>
    <row r="3" spans="1:11">
      <c r="A3" t="str">
        <f t="shared" ref="A3:A66" si="1">H3</f>
        <v>Tom Hoge</v>
      </c>
      <c r="B3">
        <f t="shared" ref="B3:B66" si="2">G3</f>
        <v>2</v>
      </c>
      <c r="C3">
        <f t="shared" ref="C3:E66" si="3">I3</f>
        <v>1.1499999999999999</v>
      </c>
      <c r="D3">
        <f t="shared" si="0"/>
        <v>40.244</v>
      </c>
      <c r="E3">
        <f t="shared" si="0"/>
        <v>35</v>
      </c>
      <c r="G3">
        <v>2</v>
      </c>
      <c r="H3" t="s">
        <v>139</v>
      </c>
      <c r="I3">
        <v>1.1499999999999999</v>
      </c>
      <c r="J3">
        <v>40.244</v>
      </c>
      <c r="K3">
        <v>35</v>
      </c>
    </row>
    <row r="4" spans="1:11">
      <c r="A4" t="str">
        <f t="shared" si="1"/>
        <v>Shane Lowry</v>
      </c>
      <c r="B4">
        <f t="shared" si="2"/>
        <v>3</v>
      </c>
      <c r="C4">
        <f t="shared" si="3"/>
        <v>0.92800000000000005</v>
      </c>
      <c r="D4">
        <f t="shared" si="0"/>
        <v>17.626000000000001</v>
      </c>
      <c r="E4">
        <f t="shared" si="0"/>
        <v>19</v>
      </c>
      <c r="G4">
        <v>3</v>
      </c>
      <c r="H4" t="s">
        <v>74</v>
      </c>
      <c r="I4">
        <v>0.92800000000000005</v>
      </c>
      <c r="J4">
        <v>17.626000000000001</v>
      </c>
      <c r="K4">
        <v>19</v>
      </c>
    </row>
    <row r="5" spans="1:11">
      <c r="A5" t="str">
        <f t="shared" si="1"/>
        <v>Corey Conners</v>
      </c>
      <c r="B5">
        <f t="shared" si="2"/>
        <v>4</v>
      </c>
      <c r="C5">
        <f t="shared" si="3"/>
        <v>0.872</v>
      </c>
      <c r="D5">
        <f t="shared" si="0"/>
        <v>29.646999999999998</v>
      </c>
      <c r="E5">
        <f t="shared" si="0"/>
        <v>34</v>
      </c>
      <c r="G5">
        <v>4</v>
      </c>
      <c r="H5" t="s">
        <v>93</v>
      </c>
      <c r="I5">
        <v>0.872</v>
      </c>
      <c r="J5">
        <v>29.646999999999998</v>
      </c>
      <c r="K5">
        <v>34</v>
      </c>
    </row>
    <row r="6" spans="1:11">
      <c r="A6" t="str">
        <f t="shared" si="1"/>
        <v>Ryan Moore</v>
      </c>
      <c r="B6">
        <f t="shared" si="2"/>
        <v>5</v>
      </c>
      <c r="C6">
        <f t="shared" si="3"/>
        <v>0.80200000000000005</v>
      </c>
      <c r="D6">
        <f t="shared" si="0"/>
        <v>21.654</v>
      </c>
      <c r="E6">
        <f t="shared" si="0"/>
        <v>27</v>
      </c>
      <c r="G6">
        <v>5</v>
      </c>
      <c r="H6" t="s">
        <v>179</v>
      </c>
      <c r="I6">
        <v>0.80200000000000005</v>
      </c>
      <c r="J6">
        <v>21.654</v>
      </c>
      <c r="K6">
        <v>27</v>
      </c>
    </row>
    <row r="7" spans="1:11">
      <c r="A7" t="str">
        <f t="shared" si="1"/>
        <v>Justin Thomas</v>
      </c>
      <c r="B7">
        <f t="shared" si="2"/>
        <v>6</v>
      </c>
      <c r="C7">
        <f t="shared" si="3"/>
        <v>0.79500000000000004</v>
      </c>
      <c r="D7">
        <f t="shared" si="0"/>
        <v>14.318</v>
      </c>
      <c r="E7">
        <f t="shared" si="0"/>
        <v>18</v>
      </c>
      <c r="G7">
        <v>6</v>
      </c>
      <c r="H7" t="s">
        <v>42</v>
      </c>
      <c r="I7">
        <v>0.79500000000000004</v>
      </c>
      <c r="J7">
        <v>14.318</v>
      </c>
      <c r="K7">
        <v>18</v>
      </c>
    </row>
    <row r="8" spans="1:11">
      <c r="A8" t="str">
        <f t="shared" si="1"/>
        <v>Tony Finau</v>
      </c>
      <c r="B8">
        <f t="shared" si="2"/>
        <v>7</v>
      </c>
      <c r="C8">
        <f t="shared" si="3"/>
        <v>0.72599999999999998</v>
      </c>
      <c r="D8">
        <f t="shared" si="0"/>
        <v>19.591999999999999</v>
      </c>
      <c r="E8">
        <f t="shared" si="0"/>
        <v>27</v>
      </c>
      <c r="G8">
        <v>7</v>
      </c>
      <c r="H8" t="s">
        <v>69</v>
      </c>
      <c r="I8">
        <v>0.72599999999999998</v>
      </c>
      <c r="J8">
        <v>19.591999999999999</v>
      </c>
      <c r="K8">
        <v>27</v>
      </c>
    </row>
    <row r="9" spans="1:11">
      <c r="A9" t="str">
        <f t="shared" si="1"/>
        <v>Will Zalatoris</v>
      </c>
      <c r="B9">
        <f t="shared" si="2"/>
        <v>8</v>
      </c>
      <c r="C9">
        <f t="shared" si="3"/>
        <v>0.72</v>
      </c>
      <c r="D9">
        <f t="shared" si="0"/>
        <v>13.670999999999999</v>
      </c>
      <c r="E9">
        <f t="shared" si="0"/>
        <v>19</v>
      </c>
      <c r="G9">
        <v>8</v>
      </c>
      <c r="H9" t="s">
        <v>233</v>
      </c>
      <c r="I9">
        <v>0.72</v>
      </c>
      <c r="J9">
        <v>13.670999999999999</v>
      </c>
      <c r="K9">
        <v>19</v>
      </c>
    </row>
    <row r="10" spans="1:11">
      <c r="A10" t="str">
        <f t="shared" si="1"/>
        <v>Lucas Glover</v>
      </c>
      <c r="B10">
        <f t="shared" si="2"/>
        <v>9</v>
      </c>
      <c r="C10">
        <f t="shared" si="3"/>
        <v>0.69399999999999995</v>
      </c>
      <c r="D10">
        <f t="shared" si="0"/>
        <v>20.83</v>
      </c>
      <c r="E10">
        <f t="shared" si="0"/>
        <v>30</v>
      </c>
      <c r="G10">
        <v>9</v>
      </c>
      <c r="H10" t="s">
        <v>145</v>
      </c>
      <c r="I10">
        <v>0.69399999999999995</v>
      </c>
      <c r="J10">
        <v>20.83</v>
      </c>
      <c r="K10">
        <v>30</v>
      </c>
    </row>
    <row r="11" spans="1:11">
      <c r="A11" t="str">
        <f t="shared" si="1"/>
        <v>Austin Eckroat</v>
      </c>
      <c r="B11">
        <f t="shared" si="2"/>
        <v>10</v>
      </c>
      <c r="C11">
        <f t="shared" si="3"/>
        <v>0.66200000000000003</v>
      </c>
      <c r="D11">
        <f t="shared" si="0"/>
        <v>19.189</v>
      </c>
      <c r="E11">
        <f t="shared" si="0"/>
        <v>29</v>
      </c>
      <c r="G11">
        <v>10</v>
      </c>
      <c r="H11" t="s">
        <v>88</v>
      </c>
      <c r="I11">
        <v>0.66200000000000003</v>
      </c>
      <c r="J11">
        <v>19.189</v>
      </c>
      <c r="K11">
        <v>29</v>
      </c>
    </row>
    <row r="12" spans="1:11">
      <c r="A12" t="str">
        <f t="shared" si="1"/>
        <v>Keith Mitchell</v>
      </c>
      <c r="B12">
        <f t="shared" si="2"/>
        <v>11</v>
      </c>
      <c r="C12">
        <f t="shared" si="3"/>
        <v>0.66</v>
      </c>
      <c r="D12">
        <f t="shared" si="0"/>
        <v>21.771999999999998</v>
      </c>
      <c r="E12">
        <f t="shared" si="0"/>
        <v>33</v>
      </c>
      <c r="G12">
        <v>11</v>
      </c>
      <c r="H12" t="s">
        <v>14</v>
      </c>
      <c r="I12">
        <v>0.66</v>
      </c>
      <c r="J12">
        <v>21.771999999999998</v>
      </c>
      <c r="K12">
        <v>33</v>
      </c>
    </row>
    <row r="13" spans="1:11">
      <c r="A13" t="str">
        <f t="shared" si="1"/>
        <v>Akshay Bhatia</v>
      </c>
      <c r="B13">
        <f t="shared" si="2"/>
        <v>12</v>
      </c>
      <c r="C13">
        <f t="shared" si="3"/>
        <v>0.63</v>
      </c>
      <c r="D13">
        <f t="shared" si="0"/>
        <v>18.282</v>
      </c>
      <c r="E13">
        <f t="shared" si="0"/>
        <v>29</v>
      </c>
      <c r="G13">
        <v>12</v>
      </c>
      <c r="H13" t="s">
        <v>370</v>
      </c>
      <c r="I13">
        <v>0.63</v>
      </c>
      <c r="J13">
        <v>18.282</v>
      </c>
      <c r="K13">
        <v>29</v>
      </c>
    </row>
    <row r="14" spans="1:11">
      <c r="A14" t="str">
        <f t="shared" si="1"/>
        <v>Nick Taylor</v>
      </c>
      <c r="B14">
        <f t="shared" si="2"/>
        <v>13</v>
      </c>
      <c r="C14">
        <f t="shared" si="3"/>
        <v>0.629</v>
      </c>
      <c r="D14">
        <f t="shared" si="0"/>
        <v>18.864999999999998</v>
      </c>
      <c r="E14">
        <f t="shared" si="0"/>
        <v>30</v>
      </c>
      <c r="G14">
        <v>13</v>
      </c>
      <c r="H14" t="s">
        <v>158</v>
      </c>
      <c r="I14">
        <v>0.629</v>
      </c>
      <c r="J14">
        <v>18.864999999999998</v>
      </c>
      <c r="K14">
        <v>30</v>
      </c>
    </row>
    <row r="15" spans="1:11">
      <c r="A15" t="str">
        <f t="shared" si="1"/>
        <v>Andrew Novak</v>
      </c>
      <c r="B15">
        <f t="shared" si="2"/>
        <v>14</v>
      </c>
      <c r="C15">
        <f t="shared" si="3"/>
        <v>0.628</v>
      </c>
      <c r="D15">
        <f t="shared" si="0"/>
        <v>18.209</v>
      </c>
      <c r="E15">
        <f t="shared" si="0"/>
        <v>29</v>
      </c>
      <c r="G15">
        <v>14</v>
      </c>
      <c r="H15" t="s">
        <v>100</v>
      </c>
      <c r="I15">
        <v>0.628</v>
      </c>
      <c r="J15">
        <v>18.209</v>
      </c>
      <c r="K15">
        <v>29</v>
      </c>
    </row>
    <row r="16" spans="1:11">
      <c r="A16" t="str">
        <f t="shared" si="1"/>
        <v>Cameron Young</v>
      </c>
      <c r="B16">
        <f t="shared" si="2"/>
        <v>15</v>
      </c>
      <c r="C16">
        <f t="shared" si="3"/>
        <v>0.622</v>
      </c>
      <c r="D16">
        <f t="shared" si="0"/>
        <v>18.646999999999998</v>
      </c>
      <c r="E16">
        <f t="shared" si="0"/>
        <v>30</v>
      </c>
      <c r="G16">
        <v>15</v>
      </c>
      <c r="H16" t="s">
        <v>9</v>
      </c>
      <c r="I16">
        <v>0.622</v>
      </c>
      <c r="J16">
        <v>18.646999999999998</v>
      </c>
      <c r="K16">
        <v>30</v>
      </c>
    </row>
    <row r="17" spans="1:11">
      <c r="A17" t="str">
        <f t="shared" si="1"/>
        <v>Joel Dahmen</v>
      </c>
      <c r="B17">
        <f t="shared" si="2"/>
        <v>16</v>
      </c>
      <c r="C17">
        <f t="shared" si="3"/>
        <v>0.60299999999999998</v>
      </c>
      <c r="D17">
        <f t="shared" si="0"/>
        <v>13.877000000000001</v>
      </c>
      <c r="E17">
        <f t="shared" si="0"/>
        <v>23</v>
      </c>
      <c r="G17">
        <v>16</v>
      </c>
      <c r="H17" t="s">
        <v>137</v>
      </c>
      <c r="I17">
        <v>0.60299999999999998</v>
      </c>
      <c r="J17">
        <v>13.877000000000001</v>
      </c>
      <c r="K17">
        <v>23</v>
      </c>
    </row>
    <row r="18" spans="1:11">
      <c r="A18" t="str">
        <f t="shared" si="1"/>
        <v>Victor Perez</v>
      </c>
      <c r="B18">
        <f t="shared" si="2"/>
        <v>17</v>
      </c>
      <c r="C18">
        <f t="shared" si="3"/>
        <v>0.59399999999999997</v>
      </c>
      <c r="D18">
        <f t="shared" si="3"/>
        <v>12.464</v>
      </c>
      <c r="E18">
        <f t="shared" si="3"/>
        <v>21</v>
      </c>
      <c r="G18">
        <v>17</v>
      </c>
      <c r="H18" t="s">
        <v>632</v>
      </c>
      <c r="I18">
        <v>0.59399999999999997</v>
      </c>
      <c r="J18">
        <v>12.464</v>
      </c>
      <c r="K18">
        <v>21</v>
      </c>
    </row>
    <row r="19" spans="1:11">
      <c r="A19" t="str">
        <f t="shared" si="1"/>
        <v>Jake Knapp</v>
      </c>
      <c r="B19">
        <f t="shared" si="2"/>
        <v>18</v>
      </c>
      <c r="C19">
        <f t="shared" si="3"/>
        <v>0.57999999999999996</v>
      </c>
      <c r="D19">
        <f t="shared" si="3"/>
        <v>16.806999999999999</v>
      </c>
      <c r="E19">
        <f t="shared" si="3"/>
        <v>29</v>
      </c>
      <c r="G19">
        <v>18</v>
      </c>
      <c r="H19" t="s">
        <v>492</v>
      </c>
      <c r="I19">
        <v>0.57999999999999996</v>
      </c>
      <c r="J19">
        <v>16.806999999999999</v>
      </c>
      <c r="K19">
        <v>29</v>
      </c>
    </row>
    <row r="20" spans="1:11">
      <c r="A20" t="str">
        <f t="shared" si="1"/>
        <v>Xander Schauffele</v>
      </c>
      <c r="B20">
        <f t="shared" si="2"/>
        <v>19</v>
      </c>
      <c r="C20">
        <f t="shared" si="3"/>
        <v>0.57699999999999996</v>
      </c>
      <c r="D20">
        <f t="shared" si="3"/>
        <v>14.430999999999999</v>
      </c>
      <c r="E20">
        <f t="shared" si="3"/>
        <v>25</v>
      </c>
      <c r="G20">
        <v>19</v>
      </c>
      <c r="H20" t="s">
        <v>73</v>
      </c>
      <c r="I20">
        <v>0.57699999999999996</v>
      </c>
      <c r="J20">
        <v>14.430999999999999</v>
      </c>
      <c r="K20">
        <v>25</v>
      </c>
    </row>
    <row r="21" spans="1:11">
      <c r="A21" t="str">
        <f t="shared" si="1"/>
        <v>Ben Martin</v>
      </c>
      <c r="B21">
        <f t="shared" si="2"/>
        <v>20</v>
      </c>
      <c r="C21">
        <f t="shared" si="3"/>
        <v>0.56799999999999995</v>
      </c>
      <c r="D21">
        <f t="shared" si="3"/>
        <v>11.933999999999999</v>
      </c>
      <c r="E21">
        <f t="shared" si="3"/>
        <v>21</v>
      </c>
      <c r="G21">
        <v>20</v>
      </c>
      <c r="H21" t="s">
        <v>151</v>
      </c>
      <c r="I21">
        <v>0.56799999999999995</v>
      </c>
      <c r="J21">
        <v>11.933999999999999</v>
      </c>
      <c r="K21">
        <v>21</v>
      </c>
    </row>
    <row r="22" spans="1:11">
      <c r="A22" t="str">
        <f t="shared" si="1"/>
        <v>Jhonattan Vegas</v>
      </c>
      <c r="B22">
        <f t="shared" si="2"/>
        <v>21</v>
      </c>
      <c r="C22">
        <f t="shared" si="3"/>
        <v>0.56200000000000006</v>
      </c>
      <c r="D22">
        <f t="shared" si="3"/>
        <v>10.673999999999999</v>
      </c>
      <c r="E22">
        <f t="shared" si="3"/>
        <v>19</v>
      </c>
      <c r="G22">
        <v>21</v>
      </c>
      <c r="H22" t="s">
        <v>241</v>
      </c>
      <c r="I22">
        <v>0.56200000000000006</v>
      </c>
      <c r="J22">
        <v>10.673999999999999</v>
      </c>
      <c r="K22">
        <v>19</v>
      </c>
    </row>
    <row r="23" spans="1:11">
      <c r="A23" t="str">
        <f t="shared" si="1"/>
        <v>Chandler Phillips</v>
      </c>
      <c r="B23">
        <f t="shared" si="2"/>
        <v>22</v>
      </c>
      <c r="C23">
        <f t="shared" si="3"/>
        <v>0.55600000000000005</v>
      </c>
      <c r="D23">
        <f t="shared" si="3"/>
        <v>12.221</v>
      </c>
      <c r="E23">
        <f t="shared" si="3"/>
        <v>22</v>
      </c>
      <c r="G23">
        <v>22</v>
      </c>
      <c r="H23" t="s">
        <v>489</v>
      </c>
      <c r="I23">
        <v>0.55600000000000005</v>
      </c>
      <c r="J23">
        <v>12.221</v>
      </c>
      <c r="K23">
        <v>22</v>
      </c>
    </row>
    <row r="24" spans="1:11">
      <c r="A24" t="str">
        <f t="shared" si="1"/>
        <v>Scott Stallings</v>
      </c>
      <c r="B24">
        <f t="shared" si="2"/>
        <v>23</v>
      </c>
      <c r="C24">
        <f t="shared" si="3"/>
        <v>0.55000000000000004</v>
      </c>
      <c r="D24">
        <f t="shared" si="3"/>
        <v>10.997999999999999</v>
      </c>
      <c r="E24">
        <f t="shared" si="3"/>
        <v>20</v>
      </c>
      <c r="G24">
        <v>23</v>
      </c>
      <c r="H24" t="s">
        <v>89</v>
      </c>
      <c r="I24">
        <v>0.55000000000000004</v>
      </c>
      <c r="J24">
        <v>10.997999999999999</v>
      </c>
      <c r="K24">
        <v>20</v>
      </c>
    </row>
    <row r="25" spans="1:11">
      <c r="A25" t="str">
        <f t="shared" si="1"/>
        <v>Christiaan Bezuidenhout</v>
      </c>
      <c r="B25">
        <f t="shared" si="2"/>
        <v>24</v>
      </c>
      <c r="C25">
        <f t="shared" si="3"/>
        <v>0.53100000000000003</v>
      </c>
      <c r="D25">
        <f t="shared" si="3"/>
        <v>15.4</v>
      </c>
      <c r="E25">
        <f t="shared" si="3"/>
        <v>29</v>
      </c>
      <c r="G25">
        <v>24</v>
      </c>
      <c r="H25" t="s">
        <v>165</v>
      </c>
      <c r="I25">
        <v>0.53100000000000003</v>
      </c>
      <c r="J25">
        <v>15.4</v>
      </c>
      <c r="K25">
        <v>29</v>
      </c>
    </row>
    <row r="26" spans="1:11">
      <c r="A26" t="str">
        <f t="shared" si="1"/>
        <v>Matthieu Pavon</v>
      </c>
      <c r="B26">
        <f t="shared" si="2"/>
        <v>25</v>
      </c>
      <c r="C26">
        <f t="shared" si="3"/>
        <v>0.51600000000000001</v>
      </c>
      <c r="D26">
        <f t="shared" si="3"/>
        <v>9.8019999999999996</v>
      </c>
      <c r="E26">
        <f t="shared" si="3"/>
        <v>19</v>
      </c>
      <c r="G26">
        <v>25</v>
      </c>
      <c r="H26" t="s">
        <v>487</v>
      </c>
      <c r="I26">
        <v>0.51600000000000001</v>
      </c>
      <c r="J26">
        <v>9.8019999999999996</v>
      </c>
      <c r="K26">
        <v>19</v>
      </c>
    </row>
    <row r="27" spans="1:11">
      <c r="A27" t="str">
        <f t="shared" si="1"/>
        <v>Ludvig Åberg</v>
      </c>
      <c r="B27">
        <f t="shared" si="2"/>
        <v>26</v>
      </c>
      <c r="C27">
        <f t="shared" si="3"/>
        <v>0.50700000000000001</v>
      </c>
      <c r="D27">
        <f t="shared" si="3"/>
        <v>14.702</v>
      </c>
      <c r="E27">
        <f t="shared" si="3"/>
        <v>29</v>
      </c>
      <c r="G27">
        <v>26</v>
      </c>
      <c r="H27" t="s">
        <v>439</v>
      </c>
      <c r="I27">
        <v>0.50700000000000001</v>
      </c>
      <c r="J27">
        <v>14.702</v>
      </c>
      <c r="K27">
        <v>29</v>
      </c>
    </row>
    <row r="28" spans="1:11">
      <c r="A28" t="str">
        <f t="shared" si="1"/>
        <v>Si Woo Kim</v>
      </c>
      <c r="B28">
        <f t="shared" si="2"/>
        <v>27</v>
      </c>
      <c r="C28">
        <f t="shared" si="3"/>
        <v>0.504</v>
      </c>
      <c r="D28">
        <f t="shared" si="3"/>
        <v>15.119</v>
      </c>
      <c r="E28">
        <f t="shared" si="3"/>
        <v>30</v>
      </c>
      <c r="G28">
        <v>27</v>
      </c>
      <c r="H28" t="s">
        <v>128</v>
      </c>
      <c r="I28">
        <v>0.504</v>
      </c>
      <c r="J28">
        <v>15.119</v>
      </c>
      <c r="K28">
        <v>30</v>
      </c>
    </row>
    <row r="29" spans="1:11">
      <c r="A29" t="str">
        <f t="shared" si="1"/>
        <v>Aaron Rai</v>
      </c>
      <c r="B29">
        <f t="shared" si="2"/>
        <v>28</v>
      </c>
      <c r="C29">
        <f t="shared" si="3"/>
        <v>0.499</v>
      </c>
      <c r="D29">
        <f t="shared" si="3"/>
        <v>13.462999999999999</v>
      </c>
      <c r="E29">
        <f t="shared" si="3"/>
        <v>27</v>
      </c>
      <c r="G29">
        <v>28</v>
      </c>
      <c r="H29" t="s">
        <v>152</v>
      </c>
      <c r="I29">
        <v>0.499</v>
      </c>
      <c r="J29">
        <v>13.462999999999999</v>
      </c>
      <c r="K29">
        <v>27</v>
      </c>
    </row>
    <row r="30" spans="1:11">
      <c r="A30" t="str">
        <f t="shared" si="1"/>
        <v>Mark Hubbard</v>
      </c>
      <c r="B30">
        <f t="shared" si="2"/>
        <v>29</v>
      </c>
      <c r="C30">
        <f t="shared" si="3"/>
        <v>0.49099999999999999</v>
      </c>
      <c r="D30">
        <f t="shared" si="3"/>
        <v>16.21</v>
      </c>
      <c r="E30">
        <f t="shared" si="3"/>
        <v>33</v>
      </c>
      <c r="G30">
        <v>29</v>
      </c>
      <c r="H30" t="s">
        <v>162</v>
      </c>
      <c r="I30">
        <v>0.49099999999999999</v>
      </c>
      <c r="J30">
        <v>16.21</v>
      </c>
      <c r="K30">
        <v>33</v>
      </c>
    </row>
    <row r="31" spans="1:11">
      <c r="A31" t="str">
        <f t="shared" si="1"/>
        <v>Bud Cauley</v>
      </c>
      <c r="B31">
        <f t="shared" si="2"/>
        <v>30</v>
      </c>
      <c r="C31">
        <f t="shared" si="3"/>
        <v>0.48899999999999999</v>
      </c>
      <c r="D31">
        <f t="shared" si="3"/>
        <v>8.7949999999999999</v>
      </c>
      <c r="E31">
        <f t="shared" si="3"/>
        <v>18</v>
      </c>
      <c r="G31">
        <v>30</v>
      </c>
      <c r="H31" t="s">
        <v>633</v>
      </c>
      <c r="I31">
        <v>0.48899999999999999</v>
      </c>
      <c r="J31">
        <v>8.7949999999999999</v>
      </c>
      <c r="K31">
        <v>18</v>
      </c>
    </row>
    <row r="32" spans="1:11">
      <c r="A32" t="str">
        <f t="shared" si="1"/>
        <v>Hideki Matsuyama</v>
      </c>
      <c r="B32">
        <f t="shared" si="2"/>
        <v>31</v>
      </c>
      <c r="C32">
        <f t="shared" si="3"/>
        <v>0.48399999999999999</v>
      </c>
      <c r="D32">
        <f t="shared" si="3"/>
        <v>15.97</v>
      </c>
      <c r="E32">
        <f t="shared" si="3"/>
        <v>33</v>
      </c>
      <c r="G32">
        <v>31</v>
      </c>
      <c r="H32" t="s">
        <v>129</v>
      </c>
      <c r="I32">
        <v>0.48399999999999999</v>
      </c>
      <c r="J32">
        <v>15.97</v>
      </c>
      <c r="K32">
        <v>33</v>
      </c>
    </row>
    <row r="33" spans="1:11">
      <c r="A33" t="str">
        <f t="shared" si="1"/>
        <v>Greyson Sigg</v>
      </c>
      <c r="B33">
        <f t="shared" si="2"/>
        <v>32</v>
      </c>
      <c r="C33">
        <f t="shared" si="3"/>
        <v>0.44900000000000001</v>
      </c>
      <c r="D33">
        <f t="shared" si="3"/>
        <v>12.124000000000001</v>
      </c>
      <c r="E33">
        <f t="shared" si="3"/>
        <v>27</v>
      </c>
      <c r="G33">
        <v>32</v>
      </c>
      <c r="H33" t="s">
        <v>134</v>
      </c>
      <c r="I33">
        <v>0.44900000000000001</v>
      </c>
      <c r="J33">
        <v>12.124000000000001</v>
      </c>
      <c r="K33">
        <v>27</v>
      </c>
    </row>
    <row r="34" spans="1:11">
      <c r="A34" t="str">
        <f t="shared" si="1"/>
        <v>Wyndham Clark</v>
      </c>
      <c r="B34">
        <f t="shared" si="2"/>
        <v>33</v>
      </c>
      <c r="C34">
        <f t="shared" si="3"/>
        <v>0.44600000000000001</v>
      </c>
      <c r="D34">
        <f t="shared" si="3"/>
        <v>10.712</v>
      </c>
      <c r="E34">
        <f t="shared" si="3"/>
        <v>24</v>
      </c>
      <c r="G34">
        <v>33</v>
      </c>
      <c r="H34" t="s">
        <v>18</v>
      </c>
      <c r="I34">
        <v>0.44600000000000001</v>
      </c>
      <c r="J34">
        <v>10.712</v>
      </c>
      <c r="K34">
        <v>24</v>
      </c>
    </row>
    <row r="35" spans="1:11">
      <c r="A35" t="str">
        <f t="shared" si="1"/>
        <v>Kurt Kitayama</v>
      </c>
      <c r="B35">
        <f t="shared" si="2"/>
        <v>34</v>
      </c>
      <c r="C35">
        <f t="shared" si="3"/>
        <v>0.435</v>
      </c>
      <c r="D35">
        <f t="shared" si="3"/>
        <v>12.179</v>
      </c>
      <c r="E35">
        <f t="shared" si="3"/>
        <v>28</v>
      </c>
      <c r="G35">
        <v>34</v>
      </c>
      <c r="H35" t="s">
        <v>54</v>
      </c>
      <c r="I35">
        <v>0.435</v>
      </c>
      <c r="J35">
        <v>12.179</v>
      </c>
      <c r="K35">
        <v>28</v>
      </c>
    </row>
    <row r="36" spans="1:11">
      <c r="A36" t="str">
        <f t="shared" si="1"/>
        <v>Doug Ghim</v>
      </c>
      <c r="B36">
        <f t="shared" si="2"/>
        <v>35</v>
      </c>
      <c r="C36">
        <f t="shared" si="3"/>
        <v>0.42499999999999999</v>
      </c>
      <c r="D36">
        <f t="shared" si="3"/>
        <v>12.337999999999999</v>
      </c>
      <c r="E36">
        <f t="shared" si="3"/>
        <v>29</v>
      </c>
      <c r="G36">
        <v>35</v>
      </c>
      <c r="H36" t="s">
        <v>121</v>
      </c>
      <c r="I36">
        <v>0.42499999999999999</v>
      </c>
      <c r="J36">
        <v>12.337999999999999</v>
      </c>
      <c r="K36">
        <v>29</v>
      </c>
    </row>
    <row r="37" spans="1:11">
      <c r="A37" t="str">
        <f t="shared" si="1"/>
        <v>Luke List</v>
      </c>
      <c r="B37">
        <f t="shared" si="2"/>
        <v>36</v>
      </c>
      <c r="C37">
        <f t="shared" si="3"/>
        <v>0.42399999999999999</v>
      </c>
      <c r="D37">
        <f t="shared" si="3"/>
        <v>12.294</v>
      </c>
      <c r="E37">
        <f t="shared" si="3"/>
        <v>29</v>
      </c>
      <c r="G37">
        <v>36</v>
      </c>
      <c r="H37" t="s">
        <v>23</v>
      </c>
      <c r="I37">
        <v>0.42399999999999999</v>
      </c>
      <c r="J37">
        <v>12.294</v>
      </c>
      <c r="K37">
        <v>29</v>
      </c>
    </row>
    <row r="38" spans="1:11">
      <c r="A38" t="str">
        <f t="shared" si="1"/>
        <v>Parker Coody</v>
      </c>
      <c r="B38">
        <f t="shared" si="2"/>
        <v>37</v>
      </c>
      <c r="C38">
        <f t="shared" si="3"/>
        <v>0.41699999999999998</v>
      </c>
      <c r="D38">
        <f t="shared" si="3"/>
        <v>10.436</v>
      </c>
      <c r="E38">
        <f t="shared" si="3"/>
        <v>25</v>
      </c>
      <c r="G38">
        <v>37</v>
      </c>
      <c r="H38" t="s">
        <v>497</v>
      </c>
      <c r="I38">
        <v>0.41699999999999998</v>
      </c>
      <c r="J38">
        <v>10.436</v>
      </c>
      <c r="K38">
        <v>25</v>
      </c>
    </row>
    <row r="39" spans="1:11">
      <c r="A39" t="str">
        <f t="shared" si="1"/>
        <v>Chris Kirk</v>
      </c>
      <c r="B39">
        <f t="shared" si="2"/>
        <v>38</v>
      </c>
      <c r="C39">
        <f t="shared" si="3"/>
        <v>0.36599999999999999</v>
      </c>
      <c r="D39">
        <f t="shared" si="3"/>
        <v>8.7729999999999997</v>
      </c>
      <c r="E39">
        <f t="shared" si="3"/>
        <v>24</v>
      </c>
      <c r="G39">
        <v>38</v>
      </c>
      <c r="H39" t="s">
        <v>132</v>
      </c>
      <c r="I39">
        <v>0.36599999999999999</v>
      </c>
      <c r="J39">
        <v>8.7729999999999997</v>
      </c>
      <c r="K39">
        <v>24</v>
      </c>
    </row>
    <row r="40" spans="1:11">
      <c r="A40" t="str">
        <f t="shared" si="1"/>
        <v>Adam Svensson</v>
      </c>
      <c r="B40">
        <f t="shared" si="2"/>
        <v>38</v>
      </c>
      <c r="C40">
        <f t="shared" si="3"/>
        <v>0.36599999999999999</v>
      </c>
      <c r="D40">
        <f t="shared" si="3"/>
        <v>12.792999999999999</v>
      </c>
      <c r="E40">
        <f t="shared" si="3"/>
        <v>35</v>
      </c>
      <c r="G40">
        <v>38</v>
      </c>
      <c r="H40" t="s">
        <v>130</v>
      </c>
      <c r="I40">
        <v>0.36599999999999999</v>
      </c>
      <c r="J40">
        <v>12.792999999999999</v>
      </c>
      <c r="K40">
        <v>35</v>
      </c>
    </row>
    <row r="41" spans="1:11">
      <c r="A41" t="str">
        <f t="shared" si="1"/>
        <v>Kevin Yu</v>
      </c>
      <c r="B41">
        <f t="shared" si="2"/>
        <v>40</v>
      </c>
      <c r="C41">
        <f t="shared" si="3"/>
        <v>0.36</v>
      </c>
      <c r="D41">
        <f t="shared" si="3"/>
        <v>8.2810000000000006</v>
      </c>
      <c r="E41">
        <f t="shared" si="3"/>
        <v>23</v>
      </c>
      <c r="G41">
        <v>40</v>
      </c>
      <c r="H41" t="s">
        <v>26</v>
      </c>
      <c r="I41">
        <v>0.36</v>
      </c>
      <c r="J41">
        <v>8.2810000000000006</v>
      </c>
      <c r="K41">
        <v>23</v>
      </c>
    </row>
    <row r="42" spans="1:11">
      <c r="A42" t="str">
        <f t="shared" si="1"/>
        <v>Justin Lower</v>
      </c>
      <c r="B42">
        <f t="shared" si="2"/>
        <v>41</v>
      </c>
      <c r="C42">
        <f t="shared" si="3"/>
        <v>0.34599999999999997</v>
      </c>
      <c r="D42">
        <f t="shared" si="3"/>
        <v>11.074</v>
      </c>
      <c r="E42">
        <f t="shared" si="3"/>
        <v>32</v>
      </c>
      <c r="G42">
        <v>41</v>
      </c>
      <c r="H42" t="s">
        <v>147</v>
      </c>
      <c r="I42">
        <v>0.34599999999999997</v>
      </c>
      <c r="J42">
        <v>11.074</v>
      </c>
      <c r="K42">
        <v>32</v>
      </c>
    </row>
    <row r="43" spans="1:11">
      <c r="A43" t="str">
        <f t="shared" si="1"/>
        <v>Nate Lashley</v>
      </c>
      <c r="B43">
        <f t="shared" si="2"/>
        <v>42</v>
      </c>
      <c r="C43">
        <f t="shared" si="3"/>
        <v>0.34</v>
      </c>
      <c r="D43">
        <f t="shared" si="3"/>
        <v>7.82</v>
      </c>
      <c r="E43">
        <f t="shared" si="3"/>
        <v>23</v>
      </c>
      <c r="G43">
        <v>42</v>
      </c>
      <c r="H43" t="s">
        <v>122</v>
      </c>
      <c r="I43">
        <v>0.34</v>
      </c>
      <c r="J43">
        <v>7.82</v>
      </c>
      <c r="K43">
        <v>23</v>
      </c>
    </row>
    <row r="44" spans="1:11">
      <c r="A44" t="str">
        <f t="shared" si="1"/>
        <v>Dylan Wu</v>
      </c>
      <c r="B44">
        <f t="shared" si="2"/>
        <v>43</v>
      </c>
      <c r="C44">
        <f t="shared" si="3"/>
        <v>0.33700000000000002</v>
      </c>
      <c r="D44">
        <f t="shared" si="3"/>
        <v>10.441000000000001</v>
      </c>
      <c r="E44">
        <f t="shared" si="3"/>
        <v>31</v>
      </c>
      <c r="G44">
        <v>43</v>
      </c>
      <c r="H44" t="s">
        <v>118</v>
      </c>
      <c r="I44">
        <v>0.33700000000000002</v>
      </c>
      <c r="J44">
        <v>10.441000000000001</v>
      </c>
      <c r="K44">
        <v>31</v>
      </c>
    </row>
    <row r="45" spans="1:11">
      <c r="A45" t="str">
        <f t="shared" si="1"/>
        <v>Rico Hoey</v>
      </c>
      <c r="B45">
        <f t="shared" si="2"/>
        <v>44</v>
      </c>
      <c r="C45">
        <f t="shared" si="3"/>
        <v>0.32200000000000001</v>
      </c>
      <c r="D45">
        <f t="shared" si="3"/>
        <v>6.1150000000000002</v>
      </c>
      <c r="E45">
        <f t="shared" si="3"/>
        <v>19</v>
      </c>
      <c r="G45">
        <v>44</v>
      </c>
      <c r="H45" t="s">
        <v>485</v>
      </c>
      <c r="I45">
        <v>0.32200000000000001</v>
      </c>
      <c r="J45">
        <v>6.1150000000000002</v>
      </c>
      <c r="K45">
        <v>19</v>
      </c>
    </row>
    <row r="46" spans="1:11">
      <c r="A46" t="str">
        <f t="shared" si="1"/>
        <v>Sam Ryder</v>
      </c>
      <c r="B46">
        <f t="shared" si="2"/>
        <v>44</v>
      </c>
      <c r="C46">
        <f t="shared" si="3"/>
        <v>0.32200000000000001</v>
      </c>
      <c r="D46">
        <f t="shared" si="3"/>
        <v>8.0530000000000008</v>
      </c>
      <c r="E46">
        <f t="shared" si="3"/>
        <v>25</v>
      </c>
      <c r="G46">
        <v>44</v>
      </c>
      <c r="H46" t="s">
        <v>146</v>
      </c>
      <c r="I46">
        <v>0.32200000000000001</v>
      </c>
      <c r="J46">
        <v>8.0530000000000008</v>
      </c>
      <c r="K46">
        <v>25</v>
      </c>
    </row>
    <row r="47" spans="1:11">
      <c r="A47" t="str">
        <f t="shared" si="1"/>
        <v>Alex Noren</v>
      </c>
      <c r="B47">
        <f t="shared" si="2"/>
        <v>46</v>
      </c>
      <c r="C47">
        <f t="shared" si="3"/>
        <v>0.32</v>
      </c>
      <c r="D47">
        <f t="shared" si="3"/>
        <v>8.3230000000000004</v>
      </c>
      <c r="E47">
        <f t="shared" si="3"/>
        <v>26</v>
      </c>
      <c r="G47">
        <v>46</v>
      </c>
      <c r="H47" t="s">
        <v>95</v>
      </c>
      <c r="I47">
        <v>0.32</v>
      </c>
      <c r="J47">
        <v>8.3230000000000004</v>
      </c>
      <c r="K47">
        <v>26</v>
      </c>
    </row>
    <row r="48" spans="1:11">
      <c r="A48" t="str">
        <f t="shared" si="1"/>
        <v>Keegan Bradley</v>
      </c>
      <c r="B48">
        <f t="shared" si="2"/>
        <v>47</v>
      </c>
      <c r="C48">
        <f t="shared" si="3"/>
        <v>0.3</v>
      </c>
      <c r="D48">
        <f t="shared" si="3"/>
        <v>6.8920000000000003</v>
      </c>
      <c r="E48">
        <f t="shared" si="3"/>
        <v>23</v>
      </c>
      <c r="G48">
        <v>47</v>
      </c>
      <c r="H48" t="s">
        <v>58</v>
      </c>
      <c r="I48">
        <v>0.3</v>
      </c>
      <c r="J48">
        <v>6.8920000000000003</v>
      </c>
      <c r="K48">
        <v>23</v>
      </c>
    </row>
    <row r="49" spans="1:11">
      <c r="A49" t="str">
        <f t="shared" si="1"/>
        <v>Erik van Rooyen</v>
      </c>
      <c r="B49">
        <f t="shared" si="2"/>
        <v>48</v>
      </c>
      <c r="C49">
        <f t="shared" si="3"/>
        <v>0.29799999999999999</v>
      </c>
      <c r="D49">
        <f t="shared" si="3"/>
        <v>8.3529999999999998</v>
      </c>
      <c r="E49">
        <f t="shared" si="3"/>
        <v>28</v>
      </c>
      <c r="G49">
        <v>48</v>
      </c>
      <c r="H49" t="s">
        <v>65</v>
      </c>
      <c r="I49">
        <v>0.29799999999999999</v>
      </c>
      <c r="J49">
        <v>8.3529999999999998</v>
      </c>
      <c r="K49">
        <v>28</v>
      </c>
    </row>
    <row r="50" spans="1:11">
      <c r="A50" t="str">
        <f t="shared" si="1"/>
        <v>Sahith Theegala</v>
      </c>
      <c r="B50">
        <f t="shared" si="2"/>
        <v>49</v>
      </c>
      <c r="C50">
        <f t="shared" si="3"/>
        <v>0.29499999999999998</v>
      </c>
      <c r="D50">
        <f t="shared" si="3"/>
        <v>9.1560000000000006</v>
      </c>
      <c r="E50">
        <f t="shared" si="3"/>
        <v>31</v>
      </c>
      <c r="G50">
        <v>49</v>
      </c>
      <c r="H50" t="s">
        <v>64</v>
      </c>
      <c r="I50">
        <v>0.29499999999999998</v>
      </c>
      <c r="J50">
        <v>9.1560000000000006</v>
      </c>
      <c r="K50">
        <v>31</v>
      </c>
    </row>
    <row r="51" spans="1:11">
      <c r="A51" t="str">
        <f t="shared" si="1"/>
        <v>Davis Thompson</v>
      </c>
      <c r="B51">
        <f t="shared" si="2"/>
        <v>50</v>
      </c>
      <c r="C51">
        <f t="shared" si="3"/>
        <v>0.26900000000000002</v>
      </c>
      <c r="D51">
        <f t="shared" si="3"/>
        <v>7.7930000000000001</v>
      </c>
      <c r="E51">
        <f t="shared" si="3"/>
        <v>29</v>
      </c>
      <c r="G51">
        <v>50</v>
      </c>
      <c r="H51" t="s">
        <v>28</v>
      </c>
      <c r="I51">
        <v>0.26900000000000002</v>
      </c>
      <c r="J51">
        <v>7.7930000000000001</v>
      </c>
      <c r="K51">
        <v>29</v>
      </c>
    </row>
    <row r="52" spans="1:11">
      <c r="A52" t="str">
        <f t="shared" si="1"/>
        <v>Andrew Putnam</v>
      </c>
      <c r="B52">
        <f t="shared" si="2"/>
        <v>51</v>
      </c>
      <c r="C52">
        <f t="shared" si="3"/>
        <v>0.255</v>
      </c>
      <c r="D52">
        <f t="shared" si="3"/>
        <v>7.6429999999999998</v>
      </c>
      <c r="E52">
        <f t="shared" si="3"/>
        <v>30</v>
      </c>
      <c r="G52">
        <v>51</v>
      </c>
      <c r="H52" t="s">
        <v>183</v>
      </c>
      <c r="I52">
        <v>0.255</v>
      </c>
      <c r="J52">
        <v>7.6429999999999998</v>
      </c>
      <c r="K52">
        <v>30</v>
      </c>
    </row>
    <row r="53" spans="1:11">
      <c r="A53" t="str">
        <f t="shared" si="1"/>
        <v>Gary Woodland</v>
      </c>
      <c r="B53">
        <f t="shared" si="2"/>
        <v>51</v>
      </c>
      <c r="C53">
        <f t="shared" si="3"/>
        <v>0.255</v>
      </c>
      <c r="D53">
        <f t="shared" si="3"/>
        <v>5.351</v>
      </c>
      <c r="E53">
        <f t="shared" si="3"/>
        <v>21</v>
      </c>
      <c r="G53">
        <v>51</v>
      </c>
      <c r="H53" t="s">
        <v>17</v>
      </c>
      <c r="I53">
        <v>0.255</v>
      </c>
      <c r="J53">
        <v>5.351</v>
      </c>
      <c r="K53">
        <v>21</v>
      </c>
    </row>
    <row r="54" spans="1:11">
      <c r="A54" t="str">
        <f t="shared" si="1"/>
        <v>Eric Cole</v>
      </c>
      <c r="B54">
        <f t="shared" si="2"/>
        <v>53</v>
      </c>
      <c r="C54">
        <f t="shared" si="3"/>
        <v>0.23799999999999999</v>
      </c>
      <c r="D54">
        <f t="shared" si="3"/>
        <v>7.851</v>
      </c>
      <c r="E54">
        <f t="shared" si="3"/>
        <v>33</v>
      </c>
      <c r="G54">
        <v>53</v>
      </c>
      <c r="H54" t="s">
        <v>114</v>
      </c>
      <c r="I54">
        <v>0.23799999999999999</v>
      </c>
      <c r="J54">
        <v>7.851</v>
      </c>
      <c r="K54">
        <v>33</v>
      </c>
    </row>
    <row r="55" spans="1:11">
      <c r="A55" t="str">
        <f t="shared" si="1"/>
        <v>Max Homa</v>
      </c>
      <c r="B55">
        <f t="shared" si="2"/>
        <v>54</v>
      </c>
      <c r="C55">
        <f t="shared" si="3"/>
        <v>0.23499999999999999</v>
      </c>
      <c r="D55">
        <f t="shared" si="3"/>
        <v>6.335</v>
      </c>
      <c r="E55">
        <f t="shared" si="3"/>
        <v>27</v>
      </c>
      <c r="G55">
        <v>54</v>
      </c>
      <c r="H55" t="s">
        <v>66</v>
      </c>
      <c r="I55">
        <v>0.23499999999999999</v>
      </c>
      <c r="J55">
        <v>6.335</v>
      </c>
      <c r="K55">
        <v>27</v>
      </c>
    </row>
    <row r="56" spans="1:11">
      <c r="A56" t="str">
        <f t="shared" si="1"/>
        <v>Sam Burns</v>
      </c>
      <c r="B56">
        <f t="shared" si="2"/>
        <v>55</v>
      </c>
      <c r="C56">
        <f t="shared" si="3"/>
        <v>0.22500000000000001</v>
      </c>
      <c r="D56">
        <f t="shared" si="3"/>
        <v>5.399</v>
      </c>
      <c r="E56">
        <f t="shared" si="3"/>
        <v>24</v>
      </c>
      <c r="G56">
        <v>55</v>
      </c>
      <c r="H56" t="s">
        <v>27</v>
      </c>
      <c r="I56">
        <v>0.22500000000000001</v>
      </c>
      <c r="J56">
        <v>5.399</v>
      </c>
      <c r="K56">
        <v>24</v>
      </c>
    </row>
    <row r="57" spans="1:11">
      <c r="A57" t="str">
        <f t="shared" si="1"/>
        <v>Carson Young</v>
      </c>
      <c r="B57">
        <f t="shared" si="2"/>
        <v>56</v>
      </c>
      <c r="C57">
        <f t="shared" si="3"/>
        <v>0.21</v>
      </c>
      <c r="D57">
        <f t="shared" si="3"/>
        <v>5.6829999999999998</v>
      </c>
      <c r="E57">
        <f t="shared" si="3"/>
        <v>27</v>
      </c>
      <c r="G57">
        <v>56</v>
      </c>
      <c r="H57" t="s">
        <v>136</v>
      </c>
      <c r="I57">
        <v>0.21</v>
      </c>
      <c r="J57">
        <v>5.6829999999999998</v>
      </c>
      <c r="K57">
        <v>27</v>
      </c>
    </row>
    <row r="58" spans="1:11">
      <c r="A58" t="str">
        <f t="shared" si="1"/>
        <v>Chan Kim</v>
      </c>
      <c r="B58">
        <f t="shared" si="2"/>
        <v>57</v>
      </c>
      <c r="C58">
        <f t="shared" si="3"/>
        <v>0.20499999999999999</v>
      </c>
      <c r="D58">
        <f t="shared" si="3"/>
        <v>5.5220000000000002</v>
      </c>
      <c r="E58">
        <f t="shared" si="3"/>
        <v>27</v>
      </c>
      <c r="G58">
        <v>57</v>
      </c>
      <c r="H58" t="s">
        <v>424</v>
      </c>
      <c r="I58">
        <v>0.20499999999999999</v>
      </c>
      <c r="J58">
        <v>5.5220000000000002</v>
      </c>
      <c r="K58">
        <v>27</v>
      </c>
    </row>
    <row r="59" spans="1:11">
      <c r="A59" t="str">
        <f t="shared" si="1"/>
        <v>Peter Malnati</v>
      </c>
      <c r="B59">
        <f t="shared" si="2"/>
        <v>58</v>
      </c>
      <c r="C59">
        <f t="shared" si="3"/>
        <v>0.20200000000000001</v>
      </c>
      <c r="D59">
        <f t="shared" si="3"/>
        <v>4.6399999999999997</v>
      </c>
      <c r="E59">
        <f t="shared" si="3"/>
        <v>23</v>
      </c>
      <c r="G59">
        <v>58</v>
      </c>
      <c r="H59" t="s">
        <v>142</v>
      </c>
      <c r="I59">
        <v>0.20200000000000001</v>
      </c>
      <c r="J59">
        <v>4.6399999999999997</v>
      </c>
      <c r="K59">
        <v>23</v>
      </c>
    </row>
    <row r="60" spans="1:11">
      <c r="A60" t="str">
        <f t="shared" si="1"/>
        <v>Taylor Moore</v>
      </c>
      <c r="B60">
        <f t="shared" si="2"/>
        <v>59</v>
      </c>
      <c r="C60">
        <f t="shared" si="3"/>
        <v>0.20100000000000001</v>
      </c>
      <c r="D60">
        <f t="shared" si="3"/>
        <v>6.6280000000000001</v>
      </c>
      <c r="E60">
        <f t="shared" si="3"/>
        <v>33</v>
      </c>
      <c r="G60">
        <v>59</v>
      </c>
      <c r="H60" t="s">
        <v>49</v>
      </c>
      <c r="I60">
        <v>0.20100000000000001</v>
      </c>
      <c r="J60">
        <v>6.6280000000000001</v>
      </c>
      <c r="K60">
        <v>33</v>
      </c>
    </row>
    <row r="61" spans="1:11">
      <c r="A61" t="str">
        <f t="shared" si="1"/>
        <v>Jacob Bridgeman</v>
      </c>
      <c r="B61">
        <f t="shared" si="2"/>
        <v>60</v>
      </c>
      <c r="C61">
        <f t="shared" si="3"/>
        <v>0.19500000000000001</v>
      </c>
      <c r="D61">
        <f t="shared" si="3"/>
        <v>3.7130000000000001</v>
      </c>
      <c r="E61">
        <f t="shared" si="3"/>
        <v>19</v>
      </c>
      <c r="G61">
        <v>60</v>
      </c>
      <c r="H61" t="s">
        <v>496</v>
      </c>
      <c r="I61">
        <v>0.19500000000000001</v>
      </c>
      <c r="J61">
        <v>3.7130000000000001</v>
      </c>
      <c r="K61">
        <v>19</v>
      </c>
    </row>
    <row r="62" spans="1:11">
      <c r="A62" t="str">
        <f t="shared" si="1"/>
        <v>Rory McIlroy</v>
      </c>
      <c r="B62">
        <f t="shared" si="2"/>
        <v>61</v>
      </c>
      <c r="C62">
        <f t="shared" si="3"/>
        <v>0.193</v>
      </c>
      <c r="D62">
        <f t="shared" si="3"/>
        <v>4.2359999999999998</v>
      </c>
      <c r="E62">
        <f t="shared" si="3"/>
        <v>22</v>
      </c>
      <c r="G62">
        <v>61</v>
      </c>
      <c r="H62" t="s">
        <v>6</v>
      </c>
      <c r="I62">
        <v>0.193</v>
      </c>
      <c r="J62">
        <v>4.2359999999999998</v>
      </c>
      <c r="K62">
        <v>22</v>
      </c>
    </row>
    <row r="63" spans="1:11">
      <c r="A63" t="str">
        <f t="shared" si="1"/>
        <v>Lee Hodges</v>
      </c>
      <c r="B63">
        <f t="shared" si="2"/>
        <v>62</v>
      </c>
      <c r="C63">
        <f t="shared" si="3"/>
        <v>0.187</v>
      </c>
      <c r="D63">
        <f t="shared" si="3"/>
        <v>5.4219999999999997</v>
      </c>
      <c r="E63">
        <f t="shared" si="3"/>
        <v>29</v>
      </c>
      <c r="G63">
        <v>62</v>
      </c>
      <c r="H63" t="s">
        <v>101</v>
      </c>
      <c r="I63">
        <v>0.187</v>
      </c>
      <c r="J63">
        <v>5.4219999999999997</v>
      </c>
      <c r="K63">
        <v>29</v>
      </c>
    </row>
    <row r="64" spans="1:11">
      <c r="A64" t="str">
        <f t="shared" si="1"/>
        <v>Max Greyserman</v>
      </c>
      <c r="B64">
        <f t="shared" si="2"/>
        <v>63</v>
      </c>
      <c r="C64">
        <f t="shared" si="3"/>
        <v>0.18099999999999999</v>
      </c>
      <c r="D64">
        <f t="shared" si="3"/>
        <v>3.2530000000000001</v>
      </c>
      <c r="E64">
        <f t="shared" si="3"/>
        <v>18</v>
      </c>
      <c r="G64">
        <v>63</v>
      </c>
      <c r="H64" t="s">
        <v>493</v>
      </c>
      <c r="I64">
        <v>0.18099999999999999</v>
      </c>
      <c r="J64">
        <v>3.2530000000000001</v>
      </c>
      <c r="K64">
        <v>18</v>
      </c>
    </row>
    <row r="65" spans="1:11">
      <c r="A65" t="str">
        <f t="shared" si="1"/>
        <v>C.T. Pan</v>
      </c>
      <c r="B65">
        <f t="shared" si="2"/>
        <v>64</v>
      </c>
      <c r="C65">
        <f t="shared" si="3"/>
        <v>0.17599999999999999</v>
      </c>
      <c r="D65">
        <f t="shared" si="3"/>
        <v>4.2149999999999999</v>
      </c>
      <c r="E65">
        <f t="shared" si="3"/>
        <v>24</v>
      </c>
      <c r="G65">
        <v>64</v>
      </c>
      <c r="H65" t="s">
        <v>131</v>
      </c>
      <c r="I65">
        <v>0.17599999999999999</v>
      </c>
      <c r="J65">
        <v>4.2149999999999999</v>
      </c>
      <c r="K65">
        <v>24</v>
      </c>
    </row>
    <row r="66" spans="1:11">
      <c r="A66" t="str">
        <f t="shared" si="1"/>
        <v>Nicolai Højgaard</v>
      </c>
      <c r="B66">
        <f t="shared" si="2"/>
        <v>65</v>
      </c>
      <c r="C66">
        <f t="shared" si="3"/>
        <v>0.17100000000000001</v>
      </c>
      <c r="D66">
        <f t="shared" si="3"/>
        <v>3.5859999999999999</v>
      </c>
      <c r="E66">
        <f t="shared" si="3"/>
        <v>21</v>
      </c>
      <c r="G66">
        <v>65</v>
      </c>
      <c r="H66" t="s">
        <v>595</v>
      </c>
      <c r="I66">
        <v>0.17100000000000001</v>
      </c>
      <c r="J66">
        <v>3.5859999999999999</v>
      </c>
      <c r="K66">
        <v>21</v>
      </c>
    </row>
    <row r="67" spans="1:11">
      <c r="A67" t="str">
        <f t="shared" ref="A67:A130" si="4">H67</f>
        <v>Chez Reavie</v>
      </c>
      <c r="B67">
        <f t="shared" ref="B67:B130" si="5">G67</f>
        <v>66</v>
      </c>
      <c r="C67">
        <f t="shared" ref="C67:E130" si="6">I67</f>
        <v>0.16300000000000001</v>
      </c>
      <c r="D67">
        <f t="shared" si="6"/>
        <v>3.0950000000000002</v>
      </c>
      <c r="E67">
        <f t="shared" si="6"/>
        <v>19</v>
      </c>
      <c r="G67">
        <v>66</v>
      </c>
      <c r="H67" t="s">
        <v>177</v>
      </c>
      <c r="I67">
        <v>0.16300000000000001</v>
      </c>
      <c r="J67">
        <v>3.0950000000000002</v>
      </c>
      <c r="K67">
        <v>19</v>
      </c>
    </row>
    <row r="68" spans="1:11">
      <c r="A68" t="str">
        <f t="shared" si="4"/>
        <v>Daniel Berger</v>
      </c>
      <c r="B68">
        <f t="shared" si="5"/>
        <v>67</v>
      </c>
      <c r="C68">
        <f t="shared" si="6"/>
        <v>0.161</v>
      </c>
      <c r="D68">
        <f t="shared" si="6"/>
        <v>2.0920000000000001</v>
      </c>
      <c r="E68">
        <f t="shared" si="6"/>
        <v>13</v>
      </c>
      <c r="G68">
        <v>67</v>
      </c>
      <c r="H68" t="s">
        <v>384</v>
      </c>
      <c r="I68">
        <v>0.161</v>
      </c>
      <c r="J68">
        <v>2.0920000000000001</v>
      </c>
      <c r="K68">
        <v>13</v>
      </c>
    </row>
    <row r="69" spans="1:11">
      <c r="A69" t="str">
        <f t="shared" si="4"/>
        <v>Brian Harman</v>
      </c>
      <c r="B69">
        <f t="shared" si="5"/>
        <v>68</v>
      </c>
      <c r="C69">
        <f t="shared" si="6"/>
        <v>0.158</v>
      </c>
      <c r="D69">
        <f t="shared" si="6"/>
        <v>5.0540000000000003</v>
      </c>
      <c r="E69">
        <f t="shared" si="6"/>
        <v>32</v>
      </c>
      <c r="G69">
        <v>68</v>
      </c>
      <c r="H69" t="s">
        <v>154</v>
      </c>
      <c r="I69">
        <v>0.158</v>
      </c>
      <c r="J69">
        <v>5.0540000000000003</v>
      </c>
      <c r="K69">
        <v>32</v>
      </c>
    </row>
    <row r="70" spans="1:11">
      <c r="A70" t="str">
        <f t="shared" si="4"/>
        <v>Russell Henley</v>
      </c>
      <c r="B70">
        <f t="shared" si="5"/>
        <v>69</v>
      </c>
      <c r="C70">
        <f t="shared" si="6"/>
        <v>0.157</v>
      </c>
      <c r="D70">
        <f t="shared" si="6"/>
        <v>4.4020000000000001</v>
      </c>
      <c r="E70">
        <f t="shared" si="6"/>
        <v>28</v>
      </c>
      <c r="G70">
        <v>69</v>
      </c>
      <c r="H70" t="s">
        <v>166</v>
      </c>
      <c r="I70">
        <v>0.157</v>
      </c>
      <c r="J70">
        <v>4.4020000000000001</v>
      </c>
      <c r="K70">
        <v>28</v>
      </c>
    </row>
    <row r="71" spans="1:11">
      <c r="A71" t="str">
        <f t="shared" si="4"/>
        <v>Stephan Jaeger</v>
      </c>
      <c r="B71">
        <f t="shared" si="5"/>
        <v>69</v>
      </c>
      <c r="C71">
        <f t="shared" si="6"/>
        <v>0.157</v>
      </c>
      <c r="D71">
        <f t="shared" si="6"/>
        <v>3.9369999999999998</v>
      </c>
      <c r="E71">
        <f t="shared" si="6"/>
        <v>25</v>
      </c>
      <c r="G71">
        <v>69</v>
      </c>
      <c r="H71" t="s">
        <v>52</v>
      </c>
      <c r="I71">
        <v>0.157</v>
      </c>
      <c r="J71">
        <v>3.9369999999999998</v>
      </c>
      <c r="K71">
        <v>25</v>
      </c>
    </row>
    <row r="72" spans="1:11">
      <c r="A72" t="str">
        <f t="shared" si="4"/>
        <v>Thorbjørn Olesen</v>
      </c>
      <c r="B72">
        <f t="shared" si="5"/>
        <v>69</v>
      </c>
      <c r="C72">
        <f t="shared" si="6"/>
        <v>0.157</v>
      </c>
      <c r="D72">
        <f t="shared" si="6"/>
        <v>2.194</v>
      </c>
      <c r="E72">
        <f t="shared" si="6"/>
        <v>14</v>
      </c>
      <c r="G72">
        <v>69</v>
      </c>
      <c r="H72" t="s">
        <v>795</v>
      </c>
      <c r="I72">
        <v>0.157</v>
      </c>
      <c r="J72">
        <v>2.194</v>
      </c>
      <c r="K72">
        <v>14</v>
      </c>
    </row>
    <row r="73" spans="1:11">
      <c r="A73" t="str">
        <f t="shared" si="4"/>
        <v>Emiliano Grillo</v>
      </c>
      <c r="B73">
        <f t="shared" si="5"/>
        <v>72</v>
      </c>
      <c r="C73">
        <f t="shared" si="6"/>
        <v>0.154</v>
      </c>
      <c r="D73">
        <f t="shared" si="6"/>
        <v>5.0940000000000003</v>
      </c>
      <c r="E73">
        <f t="shared" si="6"/>
        <v>33</v>
      </c>
      <c r="G73">
        <v>72</v>
      </c>
      <c r="H73" t="s">
        <v>90</v>
      </c>
      <c r="I73">
        <v>0.154</v>
      </c>
      <c r="J73">
        <v>5.0940000000000003</v>
      </c>
      <c r="K73">
        <v>33</v>
      </c>
    </row>
    <row r="74" spans="1:11">
      <c r="A74" t="str">
        <f t="shared" si="4"/>
        <v>Billy Horschel</v>
      </c>
      <c r="B74">
        <f t="shared" si="5"/>
        <v>73</v>
      </c>
      <c r="C74">
        <f t="shared" si="6"/>
        <v>0.14499999999999999</v>
      </c>
      <c r="D74">
        <f t="shared" si="6"/>
        <v>3.6259999999999999</v>
      </c>
      <c r="E74">
        <f t="shared" si="6"/>
        <v>25</v>
      </c>
      <c r="G74">
        <v>73</v>
      </c>
      <c r="H74" t="s">
        <v>115</v>
      </c>
      <c r="I74">
        <v>0.14499999999999999</v>
      </c>
      <c r="J74">
        <v>3.6259999999999999</v>
      </c>
      <c r="K74">
        <v>25</v>
      </c>
    </row>
    <row r="75" spans="1:11">
      <c r="A75" t="str">
        <f t="shared" si="4"/>
        <v>Denny McCarthy</v>
      </c>
      <c r="B75">
        <f t="shared" si="5"/>
        <v>74</v>
      </c>
      <c r="C75">
        <f t="shared" si="6"/>
        <v>0.14399999999999999</v>
      </c>
      <c r="D75">
        <f t="shared" si="6"/>
        <v>4.6219999999999999</v>
      </c>
      <c r="E75">
        <f t="shared" si="6"/>
        <v>32</v>
      </c>
      <c r="G75">
        <v>74</v>
      </c>
      <c r="H75" t="s">
        <v>140</v>
      </c>
      <c r="I75">
        <v>0.14399999999999999</v>
      </c>
      <c r="J75">
        <v>4.6219999999999999</v>
      </c>
      <c r="K75">
        <v>32</v>
      </c>
    </row>
    <row r="76" spans="1:11">
      <c r="A76" t="str">
        <f t="shared" si="4"/>
        <v>Ryo Hisatsune</v>
      </c>
      <c r="B76">
        <f t="shared" si="5"/>
        <v>75</v>
      </c>
      <c r="C76">
        <f t="shared" si="6"/>
        <v>0.13700000000000001</v>
      </c>
      <c r="D76">
        <f t="shared" si="6"/>
        <v>3.431</v>
      </c>
      <c r="E76">
        <f t="shared" si="6"/>
        <v>25</v>
      </c>
      <c r="G76">
        <v>75</v>
      </c>
      <c r="H76" t="s">
        <v>427</v>
      </c>
      <c r="I76">
        <v>0.13700000000000001</v>
      </c>
      <c r="J76">
        <v>3.431</v>
      </c>
      <c r="K76">
        <v>25</v>
      </c>
    </row>
    <row r="77" spans="1:11">
      <c r="A77" t="str">
        <f t="shared" si="4"/>
        <v>Tyson Alexander</v>
      </c>
      <c r="B77">
        <f t="shared" si="5"/>
        <v>76</v>
      </c>
      <c r="C77">
        <f t="shared" si="6"/>
        <v>0.13400000000000001</v>
      </c>
      <c r="D77">
        <f t="shared" si="6"/>
        <v>3.7650000000000001</v>
      </c>
      <c r="E77">
        <f t="shared" si="6"/>
        <v>28</v>
      </c>
      <c r="G77">
        <v>76</v>
      </c>
      <c r="H77" t="s">
        <v>107</v>
      </c>
      <c r="I77">
        <v>0.13400000000000001</v>
      </c>
      <c r="J77">
        <v>3.7650000000000001</v>
      </c>
      <c r="K77">
        <v>28</v>
      </c>
    </row>
    <row r="78" spans="1:11">
      <c r="A78" t="str">
        <f t="shared" si="4"/>
        <v>Byeong Hun An</v>
      </c>
      <c r="B78">
        <f t="shared" si="5"/>
        <v>77</v>
      </c>
      <c r="C78">
        <f t="shared" si="6"/>
        <v>0.129</v>
      </c>
      <c r="D78">
        <f t="shared" si="6"/>
        <v>3.883</v>
      </c>
      <c r="E78">
        <f t="shared" si="6"/>
        <v>30</v>
      </c>
      <c r="G78">
        <v>77</v>
      </c>
      <c r="H78" t="s">
        <v>10</v>
      </c>
      <c r="I78">
        <v>0.129</v>
      </c>
      <c r="J78">
        <v>3.883</v>
      </c>
      <c r="K78">
        <v>30</v>
      </c>
    </row>
    <row r="79" spans="1:11">
      <c r="A79" t="str">
        <f t="shared" si="4"/>
        <v>Charley Hoffman</v>
      </c>
      <c r="B79">
        <f t="shared" si="5"/>
        <v>78</v>
      </c>
      <c r="C79">
        <f t="shared" si="6"/>
        <v>0.126</v>
      </c>
      <c r="D79">
        <f t="shared" si="6"/>
        <v>3.1539999999999999</v>
      </c>
      <c r="E79">
        <f t="shared" si="6"/>
        <v>25</v>
      </c>
      <c r="G79">
        <v>78</v>
      </c>
      <c r="H79" t="s">
        <v>50</v>
      </c>
      <c r="I79">
        <v>0.126</v>
      </c>
      <c r="J79">
        <v>3.1539999999999999</v>
      </c>
      <c r="K79">
        <v>25</v>
      </c>
    </row>
    <row r="80" spans="1:11">
      <c r="A80" t="str">
        <f t="shared" si="4"/>
        <v>Robby Shelton</v>
      </c>
      <c r="B80">
        <f t="shared" si="5"/>
        <v>79</v>
      </c>
      <c r="C80">
        <f t="shared" si="6"/>
        <v>0.125</v>
      </c>
      <c r="D80">
        <f t="shared" si="6"/>
        <v>3.6150000000000002</v>
      </c>
      <c r="E80">
        <f t="shared" si="6"/>
        <v>29</v>
      </c>
      <c r="G80">
        <v>79</v>
      </c>
      <c r="H80" t="s">
        <v>149</v>
      </c>
      <c r="I80">
        <v>0.125</v>
      </c>
      <c r="J80">
        <v>3.6150000000000002</v>
      </c>
      <c r="K80">
        <v>29</v>
      </c>
    </row>
    <row r="81" spans="1:11">
      <c r="A81" t="str">
        <f t="shared" si="4"/>
        <v>Collin Morikawa</v>
      </c>
      <c r="B81">
        <f t="shared" si="5"/>
        <v>80</v>
      </c>
      <c r="C81">
        <f t="shared" si="6"/>
        <v>0.12</v>
      </c>
      <c r="D81">
        <f t="shared" si="6"/>
        <v>2.52</v>
      </c>
      <c r="E81">
        <f t="shared" si="6"/>
        <v>21</v>
      </c>
      <c r="G81">
        <v>80</v>
      </c>
      <c r="H81" t="s">
        <v>135</v>
      </c>
      <c r="I81">
        <v>0.12</v>
      </c>
      <c r="J81">
        <v>2.52</v>
      </c>
      <c r="K81">
        <v>21</v>
      </c>
    </row>
    <row r="82" spans="1:11">
      <c r="A82" t="str">
        <f t="shared" si="4"/>
        <v>Tom Whitney</v>
      </c>
      <c r="B82">
        <f t="shared" si="5"/>
        <v>81</v>
      </c>
      <c r="C82">
        <f t="shared" si="6"/>
        <v>0.11899999999999999</v>
      </c>
      <c r="D82">
        <f t="shared" si="6"/>
        <v>2.0169999999999999</v>
      </c>
      <c r="E82">
        <f t="shared" si="6"/>
        <v>17</v>
      </c>
      <c r="G82">
        <v>81</v>
      </c>
      <c r="H82" t="s">
        <v>563</v>
      </c>
      <c r="I82">
        <v>0.11899999999999999</v>
      </c>
      <c r="J82">
        <v>2.0169999999999999</v>
      </c>
      <c r="K82">
        <v>17</v>
      </c>
    </row>
    <row r="83" spans="1:11">
      <c r="A83" t="str">
        <f t="shared" si="4"/>
        <v>Lanto Griffin</v>
      </c>
      <c r="B83">
        <f t="shared" si="5"/>
        <v>82</v>
      </c>
      <c r="C83">
        <f t="shared" si="6"/>
        <v>0.108</v>
      </c>
      <c r="D83">
        <f t="shared" si="6"/>
        <v>2.2589999999999999</v>
      </c>
      <c r="E83">
        <f t="shared" si="6"/>
        <v>21</v>
      </c>
      <c r="G83">
        <v>82</v>
      </c>
      <c r="H83" t="s">
        <v>80</v>
      </c>
      <c r="I83">
        <v>0.108</v>
      </c>
      <c r="J83">
        <v>2.2589999999999999</v>
      </c>
      <c r="K83">
        <v>21</v>
      </c>
    </row>
    <row r="84" spans="1:11">
      <c r="A84" t="str">
        <f t="shared" si="4"/>
        <v>Adam Scott</v>
      </c>
      <c r="B84">
        <f t="shared" si="5"/>
        <v>83</v>
      </c>
      <c r="C84">
        <f t="shared" si="6"/>
        <v>9.7000000000000003E-2</v>
      </c>
      <c r="D84">
        <f t="shared" si="6"/>
        <v>1.948</v>
      </c>
      <c r="E84">
        <f t="shared" si="6"/>
        <v>20</v>
      </c>
      <c r="G84">
        <v>83</v>
      </c>
      <c r="H84" t="s">
        <v>19</v>
      </c>
      <c r="I84">
        <v>9.7000000000000003E-2</v>
      </c>
      <c r="J84">
        <v>1.948</v>
      </c>
      <c r="K84">
        <v>20</v>
      </c>
    </row>
    <row r="85" spans="1:11">
      <c r="A85" t="str">
        <f t="shared" si="4"/>
        <v>J.J. Spaun</v>
      </c>
      <c r="B85">
        <f t="shared" si="5"/>
        <v>84</v>
      </c>
      <c r="C85">
        <f t="shared" si="6"/>
        <v>9.4E-2</v>
      </c>
      <c r="D85">
        <f t="shared" si="6"/>
        <v>2.351</v>
      </c>
      <c r="E85">
        <f t="shared" si="6"/>
        <v>25</v>
      </c>
      <c r="G85">
        <v>84</v>
      </c>
      <c r="H85" t="s">
        <v>112</v>
      </c>
      <c r="I85">
        <v>9.4E-2</v>
      </c>
      <c r="J85">
        <v>2.351</v>
      </c>
      <c r="K85">
        <v>25</v>
      </c>
    </row>
    <row r="86" spans="1:11">
      <c r="A86" t="str">
        <f t="shared" si="4"/>
        <v>Mac Meissner</v>
      </c>
      <c r="B86">
        <f t="shared" si="5"/>
        <v>85</v>
      </c>
      <c r="C86">
        <f t="shared" si="6"/>
        <v>8.5999999999999993E-2</v>
      </c>
      <c r="D86">
        <f t="shared" si="6"/>
        <v>1.4690000000000001</v>
      </c>
      <c r="E86">
        <f t="shared" si="6"/>
        <v>17</v>
      </c>
      <c r="G86">
        <v>85</v>
      </c>
      <c r="H86" t="s">
        <v>560</v>
      </c>
      <c r="I86">
        <v>8.5999999999999993E-2</v>
      </c>
      <c r="J86">
        <v>1.4690000000000001</v>
      </c>
      <c r="K86">
        <v>17</v>
      </c>
    </row>
    <row r="87" spans="1:11">
      <c r="A87" t="str">
        <f t="shared" si="4"/>
        <v>Michael Kim</v>
      </c>
      <c r="B87">
        <f t="shared" si="5"/>
        <v>86</v>
      </c>
      <c r="C87">
        <f t="shared" si="6"/>
        <v>8.5000000000000006E-2</v>
      </c>
      <c r="D87">
        <f t="shared" si="6"/>
        <v>2.113</v>
      </c>
      <c r="E87">
        <f t="shared" si="6"/>
        <v>25</v>
      </c>
      <c r="G87">
        <v>86</v>
      </c>
      <c r="H87" t="s">
        <v>62</v>
      </c>
      <c r="I87">
        <v>8.5000000000000006E-2</v>
      </c>
      <c r="J87">
        <v>2.113</v>
      </c>
      <c r="K87">
        <v>25</v>
      </c>
    </row>
    <row r="88" spans="1:11">
      <c r="A88" t="str">
        <f t="shared" si="4"/>
        <v>Ryan Fox</v>
      </c>
      <c r="B88">
        <f t="shared" si="5"/>
        <v>87</v>
      </c>
      <c r="C88">
        <f t="shared" si="6"/>
        <v>5.2999999999999999E-2</v>
      </c>
      <c r="D88">
        <f t="shared" si="6"/>
        <v>1.115</v>
      </c>
      <c r="E88">
        <f t="shared" si="6"/>
        <v>21</v>
      </c>
      <c r="G88">
        <v>87</v>
      </c>
      <c r="H88" t="s">
        <v>549</v>
      </c>
      <c r="I88">
        <v>5.2999999999999999E-2</v>
      </c>
      <c r="J88">
        <v>1.115</v>
      </c>
      <c r="K88">
        <v>21</v>
      </c>
    </row>
    <row r="89" spans="1:11">
      <c r="A89" t="str">
        <f t="shared" si="4"/>
        <v>Erik Barnes</v>
      </c>
      <c r="B89">
        <f t="shared" si="5"/>
        <v>88</v>
      </c>
      <c r="C89">
        <f t="shared" si="6"/>
        <v>4.5999999999999999E-2</v>
      </c>
      <c r="D89">
        <f t="shared" si="6"/>
        <v>0.65</v>
      </c>
      <c r="E89">
        <f t="shared" si="6"/>
        <v>14</v>
      </c>
      <c r="G89">
        <v>88</v>
      </c>
      <c r="H89" t="s">
        <v>235</v>
      </c>
      <c r="I89">
        <v>4.5999999999999999E-2</v>
      </c>
      <c r="J89">
        <v>0.65</v>
      </c>
      <c r="K89">
        <v>14</v>
      </c>
    </row>
    <row r="90" spans="1:11">
      <c r="A90" t="str">
        <f t="shared" si="4"/>
        <v>Stewart Cink</v>
      </c>
      <c r="B90">
        <f t="shared" si="5"/>
        <v>89</v>
      </c>
      <c r="C90">
        <f t="shared" si="6"/>
        <v>4.2000000000000003E-2</v>
      </c>
      <c r="D90">
        <f t="shared" si="6"/>
        <v>0.70599999999999996</v>
      </c>
      <c r="E90">
        <f t="shared" si="6"/>
        <v>17</v>
      </c>
      <c r="G90">
        <v>89</v>
      </c>
      <c r="H90" t="s">
        <v>53</v>
      </c>
      <c r="I90">
        <v>4.2000000000000003E-2</v>
      </c>
      <c r="J90">
        <v>0.70599999999999996</v>
      </c>
      <c r="K90">
        <v>17</v>
      </c>
    </row>
    <row r="91" spans="1:11">
      <c r="A91" t="str">
        <f t="shared" si="4"/>
        <v>Matt Fitzpatrick</v>
      </c>
      <c r="B91">
        <f t="shared" si="5"/>
        <v>90</v>
      </c>
      <c r="C91">
        <f t="shared" si="6"/>
        <v>0.03</v>
      </c>
      <c r="D91">
        <f t="shared" si="6"/>
        <v>0.83499999999999996</v>
      </c>
      <c r="E91">
        <f t="shared" si="6"/>
        <v>28</v>
      </c>
      <c r="G91">
        <v>90</v>
      </c>
      <c r="H91" t="s">
        <v>72</v>
      </c>
      <c r="I91">
        <v>0.03</v>
      </c>
      <c r="J91">
        <v>0.83499999999999996</v>
      </c>
      <c r="K91">
        <v>28</v>
      </c>
    </row>
    <row r="92" spans="1:11">
      <c r="A92" t="str">
        <f t="shared" si="4"/>
        <v>David Skinns</v>
      </c>
      <c r="B92">
        <f t="shared" si="5"/>
        <v>91</v>
      </c>
      <c r="C92">
        <f t="shared" si="6"/>
        <v>1.7999999999999999E-2</v>
      </c>
      <c r="D92">
        <f t="shared" si="6"/>
        <v>0.371</v>
      </c>
      <c r="E92">
        <f t="shared" si="6"/>
        <v>21</v>
      </c>
      <c r="G92">
        <v>91</v>
      </c>
      <c r="H92" t="s">
        <v>410</v>
      </c>
      <c r="I92">
        <v>1.7999999999999999E-2</v>
      </c>
      <c r="J92">
        <v>0.371</v>
      </c>
      <c r="K92">
        <v>21</v>
      </c>
    </row>
    <row r="93" spans="1:11">
      <c r="A93" t="str">
        <f t="shared" si="4"/>
        <v>Harry Hall</v>
      </c>
      <c r="B93">
        <f t="shared" si="5"/>
        <v>92</v>
      </c>
      <c r="C93">
        <f t="shared" si="6"/>
        <v>1.7000000000000001E-2</v>
      </c>
      <c r="D93">
        <f t="shared" si="6"/>
        <v>0.48899999999999999</v>
      </c>
      <c r="E93">
        <f t="shared" si="6"/>
        <v>29</v>
      </c>
      <c r="G93">
        <v>92</v>
      </c>
      <c r="H93" t="s">
        <v>108</v>
      </c>
      <c r="I93">
        <v>1.7000000000000001E-2</v>
      </c>
      <c r="J93">
        <v>0.48899999999999999</v>
      </c>
      <c r="K93">
        <v>29</v>
      </c>
    </row>
    <row r="94" spans="1:11">
      <c r="A94" t="str">
        <f t="shared" si="4"/>
        <v>Jorge Campillo</v>
      </c>
      <c r="B94">
        <f t="shared" si="5"/>
        <v>93</v>
      </c>
      <c r="C94">
        <f t="shared" si="6"/>
        <v>1.0999999999999999E-2</v>
      </c>
      <c r="D94">
        <f t="shared" si="6"/>
        <v>0.18099999999999999</v>
      </c>
      <c r="E94">
        <f t="shared" si="6"/>
        <v>16</v>
      </c>
      <c r="G94">
        <v>93</v>
      </c>
      <c r="H94" t="s">
        <v>693</v>
      </c>
      <c r="I94">
        <v>1.0999999999999999E-2</v>
      </c>
      <c r="J94">
        <v>0.18099999999999999</v>
      </c>
      <c r="K94">
        <v>16</v>
      </c>
    </row>
    <row r="95" spans="1:11">
      <c r="A95" t="str">
        <f t="shared" si="4"/>
        <v>J.T. Poston</v>
      </c>
      <c r="B95">
        <f t="shared" si="5"/>
        <v>94</v>
      </c>
      <c r="C95">
        <f t="shared" si="6"/>
        <v>0.01</v>
      </c>
      <c r="D95">
        <f t="shared" si="6"/>
        <v>0.27900000000000003</v>
      </c>
      <c r="E95">
        <f t="shared" si="6"/>
        <v>28</v>
      </c>
      <c r="G95">
        <v>94</v>
      </c>
      <c r="H95" t="s">
        <v>126</v>
      </c>
      <c r="I95">
        <v>0.01</v>
      </c>
      <c r="J95">
        <v>0.27900000000000003</v>
      </c>
      <c r="K95">
        <v>28</v>
      </c>
    </row>
    <row r="96" spans="1:11">
      <c r="A96" t="str">
        <f t="shared" si="4"/>
        <v>Brendon Todd</v>
      </c>
      <c r="B96">
        <f t="shared" si="5"/>
        <v>95</v>
      </c>
      <c r="C96">
        <f t="shared" si="6"/>
        <v>8.9999999999999993E-3</v>
      </c>
      <c r="D96">
        <f t="shared" si="6"/>
        <v>0.29099999999999998</v>
      </c>
      <c r="E96">
        <f t="shared" si="6"/>
        <v>34</v>
      </c>
      <c r="G96">
        <v>95</v>
      </c>
      <c r="H96" t="s">
        <v>188</v>
      </c>
      <c r="I96">
        <v>8.9999999999999993E-3</v>
      </c>
      <c r="J96">
        <v>0.29099999999999998</v>
      </c>
      <c r="K96">
        <v>34</v>
      </c>
    </row>
    <row r="97" spans="1:11">
      <c r="A97" t="str">
        <f t="shared" si="4"/>
        <v>Matt Wallace</v>
      </c>
      <c r="B97">
        <f t="shared" si="5"/>
        <v>96</v>
      </c>
      <c r="C97">
        <f t="shared" si="6"/>
        <v>-8.9999999999999993E-3</v>
      </c>
      <c r="D97">
        <f t="shared" si="6"/>
        <v>-0.255</v>
      </c>
      <c r="E97">
        <f t="shared" si="6"/>
        <v>27</v>
      </c>
      <c r="G97">
        <v>96</v>
      </c>
      <c r="H97" t="s">
        <v>82</v>
      </c>
      <c r="I97">
        <v>-8.9999999999999993E-3</v>
      </c>
      <c r="J97">
        <v>-0.255</v>
      </c>
      <c r="K97">
        <v>27</v>
      </c>
    </row>
    <row r="98" spans="1:11">
      <c r="A98" t="str">
        <f t="shared" si="4"/>
        <v>Seamus Power</v>
      </c>
      <c r="B98">
        <f t="shared" si="5"/>
        <v>97</v>
      </c>
      <c r="C98">
        <f t="shared" si="6"/>
        <v>-0.02</v>
      </c>
      <c r="D98">
        <f t="shared" si="6"/>
        <v>-0.67500000000000004</v>
      </c>
      <c r="E98">
        <f t="shared" si="6"/>
        <v>33</v>
      </c>
      <c r="G98">
        <v>97</v>
      </c>
      <c r="H98" t="s">
        <v>105</v>
      </c>
      <c r="I98">
        <v>-0.02</v>
      </c>
      <c r="J98">
        <v>-0.67500000000000004</v>
      </c>
      <c r="K98">
        <v>33</v>
      </c>
    </row>
    <row r="99" spans="1:11">
      <c r="A99" t="str">
        <f t="shared" si="4"/>
        <v>Jordan Spieth</v>
      </c>
      <c r="B99">
        <f t="shared" si="5"/>
        <v>98</v>
      </c>
      <c r="C99">
        <f t="shared" si="6"/>
        <v>-2.7E-2</v>
      </c>
      <c r="D99">
        <f t="shared" si="6"/>
        <v>-0.61099999999999999</v>
      </c>
      <c r="E99">
        <f t="shared" si="6"/>
        <v>23</v>
      </c>
      <c r="G99">
        <v>98</v>
      </c>
      <c r="H99" t="s">
        <v>76</v>
      </c>
      <c r="I99">
        <v>-2.7E-2</v>
      </c>
      <c r="J99">
        <v>-0.61099999999999999</v>
      </c>
      <c r="K99">
        <v>23</v>
      </c>
    </row>
    <row r="100" spans="1:11">
      <c r="A100" t="str">
        <f t="shared" si="4"/>
        <v>Grayson Murray</v>
      </c>
      <c r="B100">
        <f t="shared" si="5"/>
        <v>99</v>
      </c>
      <c r="C100">
        <f t="shared" si="6"/>
        <v>-2.8000000000000001E-2</v>
      </c>
      <c r="D100">
        <f t="shared" si="6"/>
        <v>-0.55100000000000005</v>
      </c>
      <c r="E100">
        <f t="shared" si="6"/>
        <v>20</v>
      </c>
      <c r="G100">
        <v>99</v>
      </c>
      <c r="H100" t="s">
        <v>372</v>
      </c>
      <c r="I100">
        <v>-2.8000000000000001E-2</v>
      </c>
      <c r="J100">
        <v>-0.55100000000000005</v>
      </c>
      <c r="K100">
        <v>20</v>
      </c>
    </row>
    <row r="101" spans="1:11">
      <c r="A101" t="str">
        <f t="shared" si="4"/>
        <v>Sami Valimaki</v>
      </c>
      <c r="B101">
        <f t="shared" si="5"/>
        <v>100</v>
      </c>
      <c r="C101">
        <f t="shared" si="6"/>
        <v>-0.03</v>
      </c>
      <c r="D101">
        <f t="shared" si="6"/>
        <v>-0.75600000000000001</v>
      </c>
      <c r="E101">
        <f t="shared" si="6"/>
        <v>25</v>
      </c>
      <c r="G101">
        <v>100</v>
      </c>
      <c r="H101" t="s">
        <v>488</v>
      </c>
      <c r="I101">
        <v>-0.03</v>
      </c>
      <c r="J101">
        <v>-0.75600000000000001</v>
      </c>
      <c r="K101">
        <v>25</v>
      </c>
    </row>
    <row r="102" spans="1:11">
      <c r="A102" t="str">
        <f t="shared" si="4"/>
        <v>Roger Sloan</v>
      </c>
      <c r="B102">
        <f t="shared" si="5"/>
        <v>101</v>
      </c>
      <c r="C102">
        <f t="shared" si="6"/>
        <v>-3.1E-2</v>
      </c>
      <c r="D102">
        <f t="shared" si="6"/>
        <v>-0.40799999999999997</v>
      </c>
      <c r="E102">
        <f t="shared" si="6"/>
        <v>13</v>
      </c>
      <c r="G102">
        <v>101</v>
      </c>
      <c r="H102" t="s">
        <v>393</v>
      </c>
      <c r="I102">
        <v>-3.1E-2</v>
      </c>
      <c r="J102">
        <v>-0.40799999999999997</v>
      </c>
      <c r="K102">
        <v>13</v>
      </c>
    </row>
    <row r="103" spans="1:11">
      <c r="A103" t="str">
        <f t="shared" si="4"/>
        <v>Robert MacIntyre</v>
      </c>
      <c r="B103">
        <f t="shared" si="5"/>
        <v>102</v>
      </c>
      <c r="C103">
        <f t="shared" si="6"/>
        <v>-5.2999999999999999E-2</v>
      </c>
      <c r="D103">
        <f t="shared" si="6"/>
        <v>-1.2210000000000001</v>
      </c>
      <c r="E103">
        <f t="shared" si="6"/>
        <v>23</v>
      </c>
      <c r="G103">
        <v>102</v>
      </c>
      <c r="H103" t="s">
        <v>434</v>
      </c>
      <c r="I103">
        <v>-5.2999999999999999E-2</v>
      </c>
      <c r="J103">
        <v>-1.2210000000000001</v>
      </c>
      <c r="K103">
        <v>23</v>
      </c>
    </row>
    <row r="104" spans="1:11">
      <c r="A104" t="str">
        <f t="shared" si="4"/>
        <v>Troy Merritt</v>
      </c>
      <c r="B104">
        <f t="shared" si="5"/>
        <v>103</v>
      </c>
      <c r="C104">
        <f t="shared" si="6"/>
        <v>-6.2E-2</v>
      </c>
      <c r="D104">
        <f t="shared" si="6"/>
        <v>-1.3120000000000001</v>
      </c>
      <c r="E104">
        <f t="shared" si="6"/>
        <v>21</v>
      </c>
      <c r="G104">
        <v>103</v>
      </c>
      <c r="H104" t="s">
        <v>156</v>
      </c>
      <c r="I104">
        <v>-6.2E-2</v>
      </c>
      <c r="J104">
        <v>-1.3120000000000001</v>
      </c>
      <c r="K104">
        <v>21</v>
      </c>
    </row>
    <row r="105" spans="1:11">
      <c r="A105" t="str">
        <f t="shared" si="4"/>
        <v>Viktor Hovland</v>
      </c>
      <c r="B105">
        <f t="shared" si="5"/>
        <v>104</v>
      </c>
      <c r="C105">
        <f t="shared" si="6"/>
        <v>-7.9000000000000001E-2</v>
      </c>
      <c r="D105">
        <f t="shared" si="6"/>
        <v>-1.421</v>
      </c>
      <c r="E105">
        <f t="shared" si="6"/>
        <v>18</v>
      </c>
      <c r="G105">
        <v>104</v>
      </c>
      <c r="H105" t="s">
        <v>47</v>
      </c>
      <c r="I105">
        <v>-7.9000000000000001E-2</v>
      </c>
      <c r="J105">
        <v>-1.421</v>
      </c>
      <c r="K105">
        <v>18</v>
      </c>
    </row>
    <row r="106" spans="1:11">
      <c r="A106" t="str">
        <f t="shared" si="4"/>
        <v>Brandon Wu</v>
      </c>
      <c r="B106">
        <f t="shared" si="5"/>
        <v>105</v>
      </c>
      <c r="C106">
        <f t="shared" si="6"/>
        <v>-8.4000000000000005E-2</v>
      </c>
      <c r="D106">
        <f t="shared" si="6"/>
        <v>-1.6859999999999999</v>
      </c>
      <c r="E106">
        <f t="shared" si="6"/>
        <v>20</v>
      </c>
      <c r="G106">
        <v>105</v>
      </c>
      <c r="H106" t="s">
        <v>133</v>
      </c>
      <c r="I106">
        <v>-8.4000000000000005E-2</v>
      </c>
      <c r="J106">
        <v>-1.6859999999999999</v>
      </c>
      <c r="K106">
        <v>20</v>
      </c>
    </row>
    <row r="107" spans="1:11" ht="23.25" customHeight="1">
      <c r="A107" t="str">
        <f t="shared" si="4"/>
        <v>Adam Hadwin</v>
      </c>
      <c r="B107">
        <f t="shared" si="5"/>
        <v>106</v>
      </c>
      <c r="C107">
        <f t="shared" si="6"/>
        <v>-0.09</v>
      </c>
      <c r="D107">
        <f t="shared" si="6"/>
        <v>-2.1579999999999999</v>
      </c>
      <c r="E107">
        <f t="shared" si="6"/>
        <v>24</v>
      </c>
      <c r="G107">
        <v>106</v>
      </c>
      <c r="H107" t="s">
        <v>141</v>
      </c>
      <c r="I107">
        <v>-0.09</v>
      </c>
      <c r="J107">
        <v>-2.1579999999999999</v>
      </c>
      <c r="K107">
        <v>24</v>
      </c>
    </row>
    <row r="108" spans="1:11">
      <c r="A108" t="str">
        <f t="shared" si="4"/>
        <v>Joseph Bramlett</v>
      </c>
      <c r="B108">
        <f t="shared" si="5"/>
        <v>107</v>
      </c>
      <c r="C108">
        <f t="shared" si="6"/>
        <v>-9.4E-2</v>
      </c>
      <c r="D108">
        <f t="shared" si="6"/>
        <v>-2.726</v>
      </c>
      <c r="E108">
        <f t="shared" si="6"/>
        <v>29</v>
      </c>
      <c r="G108">
        <v>107</v>
      </c>
      <c r="H108" t="s">
        <v>20</v>
      </c>
      <c r="I108">
        <v>-9.4E-2</v>
      </c>
      <c r="J108">
        <v>-2.726</v>
      </c>
      <c r="K108">
        <v>29</v>
      </c>
    </row>
    <row r="109" spans="1:11">
      <c r="A109" t="str">
        <f t="shared" si="4"/>
        <v>Ben Silverman</v>
      </c>
      <c r="B109">
        <f t="shared" si="5"/>
        <v>107</v>
      </c>
      <c r="C109">
        <f t="shared" si="6"/>
        <v>-9.4E-2</v>
      </c>
      <c r="D109">
        <f t="shared" si="6"/>
        <v>-2.5249999999999999</v>
      </c>
      <c r="E109">
        <f t="shared" si="6"/>
        <v>27</v>
      </c>
      <c r="G109">
        <v>107</v>
      </c>
      <c r="H109" t="s">
        <v>433</v>
      </c>
      <c r="I109">
        <v>-9.4E-2</v>
      </c>
      <c r="J109">
        <v>-2.5249999999999999</v>
      </c>
      <c r="K109">
        <v>27</v>
      </c>
    </row>
    <row r="110" spans="1:11">
      <c r="A110" t="str">
        <f t="shared" si="4"/>
        <v>Tom Kim</v>
      </c>
      <c r="B110">
        <f t="shared" si="5"/>
        <v>109</v>
      </c>
      <c r="C110">
        <f t="shared" si="6"/>
        <v>-0.10299999999999999</v>
      </c>
      <c r="D110">
        <f t="shared" si="6"/>
        <v>-2.4689999999999999</v>
      </c>
      <c r="E110">
        <f t="shared" si="6"/>
        <v>24</v>
      </c>
      <c r="G110">
        <v>109</v>
      </c>
      <c r="H110" t="s">
        <v>124</v>
      </c>
      <c r="I110">
        <v>-0.10299999999999999</v>
      </c>
      <c r="J110">
        <v>-2.4689999999999999</v>
      </c>
      <c r="K110">
        <v>24</v>
      </c>
    </row>
    <row r="111" spans="1:11">
      <c r="A111" t="str">
        <f t="shared" si="4"/>
        <v>Martin Laird</v>
      </c>
      <c r="B111">
        <f t="shared" si="5"/>
        <v>110</v>
      </c>
      <c r="C111">
        <f t="shared" si="6"/>
        <v>-0.109</v>
      </c>
      <c r="D111">
        <f t="shared" si="6"/>
        <v>-2.5</v>
      </c>
      <c r="E111">
        <f t="shared" si="6"/>
        <v>23</v>
      </c>
      <c r="G111">
        <v>110</v>
      </c>
      <c r="H111" t="s">
        <v>161</v>
      </c>
      <c r="I111">
        <v>-0.109</v>
      </c>
      <c r="J111">
        <v>-2.5</v>
      </c>
      <c r="K111">
        <v>23</v>
      </c>
    </row>
    <row r="112" spans="1:11">
      <c r="A112" t="str">
        <f t="shared" si="4"/>
        <v>Ryan Palmer</v>
      </c>
      <c r="B112">
        <f t="shared" si="5"/>
        <v>111</v>
      </c>
      <c r="C112">
        <f t="shared" si="6"/>
        <v>-0.115</v>
      </c>
      <c r="D112">
        <f t="shared" si="6"/>
        <v>-2.073</v>
      </c>
      <c r="E112">
        <f t="shared" si="6"/>
        <v>18</v>
      </c>
      <c r="G112">
        <v>111</v>
      </c>
      <c r="H112" t="s">
        <v>87</v>
      </c>
      <c r="I112">
        <v>-0.115</v>
      </c>
      <c r="J112">
        <v>-2.073</v>
      </c>
      <c r="K112">
        <v>18</v>
      </c>
    </row>
    <row r="113" spans="1:11">
      <c r="A113" t="str">
        <f t="shared" si="4"/>
        <v>Harris English</v>
      </c>
      <c r="B113">
        <f t="shared" si="5"/>
        <v>112</v>
      </c>
      <c r="C113">
        <f t="shared" si="6"/>
        <v>-0.11799999999999999</v>
      </c>
      <c r="D113">
        <f t="shared" si="6"/>
        <v>-3.657</v>
      </c>
      <c r="E113">
        <f t="shared" si="6"/>
        <v>31</v>
      </c>
      <c r="G113">
        <v>112</v>
      </c>
      <c r="H113" t="s">
        <v>125</v>
      </c>
      <c r="I113">
        <v>-0.11799999999999999</v>
      </c>
      <c r="J113">
        <v>-3.657</v>
      </c>
      <c r="K113">
        <v>31</v>
      </c>
    </row>
    <row r="114" spans="1:11">
      <c r="A114" t="str">
        <f t="shared" si="4"/>
        <v>Zac Blair</v>
      </c>
      <c r="B114">
        <f t="shared" si="5"/>
        <v>113</v>
      </c>
      <c r="C114">
        <f t="shared" si="6"/>
        <v>-0.125</v>
      </c>
      <c r="D114">
        <f t="shared" si="6"/>
        <v>-2.871</v>
      </c>
      <c r="E114">
        <f t="shared" si="6"/>
        <v>23</v>
      </c>
      <c r="G114">
        <v>113</v>
      </c>
      <c r="H114" t="s">
        <v>187</v>
      </c>
      <c r="I114">
        <v>-0.125</v>
      </c>
      <c r="J114">
        <v>-2.871</v>
      </c>
      <c r="K114">
        <v>23</v>
      </c>
    </row>
    <row r="115" spans="1:11">
      <c r="A115" t="str">
        <f t="shared" si="4"/>
        <v>Cam Davis</v>
      </c>
      <c r="B115">
        <f t="shared" si="5"/>
        <v>114</v>
      </c>
      <c r="C115">
        <f t="shared" si="6"/>
        <v>-0.129</v>
      </c>
      <c r="D115">
        <f t="shared" si="6"/>
        <v>-3.0880000000000001</v>
      </c>
      <c r="E115">
        <f t="shared" si="6"/>
        <v>24</v>
      </c>
      <c r="G115">
        <v>114</v>
      </c>
      <c r="H115" t="s">
        <v>29</v>
      </c>
      <c r="I115">
        <v>-0.129</v>
      </c>
      <c r="J115">
        <v>-3.0880000000000001</v>
      </c>
      <c r="K115">
        <v>24</v>
      </c>
    </row>
    <row r="116" spans="1:11">
      <c r="A116" t="str">
        <f t="shared" si="4"/>
        <v>Kevin Dougherty</v>
      </c>
      <c r="B116">
        <f t="shared" si="5"/>
        <v>114</v>
      </c>
      <c r="C116">
        <f t="shared" si="6"/>
        <v>-0.129</v>
      </c>
      <c r="D116">
        <f t="shared" si="6"/>
        <v>-2.46</v>
      </c>
      <c r="E116">
        <f t="shared" si="6"/>
        <v>19</v>
      </c>
      <c r="G116">
        <v>114</v>
      </c>
      <c r="H116" t="s">
        <v>562</v>
      </c>
      <c r="I116">
        <v>-0.129</v>
      </c>
      <c r="J116">
        <v>-2.46</v>
      </c>
      <c r="K116">
        <v>19</v>
      </c>
    </row>
    <row r="117" spans="1:11">
      <c r="A117" t="str">
        <f t="shared" si="4"/>
        <v>Alex Smalley</v>
      </c>
      <c r="B117">
        <f t="shared" si="5"/>
        <v>116</v>
      </c>
      <c r="C117">
        <f t="shared" si="6"/>
        <v>-0.13700000000000001</v>
      </c>
      <c r="D117">
        <f t="shared" si="6"/>
        <v>-2.6059999999999999</v>
      </c>
      <c r="E117">
        <f t="shared" si="6"/>
        <v>19</v>
      </c>
      <c r="G117">
        <v>116</v>
      </c>
      <c r="H117" t="s">
        <v>79</v>
      </c>
      <c r="I117">
        <v>-0.13700000000000001</v>
      </c>
      <c r="J117">
        <v>-2.6059999999999999</v>
      </c>
      <c r="K117">
        <v>19</v>
      </c>
    </row>
    <row r="118" spans="1:11">
      <c r="A118" t="str">
        <f t="shared" si="4"/>
        <v>Ben Griffin</v>
      </c>
      <c r="B118">
        <f t="shared" si="5"/>
        <v>117</v>
      </c>
      <c r="C118">
        <f t="shared" si="6"/>
        <v>-0.154</v>
      </c>
      <c r="D118">
        <f t="shared" si="6"/>
        <v>-4.7679999999999998</v>
      </c>
      <c r="E118">
        <f t="shared" si="6"/>
        <v>31</v>
      </c>
      <c r="G118">
        <v>117</v>
      </c>
      <c r="H118" t="s">
        <v>97</v>
      </c>
      <c r="I118">
        <v>-0.154</v>
      </c>
      <c r="J118">
        <v>-4.7679999999999998</v>
      </c>
      <c r="K118">
        <v>31</v>
      </c>
    </row>
    <row r="119" spans="1:11">
      <c r="A119" t="str">
        <f t="shared" si="4"/>
        <v>Patrick Rodgers</v>
      </c>
      <c r="B119">
        <f t="shared" si="5"/>
        <v>118</v>
      </c>
      <c r="C119">
        <f t="shared" si="6"/>
        <v>-0.158</v>
      </c>
      <c r="D119">
        <f t="shared" si="6"/>
        <v>-5.0430000000000001</v>
      </c>
      <c r="E119">
        <f t="shared" si="6"/>
        <v>32</v>
      </c>
      <c r="G119">
        <v>118</v>
      </c>
      <c r="H119" t="s">
        <v>38</v>
      </c>
      <c r="I119">
        <v>-0.158</v>
      </c>
      <c r="J119">
        <v>-5.0430000000000001</v>
      </c>
      <c r="K119">
        <v>32</v>
      </c>
    </row>
    <row r="120" spans="1:11">
      <c r="A120" t="str">
        <f t="shared" si="4"/>
        <v>David Lipsky</v>
      </c>
      <c r="B120">
        <f t="shared" si="5"/>
        <v>119</v>
      </c>
      <c r="C120">
        <f t="shared" si="6"/>
        <v>-0.161</v>
      </c>
      <c r="D120">
        <f t="shared" si="6"/>
        <v>-3.694</v>
      </c>
      <c r="E120">
        <f t="shared" si="6"/>
        <v>23</v>
      </c>
      <c r="G120">
        <v>119</v>
      </c>
      <c r="H120" t="s">
        <v>163</v>
      </c>
      <c r="I120">
        <v>-0.161</v>
      </c>
      <c r="J120">
        <v>-3.694</v>
      </c>
      <c r="K120">
        <v>23</v>
      </c>
    </row>
    <row r="121" spans="1:11">
      <c r="A121" t="str">
        <f t="shared" si="4"/>
        <v>Nick Hardy</v>
      </c>
      <c r="B121">
        <f t="shared" si="5"/>
        <v>120</v>
      </c>
      <c r="C121">
        <f t="shared" si="6"/>
        <v>-0.17</v>
      </c>
      <c r="D121">
        <f t="shared" si="6"/>
        <v>-5.6040000000000001</v>
      </c>
      <c r="E121">
        <f t="shared" si="6"/>
        <v>33</v>
      </c>
      <c r="G121">
        <v>120</v>
      </c>
      <c r="H121" t="s">
        <v>36</v>
      </c>
      <c r="I121">
        <v>-0.17</v>
      </c>
      <c r="J121">
        <v>-5.6040000000000001</v>
      </c>
      <c r="K121">
        <v>33</v>
      </c>
    </row>
    <row r="122" spans="1:11">
      <c r="A122" t="str">
        <f t="shared" si="4"/>
        <v>Taylor Pendrith</v>
      </c>
      <c r="B122">
        <f t="shared" si="5"/>
        <v>121</v>
      </c>
      <c r="C122">
        <f t="shared" si="6"/>
        <v>-0.17399999999999999</v>
      </c>
      <c r="D122">
        <f t="shared" si="6"/>
        <v>-3.66</v>
      </c>
      <c r="E122">
        <f t="shared" si="6"/>
        <v>21</v>
      </c>
      <c r="G122">
        <v>121</v>
      </c>
      <c r="H122" t="s">
        <v>33</v>
      </c>
      <c r="I122">
        <v>-0.17399999999999999</v>
      </c>
      <c r="J122">
        <v>-3.66</v>
      </c>
      <c r="K122">
        <v>21</v>
      </c>
    </row>
    <row r="123" spans="1:11">
      <c r="A123" t="str">
        <f t="shared" si="4"/>
        <v>Kevin Streelman</v>
      </c>
      <c r="B123">
        <f t="shared" si="5"/>
        <v>122</v>
      </c>
      <c r="C123">
        <f t="shared" si="6"/>
        <v>-0.17499999999999999</v>
      </c>
      <c r="D123">
        <f t="shared" si="6"/>
        <v>-2.4460000000000002</v>
      </c>
      <c r="E123">
        <f t="shared" si="6"/>
        <v>14</v>
      </c>
      <c r="G123">
        <v>122</v>
      </c>
      <c r="H123" t="s">
        <v>123</v>
      </c>
      <c r="I123">
        <v>-0.17499999999999999</v>
      </c>
      <c r="J123">
        <v>-2.4460000000000002</v>
      </c>
      <c r="K123">
        <v>14</v>
      </c>
    </row>
    <row r="124" spans="1:11">
      <c r="A124" t="str">
        <f t="shared" si="4"/>
        <v>Chesson Hadley</v>
      </c>
      <c r="B124">
        <f t="shared" si="5"/>
        <v>123</v>
      </c>
      <c r="C124">
        <f t="shared" si="6"/>
        <v>-0.19500000000000001</v>
      </c>
      <c r="D124">
        <f t="shared" si="6"/>
        <v>-4.0910000000000002</v>
      </c>
      <c r="E124">
        <f t="shared" si="6"/>
        <v>21</v>
      </c>
      <c r="G124">
        <v>123</v>
      </c>
      <c r="H124" t="s">
        <v>106</v>
      </c>
      <c r="I124">
        <v>-0.19500000000000001</v>
      </c>
      <c r="J124">
        <v>-4.0910000000000002</v>
      </c>
      <c r="K124">
        <v>21</v>
      </c>
    </row>
    <row r="125" spans="1:11">
      <c r="A125" t="str">
        <f t="shared" si="4"/>
        <v>Matti Schmid</v>
      </c>
      <c r="B125">
        <f t="shared" si="5"/>
        <v>124</v>
      </c>
      <c r="C125">
        <f t="shared" si="6"/>
        <v>-0.2</v>
      </c>
      <c r="D125">
        <f t="shared" si="6"/>
        <v>-5.0110000000000001</v>
      </c>
      <c r="E125">
        <f t="shared" si="6"/>
        <v>25</v>
      </c>
      <c r="G125">
        <v>124</v>
      </c>
      <c r="H125" t="s">
        <v>11</v>
      </c>
      <c r="I125">
        <v>-0.2</v>
      </c>
      <c r="J125">
        <v>-5.0110000000000001</v>
      </c>
      <c r="K125">
        <v>25</v>
      </c>
    </row>
    <row r="126" spans="1:11">
      <c r="A126" t="str">
        <f t="shared" si="4"/>
        <v>Mackenzie Hughes</v>
      </c>
      <c r="B126">
        <f t="shared" si="5"/>
        <v>125</v>
      </c>
      <c r="C126">
        <f t="shared" si="6"/>
        <v>-0.21199999999999999</v>
      </c>
      <c r="D126">
        <f t="shared" si="6"/>
        <v>-6.5739999999999998</v>
      </c>
      <c r="E126">
        <f t="shared" si="6"/>
        <v>31</v>
      </c>
      <c r="G126">
        <v>125</v>
      </c>
      <c r="H126" t="s">
        <v>104</v>
      </c>
      <c r="I126">
        <v>-0.21199999999999999</v>
      </c>
      <c r="J126">
        <v>-6.5739999999999998</v>
      </c>
      <c r="K126">
        <v>31</v>
      </c>
    </row>
    <row r="127" spans="1:11">
      <c r="A127" t="str">
        <f t="shared" si="4"/>
        <v>Maverick McNealy</v>
      </c>
      <c r="B127">
        <f t="shared" si="5"/>
        <v>126</v>
      </c>
      <c r="C127">
        <f t="shared" si="6"/>
        <v>-0.223</v>
      </c>
      <c r="D127">
        <f t="shared" si="6"/>
        <v>-7.3529999999999998</v>
      </c>
      <c r="E127">
        <f t="shared" si="6"/>
        <v>33</v>
      </c>
      <c r="G127">
        <v>126</v>
      </c>
      <c r="H127" t="s">
        <v>98</v>
      </c>
      <c r="I127">
        <v>-0.223</v>
      </c>
      <c r="J127">
        <v>-7.3529999999999998</v>
      </c>
      <c r="K127">
        <v>33</v>
      </c>
    </row>
    <row r="128" spans="1:11">
      <c r="A128" t="str">
        <f t="shared" si="4"/>
        <v>Bronson Burgoon</v>
      </c>
      <c r="B128">
        <f t="shared" si="5"/>
        <v>127</v>
      </c>
      <c r="C128">
        <f t="shared" si="6"/>
        <v>-0.22600000000000001</v>
      </c>
      <c r="D128">
        <f t="shared" si="6"/>
        <v>-3.3969999999999998</v>
      </c>
      <c r="E128">
        <f t="shared" si="6"/>
        <v>15</v>
      </c>
      <c r="G128">
        <v>127</v>
      </c>
      <c r="H128" t="s">
        <v>412</v>
      </c>
      <c r="I128">
        <v>-0.22600000000000001</v>
      </c>
      <c r="J128">
        <v>-3.3969999999999998</v>
      </c>
      <c r="K128">
        <v>15</v>
      </c>
    </row>
    <row r="129" spans="1:11">
      <c r="A129" t="str">
        <f t="shared" si="4"/>
        <v>Nick Dunlap</v>
      </c>
      <c r="B129">
        <f t="shared" si="5"/>
        <v>128</v>
      </c>
      <c r="C129">
        <f t="shared" si="6"/>
        <v>-0.23200000000000001</v>
      </c>
      <c r="D129">
        <f t="shared" si="6"/>
        <v>-4.1829999999999998</v>
      </c>
      <c r="E129">
        <f t="shared" si="6"/>
        <v>18</v>
      </c>
      <c r="G129">
        <v>128</v>
      </c>
      <c r="H129" t="s">
        <v>539</v>
      </c>
      <c r="I129">
        <v>-0.23200000000000001</v>
      </c>
      <c r="J129">
        <v>-4.1829999999999998</v>
      </c>
      <c r="K129">
        <v>18</v>
      </c>
    </row>
    <row r="130" spans="1:11">
      <c r="A130" t="str">
        <f t="shared" si="4"/>
        <v>Zach Johnson</v>
      </c>
      <c r="B130">
        <f t="shared" si="5"/>
        <v>129</v>
      </c>
      <c r="C130">
        <f t="shared" si="6"/>
        <v>-0.23499999999999999</v>
      </c>
      <c r="D130">
        <f t="shared" si="6"/>
        <v>-3.29</v>
      </c>
      <c r="E130">
        <f t="shared" si="6"/>
        <v>14</v>
      </c>
      <c r="G130">
        <v>129</v>
      </c>
      <c r="H130" t="s">
        <v>170</v>
      </c>
      <c r="I130">
        <v>-0.23499999999999999</v>
      </c>
      <c r="J130">
        <v>-3.29</v>
      </c>
      <c r="K130">
        <v>14</v>
      </c>
    </row>
    <row r="131" spans="1:11">
      <c r="A131" t="str">
        <f t="shared" ref="A131:A187" si="7">H131</f>
        <v>Davis Riley</v>
      </c>
      <c r="B131">
        <f t="shared" ref="B131:B187" si="8">G131</f>
        <v>130</v>
      </c>
      <c r="C131">
        <f t="shared" ref="C131:E187" si="9">I131</f>
        <v>-0.24099999999999999</v>
      </c>
      <c r="D131">
        <f t="shared" si="9"/>
        <v>-6.0279999999999996</v>
      </c>
      <c r="E131">
        <f t="shared" si="9"/>
        <v>25</v>
      </c>
      <c r="G131">
        <v>130</v>
      </c>
      <c r="H131" t="s">
        <v>55</v>
      </c>
      <c r="I131">
        <v>-0.24099999999999999</v>
      </c>
      <c r="J131">
        <v>-6.0279999999999996</v>
      </c>
      <c r="K131">
        <v>25</v>
      </c>
    </row>
    <row r="132" spans="1:11">
      <c r="A132" t="str">
        <f t="shared" si="7"/>
        <v>Carl Yuan</v>
      </c>
      <c r="B132">
        <f t="shared" si="8"/>
        <v>131</v>
      </c>
      <c r="C132">
        <f t="shared" si="9"/>
        <v>-0.248</v>
      </c>
      <c r="D132">
        <f t="shared" si="9"/>
        <v>-5.9569999999999999</v>
      </c>
      <c r="E132">
        <f t="shared" si="9"/>
        <v>24</v>
      </c>
      <c r="G132">
        <v>131</v>
      </c>
      <c r="H132" t="s">
        <v>48</v>
      </c>
      <c r="I132">
        <v>-0.248</v>
      </c>
      <c r="J132">
        <v>-5.9569999999999999</v>
      </c>
      <c r="K132">
        <v>24</v>
      </c>
    </row>
    <row r="133" spans="1:11">
      <c r="A133" t="str">
        <f t="shared" si="7"/>
        <v>Rickie Fowler</v>
      </c>
      <c r="B133">
        <f t="shared" si="8"/>
        <v>132</v>
      </c>
      <c r="C133">
        <f t="shared" si="9"/>
        <v>-0.249</v>
      </c>
      <c r="D133">
        <f t="shared" si="9"/>
        <v>-6.4790000000000001</v>
      </c>
      <c r="E133">
        <f t="shared" si="9"/>
        <v>26</v>
      </c>
      <c r="G133">
        <v>132</v>
      </c>
      <c r="H133" t="s">
        <v>44</v>
      </c>
      <c r="I133">
        <v>-0.249</v>
      </c>
      <c r="J133">
        <v>-6.4790000000000001</v>
      </c>
      <c r="K133">
        <v>26</v>
      </c>
    </row>
    <row r="134" spans="1:11">
      <c r="A134" t="str">
        <f t="shared" si="7"/>
        <v>Min Woo Lee</v>
      </c>
      <c r="B134">
        <f t="shared" si="8"/>
        <v>133</v>
      </c>
      <c r="C134">
        <f t="shared" si="9"/>
        <v>-0.253</v>
      </c>
      <c r="D134">
        <f t="shared" si="9"/>
        <v>-5.32</v>
      </c>
      <c r="E134">
        <f t="shared" si="9"/>
        <v>21</v>
      </c>
      <c r="G134">
        <v>133</v>
      </c>
      <c r="H134" t="s">
        <v>544</v>
      </c>
      <c r="I134">
        <v>-0.253</v>
      </c>
      <c r="J134">
        <v>-5.32</v>
      </c>
      <c r="K134">
        <v>21</v>
      </c>
    </row>
    <row r="135" spans="1:11">
      <c r="A135" t="str">
        <f t="shared" si="7"/>
        <v>Sungjae Im</v>
      </c>
      <c r="B135">
        <f t="shared" si="8"/>
        <v>134</v>
      </c>
      <c r="C135">
        <f t="shared" si="9"/>
        <v>-0.25600000000000001</v>
      </c>
      <c r="D135">
        <f t="shared" si="9"/>
        <v>-6.9029999999999996</v>
      </c>
      <c r="E135">
        <f t="shared" si="9"/>
        <v>27</v>
      </c>
      <c r="G135">
        <v>134</v>
      </c>
      <c r="H135" t="s">
        <v>113</v>
      </c>
      <c r="I135">
        <v>-0.25600000000000001</v>
      </c>
      <c r="J135">
        <v>-6.9029999999999996</v>
      </c>
      <c r="K135">
        <v>27</v>
      </c>
    </row>
    <row r="136" spans="1:11">
      <c r="A136" t="str">
        <f t="shared" si="7"/>
        <v>K.H. Lee</v>
      </c>
      <c r="B136">
        <f t="shared" si="8"/>
        <v>135</v>
      </c>
      <c r="C136">
        <f t="shared" si="9"/>
        <v>-0.25900000000000001</v>
      </c>
      <c r="D136">
        <f t="shared" si="9"/>
        <v>-6.4649999999999999</v>
      </c>
      <c r="E136">
        <f t="shared" si="9"/>
        <v>25</v>
      </c>
      <c r="G136">
        <v>135</v>
      </c>
      <c r="H136" t="s">
        <v>92</v>
      </c>
      <c r="I136">
        <v>-0.25900000000000001</v>
      </c>
      <c r="J136">
        <v>-6.4649999999999999</v>
      </c>
      <c r="K136">
        <v>25</v>
      </c>
    </row>
    <row r="137" spans="1:11">
      <c r="A137" t="str">
        <f t="shared" si="7"/>
        <v>Sam Stevens</v>
      </c>
      <c r="B137">
        <f t="shared" si="8"/>
        <v>136</v>
      </c>
      <c r="C137">
        <f t="shared" si="9"/>
        <v>-0.26900000000000002</v>
      </c>
      <c r="D137">
        <f t="shared" si="9"/>
        <v>-7.7930000000000001</v>
      </c>
      <c r="E137">
        <f t="shared" si="9"/>
        <v>29</v>
      </c>
      <c r="G137">
        <v>136</v>
      </c>
      <c r="H137" t="s">
        <v>30</v>
      </c>
      <c r="I137">
        <v>-0.26900000000000002</v>
      </c>
      <c r="J137">
        <v>-7.7930000000000001</v>
      </c>
      <c r="K137">
        <v>29</v>
      </c>
    </row>
    <row r="138" spans="1:11">
      <c r="A138" t="str">
        <f t="shared" si="7"/>
        <v>Sepp Straka</v>
      </c>
      <c r="B138">
        <f t="shared" si="8"/>
        <v>137</v>
      </c>
      <c r="C138">
        <f t="shared" si="9"/>
        <v>-0.27300000000000002</v>
      </c>
      <c r="D138">
        <f t="shared" si="9"/>
        <v>-5.7329999999999997</v>
      </c>
      <c r="E138">
        <f t="shared" si="9"/>
        <v>21</v>
      </c>
      <c r="G138">
        <v>137</v>
      </c>
      <c r="H138" t="s">
        <v>110</v>
      </c>
      <c r="I138">
        <v>-0.27300000000000002</v>
      </c>
      <c r="J138">
        <v>-5.7329999999999997</v>
      </c>
      <c r="K138">
        <v>21</v>
      </c>
    </row>
    <row r="139" spans="1:11">
      <c r="A139" t="str">
        <f t="shared" si="7"/>
        <v>Thomas Detry</v>
      </c>
      <c r="B139">
        <f t="shared" si="8"/>
        <v>138</v>
      </c>
      <c r="C139">
        <f t="shared" si="9"/>
        <v>-0.28399999999999997</v>
      </c>
      <c r="D139">
        <f t="shared" si="9"/>
        <v>-7.0880000000000001</v>
      </c>
      <c r="E139">
        <f t="shared" si="9"/>
        <v>25</v>
      </c>
      <c r="G139">
        <v>138</v>
      </c>
      <c r="H139" t="s">
        <v>46</v>
      </c>
      <c r="I139">
        <v>-0.28399999999999997</v>
      </c>
      <c r="J139">
        <v>-7.0880000000000001</v>
      </c>
      <c r="K139">
        <v>25</v>
      </c>
    </row>
    <row r="140" spans="1:11">
      <c r="A140" t="str">
        <f t="shared" si="7"/>
        <v>Matt NeSmith</v>
      </c>
      <c r="B140">
        <f t="shared" si="8"/>
        <v>139</v>
      </c>
      <c r="C140">
        <f t="shared" si="9"/>
        <v>-0.28599999999999998</v>
      </c>
      <c r="D140">
        <f t="shared" si="9"/>
        <v>-6.5739999999999998</v>
      </c>
      <c r="E140">
        <f t="shared" si="9"/>
        <v>23</v>
      </c>
      <c r="G140">
        <v>139</v>
      </c>
      <c r="H140" t="s">
        <v>443</v>
      </c>
      <c r="I140">
        <v>-0.28599999999999998</v>
      </c>
      <c r="J140">
        <v>-6.5739999999999998</v>
      </c>
      <c r="K140">
        <v>23</v>
      </c>
    </row>
    <row r="141" spans="1:11">
      <c r="A141" t="str">
        <f t="shared" si="7"/>
        <v>Rafael Campos</v>
      </c>
      <c r="B141">
        <f t="shared" si="8"/>
        <v>140</v>
      </c>
      <c r="C141">
        <f t="shared" si="9"/>
        <v>-0.28799999999999998</v>
      </c>
      <c r="D141">
        <f t="shared" si="9"/>
        <v>-3.7410000000000001</v>
      </c>
      <c r="E141">
        <f t="shared" si="9"/>
        <v>13</v>
      </c>
      <c r="G141">
        <v>140</v>
      </c>
      <c r="H141" t="s">
        <v>558</v>
      </c>
      <c r="I141">
        <v>-0.28799999999999998</v>
      </c>
      <c r="J141">
        <v>-3.7410000000000001</v>
      </c>
      <c r="K141">
        <v>13</v>
      </c>
    </row>
    <row r="142" spans="1:11">
      <c r="A142" t="str">
        <f t="shared" si="7"/>
        <v>Jason Day</v>
      </c>
      <c r="B142">
        <f t="shared" si="8"/>
        <v>141</v>
      </c>
      <c r="C142">
        <f t="shared" si="9"/>
        <v>-0.28899999999999998</v>
      </c>
      <c r="D142">
        <f t="shared" si="9"/>
        <v>-6.0670000000000002</v>
      </c>
      <c r="E142">
        <f t="shared" si="9"/>
        <v>21</v>
      </c>
      <c r="G142">
        <v>141</v>
      </c>
      <c r="H142" t="s">
        <v>68</v>
      </c>
      <c r="I142">
        <v>-0.28899999999999998</v>
      </c>
      <c r="J142">
        <v>-6.0670000000000002</v>
      </c>
      <c r="K142">
        <v>21</v>
      </c>
    </row>
    <row r="143" spans="1:11">
      <c r="A143" t="str">
        <f t="shared" si="7"/>
        <v>Taylor Montgomery</v>
      </c>
      <c r="B143">
        <f t="shared" si="8"/>
        <v>142</v>
      </c>
      <c r="C143">
        <f t="shared" si="9"/>
        <v>-0.28999999999999998</v>
      </c>
      <c r="D143">
        <f t="shared" si="9"/>
        <v>-8.1180000000000003</v>
      </c>
      <c r="E143">
        <f t="shared" si="9"/>
        <v>28</v>
      </c>
      <c r="G143">
        <v>142</v>
      </c>
      <c r="H143" t="s">
        <v>63</v>
      </c>
      <c r="I143">
        <v>-0.28999999999999998</v>
      </c>
      <c r="J143">
        <v>-8.1180000000000003</v>
      </c>
      <c r="K143">
        <v>28</v>
      </c>
    </row>
    <row r="144" spans="1:11">
      <c r="A144" t="str">
        <f t="shared" si="7"/>
        <v>Webb Simpson</v>
      </c>
      <c r="B144">
        <f t="shared" si="8"/>
        <v>142</v>
      </c>
      <c r="C144">
        <f t="shared" si="9"/>
        <v>-0.28999999999999998</v>
      </c>
      <c r="D144">
        <f t="shared" si="9"/>
        <v>-5.8049999999999997</v>
      </c>
      <c r="E144">
        <f t="shared" si="9"/>
        <v>20</v>
      </c>
      <c r="G144">
        <v>142</v>
      </c>
      <c r="H144" t="s">
        <v>102</v>
      </c>
      <c r="I144">
        <v>-0.28999999999999998</v>
      </c>
      <c r="J144">
        <v>-5.8049999999999997</v>
      </c>
      <c r="K144">
        <v>20</v>
      </c>
    </row>
    <row r="145" spans="1:11">
      <c r="A145" t="str">
        <f t="shared" si="7"/>
        <v>S.H. Kim</v>
      </c>
      <c r="B145">
        <f t="shared" si="8"/>
        <v>144</v>
      </c>
      <c r="C145">
        <f t="shared" si="9"/>
        <v>-0.30299999999999999</v>
      </c>
      <c r="D145">
        <f t="shared" si="9"/>
        <v>-9.9969999999999999</v>
      </c>
      <c r="E145">
        <f t="shared" si="9"/>
        <v>33</v>
      </c>
      <c r="G145">
        <v>144</v>
      </c>
      <c r="H145" t="s">
        <v>39</v>
      </c>
      <c r="I145">
        <v>-0.30299999999999999</v>
      </c>
      <c r="J145">
        <v>-9.9969999999999999</v>
      </c>
      <c r="K145">
        <v>33</v>
      </c>
    </row>
    <row r="146" spans="1:11">
      <c r="A146" t="str">
        <f t="shared" si="7"/>
        <v>Vince Whaley</v>
      </c>
      <c r="B146">
        <f t="shared" si="8"/>
        <v>145</v>
      </c>
      <c r="C146">
        <f t="shared" si="9"/>
        <v>-0.311</v>
      </c>
      <c r="D146">
        <f t="shared" si="9"/>
        <v>-5.2919999999999998</v>
      </c>
      <c r="E146">
        <f t="shared" si="9"/>
        <v>17</v>
      </c>
      <c r="G146">
        <v>145</v>
      </c>
      <c r="H146" t="s">
        <v>223</v>
      </c>
      <c r="I146">
        <v>-0.311</v>
      </c>
      <c r="J146">
        <v>-5.2919999999999998</v>
      </c>
      <c r="K146">
        <v>17</v>
      </c>
    </row>
    <row r="147" spans="1:11">
      <c r="A147" t="str">
        <f t="shared" si="7"/>
        <v>Garrick Higgo</v>
      </c>
      <c r="B147">
        <f t="shared" si="8"/>
        <v>146</v>
      </c>
      <c r="C147">
        <f t="shared" si="9"/>
        <v>-0.33600000000000002</v>
      </c>
      <c r="D147">
        <f t="shared" si="9"/>
        <v>-8.7469999999999999</v>
      </c>
      <c r="E147">
        <f t="shared" si="9"/>
        <v>26</v>
      </c>
      <c r="G147">
        <v>146</v>
      </c>
      <c r="H147" t="s">
        <v>32</v>
      </c>
      <c r="I147">
        <v>-0.33600000000000002</v>
      </c>
      <c r="J147">
        <v>-8.7469999999999999</v>
      </c>
      <c r="K147">
        <v>26</v>
      </c>
    </row>
    <row r="148" spans="1:11">
      <c r="A148" t="str">
        <f t="shared" si="7"/>
        <v>Beau Hossler</v>
      </c>
      <c r="B148">
        <f t="shared" si="8"/>
        <v>147</v>
      </c>
      <c r="C148">
        <f t="shared" si="9"/>
        <v>-0.34399999999999997</v>
      </c>
      <c r="D148">
        <f t="shared" si="9"/>
        <v>-9.9730000000000008</v>
      </c>
      <c r="E148">
        <f t="shared" si="9"/>
        <v>29</v>
      </c>
      <c r="G148">
        <v>147</v>
      </c>
      <c r="H148" t="s">
        <v>59</v>
      </c>
      <c r="I148">
        <v>-0.34399999999999997</v>
      </c>
      <c r="J148">
        <v>-9.9730000000000008</v>
      </c>
      <c r="K148">
        <v>29</v>
      </c>
    </row>
    <row r="149" spans="1:11">
      <c r="A149" t="str">
        <f t="shared" si="7"/>
        <v>Hayden Springer</v>
      </c>
      <c r="B149">
        <f t="shared" si="8"/>
        <v>147</v>
      </c>
      <c r="C149">
        <f t="shared" si="9"/>
        <v>-0.34399999999999997</v>
      </c>
      <c r="D149">
        <f t="shared" si="9"/>
        <v>-5.8520000000000003</v>
      </c>
      <c r="E149">
        <f t="shared" si="9"/>
        <v>17</v>
      </c>
      <c r="G149">
        <v>147</v>
      </c>
      <c r="H149" t="s">
        <v>557</v>
      </c>
      <c r="I149">
        <v>-0.34399999999999997</v>
      </c>
      <c r="J149">
        <v>-5.8520000000000003</v>
      </c>
      <c r="K149">
        <v>17</v>
      </c>
    </row>
    <row r="150" spans="1:11">
      <c r="A150" t="str">
        <f t="shared" si="7"/>
        <v>Patrick Cantlay</v>
      </c>
      <c r="B150">
        <f t="shared" si="8"/>
        <v>149</v>
      </c>
      <c r="C150">
        <f t="shared" si="9"/>
        <v>-0.35899999999999999</v>
      </c>
      <c r="D150">
        <f t="shared" si="9"/>
        <v>-7.5389999999999997</v>
      </c>
      <c r="E150">
        <f t="shared" si="9"/>
        <v>21</v>
      </c>
      <c r="G150">
        <v>149</v>
      </c>
      <c r="H150" t="s">
        <v>40</v>
      </c>
      <c r="I150">
        <v>-0.35899999999999999</v>
      </c>
      <c r="J150">
        <v>-7.5389999999999997</v>
      </c>
      <c r="K150">
        <v>21</v>
      </c>
    </row>
    <row r="151" spans="1:11">
      <c r="A151" t="str">
        <f t="shared" si="7"/>
        <v>Alexander Björk</v>
      </c>
      <c r="B151">
        <f t="shared" si="8"/>
        <v>150</v>
      </c>
      <c r="C151">
        <f t="shared" si="9"/>
        <v>-0.36199999999999999</v>
      </c>
      <c r="D151">
        <f t="shared" si="9"/>
        <v>-8.3249999999999993</v>
      </c>
      <c r="E151">
        <f t="shared" si="9"/>
        <v>23</v>
      </c>
      <c r="G151">
        <v>150</v>
      </c>
      <c r="H151" t="s">
        <v>491</v>
      </c>
      <c r="I151">
        <v>-0.36199999999999999</v>
      </c>
      <c r="J151">
        <v>-8.3249999999999993</v>
      </c>
      <c r="K151">
        <v>23</v>
      </c>
    </row>
    <row r="152" spans="1:11">
      <c r="A152" t="str">
        <f t="shared" si="7"/>
        <v>Josh Teater</v>
      </c>
      <c r="B152">
        <f t="shared" si="8"/>
        <v>151</v>
      </c>
      <c r="C152">
        <f t="shared" si="9"/>
        <v>-0.36899999999999999</v>
      </c>
      <c r="D152">
        <f t="shared" si="9"/>
        <v>-4.7919999999999998</v>
      </c>
      <c r="E152">
        <f t="shared" si="9"/>
        <v>13</v>
      </c>
      <c r="G152">
        <v>151</v>
      </c>
      <c r="H152" t="s">
        <v>444</v>
      </c>
      <c r="I152">
        <v>-0.36899999999999999</v>
      </c>
      <c r="J152">
        <v>-4.7919999999999998</v>
      </c>
      <c r="K152">
        <v>13</v>
      </c>
    </row>
    <row r="153" spans="1:11">
      <c r="A153" t="str">
        <f t="shared" si="7"/>
        <v>Chris Gotterup</v>
      </c>
      <c r="B153">
        <f t="shared" si="8"/>
        <v>152</v>
      </c>
      <c r="C153">
        <f t="shared" si="9"/>
        <v>-0.375</v>
      </c>
      <c r="D153">
        <f t="shared" si="9"/>
        <v>-7.5090000000000003</v>
      </c>
      <c r="E153">
        <f t="shared" si="9"/>
        <v>20</v>
      </c>
      <c r="G153">
        <v>152</v>
      </c>
      <c r="H153" t="s">
        <v>596</v>
      </c>
      <c r="I153">
        <v>-0.375</v>
      </c>
      <c r="J153">
        <v>-7.5090000000000003</v>
      </c>
      <c r="K153">
        <v>20</v>
      </c>
    </row>
    <row r="154" spans="1:11">
      <c r="A154" t="str">
        <f t="shared" si="7"/>
        <v>Adam Schenk</v>
      </c>
      <c r="B154">
        <f t="shared" si="8"/>
        <v>153</v>
      </c>
      <c r="C154">
        <f t="shared" si="9"/>
        <v>-0.41299999999999998</v>
      </c>
      <c r="D154">
        <f t="shared" si="9"/>
        <v>-13.625</v>
      </c>
      <c r="E154">
        <f t="shared" si="9"/>
        <v>33</v>
      </c>
      <c r="G154">
        <v>153</v>
      </c>
      <c r="H154" t="s">
        <v>56</v>
      </c>
      <c r="I154">
        <v>-0.41299999999999998</v>
      </c>
      <c r="J154">
        <v>-13.625</v>
      </c>
      <c r="K154">
        <v>33</v>
      </c>
    </row>
    <row r="155" spans="1:11">
      <c r="A155" t="str">
        <f t="shared" si="7"/>
        <v>Vincent Norrman</v>
      </c>
      <c r="B155">
        <f t="shared" si="8"/>
        <v>154</v>
      </c>
      <c r="C155">
        <f t="shared" si="9"/>
        <v>-0.41899999999999998</v>
      </c>
      <c r="D155">
        <f t="shared" si="9"/>
        <v>-11.3</v>
      </c>
      <c r="E155">
        <f t="shared" si="9"/>
        <v>27</v>
      </c>
      <c r="G155">
        <v>154</v>
      </c>
      <c r="H155" t="s">
        <v>13</v>
      </c>
      <c r="I155">
        <v>-0.41899999999999998</v>
      </c>
      <c r="J155">
        <v>-11.3</v>
      </c>
      <c r="K155">
        <v>27</v>
      </c>
    </row>
    <row r="156" spans="1:11">
      <c r="A156" t="str">
        <f t="shared" si="7"/>
        <v>Ryan McCormick</v>
      </c>
      <c r="B156">
        <f t="shared" si="8"/>
        <v>155</v>
      </c>
      <c r="C156">
        <f t="shared" si="9"/>
        <v>-0.45300000000000001</v>
      </c>
      <c r="D156">
        <f t="shared" si="9"/>
        <v>-5.8879999999999999</v>
      </c>
      <c r="E156">
        <f t="shared" si="9"/>
        <v>13</v>
      </c>
      <c r="G156">
        <v>155</v>
      </c>
      <c r="H156" t="s">
        <v>561</v>
      </c>
      <c r="I156">
        <v>-0.45300000000000001</v>
      </c>
      <c r="J156">
        <v>-5.8879999999999999</v>
      </c>
      <c r="K156">
        <v>13</v>
      </c>
    </row>
    <row r="157" spans="1:11">
      <c r="A157" t="str">
        <f t="shared" si="7"/>
        <v>Tyler Duncan</v>
      </c>
      <c r="B157">
        <f t="shared" si="8"/>
        <v>156</v>
      </c>
      <c r="C157">
        <f t="shared" si="9"/>
        <v>-0.45900000000000002</v>
      </c>
      <c r="D157">
        <f t="shared" si="9"/>
        <v>-10.548</v>
      </c>
      <c r="E157">
        <f t="shared" si="9"/>
        <v>23</v>
      </c>
      <c r="G157">
        <v>156</v>
      </c>
      <c r="H157" t="s">
        <v>116</v>
      </c>
      <c r="I157">
        <v>-0.45900000000000002</v>
      </c>
      <c r="J157">
        <v>-10.548</v>
      </c>
      <c r="K157">
        <v>23</v>
      </c>
    </row>
    <row r="158" spans="1:11">
      <c r="A158" t="str">
        <f t="shared" si="7"/>
        <v>Aaron Baddeley</v>
      </c>
      <c r="B158">
        <f t="shared" si="8"/>
        <v>157</v>
      </c>
      <c r="C158">
        <f t="shared" si="9"/>
        <v>-0.46400000000000002</v>
      </c>
      <c r="D158">
        <f t="shared" si="9"/>
        <v>-12.526999999999999</v>
      </c>
      <c r="E158">
        <f t="shared" si="9"/>
        <v>27</v>
      </c>
      <c r="G158">
        <v>157</v>
      </c>
      <c r="H158" t="s">
        <v>182</v>
      </c>
      <c r="I158">
        <v>-0.46400000000000002</v>
      </c>
      <c r="J158">
        <v>-12.526999999999999</v>
      </c>
      <c r="K158">
        <v>27</v>
      </c>
    </row>
    <row r="159" spans="1:11">
      <c r="A159" t="str">
        <f t="shared" si="7"/>
        <v>Jimmy Stanger</v>
      </c>
      <c r="B159">
        <f t="shared" si="8"/>
        <v>158</v>
      </c>
      <c r="C159">
        <f t="shared" si="9"/>
        <v>-0.46500000000000002</v>
      </c>
      <c r="D159">
        <f t="shared" si="9"/>
        <v>-8.8309999999999995</v>
      </c>
      <c r="E159">
        <f t="shared" si="9"/>
        <v>19</v>
      </c>
      <c r="G159">
        <v>158</v>
      </c>
      <c r="H159" t="s">
        <v>495</v>
      </c>
      <c r="I159">
        <v>-0.46500000000000002</v>
      </c>
      <c r="J159">
        <v>-8.8309999999999995</v>
      </c>
      <c r="K159">
        <v>19</v>
      </c>
    </row>
    <row r="160" spans="1:11">
      <c r="A160" t="str">
        <f t="shared" si="7"/>
        <v>Camilo Villegas</v>
      </c>
      <c r="B160">
        <f t="shared" si="8"/>
        <v>158</v>
      </c>
      <c r="C160">
        <f t="shared" si="9"/>
        <v>-0.46500000000000002</v>
      </c>
      <c r="D160">
        <f t="shared" si="9"/>
        <v>-7.9039999999999999</v>
      </c>
      <c r="E160">
        <f t="shared" si="9"/>
        <v>17</v>
      </c>
      <c r="G160">
        <v>158</v>
      </c>
      <c r="H160" t="s">
        <v>222</v>
      </c>
      <c r="I160">
        <v>-0.46500000000000002</v>
      </c>
      <c r="J160">
        <v>-7.9039999999999999</v>
      </c>
      <c r="K160">
        <v>17</v>
      </c>
    </row>
    <row r="161" spans="1:11">
      <c r="A161" t="str">
        <f t="shared" si="7"/>
        <v>Joe Highsmith</v>
      </c>
      <c r="B161">
        <f t="shared" si="8"/>
        <v>160</v>
      </c>
      <c r="C161">
        <f t="shared" si="9"/>
        <v>-0.46700000000000003</v>
      </c>
      <c r="D161">
        <f t="shared" si="9"/>
        <v>-8.8770000000000007</v>
      </c>
      <c r="E161">
        <f t="shared" si="9"/>
        <v>19</v>
      </c>
      <c r="G161">
        <v>160</v>
      </c>
      <c r="H161" t="s">
        <v>522</v>
      </c>
      <c r="I161">
        <v>-0.46700000000000003</v>
      </c>
      <c r="J161">
        <v>-8.8770000000000007</v>
      </c>
      <c r="K161">
        <v>19</v>
      </c>
    </row>
    <row r="162" spans="1:11">
      <c r="A162" t="str">
        <f t="shared" si="7"/>
        <v>Callum Tarren</v>
      </c>
      <c r="B162">
        <f t="shared" si="8"/>
        <v>161</v>
      </c>
      <c r="C162">
        <f t="shared" si="9"/>
        <v>-0.50600000000000001</v>
      </c>
      <c r="D162">
        <f t="shared" si="9"/>
        <v>-10.631</v>
      </c>
      <c r="E162">
        <f t="shared" si="9"/>
        <v>21</v>
      </c>
      <c r="G162">
        <v>161</v>
      </c>
      <c r="H162" t="s">
        <v>21</v>
      </c>
      <c r="I162">
        <v>-0.50600000000000001</v>
      </c>
      <c r="J162">
        <v>-10.631</v>
      </c>
      <c r="K162">
        <v>21</v>
      </c>
    </row>
    <row r="163" spans="1:11">
      <c r="A163" t="str">
        <f t="shared" si="7"/>
        <v>Harrison Endycott</v>
      </c>
      <c r="B163">
        <f t="shared" si="8"/>
        <v>162</v>
      </c>
      <c r="C163">
        <f t="shared" si="9"/>
        <v>-0.54200000000000004</v>
      </c>
      <c r="D163">
        <f t="shared" si="9"/>
        <v>-5.9640000000000004</v>
      </c>
      <c r="E163">
        <f t="shared" si="9"/>
        <v>11</v>
      </c>
      <c r="G163">
        <v>162</v>
      </c>
      <c r="H163" t="s">
        <v>160</v>
      </c>
      <c r="I163">
        <v>-0.54200000000000004</v>
      </c>
      <c r="J163">
        <v>-5.9640000000000004</v>
      </c>
      <c r="K163">
        <v>11</v>
      </c>
    </row>
    <row r="164" spans="1:11">
      <c r="A164" t="str">
        <f t="shared" si="7"/>
        <v>Nico Echavarria</v>
      </c>
      <c r="B164">
        <f t="shared" si="8"/>
        <v>163</v>
      </c>
      <c r="C164">
        <f t="shared" si="9"/>
        <v>-0.57799999999999996</v>
      </c>
      <c r="D164">
        <f t="shared" si="9"/>
        <v>-14.458</v>
      </c>
      <c r="E164">
        <f t="shared" si="9"/>
        <v>25</v>
      </c>
      <c r="G164">
        <v>163</v>
      </c>
      <c r="H164" t="s">
        <v>103</v>
      </c>
      <c r="I164">
        <v>-0.57799999999999996</v>
      </c>
      <c r="J164">
        <v>-14.458</v>
      </c>
      <c r="K164">
        <v>25</v>
      </c>
    </row>
    <row r="165" spans="1:11">
      <c r="A165" t="str">
        <f t="shared" si="7"/>
        <v>Ben Kohles</v>
      </c>
      <c r="B165">
        <f t="shared" si="8"/>
        <v>164</v>
      </c>
      <c r="C165">
        <f t="shared" si="9"/>
        <v>-0.58099999999999996</v>
      </c>
      <c r="D165">
        <f t="shared" si="9"/>
        <v>-10.461</v>
      </c>
      <c r="E165">
        <f t="shared" si="9"/>
        <v>18</v>
      </c>
      <c r="G165">
        <v>164</v>
      </c>
      <c r="H165" t="s">
        <v>419</v>
      </c>
      <c r="I165">
        <v>-0.58099999999999996</v>
      </c>
      <c r="J165">
        <v>-10.461</v>
      </c>
      <c r="K165">
        <v>18</v>
      </c>
    </row>
    <row r="166" spans="1:11">
      <c r="A166" t="str">
        <f t="shared" si="7"/>
        <v>Paul Barjon</v>
      </c>
      <c r="B166">
        <f t="shared" si="8"/>
        <v>165</v>
      </c>
      <c r="C166">
        <f t="shared" si="9"/>
        <v>-0.59399999999999997</v>
      </c>
      <c r="D166">
        <f t="shared" si="9"/>
        <v>-7.7220000000000004</v>
      </c>
      <c r="E166">
        <f t="shared" si="9"/>
        <v>13</v>
      </c>
      <c r="G166">
        <v>165</v>
      </c>
      <c r="H166" t="s">
        <v>401</v>
      </c>
      <c r="I166">
        <v>-0.59399999999999997</v>
      </c>
      <c r="J166">
        <v>-7.7220000000000004</v>
      </c>
      <c r="K166">
        <v>13</v>
      </c>
    </row>
    <row r="167" spans="1:11">
      <c r="A167" t="str">
        <f t="shared" si="7"/>
        <v>Tommy Fleetwood</v>
      </c>
      <c r="B167">
        <f t="shared" si="8"/>
        <v>165</v>
      </c>
      <c r="C167">
        <f t="shared" si="9"/>
        <v>-0.59399999999999997</v>
      </c>
      <c r="D167">
        <f t="shared" si="9"/>
        <v>-11.872999999999999</v>
      </c>
      <c r="E167">
        <f t="shared" si="9"/>
        <v>20</v>
      </c>
      <c r="G167">
        <v>165</v>
      </c>
      <c r="H167" t="s">
        <v>85</v>
      </c>
      <c r="I167">
        <v>-0.59399999999999997</v>
      </c>
      <c r="J167">
        <v>-11.872999999999999</v>
      </c>
      <c r="K167">
        <v>20</v>
      </c>
    </row>
    <row r="168" spans="1:11">
      <c r="A168" t="str">
        <f t="shared" si="7"/>
        <v>Hayden Buckley</v>
      </c>
      <c r="B168">
        <f t="shared" si="8"/>
        <v>167</v>
      </c>
      <c r="C168">
        <f t="shared" si="9"/>
        <v>-0.63400000000000001</v>
      </c>
      <c r="D168">
        <f t="shared" si="9"/>
        <v>-13.311</v>
      </c>
      <c r="E168">
        <f t="shared" si="9"/>
        <v>21</v>
      </c>
      <c r="G168">
        <v>167</v>
      </c>
      <c r="H168" t="s">
        <v>60</v>
      </c>
      <c r="I168">
        <v>-0.63400000000000001</v>
      </c>
      <c r="J168">
        <v>-13.311</v>
      </c>
      <c r="K168">
        <v>21</v>
      </c>
    </row>
    <row r="169" spans="1:11">
      <c r="A169" t="str">
        <f t="shared" si="7"/>
        <v>Ryan Brehm</v>
      </c>
      <c r="B169">
        <f t="shared" si="8"/>
        <v>168</v>
      </c>
      <c r="C169">
        <f t="shared" si="9"/>
        <v>-0.65900000000000003</v>
      </c>
      <c r="D169">
        <f t="shared" si="9"/>
        <v>-13.849</v>
      </c>
      <c r="E169">
        <f t="shared" si="9"/>
        <v>21</v>
      </c>
      <c r="G169">
        <v>168</v>
      </c>
      <c r="H169" t="s">
        <v>37</v>
      </c>
      <c r="I169">
        <v>-0.65900000000000003</v>
      </c>
      <c r="J169">
        <v>-13.849</v>
      </c>
      <c r="K169">
        <v>21</v>
      </c>
    </row>
    <row r="170" spans="1:11">
      <c r="A170" t="str">
        <f t="shared" si="7"/>
        <v>Raul Pereda</v>
      </c>
      <c r="B170">
        <f t="shared" si="8"/>
        <v>169</v>
      </c>
      <c r="C170">
        <f t="shared" si="9"/>
        <v>-0.69</v>
      </c>
      <c r="D170">
        <f t="shared" si="9"/>
        <v>-7.5919999999999996</v>
      </c>
      <c r="E170">
        <f t="shared" si="9"/>
        <v>11</v>
      </c>
      <c r="G170">
        <v>169</v>
      </c>
      <c r="H170" t="s">
        <v>564</v>
      </c>
      <c r="I170">
        <v>-0.69</v>
      </c>
      <c r="J170">
        <v>-7.5919999999999996</v>
      </c>
      <c r="K170">
        <v>11</v>
      </c>
    </row>
    <row r="171" spans="1:11">
      <c r="A171" t="str">
        <f t="shared" si="7"/>
        <v>Patrick Fishburn</v>
      </c>
      <c r="B171">
        <f t="shared" si="8"/>
        <v>170</v>
      </c>
      <c r="C171">
        <f t="shared" si="9"/>
        <v>-0.69399999999999995</v>
      </c>
      <c r="D171">
        <f t="shared" si="9"/>
        <v>-7.6319999999999997</v>
      </c>
      <c r="E171">
        <f t="shared" si="9"/>
        <v>11</v>
      </c>
      <c r="G171">
        <v>170</v>
      </c>
      <c r="H171" t="s">
        <v>556</v>
      </c>
      <c r="I171">
        <v>-0.69399999999999995</v>
      </c>
      <c r="J171">
        <v>-7.6319999999999997</v>
      </c>
      <c r="K171">
        <v>11</v>
      </c>
    </row>
    <row r="172" spans="1:11">
      <c r="A172" t="str">
        <f t="shared" si="7"/>
        <v>Wilson Furr</v>
      </c>
      <c r="B172">
        <f t="shared" si="8"/>
        <v>171</v>
      </c>
      <c r="C172">
        <f t="shared" si="9"/>
        <v>-0.70699999999999996</v>
      </c>
      <c r="D172">
        <f t="shared" si="9"/>
        <v>-9.1869999999999994</v>
      </c>
      <c r="E172">
        <f t="shared" si="9"/>
        <v>13</v>
      </c>
      <c r="G172">
        <v>171</v>
      </c>
      <c r="H172" t="s">
        <v>692</v>
      </c>
      <c r="I172">
        <v>-0.70699999999999996</v>
      </c>
      <c r="J172">
        <v>-9.1869999999999994</v>
      </c>
      <c r="K172">
        <v>13</v>
      </c>
    </row>
    <row r="173" spans="1:11">
      <c r="A173" t="str">
        <f t="shared" si="7"/>
        <v>Justin Rose</v>
      </c>
      <c r="B173">
        <f t="shared" si="8"/>
        <v>172</v>
      </c>
      <c r="C173">
        <f t="shared" si="9"/>
        <v>-0.71499999999999997</v>
      </c>
      <c r="D173">
        <f t="shared" si="9"/>
        <v>-15.025</v>
      </c>
      <c r="E173">
        <f t="shared" si="9"/>
        <v>21</v>
      </c>
      <c r="G173">
        <v>172</v>
      </c>
      <c r="H173" t="s">
        <v>143</v>
      </c>
      <c r="I173">
        <v>-0.71499999999999997</v>
      </c>
      <c r="J173">
        <v>-15.025</v>
      </c>
      <c r="K173">
        <v>21</v>
      </c>
    </row>
    <row r="174" spans="1:11">
      <c r="A174" t="str">
        <f t="shared" si="7"/>
        <v>Alejandro Tosti</v>
      </c>
      <c r="B174">
        <f t="shared" si="8"/>
        <v>173</v>
      </c>
      <c r="C174">
        <f t="shared" si="9"/>
        <v>-0.72199999999999998</v>
      </c>
      <c r="D174">
        <f t="shared" si="9"/>
        <v>-15.16</v>
      </c>
      <c r="E174">
        <f t="shared" si="9"/>
        <v>21</v>
      </c>
      <c r="G174">
        <v>173</v>
      </c>
      <c r="H174" t="s">
        <v>445</v>
      </c>
      <c r="I174">
        <v>-0.72199999999999998</v>
      </c>
      <c r="J174">
        <v>-15.16</v>
      </c>
      <c r="K174">
        <v>21</v>
      </c>
    </row>
    <row r="175" spans="1:11">
      <c r="A175" t="str">
        <f t="shared" si="7"/>
        <v>Adrien Dumont de Chassart</v>
      </c>
      <c r="B175">
        <f t="shared" si="8"/>
        <v>174</v>
      </c>
      <c r="C175">
        <f t="shared" si="9"/>
        <v>-0.77500000000000002</v>
      </c>
      <c r="D175">
        <f t="shared" si="9"/>
        <v>-16.285</v>
      </c>
      <c r="E175">
        <f t="shared" si="9"/>
        <v>21</v>
      </c>
      <c r="G175">
        <v>174</v>
      </c>
      <c r="H175" t="s">
        <v>486</v>
      </c>
      <c r="I175">
        <v>-0.77500000000000002</v>
      </c>
      <c r="J175">
        <v>-16.285</v>
      </c>
      <c r="K175">
        <v>21</v>
      </c>
    </row>
    <row r="176" spans="1:11">
      <c r="A176" t="str">
        <f t="shared" si="7"/>
        <v>Pierceson Coody</v>
      </c>
      <c r="B176">
        <f t="shared" si="8"/>
        <v>175</v>
      </c>
      <c r="C176">
        <f t="shared" si="9"/>
        <v>-0.79900000000000004</v>
      </c>
      <c r="D176">
        <f t="shared" si="9"/>
        <v>-11.981</v>
      </c>
      <c r="E176">
        <f t="shared" si="9"/>
        <v>15</v>
      </c>
      <c r="G176">
        <v>175</v>
      </c>
      <c r="H176" t="s">
        <v>490</v>
      </c>
      <c r="I176">
        <v>-0.79900000000000004</v>
      </c>
      <c r="J176">
        <v>-11.981</v>
      </c>
      <c r="K176">
        <v>15</v>
      </c>
    </row>
    <row r="177" spans="1:11">
      <c r="A177" t="str">
        <f t="shared" si="7"/>
        <v>Chad Ramey</v>
      </c>
      <c r="B177">
        <f t="shared" si="8"/>
        <v>176</v>
      </c>
      <c r="C177">
        <f t="shared" si="9"/>
        <v>-0.81899999999999995</v>
      </c>
      <c r="D177">
        <f t="shared" si="9"/>
        <v>-20.472000000000001</v>
      </c>
      <c r="E177">
        <f t="shared" si="9"/>
        <v>25</v>
      </c>
      <c r="G177">
        <v>176</v>
      </c>
      <c r="H177" t="s">
        <v>148</v>
      </c>
      <c r="I177">
        <v>-0.81899999999999995</v>
      </c>
      <c r="J177">
        <v>-20.472000000000001</v>
      </c>
      <c r="K177">
        <v>25</v>
      </c>
    </row>
    <row r="178" spans="1:11">
      <c r="A178" t="str">
        <f t="shared" si="7"/>
        <v>Trace Crowe</v>
      </c>
      <c r="B178">
        <f t="shared" si="8"/>
        <v>177</v>
      </c>
      <c r="C178">
        <f t="shared" si="9"/>
        <v>-0.83599999999999997</v>
      </c>
      <c r="D178">
        <f t="shared" si="9"/>
        <v>-10.032999999999999</v>
      </c>
      <c r="E178">
        <f t="shared" si="9"/>
        <v>12</v>
      </c>
      <c r="G178">
        <v>177</v>
      </c>
      <c r="H178" t="s">
        <v>559</v>
      </c>
      <c r="I178">
        <v>-0.83599999999999997</v>
      </c>
      <c r="J178">
        <v>-10.032999999999999</v>
      </c>
      <c r="K178">
        <v>12</v>
      </c>
    </row>
    <row r="179" spans="1:11">
      <c r="A179" t="str">
        <f t="shared" si="7"/>
        <v>Ben Taylor</v>
      </c>
      <c r="B179">
        <f t="shared" si="8"/>
        <v>178</v>
      </c>
      <c r="C179">
        <f t="shared" si="9"/>
        <v>-0.86</v>
      </c>
      <c r="D179">
        <f t="shared" si="9"/>
        <v>-16.349</v>
      </c>
      <c r="E179">
        <f t="shared" si="9"/>
        <v>19</v>
      </c>
      <c r="G179">
        <v>178</v>
      </c>
      <c r="H179" t="s">
        <v>71</v>
      </c>
      <c r="I179">
        <v>-0.86</v>
      </c>
      <c r="J179">
        <v>-16.349</v>
      </c>
      <c r="K179">
        <v>19</v>
      </c>
    </row>
    <row r="180" spans="1:11" ht="23.25" customHeight="1">
      <c r="A180" t="str">
        <f t="shared" si="7"/>
        <v>Cameron Champ</v>
      </c>
      <c r="B180">
        <f t="shared" si="8"/>
        <v>179</v>
      </c>
      <c r="C180">
        <f t="shared" si="9"/>
        <v>-0.86899999999999999</v>
      </c>
      <c r="D180">
        <f t="shared" si="9"/>
        <v>-18.244</v>
      </c>
      <c r="E180">
        <f t="shared" si="9"/>
        <v>21</v>
      </c>
      <c r="G180">
        <v>179</v>
      </c>
      <c r="H180" t="s">
        <v>8</v>
      </c>
      <c r="I180">
        <v>-0.86899999999999999</v>
      </c>
      <c r="J180">
        <v>-18.244</v>
      </c>
      <c r="K180">
        <v>21</v>
      </c>
    </row>
    <row r="181" spans="1:11">
      <c r="A181" t="str">
        <f t="shared" si="7"/>
        <v>Justin Suh</v>
      </c>
      <c r="B181">
        <f t="shared" si="8"/>
        <v>180</v>
      </c>
      <c r="C181">
        <f t="shared" si="9"/>
        <v>-0.94299999999999995</v>
      </c>
      <c r="D181">
        <f t="shared" si="9"/>
        <v>-19.803000000000001</v>
      </c>
      <c r="E181">
        <f t="shared" si="9"/>
        <v>21</v>
      </c>
      <c r="G181">
        <v>180</v>
      </c>
      <c r="H181" t="s">
        <v>109</v>
      </c>
      <c r="I181">
        <v>-0.94299999999999995</v>
      </c>
      <c r="J181">
        <v>-19.803000000000001</v>
      </c>
      <c r="K181">
        <v>21</v>
      </c>
    </row>
    <row r="182" spans="1:11">
      <c r="A182" t="str">
        <f t="shared" si="7"/>
        <v>Brandt Snedeker</v>
      </c>
      <c r="B182">
        <f t="shared" si="8"/>
        <v>181</v>
      </c>
      <c r="C182">
        <f t="shared" si="9"/>
        <v>-1.099</v>
      </c>
      <c r="D182">
        <f t="shared" si="9"/>
        <v>-20.888999999999999</v>
      </c>
      <c r="E182">
        <f t="shared" si="9"/>
        <v>19</v>
      </c>
      <c r="G182">
        <v>181</v>
      </c>
      <c r="H182" t="s">
        <v>247</v>
      </c>
      <c r="I182">
        <v>-1.099</v>
      </c>
      <c r="J182">
        <v>-20.888999999999999</v>
      </c>
      <c r="K182">
        <v>19</v>
      </c>
    </row>
    <row r="183" spans="1:11">
      <c r="A183" t="str">
        <f t="shared" si="7"/>
        <v>Matt Kuchar</v>
      </c>
      <c r="B183">
        <f t="shared" si="8"/>
        <v>182</v>
      </c>
      <c r="C183">
        <f t="shared" si="9"/>
        <v>-1.123</v>
      </c>
      <c r="D183">
        <f t="shared" si="9"/>
        <v>-20.21</v>
      </c>
      <c r="E183">
        <f t="shared" si="9"/>
        <v>18</v>
      </c>
      <c r="G183">
        <v>182</v>
      </c>
      <c r="H183" t="s">
        <v>144</v>
      </c>
      <c r="I183">
        <v>-1.123</v>
      </c>
      <c r="J183">
        <v>-20.21</v>
      </c>
      <c r="K183">
        <v>18</v>
      </c>
    </row>
    <row r="184" spans="1:11">
      <c r="A184" t="str">
        <f t="shared" si="7"/>
        <v>Norman Xiong</v>
      </c>
      <c r="B184">
        <f t="shared" si="8"/>
        <v>183</v>
      </c>
      <c r="C184">
        <f t="shared" si="9"/>
        <v>-1.462</v>
      </c>
      <c r="D184">
        <f t="shared" si="9"/>
        <v>-24.852</v>
      </c>
      <c r="E184">
        <f t="shared" si="9"/>
        <v>17</v>
      </c>
      <c r="G184">
        <v>183</v>
      </c>
      <c r="H184" t="s">
        <v>494</v>
      </c>
      <c r="I184">
        <v>-1.462</v>
      </c>
      <c r="J184">
        <v>-24.852</v>
      </c>
      <c r="K184">
        <v>17</v>
      </c>
    </row>
    <row r="185" spans="1:11">
      <c r="A185">
        <f t="shared" si="7"/>
        <v>0</v>
      </c>
      <c r="B185">
        <f t="shared" si="8"/>
        <v>0</v>
      </c>
      <c r="C185">
        <f t="shared" si="9"/>
        <v>0</v>
      </c>
      <c r="D185">
        <f t="shared" si="9"/>
        <v>0</v>
      </c>
      <c r="E185">
        <f t="shared" si="9"/>
        <v>0</v>
      </c>
    </row>
    <row r="186" spans="1:11">
      <c r="A186">
        <f t="shared" si="7"/>
        <v>0</v>
      </c>
      <c r="B186">
        <f t="shared" si="8"/>
        <v>0</v>
      </c>
      <c r="C186">
        <f t="shared" si="9"/>
        <v>0</v>
      </c>
      <c r="D186">
        <f t="shared" si="9"/>
        <v>0</v>
      </c>
      <c r="E186">
        <f t="shared" si="9"/>
        <v>0</v>
      </c>
    </row>
    <row r="187" spans="1:11">
      <c r="A187">
        <f t="shared" si="7"/>
        <v>0</v>
      </c>
      <c r="B187">
        <f t="shared" si="8"/>
        <v>0</v>
      </c>
      <c r="C187">
        <f t="shared" si="9"/>
        <v>0</v>
      </c>
      <c r="D187">
        <f t="shared" si="9"/>
        <v>0</v>
      </c>
      <c r="E187">
        <f t="shared" si="9"/>
        <v>0</v>
      </c>
    </row>
    <row r="188" spans="1:11">
      <c r="A188">
        <f t="shared" ref="A188:A203" si="10">H188</f>
        <v>0</v>
      </c>
      <c r="B188">
        <f t="shared" ref="B188:B203" si="11">G188</f>
        <v>0</v>
      </c>
      <c r="C188">
        <f t="shared" ref="C188:C203" si="12">I188</f>
        <v>0</v>
      </c>
      <c r="D188">
        <f t="shared" ref="D188:D203" si="13">J188</f>
        <v>0</v>
      </c>
      <c r="E188">
        <f t="shared" ref="E188:E203" si="14">K188</f>
        <v>0</v>
      </c>
    </row>
    <row r="189" spans="1:11">
      <c r="A189">
        <f t="shared" si="10"/>
        <v>0</v>
      </c>
      <c r="B189">
        <f t="shared" si="11"/>
        <v>0</v>
      </c>
      <c r="C189">
        <f t="shared" si="12"/>
        <v>0</v>
      </c>
      <c r="D189">
        <f t="shared" si="13"/>
        <v>0</v>
      </c>
      <c r="E189">
        <f t="shared" si="14"/>
        <v>0</v>
      </c>
    </row>
    <row r="190" spans="1:11">
      <c r="A190">
        <f t="shared" si="10"/>
        <v>0</v>
      </c>
      <c r="B190">
        <f t="shared" si="11"/>
        <v>0</v>
      </c>
      <c r="C190">
        <f t="shared" si="12"/>
        <v>0</v>
      </c>
      <c r="D190">
        <f t="shared" si="13"/>
        <v>0</v>
      </c>
      <c r="E190">
        <f t="shared" si="14"/>
        <v>0</v>
      </c>
    </row>
    <row r="191" spans="1:11">
      <c r="A191">
        <f t="shared" si="10"/>
        <v>0</v>
      </c>
      <c r="B191">
        <f t="shared" si="11"/>
        <v>0</v>
      </c>
      <c r="C191">
        <f t="shared" si="12"/>
        <v>0</v>
      </c>
      <c r="D191">
        <f t="shared" si="13"/>
        <v>0</v>
      </c>
      <c r="E191">
        <f t="shared" si="14"/>
        <v>0</v>
      </c>
    </row>
    <row r="192" spans="1:11">
      <c r="A192">
        <f t="shared" si="10"/>
        <v>0</v>
      </c>
      <c r="B192">
        <f t="shared" si="11"/>
        <v>0</v>
      </c>
      <c r="C192">
        <f t="shared" si="12"/>
        <v>0</v>
      </c>
      <c r="D192">
        <f t="shared" si="13"/>
        <v>0</v>
      </c>
      <c r="E192">
        <f t="shared" si="14"/>
        <v>0</v>
      </c>
    </row>
    <row r="193" spans="1:5">
      <c r="A193">
        <f t="shared" si="10"/>
        <v>0</v>
      </c>
      <c r="B193">
        <f t="shared" si="11"/>
        <v>0</v>
      </c>
      <c r="C193">
        <f t="shared" si="12"/>
        <v>0</v>
      </c>
      <c r="D193">
        <f t="shared" si="13"/>
        <v>0</v>
      </c>
      <c r="E193">
        <f t="shared" si="14"/>
        <v>0</v>
      </c>
    </row>
    <row r="194" spans="1:5">
      <c r="A194">
        <f t="shared" si="10"/>
        <v>0</v>
      </c>
      <c r="B194">
        <f t="shared" si="11"/>
        <v>0</v>
      </c>
      <c r="C194">
        <f t="shared" si="12"/>
        <v>0</v>
      </c>
      <c r="D194">
        <f t="shared" si="13"/>
        <v>0</v>
      </c>
      <c r="E194">
        <f t="shared" si="14"/>
        <v>0</v>
      </c>
    </row>
    <row r="195" spans="1:5">
      <c r="A195">
        <f t="shared" si="10"/>
        <v>0</v>
      </c>
      <c r="B195">
        <f t="shared" si="11"/>
        <v>0</v>
      </c>
      <c r="C195">
        <f t="shared" si="12"/>
        <v>0</v>
      </c>
      <c r="D195">
        <f t="shared" si="13"/>
        <v>0</v>
      </c>
      <c r="E195">
        <f t="shared" si="14"/>
        <v>0</v>
      </c>
    </row>
    <row r="196" spans="1:5">
      <c r="A196">
        <f t="shared" si="10"/>
        <v>0</v>
      </c>
      <c r="B196">
        <f t="shared" si="11"/>
        <v>0</v>
      </c>
      <c r="C196">
        <f t="shared" si="12"/>
        <v>0</v>
      </c>
      <c r="D196">
        <f t="shared" si="13"/>
        <v>0</v>
      </c>
      <c r="E196">
        <f t="shared" si="14"/>
        <v>0</v>
      </c>
    </row>
    <row r="197" spans="1:5">
      <c r="A197">
        <f t="shared" si="10"/>
        <v>0</v>
      </c>
      <c r="B197">
        <f t="shared" si="11"/>
        <v>0</v>
      </c>
      <c r="C197">
        <f t="shared" si="12"/>
        <v>0</v>
      </c>
      <c r="D197">
        <f t="shared" si="13"/>
        <v>0</v>
      </c>
      <c r="E197">
        <f t="shared" si="14"/>
        <v>0</v>
      </c>
    </row>
    <row r="198" spans="1:5">
      <c r="A198">
        <f t="shared" si="10"/>
        <v>0</v>
      </c>
      <c r="B198">
        <f t="shared" si="11"/>
        <v>0</v>
      </c>
      <c r="C198">
        <f t="shared" si="12"/>
        <v>0</v>
      </c>
      <c r="D198">
        <f t="shared" si="13"/>
        <v>0</v>
      </c>
      <c r="E198">
        <f t="shared" si="14"/>
        <v>0</v>
      </c>
    </row>
    <row r="199" spans="1:5">
      <c r="A199">
        <f t="shared" si="10"/>
        <v>0</v>
      </c>
      <c r="B199">
        <f t="shared" si="11"/>
        <v>0</v>
      </c>
      <c r="C199">
        <f t="shared" si="12"/>
        <v>0</v>
      </c>
      <c r="D199">
        <f t="shared" si="13"/>
        <v>0</v>
      </c>
      <c r="E199">
        <f t="shared" si="14"/>
        <v>0</v>
      </c>
    </row>
    <row r="200" spans="1:5">
      <c r="A200">
        <f t="shared" si="10"/>
        <v>0</v>
      </c>
      <c r="B200">
        <f t="shared" si="11"/>
        <v>0</v>
      </c>
      <c r="C200">
        <f t="shared" si="12"/>
        <v>0</v>
      </c>
      <c r="D200">
        <f t="shared" si="13"/>
        <v>0</v>
      </c>
      <c r="E200">
        <f t="shared" si="14"/>
        <v>0</v>
      </c>
    </row>
    <row r="201" spans="1:5">
      <c r="A201">
        <f t="shared" si="10"/>
        <v>0</v>
      </c>
      <c r="B201">
        <f t="shared" si="11"/>
        <v>0</v>
      </c>
      <c r="C201">
        <f t="shared" si="12"/>
        <v>0</v>
      </c>
      <c r="D201">
        <f t="shared" si="13"/>
        <v>0</v>
      </c>
      <c r="E201">
        <f t="shared" si="14"/>
        <v>0</v>
      </c>
    </row>
    <row r="202" spans="1:5">
      <c r="A202">
        <f t="shared" si="10"/>
        <v>0</v>
      </c>
      <c r="B202">
        <f t="shared" si="11"/>
        <v>0</v>
      </c>
      <c r="C202">
        <f t="shared" si="12"/>
        <v>0</v>
      </c>
      <c r="D202">
        <f t="shared" si="13"/>
        <v>0</v>
      </c>
      <c r="E202">
        <f t="shared" si="14"/>
        <v>0</v>
      </c>
    </row>
    <row r="203" spans="1:5">
      <c r="A203">
        <f t="shared" si="10"/>
        <v>0</v>
      </c>
      <c r="B203">
        <f t="shared" si="11"/>
        <v>0</v>
      </c>
      <c r="C203">
        <f t="shared" si="12"/>
        <v>0</v>
      </c>
      <c r="D203">
        <f t="shared" si="13"/>
        <v>0</v>
      </c>
      <c r="E203">
        <f t="shared" si="14"/>
        <v>0</v>
      </c>
    </row>
    <row r="204" spans="1:5">
      <c r="A204">
        <f>H204</f>
        <v>0</v>
      </c>
      <c r="B204">
        <f>G204</f>
        <v>0</v>
      </c>
      <c r="C204">
        <f t="shared" ref="C204:E205" si="15">I204</f>
        <v>0</v>
      </c>
      <c r="D204">
        <f t="shared" si="15"/>
        <v>0</v>
      </c>
      <c r="E204">
        <f t="shared" si="15"/>
        <v>0</v>
      </c>
    </row>
    <row r="205" spans="1:5">
      <c r="A205">
        <f>H205</f>
        <v>0</v>
      </c>
      <c r="B205">
        <f>G205</f>
        <v>0</v>
      </c>
      <c r="C205">
        <f t="shared" si="15"/>
        <v>0</v>
      </c>
      <c r="D205">
        <f t="shared" si="15"/>
        <v>0</v>
      </c>
      <c r="E205">
        <f t="shared" si="15"/>
        <v>0</v>
      </c>
    </row>
    <row r="206" spans="1:5">
      <c r="A206">
        <f t="shared" ref="A206:A233" si="16">H206</f>
        <v>0</v>
      </c>
      <c r="B206">
        <f t="shared" ref="B206:B233" si="17">G206</f>
        <v>0</v>
      </c>
      <c r="C206">
        <f t="shared" ref="C206:C233" si="18">I206</f>
        <v>0</v>
      </c>
      <c r="D206">
        <f t="shared" ref="D206:D233" si="19">J206</f>
        <v>0</v>
      </c>
      <c r="E206">
        <f t="shared" ref="E206:E233" si="20">K206</f>
        <v>0</v>
      </c>
    </row>
    <row r="207" spans="1:5">
      <c r="A207">
        <f t="shared" si="16"/>
        <v>0</v>
      </c>
      <c r="B207">
        <f t="shared" si="17"/>
        <v>0</v>
      </c>
      <c r="C207">
        <f t="shared" si="18"/>
        <v>0</v>
      </c>
      <c r="D207">
        <f t="shared" si="19"/>
        <v>0</v>
      </c>
      <c r="E207">
        <f t="shared" si="20"/>
        <v>0</v>
      </c>
    </row>
    <row r="208" spans="1:5">
      <c r="A208">
        <f t="shared" si="16"/>
        <v>0</v>
      </c>
      <c r="B208">
        <f t="shared" si="17"/>
        <v>0</v>
      </c>
      <c r="C208">
        <f t="shared" si="18"/>
        <v>0</v>
      </c>
      <c r="D208">
        <f t="shared" si="19"/>
        <v>0</v>
      </c>
      <c r="E208">
        <f t="shared" si="20"/>
        <v>0</v>
      </c>
    </row>
    <row r="209" spans="1:5" ht="23.25" customHeight="1">
      <c r="A209">
        <f t="shared" si="16"/>
        <v>0</v>
      </c>
      <c r="B209">
        <f t="shared" si="17"/>
        <v>0</v>
      </c>
      <c r="C209">
        <f t="shared" si="18"/>
        <v>0</v>
      </c>
      <c r="D209">
        <f t="shared" si="19"/>
        <v>0</v>
      </c>
      <c r="E209">
        <f t="shared" si="20"/>
        <v>0</v>
      </c>
    </row>
    <row r="210" spans="1:5">
      <c r="A210">
        <f t="shared" si="16"/>
        <v>0</v>
      </c>
      <c r="B210">
        <f t="shared" si="17"/>
        <v>0</v>
      </c>
      <c r="C210">
        <f t="shared" si="18"/>
        <v>0</v>
      </c>
      <c r="D210">
        <f t="shared" si="19"/>
        <v>0</v>
      </c>
      <c r="E210">
        <f t="shared" si="20"/>
        <v>0</v>
      </c>
    </row>
    <row r="211" spans="1:5">
      <c r="A211">
        <f t="shared" si="16"/>
        <v>0</v>
      </c>
      <c r="B211">
        <f t="shared" si="17"/>
        <v>0</v>
      </c>
      <c r="C211">
        <f t="shared" si="18"/>
        <v>0</v>
      </c>
      <c r="D211">
        <f t="shared" si="19"/>
        <v>0</v>
      </c>
      <c r="E211">
        <f t="shared" si="20"/>
        <v>0</v>
      </c>
    </row>
    <row r="212" spans="1:5">
      <c r="A212">
        <f t="shared" si="16"/>
        <v>0</v>
      </c>
      <c r="B212">
        <f t="shared" si="17"/>
        <v>0</v>
      </c>
      <c r="C212">
        <f t="shared" si="18"/>
        <v>0</v>
      </c>
      <c r="D212">
        <f t="shared" si="19"/>
        <v>0</v>
      </c>
      <c r="E212">
        <f t="shared" si="20"/>
        <v>0</v>
      </c>
    </row>
    <row r="213" spans="1:5">
      <c r="A213">
        <f t="shared" si="16"/>
        <v>0</v>
      </c>
      <c r="B213">
        <f t="shared" si="17"/>
        <v>0</v>
      </c>
      <c r="C213">
        <f t="shared" si="18"/>
        <v>0</v>
      </c>
      <c r="D213">
        <f t="shared" si="19"/>
        <v>0</v>
      </c>
      <c r="E213">
        <f t="shared" si="20"/>
        <v>0</v>
      </c>
    </row>
    <row r="214" spans="1:5">
      <c r="A214">
        <f t="shared" si="16"/>
        <v>0</v>
      </c>
      <c r="B214">
        <f t="shared" si="17"/>
        <v>0</v>
      </c>
      <c r="C214">
        <f t="shared" si="18"/>
        <v>0</v>
      </c>
      <c r="D214">
        <f t="shared" si="19"/>
        <v>0</v>
      </c>
      <c r="E214">
        <f t="shared" si="20"/>
        <v>0</v>
      </c>
    </row>
    <row r="215" spans="1:5">
      <c r="A215">
        <f t="shared" si="16"/>
        <v>0</v>
      </c>
      <c r="B215">
        <f t="shared" si="17"/>
        <v>0</v>
      </c>
      <c r="C215">
        <f t="shared" si="18"/>
        <v>0</v>
      </c>
      <c r="D215">
        <f t="shared" si="19"/>
        <v>0</v>
      </c>
      <c r="E215">
        <f t="shared" si="20"/>
        <v>0</v>
      </c>
    </row>
    <row r="216" spans="1:5">
      <c r="A216">
        <f t="shared" si="16"/>
        <v>0</v>
      </c>
      <c r="B216">
        <f t="shared" si="17"/>
        <v>0</v>
      </c>
      <c r="C216">
        <f t="shared" si="18"/>
        <v>0</v>
      </c>
      <c r="D216">
        <f t="shared" si="19"/>
        <v>0</v>
      </c>
      <c r="E216">
        <f t="shared" si="20"/>
        <v>0</v>
      </c>
    </row>
    <row r="217" spans="1:5" ht="23.25" customHeight="1">
      <c r="A217">
        <f t="shared" si="16"/>
        <v>0</v>
      </c>
      <c r="B217">
        <f t="shared" si="17"/>
        <v>0</v>
      </c>
      <c r="C217">
        <f t="shared" si="18"/>
        <v>0</v>
      </c>
      <c r="D217">
        <f t="shared" si="19"/>
        <v>0</v>
      </c>
      <c r="E217">
        <f t="shared" si="20"/>
        <v>0</v>
      </c>
    </row>
    <row r="218" spans="1:5">
      <c r="A218">
        <f t="shared" si="16"/>
        <v>0</v>
      </c>
      <c r="B218">
        <f t="shared" si="17"/>
        <v>0</v>
      </c>
      <c r="C218">
        <f t="shared" si="18"/>
        <v>0</v>
      </c>
      <c r="D218">
        <f t="shared" si="19"/>
        <v>0</v>
      </c>
      <c r="E218">
        <f t="shared" si="20"/>
        <v>0</v>
      </c>
    </row>
    <row r="219" spans="1:5">
      <c r="A219">
        <f t="shared" si="16"/>
        <v>0</v>
      </c>
      <c r="B219">
        <f t="shared" si="17"/>
        <v>0</v>
      </c>
      <c r="C219">
        <f t="shared" si="18"/>
        <v>0</v>
      </c>
      <c r="D219">
        <f t="shared" si="19"/>
        <v>0</v>
      </c>
      <c r="E219">
        <f t="shared" si="20"/>
        <v>0</v>
      </c>
    </row>
    <row r="220" spans="1:5">
      <c r="A220">
        <f t="shared" si="16"/>
        <v>0</v>
      </c>
      <c r="B220">
        <f t="shared" si="17"/>
        <v>0</v>
      </c>
      <c r="C220">
        <f t="shared" si="18"/>
        <v>0</v>
      </c>
      <c r="D220">
        <f t="shared" si="19"/>
        <v>0</v>
      </c>
      <c r="E220">
        <f t="shared" si="20"/>
        <v>0</v>
      </c>
    </row>
    <row r="221" spans="1:5">
      <c r="A221">
        <f t="shared" si="16"/>
        <v>0</v>
      </c>
      <c r="B221">
        <f t="shared" si="17"/>
        <v>0</v>
      </c>
      <c r="C221">
        <f t="shared" si="18"/>
        <v>0</v>
      </c>
      <c r="D221">
        <f t="shared" si="19"/>
        <v>0</v>
      </c>
      <c r="E221">
        <f t="shared" si="20"/>
        <v>0</v>
      </c>
    </row>
    <row r="222" spans="1:5">
      <c r="A222">
        <f t="shared" si="16"/>
        <v>0</v>
      </c>
      <c r="B222">
        <f t="shared" si="17"/>
        <v>0</v>
      </c>
      <c r="C222">
        <f t="shared" si="18"/>
        <v>0</v>
      </c>
      <c r="D222">
        <f t="shared" si="19"/>
        <v>0</v>
      </c>
      <c r="E222">
        <f t="shared" si="20"/>
        <v>0</v>
      </c>
    </row>
    <row r="223" spans="1:5">
      <c r="A223">
        <f t="shared" si="16"/>
        <v>0</v>
      </c>
      <c r="B223">
        <f t="shared" si="17"/>
        <v>0</v>
      </c>
      <c r="C223">
        <f t="shared" si="18"/>
        <v>0</v>
      </c>
      <c r="D223">
        <f t="shared" si="19"/>
        <v>0</v>
      </c>
      <c r="E223">
        <f t="shared" si="20"/>
        <v>0</v>
      </c>
    </row>
    <row r="224" spans="1:5">
      <c r="A224">
        <f t="shared" si="16"/>
        <v>0</v>
      </c>
      <c r="B224">
        <f t="shared" si="17"/>
        <v>0</v>
      </c>
      <c r="C224">
        <f t="shared" si="18"/>
        <v>0</v>
      </c>
      <c r="D224">
        <f t="shared" si="19"/>
        <v>0</v>
      </c>
      <c r="E224">
        <f t="shared" si="20"/>
        <v>0</v>
      </c>
    </row>
    <row r="225" spans="1:5">
      <c r="A225">
        <f t="shared" si="16"/>
        <v>0</v>
      </c>
      <c r="B225">
        <f t="shared" si="17"/>
        <v>0</v>
      </c>
      <c r="C225">
        <f t="shared" si="18"/>
        <v>0</v>
      </c>
      <c r="D225">
        <f t="shared" si="19"/>
        <v>0</v>
      </c>
      <c r="E225">
        <f t="shared" si="20"/>
        <v>0</v>
      </c>
    </row>
    <row r="226" spans="1:5">
      <c r="A226">
        <f t="shared" si="16"/>
        <v>0</v>
      </c>
      <c r="B226">
        <f t="shared" si="17"/>
        <v>0</v>
      </c>
      <c r="C226">
        <f t="shared" si="18"/>
        <v>0</v>
      </c>
      <c r="D226">
        <f t="shared" si="19"/>
        <v>0</v>
      </c>
      <c r="E226">
        <f t="shared" si="20"/>
        <v>0</v>
      </c>
    </row>
    <row r="227" spans="1:5">
      <c r="A227">
        <f t="shared" si="16"/>
        <v>0</v>
      </c>
      <c r="B227">
        <f t="shared" si="17"/>
        <v>0</v>
      </c>
      <c r="C227">
        <f t="shared" si="18"/>
        <v>0</v>
      </c>
      <c r="D227">
        <f t="shared" si="19"/>
        <v>0</v>
      </c>
      <c r="E227">
        <f t="shared" si="20"/>
        <v>0</v>
      </c>
    </row>
    <row r="228" spans="1:5">
      <c r="A228">
        <f t="shared" si="16"/>
        <v>0</v>
      </c>
      <c r="B228">
        <f t="shared" si="17"/>
        <v>0</v>
      </c>
      <c r="C228">
        <f t="shared" si="18"/>
        <v>0</v>
      </c>
      <c r="D228">
        <f t="shared" si="19"/>
        <v>0</v>
      </c>
      <c r="E228">
        <f t="shared" si="20"/>
        <v>0</v>
      </c>
    </row>
    <row r="229" spans="1:5">
      <c r="A229">
        <f t="shared" si="16"/>
        <v>0</v>
      </c>
      <c r="B229">
        <f t="shared" si="17"/>
        <v>0</v>
      </c>
      <c r="C229">
        <f t="shared" si="18"/>
        <v>0</v>
      </c>
      <c r="D229">
        <f t="shared" si="19"/>
        <v>0</v>
      </c>
      <c r="E229">
        <f t="shared" si="20"/>
        <v>0</v>
      </c>
    </row>
    <row r="230" spans="1:5">
      <c r="A230">
        <f t="shared" si="16"/>
        <v>0</v>
      </c>
      <c r="B230">
        <f t="shared" si="17"/>
        <v>0</v>
      </c>
      <c r="C230">
        <f t="shared" si="18"/>
        <v>0</v>
      </c>
      <c r="D230">
        <f t="shared" si="19"/>
        <v>0</v>
      </c>
      <c r="E230">
        <f t="shared" si="20"/>
        <v>0</v>
      </c>
    </row>
    <row r="231" spans="1:5">
      <c r="A231">
        <f t="shared" si="16"/>
        <v>0</v>
      </c>
      <c r="B231">
        <f t="shared" si="17"/>
        <v>0</v>
      </c>
      <c r="C231">
        <f t="shared" si="18"/>
        <v>0</v>
      </c>
      <c r="D231">
        <f t="shared" si="19"/>
        <v>0</v>
      </c>
      <c r="E231">
        <f t="shared" si="20"/>
        <v>0</v>
      </c>
    </row>
    <row r="232" spans="1:5">
      <c r="A232">
        <f t="shared" si="16"/>
        <v>0</v>
      </c>
      <c r="B232">
        <f t="shared" si="17"/>
        <v>0</v>
      </c>
      <c r="C232">
        <f t="shared" si="18"/>
        <v>0</v>
      </c>
      <c r="D232">
        <f t="shared" si="19"/>
        <v>0</v>
      </c>
      <c r="E232">
        <f t="shared" si="20"/>
        <v>0</v>
      </c>
    </row>
    <row r="233" spans="1:5">
      <c r="A233">
        <f t="shared" si="16"/>
        <v>0</v>
      </c>
      <c r="B233">
        <f t="shared" si="17"/>
        <v>0</v>
      </c>
      <c r="C233">
        <f t="shared" si="18"/>
        <v>0</v>
      </c>
      <c r="D233">
        <f t="shared" si="19"/>
        <v>0</v>
      </c>
      <c r="E233">
        <f t="shared" si="20"/>
        <v>0</v>
      </c>
    </row>
    <row r="234" spans="1:5">
      <c r="A234">
        <f t="shared" ref="A234:A247" si="21">H234</f>
        <v>0</v>
      </c>
      <c r="B234">
        <f t="shared" ref="B234:B247" si="22">G234</f>
        <v>0</v>
      </c>
      <c r="C234">
        <f t="shared" ref="C234:C247" si="23">I234</f>
        <v>0</v>
      </c>
      <c r="D234">
        <f t="shared" ref="D234:D247" si="24">J234</f>
        <v>0</v>
      </c>
      <c r="E234">
        <f t="shared" ref="E234:E247" si="25">K234</f>
        <v>0</v>
      </c>
    </row>
    <row r="235" spans="1:5">
      <c r="A235">
        <f t="shared" si="21"/>
        <v>0</v>
      </c>
      <c r="B235">
        <f t="shared" si="22"/>
        <v>0</v>
      </c>
      <c r="C235">
        <f t="shared" si="23"/>
        <v>0</v>
      </c>
      <c r="D235">
        <f t="shared" si="24"/>
        <v>0</v>
      </c>
      <c r="E235">
        <f t="shared" si="25"/>
        <v>0</v>
      </c>
    </row>
    <row r="236" spans="1:5">
      <c r="A236">
        <f t="shared" si="21"/>
        <v>0</v>
      </c>
      <c r="B236">
        <f t="shared" si="22"/>
        <v>0</v>
      </c>
      <c r="C236">
        <f t="shared" si="23"/>
        <v>0</v>
      </c>
      <c r="D236">
        <f t="shared" si="24"/>
        <v>0</v>
      </c>
      <c r="E236">
        <f t="shared" si="25"/>
        <v>0</v>
      </c>
    </row>
    <row r="237" spans="1:5">
      <c r="A237">
        <f t="shared" si="21"/>
        <v>0</v>
      </c>
      <c r="B237">
        <f t="shared" si="22"/>
        <v>0</v>
      </c>
      <c r="C237">
        <f t="shared" si="23"/>
        <v>0</v>
      </c>
      <c r="D237">
        <f t="shared" si="24"/>
        <v>0</v>
      </c>
      <c r="E237">
        <f t="shared" si="25"/>
        <v>0</v>
      </c>
    </row>
    <row r="238" spans="1:5">
      <c r="A238">
        <f t="shared" si="21"/>
        <v>0</v>
      </c>
      <c r="B238">
        <f t="shared" si="22"/>
        <v>0</v>
      </c>
      <c r="C238">
        <f t="shared" si="23"/>
        <v>0</v>
      </c>
      <c r="D238">
        <f t="shared" si="24"/>
        <v>0</v>
      </c>
      <c r="E238">
        <f t="shared" si="25"/>
        <v>0</v>
      </c>
    </row>
    <row r="239" spans="1:5">
      <c r="A239">
        <f t="shared" si="21"/>
        <v>0</v>
      </c>
      <c r="B239">
        <f t="shared" si="22"/>
        <v>0</v>
      </c>
      <c r="C239">
        <f t="shared" si="23"/>
        <v>0</v>
      </c>
      <c r="D239">
        <f t="shared" si="24"/>
        <v>0</v>
      </c>
      <c r="E239">
        <f t="shared" si="25"/>
        <v>0</v>
      </c>
    </row>
    <row r="240" spans="1:5">
      <c r="A240">
        <f t="shared" si="21"/>
        <v>0</v>
      </c>
      <c r="B240">
        <f t="shared" si="22"/>
        <v>0</v>
      </c>
      <c r="C240">
        <f t="shared" si="23"/>
        <v>0</v>
      </c>
      <c r="D240">
        <f t="shared" si="24"/>
        <v>0</v>
      </c>
      <c r="E240">
        <f t="shared" si="25"/>
        <v>0</v>
      </c>
    </row>
    <row r="241" spans="1:5">
      <c r="A241">
        <f t="shared" si="21"/>
        <v>0</v>
      </c>
      <c r="B241">
        <f t="shared" si="22"/>
        <v>0</v>
      </c>
      <c r="C241">
        <f t="shared" si="23"/>
        <v>0</v>
      </c>
      <c r="D241">
        <f t="shared" si="24"/>
        <v>0</v>
      </c>
      <c r="E241">
        <f t="shared" si="25"/>
        <v>0</v>
      </c>
    </row>
    <row r="242" spans="1:5">
      <c r="A242">
        <f t="shared" si="21"/>
        <v>0</v>
      </c>
      <c r="B242">
        <f t="shared" si="22"/>
        <v>0</v>
      </c>
      <c r="C242">
        <f t="shared" si="23"/>
        <v>0</v>
      </c>
      <c r="D242">
        <f t="shared" si="24"/>
        <v>0</v>
      </c>
      <c r="E242">
        <f t="shared" si="25"/>
        <v>0</v>
      </c>
    </row>
    <row r="243" spans="1:5">
      <c r="A243">
        <f t="shared" si="21"/>
        <v>0</v>
      </c>
      <c r="B243">
        <f t="shared" si="22"/>
        <v>0</v>
      </c>
      <c r="C243">
        <f t="shared" si="23"/>
        <v>0</v>
      </c>
      <c r="D243">
        <f t="shared" si="24"/>
        <v>0</v>
      </c>
      <c r="E243">
        <f t="shared" si="25"/>
        <v>0</v>
      </c>
    </row>
    <row r="244" spans="1:5">
      <c r="A244">
        <f t="shared" si="21"/>
        <v>0</v>
      </c>
      <c r="B244">
        <f t="shared" si="22"/>
        <v>0</v>
      </c>
      <c r="C244">
        <f t="shared" si="23"/>
        <v>0</v>
      </c>
      <c r="D244">
        <f t="shared" si="24"/>
        <v>0</v>
      </c>
      <c r="E244">
        <f t="shared" si="25"/>
        <v>0</v>
      </c>
    </row>
    <row r="245" spans="1:5">
      <c r="A245">
        <f t="shared" si="21"/>
        <v>0</v>
      </c>
      <c r="B245">
        <f t="shared" si="22"/>
        <v>0</v>
      </c>
      <c r="C245">
        <f t="shared" si="23"/>
        <v>0</v>
      </c>
      <c r="D245">
        <f t="shared" si="24"/>
        <v>0</v>
      </c>
      <c r="E245">
        <f t="shared" si="25"/>
        <v>0</v>
      </c>
    </row>
    <row r="246" spans="1:5">
      <c r="A246">
        <f t="shared" si="21"/>
        <v>0</v>
      </c>
      <c r="B246">
        <f t="shared" si="22"/>
        <v>0</v>
      </c>
      <c r="C246">
        <f t="shared" si="23"/>
        <v>0</v>
      </c>
      <c r="D246">
        <f t="shared" si="24"/>
        <v>0</v>
      </c>
      <c r="E246">
        <f t="shared" si="25"/>
        <v>0</v>
      </c>
    </row>
    <row r="247" spans="1:5">
      <c r="A247">
        <f t="shared" si="21"/>
        <v>0</v>
      </c>
      <c r="B247">
        <f t="shared" si="22"/>
        <v>0</v>
      </c>
      <c r="C247">
        <f t="shared" si="23"/>
        <v>0</v>
      </c>
      <c r="D247">
        <f t="shared" si="24"/>
        <v>0</v>
      </c>
      <c r="E247">
        <f t="shared" si="25"/>
        <v>0</v>
      </c>
    </row>
    <row r="248" spans="1:5">
      <c r="A248">
        <f t="shared" ref="A248:A258" si="26">H248</f>
        <v>0</v>
      </c>
      <c r="B248">
        <f t="shared" ref="B248:B258" si="27">G248</f>
        <v>0</v>
      </c>
      <c r="C248">
        <f t="shared" ref="C248:C258" si="28">I248</f>
        <v>0</v>
      </c>
      <c r="D248">
        <f t="shared" ref="D248:D258" si="29">J248</f>
        <v>0</v>
      </c>
      <c r="E248">
        <f t="shared" ref="E248:E258" si="30">K248</f>
        <v>0</v>
      </c>
    </row>
    <row r="249" spans="1:5">
      <c r="A249">
        <f t="shared" si="26"/>
        <v>0</v>
      </c>
      <c r="B249">
        <f t="shared" si="27"/>
        <v>0</v>
      </c>
      <c r="C249">
        <f t="shared" si="28"/>
        <v>0</v>
      </c>
      <c r="D249">
        <f t="shared" si="29"/>
        <v>0</v>
      </c>
      <c r="E249">
        <f t="shared" si="30"/>
        <v>0</v>
      </c>
    </row>
    <row r="250" spans="1:5">
      <c r="A250">
        <f t="shared" si="26"/>
        <v>0</v>
      </c>
      <c r="B250">
        <f t="shared" si="27"/>
        <v>0</v>
      </c>
      <c r="C250">
        <f t="shared" si="28"/>
        <v>0</v>
      </c>
      <c r="D250">
        <f t="shared" si="29"/>
        <v>0</v>
      </c>
      <c r="E250">
        <f t="shared" si="30"/>
        <v>0</v>
      </c>
    </row>
    <row r="251" spans="1:5">
      <c r="A251">
        <f t="shared" si="26"/>
        <v>0</v>
      </c>
      <c r="B251">
        <f t="shared" si="27"/>
        <v>0</v>
      </c>
      <c r="C251">
        <f t="shared" si="28"/>
        <v>0</v>
      </c>
      <c r="D251">
        <f t="shared" si="29"/>
        <v>0</v>
      </c>
      <c r="E251">
        <f t="shared" si="30"/>
        <v>0</v>
      </c>
    </row>
    <row r="252" spans="1:5">
      <c r="A252">
        <f t="shared" si="26"/>
        <v>0</v>
      </c>
      <c r="B252">
        <f t="shared" si="27"/>
        <v>0</v>
      </c>
      <c r="C252">
        <f t="shared" si="28"/>
        <v>0</v>
      </c>
      <c r="D252">
        <f t="shared" si="29"/>
        <v>0</v>
      </c>
      <c r="E252">
        <f t="shared" si="30"/>
        <v>0</v>
      </c>
    </row>
    <row r="253" spans="1:5">
      <c r="A253">
        <f t="shared" si="26"/>
        <v>0</v>
      </c>
      <c r="B253">
        <f t="shared" si="27"/>
        <v>0</v>
      </c>
      <c r="C253">
        <f t="shared" si="28"/>
        <v>0</v>
      </c>
      <c r="D253">
        <f t="shared" si="29"/>
        <v>0</v>
      </c>
      <c r="E253">
        <f t="shared" si="30"/>
        <v>0</v>
      </c>
    </row>
    <row r="254" spans="1:5">
      <c r="A254">
        <f t="shared" si="26"/>
        <v>0</v>
      </c>
      <c r="B254">
        <f t="shared" si="27"/>
        <v>0</v>
      </c>
      <c r="C254">
        <f t="shared" si="28"/>
        <v>0</v>
      </c>
      <c r="D254">
        <f t="shared" si="29"/>
        <v>0</v>
      </c>
      <c r="E254">
        <f t="shared" si="30"/>
        <v>0</v>
      </c>
    </row>
    <row r="255" spans="1:5">
      <c r="A255">
        <f t="shared" si="26"/>
        <v>0</v>
      </c>
      <c r="B255">
        <f t="shared" si="27"/>
        <v>0</v>
      </c>
      <c r="C255">
        <f t="shared" si="28"/>
        <v>0</v>
      </c>
      <c r="D255">
        <f t="shared" si="29"/>
        <v>0</v>
      </c>
      <c r="E255">
        <f t="shared" si="30"/>
        <v>0</v>
      </c>
    </row>
    <row r="256" spans="1:5">
      <c r="A256">
        <f t="shared" si="26"/>
        <v>0</v>
      </c>
      <c r="B256">
        <f t="shared" si="27"/>
        <v>0</v>
      </c>
      <c r="C256">
        <f t="shared" si="28"/>
        <v>0</v>
      </c>
      <c r="D256">
        <f t="shared" si="29"/>
        <v>0</v>
      </c>
      <c r="E256">
        <f t="shared" si="30"/>
        <v>0</v>
      </c>
    </row>
    <row r="257" spans="1:5">
      <c r="A257">
        <f t="shared" si="26"/>
        <v>0</v>
      </c>
      <c r="B257">
        <f t="shared" si="27"/>
        <v>0</v>
      </c>
      <c r="C257">
        <f t="shared" si="28"/>
        <v>0</v>
      </c>
      <c r="D257">
        <f t="shared" si="29"/>
        <v>0</v>
      </c>
      <c r="E257">
        <f t="shared" si="30"/>
        <v>0</v>
      </c>
    </row>
    <row r="258" spans="1:5">
      <c r="A258">
        <f t="shared" si="26"/>
        <v>0</v>
      </c>
      <c r="B258">
        <f t="shared" si="27"/>
        <v>0</v>
      </c>
      <c r="C258">
        <f t="shared" si="28"/>
        <v>0</v>
      </c>
      <c r="D258">
        <f t="shared" si="29"/>
        <v>0</v>
      </c>
      <c r="E258">
        <f t="shared" si="30"/>
        <v>0</v>
      </c>
    </row>
    <row r="272" spans="1:5" ht="23.25" customHeight="1"/>
    <row r="276" ht="23.25" customHeight="1"/>
    <row r="298" ht="23.25" customHeight="1"/>
  </sheetData>
  <autoFilter ref="A1:E1" xr:uid="{C1B07A03-ADF9-48FE-BE4B-8C28652C9139}"/>
  <mergeCells count="1">
    <mergeCell ref="G1:K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7C2F2-A4DF-4342-9D45-02C8D0C9C976}">
  <sheetPr codeName="Sheet11">
    <tabColor rgb="FF00B050"/>
  </sheetPr>
  <dimension ref="A1:K341"/>
  <sheetViews>
    <sheetView workbookViewId="0">
      <selection activeCell="G185" sqref="G185:K187"/>
    </sheetView>
  </sheetViews>
  <sheetFormatPr defaultRowHeight="15"/>
  <cols>
    <col min="1" max="1" width="23.140625" bestFit="1" customWidth="1"/>
    <col min="4" max="4" width="15" bestFit="1" customWidth="1"/>
    <col min="5" max="5" width="19.28515625" bestFit="1" customWidth="1"/>
    <col min="8" max="8" width="23.140625" bestFit="1" customWidth="1"/>
  </cols>
  <sheetData>
    <row r="1" spans="1:11">
      <c r="A1" s="1" t="s">
        <v>0</v>
      </c>
      <c r="B1" s="1" t="s">
        <v>1</v>
      </c>
      <c r="C1" s="1" t="s">
        <v>2</v>
      </c>
      <c r="D1" s="1" t="s">
        <v>258</v>
      </c>
      <c r="E1" s="1" t="s">
        <v>257</v>
      </c>
      <c r="G1" s="403" t="s">
        <v>5</v>
      </c>
      <c r="H1" s="403"/>
      <c r="I1" s="403"/>
      <c r="J1" s="403"/>
      <c r="K1" s="403"/>
    </row>
    <row r="2" spans="1:11">
      <c r="A2" t="str">
        <f>H2</f>
        <v>Hideki Matsuyama</v>
      </c>
      <c r="B2">
        <f>G2</f>
        <v>1</v>
      </c>
      <c r="C2">
        <f>I2</f>
        <v>0.71199999999999997</v>
      </c>
      <c r="D2">
        <f t="shared" ref="D2:E17" si="0">J2</f>
        <v>23.498000000000001</v>
      </c>
      <c r="E2">
        <f t="shared" si="0"/>
        <v>33</v>
      </c>
      <c r="G2">
        <v>1</v>
      </c>
      <c r="H2" t="s">
        <v>129</v>
      </c>
      <c r="I2">
        <v>0.71199999999999997</v>
      </c>
      <c r="J2">
        <v>23.498000000000001</v>
      </c>
      <c r="K2">
        <v>33</v>
      </c>
    </row>
    <row r="3" spans="1:11">
      <c r="A3" t="str">
        <f t="shared" ref="A3:A66" si="1">H3</f>
        <v>Roger Sloan</v>
      </c>
      <c r="B3">
        <f t="shared" ref="B3:B66" si="2">G3</f>
        <v>2</v>
      </c>
      <c r="C3">
        <f t="shared" ref="C3:E66" si="3">I3</f>
        <v>0.65600000000000003</v>
      </c>
      <c r="D3">
        <f t="shared" si="0"/>
        <v>8.5299999999999994</v>
      </c>
      <c r="E3">
        <f t="shared" si="0"/>
        <v>13</v>
      </c>
      <c r="G3">
        <v>2</v>
      </c>
      <c r="H3" t="s">
        <v>393</v>
      </c>
      <c r="I3">
        <v>0.65600000000000003</v>
      </c>
      <c r="J3">
        <v>8.5299999999999994</v>
      </c>
      <c r="K3">
        <v>13</v>
      </c>
    </row>
    <row r="4" spans="1:11">
      <c r="A4" t="str">
        <f t="shared" si="1"/>
        <v>Aaron Baddeley</v>
      </c>
      <c r="B4">
        <f t="shared" si="2"/>
        <v>3</v>
      </c>
      <c r="C4">
        <f t="shared" si="3"/>
        <v>0.64300000000000002</v>
      </c>
      <c r="D4">
        <f t="shared" si="0"/>
        <v>17.353999999999999</v>
      </c>
      <c r="E4">
        <f t="shared" si="0"/>
        <v>27</v>
      </c>
      <c r="G4">
        <v>3</v>
      </c>
      <c r="H4" t="s">
        <v>182</v>
      </c>
      <c r="I4">
        <v>0.64300000000000002</v>
      </c>
      <c r="J4">
        <v>17.353999999999999</v>
      </c>
      <c r="K4">
        <v>27</v>
      </c>
    </row>
    <row r="5" spans="1:11">
      <c r="A5" t="str">
        <f t="shared" si="1"/>
        <v>Mackenzie Hughes</v>
      </c>
      <c r="B5">
        <f t="shared" si="2"/>
        <v>4</v>
      </c>
      <c r="C5">
        <f t="shared" si="3"/>
        <v>0.61199999999999999</v>
      </c>
      <c r="D5">
        <f t="shared" si="0"/>
        <v>18.957999999999998</v>
      </c>
      <c r="E5">
        <f t="shared" si="0"/>
        <v>31</v>
      </c>
      <c r="G5">
        <v>4</v>
      </c>
      <c r="H5" t="s">
        <v>104</v>
      </c>
      <c r="I5">
        <v>0.61199999999999999</v>
      </c>
      <c r="J5">
        <v>18.957999999999998</v>
      </c>
      <c r="K5">
        <v>31</v>
      </c>
    </row>
    <row r="6" spans="1:11">
      <c r="A6" t="str">
        <f t="shared" si="1"/>
        <v>Scottie Scheffler</v>
      </c>
      <c r="B6">
        <f t="shared" si="2"/>
        <v>5</v>
      </c>
      <c r="C6">
        <f t="shared" si="3"/>
        <v>0.54700000000000004</v>
      </c>
      <c r="D6">
        <f t="shared" si="0"/>
        <v>14.228999999999999</v>
      </c>
      <c r="E6">
        <f t="shared" si="0"/>
        <v>26</v>
      </c>
      <c r="G6">
        <v>5</v>
      </c>
      <c r="H6" t="s">
        <v>35</v>
      </c>
      <c r="I6">
        <v>0.54700000000000004</v>
      </c>
      <c r="J6">
        <v>14.228999999999999</v>
      </c>
      <c r="K6">
        <v>26</v>
      </c>
    </row>
    <row r="7" spans="1:11">
      <c r="A7" t="str">
        <f t="shared" si="1"/>
        <v>Chez Reavie</v>
      </c>
      <c r="B7">
        <f t="shared" si="2"/>
        <v>6</v>
      </c>
      <c r="C7">
        <f t="shared" si="3"/>
        <v>0.53100000000000003</v>
      </c>
      <c r="D7">
        <f t="shared" si="0"/>
        <v>10.096</v>
      </c>
      <c r="E7">
        <f t="shared" si="0"/>
        <v>19</v>
      </c>
      <c r="G7">
        <v>6</v>
      </c>
      <c r="H7" t="s">
        <v>177</v>
      </c>
      <c r="I7">
        <v>0.53100000000000003</v>
      </c>
      <c r="J7">
        <v>10.096</v>
      </c>
      <c r="K7">
        <v>19</v>
      </c>
    </row>
    <row r="8" spans="1:11">
      <c r="A8" t="str">
        <f t="shared" si="1"/>
        <v>Lucas Glover</v>
      </c>
      <c r="B8">
        <f t="shared" si="2"/>
        <v>7</v>
      </c>
      <c r="C8">
        <f t="shared" si="3"/>
        <v>0.501</v>
      </c>
      <c r="D8">
        <f t="shared" si="0"/>
        <v>15.029</v>
      </c>
      <c r="E8">
        <f t="shared" si="0"/>
        <v>30</v>
      </c>
      <c r="G8">
        <v>7</v>
      </c>
      <c r="H8" t="s">
        <v>145</v>
      </c>
      <c r="I8">
        <v>0.501</v>
      </c>
      <c r="J8">
        <v>15.029</v>
      </c>
      <c r="K8">
        <v>30</v>
      </c>
    </row>
    <row r="9" spans="1:11">
      <c r="A9" t="str">
        <f t="shared" si="1"/>
        <v>Xander Schauffele</v>
      </c>
      <c r="B9">
        <f t="shared" si="2"/>
        <v>8</v>
      </c>
      <c r="C9">
        <f t="shared" si="3"/>
        <v>0.496</v>
      </c>
      <c r="D9">
        <f t="shared" si="0"/>
        <v>12.388999999999999</v>
      </c>
      <c r="E9">
        <f t="shared" si="0"/>
        <v>25</v>
      </c>
      <c r="G9">
        <v>8</v>
      </c>
      <c r="H9" t="s">
        <v>73</v>
      </c>
      <c r="I9">
        <v>0.496</v>
      </c>
      <c r="J9">
        <v>12.388999999999999</v>
      </c>
      <c r="K9">
        <v>25</v>
      </c>
    </row>
    <row r="10" spans="1:11">
      <c r="A10" t="str">
        <f t="shared" si="1"/>
        <v>Jason Day</v>
      </c>
      <c r="B10">
        <f t="shared" si="2"/>
        <v>9</v>
      </c>
      <c r="C10">
        <f t="shared" si="3"/>
        <v>0.47599999999999998</v>
      </c>
      <c r="D10">
        <f t="shared" si="0"/>
        <v>9.9930000000000003</v>
      </c>
      <c r="E10">
        <f t="shared" si="0"/>
        <v>21</v>
      </c>
      <c r="G10">
        <v>9</v>
      </c>
      <c r="H10" t="s">
        <v>68</v>
      </c>
      <c r="I10">
        <v>0.47599999999999998</v>
      </c>
      <c r="J10">
        <v>9.9930000000000003</v>
      </c>
      <c r="K10">
        <v>21</v>
      </c>
    </row>
    <row r="11" spans="1:11">
      <c r="A11" t="str">
        <f t="shared" si="1"/>
        <v>Josh Teater</v>
      </c>
      <c r="B11">
        <f t="shared" si="2"/>
        <v>10</v>
      </c>
      <c r="C11">
        <f t="shared" si="3"/>
        <v>0.47399999999999998</v>
      </c>
      <c r="D11">
        <f t="shared" si="0"/>
        <v>6.1680000000000001</v>
      </c>
      <c r="E11">
        <f t="shared" si="0"/>
        <v>13</v>
      </c>
      <c r="G11">
        <v>10</v>
      </c>
      <c r="H11" t="s">
        <v>444</v>
      </c>
      <c r="I11">
        <v>0.47399999999999998</v>
      </c>
      <c r="J11">
        <v>6.1680000000000001</v>
      </c>
      <c r="K11">
        <v>13</v>
      </c>
    </row>
    <row r="12" spans="1:11">
      <c r="A12" t="str">
        <f t="shared" si="1"/>
        <v>S.H. Kim</v>
      </c>
      <c r="B12">
        <f t="shared" si="2"/>
        <v>11</v>
      </c>
      <c r="C12">
        <f t="shared" si="3"/>
        <v>0.442</v>
      </c>
      <c r="D12">
        <f t="shared" si="0"/>
        <v>14.585000000000001</v>
      </c>
      <c r="E12">
        <f t="shared" si="0"/>
        <v>33</v>
      </c>
      <c r="G12">
        <v>11</v>
      </c>
      <c r="H12" t="s">
        <v>39</v>
      </c>
      <c r="I12">
        <v>0.442</v>
      </c>
      <c r="J12">
        <v>14.585000000000001</v>
      </c>
      <c r="K12">
        <v>33</v>
      </c>
    </row>
    <row r="13" spans="1:11">
      <c r="A13" t="str">
        <f t="shared" si="1"/>
        <v>Jorge Campillo</v>
      </c>
      <c r="B13">
        <f t="shared" si="2"/>
        <v>12</v>
      </c>
      <c r="C13">
        <f t="shared" si="3"/>
        <v>0.41199999999999998</v>
      </c>
      <c r="D13">
        <f t="shared" si="0"/>
        <v>6.59</v>
      </c>
      <c r="E13">
        <f t="shared" si="0"/>
        <v>16</v>
      </c>
      <c r="G13">
        <v>12</v>
      </c>
      <c r="H13" t="s">
        <v>693</v>
      </c>
      <c r="I13">
        <v>0.41199999999999998</v>
      </c>
      <c r="J13">
        <v>6.59</v>
      </c>
      <c r="K13">
        <v>16</v>
      </c>
    </row>
    <row r="14" spans="1:11">
      <c r="A14" t="str">
        <f t="shared" si="1"/>
        <v>Ben Griffin</v>
      </c>
      <c r="B14">
        <f t="shared" si="2"/>
        <v>13</v>
      </c>
      <c r="C14">
        <f t="shared" si="3"/>
        <v>0.39400000000000002</v>
      </c>
      <c r="D14">
        <f t="shared" si="0"/>
        <v>12.202</v>
      </c>
      <c r="E14">
        <f t="shared" si="0"/>
        <v>31</v>
      </c>
      <c r="G14">
        <v>13</v>
      </c>
      <c r="H14" t="s">
        <v>97</v>
      </c>
      <c r="I14">
        <v>0.39400000000000002</v>
      </c>
      <c r="J14">
        <v>12.202</v>
      </c>
      <c r="K14">
        <v>31</v>
      </c>
    </row>
    <row r="15" spans="1:11">
      <c r="A15" t="str">
        <f t="shared" si="1"/>
        <v>Wilson Furr</v>
      </c>
      <c r="B15">
        <f t="shared" si="2"/>
        <v>14</v>
      </c>
      <c r="C15">
        <f t="shared" si="3"/>
        <v>0.39100000000000001</v>
      </c>
      <c r="D15">
        <f t="shared" si="0"/>
        <v>5.077</v>
      </c>
      <c r="E15">
        <f t="shared" si="0"/>
        <v>13</v>
      </c>
      <c r="G15">
        <v>14</v>
      </c>
      <c r="H15" t="s">
        <v>692</v>
      </c>
      <c r="I15">
        <v>0.39100000000000001</v>
      </c>
      <c r="J15">
        <v>5.077</v>
      </c>
      <c r="K15">
        <v>13</v>
      </c>
    </row>
    <row r="16" spans="1:11" ht="23.25" customHeight="1">
      <c r="A16" t="str">
        <f t="shared" si="1"/>
        <v>Martin Laird</v>
      </c>
      <c r="B16">
        <f t="shared" si="2"/>
        <v>15</v>
      </c>
      <c r="C16">
        <f t="shared" si="3"/>
        <v>0.38800000000000001</v>
      </c>
      <c r="D16">
        <f t="shared" si="0"/>
        <v>8.92</v>
      </c>
      <c r="E16">
        <f t="shared" si="0"/>
        <v>23</v>
      </c>
      <c r="G16">
        <v>15</v>
      </c>
      <c r="H16" t="s">
        <v>161</v>
      </c>
      <c r="I16">
        <v>0.38800000000000001</v>
      </c>
      <c r="J16">
        <v>8.92</v>
      </c>
      <c r="K16">
        <v>23</v>
      </c>
    </row>
    <row r="17" spans="1:11">
      <c r="A17" t="str">
        <f t="shared" si="1"/>
        <v>Brendon Todd</v>
      </c>
      <c r="B17">
        <f t="shared" si="2"/>
        <v>16</v>
      </c>
      <c r="C17">
        <f t="shared" si="3"/>
        <v>0.374</v>
      </c>
      <c r="D17">
        <f t="shared" si="0"/>
        <v>12.705</v>
      </c>
      <c r="E17">
        <f t="shared" si="0"/>
        <v>34</v>
      </c>
      <c r="G17">
        <v>16</v>
      </c>
      <c r="H17" t="s">
        <v>188</v>
      </c>
      <c r="I17">
        <v>0.374</v>
      </c>
      <c r="J17">
        <v>12.705</v>
      </c>
      <c r="K17">
        <v>34</v>
      </c>
    </row>
    <row r="18" spans="1:11">
      <c r="A18" t="str">
        <f t="shared" si="1"/>
        <v>Si Woo Kim</v>
      </c>
      <c r="B18">
        <f t="shared" si="2"/>
        <v>17</v>
      </c>
      <c r="C18">
        <f t="shared" si="3"/>
        <v>0.36499999999999999</v>
      </c>
      <c r="D18">
        <f t="shared" si="3"/>
        <v>10.964</v>
      </c>
      <c r="E18">
        <f t="shared" si="3"/>
        <v>30</v>
      </c>
      <c r="G18">
        <v>17</v>
      </c>
      <c r="H18" t="s">
        <v>128</v>
      </c>
      <c r="I18">
        <v>0.36499999999999999</v>
      </c>
      <c r="J18">
        <v>10.964</v>
      </c>
      <c r="K18">
        <v>30</v>
      </c>
    </row>
    <row r="19" spans="1:11">
      <c r="A19" t="str">
        <f t="shared" si="1"/>
        <v>Alex Noren</v>
      </c>
      <c r="B19">
        <f t="shared" si="2"/>
        <v>18</v>
      </c>
      <c r="C19">
        <f t="shared" si="3"/>
        <v>0.36299999999999999</v>
      </c>
      <c r="D19">
        <f t="shared" si="3"/>
        <v>9.4380000000000006</v>
      </c>
      <c r="E19">
        <f t="shared" si="3"/>
        <v>26</v>
      </c>
      <c r="G19">
        <v>18</v>
      </c>
      <c r="H19" t="s">
        <v>95</v>
      </c>
      <c r="I19">
        <v>0.36299999999999999</v>
      </c>
      <c r="J19">
        <v>9.4380000000000006</v>
      </c>
      <c r="K19">
        <v>26</v>
      </c>
    </row>
    <row r="20" spans="1:11">
      <c r="A20" t="str">
        <f t="shared" si="1"/>
        <v>Robby Shelton</v>
      </c>
      <c r="B20">
        <f t="shared" si="2"/>
        <v>19</v>
      </c>
      <c r="C20">
        <f t="shared" si="3"/>
        <v>0.36099999999999999</v>
      </c>
      <c r="D20">
        <f t="shared" si="3"/>
        <v>10.475</v>
      </c>
      <c r="E20">
        <f t="shared" si="3"/>
        <v>29</v>
      </c>
      <c r="G20">
        <v>19</v>
      </c>
      <c r="H20" t="s">
        <v>149</v>
      </c>
      <c r="I20">
        <v>0.36099999999999999</v>
      </c>
      <c r="J20">
        <v>10.475</v>
      </c>
      <c r="K20">
        <v>29</v>
      </c>
    </row>
    <row r="21" spans="1:11">
      <c r="A21" t="str">
        <f t="shared" si="1"/>
        <v>Zac Blair</v>
      </c>
      <c r="B21">
        <f t="shared" si="2"/>
        <v>20</v>
      </c>
      <c r="C21">
        <f t="shared" si="3"/>
        <v>0.35799999999999998</v>
      </c>
      <c r="D21">
        <f t="shared" si="3"/>
        <v>8.2420000000000009</v>
      </c>
      <c r="E21">
        <f t="shared" si="3"/>
        <v>23</v>
      </c>
      <c r="G21">
        <v>20</v>
      </c>
      <c r="H21" t="s">
        <v>187</v>
      </c>
      <c r="I21">
        <v>0.35799999999999998</v>
      </c>
      <c r="J21">
        <v>8.2420000000000009</v>
      </c>
      <c r="K21">
        <v>23</v>
      </c>
    </row>
    <row r="22" spans="1:11">
      <c r="A22" t="str">
        <f t="shared" si="1"/>
        <v>Harry Hall</v>
      </c>
      <c r="B22">
        <f t="shared" si="2"/>
        <v>20</v>
      </c>
      <c r="C22">
        <f t="shared" si="3"/>
        <v>0.35799999999999998</v>
      </c>
      <c r="D22">
        <f t="shared" si="3"/>
        <v>10.369</v>
      </c>
      <c r="E22">
        <f t="shared" si="3"/>
        <v>29</v>
      </c>
      <c r="G22">
        <v>20</v>
      </c>
      <c r="H22" t="s">
        <v>108</v>
      </c>
      <c r="I22">
        <v>0.35799999999999998</v>
      </c>
      <c r="J22">
        <v>10.369</v>
      </c>
      <c r="K22">
        <v>29</v>
      </c>
    </row>
    <row r="23" spans="1:11">
      <c r="A23" t="str">
        <f t="shared" si="1"/>
        <v>Maverick McNealy</v>
      </c>
      <c r="B23">
        <f t="shared" si="2"/>
        <v>22</v>
      </c>
      <c r="C23">
        <f t="shared" si="3"/>
        <v>0.35199999999999998</v>
      </c>
      <c r="D23">
        <f t="shared" si="3"/>
        <v>11.615</v>
      </c>
      <c r="E23">
        <f t="shared" si="3"/>
        <v>33</v>
      </c>
      <c r="G23">
        <v>22</v>
      </c>
      <c r="H23" t="s">
        <v>98</v>
      </c>
      <c r="I23">
        <v>0.35199999999999998</v>
      </c>
      <c r="J23">
        <v>11.615</v>
      </c>
      <c r="K23">
        <v>33</v>
      </c>
    </row>
    <row r="24" spans="1:11">
      <c r="A24" t="str">
        <f t="shared" si="1"/>
        <v>Mac Meissner</v>
      </c>
      <c r="B24">
        <f t="shared" si="2"/>
        <v>23</v>
      </c>
      <c r="C24">
        <f t="shared" si="3"/>
        <v>0.33900000000000002</v>
      </c>
      <c r="D24">
        <f t="shared" si="3"/>
        <v>5.7619999999999996</v>
      </c>
      <c r="E24">
        <f t="shared" si="3"/>
        <v>17</v>
      </c>
      <c r="G24">
        <v>23</v>
      </c>
      <c r="H24" t="s">
        <v>560</v>
      </c>
      <c r="I24">
        <v>0.33900000000000002</v>
      </c>
      <c r="J24">
        <v>5.7619999999999996</v>
      </c>
      <c r="K24">
        <v>17</v>
      </c>
    </row>
    <row r="25" spans="1:11">
      <c r="A25" t="str">
        <f t="shared" si="1"/>
        <v>Tommy Fleetwood</v>
      </c>
      <c r="B25">
        <f t="shared" si="2"/>
        <v>24</v>
      </c>
      <c r="C25">
        <f t="shared" si="3"/>
        <v>0.33800000000000002</v>
      </c>
      <c r="D25">
        <f t="shared" si="3"/>
        <v>6.7519999999999998</v>
      </c>
      <c r="E25">
        <f t="shared" si="3"/>
        <v>20</v>
      </c>
      <c r="G25">
        <v>24</v>
      </c>
      <c r="H25" t="s">
        <v>85</v>
      </c>
      <c r="I25">
        <v>0.33800000000000002</v>
      </c>
      <c r="J25">
        <v>6.7519999999999998</v>
      </c>
      <c r="K25">
        <v>20</v>
      </c>
    </row>
    <row r="26" spans="1:11">
      <c r="A26" t="str">
        <f t="shared" si="1"/>
        <v>Andrew Novak</v>
      </c>
      <c r="B26">
        <f t="shared" si="2"/>
        <v>25</v>
      </c>
      <c r="C26">
        <f t="shared" si="3"/>
        <v>0.33700000000000002</v>
      </c>
      <c r="D26">
        <f t="shared" si="3"/>
        <v>9.7729999999999997</v>
      </c>
      <c r="E26">
        <f t="shared" si="3"/>
        <v>29</v>
      </c>
      <c r="G26">
        <v>25</v>
      </c>
      <c r="H26" t="s">
        <v>100</v>
      </c>
      <c r="I26">
        <v>0.33700000000000002</v>
      </c>
      <c r="J26">
        <v>9.7729999999999997</v>
      </c>
      <c r="K26">
        <v>29</v>
      </c>
    </row>
    <row r="27" spans="1:11">
      <c r="A27" t="str">
        <f t="shared" si="1"/>
        <v>Denny McCarthy</v>
      </c>
      <c r="B27">
        <f t="shared" si="2"/>
        <v>26</v>
      </c>
      <c r="C27">
        <f t="shared" si="3"/>
        <v>0.32800000000000001</v>
      </c>
      <c r="D27">
        <f t="shared" si="3"/>
        <v>10.489000000000001</v>
      </c>
      <c r="E27">
        <f t="shared" si="3"/>
        <v>32</v>
      </c>
      <c r="G27">
        <v>26</v>
      </c>
      <c r="H27" t="s">
        <v>140</v>
      </c>
      <c r="I27">
        <v>0.32800000000000001</v>
      </c>
      <c r="J27">
        <v>10.489000000000001</v>
      </c>
      <c r="K27">
        <v>32</v>
      </c>
    </row>
    <row r="28" spans="1:11">
      <c r="A28" t="str">
        <f t="shared" si="1"/>
        <v>Joe Highsmith</v>
      </c>
      <c r="B28">
        <f t="shared" si="2"/>
        <v>27</v>
      </c>
      <c r="C28">
        <f t="shared" si="3"/>
        <v>0.31900000000000001</v>
      </c>
      <c r="D28">
        <f t="shared" si="3"/>
        <v>6.0659999999999998</v>
      </c>
      <c r="E28">
        <f t="shared" si="3"/>
        <v>19</v>
      </c>
      <c r="G28">
        <v>27</v>
      </c>
      <c r="H28" t="s">
        <v>522</v>
      </c>
      <c r="I28">
        <v>0.31900000000000001</v>
      </c>
      <c r="J28">
        <v>6.0659999999999998</v>
      </c>
      <c r="K28">
        <v>19</v>
      </c>
    </row>
    <row r="29" spans="1:11" ht="18.75" customHeight="1">
      <c r="A29" t="str">
        <f t="shared" si="1"/>
        <v>Adam Schenk</v>
      </c>
      <c r="B29">
        <f t="shared" si="2"/>
        <v>28</v>
      </c>
      <c r="C29">
        <f t="shared" si="3"/>
        <v>0.31</v>
      </c>
      <c r="D29">
        <f t="shared" si="3"/>
        <v>10.239000000000001</v>
      </c>
      <c r="E29">
        <f t="shared" si="3"/>
        <v>33</v>
      </c>
      <c r="G29">
        <v>28</v>
      </c>
      <c r="H29" t="s">
        <v>56</v>
      </c>
      <c r="I29">
        <v>0.31</v>
      </c>
      <c r="J29">
        <v>10.239000000000001</v>
      </c>
      <c r="K29">
        <v>33</v>
      </c>
    </row>
    <row r="30" spans="1:11">
      <c r="A30" t="str">
        <f t="shared" si="1"/>
        <v>Davis Thompson</v>
      </c>
      <c r="B30">
        <f t="shared" si="2"/>
        <v>28</v>
      </c>
      <c r="C30">
        <f t="shared" si="3"/>
        <v>0.31</v>
      </c>
      <c r="D30">
        <f t="shared" si="3"/>
        <v>8.984</v>
      </c>
      <c r="E30">
        <f t="shared" si="3"/>
        <v>29</v>
      </c>
      <c r="G30">
        <v>28</v>
      </c>
      <c r="H30" t="s">
        <v>28</v>
      </c>
      <c r="I30">
        <v>0.31</v>
      </c>
      <c r="J30">
        <v>8.984</v>
      </c>
      <c r="K30">
        <v>29</v>
      </c>
    </row>
    <row r="31" spans="1:11">
      <c r="A31" t="str">
        <f t="shared" si="1"/>
        <v>Thorbjørn Olesen</v>
      </c>
      <c r="B31">
        <f t="shared" si="2"/>
        <v>30</v>
      </c>
      <c r="C31">
        <f t="shared" si="3"/>
        <v>0.29399999999999998</v>
      </c>
      <c r="D31">
        <f t="shared" si="3"/>
        <v>4.1109999999999998</v>
      </c>
      <c r="E31">
        <f t="shared" si="3"/>
        <v>14</v>
      </c>
      <c r="G31">
        <v>30</v>
      </c>
      <c r="H31" t="s">
        <v>795</v>
      </c>
      <c r="I31">
        <v>0.29399999999999998</v>
      </c>
      <c r="J31">
        <v>4.1109999999999998</v>
      </c>
      <c r="K31">
        <v>14</v>
      </c>
    </row>
    <row r="32" spans="1:11">
      <c r="A32" t="str">
        <f t="shared" si="1"/>
        <v>Taylor Moore</v>
      </c>
      <c r="B32">
        <f t="shared" si="2"/>
        <v>31</v>
      </c>
      <c r="C32">
        <f t="shared" si="3"/>
        <v>0.28999999999999998</v>
      </c>
      <c r="D32">
        <f t="shared" si="3"/>
        <v>9.5559999999999992</v>
      </c>
      <c r="E32">
        <f t="shared" si="3"/>
        <v>33</v>
      </c>
      <c r="G32">
        <v>31</v>
      </c>
      <c r="H32" t="s">
        <v>49</v>
      </c>
      <c r="I32">
        <v>0.28999999999999998</v>
      </c>
      <c r="J32">
        <v>9.5559999999999992</v>
      </c>
      <c r="K32">
        <v>33</v>
      </c>
    </row>
    <row r="33" spans="1:11">
      <c r="A33" t="str">
        <f t="shared" si="1"/>
        <v>Tony Finau</v>
      </c>
      <c r="B33">
        <f t="shared" si="2"/>
        <v>32</v>
      </c>
      <c r="C33">
        <f t="shared" si="3"/>
        <v>0.28799999999999998</v>
      </c>
      <c r="D33">
        <f t="shared" si="3"/>
        <v>7.7850000000000001</v>
      </c>
      <c r="E33">
        <f t="shared" si="3"/>
        <v>27</v>
      </c>
      <c r="G33">
        <v>32</v>
      </c>
      <c r="H33" t="s">
        <v>69</v>
      </c>
      <c r="I33">
        <v>0.28799999999999998</v>
      </c>
      <c r="J33">
        <v>7.7850000000000001</v>
      </c>
      <c r="K33">
        <v>27</v>
      </c>
    </row>
    <row r="34" spans="1:11">
      <c r="A34" t="str">
        <f t="shared" si="1"/>
        <v>Ryo Hisatsune</v>
      </c>
      <c r="B34">
        <f t="shared" si="2"/>
        <v>33</v>
      </c>
      <c r="C34">
        <f t="shared" si="3"/>
        <v>0.28699999999999998</v>
      </c>
      <c r="D34">
        <f t="shared" si="3"/>
        <v>7.1820000000000004</v>
      </c>
      <c r="E34">
        <f t="shared" si="3"/>
        <v>25</v>
      </c>
      <c r="G34">
        <v>33</v>
      </c>
      <c r="H34" t="s">
        <v>427</v>
      </c>
      <c r="I34">
        <v>0.28699999999999998</v>
      </c>
      <c r="J34">
        <v>7.1820000000000004</v>
      </c>
      <c r="K34">
        <v>25</v>
      </c>
    </row>
    <row r="35" spans="1:11">
      <c r="A35" t="str">
        <f t="shared" si="1"/>
        <v>Nate Lashley</v>
      </c>
      <c r="B35">
        <f t="shared" si="2"/>
        <v>34</v>
      </c>
      <c r="C35">
        <f t="shared" si="3"/>
        <v>0.28499999999999998</v>
      </c>
      <c r="D35">
        <f t="shared" si="3"/>
        <v>6.5540000000000003</v>
      </c>
      <c r="E35">
        <f t="shared" si="3"/>
        <v>23</v>
      </c>
      <c r="G35">
        <v>34</v>
      </c>
      <c r="H35" t="s">
        <v>122</v>
      </c>
      <c r="I35">
        <v>0.28499999999999998</v>
      </c>
      <c r="J35">
        <v>6.5540000000000003</v>
      </c>
      <c r="K35">
        <v>23</v>
      </c>
    </row>
    <row r="36" spans="1:11">
      <c r="A36" t="str">
        <f t="shared" si="1"/>
        <v>Stephan Jaeger</v>
      </c>
      <c r="B36">
        <f t="shared" si="2"/>
        <v>35</v>
      </c>
      <c r="C36">
        <f t="shared" si="3"/>
        <v>0.28299999999999997</v>
      </c>
      <c r="D36">
        <f t="shared" si="3"/>
        <v>7.0739999999999998</v>
      </c>
      <c r="E36">
        <f t="shared" si="3"/>
        <v>25</v>
      </c>
      <c r="G36">
        <v>35</v>
      </c>
      <c r="H36" t="s">
        <v>52</v>
      </c>
      <c r="I36">
        <v>0.28299999999999997</v>
      </c>
      <c r="J36">
        <v>7.0739999999999998</v>
      </c>
      <c r="K36">
        <v>25</v>
      </c>
    </row>
    <row r="37" spans="1:11">
      <c r="A37" t="str">
        <f t="shared" si="1"/>
        <v>Troy Merritt</v>
      </c>
      <c r="B37">
        <f t="shared" si="2"/>
        <v>35</v>
      </c>
      <c r="C37">
        <f t="shared" si="3"/>
        <v>0.28299999999999997</v>
      </c>
      <c r="D37">
        <f t="shared" si="3"/>
        <v>5.9429999999999996</v>
      </c>
      <c r="E37">
        <f t="shared" si="3"/>
        <v>21</v>
      </c>
      <c r="G37">
        <v>35</v>
      </c>
      <c r="H37" t="s">
        <v>156</v>
      </c>
      <c r="I37">
        <v>0.28299999999999997</v>
      </c>
      <c r="J37">
        <v>5.9429999999999996</v>
      </c>
      <c r="K37">
        <v>21</v>
      </c>
    </row>
    <row r="38" spans="1:11">
      <c r="A38" t="str">
        <f t="shared" si="1"/>
        <v>Chris Kirk</v>
      </c>
      <c r="B38">
        <f t="shared" si="2"/>
        <v>37</v>
      </c>
      <c r="C38">
        <f t="shared" si="3"/>
        <v>0.28199999999999997</v>
      </c>
      <c r="D38">
        <f t="shared" si="3"/>
        <v>6.7629999999999999</v>
      </c>
      <c r="E38">
        <f t="shared" si="3"/>
        <v>24</v>
      </c>
      <c r="G38">
        <v>37</v>
      </c>
      <c r="H38" t="s">
        <v>132</v>
      </c>
      <c r="I38">
        <v>0.28199999999999997</v>
      </c>
      <c r="J38">
        <v>6.7629999999999999</v>
      </c>
      <c r="K38">
        <v>24</v>
      </c>
    </row>
    <row r="39" spans="1:11">
      <c r="A39" t="str">
        <f t="shared" si="1"/>
        <v>Harris English</v>
      </c>
      <c r="B39">
        <f t="shared" si="2"/>
        <v>38</v>
      </c>
      <c r="C39">
        <f t="shared" si="3"/>
        <v>0.27600000000000002</v>
      </c>
      <c r="D39">
        <f t="shared" si="3"/>
        <v>8.5649999999999995</v>
      </c>
      <c r="E39">
        <f t="shared" si="3"/>
        <v>31</v>
      </c>
      <c r="G39">
        <v>38</v>
      </c>
      <c r="H39" t="s">
        <v>125</v>
      </c>
      <c r="I39">
        <v>0.27600000000000002</v>
      </c>
      <c r="J39">
        <v>8.5649999999999995</v>
      </c>
      <c r="K39">
        <v>31</v>
      </c>
    </row>
    <row r="40" spans="1:11">
      <c r="A40" t="str">
        <f t="shared" si="1"/>
        <v>Justin Thomas</v>
      </c>
      <c r="B40">
        <f t="shared" si="2"/>
        <v>39</v>
      </c>
      <c r="C40">
        <f t="shared" si="3"/>
        <v>0.27100000000000002</v>
      </c>
      <c r="D40">
        <f t="shared" si="3"/>
        <v>4.8730000000000002</v>
      </c>
      <c r="E40">
        <f t="shared" si="3"/>
        <v>18</v>
      </c>
      <c r="G40">
        <v>39</v>
      </c>
      <c r="H40" t="s">
        <v>42</v>
      </c>
      <c r="I40">
        <v>0.27100000000000002</v>
      </c>
      <c r="J40">
        <v>4.8730000000000002</v>
      </c>
      <c r="K40">
        <v>18</v>
      </c>
    </row>
    <row r="41" spans="1:11">
      <c r="A41" t="str">
        <f t="shared" si="1"/>
        <v>Russell Henley</v>
      </c>
      <c r="B41">
        <f t="shared" si="2"/>
        <v>40</v>
      </c>
      <c r="C41">
        <f t="shared" si="3"/>
        <v>0.26100000000000001</v>
      </c>
      <c r="D41">
        <f t="shared" si="3"/>
        <v>7.3179999999999996</v>
      </c>
      <c r="E41">
        <f t="shared" si="3"/>
        <v>28</v>
      </c>
      <c r="G41">
        <v>40</v>
      </c>
      <c r="H41" t="s">
        <v>166</v>
      </c>
      <c r="I41">
        <v>0.26100000000000001</v>
      </c>
      <c r="J41">
        <v>7.3179999999999996</v>
      </c>
      <c r="K41">
        <v>28</v>
      </c>
    </row>
    <row r="42" spans="1:11">
      <c r="A42" t="str">
        <f t="shared" si="1"/>
        <v>C.T. Pan</v>
      </c>
      <c r="B42">
        <f t="shared" si="2"/>
        <v>41</v>
      </c>
      <c r="C42">
        <f t="shared" si="3"/>
        <v>0.24299999999999999</v>
      </c>
      <c r="D42">
        <f t="shared" si="3"/>
        <v>5.8280000000000003</v>
      </c>
      <c r="E42">
        <f t="shared" si="3"/>
        <v>24</v>
      </c>
      <c r="G42">
        <v>41</v>
      </c>
      <c r="H42" t="s">
        <v>131</v>
      </c>
      <c r="I42">
        <v>0.24299999999999999</v>
      </c>
      <c r="J42">
        <v>5.8280000000000003</v>
      </c>
      <c r="K42">
        <v>24</v>
      </c>
    </row>
    <row r="43" spans="1:11">
      <c r="A43" t="str">
        <f t="shared" si="1"/>
        <v>K.H. Lee</v>
      </c>
      <c r="B43">
        <f t="shared" si="2"/>
        <v>42</v>
      </c>
      <c r="C43">
        <f t="shared" si="3"/>
        <v>0.23499999999999999</v>
      </c>
      <c r="D43">
        <f t="shared" si="3"/>
        <v>5.8860000000000001</v>
      </c>
      <c r="E43">
        <f t="shared" si="3"/>
        <v>25</v>
      </c>
      <c r="G43">
        <v>42</v>
      </c>
      <c r="H43" t="s">
        <v>92</v>
      </c>
      <c r="I43">
        <v>0.23499999999999999</v>
      </c>
      <c r="J43">
        <v>5.8860000000000001</v>
      </c>
      <c r="K43">
        <v>25</v>
      </c>
    </row>
    <row r="44" spans="1:11">
      <c r="A44" t="str">
        <f t="shared" si="1"/>
        <v>Matt Kuchar</v>
      </c>
      <c r="B44">
        <f t="shared" si="2"/>
        <v>43</v>
      </c>
      <c r="C44">
        <f t="shared" si="3"/>
        <v>0.22800000000000001</v>
      </c>
      <c r="D44">
        <f t="shared" si="3"/>
        <v>4.109</v>
      </c>
      <c r="E44">
        <f t="shared" si="3"/>
        <v>18</v>
      </c>
      <c r="G44">
        <v>43</v>
      </c>
      <c r="H44" t="s">
        <v>144</v>
      </c>
      <c r="I44">
        <v>0.22800000000000001</v>
      </c>
      <c r="J44">
        <v>4.109</v>
      </c>
      <c r="K44">
        <v>18</v>
      </c>
    </row>
    <row r="45" spans="1:11">
      <c r="A45" t="str">
        <f t="shared" si="1"/>
        <v>Carl Yuan</v>
      </c>
      <c r="B45">
        <f t="shared" si="2"/>
        <v>44</v>
      </c>
      <c r="C45">
        <f t="shared" si="3"/>
        <v>0.217</v>
      </c>
      <c r="D45">
        <f t="shared" si="3"/>
        <v>5.2110000000000003</v>
      </c>
      <c r="E45">
        <f t="shared" si="3"/>
        <v>24</v>
      </c>
      <c r="G45">
        <v>44</v>
      </c>
      <c r="H45" t="s">
        <v>48</v>
      </c>
      <c r="I45">
        <v>0.217</v>
      </c>
      <c r="J45">
        <v>5.2110000000000003</v>
      </c>
      <c r="K45">
        <v>24</v>
      </c>
    </row>
    <row r="46" spans="1:11">
      <c r="A46" t="str">
        <f t="shared" si="1"/>
        <v>Ben Silverman</v>
      </c>
      <c r="B46">
        <f t="shared" si="2"/>
        <v>45</v>
      </c>
      <c r="C46">
        <f t="shared" si="3"/>
        <v>0.216</v>
      </c>
      <c r="D46">
        <f t="shared" si="3"/>
        <v>5.8220000000000001</v>
      </c>
      <c r="E46">
        <f t="shared" si="3"/>
        <v>27</v>
      </c>
      <c r="G46">
        <v>45</v>
      </c>
      <c r="H46" t="s">
        <v>433</v>
      </c>
      <c r="I46">
        <v>0.216</v>
      </c>
      <c r="J46">
        <v>5.8220000000000001</v>
      </c>
      <c r="K46">
        <v>27</v>
      </c>
    </row>
    <row r="47" spans="1:11">
      <c r="A47" t="str">
        <f t="shared" si="1"/>
        <v>Webb Simpson</v>
      </c>
      <c r="B47">
        <f t="shared" si="2"/>
        <v>46</v>
      </c>
      <c r="C47">
        <f t="shared" si="3"/>
        <v>0.214</v>
      </c>
      <c r="D47">
        <f t="shared" si="3"/>
        <v>4.2889999999999997</v>
      </c>
      <c r="E47">
        <f t="shared" si="3"/>
        <v>20</v>
      </c>
      <c r="G47">
        <v>46</v>
      </c>
      <c r="H47" t="s">
        <v>102</v>
      </c>
      <c r="I47">
        <v>0.214</v>
      </c>
      <c r="J47">
        <v>4.2889999999999997</v>
      </c>
      <c r="K47">
        <v>20</v>
      </c>
    </row>
    <row r="48" spans="1:11">
      <c r="A48" t="str">
        <f t="shared" si="1"/>
        <v>Andrew Putnam</v>
      </c>
      <c r="B48">
        <f t="shared" si="2"/>
        <v>47</v>
      </c>
      <c r="C48">
        <f t="shared" si="3"/>
        <v>0.20599999999999999</v>
      </c>
      <c r="D48">
        <f t="shared" si="3"/>
        <v>6.1890000000000001</v>
      </c>
      <c r="E48">
        <f t="shared" si="3"/>
        <v>30</v>
      </c>
      <c r="G48">
        <v>47</v>
      </c>
      <c r="H48" t="s">
        <v>183</v>
      </c>
      <c r="I48">
        <v>0.20599999999999999</v>
      </c>
      <c r="J48">
        <v>6.1890000000000001</v>
      </c>
      <c r="K48">
        <v>30</v>
      </c>
    </row>
    <row r="49" spans="1:11">
      <c r="A49" t="str">
        <f t="shared" si="1"/>
        <v>Max Homa</v>
      </c>
      <c r="B49">
        <f t="shared" si="2"/>
        <v>48</v>
      </c>
      <c r="C49">
        <f t="shared" si="3"/>
        <v>0.2</v>
      </c>
      <c r="D49">
        <f t="shared" si="3"/>
        <v>5.4039999999999999</v>
      </c>
      <c r="E49">
        <f t="shared" si="3"/>
        <v>27</v>
      </c>
      <c r="G49">
        <v>48</v>
      </c>
      <c r="H49" t="s">
        <v>66</v>
      </c>
      <c r="I49">
        <v>0.2</v>
      </c>
      <c r="J49">
        <v>5.4039999999999999</v>
      </c>
      <c r="K49">
        <v>27</v>
      </c>
    </row>
    <row r="50" spans="1:11">
      <c r="A50" t="str">
        <f t="shared" si="1"/>
        <v>Beau Hossler</v>
      </c>
      <c r="B50">
        <f t="shared" si="2"/>
        <v>48</v>
      </c>
      <c r="C50">
        <f t="shared" si="3"/>
        <v>0.2</v>
      </c>
      <c r="D50">
        <f t="shared" si="3"/>
        <v>5.79</v>
      </c>
      <c r="E50">
        <f t="shared" si="3"/>
        <v>29</v>
      </c>
      <c r="G50">
        <v>48</v>
      </c>
      <c r="H50" t="s">
        <v>59</v>
      </c>
      <c r="I50">
        <v>0.2</v>
      </c>
      <c r="J50">
        <v>5.79</v>
      </c>
      <c r="K50">
        <v>29</v>
      </c>
    </row>
    <row r="51" spans="1:11">
      <c r="A51" t="str">
        <f t="shared" si="1"/>
        <v>J.T. Poston</v>
      </c>
      <c r="B51">
        <f t="shared" si="2"/>
        <v>50</v>
      </c>
      <c r="C51">
        <f t="shared" si="3"/>
        <v>0.19500000000000001</v>
      </c>
      <c r="D51">
        <f t="shared" si="3"/>
        <v>5.47</v>
      </c>
      <c r="E51">
        <f t="shared" si="3"/>
        <v>28</v>
      </c>
      <c r="G51">
        <v>50</v>
      </c>
      <c r="H51" t="s">
        <v>126</v>
      </c>
      <c r="I51">
        <v>0.19500000000000001</v>
      </c>
      <c r="J51">
        <v>5.47</v>
      </c>
      <c r="K51">
        <v>28</v>
      </c>
    </row>
    <row r="52" spans="1:11">
      <c r="A52" t="str">
        <f t="shared" si="1"/>
        <v>Taylor Montgomery</v>
      </c>
      <c r="B52">
        <f t="shared" si="2"/>
        <v>51</v>
      </c>
      <c r="C52">
        <f t="shared" si="3"/>
        <v>0.186</v>
      </c>
      <c r="D52">
        <f t="shared" si="3"/>
        <v>5.2210000000000001</v>
      </c>
      <c r="E52">
        <f t="shared" si="3"/>
        <v>28</v>
      </c>
      <c r="G52">
        <v>51</v>
      </c>
      <c r="H52" t="s">
        <v>63</v>
      </c>
      <c r="I52">
        <v>0.186</v>
      </c>
      <c r="J52">
        <v>5.2210000000000001</v>
      </c>
      <c r="K52">
        <v>28</v>
      </c>
    </row>
    <row r="53" spans="1:11">
      <c r="A53" t="str">
        <f t="shared" si="1"/>
        <v>Scott Stallings</v>
      </c>
      <c r="B53">
        <f t="shared" si="2"/>
        <v>52</v>
      </c>
      <c r="C53">
        <f t="shared" si="3"/>
        <v>0.182</v>
      </c>
      <c r="D53">
        <f t="shared" si="3"/>
        <v>3.649</v>
      </c>
      <c r="E53">
        <f t="shared" si="3"/>
        <v>20</v>
      </c>
      <c r="G53">
        <v>52</v>
      </c>
      <c r="H53" t="s">
        <v>89</v>
      </c>
      <c r="I53">
        <v>0.182</v>
      </c>
      <c r="J53">
        <v>3.649</v>
      </c>
      <c r="K53">
        <v>20</v>
      </c>
    </row>
    <row r="54" spans="1:11">
      <c r="A54" t="str">
        <f t="shared" si="1"/>
        <v>Collin Morikawa</v>
      </c>
      <c r="B54">
        <f t="shared" si="2"/>
        <v>53</v>
      </c>
      <c r="C54">
        <f t="shared" si="3"/>
        <v>0.16800000000000001</v>
      </c>
      <c r="D54">
        <f t="shared" si="3"/>
        <v>3.524</v>
      </c>
      <c r="E54">
        <f t="shared" si="3"/>
        <v>21</v>
      </c>
      <c r="G54">
        <v>53</v>
      </c>
      <c r="H54" t="s">
        <v>135</v>
      </c>
      <c r="I54">
        <v>0.16800000000000001</v>
      </c>
      <c r="J54">
        <v>3.524</v>
      </c>
      <c r="K54">
        <v>21</v>
      </c>
    </row>
    <row r="55" spans="1:11">
      <c r="A55" t="str">
        <f t="shared" si="1"/>
        <v>Jordan Spieth</v>
      </c>
      <c r="B55">
        <f t="shared" si="2"/>
        <v>53</v>
      </c>
      <c r="C55">
        <f t="shared" si="3"/>
        <v>0.16800000000000001</v>
      </c>
      <c r="D55">
        <f t="shared" si="3"/>
        <v>3.8719999999999999</v>
      </c>
      <c r="E55">
        <f t="shared" si="3"/>
        <v>23</v>
      </c>
      <c r="G55">
        <v>53</v>
      </c>
      <c r="H55" t="s">
        <v>76</v>
      </c>
      <c r="I55">
        <v>0.16800000000000001</v>
      </c>
      <c r="J55">
        <v>3.8719999999999999</v>
      </c>
      <c r="K55">
        <v>23</v>
      </c>
    </row>
    <row r="56" spans="1:11">
      <c r="A56" t="str">
        <f t="shared" si="1"/>
        <v>Byeong Hun An</v>
      </c>
      <c r="B56">
        <f t="shared" si="2"/>
        <v>55</v>
      </c>
      <c r="C56">
        <f t="shared" si="3"/>
        <v>0.156</v>
      </c>
      <c r="D56">
        <f t="shared" si="3"/>
        <v>4.6820000000000004</v>
      </c>
      <c r="E56">
        <f t="shared" si="3"/>
        <v>30</v>
      </c>
      <c r="G56">
        <v>55</v>
      </c>
      <c r="H56" t="s">
        <v>10</v>
      </c>
      <c r="I56">
        <v>0.156</v>
      </c>
      <c r="J56">
        <v>4.6820000000000004</v>
      </c>
      <c r="K56">
        <v>30</v>
      </c>
    </row>
    <row r="57" spans="1:11">
      <c r="A57" t="str">
        <f t="shared" si="1"/>
        <v>Greyson Sigg</v>
      </c>
      <c r="B57">
        <f t="shared" si="2"/>
        <v>56</v>
      </c>
      <c r="C57">
        <f t="shared" si="3"/>
        <v>0.154</v>
      </c>
      <c r="D57">
        <f t="shared" si="3"/>
        <v>4.1479999999999997</v>
      </c>
      <c r="E57">
        <f t="shared" si="3"/>
        <v>27</v>
      </c>
      <c r="G57">
        <v>56</v>
      </c>
      <c r="H57" t="s">
        <v>134</v>
      </c>
      <c r="I57">
        <v>0.154</v>
      </c>
      <c r="J57">
        <v>4.1479999999999997</v>
      </c>
      <c r="K57">
        <v>27</v>
      </c>
    </row>
    <row r="58" spans="1:11">
      <c r="A58" t="str">
        <f t="shared" si="1"/>
        <v>Tyson Alexander</v>
      </c>
      <c r="B58">
        <f t="shared" si="2"/>
        <v>57</v>
      </c>
      <c r="C58">
        <f t="shared" si="3"/>
        <v>0.151</v>
      </c>
      <c r="D58">
        <f t="shared" si="3"/>
        <v>4.234</v>
      </c>
      <c r="E58">
        <f t="shared" si="3"/>
        <v>28</v>
      </c>
      <c r="G58">
        <v>57</v>
      </c>
      <c r="H58" t="s">
        <v>107</v>
      </c>
      <c r="I58">
        <v>0.151</v>
      </c>
      <c r="J58">
        <v>4.234</v>
      </c>
      <c r="K58">
        <v>28</v>
      </c>
    </row>
    <row r="59" spans="1:11">
      <c r="A59" t="str">
        <f t="shared" si="1"/>
        <v>Mark Hubbard</v>
      </c>
      <c r="B59">
        <f t="shared" si="2"/>
        <v>58</v>
      </c>
      <c r="C59">
        <f t="shared" si="3"/>
        <v>0.14599999999999999</v>
      </c>
      <c r="D59">
        <f t="shared" si="3"/>
        <v>4.8170000000000002</v>
      </c>
      <c r="E59">
        <f t="shared" si="3"/>
        <v>33</v>
      </c>
      <c r="G59">
        <v>58</v>
      </c>
      <c r="H59" t="s">
        <v>162</v>
      </c>
      <c r="I59">
        <v>0.14599999999999999</v>
      </c>
      <c r="J59">
        <v>4.8170000000000002</v>
      </c>
      <c r="K59">
        <v>33</v>
      </c>
    </row>
    <row r="60" spans="1:11">
      <c r="A60" t="str">
        <f t="shared" si="1"/>
        <v>Jake Knapp</v>
      </c>
      <c r="B60">
        <f t="shared" si="2"/>
        <v>58</v>
      </c>
      <c r="C60">
        <f t="shared" si="3"/>
        <v>0.14599999999999999</v>
      </c>
      <c r="D60">
        <f t="shared" si="3"/>
        <v>4.2320000000000002</v>
      </c>
      <c r="E60">
        <f t="shared" si="3"/>
        <v>29</v>
      </c>
      <c r="G60">
        <v>58</v>
      </c>
      <c r="H60" t="s">
        <v>492</v>
      </c>
      <c r="I60">
        <v>0.14599999999999999</v>
      </c>
      <c r="J60">
        <v>4.2320000000000002</v>
      </c>
      <c r="K60">
        <v>29</v>
      </c>
    </row>
    <row r="61" spans="1:11">
      <c r="A61" t="str">
        <f t="shared" si="1"/>
        <v>Brian Harman</v>
      </c>
      <c r="B61">
        <f t="shared" si="2"/>
        <v>60</v>
      </c>
      <c r="C61">
        <f t="shared" si="3"/>
        <v>0.14299999999999999</v>
      </c>
      <c r="D61">
        <f t="shared" si="3"/>
        <v>4.5629999999999997</v>
      </c>
      <c r="E61">
        <f t="shared" si="3"/>
        <v>32</v>
      </c>
      <c r="G61">
        <v>60</v>
      </c>
      <c r="H61" t="s">
        <v>154</v>
      </c>
      <c r="I61">
        <v>0.14299999999999999</v>
      </c>
      <c r="J61">
        <v>4.5629999999999997</v>
      </c>
      <c r="K61">
        <v>32</v>
      </c>
    </row>
    <row r="62" spans="1:11">
      <c r="A62" t="str">
        <f t="shared" si="1"/>
        <v>Billy Horschel</v>
      </c>
      <c r="B62">
        <f t="shared" si="2"/>
        <v>61</v>
      </c>
      <c r="C62">
        <f t="shared" si="3"/>
        <v>0.14099999999999999</v>
      </c>
      <c r="D62">
        <f t="shared" si="3"/>
        <v>3.52</v>
      </c>
      <c r="E62">
        <f t="shared" si="3"/>
        <v>25</v>
      </c>
      <c r="G62">
        <v>61</v>
      </c>
      <c r="H62" t="s">
        <v>115</v>
      </c>
      <c r="I62">
        <v>0.14099999999999999</v>
      </c>
      <c r="J62">
        <v>3.52</v>
      </c>
      <c r="K62">
        <v>25</v>
      </c>
    </row>
    <row r="63" spans="1:11">
      <c r="A63" t="str">
        <f t="shared" si="1"/>
        <v>Joseph Bramlett</v>
      </c>
      <c r="B63">
        <f t="shared" si="2"/>
        <v>62</v>
      </c>
      <c r="C63">
        <f t="shared" si="3"/>
        <v>0.13700000000000001</v>
      </c>
      <c r="D63">
        <f t="shared" si="3"/>
        <v>3.972</v>
      </c>
      <c r="E63">
        <f t="shared" si="3"/>
        <v>29</v>
      </c>
      <c r="G63">
        <v>62</v>
      </c>
      <c r="H63" t="s">
        <v>20</v>
      </c>
      <c r="I63">
        <v>0.13700000000000001</v>
      </c>
      <c r="J63">
        <v>3.972</v>
      </c>
      <c r="K63">
        <v>29</v>
      </c>
    </row>
    <row r="64" spans="1:11">
      <c r="A64" t="str">
        <f t="shared" si="1"/>
        <v>Shane Lowry</v>
      </c>
      <c r="B64">
        <f t="shared" si="2"/>
        <v>63</v>
      </c>
      <c r="C64">
        <f t="shared" si="3"/>
        <v>0.13500000000000001</v>
      </c>
      <c r="D64">
        <f t="shared" si="3"/>
        <v>2.5579999999999998</v>
      </c>
      <c r="E64">
        <f t="shared" si="3"/>
        <v>19</v>
      </c>
      <c r="G64">
        <v>63</v>
      </c>
      <c r="H64" t="s">
        <v>74</v>
      </c>
      <c r="I64">
        <v>0.13500000000000001</v>
      </c>
      <c r="J64">
        <v>2.5579999999999998</v>
      </c>
      <c r="K64">
        <v>19</v>
      </c>
    </row>
    <row r="65" spans="1:11">
      <c r="A65" t="str">
        <f t="shared" si="1"/>
        <v>Dylan Wu</v>
      </c>
      <c r="B65">
        <f t="shared" si="2"/>
        <v>64</v>
      </c>
      <c r="C65">
        <f t="shared" si="3"/>
        <v>0.13</v>
      </c>
      <c r="D65">
        <f t="shared" si="3"/>
        <v>4.0229999999999997</v>
      </c>
      <c r="E65">
        <f t="shared" si="3"/>
        <v>31</v>
      </c>
      <c r="G65">
        <v>64</v>
      </c>
      <c r="H65" t="s">
        <v>118</v>
      </c>
      <c r="I65">
        <v>0.13</v>
      </c>
      <c r="J65">
        <v>4.0229999999999997</v>
      </c>
      <c r="K65">
        <v>31</v>
      </c>
    </row>
    <row r="66" spans="1:11">
      <c r="A66" t="str">
        <f t="shared" si="1"/>
        <v>Austin Eckroat</v>
      </c>
      <c r="B66">
        <f t="shared" si="2"/>
        <v>65</v>
      </c>
      <c r="C66">
        <f t="shared" si="3"/>
        <v>0.121</v>
      </c>
      <c r="D66">
        <f t="shared" si="3"/>
        <v>3.504</v>
      </c>
      <c r="E66">
        <f t="shared" si="3"/>
        <v>29</v>
      </c>
      <c r="G66">
        <v>65</v>
      </c>
      <c r="H66" t="s">
        <v>88</v>
      </c>
      <c r="I66">
        <v>0.121</v>
      </c>
      <c r="J66">
        <v>3.504</v>
      </c>
      <c r="K66">
        <v>29</v>
      </c>
    </row>
    <row r="67" spans="1:11">
      <c r="A67" t="str">
        <f t="shared" ref="A67:A130" si="4">H67</f>
        <v>David Skinns</v>
      </c>
      <c r="B67">
        <f t="shared" ref="B67:B130" si="5">G67</f>
        <v>66</v>
      </c>
      <c r="C67">
        <f t="shared" ref="C67:E130" si="6">I67</f>
        <v>0.11700000000000001</v>
      </c>
      <c r="D67">
        <f t="shared" si="6"/>
        <v>2.4470000000000001</v>
      </c>
      <c r="E67">
        <f t="shared" si="6"/>
        <v>21</v>
      </c>
      <c r="G67">
        <v>66</v>
      </c>
      <c r="H67" t="s">
        <v>410</v>
      </c>
      <c r="I67">
        <v>0.11700000000000001</v>
      </c>
      <c r="J67">
        <v>2.4470000000000001</v>
      </c>
      <c r="K67">
        <v>21</v>
      </c>
    </row>
    <row r="68" spans="1:11">
      <c r="A68" t="str">
        <f t="shared" si="4"/>
        <v>Keegan Bradley</v>
      </c>
      <c r="B68">
        <f t="shared" si="5"/>
        <v>67</v>
      </c>
      <c r="C68">
        <f t="shared" si="6"/>
        <v>0.11600000000000001</v>
      </c>
      <c r="D68">
        <f t="shared" si="6"/>
        <v>2.6629999999999998</v>
      </c>
      <c r="E68">
        <f t="shared" si="6"/>
        <v>23</v>
      </c>
      <c r="G68">
        <v>67</v>
      </c>
      <c r="H68" t="s">
        <v>58</v>
      </c>
      <c r="I68">
        <v>0.11600000000000001</v>
      </c>
      <c r="J68">
        <v>2.6629999999999998</v>
      </c>
      <c r="K68">
        <v>23</v>
      </c>
    </row>
    <row r="69" spans="1:11">
      <c r="A69" t="str">
        <f t="shared" si="4"/>
        <v>Ryan Moore</v>
      </c>
      <c r="B69">
        <f t="shared" si="5"/>
        <v>68</v>
      </c>
      <c r="C69">
        <f t="shared" si="6"/>
        <v>0.111</v>
      </c>
      <c r="D69">
        <f t="shared" si="6"/>
        <v>3.0070000000000001</v>
      </c>
      <c r="E69">
        <f t="shared" si="6"/>
        <v>27</v>
      </c>
      <c r="G69">
        <v>68</v>
      </c>
      <c r="H69" t="s">
        <v>179</v>
      </c>
      <c r="I69">
        <v>0.111</v>
      </c>
      <c r="J69">
        <v>3.0070000000000001</v>
      </c>
      <c r="K69">
        <v>27</v>
      </c>
    </row>
    <row r="70" spans="1:11">
      <c r="A70" t="str">
        <f t="shared" si="4"/>
        <v>Erik Barnes</v>
      </c>
      <c r="B70">
        <f t="shared" si="5"/>
        <v>69</v>
      </c>
      <c r="C70">
        <f t="shared" si="6"/>
        <v>0.10100000000000001</v>
      </c>
      <c r="D70">
        <f t="shared" si="6"/>
        <v>1.42</v>
      </c>
      <c r="E70">
        <f t="shared" si="6"/>
        <v>14</v>
      </c>
      <c r="G70">
        <v>69</v>
      </c>
      <c r="H70" t="s">
        <v>235</v>
      </c>
      <c r="I70">
        <v>0.10100000000000001</v>
      </c>
      <c r="J70">
        <v>1.42</v>
      </c>
      <c r="K70">
        <v>14</v>
      </c>
    </row>
    <row r="71" spans="1:11">
      <c r="A71" t="str">
        <f t="shared" si="4"/>
        <v>Rickie Fowler</v>
      </c>
      <c r="B71">
        <f t="shared" si="5"/>
        <v>70</v>
      </c>
      <c r="C71">
        <f t="shared" si="6"/>
        <v>9.1999999999999998E-2</v>
      </c>
      <c r="D71">
        <f t="shared" si="6"/>
        <v>2.3839999999999999</v>
      </c>
      <c r="E71">
        <f t="shared" si="6"/>
        <v>26</v>
      </c>
      <c r="G71">
        <v>70</v>
      </c>
      <c r="H71" t="s">
        <v>44</v>
      </c>
      <c r="I71">
        <v>9.1999999999999998E-2</v>
      </c>
      <c r="J71">
        <v>2.3839999999999999</v>
      </c>
      <c r="K71">
        <v>26</v>
      </c>
    </row>
    <row r="72" spans="1:11">
      <c r="A72" t="str">
        <f t="shared" si="4"/>
        <v>Seamus Power</v>
      </c>
      <c r="B72">
        <f t="shared" si="5"/>
        <v>71</v>
      </c>
      <c r="C72">
        <f t="shared" si="6"/>
        <v>8.7999999999999995E-2</v>
      </c>
      <c r="D72">
        <f t="shared" si="6"/>
        <v>2.911</v>
      </c>
      <c r="E72">
        <f t="shared" si="6"/>
        <v>33</v>
      </c>
      <c r="G72">
        <v>71</v>
      </c>
      <c r="H72" t="s">
        <v>105</v>
      </c>
      <c r="I72">
        <v>8.7999999999999995E-2</v>
      </c>
      <c r="J72">
        <v>2.911</v>
      </c>
      <c r="K72">
        <v>33</v>
      </c>
    </row>
    <row r="73" spans="1:11">
      <c r="A73" t="str">
        <f t="shared" si="4"/>
        <v>Wyndham Clark</v>
      </c>
      <c r="B73">
        <f t="shared" si="5"/>
        <v>72</v>
      </c>
      <c r="C73">
        <f t="shared" si="6"/>
        <v>8.3000000000000004E-2</v>
      </c>
      <c r="D73">
        <f t="shared" si="6"/>
        <v>1.9810000000000001</v>
      </c>
      <c r="E73">
        <f t="shared" si="6"/>
        <v>24</v>
      </c>
      <c r="G73">
        <v>72</v>
      </c>
      <c r="H73" t="s">
        <v>18</v>
      </c>
      <c r="I73">
        <v>8.3000000000000004E-2</v>
      </c>
      <c r="J73">
        <v>1.9810000000000001</v>
      </c>
      <c r="K73">
        <v>24</v>
      </c>
    </row>
    <row r="74" spans="1:11">
      <c r="A74" t="str">
        <f t="shared" si="4"/>
        <v>Vince Whaley</v>
      </c>
      <c r="B74">
        <f t="shared" si="5"/>
        <v>72</v>
      </c>
      <c r="C74">
        <f t="shared" si="6"/>
        <v>8.3000000000000004E-2</v>
      </c>
      <c r="D74">
        <f t="shared" si="6"/>
        <v>1.407</v>
      </c>
      <c r="E74">
        <f t="shared" si="6"/>
        <v>17</v>
      </c>
      <c r="G74">
        <v>72</v>
      </c>
      <c r="H74" t="s">
        <v>223</v>
      </c>
      <c r="I74">
        <v>8.3000000000000004E-2</v>
      </c>
      <c r="J74">
        <v>1.407</v>
      </c>
      <c r="K74">
        <v>17</v>
      </c>
    </row>
    <row r="75" spans="1:11">
      <c r="A75" t="str">
        <f t="shared" si="4"/>
        <v>Doug Ghim</v>
      </c>
      <c r="B75">
        <f t="shared" si="5"/>
        <v>74</v>
      </c>
      <c r="C75">
        <f t="shared" si="6"/>
        <v>7.9000000000000001E-2</v>
      </c>
      <c r="D75">
        <f t="shared" si="6"/>
        <v>2.3050000000000002</v>
      </c>
      <c r="E75">
        <f t="shared" si="6"/>
        <v>29</v>
      </c>
      <c r="G75">
        <v>74</v>
      </c>
      <c r="H75" t="s">
        <v>121</v>
      </c>
      <c r="I75">
        <v>7.9000000000000001E-2</v>
      </c>
      <c r="J75">
        <v>2.3050000000000002</v>
      </c>
      <c r="K75">
        <v>29</v>
      </c>
    </row>
    <row r="76" spans="1:11">
      <c r="A76" t="str">
        <f t="shared" si="4"/>
        <v>Bud Cauley</v>
      </c>
      <c r="B76">
        <f t="shared" si="5"/>
        <v>75</v>
      </c>
      <c r="C76">
        <f t="shared" si="6"/>
        <v>7.8E-2</v>
      </c>
      <c r="D76">
        <f t="shared" si="6"/>
        <v>1.409</v>
      </c>
      <c r="E76">
        <f t="shared" si="6"/>
        <v>18</v>
      </c>
      <c r="G76">
        <v>75</v>
      </c>
      <c r="H76" t="s">
        <v>633</v>
      </c>
      <c r="I76">
        <v>7.8E-2</v>
      </c>
      <c r="J76">
        <v>1.409</v>
      </c>
      <c r="K76">
        <v>18</v>
      </c>
    </row>
    <row r="77" spans="1:11">
      <c r="A77" t="str">
        <f t="shared" si="4"/>
        <v>Patrick Rodgers</v>
      </c>
      <c r="B77">
        <f t="shared" si="5"/>
        <v>75</v>
      </c>
      <c r="C77">
        <f t="shared" si="6"/>
        <v>7.8E-2</v>
      </c>
      <c r="D77">
        <f t="shared" si="6"/>
        <v>2.5019999999999998</v>
      </c>
      <c r="E77">
        <f t="shared" si="6"/>
        <v>32</v>
      </c>
      <c r="G77">
        <v>75</v>
      </c>
      <c r="H77" t="s">
        <v>38</v>
      </c>
      <c r="I77">
        <v>7.8E-2</v>
      </c>
      <c r="J77">
        <v>2.5019999999999998</v>
      </c>
      <c r="K77">
        <v>32</v>
      </c>
    </row>
    <row r="78" spans="1:11">
      <c r="A78" t="str">
        <f t="shared" si="4"/>
        <v>Grayson Murray</v>
      </c>
      <c r="B78">
        <f t="shared" si="5"/>
        <v>77</v>
      </c>
      <c r="C78">
        <f t="shared" si="6"/>
        <v>7.6999999999999999E-2</v>
      </c>
      <c r="D78">
        <f t="shared" si="6"/>
        <v>1.548</v>
      </c>
      <c r="E78">
        <f t="shared" si="6"/>
        <v>20</v>
      </c>
      <c r="G78">
        <v>77</v>
      </c>
      <c r="H78" t="s">
        <v>372</v>
      </c>
      <c r="I78">
        <v>7.6999999999999999E-2</v>
      </c>
      <c r="J78">
        <v>1.548</v>
      </c>
      <c r="K78">
        <v>20</v>
      </c>
    </row>
    <row r="79" spans="1:11">
      <c r="A79" t="str">
        <f t="shared" si="4"/>
        <v>Peter Malnati</v>
      </c>
      <c r="B79">
        <f t="shared" si="5"/>
        <v>78</v>
      </c>
      <c r="C79">
        <f t="shared" si="6"/>
        <v>7.1999999999999995E-2</v>
      </c>
      <c r="D79">
        <f t="shared" si="6"/>
        <v>1.647</v>
      </c>
      <c r="E79">
        <f t="shared" si="6"/>
        <v>23</v>
      </c>
      <c r="G79">
        <v>78</v>
      </c>
      <c r="H79" t="s">
        <v>142</v>
      </c>
      <c r="I79">
        <v>7.1999999999999995E-2</v>
      </c>
      <c r="J79">
        <v>1.647</v>
      </c>
      <c r="K79">
        <v>23</v>
      </c>
    </row>
    <row r="80" spans="1:11">
      <c r="A80" t="str">
        <f t="shared" si="4"/>
        <v>Chan Kim</v>
      </c>
      <c r="B80">
        <f t="shared" si="5"/>
        <v>79</v>
      </c>
      <c r="C80">
        <f t="shared" si="6"/>
        <v>6.9000000000000006E-2</v>
      </c>
      <c r="D80">
        <f t="shared" si="6"/>
        <v>1.8660000000000001</v>
      </c>
      <c r="E80">
        <f t="shared" si="6"/>
        <v>27</v>
      </c>
      <c r="G80">
        <v>79</v>
      </c>
      <c r="H80" t="s">
        <v>424</v>
      </c>
      <c r="I80">
        <v>6.9000000000000006E-2</v>
      </c>
      <c r="J80">
        <v>1.8660000000000001</v>
      </c>
      <c r="K80">
        <v>27</v>
      </c>
    </row>
    <row r="81" spans="1:11">
      <c r="A81" t="str">
        <f t="shared" si="4"/>
        <v>Matt Fitzpatrick</v>
      </c>
      <c r="B81">
        <f t="shared" si="5"/>
        <v>80</v>
      </c>
      <c r="C81">
        <f t="shared" si="6"/>
        <v>6.8000000000000005E-2</v>
      </c>
      <c r="D81">
        <f t="shared" si="6"/>
        <v>1.91</v>
      </c>
      <c r="E81">
        <f t="shared" si="6"/>
        <v>28</v>
      </c>
      <c r="G81">
        <v>80</v>
      </c>
      <c r="H81" t="s">
        <v>72</v>
      </c>
      <c r="I81">
        <v>6.8000000000000005E-2</v>
      </c>
      <c r="J81">
        <v>1.91</v>
      </c>
      <c r="K81">
        <v>28</v>
      </c>
    </row>
    <row r="82" spans="1:11">
      <c r="A82" t="str">
        <f t="shared" si="4"/>
        <v>Hayden Springer</v>
      </c>
      <c r="B82">
        <f t="shared" si="5"/>
        <v>81</v>
      </c>
      <c r="C82">
        <f t="shared" si="6"/>
        <v>6.6000000000000003E-2</v>
      </c>
      <c r="D82">
        <f t="shared" si="6"/>
        <v>1.1200000000000001</v>
      </c>
      <c r="E82">
        <f t="shared" si="6"/>
        <v>17</v>
      </c>
      <c r="G82">
        <v>81</v>
      </c>
      <c r="H82" t="s">
        <v>557</v>
      </c>
      <c r="I82">
        <v>6.6000000000000003E-2</v>
      </c>
      <c r="J82">
        <v>1.1200000000000001</v>
      </c>
      <c r="K82">
        <v>17</v>
      </c>
    </row>
    <row r="83" spans="1:11">
      <c r="A83" t="str">
        <f t="shared" si="4"/>
        <v>Matt Wallace</v>
      </c>
      <c r="B83">
        <f t="shared" si="5"/>
        <v>82</v>
      </c>
      <c r="C83">
        <f t="shared" si="6"/>
        <v>6.5000000000000002E-2</v>
      </c>
      <c r="D83">
        <f t="shared" si="6"/>
        <v>1.7509999999999999</v>
      </c>
      <c r="E83">
        <f t="shared" si="6"/>
        <v>27</v>
      </c>
      <c r="G83">
        <v>82</v>
      </c>
      <c r="H83" t="s">
        <v>82</v>
      </c>
      <c r="I83">
        <v>6.5000000000000002E-2</v>
      </c>
      <c r="J83">
        <v>1.7509999999999999</v>
      </c>
      <c r="K83">
        <v>27</v>
      </c>
    </row>
    <row r="84" spans="1:11">
      <c r="A84" t="str">
        <f t="shared" si="4"/>
        <v>Max Greyserman</v>
      </c>
      <c r="B84">
        <f t="shared" si="5"/>
        <v>83</v>
      </c>
      <c r="C84">
        <f t="shared" si="6"/>
        <v>6.4000000000000001E-2</v>
      </c>
      <c r="D84">
        <f t="shared" si="6"/>
        <v>1.1599999999999999</v>
      </c>
      <c r="E84">
        <f t="shared" si="6"/>
        <v>18</v>
      </c>
      <c r="G84">
        <v>83</v>
      </c>
      <c r="H84" t="s">
        <v>493</v>
      </c>
      <c r="I84">
        <v>6.4000000000000001E-2</v>
      </c>
      <c r="J84">
        <v>1.1599999999999999</v>
      </c>
      <c r="K84">
        <v>18</v>
      </c>
    </row>
    <row r="85" spans="1:11">
      <c r="A85" t="str">
        <f t="shared" si="4"/>
        <v>Taylor Pendrith</v>
      </c>
      <c r="B85">
        <f t="shared" si="5"/>
        <v>84</v>
      </c>
      <c r="C85">
        <f t="shared" si="6"/>
        <v>6.3E-2</v>
      </c>
      <c r="D85">
        <f t="shared" si="6"/>
        <v>1.325</v>
      </c>
      <c r="E85">
        <f t="shared" si="6"/>
        <v>21</v>
      </c>
      <c r="G85">
        <v>84</v>
      </c>
      <c r="H85" t="s">
        <v>33</v>
      </c>
      <c r="I85">
        <v>6.3E-2</v>
      </c>
      <c r="J85">
        <v>1.325</v>
      </c>
      <c r="K85">
        <v>21</v>
      </c>
    </row>
    <row r="86" spans="1:11">
      <c r="A86" t="str">
        <f t="shared" si="4"/>
        <v>Chad Ramey</v>
      </c>
      <c r="B86">
        <f t="shared" si="5"/>
        <v>85</v>
      </c>
      <c r="C86">
        <f t="shared" si="6"/>
        <v>5.8999999999999997E-2</v>
      </c>
      <c r="D86">
        <f t="shared" si="6"/>
        <v>1.4830000000000001</v>
      </c>
      <c r="E86">
        <f t="shared" si="6"/>
        <v>25</v>
      </c>
      <c r="G86">
        <v>85</v>
      </c>
      <c r="H86" t="s">
        <v>148</v>
      </c>
      <c r="I86">
        <v>5.8999999999999997E-2</v>
      </c>
      <c r="J86">
        <v>1.4830000000000001</v>
      </c>
      <c r="K86">
        <v>25</v>
      </c>
    </row>
    <row r="87" spans="1:11">
      <c r="A87" t="str">
        <f t="shared" si="4"/>
        <v>Chandler Phillips</v>
      </c>
      <c r="B87">
        <f t="shared" si="5"/>
        <v>86</v>
      </c>
      <c r="C87">
        <f t="shared" si="6"/>
        <v>5.7000000000000002E-2</v>
      </c>
      <c r="D87">
        <f t="shared" si="6"/>
        <v>1.258</v>
      </c>
      <c r="E87">
        <f t="shared" si="6"/>
        <v>22</v>
      </c>
      <c r="G87">
        <v>86</v>
      </c>
      <c r="H87" t="s">
        <v>489</v>
      </c>
      <c r="I87">
        <v>5.7000000000000002E-2</v>
      </c>
      <c r="J87">
        <v>1.258</v>
      </c>
      <c r="K87">
        <v>22</v>
      </c>
    </row>
    <row r="88" spans="1:11">
      <c r="A88" t="str">
        <f t="shared" si="4"/>
        <v>Akshay Bhatia</v>
      </c>
      <c r="B88">
        <f t="shared" si="5"/>
        <v>87</v>
      </c>
      <c r="C88">
        <f t="shared" si="6"/>
        <v>5.2999999999999999E-2</v>
      </c>
      <c r="D88">
        <f t="shared" si="6"/>
        <v>1.526</v>
      </c>
      <c r="E88">
        <f t="shared" si="6"/>
        <v>29</v>
      </c>
      <c r="G88">
        <v>87</v>
      </c>
      <c r="H88" t="s">
        <v>370</v>
      </c>
      <c r="I88">
        <v>5.2999999999999999E-2</v>
      </c>
      <c r="J88">
        <v>1.526</v>
      </c>
      <c r="K88">
        <v>29</v>
      </c>
    </row>
    <row r="89" spans="1:11">
      <c r="A89" t="str">
        <f t="shared" si="4"/>
        <v>Sam Stevens</v>
      </c>
      <c r="B89">
        <f t="shared" si="5"/>
        <v>87</v>
      </c>
      <c r="C89">
        <f t="shared" si="6"/>
        <v>5.2999999999999999E-2</v>
      </c>
      <c r="D89">
        <f t="shared" si="6"/>
        <v>1.548</v>
      </c>
      <c r="E89">
        <f t="shared" si="6"/>
        <v>29</v>
      </c>
      <c r="G89">
        <v>87</v>
      </c>
      <c r="H89" t="s">
        <v>30</v>
      </c>
      <c r="I89">
        <v>5.2999999999999999E-2</v>
      </c>
      <c r="J89">
        <v>1.548</v>
      </c>
      <c r="K89">
        <v>29</v>
      </c>
    </row>
    <row r="90" spans="1:11">
      <c r="A90" t="str">
        <f t="shared" si="4"/>
        <v>Justin Rose</v>
      </c>
      <c r="B90">
        <f t="shared" si="5"/>
        <v>89</v>
      </c>
      <c r="C90">
        <f t="shared" si="6"/>
        <v>5.0999999999999997E-2</v>
      </c>
      <c r="D90">
        <f t="shared" si="6"/>
        <v>1.0640000000000001</v>
      </c>
      <c r="E90">
        <f t="shared" si="6"/>
        <v>21</v>
      </c>
      <c r="G90">
        <v>89</v>
      </c>
      <c r="H90" t="s">
        <v>143</v>
      </c>
      <c r="I90">
        <v>5.0999999999999997E-2</v>
      </c>
      <c r="J90">
        <v>1.0640000000000001</v>
      </c>
      <c r="K90">
        <v>21</v>
      </c>
    </row>
    <row r="91" spans="1:11">
      <c r="A91" t="str">
        <f t="shared" si="4"/>
        <v>Adam Hadwin</v>
      </c>
      <c r="B91">
        <f t="shared" si="5"/>
        <v>90</v>
      </c>
      <c r="C91">
        <f t="shared" si="6"/>
        <v>4.5999999999999999E-2</v>
      </c>
      <c r="D91">
        <f t="shared" si="6"/>
        <v>1.107</v>
      </c>
      <c r="E91">
        <f t="shared" si="6"/>
        <v>24</v>
      </c>
      <c r="G91">
        <v>90</v>
      </c>
      <c r="H91" t="s">
        <v>141</v>
      </c>
      <c r="I91">
        <v>4.5999999999999999E-2</v>
      </c>
      <c r="J91">
        <v>1.107</v>
      </c>
      <c r="K91">
        <v>24</v>
      </c>
    </row>
    <row r="92" spans="1:11">
      <c r="A92" t="str">
        <f t="shared" si="4"/>
        <v>Robert MacIntyre</v>
      </c>
      <c r="B92">
        <f t="shared" si="5"/>
        <v>91</v>
      </c>
      <c r="C92">
        <f t="shared" si="6"/>
        <v>4.2999999999999997E-2</v>
      </c>
      <c r="D92">
        <f t="shared" si="6"/>
        <v>0.98699999999999999</v>
      </c>
      <c r="E92">
        <f t="shared" si="6"/>
        <v>23</v>
      </c>
      <c r="G92">
        <v>91</v>
      </c>
      <c r="H92" t="s">
        <v>434</v>
      </c>
      <c r="I92">
        <v>4.2999999999999997E-2</v>
      </c>
      <c r="J92">
        <v>0.98699999999999999</v>
      </c>
      <c r="K92">
        <v>23</v>
      </c>
    </row>
    <row r="93" spans="1:11">
      <c r="A93" t="str">
        <f t="shared" si="4"/>
        <v>Jimmy Stanger</v>
      </c>
      <c r="B93">
        <f t="shared" si="5"/>
        <v>92</v>
      </c>
      <c r="C93">
        <f t="shared" si="6"/>
        <v>4.2000000000000003E-2</v>
      </c>
      <c r="D93">
        <f t="shared" si="6"/>
        <v>0.80700000000000005</v>
      </c>
      <c r="E93">
        <f t="shared" si="6"/>
        <v>19</v>
      </c>
      <c r="G93">
        <v>92</v>
      </c>
      <c r="H93" t="s">
        <v>495</v>
      </c>
      <c r="I93">
        <v>4.2000000000000003E-2</v>
      </c>
      <c r="J93">
        <v>0.80700000000000005</v>
      </c>
      <c r="K93">
        <v>19</v>
      </c>
    </row>
    <row r="94" spans="1:11">
      <c r="A94" t="str">
        <f t="shared" si="4"/>
        <v>Ben Taylor</v>
      </c>
      <c r="B94">
        <f t="shared" si="5"/>
        <v>93</v>
      </c>
      <c r="C94">
        <f t="shared" si="6"/>
        <v>3.9E-2</v>
      </c>
      <c r="D94">
        <f t="shared" si="6"/>
        <v>0.74199999999999999</v>
      </c>
      <c r="E94">
        <f t="shared" si="6"/>
        <v>19</v>
      </c>
      <c r="G94">
        <v>93</v>
      </c>
      <c r="H94" t="s">
        <v>71</v>
      </c>
      <c r="I94">
        <v>3.9E-2</v>
      </c>
      <c r="J94">
        <v>0.74199999999999999</v>
      </c>
      <c r="K94">
        <v>19</v>
      </c>
    </row>
    <row r="95" spans="1:11">
      <c r="A95" t="str">
        <f t="shared" si="4"/>
        <v>Aaron Rai</v>
      </c>
      <c r="B95">
        <f t="shared" si="5"/>
        <v>94</v>
      </c>
      <c r="C95">
        <f t="shared" si="6"/>
        <v>2.9000000000000001E-2</v>
      </c>
      <c r="D95">
        <f t="shared" si="6"/>
        <v>0.77100000000000002</v>
      </c>
      <c r="E95">
        <f t="shared" si="6"/>
        <v>27</v>
      </c>
      <c r="G95">
        <v>94</v>
      </c>
      <c r="H95" t="s">
        <v>152</v>
      </c>
      <c r="I95">
        <v>2.9000000000000001E-2</v>
      </c>
      <c r="J95">
        <v>0.77100000000000002</v>
      </c>
      <c r="K95">
        <v>27</v>
      </c>
    </row>
    <row r="96" spans="1:11">
      <c r="A96" t="str">
        <f t="shared" si="4"/>
        <v>Min Woo Lee</v>
      </c>
      <c r="B96">
        <f t="shared" si="5"/>
        <v>95</v>
      </c>
      <c r="C96">
        <f t="shared" si="6"/>
        <v>2.1000000000000001E-2</v>
      </c>
      <c r="D96">
        <f t="shared" si="6"/>
        <v>0.43099999999999999</v>
      </c>
      <c r="E96">
        <f t="shared" si="6"/>
        <v>21</v>
      </c>
      <c r="G96">
        <v>95</v>
      </c>
      <c r="H96" t="s">
        <v>544</v>
      </c>
      <c r="I96">
        <v>2.1000000000000001E-2</v>
      </c>
      <c r="J96">
        <v>0.43099999999999999</v>
      </c>
      <c r="K96">
        <v>21</v>
      </c>
    </row>
    <row r="97" spans="1:11">
      <c r="A97" t="str">
        <f t="shared" si="4"/>
        <v>Charley Hoffman</v>
      </c>
      <c r="B97">
        <f t="shared" si="5"/>
        <v>96</v>
      </c>
      <c r="C97">
        <f t="shared" si="6"/>
        <v>1.2999999999999999E-2</v>
      </c>
      <c r="D97">
        <f t="shared" si="6"/>
        <v>0.33500000000000002</v>
      </c>
      <c r="E97">
        <f t="shared" si="6"/>
        <v>25</v>
      </c>
      <c r="G97">
        <v>96</v>
      </c>
      <c r="H97" t="s">
        <v>50</v>
      </c>
      <c r="I97">
        <v>1.2999999999999999E-2</v>
      </c>
      <c r="J97">
        <v>0.33500000000000002</v>
      </c>
      <c r="K97">
        <v>25</v>
      </c>
    </row>
    <row r="98" spans="1:11">
      <c r="A98" t="str">
        <f t="shared" si="4"/>
        <v>Tyler Duncan</v>
      </c>
      <c r="B98">
        <f t="shared" si="5"/>
        <v>97</v>
      </c>
      <c r="C98">
        <f t="shared" si="6"/>
        <v>6.0000000000000001E-3</v>
      </c>
      <c r="D98">
        <f t="shared" si="6"/>
        <v>0.14000000000000001</v>
      </c>
      <c r="E98">
        <f t="shared" si="6"/>
        <v>23</v>
      </c>
      <c r="G98">
        <v>97</v>
      </c>
      <c r="H98" t="s">
        <v>116</v>
      </c>
      <c r="I98">
        <v>6.0000000000000001E-3</v>
      </c>
      <c r="J98">
        <v>0.14000000000000001</v>
      </c>
      <c r="K98">
        <v>23</v>
      </c>
    </row>
    <row r="99" spans="1:11">
      <c r="A99" t="str">
        <f t="shared" si="4"/>
        <v>Sungjae Im</v>
      </c>
      <c r="B99">
        <f t="shared" si="5"/>
        <v>98</v>
      </c>
      <c r="C99">
        <f t="shared" si="6"/>
        <v>-0.01</v>
      </c>
      <c r="D99">
        <f t="shared" si="6"/>
        <v>-0.28100000000000003</v>
      </c>
      <c r="E99">
        <f t="shared" si="6"/>
        <v>27</v>
      </c>
      <c r="G99">
        <v>98</v>
      </c>
      <c r="H99" t="s">
        <v>113</v>
      </c>
      <c r="I99">
        <v>-0.01</v>
      </c>
      <c r="J99">
        <v>-0.28100000000000003</v>
      </c>
      <c r="K99">
        <v>27</v>
      </c>
    </row>
    <row r="100" spans="1:11">
      <c r="A100" t="str">
        <f t="shared" si="4"/>
        <v>Stewart Cink</v>
      </c>
      <c r="B100">
        <f t="shared" si="5"/>
        <v>99</v>
      </c>
      <c r="C100">
        <f t="shared" si="6"/>
        <v>-1.4E-2</v>
      </c>
      <c r="D100">
        <f t="shared" si="6"/>
        <v>-0.246</v>
      </c>
      <c r="E100">
        <f t="shared" si="6"/>
        <v>17</v>
      </c>
      <c r="G100">
        <v>99</v>
      </c>
      <c r="H100" t="s">
        <v>53</v>
      </c>
      <c r="I100">
        <v>-1.4E-2</v>
      </c>
      <c r="J100">
        <v>-0.246</v>
      </c>
      <c r="K100">
        <v>17</v>
      </c>
    </row>
    <row r="101" spans="1:11">
      <c r="A101" t="str">
        <f t="shared" si="4"/>
        <v>Ryan McCormick</v>
      </c>
      <c r="B101">
        <f t="shared" si="5"/>
        <v>99</v>
      </c>
      <c r="C101">
        <f t="shared" si="6"/>
        <v>-1.4E-2</v>
      </c>
      <c r="D101">
        <f t="shared" si="6"/>
        <v>-0.187</v>
      </c>
      <c r="E101">
        <f t="shared" si="6"/>
        <v>13</v>
      </c>
      <c r="G101">
        <v>99</v>
      </c>
      <c r="H101" t="s">
        <v>561</v>
      </c>
      <c r="I101">
        <v>-1.4E-2</v>
      </c>
      <c r="J101">
        <v>-0.187</v>
      </c>
      <c r="K101">
        <v>13</v>
      </c>
    </row>
    <row r="102" spans="1:11">
      <c r="A102" t="str">
        <f t="shared" si="4"/>
        <v>Michael Kim</v>
      </c>
      <c r="B102">
        <f t="shared" si="5"/>
        <v>101</v>
      </c>
      <c r="C102">
        <f t="shared" si="6"/>
        <v>-1.7999999999999999E-2</v>
      </c>
      <c r="D102">
        <f t="shared" si="6"/>
        <v>-0.46100000000000002</v>
      </c>
      <c r="E102">
        <f t="shared" si="6"/>
        <v>25</v>
      </c>
      <c r="G102">
        <v>101</v>
      </c>
      <c r="H102" t="s">
        <v>62</v>
      </c>
      <c r="I102">
        <v>-1.7999999999999999E-2</v>
      </c>
      <c r="J102">
        <v>-0.46100000000000002</v>
      </c>
      <c r="K102">
        <v>25</v>
      </c>
    </row>
    <row r="103" spans="1:11">
      <c r="A103" t="str">
        <f t="shared" si="4"/>
        <v>Patrick Cantlay</v>
      </c>
      <c r="B103">
        <f t="shared" si="5"/>
        <v>102</v>
      </c>
      <c r="C103">
        <f t="shared" si="6"/>
        <v>-2.1999999999999999E-2</v>
      </c>
      <c r="D103">
        <f t="shared" si="6"/>
        <v>-0.45600000000000002</v>
      </c>
      <c r="E103">
        <f t="shared" si="6"/>
        <v>21</v>
      </c>
      <c r="G103">
        <v>102</v>
      </c>
      <c r="H103" t="s">
        <v>40</v>
      </c>
      <c r="I103">
        <v>-2.1999999999999999E-2</v>
      </c>
      <c r="J103">
        <v>-0.45600000000000002</v>
      </c>
      <c r="K103">
        <v>21</v>
      </c>
    </row>
    <row r="104" spans="1:11">
      <c r="A104" t="str">
        <f t="shared" si="4"/>
        <v>Tom Kim</v>
      </c>
      <c r="B104">
        <f t="shared" si="5"/>
        <v>103</v>
      </c>
      <c r="C104">
        <f t="shared" si="6"/>
        <v>-2.5000000000000001E-2</v>
      </c>
      <c r="D104">
        <f t="shared" si="6"/>
        <v>-0.60599999999999998</v>
      </c>
      <c r="E104">
        <f t="shared" si="6"/>
        <v>24</v>
      </c>
      <c r="G104">
        <v>103</v>
      </c>
      <c r="H104" t="s">
        <v>124</v>
      </c>
      <c r="I104">
        <v>-2.5000000000000001E-2</v>
      </c>
      <c r="J104">
        <v>-0.60599999999999998</v>
      </c>
      <c r="K104">
        <v>24</v>
      </c>
    </row>
    <row r="105" spans="1:11">
      <c r="A105" t="str">
        <f t="shared" si="4"/>
        <v>Eric Cole</v>
      </c>
      <c r="B105">
        <f t="shared" si="5"/>
        <v>104</v>
      </c>
      <c r="C105">
        <f t="shared" si="6"/>
        <v>-3.2000000000000001E-2</v>
      </c>
      <c r="D105">
        <f t="shared" si="6"/>
        <v>-1.0640000000000001</v>
      </c>
      <c r="E105">
        <f t="shared" si="6"/>
        <v>33</v>
      </c>
      <c r="G105">
        <v>104</v>
      </c>
      <c r="H105" t="s">
        <v>114</v>
      </c>
      <c r="I105">
        <v>-3.2000000000000001E-2</v>
      </c>
      <c r="J105">
        <v>-1.0640000000000001</v>
      </c>
      <c r="K105">
        <v>33</v>
      </c>
    </row>
    <row r="106" spans="1:11">
      <c r="A106" t="str">
        <f t="shared" si="4"/>
        <v>Parker Coody</v>
      </c>
      <c r="B106">
        <f t="shared" si="5"/>
        <v>105</v>
      </c>
      <c r="C106">
        <f t="shared" si="6"/>
        <v>-3.3000000000000002E-2</v>
      </c>
      <c r="D106">
        <f t="shared" si="6"/>
        <v>-0.82899999999999996</v>
      </c>
      <c r="E106">
        <f t="shared" si="6"/>
        <v>25</v>
      </c>
      <c r="G106">
        <v>105</v>
      </c>
      <c r="H106" t="s">
        <v>497</v>
      </c>
      <c r="I106">
        <v>-3.3000000000000002E-2</v>
      </c>
      <c r="J106">
        <v>-0.82899999999999996</v>
      </c>
      <c r="K106">
        <v>25</v>
      </c>
    </row>
    <row r="107" spans="1:11">
      <c r="A107" t="str">
        <f t="shared" si="4"/>
        <v>Ryan Palmer</v>
      </c>
      <c r="B107">
        <f t="shared" si="5"/>
        <v>106</v>
      </c>
      <c r="C107">
        <f t="shared" si="6"/>
        <v>-3.5000000000000003E-2</v>
      </c>
      <c r="D107">
        <f t="shared" si="6"/>
        <v>-0.624</v>
      </c>
      <c r="E107">
        <f t="shared" si="6"/>
        <v>18</v>
      </c>
      <c r="G107">
        <v>106</v>
      </c>
      <c r="H107" t="s">
        <v>87</v>
      </c>
      <c r="I107">
        <v>-3.5000000000000003E-2</v>
      </c>
      <c r="J107">
        <v>-0.624</v>
      </c>
      <c r="K107">
        <v>18</v>
      </c>
    </row>
    <row r="108" spans="1:11">
      <c r="A108" t="str">
        <f t="shared" si="4"/>
        <v>Adam Svensson</v>
      </c>
      <c r="B108">
        <f t="shared" si="5"/>
        <v>107</v>
      </c>
      <c r="C108">
        <f t="shared" si="6"/>
        <v>-3.6999999999999998E-2</v>
      </c>
      <c r="D108">
        <f t="shared" si="6"/>
        <v>-1.296</v>
      </c>
      <c r="E108">
        <f t="shared" si="6"/>
        <v>35</v>
      </c>
      <c r="G108">
        <v>107</v>
      </c>
      <c r="H108" t="s">
        <v>130</v>
      </c>
      <c r="I108">
        <v>-3.6999999999999998E-2</v>
      </c>
      <c r="J108">
        <v>-1.296</v>
      </c>
      <c r="K108">
        <v>35</v>
      </c>
    </row>
    <row r="109" spans="1:11">
      <c r="A109" t="str">
        <f t="shared" si="4"/>
        <v>Ludvig Åberg</v>
      </c>
      <c r="B109">
        <f t="shared" si="5"/>
        <v>108</v>
      </c>
      <c r="C109">
        <f t="shared" si="6"/>
        <v>-4.5999999999999999E-2</v>
      </c>
      <c r="D109">
        <f t="shared" si="6"/>
        <v>-1.347</v>
      </c>
      <c r="E109">
        <f t="shared" si="6"/>
        <v>29</v>
      </c>
      <c r="G109">
        <v>108</v>
      </c>
      <c r="H109" t="s">
        <v>439</v>
      </c>
      <c r="I109">
        <v>-4.5999999999999999E-2</v>
      </c>
      <c r="J109">
        <v>-1.347</v>
      </c>
      <c r="K109">
        <v>29</v>
      </c>
    </row>
    <row r="110" spans="1:11">
      <c r="A110" t="str">
        <f t="shared" si="4"/>
        <v>Sahith Theegala</v>
      </c>
      <c r="B110">
        <f t="shared" si="5"/>
        <v>108</v>
      </c>
      <c r="C110">
        <f t="shared" si="6"/>
        <v>-4.5999999999999999E-2</v>
      </c>
      <c r="D110">
        <f t="shared" si="6"/>
        <v>-1.415</v>
      </c>
      <c r="E110">
        <f t="shared" si="6"/>
        <v>31</v>
      </c>
      <c r="G110">
        <v>108</v>
      </c>
      <c r="H110" t="s">
        <v>64</v>
      </c>
      <c r="I110">
        <v>-4.5999999999999999E-2</v>
      </c>
      <c r="J110">
        <v>-1.415</v>
      </c>
      <c r="K110">
        <v>31</v>
      </c>
    </row>
    <row r="111" spans="1:11">
      <c r="A111" t="str">
        <f t="shared" si="4"/>
        <v>Will Zalatoris</v>
      </c>
      <c r="B111">
        <f t="shared" si="5"/>
        <v>108</v>
      </c>
      <c r="C111">
        <f t="shared" si="6"/>
        <v>-4.5999999999999999E-2</v>
      </c>
      <c r="D111">
        <f t="shared" si="6"/>
        <v>-0.86499999999999999</v>
      </c>
      <c r="E111">
        <f t="shared" si="6"/>
        <v>19</v>
      </c>
      <c r="G111">
        <v>108</v>
      </c>
      <c r="H111" t="s">
        <v>233</v>
      </c>
      <c r="I111">
        <v>-4.5999999999999999E-2</v>
      </c>
      <c r="J111">
        <v>-0.86499999999999999</v>
      </c>
      <c r="K111">
        <v>19</v>
      </c>
    </row>
    <row r="112" spans="1:11">
      <c r="A112" t="str">
        <f t="shared" si="4"/>
        <v>David Lipsky</v>
      </c>
      <c r="B112">
        <f t="shared" si="5"/>
        <v>111</v>
      </c>
      <c r="C112">
        <f t="shared" si="6"/>
        <v>-0.05</v>
      </c>
      <c r="D112">
        <f t="shared" si="6"/>
        <v>-1.145</v>
      </c>
      <c r="E112">
        <f t="shared" si="6"/>
        <v>23</v>
      </c>
      <c r="G112">
        <v>111</v>
      </c>
      <c r="H112" t="s">
        <v>163</v>
      </c>
      <c r="I112">
        <v>-0.05</v>
      </c>
      <c r="J112">
        <v>-1.145</v>
      </c>
      <c r="K112">
        <v>23</v>
      </c>
    </row>
    <row r="113" spans="1:11">
      <c r="A113" t="str">
        <f t="shared" si="4"/>
        <v>Christiaan Bezuidenhout</v>
      </c>
      <c r="B113">
        <f t="shared" si="5"/>
        <v>112</v>
      </c>
      <c r="C113">
        <f t="shared" si="6"/>
        <v>-6.0999999999999999E-2</v>
      </c>
      <c r="D113">
        <f t="shared" si="6"/>
        <v>-1.7689999999999999</v>
      </c>
      <c r="E113">
        <f t="shared" si="6"/>
        <v>29</v>
      </c>
      <c r="G113">
        <v>112</v>
      </c>
      <c r="H113" t="s">
        <v>165</v>
      </c>
      <c r="I113">
        <v>-6.0999999999999999E-2</v>
      </c>
      <c r="J113">
        <v>-1.7689999999999999</v>
      </c>
      <c r="K113">
        <v>29</v>
      </c>
    </row>
    <row r="114" spans="1:11">
      <c r="A114" t="str">
        <f t="shared" si="4"/>
        <v>Victor Perez</v>
      </c>
      <c r="B114">
        <f t="shared" si="5"/>
        <v>113</v>
      </c>
      <c r="C114">
        <f t="shared" si="6"/>
        <v>-6.2E-2</v>
      </c>
      <c r="D114">
        <f t="shared" si="6"/>
        <v>-1.296</v>
      </c>
      <c r="E114">
        <f t="shared" si="6"/>
        <v>21</v>
      </c>
      <c r="G114">
        <v>113</v>
      </c>
      <c r="H114" t="s">
        <v>632</v>
      </c>
      <c r="I114">
        <v>-6.2E-2</v>
      </c>
      <c r="J114">
        <v>-1.296</v>
      </c>
      <c r="K114">
        <v>21</v>
      </c>
    </row>
    <row r="115" spans="1:11">
      <c r="A115" t="str">
        <f t="shared" si="4"/>
        <v>Justin Lower</v>
      </c>
      <c r="B115">
        <f t="shared" si="5"/>
        <v>114</v>
      </c>
      <c r="C115">
        <f t="shared" si="6"/>
        <v>-6.4000000000000001E-2</v>
      </c>
      <c r="D115">
        <f t="shared" si="6"/>
        <v>-2.0539999999999998</v>
      </c>
      <c r="E115">
        <f t="shared" si="6"/>
        <v>32</v>
      </c>
      <c r="G115">
        <v>114</v>
      </c>
      <c r="H115" t="s">
        <v>147</v>
      </c>
      <c r="I115">
        <v>-6.4000000000000001E-2</v>
      </c>
      <c r="J115">
        <v>-2.0539999999999998</v>
      </c>
      <c r="K115">
        <v>32</v>
      </c>
    </row>
    <row r="116" spans="1:11">
      <c r="A116" t="str">
        <f t="shared" si="4"/>
        <v>Harrison Endycott</v>
      </c>
      <c r="B116">
        <f t="shared" si="5"/>
        <v>115</v>
      </c>
      <c r="C116">
        <f t="shared" si="6"/>
        <v>-7.6999999999999999E-2</v>
      </c>
      <c r="D116">
        <f t="shared" si="6"/>
        <v>-0.84799999999999998</v>
      </c>
      <c r="E116">
        <f t="shared" si="6"/>
        <v>11</v>
      </c>
      <c r="G116">
        <v>115</v>
      </c>
      <c r="H116" t="s">
        <v>160</v>
      </c>
      <c r="I116">
        <v>-7.6999999999999999E-2</v>
      </c>
      <c r="J116">
        <v>-0.84799999999999998</v>
      </c>
      <c r="K116">
        <v>11</v>
      </c>
    </row>
    <row r="117" spans="1:11" ht="23.25" customHeight="1">
      <c r="A117" t="str">
        <f t="shared" si="4"/>
        <v>Kevin Streelman</v>
      </c>
      <c r="B117">
        <f t="shared" si="5"/>
        <v>116</v>
      </c>
      <c r="C117">
        <f t="shared" si="6"/>
        <v>-7.9000000000000001E-2</v>
      </c>
      <c r="D117">
        <f t="shared" si="6"/>
        <v>-1.1000000000000001</v>
      </c>
      <c r="E117">
        <f t="shared" si="6"/>
        <v>14</v>
      </c>
      <c r="G117">
        <v>116</v>
      </c>
      <c r="H117" t="s">
        <v>123</v>
      </c>
      <c r="I117">
        <v>-7.9000000000000001E-2</v>
      </c>
      <c r="J117">
        <v>-1.1000000000000001</v>
      </c>
      <c r="K117">
        <v>14</v>
      </c>
    </row>
    <row r="118" spans="1:11">
      <c r="A118" t="str">
        <f t="shared" si="4"/>
        <v>Zach Johnson</v>
      </c>
      <c r="B118">
        <f t="shared" si="5"/>
        <v>117</v>
      </c>
      <c r="C118">
        <f t="shared" si="6"/>
        <v>-8.1000000000000003E-2</v>
      </c>
      <c r="D118">
        <f t="shared" si="6"/>
        <v>-1.133</v>
      </c>
      <c r="E118">
        <f t="shared" si="6"/>
        <v>14</v>
      </c>
      <c r="G118">
        <v>117</v>
      </c>
      <c r="H118" t="s">
        <v>170</v>
      </c>
      <c r="I118">
        <v>-8.1000000000000003E-2</v>
      </c>
      <c r="J118">
        <v>-1.133</v>
      </c>
      <c r="K118">
        <v>14</v>
      </c>
    </row>
    <row r="119" spans="1:11">
      <c r="A119" t="str">
        <f t="shared" si="4"/>
        <v>Nico Echavarria</v>
      </c>
      <c r="B119">
        <f t="shared" si="5"/>
        <v>118</v>
      </c>
      <c r="C119">
        <f t="shared" si="6"/>
        <v>-0.09</v>
      </c>
      <c r="D119">
        <f t="shared" si="6"/>
        <v>-2.2599999999999998</v>
      </c>
      <c r="E119">
        <f t="shared" si="6"/>
        <v>25</v>
      </c>
      <c r="G119">
        <v>118</v>
      </c>
      <c r="H119" t="s">
        <v>103</v>
      </c>
      <c r="I119">
        <v>-0.09</v>
      </c>
      <c r="J119">
        <v>-2.2599999999999998</v>
      </c>
      <c r="K119">
        <v>25</v>
      </c>
    </row>
    <row r="120" spans="1:11">
      <c r="A120" t="str">
        <f t="shared" si="4"/>
        <v>Nick Dunlap</v>
      </c>
      <c r="B120">
        <f t="shared" si="5"/>
        <v>119</v>
      </c>
      <c r="C120">
        <f t="shared" si="6"/>
        <v>-9.2999999999999999E-2</v>
      </c>
      <c r="D120">
        <f t="shared" si="6"/>
        <v>-1.6759999999999999</v>
      </c>
      <c r="E120">
        <f t="shared" si="6"/>
        <v>18</v>
      </c>
      <c r="G120">
        <v>119</v>
      </c>
      <c r="H120" t="s">
        <v>539</v>
      </c>
      <c r="I120">
        <v>-9.2999999999999999E-2</v>
      </c>
      <c r="J120">
        <v>-1.6759999999999999</v>
      </c>
      <c r="K120">
        <v>18</v>
      </c>
    </row>
    <row r="121" spans="1:11">
      <c r="A121" t="str">
        <f t="shared" si="4"/>
        <v>Brandon Wu</v>
      </c>
      <c r="B121">
        <f t="shared" si="5"/>
        <v>120</v>
      </c>
      <c r="C121">
        <f t="shared" si="6"/>
        <v>-9.4E-2</v>
      </c>
      <c r="D121">
        <f t="shared" si="6"/>
        <v>-1.883</v>
      </c>
      <c r="E121">
        <f t="shared" si="6"/>
        <v>20</v>
      </c>
      <c r="G121">
        <v>120</v>
      </c>
      <c r="H121" t="s">
        <v>133</v>
      </c>
      <c r="I121">
        <v>-9.4E-2</v>
      </c>
      <c r="J121">
        <v>-1.883</v>
      </c>
      <c r="K121">
        <v>20</v>
      </c>
    </row>
    <row r="122" spans="1:11">
      <c r="A122" t="str">
        <f t="shared" si="4"/>
        <v>Camilo Villegas</v>
      </c>
      <c r="B122">
        <f t="shared" si="5"/>
        <v>121</v>
      </c>
      <c r="C122">
        <f t="shared" si="6"/>
        <v>-9.9000000000000005E-2</v>
      </c>
      <c r="D122">
        <f t="shared" si="6"/>
        <v>-1.681</v>
      </c>
      <c r="E122">
        <f t="shared" si="6"/>
        <v>17</v>
      </c>
      <c r="G122">
        <v>121</v>
      </c>
      <c r="H122" t="s">
        <v>222</v>
      </c>
      <c r="I122">
        <v>-9.9000000000000005E-2</v>
      </c>
      <c r="J122">
        <v>-1.681</v>
      </c>
      <c r="K122">
        <v>17</v>
      </c>
    </row>
    <row r="123" spans="1:11">
      <c r="A123" t="str">
        <f t="shared" si="4"/>
        <v>Chris Gotterup</v>
      </c>
      <c r="B123">
        <f t="shared" si="5"/>
        <v>122</v>
      </c>
      <c r="C123">
        <f t="shared" si="6"/>
        <v>-0.108</v>
      </c>
      <c r="D123">
        <f t="shared" si="6"/>
        <v>-2.169</v>
      </c>
      <c r="E123">
        <f t="shared" si="6"/>
        <v>20</v>
      </c>
      <c r="G123">
        <v>122</v>
      </c>
      <c r="H123" t="s">
        <v>596</v>
      </c>
      <c r="I123">
        <v>-0.108</v>
      </c>
      <c r="J123">
        <v>-2.169</v>
      </c>
      <c r="K123">
        <v>20</v>
      </c>
    </row>
    <row r="124" spans="1:11">
      <c r="A124" t="str">
        <f t="shared" si="4"/>
        <v>Rory McIlroy</v>
      </c>
      <c r="B124">
        <f t="shared" si="5"/>
        <v>123</v>
      </c>
      <c r="C124">
        <f t="shared" si="6"/>
        <v>-0.11899999999999999</v>
      </c>
      <c r="D124">
        <f t="shared" si="6"/>
        <v>-2.613</v>
      </c>
      <c r="E124">
        <f t="shared" si="6"/>
        <v>22</v>
      </c>
      <c r="G124">
        <v>123</v>
      </c>
      <c r="H124" t="s">
        <v>6</v>
      </c>
      <c r="I124">
        <v>-0.11899999999999999</v>
      </c>
      <c r="J124">
        <v>-2.613</v>
      </c>
      <c r="K124">
        <v>22</v>
      </c>
    </row>
    <row r="125" spans="1:11">
      <c r="A125" t="str">
        <f t="shared" si="4"/>
        <v>Jacob Bridgeman</v>
      </c>
      <c r="B125">
        <f t="shared" si="5"/>
        <v>124</v>
      </c>
      <c r="C125">
        <f t="shared" si="6"/>
        <v>-0.12</v>
      </c>
      <c r="D125">
        <f t="shared" si="6"/>
        <v>-2.2709999999999999</v>
      </c>
      <c r="E125">
        <f t="shared" si="6"/>
        <v>19</v>
      </c>
      <c r="G125">
        <v>124</v>
      </c>
      <c r="H125" t="s">
        <v>496</v>
      </c>
      <c r="I125">
        <v>-0.12</v>
      </c>
      <c r="J125">
        <v>-2.2709999999999999</v>
      </c>
      <c r="K125">
        <v>19</v>
      </c>
    </row>
    <row r="126" spans="1:11">
      <c r="A126" t="str">
        <f t="shared" si="4"/>
        <v>Garrick Higgo</v>
      </c>
      <c r="B126">
        <f t="shared" si="5"/>
        <v>125</v>
      </c>
      <c r="C126">
        <f t="shared" si="6"/>
        <v>-0.13100000000000001</v>
      </c>
      <c r="D126">
        <f t="shared" si="6"/>
        <v>-3.395</v>
      </c>
      <c r="E126">
        <f t="shared" si="6"/>
        <v>26</v>
      </c>
      <c r="G126">
        <v>125</v>
      </c>
      <c r="H126" t="s">
        <v>32</v>
      </c>
      <c r="I126">
        <v>-0.13100000000000001</v>
      </c>
      <c r="J126">
        <v>-3.395</v>
      </c>
      <c r="K126">
        <v>26</v>
      </c>
    </row>
    <row r="127" spans="1:11">
      <c r="A127" t="str">
        <f t="shared" si="4"/>
        <v>Davis Riley</v>
      </c>
      <c r="B127">
        <f t="shared" si="5"/>
        <v>126</v>
      </c>
      <c r="C127">
        <f t="shared" si="6"/>
        <v>-0.13200000000000001</v>
      </c>
      <c r="D127">
        <f t="shared" si="6"/>
        <v>-3.3050000000000002</v>
      </c>
      <c r="E127">
        <f t="shared" si="6"/>
        <v>25</v>
      </c>
      <c r="G127">
        <v>126</v>
      </c>
      <c r="H127" t="s">
        <v>55</v>
      </c>
      <c r="I127">
        <v>-0.13200000000000001</v>
      </c>
      <c r="J127">
        <v>-3.3050000000000002</v>
      </c>
      <c r="K127">
        <v>25</v>
      </c>
    </row>
    <row r="128" spans="1:11">
      <c r="A128" t="str">
        <f t="shared" si="4"/>
        <v>Chesson Hadley</v>
      </c>
      <c r="B128">
        <f t="shared" si="5"/>
        <v>127</v>
      </c>
      <c r="C128">
        <f t="shared" si="6"/>
        <v>-0.14499999999999999</v>
      </c>
      <c r="D128">
        <f t="shared" si="6"/>
        <v>-3.0470000000000002</v>
      </c>
      <c r="E128">
        <f t="shared" si="6"/>
        <v>21</v>
      </c>
      <c r="G128">
        <v>127</v>
      </c>
      <c r="H128" t="s">
        <v>106</v>
      </c>
      <c r="I128">
        <v>-0.14499999999999999</v>
      </c>
      <c r="J128">
        <v>-3.0470000000000002</v>
      </c>
      <c r="K128">
        <v>21</v>
      </c>
    </row>
    <row r="129" spans="1:11">
      <c r="A129" t="str">
        <f t="shared" si="4"/>
        <v>Gary Woodland</v>
      </c>
      <c r="B129">
        <f t="shared" si="5"/>
        <v>128</v>
      </c>
      <c r="C129">
        <f t="shared" si="6"/>
        <v>-0.152</v>
      </c>
      <c r="D129">
        <f t="shared" si="6"/>
        <v>-3.1949999999999998</v>
      </c>
      <c r="E129">
        <f t="shared" si="6"/>
        <v>21</v>
      </c>
      <c r="G129">
        <v>128</v>
      </c>
      <c r="H129" t="s">
        <v>17</v>
      </c>
      <c r="I129">
        <v>-0.152</v>
      </c>
      <c r="J129">
        <v>-3.1949999999999998</v>
      </c>
      <c r="K129">
        <v>21</v>
      </c>
    </row>
    <row r="130" spans="1:11">
      <c r="A130" t="str">
        <f t="shared" si="4"/>
        <v>Adam Scott</v>
      </c>
      <c r="B130">
        <f t="shared" si="5"/>
        <v>129</v>
      </c>
      <c r="C130">
        <f t="shared" si="6"/>
        <v>-0.153</v>
      </c>
      <c r="D130">
        <f t="shared" si="6"/>
        <v>-3.0569999999999999</v>
      </c>
      <c r="E130">
        <f t="shared" si="6"/>
        <v>20</v>
      </c>
      <c r="G130">
        <v>129</v>
      </c>
      <c r="H130" t="s">
        <v>19</v>
      </c>
      <c r="I130">
        <v>-0.153</v>
      </c>
      <c r="J130">
        <v>-3.0569999999999999</v>
      </c>
      <c r="K130">
        <v>20</v>
      </c>
    </row>
    <row r="131" spans="1:11">
      <c r="A131" t="str">
        <f t="shared" ref="A131:A187" si="7">H131</f>
        <v>Corey Conners</v>
      </c>
      <c r="B131">
        <f t="shared" ref="B131:B187" si="8">G131</f>
        <v>130</v>
      </c>
      <c r="C131">
        <f t="shared" ref="C131:E187" si="9">I131</f>
        <v>-0.154</v>
      </c>
      <c r="D131">
        <f t="shared" si="9"/>
        <v>-5.25</v>
      </c>
      <c r="E131">
        <f t="shared" si="9"/>
        <v>34</v>
      </c>
      <c r="G131">
        <v>130</v>
      </c>
      <c r="H131" t="s">
        <v>93</v>
      </c>
      <c r="I131">
        <v>-0.154</v>
      </c>
      <c r="J131">
        <v>-5.25</v>
      </c>
      <c r="K131">
        <v>34</v>
      </c>
    </row>
    <row r="132" spans="1:11">
      <c r="A132" t="str">
        <f t="shared" si="7"/>
        <v>Sepp Straka</v>
      </c>
      <c r="B132">
        <f t="shared" si="8"/>
        <v>131</v>
      </c>
      <c r="C132">
        <f t="shared" si="9"/>
        <v>-0.158</v>
      </c>
      <c r="D132">
        <f t="shared" si="9"/>
        <v>-3.32</v>
      </c>
      <c r="E132">
        <f t="shared" si="9"/>
        <v>21</v>
      </c>
      <c r="G132">
        <v>131</v>
      </c>
      <c r="H132" t="s">
        <v>110</v>
      </c>
      <c r="I132">
        <v>-0.158</v>
      </c>
      <c r="J132">
        <v>-3.32</v>
      </c>
      <c r="K132">
        <v>21</v>
      </c>
    </row>
    <row r="133" spans="1:11">
      <c r="A133" t="str">
        <f t="shared" si="7"/>
        <v>J.J. Spaun</v>
      </c>
      <c r="B133">
        <f t="shared" si="8"/>
        <v>132</v>
      </c>
      <c r="C133">
        <f t="shared" si="9"/>
        <v>-0.161</v>
      </c>
      <c r="D133">
        <f t="shared" si="9"/>
        <v>-4.0140000000000002</v>
      </c>
      <c r="E133">
        <f t="shared" si="9"/>
        <v>25</v>
      </c>
      <c r="G133">
        <v>132</v>
      </c>
      <c r="H133" t="s">
        <v>112</v>
      </c>
      <c r="I133">
        <v>-0.161</v>
      </c>
      <c r="J133">
        <v>-4.0140000000000002</v>
      </c>
      <c r="K133">
        <v>25</v>
      </c>
    </row>
    <row r="134" spans="1:11">
      <c r="A134" t="str">
        <f t="shared" si="7"/>
        <v>Cameron Young</v>
      </c>
      <c r="B134">
        <f t="shared" si="8"/>
        <v>133</v>
      </c>
      <c r="C134">
        <f t="shared" si="9"/>
        <v>-0.17399999999999999</v>
      </c>
      <c r="D134">
        <f t="shared" si="9"/>
        <v>-5.21</v>
      </c>
      <c r="E134">
        <f t="shared" si="9"/>
        <v>30</v>
      </c>
      <c r="G134">
        <v>133</v>
      </c>
      <c r="H134" t="s">
        <v>9</v>
      </c>
      <c r="I134">
        <v>-0.17399999999999999</v>
      </c>
      <c r="J134">
        <v>-5.21</v>
      </c>
      <c r="K134">
        <v>30</v>
      </c>
    </row>
    <row r="135" spans="1:11">
      <c r="A135" t="str">
        <f t="shared" si="7"/>
        <v>Daniel Berger</v>
      </c>
      <c r="B135">
        <f t="shared" si="8"/>
        <v>134</v>
      </c>
      <c r="C135">
        <f t="shared" si="9"/>
        <v>-0.17699999999999999</v>
      </c>
      <c r="D135">
        <f t="shared" si="9"/>
        <v>-2.3010000000000002</v>
      </c>
      <c r="E135">
        <f t="shared" si="9"/>
        <v>13</v>
      </c>
      <c r="G135">
        <v>134</v>
      </c>
      <c r="H135" t="s">
        <v>384</v>
      </c>
      <c r="I135">
        <v>-0.17699999999999999</v>
      </c>
      <c r="J135">
        <v>-2.3010000000000002</v>
      </c>
      <c r="K135">
        <v>13</v>
      </c>
    </row>
    <row r="136" spans="1:11">
      <c r="A136" t="str">
        <f t="shared" si="7"/>
        <v>Kurt Kitayama</v>
      </c>
      <c r="B136">
        <f t="shared" si="8"/>
        <v>135</v>
      </c>
      <c r="C136">
        <f t="shared" si="9"/>
        <v>-0.18</v>
      </c>
      <c r="D136">
        <f t="shared" si="9"/>
        <v>-5.0289999999999999</v>
      </c>
      <c r="E136">
        <f t="shared" si="9"/>
        <v>28</v>
      </c>
      <c r="G136">
        <v>135</v>
      </c>
      <c r="H136" t="s">
        <v>54</v>
      </c>
      <c r="I136">
        <v>-0.18</v>
      </c>
      <c r="J136">
        <v>-5.0289999999999999</v>
      </c>
      <c r="K136">
        <v>28</v>
      </c>
    </row>
    <row r="137" spans="1:11">
      <c r="A137" t="str">
        <f t="shared" si="7"/>
        <v>Norman Xiong</v>
      </c>
      <c r="B137">
        <f t="shared" si="8"/>
        <v>136</v>
      </c>
      <c r="C137">
        <f t="shared" si="9"/>
        <v>-0.183</v>
      </c>
      <c r="D137">
        <f t="shared" si="9"/>
        <v>-3.117</v>
      </c>
      <c r="E137">
        <f t="shared" si="9"/>
        <v>17</v>
      </c>
      <c r="G137">
        <v>136</v>
      </c>
      <c r="H137" t="s">
        <v>494</v>
      </c>
      <c r="I137">
        <v>-0.183</v>
      </c>
      <c r="J137">
        <v>-3.117</v>
      </c>
      <c r="K137">
        <v>17</v>
      </c>
    </row>
    <row r="138" spans="1:11">
      <c r="A138" t="str">
        <f t="shared" si="7"/>
        <v>Bronson Burgoon</v>
      </c>
      <c r="B138">
        <f t="shared" si="8"/>
        <v>137</v>
      </c>
      <c r="C138">
        <f t="shared" si="9"/>
        <v>-0.19500000000000001</v>
      </c>
      <c r="D138">
        <f t="shared" si="9"/>
        <v>-2.931</v>
      </c>
      <c r="E138">
        <f t="shared" si="9"/>
        <v>15</v>
      </c>
      <c r="G138">
        <v>137</v>
      </c>
      <c r="H138" t="s">
        <v>412</v>
      </c>
      <c r="I138">
        <v>-0.19500000000000001</v>
      </c>
      <c r="J138">
        <v>-2.931</v>
      </c>
      <c r="K138">
        <v>15</v>
      </c>
    </row>
    <row r="139" spans="1:11">
      <c r="A139" t="str">
        <f t="shared" si="7"/>
        <v>Erik van Rooyen</v>
      </c>
      <c r="B139">
        <f t="shared" si="8"/>
        <v>138</v>
      </c>
      <c r="C139">
        <f t="shared" si="9"/>
        <v>-0.2</v>
      </c>
      <c r="D139">
        <f t="shared" si="9"/>
        <v>-5.6109999999999998</v>
      </c>
      <c r="E139">
        <f t="shared" si="9"/>
        <v>28</v>
      </c>
      <c r="G139">
        <v>138</v>
      </c>
      <c r="H139" t="s">
        <v>65</v>
      </c>
      <c r="I139">
        <v>-0.2</v>
      </c>
      <c r="J139">
        <v>-5.6109999999999998</v>
      </c>
      <c r="K139">
        <v>28</v>
      </c>
    </row>
    <row r="140" spans="1:11">
      <c r="A140" t="str">
        <f t="shared" si="7"/>
        <v>Ryan Fox</v>
      </c>
      <c r="B140">
        <f t="shared" si="8"/>
        <v>139</v>
      </c>
      <c r="C140">
        <f t="shared" si="9"/>
        <v>-0.20599999999999999</v>
      </c>
      <c r="D140">
        <f t="shared" si="9"/>
        <v>-4.3259999999999996</v>
      </c>
      <c r="E140">
        <f t="shared" si="9"/>
        <v>21</v>
      </c>
      <c r="G140">
        <v>139</v>
      </c>
      <c r="H140" t="s">
        <v>549</v>
      </c>
      <c r="I140">
        <v>-0.20599999999999999</v>
      </c>
      <c r="J140">
        <v>-4.3259999999999996</v>
      </c>
      <c r="K140">
        <v>21</v>
      </c>
    </row>
    <row r="141" spans="1:11">
      <c r="A141" t="str">
        <f t="shared" si="7"/>
        <v>Joel Dahmen</v>
      </c>
      <c r="B141">
        <f t="shared" si="8"/>
        <v>140</v>
      </c>
      <c r="C141">
        <f t="shared" si="9"/>
        <v>-0.221</v>
      </c>
      <c r="D141">
        <f t="shared" si="9"/>
        <v>-5.0789999999999997</v>
      </c>
      <c r="E141">
        <f t="shared" si="9"/>
        <v>23</v>
      </c>
      <c r="G141">
        <v>140</v>
      </c>
      <c r="H141" t="s">
        <v>137</v>
      </c>
      <c r="I141">
        <v>-0.221</v>
      </c>
      <c r="J141">
        <v>-5.0789999999999997</v>
      </c>
      <c r="K141">
        <v>23</v>
      </c>
    </row>
    <row r="142" spans="1:11">
      <c r="A142" t="str">
        <f t="shared" si="7"/>
        <v>Sam Burns</v>
      </c>
      <c r="B142">
        <f t="shared" si="8"/>
        <v>141</v>
      </c>
      <c r="C142">
        <f t="shared" si="9"/>
        <v>-0.22500000000000001</v>
      </c>
      <c r="D142">
        <f t="shared" si="9"/>
        <v>-5.3940000000000001</v>
      </c>
      <c r="E142">
        <f t="shared" si="9"/>
        <v>24</v>
      </c>
      <c r="G142">
        <v>141</v>
      </c>
      <c r="H142" t="s">
        <v>27</v>
      </c>
      <c r="I142">
        <v>-0.22500000000000001</v>
      </c>
      <c r="J142">
        <v>-5.3940000000000001</v>
      </c>
      <c r="K142">
        <v>24</v>
      </c>
    </row>
    <row r="143" spans="1:11">
      <c r="A143" t="str">
        <f t="shared" si="7"/>
        <v>Keith Mitchell</v>
      </c>
      <c r="B143">
        <f t="shared" si="8"/>
        <v>142</v>
      </c>
      <c r="C143">
        <f t="shared" si="9"/>
        <v>-0.22900000000000001</v>
      </c>
      <c r="D143">
        <f t="shared" si="9"/>
        <v>-7.5659999999999998</v>
      </c>
      <c r="E143">
        <f t="shared" si="9"/>
        <v>33</v>
      </c>
      <c r="G143">
        <v>142</v>
      </c>
      <c r="H143" t="s">
        <v>14</v>
      </c>
      <c r="I143">
        <v>-0.22900000000000001</v>
      </c>
      <c r="J143">
        <v>-7.5659999999999998</v>
      </c>
      <c r="K143">
        <v>33</v>
      </c>
    </row>
    <row r="144" spans="1:11">
      <c r="A144" t="str">
        <f t="shared" si="7"/>
        <v>Nick Taylor</v>
      </c>
      <c r="B144">
        <f t="shared" si="8"/>
        <v>143</v>
      </c>
      <c r="C144">
        <f t="shared" si="9"/>
        <v>-0.246</v>
      </c>
      <c r="D144">
        <f t="shared" si="9"/>
        <v>-7.39</v>
      </c>
      <c r="E144">
        <f t="shared" si="9"/>
        <v>30</v>
      </c>
      <c r="G144">
        <v>143</v>
      </c>
      <c r="H144" t="s">
        <v>158</v>
      </c>
      <c r="I144">
        <v>-0.246</v>
      </c>
      <c r="J144">
        <v>-7.39</v>
      </c>
      <c r="K144">
        <v>30</v>
      </c>
    </row>
    <row r="145" spans="1:11">
      <c r="A145" t="str">
        <f t="shared" si="7"/>
        <v>Matthieu Pavon</v>
      </c>
      <c r="B145">
        <f t="shared" si="8"/>
        <v>144</v>
      </c>
      <c r="C145">
        <f t="shared" si="9"/>
        <v>-0.249</v>
      </c>
      <c r="D145">
        <f t="shared" si="9"/>
        <v>-4.734</v>
      </c>
      <c r="E145">
        <f t="shared" si="9"/>
        <v>19</v>
      </c>
      <c r="G145">
        <v>144</v>
      </c>
      <c r="H145" t="s">
        <v>487</v>
      </c>
      <c r="I145">
        <v>-0.249</v>
      </c>
      <c r="J145">
        <v>-4.734</v>
      </c>
      <c r="K145">
        <v>19</v>
      </c>
    </row>
    <row r="146" spans="1:11">
      <c r="A146" t="str">
        <f t="shared" si="7"/>
        <v>Vincent Norrman</v>
      </c>
      <c r="B146">
        <f t="shared" si="8"/>
        <v>145</v>
      </c>
      <c r="C146">
        <f t="shared" si="9"/>
        <v>-0.26</v>
      </c>
      <c r="D146">
        <f t="shared" si="9"/>
        <v>-7.0170000000000003</v>
      </c>
      <c r="E146">
        <f t="shared" si="9"/>
        <v>27</v>
      </c>
      <c r="G146">
        <v>145</v>
      </c>
      <c r="H146" t="s">
        <v>13</v>
      </c>
      <c r="I146">
        <v>-0.26</v>
      </c>
      <c r="J146">
        <v>-7.0170000000000003</v>
      </c>
      <c r="K146">
        <v>27</v>
      </c>
    </row>
    <row r="147" spans="1:11">
      <c r="A147" t="str">
        <f t="shared" si="7"/>
        <v>Sami Valimaki</v>
      </c>
      <c r="B147">
        <f t="shared" si="8"/>
        <v>146</v>
      </c>
      <c r="C147">
        <f t="shared" si="9"/>
        <v>-0.26800000000000002</v>
      </c>
      <c r="D147">
        <f t="shared" si="9"/>
        <v>-6.6909999999999998</v>
      </c>
      <c r="E147">
        <f t="shared" si="9"/>
        <v>25</v>
      </c>
      <c r="G147">
        <v>146</v>
      </c>
      <c r="H147" t="s">
        <v>488</v>
      </c>
      <c r="I147">
        <v>-0.26800000000000002</v>
      </c>
      <c r="J147">
        <v>-6.6909999999999998</v>
      </c>
      <c r="K147">
        <v>25</v>
      </c>
    </row>
    <row r="148" spans="1:11">
      <c r="A148" t="str">
        <f t="shared" si="7"/>
        <v>Hayden Buckley</v>
      </c>
      <c r="B148">
        <f t="shared" si="8"/>
        <v>147</v>
      </c>
      <c r="C148">
        <f t="shared" si="9"/>
        <v>-0.28199999999999997</v>
      </c>
      <c r="D148">
        <f t="shared" si="9"/>
        <v>-5.9180000000000001</v>
      </c>
      <c r="E148">
        <f t="shared" si="9"/>
        <v>21</v>
      </c>
      <c r="G148">
        <v>147</v>
      </c>
      <c r="H148" t="s">
        <v>60</v>
      </c>
      <c r="I148">
        <v>-0.28199999999999997</v>
      </c>
      <c r="J148">
        <v>-5.9180000000000001</v>
      </c>
      <c r="K148">
        <v>21</v>
      </c>
    </row>
    <row r="149" spans="1:11">
      <c r="A149" t="str">
        <f t="shared" si="7"/>
        <v>Matti Schmid</v>
      </c>
      <c r="B149">
        <f t="shared" si="8"/>
        <v>148</v>
      </c>
      <c r="C149">
        <f t="shared" si="9"/>
        <v>-0.28599999999999998</v>
      </c>
      <c r="D149">
        <f t="shared" si="9"/>
        <v>-7.1479999999999997</v>
      </c>
      <c r="E149">
        <f t="shared" si="9"/>
        <v>25</v>
      </c>
      <c r="G149">
        <v>148</v>
      </c>
      <c r="H149" t="s">
        <v>11</v>
      </c>
      <c r="I149">
        <v>-0.28599999999999998</v>
      </c>
      <c r="J149">
        <v>-7.1479999999999997</v>
      </c>
      <c r="K149">
        <v>25</v>
      </c>
    </row>
    <row r="150" spans="1:11">
      <c r="A150" t="str">
        <f t="shared" si="7"/>
        <v>Matt NeSmith</v>
      </c>
      <c r="B150">
        <f t="shared" si="8"/>
        <v>149</v>
      </c>
      <c r="C150">
        <f t="shared" si="9"/>
        <v>-0.308</v>
      </c>
      <c r="D150">
        <f t="shared" si="9"/>
        <v>-7.0819999999999999</v>
      </c>
      <c r="E150">
        <f t="shared" si="9"/>
        <v>23</v>
      </c>
      <c r="G150">
        <v>149</v>
      </c>
      <c r="H150" t="s">
        <v>443</v>
      </c>
      <c r="I150">
        <v>-0.308</v>
      </c>
      <c r="J150">
        <v>-7.0819999999999999</v>
      </c>
      <c r="K150">
        <v>23</v>
      </c>
    </row>
    <row r="151" spans="1:11">
      <c r="A151" t="str">
        <f t="shared" si="7"/>
        <v>Ben Martin</v>
      </c>
      <c r="B151">
        <f t="shared" si="8"/>
        <v>150</v>
      </c>
      <c r="C151">
        <f t="shared" si="9"/>
        <v>-0.311</v>
      </c>
      <c r="D151">
        <f t="shared" si="9"/>
        <v>-6.5359999999999996</v>
      </c>
      <c r="E151">
        <f t="shared" si="9"/>
        <v>21</v>
      </c>
      <c r="G151">
        <v>150</v>
      </c>
      <c r="H151" t="s">
        <v>151</v>
      </c>
      <c r="I151">
        <v>-0.311</v>
      </c>
      <c r="J151">
        <v>-6.5359999999999996</v>
      </c>
      <c r="K151">
        <v>21</v>
      </c>
    </row>
    <row r="152" spans="1:11">
      <c r="A152" t="str">
        <f t="shared" si="7"/>
        <v>Lanto Griffin</v>
      </c>
      <c r="B152">
        <f t="shared" si="8"/>
        <v>151</v>
      </c>
      <c r="C152">
        <f t="shared" si="9"/>
        <v>-0.312</v>
      </c>
      <c r="D152">
        <f t="shared" si="9"/>
        <v>-6.5460000000000003</v>
      </c>
      <c r="E152">
        <f t="shared" si="9"/>
        <v>21</v>
      </c>
      <c r="G152">
        <v>151</v>
      </c>
      <c r="H152" t="s">
        <v>80</v>
      </c>
      <c r="I152">
        <v>-0.312</v>
      </c>
      <c r="J152">
        <v>-6.5460000000000003</v>
      </c>
      <c r="K152">
        <v>21</v>
      </c>
    </row>
    <row r="153" spans="1:11">
      <c r="A153" t="str">
        <f t="shared" si="7"/>
        <v>Cam Davis</v>
      </c>
      <c r="B153">
        <f t="shared" si="8"/>
        <v>152</v>
      </c>
      <c r="C153">
        <f t="shared" si="9"/>
        <v>-0.32800000000000001</v>
      </c>
      <c r="D153">
        <f t="shared" si="9"/>
        <v>-7.8630000000000004</v>
      </c>
      <c r="E153">
        <f t="shared" si="9"/>
        <v>24</v>
      </c>
      <c r="G153">
        <v>152</v>
      </c>
      <c r="H153" t="s">
        <v>29</v>
      </c>
      <c r="I153">
        <v>-0.32800000000000001</v>
      </c>
      <c r="J153">
        <v>-7.8630000000000004</v>
      </c>
      <c r="K153">
        <v>24</v>
      </c>
    </row>
    <row r="154" spans="1:11">
      <c r="A154" t="str">
        <f t="shared" si="7"/>
        <v>Rico Hoey</v>
      </c>
      <c r="B154">
        <f t="shared" si="8"/>
        <v>153</v>
      </c>
      <c r="C154">
        <f t="shared" si="9"/>
        <v>-0.33300000000000002</v>
      </c>
      <c r="D154">
        <f t="shared" si="9"/>
        <v>-6.3360000000000003</v>
      </c>
      <c r="E154">
        <f t="shared" si="9"/>
        <v>19</v>
      </c>
      <c r="G154">
        <v>153</v>
      </c>
      <c r="H154" t="s">
        <v>485</v>
      </c>
      <c r="I154">
        <v>-0.33300000000000002</v>
      </c>
      <c r="J154">
        <v>-6.3360000000000003</v>
      </c>
      <c r="K154">
        <v>19</v>
      </c>
    </row>
    <row r="155" spans="1:11">
      <c r="A155" t="str">
        <f t="shared" si="7"/>
        <v>Sam Ryder</v>
      </c>
      <c r="B155">
        <f t="shared" si="8"/>
        <v>154</v>
      </c>
      <c r="C155">
        <f t="shared" si="9"/>
        <v>-0.33800000000000002</v>
      </c>
      <c r="D155">
        <f t="shared" si="9"/>
        <v>-8.4489999999999998</v>
      </c>
      <c r="E155">
        <f t="shared" si="9"/>
        <v>25</v>
      </c>
      <c r="G155">
        <v>154</v>
      </c>
      <c r="H155" t="s">
        <v>146</v>
      </c>
      <c r="I155">
        <v>-0.33800000000000002</v>
      </c>
      <c r="J155">
        <v>-8.4489999999999998</v>
      </c>
      <c r="K155">
        <v>25</v>
      </c>
    </row>
    <row r="156" spans="1:11">
      <c r="A156" t="str">
        <f t="shared" si="7"/>
        <v>Carson Young</v>
      </c>
      <c r="B156">
        <f t="shared" si="8"/>
        <v>155</v>
      </c>
      <c r="C156">
        <f t="shared" si="9"/>
        <v>-0.34100000000000003</v>
      </c>
      <c r="D156">
        <f t="shared" si="9"/>
        <v>-9.2010000000000005</v>
      </c>
      <c r="E156">
        <f t="shared" si="9"/>
        <v>27</v>
      </c>
      <c r="G156">
        <v>155</v>
      </c>
      <c r="H156" t="s">
        <v>136</v>
      </c>
      <c r="I156">
        <v>-0.34100000000000003</v>
      </c>
      <c r="J156">
        <v>-9.2010000000000005</v>
      </c>
      <c r="K156">
        <v>27</v>
      </c>
    </row>
    <row r="157" spans="1:11">
      <c r="A157" t="str">
        <f t="shared" si="7"/>
        <v>Thomas Detry</v>
      </c>
      <c r="B157">
        <f t="shared" si="8"/>
        <v>156</v>
      </c>
      <c r="C157">
        <f t="shared" si="9"/>
        <v>-0.34499999999999997</v>
      </c>
      <c r="D157">
        <f t="shared" si="9"/>
        <v>-8.6219999999999999</v>
      </c>
      <c r="E157">
        <f t="shared" si="9"/>
        <v>25</v>
      </c>
      <c r="G157">
        <v>156</v>
      </c>
      <c r="H157" t="s">
        <v>46</v>
      </c>
      <c r="I157">
        <v>-0.34499999999999997</v>
      </c>
      <c r="J157">
        <v>-8.6219999999999999</v>
      </c>
      <c r="K157">
        <v>25</v>
      </c>
    </row>
    <row r="158" spans="1:11">
      <c r="A158" t="str">
        <f t="shared" si="7"/>
        <v>Rafael Campos</v>
      </c>
      <c r="B158">
        <f t="shared" si="8"/>
        <v>157</v>
      </c>
      <c r="C158">
        <f t="shared" si="9"/>
        <v>-0.36699999999999999</v>
      </c>
      <c r="D158">
        <f t="shared" si="9"/>
        <v>-4.766</v>
      </c>
      <c r="E158">
        <f t="shared" si="9"/>
        <v>13</v>
      </c>
      <c r="G158">
        <v>157</v>
      </c>
      <c r="H158" t="s">
        <v>558</v>
      </c>
      <c r="I158">
        <v>-0.36699999999999999</v>
      </c>
      <c r="J158">
        <v>-4.766</v>
      </c>
      <c r="K158">
        <v>13</v>
      </c>
    </row>
    <row r="159" spans="1:11">
      <c r="A159" t="str">
        <f t="shared" si="7"/>
        <v>Raul Pereda</v>
      </c>
      <c r="B159">
        <f t="shared" si="8"/>
        <v>158</v>
      </c>
      <c r="C159">
        <f t="shared" si="9"/>
        <v>-0.37</v>
      </c>
      <c r="D159">
        <f t="shared" si="9"/>
        <v>-4.0709999999999997</v>
      </c>
      <c r="E159">
        <f t="shared" si="9"/>
        <v>11</v>
      </c>
      <c r="G159">
        <v>158</v>
      </c>
      <c r="H159" t="s">
        <v>564</v>
      </c>
      <c r="I159">
        <v>-0.37</v>
      </c>
      <c r="J159">
        <v>-4.0709999999999997</v>
      </c>
      <c r="K159">
        <v>11</v>
      </c>
    </row>
    <row r="160" spans="1:11">
      <c r="A160" t="str">
        <f t="shared" si="7"/>
        <v>Ryan Brehm</v>
      </c>
      <c r="B160">
        <f t="shared" si="8"/>
        <v>159</v>
      </c>
      <c r="C160">
        <f t="shared" si="9"/>
        <v>-0.378</v>
      </c>
      <c r="D160">
        <f t="shared" si="9"/>
        <v>-7.9429999999999996</v>
      </c>
      <c r="E160">
        <f t="shared" si="9"/>
        <v>21</v>
      </c>
      <c r="G160">
        <v>159</v>
      </c>
      <c r="H160" t="s">
        <v>37</v>
      </c>
      <c r="I160">
        <v>-0.378</v>
      </c>
      <c r="J160">
        <v>-7.9429999999999996</v>
      </c>
      <c r="K160">
        <v>21</v>
      </c>
    </row>
    <row r="161" spans="1:11">
      <c r="A161" t="str">
        <f t="shared" si="7"/>
        <v>Jhonattan Vegas</v>
      </c>
      <c r="B161">
        <f t="shared" si="8"/>
        <v>160</v>
      </c>
      <c r="C161">
        <f t="shared" si="9"/>
        <v>-0.38800000000000001</v>
      </c>
      <c r="D161">
        <f t="shared" si="9"/>
        <v>-7.3630000000000004</v>
      </c>
      <c r="E161">
        <f t="shared" si="9"/>
        <v>19</v>
      </c>
      <c r="G161">
        <v>160</v>
      </c>
      <c r="H161" t="s">
        <v>241</v>
      </c>
      <c r="I161">
        <v>-0.38800000000000001</v>
      </c>
      <c r="J161">
        <v>-7.3630000000000004</v>
      </c>
      <c r="K161">
        <v>19</v>
      </c>
    </row>
    <row r="162" spans="1:11">
      <c r="A162" t="str">
        <f t="shared" si="7"/>
        <v>Emiliano Grillo</v>
      </c>
      <c r="B162">
        <f t="shared" si="8"/>
        <v>161</v>
      </c>
      <c r="C162">
        <f t="shared" si="9"/>
        <v>-0.39900000000000002</v>
      </c>
      <c r="D162">
        <f t="shared" si="9"/>
        <v>-13.169</v>
      </c>
      <c r="E162">
        <f t="shared" si="9"/>
        <v>33</v>
      </c>
      <c r="G162">
        <v>161</v>
      </c>
      <c r="H162" t="s">
        <v>90</v>
      </c>
      <c r="I162">
        <v>-0.39900000000000002</v>
      </c>
      <c r="J162">
        <v>-13.169</v>
      </c>
      <c r="K162">
        <v>33</v>
      </c>
    </row>
    <row r="163" spans="1:11">
      <c r="A163" t="str">
        <f t="shared" si="7"/>
        <v>Trace Crowe</v>
      </c>
      <c r="B163">
        <f t="shared" si="8"/>
        <v>162</v>
      </c>
      <c r="C163">
        <f t="shared" si="9"/>
        <v>-0.40400000000000003</v>
      </c>
      <c r="D163">
        <f t="shared" si="9"/>
        <v>-4.8449999999999998</v>
      </c>
      <c r="E163">
        <f t="shared" si="9"/>
        <v>12</v>
      </c>
      <c r="G163">
        <v>162</v>
      </c>
      <c r="H163" t="s">
        <v>559</v>
      </c>
      <c r="I163">
        <v>-0.40400000000000003</v>
      </c>
      <c r="J163">
        <v>-4.8449999999999998</v>
      </c>
      <c r="K163">
        <v>12</v>
      </c>
    </row>
    <row r="164" spans="1:11">
      <c r="A164" t="str">
        <f t="shared" si="7"/>
        <v>Callum Tarren</v>
      </c>
      <c r="B164">
        <f t="shared" si="8"/>
        <v>163</v>
      </c>
      <c r="C164">
        <f t="shared" si="9"/>
        <v>-0.41</v>
      </c>
      <c r="D164">
        <f t="shared" si="9"/>
        <v>-8.6029999999999998</v>
      </c>
      <c r="E164">
        <f t="shared" si="9"/>
        <v>21</v>
      </c>
      <c r="G164">
        <v>163</v>
      </c>
      <c r="H164" t="s">
        <v>21</v>
      </c>
      <c r="I164">
        <v>-0.41</v>
      </c>
      <c r="J164">
        <v>-8.6029999999999998</v>
      </c>
      <c r="K164">
        <v>21</v>
      </c>
    </row>
    <row r="165" spans="1:11">
      <c r="A165" t="str">
        <f t="shared" si="7"/>
        <v>Luke List</v>
      </c>
      <c r="B165">
        <f t="shared" si="8"/>
        <v>164</v>
      </c>
      <c r="C165">
        <f t="shared" si="9"/>
        <v>-0.41899999999999998</v>
      </c>
      <c r="D165">
        <f t="shared" si="9"/>
        <v>-12.14</v>
      </c>
      <c r="E165">
        <f t="shared" si="9"/>
        <v>29</v>
      </c>
      <c r="G165">
        <v>164</v>
      </c>
      <c r="H165" t="s">
        <v>23</v>
      </c>
      <c r="I165">
        <v>-0.41899999999999998</v>
      </c>
      <c r="J165">
        <v>-12.14</v>
      </c>
      <c r="K165">
        <v>29</v>
      </c>
    </row>
    <row r="166" spans="1:11">
      <c r="A166" t="str">
        <f t="shared" si="7"/>
        <v>Alex Smalley</v>
      </c>
      <c r="B166">
        <f t="shared" si="8"/>
        <v>165</v>
      </c>
      <c r="C166">
        <f t="shared" si="9"/>
        <v>-0.434</v>
      </c>
      <c r="D166">
        <f t="shared" si="9"/>
        <v>-8.2530000000000001</v>
      </c>
      <c r="E166">
        <f t="shared" si="9"/>
        <v>19</v>
      </c>
      <c r="G166">
        <v>165</v>
      </c>
      <c r="H166" t="s">
        <v>79</v>
      </c>
      <c r="I166">
        <v>-0.434</v>
      </c>
      <c r="J166">
        <v>-8.2530000000000001</v>
      </c>
      <c r="K166">
        <v>19</v>
      </c>
    </row>
    <row r="167" spans="1:11">
      <c r="A167" t="str">
        <f t="shared" si="7"/>
        <v>Alexander Björk</v>
      </c>
      <c r="B167">
        <f t="shared" si="8"/>
        <v>166</v>
      </c>
      <c r="C167">
        <f t="shared" si="9"/>
        <v>-0.436</v>
      </c>
      <c r="D167">
        <f t="shared" si="9"/>
        <v>-10.036</v>
      </c>
      <c r="E167">
        <f t="shared" si="9"/>
        <v>23</v>
      </c>
      <c r="G167">
        <v>166</v>
      </c>
      <c r="H167" t="s">
        <v>491</v>
      </c>
      <c r="I167">
        <v>-0.436</v>
      </c>
      <c r="J167">
        <v>-10.036</v>
      </c>
      <c r="K167">
        <v>23</v>
      </c>
    </row>
    <row r="168" spans="1:11">
      <c r="A168" t="str">
        <f t="shared" si="7"/>
        <v>Lee Hodges</v>
      </c>
      <c r="B168">
        <f t="shared" si="8"/>
        <v>167</v>
      </c>
      <c r="C168">
        <f t="shared" si="9"/>
        <v>-0.441</v>
      </c>
      <c r="D168">
        <f t="shared" si="9"/>
        <v>-12.798999999999999</v>
      </c>
      <c r="E168">
        <f t="shared" si="9"/>
        <v>29</v>
      </c>
      <c r="G168">
        <v>167</v>
      </c>
      <c r="H168" t="s">
        <v>101</v>
      </c>
      <c r="I168">
        <v>-0.441</v>
      </c>
      <c r="J168">
        <v>-12.798999999999999</v>
      </c>
      <c r="K168">
        <v>29</v>
      </c>
    </row>
    <row r="169" spans="1:11">
      <c r="A169" t="str">
        <f t="shared" si="7"/>
        <v>Tom Hoge</v>
      </c>
      <c r="B169">
        <f t="shared" si="8"/>
        <v>168</v>
      </c>
      <c r="C169">
        <f t="shared" si="9"/>
        <v>-0.443</v>
      </c>
      <c r="D169">
        <f t="shared" si="9"/>
        <v>-15.504</v>
      </c>
      <c r="E169">
        <f t="shared" si="9"/>
        <v>35</v>
      </c>
      <c r="G169">
        <v>168</v>
      </c>
      <c r="H169" t="s">
        <v>139</v>
      </c>
      <c r="I169">
        <v>-0.443</v>
      </c>
      <c r="J169">
        <v>-15.504</v>
      </c>
      <c r="K169">
        <v>35</v>
      </c>
    </row>
    <row r="170" spans="1:11">
      <c r="A170" t="str">
        <f t="shared" si="7"/>
        <v>Brandt Snedeker</v>
      </c>
      <c r="B170">
        <f t="shared" si="8"/>
        <v>169</v>
      </c>
      <c r="C170">
        <f t="shared" si="9"/>
        <v>-0.46500000000000002</v>
      </c>
      <c r="D170">
        <f t="shared" si="9"/>
        <v>-8.8439999999999994</v>
      </c>
      <c r="E170">
        <f t="shared" si="9"/>
        <v>19</v>
      </c>
      <c r="G170">
        <v>169</v>
      </c>
      <c r="H170" t="s">
        <v>247</v>
      </c>
      <c r="I170">
        <v>-0.46500000000000002</v>
      </c>
      <c r="J170">
        <v>-8.8439999999999994</v>
      </c>
      <c r="K170">
        <v>19</v>
      </c>
    </row>
    <row r="171" spans="1:11">
      <c r="A171" t="str">
        <f t="shared" si="7"/>
        <v>Nicolai Højgaard</v>
      </c>
      <c r="B171">
        <f t="shared" si="8"/>
        <v>170</v>
      </c>
      <c r="C171">
        <f t="shared" si="9"/>
        <v>-0.47299999999999998</v>
      </c>
      <c r="D171">
        <f t="shared" si="9"/>
        <v>-9.9410000000000007</v>
      </c>
      <c r="E171">
        <f t="shared" si="9"/>
        <v>21</v>
      </c>
      <c r="G171">
        <v>170</v>
      </c>
      <c r="H171" t="s">
        <v>595</v>
      </c>
      <c r="I171">
        <v>-0.47299999999999998</v>
      </c>
      <c r="J171">
        <v>-9.9410000000000007</v>
      </c>
      <c r="K171">
        <v>21</v>
      </c>
    </row>
    <row r="172" spans="1:11">
      <c r="A172" t="str">
        <f t="shared" si="7"/>
        <v>Alejandro Tosti</v>
      </c>
      <c r="B172">
        <f t="shared" si="8"/>
        <v>171</v>
      </c>
      <c r="C172">
        <f t="shared" si="9"/>
        <v>-0.498</v>
      </c>
      <c r="D172">
        <f t="shared" si="9"/>
        <v>-10.461</v>
      </c>
      <c r="E172">
        <f t="shared" si="9"/>
        <v>21</v>
      </c>
      <c r="G172">
        <v>171</v>
      </c>
      <c r="H172" t="s">
        <v>445</v>
      </c>
      <c r="I172">
        <v>-0.498</v>
      </c>
      <c r="J172">
        <v>-10.461</v>
      </c>
      <c r="K172">
        <v>21</v>
      </c>
    </row>
    <row r="173" spans="1:11">
      <c r="A173" t="str">
        <f t="shared" si="7"/>
        <v>Nick Hardy</v>
      </c>
      <c r="B173">
        <f t="shared" si="8"/>
        <v>172</v>
      </c>
      <c r="C173">
        <f t="shared" si="9"/>
        <v>-0.56599999999999995</v>
      </c>
      <c r="D173">
        <f t="shared" si="9"/>
        <v>-18.678000000000001</v>
      </c>
      <c r="E173">
        <f t="shared" si="9"/>
        <v>33</v>
      </c>
      <c r="G173">
        <v>172</v>
      </c>
      <c r="H173" t="s">
        <v>36</v>
      </c>
      <c r="I173">
        <v>-0.56599999999999995</v>
      </c>
      <c r="J173">
        <v>-18.678000000000001</v>
      </c>
      <c r="K173">
        <v>33</v>
      </c>
    </row>
    <row r="174" spans="1:11">
      <c r="A174" t="str">
        <f t="shared" si="7"/>
        <v>Justin Suh</v>
      </c>
      <c r="B174">
        <f t="shared" si="8"/>
        <v>173</v>
      </c>
      <c r="C174">
        <f t="shared" si="9"/>
        <v>-0.58299999999999996</v>
      </c>
      <c r="D174">
        <f t="shared" si="9"/>
        <v>-12.247</v>
      </c>
      <c r="E174">
        <f t="shared" si="9"/>
        <v>21</v>
      </c>
      <c r="G174">
        <v>173</v>
      </c>
      <c r="H174" t="s">
        <v>109</v>
      </c>
      <c r="I174">
        <v>-0.58299999999999996</v>
      </c>
      <c r="J174">
        <v>-12.247</v>
      </c>
      <c r="K174">
        <v>21</v>
      </c>
    </row>
    <row r="175" spans="1:11">
      <c r="A175" t="str">
        <f t="shared" si="7"/>
        <v>Ben Kohles</v>
      </c>
      <c r="B175">
        <f t="shared" si="8"/>
        <v>174</v>
      </c>
      <c r="C175">
        <f t="shared" si="9"/>
        <v>-0.60699999999999998</v>
      </c>
      <c r="D175">
        <f t="shared" si="9"/>
        <v>-10.928000000000001</v>
      </c>
      <c r="E175">
        <f t="shared" si="9"/>
        <v>18</v>
      </c>
      <c r="G175">
        <v>174</v>
      </c>
      <c r="H175" t="s">
        <v>419</v>
      </c>
      <c r="I175">
        <v>-0.60699999999999998</v>
      </c>
      <c r="J175">
        <v>-10.928000000000001</v>
      </c>
      <c r="K175">
        <v>18</v>
      </c>
    </row>
    <row r="176" spans="1:11">
      <c r="A176" t="str">
        <f t="shared" si="7"/>
        <v>Pierceson Coody</v>
      </c>
      <c r="B176">
        <f t="shared" si="8"/>
        <v>175</v>
      </c>
      <c r="C176">
        <f t="shared" si="9"/>
        <v>-0.61</v>
      </c>
      <c r="D176">
        <f t="shared" si="9"/>
        <v>-9.1539999999999999</v>
      </c>
      <c r="E176">
        <f t="shared" si="9"/>
        <v>15</v>
      </c>
      <c r="G176">
        <v>175</v>
      </c>
      <c r="H176" t="s">
        <v>490</v>
      </c>
      <c r="I176">
        <v>-0.61</v>
      </c>
      <c r="J176">
        <v>-9.1539999999999999</v>
      </c>
      <c r="K176">
        <v>15</v>
      </c>
    </row>
    <row r="177" spans="1:11">
      <c r="A177" t="str">
        <f t="shared" si="7"/>
        <v>Cameron Champ</v>
      </c>
      <c r="B177">
        <f t="shared" si="8"/>
        <v>176</v>
      </c>
      <c r="C177">
        <f t="shared" si="9"/>
        <v>-0.622</v>
      </c>
      <c r="D177">
        <f t="shared" si="9"/>
        <v>-13.066000000000001</v>
      </c>
      <c r="E177">
        <f t="shared" si="9"/>
        <v>21</v>
      </c>
      <c r="G177">
        <v>176</v>
      </c>
      <c r="H177" t="s">
        <v>8</v>
      </c>
      <c r="I177">
        <v>-0.622</v>
      </c>
      <c r="J177">
        <v>-13.066000000000001</v>
      </c>
      <c r="K177">
        <v>21</v>
      </c>
    </row>
    <row r="178" spans="1:11">
      <c r="A178" t="str">
        <f t="shared" si="7"/>
        <v>Tom Whitney</v>
      </c>
      <c r="B178">
        <f t="shared" si="8"/>
        <v>177</v>
      </c>
      <c r="C178">
        <f t="shared" si="9"/>
        <v>-0.65800000000000003</v>
      </c>
      <c r="D178">
        <f t="shared" si="9"/>
        <v>-11.180999999999999</v>
      </c>
      <c r="E178">
        <f t="shared" si="9"/>
        <v>17</v>
      </c>
      <c r="G178">
        <v>177</v>
      </c>
      <c r="H178" t="s">
        <v>563</v>
      </c>
      <c r="I178">
        <v>-0.65800000000000003</v>
      </c>
      <c r="J178">
        <v>-11.180999999999999</v>
      </c>
      <c r="K178">
        <v>17</v>
      </c>
    </row>
    <row r="179" spans="1:11">
      <c r="A179" t="str">
        <f t="shared" si="7"/>
        <v>Adrien Dumont de Chassart</v>
      </c>
      <c r="B179">
        <f t="shared" si="8"/>
        <v>178</v>
      </c>
      <c r="C179">
        <f t="shared" si="9"/>
        <v>-0.66700000000000004</v>
      </c>
      <c r="D179">
        <f t="shared" si="9"/>
        <v>-13.997999999999999</v>
      </c>
      <c r="E179">
        <f t="shared" si="9"/>
        <v>21</v>
      </c>
      <c r="G179">
        <v>178</v>
      </c>
      <c r="H179" t="s">
        <v>486</v>
      </c>
      <c r="I179">
        <v>-0.66700000000000004</v>
      </c>
      <c r="J179">
        <v>-13.997999999999999</v>
      </c>
      <c r="K179">
        <v>21</v>
      </c>
    </row>
    <row r="180" spans="1:11">
      <c r="A180" t="str">
        <f t="shared" si="7"/>
        <v>Paul Barjon</v>
      </c>
      <c r="B180">
        <f t="shared" si="8"/>
        <v>179</v>
      </c>
      <c r="C180">
        <f t="shared" si="9"/>
        <v>-0.71899999999999997</v>
      </c>
      <c r="D180">
        <f t="shared" si="9"/>
        <v>-9.343</v>
      </c>
      <c r="E180">
        <f t="shared" si="9"/>
        <v>13</v>
      </c>
      <c r="G180">
        <v>179</v>
      </c>
      <c r="H180" t="s">
        <v>401</v>
      </c>
      <c r="I180">
        <v>-0.71899999999999997</v>
      </c>
      <c r="J180">
        <v>-9.343</v>
      </c>
      <c r="K180">
        <v>13</v>
      </c>
    </row>
    <row r="181" spans="1:11">
      <c r="A181" t="str">
        <f t="shared" si="7"/>
        <v>Kevin Yu</v>
      </c>
      <c r="B181">
        <f t="shared" si="8"/>
        <v>180</v>
      </c>
      <c r="C181">
        <f t="shared" si="9"/>
        <v>-0.72599999999999998</v>
      </c>
      <c r="D181">
        <f t="shared" si="9"/>
        <v>-16.693000000000001</v>
      </c>
      <c r="E181">
        <f t="shared" si="9"/>
        <v>23</v>
      </c>
      <c r="G181">
        <v>180</v>
      </c>
      <c r="H181" t="s">
        <v>26</v>
      </c>
      <c r="I181">
        <v>-0.72599999999999998</v>
      </c>
      <c r="J181">
        <v>-16.693000000000001</v>
      </c>
      <c r="K181">
        <v>23</v>
      </c>
    </row>
    <row r="182" spans="1:11">
      <c r="A182" t="str">
        <f t="shared" si="7"/>
        <v>Kevin Dougherty</v>
      </c>
      <c r="B182">
        <f t="shared" si="8"/>
        <v>181</v>
      </c>
      <c r="C182">
        <f t="shared" si="9"/>
        <v>-0.77900000000000003</v>
      </c>
      <c r="D182">
        <f t="shared" si="9"/>
        <v>-14.792999999999999</v>
      </c>
      <c r="E182">
        <f t="shared" si="9"/>
        <v>19</v>
      </c>
      <c r="G182">
        <v>181</v>
      </c>
      <c r="H182" t="s">
        <v>562</v>
      </c>
      <c r="I182">
        <v>-0.77900000000000003</v>
      </c>
      <c r="J182">
        <v>-14.792999999999999</v>
      </c>
      <c r="K182">
        <v>19</v>
      </c>
    </row>
    <row r="183" spans="1:11">
      <c r="A183" t="str">
        <f t="shared" si="7"/>
        <v>Patrick Fishburn</v>
      </c>
      <c r="B183">
        <f t="shared" si="8"/>
        <v>182</v>
      </c>
      <c r="C183">
        <f t="shared" si="9"/>
        <v>-0.80500000000000005</v>
      </c>
      <c r="D183">
        <f t="shared" si="9"/>
        <v>-8.8559999999999999</v>
      </c>
      <c r="E183">
        <f t="shared" si="9"/>
        <v>11</v>
      </c>
      <c r="G183">
        <v>182</v>
      </c>
      <c r="H183" t="s">
        <v>556</v>
      </c>
      <c r="I183">
        <v>-0.80500000000000005</v>
      </c>
      <c r="J183">
        <v>-8.8559999999999999</v>
      </c>
      <c r="K183">
        <v>11</v>
      </c>
    </row>
    <row r="184" spans="1:11">
      <c r="A184" t="str">
        <f t="shared" si="7"/>
        <v>Viktor Hovland</v>
      </c>
      <c r="B184">
        <f t="shared" si="8"/>
        <v>183</v>
      </c>
      <c r="C184">
        <f t="shared" si="9"/>
        <v>-0.81100000000000005</v>
      </c>
      <c r="D184">
        <f t="shared" si="9"/>
        <v>-14.602</v>
      </c>
      <c r="E184">
        <f t="shared" si="9"/>
        <v>18</v>
      </c>
      <c r="G184">
        <v>183</v>
      </c>
      <c r="H184" t="s">
        <v>47</v>
      </c>
      <c r="I184">
        <v>-0.81100000000000005</v>
      </c>
      <c r="J184">
        <v>-14.602</v>
      </c>
      <c r="K184">
        <v>18</v>
      </c>
    </row>
    <row r="185" spans="1:11">
      <c r="A185">
        <f t="shared" si="7"/>
        <v>0</v>
      </c>
      <c r="B185">
        <f t="shared" si="8"/>
        <v>0</v>
      </c>
      <c r="C185">
        <f t="shared" si="9"/>
        <v>0</v>
      </c>
      <c r="D185">
        <f t="shared" si="9"/>
        <v>0</v>
      </c>
      <c r="E185">
        <f t="shared" si="9"/>
        <v>0</v>
      </c>
    </row>
    <row r="186" spans="1:11">
      <c r="A186">
        <f t="shared" si="7"/>
        <v>0</v>
      </c>
      <c r="B186">
        <f t="shared" si="8"/>
        <v>0</v>
      </c>
      <c r="C186">
        <f t="shared" si="9"/>
        <v>0</v>
      </c>
      <c r="D186">
        <f t="shared" si="9"/>
        <v>0</v>
      </c>
      <c r="E186">
        <f t="shared" si="9"/>
        <v>0</v>
      </c>
    </row>
    <row r="187" spans="1:11">
      <c r="A187">
        <f t="shared" si="7"/>
        <v>0</v>
      </c>
      <c r="B187">
        <f t="shared" si="8"/>
        <v>0</v>
      </c>
      <c r="C187">
        <f t="shared" si="9"/>
        <v>0</v>
      </c>
      <c r="D187">
        <f t="shared" si="9"/>
        <v>0</v>
      </c>
      <c r="E187">
        <f t="shared" si="9"/>
        <v>0</v>
      </c>
    </row>
    <row r="188" spans="1:11">
      <c r="A188">
        <f t="shared" ref="A188:A203" si="10">H188</f>
        <v>0</v>
      </c>
      <c r="B188">
        <f t="shared" ref="B188:B203" si="11">G188</f>
        <v>0</v>
      </c>
      <c r="C188">
        <f t="shared" ref="C188:C203" si="12">I188</f>
        <v>0</v>
      </c>
      <c r="D188">
        <f t="shared" ref="D188:D203" si="13">J188</f>
        <v>0</v>
      </c>
      <c r="E188">
        <f t="shared" ref="E188:E203" si="14">K188</f>
        <v>0</v>
      </c>
    </row>
    <row r="189" spans="1:11">
      <c r="A189">
        <f t="shared" si="10"/>
        <v>0</v>
      </c>
      <c r="B189">
        <f t="shared" si="11"/>
        <v>0</v>
      </c>
      <c r="C189">
        <f t="shared" si="12"/>
        <v>0</v>
      </c>
      <c r="D189">
        <f t="shared" si="13"/>
        <v>0</v>
      </c>
      <c r="E189">
        <f t="shared" si="14"/>
        <v>0</v>
      </c>
    </row>
    <row r="190" spans="1:11">
      <c r="A190">
        <f t="shared" si="10"/>
        <v>0</v>
      </c>
      <c r="B190">
        <f t="shared" si="11"/>
        <v>0</v>
      </c>
      <c r="C190">
        <f t="shared" si="12"/>
        <v>0</v>
      </c>
      <c r="D190">
        <f t="shared" si="13"/>
        <v>0</v>
      </c>
      <c r="E190">
        <f t="shared" si="14"/>
        <v>0</v>
      </c>
    </row>
    <row r="191" spans="1:11">
      <c r="A191">
        <f t="shared" si="10"/>
        <v>0</v>
      </c>
      <c r="B191">
        <f t="shared" si="11"/>
        <v>0</v>
      </c>
      <c r="C191">
        <f t="shared" si="12"/>
        <v>0</v>
      </c>
      <c r="D191">
        <f t="shared" si="13"/>
        <v>0</v>
      </c>
      <c r="E191">
        <f t="shared" si="14"/>
        <v>0</v>
      </c>
    </row>
    <row r="192" spans="1:11">
      <c r="A192">
        <f t="shared" si="10"/>
        <v>0</v>
      </c>
      <c r="B192">
        <f t="shared" si="11"/>
        <v>0</v>
      </c>
      <c r="C192">
        <f t="shared" si="12"/>
        <v>0</v>
      </c>
      <c r="D192">
        <f t="shared" si="13"/>
        <v>0</v>
      </c>
      <c r="E192">
        <f t="shared" si="14"/>
        <v>0</v>
      </c>
    </row>
    <row r="193" spans="1:5">
      <c r="A193">
        <f t="shared" si="10"/>
        <v>0</v>
      </c>
      <c r="B193">
        <f t="shared" si="11"/>
        <v>0</v>
      </c>
      <c r="C193">
        <f t="shared" si="12"/>
        <v>0</v>
      </c>
      <c r="D193">
        <f t="shared" si="13"/>
        <v>0</v>
      </c>
      <c r="E193">
        <f t="shared" si="14"/>
        <v>0</v>
      </c>
    </row>
    <row r="194" spans="1:5">
      <c r="A194">
        <f t="shared" si="10"/>
        <v>0</v>
      </c>
      <c r="B194">
        <f t="shared" si="11"/>
        <v>0</v>
      </c>
      <c r="C194">
        <f t="shared" si="12"/>
        <v>0</v>
      </c>
      <c r="D194">
        <f t="shared" si="13"/>
        <v>0</v>
      </c>
      <c r="E194">
        <f t="shared" si="14"/>
        <v>0</v>
      </c>
    </row>
    <row r="195" spans="1:5">
      <c r="A195">
        <f t="shared" si="10"/>
        <v>0</v>
      </c>
      <c r="B195">
        <f t="shared" si="11"/>
        <v>0</v>
      </c>
      <c r="C195">
        <f t="shared" si="12"/>
        <v>0</v>
      </c>
      <c r="D195">
        <f t="shared" si="13"/>
        <v>0</v>
      </c>
      <c r="E195">
        <f t="shared" si="14"/>
        <v>0</v>
      </c>
    </row>
    <row r="196" spans="1:5">
      <c r="A196">
        <f t="shared" si="10"/>
        <v>0</v>
      </c>
      <c r="B196">
        <f t="shared" si="11"/>
        <v>0</v>
      </c>
      <c r="C196">
        <f t="shared" si="12"/>
        <v>0</v>
      </c>
      <c r="D196">
        <f t="shared" si="13"/>
        <v>0</v>
      </c>
      <c r="E196">
        <f t="shared" si="14"/>
        <v>0</v>
      </c>
    </row>
    <row r="197" spans="1:5">
      <c r="A197">
        <f t="shared" si="10"/>
        <v>0</v>
      </c>
      <c r="B197">
        <f t="shared" si="11"/>
        <v>0</v>
      </c>
      <c r="C197">
        <f t="shared" si="12"/>
        <v>0</v>
      </c>
      <c r="D197">
        <f t="shared" si="13"/>
        <v>0</v>
      </c>
      <c r="E197">
        <f t="shared" si="14"/>
        <v>0</v>
      </c>
    </row>
    <row r="198" spans="1:5">
      <c r="A198">
        <f t="shared" si="10"/>
        <v>0</v>
      </c>
      <c r="B198">
        <f t="shared" si="11"/>
        <v>0</v>
      </c>
      <c r="C198">
        <f t="shared" si="12"/>
        <v>0</v>
      </c>
      <c r="D198">
        <f t="shared" si="13"/>
        <v>0</v>
      </c>
      <c r="E198">
        <f t="shared" si="14"/>
        <v>0</v>
      </c>
    </row>
    <row r="199" spans="1:5">
      <c r="A199">
        <f t="shared" si="10"/>
        <v>0</v>
      </c>
      <c r="B199">
        <f t="shared" si="11"/>
        <v>0</v>
      </c>
      <c r="C199">
        <f t="shared" si="12"/>
        <v>0</v>
      </c>
      <c r="D199">
        <f t="shared" si="13"/>
        <v>0</v>
      </c>
      <c r="E199">
        <f t="shared" si="14"/>
        <v>0</v>
      </c>
    </row>
    <row r="200" spans="1:5">
      <c r="A200">
        <f t="shared" si="10"/>
        <v>0</v>
      </c>
      <c r="B200">
        <f t="shared" si="11"/>
        <v>0</v>
      </c>
      <c r="C200">
        <f t="shared" si="12"/>
        <v>0</v>
      </c>
      <c r="D200">
        <f t="shared" si="13"/>
        <v>0</v>
      </c>
      <c r="E200">
        <f t="shared" si="14"/>
        <v>0</v>
      </c>
    </row>
    <row r="201" spans="1:5">
      <c r="A201">
        <f t="shared" si="10"/>
        <v>0</v>
      </c>
      <c r="B201">
        <f t="shared" si="11"/>
        <v>0</v>
      </c>
      <c r="C201">
        <f t="shared" si="12"/>
        <v>0</v>
      </c>
      <c r="D201">
        <f t="shared" si="13"/>
        <v>0</v>
      </c>
      <c r="E201">
        <f t="shared" si="14"/>
        <v>0</v>
      </c>
    </row>
    <row r="202" spans="1:5">
      <c r="A202">
        <f t="shared" si="10"/>
        <v>0</v>
      </c>
      <c r="B202">
        <f t="shared" si="11"/>
        <v>0</v>
      </c>
      <c r="C202">
        <f t="shared" si="12"/>
        <v>0</v>
      </c>
      <c r="D202">
        <f t="shared" si="13"/>
        <v>0</v>
      </c>
      <c r="E202">
        <f t="shared" si="14"/>
        <v>0</v>
      </c>
    </row>
    <row r="203" spans="1:5">
      <c r="A203">
        <f t="shared" si="10"/>
        <v>0</v>
      </c>
      <c r="B203">
        <f t="shared" si="11"/>
        <v>0</v>
      </c>
      <c r="C203">
        <f t="shared" si="12"/>
        <v>0</v>
      </c>
      <c r="D203">
        <f t="shared" si="13"/>
        <v>0</v>
      </c>
      <c r="E203">
        <f t="shared" si="14"/>
        <v>0</v>
      </c>
    </row>
    <row r="204" spans="1:5">
      <c r="A204">
        <f>H204</f>
        <v>0</v>
      </c>
      <c r="B204">
        <f>G204</f>
        <v>0</v>
      </c>
      <c r="C204">
        <f t="shared" ref="C204:E205" si="15">I204</f>
        <v>0</v>
      </c>
      <c r="D204">
        <f t="shared" si="15"/>
        <v>0</v>
      </c>
      <c r="E204">
        <f t="shared" si="15"/>
        <v>0</v>
      </c>
    </row>
    <row r="205" spans="1:5">
      <c r="A205">
        <f>H205</f>
        <v>0</v>
      </c>
      <c r="B205">
        <f>G205</f>
        <v>0</v>
      </c>
      <c r="C205">
        <f t="shared" si="15"/>
        <v>0</v>
      </c>
      <c r="D205">
        <f t="shared" si="15"/>
        <v>0</v>
      </c>
      <c r="E205">
        <f t="shared" si="15"/>
        <v>0</v>
      </c>
    </row>
    <row r="206" spans="1:5">
      <c r="A206">
        <f t="shared" ref="A206:A234" si="16">H206</f>
        <v>0</v>
      </c>
      <c r="B206">
        <f t="shared" ref="B206:B234" si="17">G206</f>
        <v>0</v>
      </c>
      <c r="C206">
        <f t="shared" ref="C206:C234" si="18">I206</f>
        <v>0</v>
      </c>
      <c r="D206">
        <f t="shared" ref="D206:D234" si="19">J206</f>
        <v>0</v>
      </c>
      <c r="E206">
        <f t="shared" ref="E206:E234" si="20">K206</f>
        <v>0</v>
      </c>
    </row>
    <row r="207" spans="1:5">
      <c r="A207">
        <f t="shared" si="16"/>
        <v>0</v>
      </c>
      <c r="B207">
        <f t="shared" si="17"/>
        <v>0</v>
      </c>
      <c r="C207">
        <f t="shared" si="18"/>
        <v>0</v>
      </c>
      <c r="D207">
        <f t="shared" si="19"/>
        <v>0</v>
      </c>
      <c r="E207">
        <f t="shared" si="20"/>
        <v>0</v>
      </c>
    </row>
    <row r="208" spans="1:5">
      <c r="A208">
        <f t="shared" si="16"/>
        <v>0</v>
      </c>
      <c r="B208">
        <f t="shared" si="17"/>
        <v>0</v>
      </c>
      <c r="C208">
        <f t="shared" si="18"/>
        <v>0</v>
      </c>
      <c r="D208">
        <f t="shared" si="19"/>
        <v>0</v>
      </c>
      <c r="E208">
        <f t="shared" si="20"/>
        <v>0</v>
      </c>
    </row>
    <row r="209" spans="1:5">
      <c r="A209">
        <f t="shared" si="16"/>
        <v>0</v>
      </c>
      <c r="B209">
        <f t="shared" si="17"/>
        <v>0</v>
      </c>
      <c r="C209">
        <f t="shared" si="18"/>
        <v>0</v>
      </c>
      <c r="D209">
        <f t="shared" si="19"/>
        <v>0</v>
      </c>
      <c r="E209">
        <f t="shared" si="20"/>
        <v>0</v>
      </c>
    </row>
    <row r="210" spans="1:5">
      <c r="A210">
        <f t="shared" si="16"/>
        <v>0</v>
      </c>
      <c r="B210">
        <f t="shared" si="17"/>
        <v>0</v>
      </c>
      <c r="C210">
        <f t="shared" si="18"/>
        <v>0</v>
      </c>
      <c r="D210">
        <f t="shared" si="19"/>
        <v>0</v>
      </c>
      <c r="E210">
        <f t="shared" si="20"/>
        <v>0</v>
      </c>
    </row>
    <row r="211" spans="1:5">
      <c r="A211">
        <f t="shared" si="16"/>
        <v>0</v>
      </c>
      <c r="B211">
        <f t="shared" si="17"/>
        <v>0</v>
      </c>
      <c r="C211">
        <f t="shared" si="18"/>
        <v>0</v>
      </c>
      <c r="D211">
        <f t="shared" si="19"/>
        <v>0</v>
      </c>
      <c r="E211">
        <f t="shared" si="20"/>
        <v>0</v>
      </c>
    </row>
    <row r="212" spans="1:5">
      <c r="A212">
        <f t="shared" si="16"/>
        <v>0</v>
      </c>
      <c r="B212">
        <f t="shared" si="17"/>
        <v>0</v>
      </c>
      <c r="C212">
        <f t="shared" si="18"/>
        <v>0</v>
      </c>
      <c r="D212">
        <f t="shared" si="19"/>
        <v>0</v>
      </c>
      <c r="E212">
        <f t="shared" si="20"/>
        <v>0</v>
      </c>
    </row>
    <row r="213" spans="1:5">
      <c r="A213">
        <f t="shared" si="16"/>
        <v>0</v>
      </c>
      <c r="B213">
        <f t="shared" si="17"/>
        <v>0</v>
      </c>
      <c r="C213">
        <f t="shared" si="18"/>
        <v>0</v>
      </c>
      <c r="D213">
        <f t="shared" si="19"/>
        <v>0</v>
      </c>
      <c r="E213">
        <f t="shared" si="20"/>
        <v>0</v>
      </c>
    </row>
    <row r="214" spans="1:5">
      <c r="A214">
        <f t="shared" si="16"/>
        <v>0</v>
      </c>
      <c r="B214">
        <f t="shared" si="17"/>
        <v>0</v>
      </c>
      <c r="C214">
        <f t="shared" si="18"/>
        <v>0</v>
      </c>
      <c r="D214">
        <f t="shared" si="19"/>
        <v>0</v>
      </c>
      <c r="E214">
        <f t="shared" si="20"/>
        <v>0</v>
      </c>
    </row>
    <row r="215" spans="1:5">
      <c r="A215">
        <f t="shared" si="16"/>
        <v>0</v>
      </c>
      <c r="B215">
        <f t="shared" si="17"/>
        <v>0</v>
      </c>
      <c r="C215">
        <f t="shared" si="18"/>
        <v>0</v>
      </c>
      <c r="D215">
        <f t="shared" si="19"/>
        <v>0</v>
      </c>
      <c r="E215">
        <f t="shared" si="20"/>
        <v>0</v>
      </c>
    </row>
    <row r="216" spans="1:5">
      <c r="A216">
        <f t="shared" si="16"/>
        <v>0</v>
      </c>
      <c r="B216">
        <f t="shared" si="17"/>
        <v>0</v>
      </c>
      <c r="C216">
        <f t="shared" si="18"/>
        <v>0</v>
      </c>
      <c r="D216">
        <f t="shared" si="19"/>
        <v>0</v>
      </c>
      <c r="E216">
        <f t="shared" si="20"/>
        <v>0</v>
      </c>
    </row>
    <row r="217" spans="1:5">
      <c r="A217">
        <f t="shared" si="16"/>
        <v>0</v>
      </c>
      <c r="B217">
        <f t="shared" si="17"/>
        <v>0</v>
      </c>
      <c r="C217">
        <f t="shared" si="18"/>
        <v>0</v>
      </c>
      <c r="D217">
        <f t="shared" si="19"/>
        <v>0</v>
      </c>
      <c r="E217">
        <f t="shared" si="20"/>
        <v>0</v>
      </c>
    </row>
    <row r="218" spans="1:5">
      <c r="A218">
        <f t="shared" si="16"/>
        <v>0</v>
      </c>
      <c r="B218">
        <f t="shared" si="17"/>
        <v>0</v>
      </c>
      <c r="C218">
        <f t="shared" si="18"/>
        <v>0</v>
      </c>
      <c r="D218">
        <f t="shared" si="19"/>
        <v>0</v>
      </c>
      <c r="E218">
        <f t="shared" si="20"/>
        <v>0</v>
      </c>
    </row>
    <row r="219" spans="1:5">
      <c r="A219">
        <f t="shared" si="16"/>
        <v>0</v>
      </c>
      <c r="B219">
        <f t="shared" si="17"/>
        <v>0</v>
      </c>
      <c r="C219">
        <f t="shared" si="18"/>
        <v>0</v>
      </c>
      <c r="D219">
        <f t="shared" si="19"/>
        <v>0</v>
      </c>
      <c r="E219">
        <f t="shared" si="20"/>
        <v>0</v>
      </c>
    </row>
    <row r="220" spans="1:5">
      <c r="A220">
        <f t="shared" si="16"/>
        <v>0</v>
      </c>
      <c r="B220">
        <f t="shared" si="17"/>
        <v>0</v>
      </c>
      <c r="C220">
        <f t="shared" si="18"/>
        <v>0</v>
      </c>
      <c r="D220">
        <f t="shared" si="19"/>
        <v>0</v>
      </c>
      <c r="E220">
        <f t="shared" si="20"/>
        <v>0</v>
      </c>
    </row>
    <row r="221" spans="1:5">
      <c r="A221">
        <f t="shared" si="16"/>
        <v>0</v>
      </c>
      <c r="B221">
        <f t="shared" si="17"/>
        <v>0</v>
      </c>
      <c r="C221">
        <f t="shared" si="18"/>
        <v>0</v>
      </c>
      <c r="D221">
        <f t="shared" si="19"/>
        <v>0</v>
      </c>
      <c r="E221">
        <f t="shared" si="20"/>
        <v>0</v>
      </c>
    </row>
    <row r="222" spans="1:5">
      <c r="A222">
        <f t="shared" si="16"/>
        <v>0</v>
      </c>
      <c r="B222">
        <f t="shared" si="17"/>
        <v>0</v>
      </c>
      <c r="C222">
        <f t="shared" si="18"/>
        <v>0</v>
      </c>
      <c r="D222">
        <f t="shared" si="19"/>
        <v>0</v>
      </c>
      <c r="E222">
        <f t="shared" si="20"/>
        <v>0</v>
      </c>
    </row>
    <row r="223" spans="1:5">
      <c r="A223">
        <f t="shared" si="16"/>
        <v>0</v>
      </c>
      <c r="B223">
        <f t="shared" si="17"/>
        <v>0</v>
      </c>
      <c r="C223">
        <f t="shared" si="18"/>
        <v>0</v>
      </c>
      <c r="D223">
        <f t="shared" si="19"/>
        <v>0</v>
      </c>
      <c r="E223">
        <f t="shared" si="20"/>
        <v>0</v>
      </c>
    </row>
    <row r="224" spans="1:5">
      <c r="A224">
        <f t="shared" si="16"/>
        <v>0</v>
      </c>
      <c r="B224">
        <f t="shared" si="17"/>
        <v>0</v>
      </c>
      <c r="C224">
        <f t="shared" si="18"/>
        <v>0</v>
      </c>
      <c r="D224">
        <f t="shared" si="19"/>
        <v>0</v>
      </c>
      <c r="E224">
        <f t="shared" si="20"/>
        <v>0</v>
      </c>
    </row>
    <row r="225" spans="1:5">
      <c r="A225">
        <f t="shared" si="16"/>
        <v>0</v>
      </c>
      <c r="B225">
        <f t="shared" si="17"/>
        <v>0</v>
      </c>
      <c r="C225">
        <f t="shared" si="18"/>
        <v>0</v>
      </c>
      <c r="D225">
        <f t="shared" si="19"/>
        <v>0</v>
      </c>
      <c r="E225">
        <f t="shared" si="20"/>
        <v>0</v>
      </c>
    </row>
    <row r="226" spans="1:5">
      <c r="A226">
        <f t="shared" si="16"/>
        <v>0</v>
      </c>
      <c r="B226">
        <f t="shared" si="17"/>
        <v>0</v>
      </c>
      <c r="C226">
        <f t="shared" si="18"/>
        <v>0</v>
      </c>
      <c r="D226">
        <f t="shared" si="19"/>
        <v>0</v>
      </c>
      <c r="E226">
        <f t="shared" si="20"/>
        <v>0</v>
      </c>
    </row>
    <row r="227" spans="1:5">
      <c r="A227">
        <f t="shared" si="16"/>
        <v>0</v>
      </c>
      <c r="B227">
        <f t="shared" si="17"/>
        <v>0</v>
      </c>
      <c r="C227">
        <f t="shared" si="18"/>
        <v>0</v>
      </c>
      <c r="D227">
        <f t="shared" si="19"/>
        <v>0</v>
      </c>
      <c r="E227">
        <f t="shared" si="20"/>
        <v>0</v>
      </c>
    </row>
    <row r="228" spans="1:5">
      <c r="A228">
        <f t="shared" si="16"/>
        <v>0</v>
      </c>
      <c r="B228">
        <f t="shared" si="17"/>
        <v>0</v>
      </c>
      <c r="C228">
        <f t="shared" si="18"/>
        <v>0</v>
      </c>
      <c r="D228">
        <f t="shared" si="19"/>
        <v>0</v>
      </c>
      <c r="E228">
        <f t="shared" si="20"/>
        <v>0</v>
      </c>
    </row>
    <row r="229" spans="1:5">
      <c r="A229">
        <f t="shared" si="16"/>
        <v>0</v>
      </c>
      <c r="B229">
        <f t="shared" si="17"/>
        <v>0</v>
      </c>
      <c r="C229">
        <f t="shared" si="18"/>
        <v>0</v>
      </c>
      <c r="D229">
        <f t="shared" si="19"/>
        <v>0</v>
      </c>
      <c r="E229">
        <f t="shared" si="20"/>
        <v>0</v>
      </c>
    </row>
    <row r="230" spans="1:5">
      <c r="A230">
        <f t="shared" si="16"/>
        <v>0</v>
      </c>
      <c r="B230">
        <f t="shared" si="17"/>
        <v>0</v>
      </c>
      <c r="C230">
        <f t="shared" si="18"/>
        <v>0</v>
      </c>
      <c r="D230">
        <f t="shared" si="19"/>
        <v>0</v>
      </c>
      <c r="E230">
        <f t="shared" si="20"/>
        <v>0</v>
      </c>
    </row>
    <row r="231" spans="1:5">
      <c r="A231">
        <f t="shared" si="16"/>
        <v>0</v>
      </c>
      <c r="B231">
        <f t="shared" si="17"/>
        <v>0</v>
      </c>
      <c r="C231">
        <f t="shared" si="18"/>
        <v>0</v>
      </c>
      <c r="D231">
        <f t="shared" si="19"/>
        <v>0</v>
      </c>
      <c r="E231">
        <f t="shared" si="20"/>
        <v>0</v>
      </c>
    </row>
    <row r="232" spans="1:5">
      <c r="A232">
        <f t="shared" si="16"/>
        <v>0</v>
      </c>
      <c r="B232">
        <f t="shared" si="17"/>
        <v>0</v>
      </c>
      <c r="C232">
        <f t="shared" si="18"/>
        <v>0</v>
      </c>
      <c r="D232">
        <f t="shared" si="19"/>
        <v>0</v>
      </c>
      <c r="E232">
        <f t="shared" si="20"/>
        <v>0</v>
      </c>
    </row>
    <row r="233" spans="1:5">
      <c r="A233">
        <f t="shared" si="16"/>
        <v>0</v>
      </c>
      <c r="B233">
        <f t="shared" si="17"/>
        <v>0</v>
      </c>
      <c r="C233">
        <f t="shared" si="18"/>
        <v>0</v>
      </c>
      <c r="D233">
        <f t="shared" si="19"/>
        <v>0</v>
      </c>
      <c r="E233">
        <f t="shared" si="20"/>
        <v>0</v>
      </c>
    </row>
    <row r="234" spans="1:5">
      <c r="A234">
        <f t="shared" si="16"/>
        <v>0</v>
      </c>
      <c r="B234">
        <f t="shared" si="17"/>
        <v>0</v>
      </c>
      <c r="C234">
        <f t="shared" si="18"/>
        <v>0</v>
      </c>
      <c r="D234">
        <f t="shared" si="19"/>
        <v>0</v>
      </c>
      <c r="E234">
        <f t="shared" si="20"/>
        <v>0</v>
      </c>
    </row>
    <row r="235" spans="1:5">
      <c r="A235">
        <f t="shared" ref="A235:A247" si="21">H235</f>
        <v>0</v>
      </c>
      <c r="B235">
        <f t="shared" ref="B235:B247" si="22">G235</f>
        <v>0</v>
      </c>
      <c r="C235">
        <f t="shared" ref="C235:C247" si="23">I235</f>
        <v>0</v>
      </c>
      <c r="D235">
        <f t="shared" ref="D235:D247" si="24">J235</f>
        <v>0</v>
      </c>
      <c r="E235">
        <f t="shared" ref="E235:E247" si="25">K235</f>
        <v>0</v>
      </c>
    </row>
    <row r="236" spans="1:5">
      <c r="A236">
        <f t="shared" si="21"/>
        <v>0</v>
      </c>
      <c r="B236">
        <f t="shared" si="22"/>
        <v>0</v>
      </c>
      <c r="C236">
        <f t="shared" si="23"/>
        <v>0</v>
      </c>
      <c r="D236">
        <f t="shared" si="24"/>
        <v>0</v>
      </c>
      <c r="E236">
        <f t="shared" si="25"/>
        <v>0</v>
      </c>
    </row>
    <row r="237" spans="1:5">
      <c r="A237">
        <f t="shared" si="21"/>
        <v>0</v>
      </c>
      <c r="B237">
        <f t="shared" si="22"/>
        <v>0</v>
      </c>
      <c r="C237">
        <f t="shared" si="23"/>
        <v>0</v>
      </c>
      <c r="D237">
        <f t="shared" si="24"/>
        <v>0</v>
      </c>
      <c r="E237">
        <f t="shared" si="25"/>
        <v>0</v>
      </c>
    </row>
    <row r="238" spans="1:5">
      <c r="A238">
        <f t="shared" si="21"/>
        <v>0</v>
      </c>
      <c r="B238">
        <f t="shared" si="22"/>
        <v>0</v>
      </c>
      <c r="C238">
        <f t="shared" si="23"/>
        <v>0</v>
      </c>
      <c r="D238">
        <f t="shared" si="24"/>
        <v>0</v>
      </c>
      <c r="E238">
        <f t="shared" si="25"/>
        <v>0</v>
      </c>
    </row>
    <row r="239" spans="1:5">
      <c r="A239">
        <f t="shared" si="21"/>
        <v>0</v>
      </c>
      <c r="B239">
        <f t="shared" si="22"/>
        <v>0</v>
      </c>
      <c r="C239">
        <f t="shared" si="23"/>
        <v>0</v>
      </c>
      <c r="D239">
        <f t="shared" si="24"/>
        <v>0</v>
      </c>
      <c r="E239">
        <f t="shared" si="25"/>
        <v>0</v>
      </c>
    </row>
    <row r="240" spans="1:5">
      <c r="A240">
        <f t="shared" si="21"/>
        <v>0</v>
      </c>
      <c r="B240">
        <f t="shared" si="22"/>
        <v>0</v>
      </c>
      <c r="C240">
        <f t="shared" si="23"/>
        <v>0</v>
      </c>
      <c r="D240">
        <f t="shared" si="24"/>
        <v>0</v>
      </c>
      <c r="E240">
        <f t="shared" si="25"/>
        <v>0</v>
      </c>
    </row>
    <row r="241" spans="1:5">
      <c r="A241">
        <f t="shared" si="21"/>
        <v>0</v>
      </c>
      <c r="B241">
        <f t="shared" si="22"/>
        <v>0</v>
      </c>
      <c r="C241">
        <f t="shared" si="23"/>
        <v>0</v>
      </c>
      <c r="D241">
        <f t="shared" si="24"/>
        <v>0</v>
      </c>
      <c r="E241">
        <f t="shared" si="25"/>
        <v>0</v>
      </c>
    </row>
    <row r="242" spans="1:5">
      <c r="A242">
        <f t="shared" si="21"/>
        <v>0</v>
      </c>
      <c r="B242">
        <f t="shared" si="22"/>
        <v>0</v>
      </c>
      <c r="C242">
        <f t="shared" si="23"/>
        <v>0</v>
      </c>
      <c r="D242">
        <f t="shared" si="24"/>
        <v>0</v>
      </c>
      <c r="E242">
        <f t="shared" si="25"/>
        <v>0</v>
      </c>
    </row>
    <row r="243" spans="1:5">
      <c r="A243">
        <f t="shared" si="21"/>
        <v>0</v>
      </c>
      <c r="B243">
        <f t="shared" si="22"/>
        <v>0</v>
      </c>
      <c r="C243">
        <f t="shared" si="23"/>
        <v>0</v>
      </c>
      <c r="D243">
        <f t="shared" si="24"/>
        <v>0</v>
      </c>
      <c r="E243">
        <f t="shared" si="25"/>
        <v>0</v>
      </c>
    </row>
    <row r="244" spans="1:5" ht="23.25" customHeight="1">
      <c r="A244">
        <f t="shared" si="21"/>
        <v>0</v>
      </c>
      <c r="B244">
        <f t="shared" si="22"/>
        <v>0</v>
      </c>
      <c r="C244">
        <f t="shared" si="23"/>
        <v>0</v>
      </c>
      <c r="D244">
        <f t="shared" si="24"/>
        <v>0</v>
      </c>
      <c r="E244">
        <f t="shared" si="25"/>
        <v>0</v>
      </c>
    </row>
    <row r="245" spans="1:5">
      <c r="A245">
        <f t="shared" si="21"/>
        <v>0</v>
      </c>
      <c r="B245">
        <f t="shared" si="22"/>
        <v>0</v>
      </c>
      <c r="C245">
        <f t="shared" si="23"/>
        <v>0</v>
      </c>
      <c r="D245">
        <f t="shared" si="24"/>
        <v>0</v>
      </c>
      <c r="E245">
        <f t="shared" si="25"/>
        <v>0</v>
      </c>
    </row>
    <row r="246" spans="1:5">
      <c r="A246">
        <f t="shared" si="21"/>
        <v>0</v>
      </c>
      <c r="B246">
        <f t="shared" si="22"/>
        <v>0</v>
      </c>
      <c r="C246">
        <f t="shared" si="23"/>
        <v>0</v>
      </c>
      <c r="D246">
        <f t="shared" si="24"/>
        <v>0</v>
      </c>
      <c r="E246">
        <f t="shared" si="25"/>
        <v>0</v>
      </c>
    </row>
    <row r="247" spans="1:5" ht="23.25" customHeight="1">
      <c r="A247">
        <f t="shared" si="21"/>
        <v>0</v>
      </c>
      <c r="B247">
        <f t="shared" si="22"/>
        <v>0</v>
      </c>
      <c r="C247">
        <f t="shared" si="23"/>
        <v>0</v>
      </c>
      <c r="D247">
        <f t="shared" si="24"/>
        <v>0</v>
      </c>
      <c r="E247">
        <f t="shared" si="25"/>
        <v>0</v>
      </c>
    </row>
    <row r="248" spans="1:5">
      <c r="A248">
        <f t="shared" ref="A248:A258" si="26">H248</f>
        <v>0</v>
      </c>
      <c r="B248">
        <f t="shared" ref="B248:B258" si="27">G248</f>
        <v>0</v>
      </c>
      <c r="C248">
        <f t="shared" ref="C248:C258" si="28">I248</f>
        <v>0</v>
      </c>
      <c r="D248">
        <f t="shared" ref="D248:D258" si="29">J248</f>
        <v>0</v>
      </c>
      <c r="E248">
        <f t="shared" ref="E248:E258" si="30">K248</f>
        <v>0</v>
      </c>
    </row>
    <row r="249" spans="1:5">
      <c r="A249">
        <f t="shared" si="26"/>
        <v>0</v>
      </c>
      <c r="B249">
        <f t="shared" si="27"/>
        <v>0</v>
      </c>
      <c r="C249">
        <f t="shared" si="28"/>
        <v>0</v>
      </c>
      <c r="D249">
        <f t="shared" si="29"/>
        <v>0</v>
      </c>
      <c r="E249">
        <f t="shared" si="30"/>
        <v>0</v>
      </c>
    </row>
    <row r="250" spans="1:5">
      <c r="A250">
        <f t="shared" si="26"/>
        <v>0</v>
      </c>
      <c r="B250">
        <f t="shared" si="27"/>
        <v>0</v>
      </c>
      <c r="C250">
        <f t="shared" si="28"/>
        <v>0</v>
      </c>
      <c r="D250">
        <f t="shared" si="29"/>
        <v>0</v>
      </c>
      <c r="E250">
        <f t="shared" si="30"/>
        <v>0</v>
      </c>
    </row>
    <row r="251" spans="1:5">
      <c r="A251">
        <f t="shared" si="26"/>
        <v>0</v>
      </c>
      <c r="B251">
        <f t="shared" si="27"/>
        <v>0</v>
      </c>
      <c r="C251">
        <f t="shared" si="28"/>
        <v>0</v>
      </c>
      <c r="D251">
        <f t="shared" si="29"/>
        <v>0</v>
      </c>
      <c r="E251">
        <f t="shared" si="30"/>
        <v>0</v>
      </c>
    </row>
    <row r="252" spans="1:5">
      <c r="A252">
        <f t="shared" si="26"/>
        <v>0</v>
      </c>
      <c r="B252">
        <f t="shared" si="27"/>
        <v>0</v>
      </c>
      <c r="C252">
        <f t="shared" si="28"/>
        <v>0</v>
      </c>
      <c r="D252">
        <f t="shared" si="29"/>
        <v>0</v>
      </c>
      <c r="E252">
        <f t="shared" si="30"/>
        <v>0</v>
      </c>
    </row>
    <row r="253" spans="1:5">
      <c r="A253">
        <f t="shared" si="26"/>
        <v>0</v>
      </c>
      <c r="B253">
        <f t="shared" si="27"/>
        <v>0</v>
      </c>
      <c r="C253">
        <f t="shared" si="28"/>
        <v>0</v>
      </c>
      <c r="D253">
        <f t="shared" si="29"/>
        <v>0</v>
      </c>
      <c r="E253">
        <f t="shared" si="30"/>
        <v>0</v>
      </c>
    </row>
    <row r="254" spans="1:5">
      <c r="A254">
        <f t="shared" si="26"/>
        <v>0</v>
      </c>
      <c r="B254">
        <f t="shared" si="27"/>
        <v>0</v>
      </c>
      <c r="C254">
        <f t="shared" si="28"/>
        <v>0</v>
      </c>
      <c r="D254">
        <f t="shared" si="29"/>
        <v>0</v>
      </c>
      <c r="E254">
        <f t="shared" si="30"/>
        <v>0</v>
      </c>
    </row>
    <row r="255" spans="1:5">
      <c r="A255">
        <f t="shared" si="26"/>
        <v>0</v>
      </c>
      <c r="B255">
        <f t="shared" si="27"/>
        <v>0</v>
      </c>
      <c r="C255">
        <f t="shared" si="28"/>
        <v>0</v>
      </c>
      <c r="D255">
        <f t="shared" si="29"/>
        <v>0</v>
      </c>
      <c r="E255">
        <f t="shared" si="30"/>
        <v>0</v>
      </c>
    </row>
    <row r="256" spans="1:5">
      <c r="A256">
        <f t="shared" si="26"/>
        <v>0</v>
      </c>
      <c r="B256">
        <f t="shared" si="27"/>
        <v>0</v>
      </c>
      <c r="C256">
        <f t="shared" si="28"/>
        <v>0</v>
      </c>
      <c r="D256">
        <f t="shared" si="29"/>
        <v>0</v>
      </c>
      <c r="E256">
        <f t="shared" si="30"/>
        <v>0</v>
      </c>
    </row>
    <row r="257" spans="1:5">
      <c r="A257">
        <f t="shared" si="26"/>
        <v>0</v>
      </c>
      <c r="B257">
        <f t="shared" si="27"/>
        <v>0</v>
      </c>
      <c r="C257">
        <f t="shared" si="28"/>
        <v>0</v>
      </c>
      <c r="D257">
        <f t="shared" si="29"/>
        <v>0</v>
      </c>
      <c r="E257">
        <f t="shared" si="30"/>
        <v>0</v>
      </c>
    </row>
    <row r="258" spans="1:5">
      <c r="A258">
        <f t="shared" si="26"/>
        <v>0</v>
      </c>
      <c r="B258">
        <f t="shared" si="27"/>
        <v>0</v>
      </c>
      <c r="C258">
        <f t="shared" si="28"/>
        <v>0</v>
      </c>
      <c r="D258">
        <f t="shared" si="29"/>
        <v>0</v>
      </c>
      <c r="E258">
        <f t="shared" si="30"/>
        <v>0</v>
      </c>
    </row>
    <row r="317" ht="23.25" customHeight="1"/>
    <row r="341" ht="23.25" customHeight="1"/>
  </sheetData>
  <autoFilter ref="A1:E1" xr:uid="{A4D7E9D0-8368-439F-B3DA-946EF77E80B6}"/>
  <mergeCells count="1">
    <mergeCell ref="G1:K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A59A4-31A6-4732-9206-9A016B01D6E5}">
  <sheetPr codeName="Sheet12">
    <tabColor rgb="FF00B050"/>
  </sheetPr>
  <dimension ref="A1:M320"/>
  <sheetViews>
    <sheetView workbookViewId="0">
      <selection activeCell="G185" sqref="G185:M187"/>
    </sheetView>
  </sheetViews>
  <sheetFormatPr defaultRowHeight="15"/>
  <cols>
    <col min="1" max="1" width="23.140625" bestFit="1" customWidth="1"/>
    <col min="4" max="4" width="17.7109375" bestFit="1" customWidth="1"/>
    <col min="5" max="5" width="19.28515625" bestFit="1" customWidth="1"/>
    <col min="7" max="7" width="9.7109375" customWidth="1"/>
    <col min="8" max="8" width="23.28515625" bestFit="1" customWidth="1"/>
  </cols>
  <sheetData>
    <row r="1" spans="1:13">
      <c r="A1" s="1" t="s">
        <v>0</v>
      </c>
      <c r="B1" s="1" t="s">
        <v>1</v>
      </c>
      <c r="C1" s="1" t="s">
        <v>2</v>
      </c>
      <c r="D1" s="1" t="s">
        <v>256</v>
      </c>
      <c r="E1" s="1" t="s">
        <v>257</v>
      </c>
      <c r="G1" s="403" t="s">
        <v>5</v>
      </c>
      <c r="H1" s="403"/>
      <c r="I1" s="403"/>
      <c r="J1" s="403"/>
      <c r="K1" s="403"/>
    </row>
    <row r="2" spans="1:13">
      <c r="A2" t="str">
        <f>H2</f>
        <v>Taylor Montgomery</v>
      </c>
      <c r="B2">
        <f>G2</f>
        <v>1</v>
      </c>
      <c r="C2">
        <f>I2</f>
        <v>0.98599999999999999</v>
      </c>
      <c r="D2">
        <f t="shared" ref="D2:E17" si="0">J2</f>
        <v>0</v>
      </c>
      <c r="E2">
        <f t="shared" si="0"/>
        <v>0</v>
      </c>
      <c r="G2">
        <v>1</v>
      </c>
      <c r="H2" t="s">
        <v>63</v>
      </c>
      <c r="I2">
        <v>0.98599999999999999</v>
      </c>
      <c r="M2">
        <v>28</v>
      </c>
    </row>
    <row r="3" spans="1:13">
      <c r="A3" t="str">
        <f t="shared" ref="A3:A66" si="1">H3</f>
        <v>Aaron Baddeley</v>
      </c>
      <c r="B3">
        <f t="shared" ref="B3:B66" si="2">G3</f>
        <v>2</v>
      </c>
      <c r="C3">
        <f t="shared" ref="C3:E66" si="3">I3</f>
        <v>0.85699999999999998</v>
      </c>
      <c r="D3">
        <f t="shared" si="0"/>
        <v>0</v>
      </c>
      <c r="E3">
        <f t="shared" si="0"/>
        <v>0</v>
      </c>
      <c r="G3">
        <v>2</v>
      </c>
      <c r="H3" t="s">
        <v>182</v>
      </c>
      <c r="I3">
        <v>0.85699999999999998</v>
      </c>
      <c r="M3">
        <v>27</v>
      </c>
    </row>
    <row r="4" spans="1:13">
      <c r="A4" t="str">
        <f t="shared" si="1"/>
        <v>Alexander Björk</v>
      </c>
      <c r="B4">
        <f t="shared" si="2"/>
        <v>3</v>
      </c>
      <c r="C4">
        <f t="shared" si="3"/>
        <v>0.84699999999999998</v>
      </c>
      <c r="D4">
        <f t="shared" si="0"/>
        <v>0</v>
      </c>
      <c r="E4">
        <f t="shared" si="0"/>
        <v>0</v>
      </c>
      <c r="G4">
        <v>3</v>
      </c>
      <c r="H4" t="s">
        <v>491</v>
      </c>
      <c r="I4">
        <v>0.84699999999999998</v>
      </c>
      <c r="M4">
        <v>23</v>
      </c>
    </row>
    <row r="5" spans="1:13">
      <c r="A5" t="str">
        <f t="shared" si="1"/>
        <v>Peter Malnati</v>
      </c>
      <c r="B5">
        <f t="shared" si="2"/>
        <v>4</v>
      </c>
      <c r="C5">
        <f t="shared" si="3"/>
        <v>0.81899999999999995</v>
      </c>
      <c r="D5">
        <f t="shared" si="0"/>
        <v>0</v>
      </c>
      <c r="E5">
        <f t="shared" si="0"/>
        <v>0</v>
      </c>
      <c r="G5">
        <v>4</v>
      </c>
      <c r="H5" t="s">
        <v>142</v>
      </c>
      <c r="I5">
        <v>0.81899999999999995</v>
      </c>
      <c r="M5">
        <v>23</v>
      </c>
    </row>
    <row r="6" spans="1:13" ht="23.25" customHeight="1">
      <c r="A6" t="str">
        <f t="shared" si="1"/>
        <v>Raul Pereda</v>
      </c>
      <c r="B6">
        <f t="shared" si="2"/>
        <v>5</v>
      </c>
      <c r="C6">
        <f t="shared" si="3"/>
        <v>0.81100000000000005</v>
      </c>
      <c r="D6">
        <f t="shared" si="0"/>
        <v>0</v>
      </c>
      <c r="E6">
        <f t="shared" si="0"/>
        <v>0</v>
      </c>
      <c r="G6">
        <v>5</v>
      </c>
      <c r="H6" t="s">
        <v>564</v>
      </c>
      <c r="I6">
        <v>0.81100000000000005</v>
      </c>
      <c r="M6">
        <v>11</v>
      </c>
    </row>
    <row r="7" spans="1:13">
      <c r="A7" t="str">
        <f t="shared" si="1"/>
        <v>Matthieu Pavon</v>
      </c>
      <c r="B7">
        <f t="shared" si="2"/>
        <v>6</v>
      </c>
      <c r="C7">
        <f t="shared" si="3"/>
        <v>0.77300000000000002</v>
      </c>
      <c r="D7">
        <f t="shared" si="0"/>
        <v>0</v>
      </c>
      <c r="E7">
        <f t="shared" si="0"/>
        <v>0</v>
      </c>
      <c r="G7">
        <v>6</v>
      </c>
      <c r="H7" t="s">
        <v>487</v>
      </c>
      <c r="I7">
        <v>0.77300000000000002</v>
      </c>
      <c r="M7">
        <v>19</v>
      </c>
    </row>
    <row r="8" spans="1:13">
      <c r="A8" t="str">
        <f t="shared" si="1"/>
        <v>Chad Ramey</v>
      </c>
      <c r="B8">
        <f t="shared" si="2"/>
        <v>7</v>
      </c>
      <c r="C8">
        <f t="shared" si="3"/>
        <v>0.73399999999999999</v>
      </c>
      <c r="D8">
        <f t="shared" si="0"/>
        <v>0</v>
      </c>
      <c r="E8">
        <f t="shared" si="0"/>
        <v>0</v>
      </c>
      <c r="G8">
        <v>7</v>
      </c>
      <c r="H8" t="s">
        <v>148</v>
      </c>
      <c r="I8">
        <v>0.73399999999999999</v>
      </c>
      <c r="M8">
        <v>25</v>
      </c>
    </row>
    <row r="9" spans="1:13">
      <c r="A9" t="str">
        <f t="shared" si="1"/>
        <v>Justin Suh</v>
      </c>
      <c r="B9">
        <f t="shared" si="2"/>
        <v>8</v>
      </c>
      <c r="C9">
        <f t="shared" si="3"/>
        <v>0.71499999999999997</v>
      </c>
      <c r="D9">
        <f t="shared" si="0"/>
        <v>0</v>
      </c>
      <c r="E9">
        <f t="shared" si="0"/>
        <v>0</v>
      </c>
      <c r="G9">
        <v>8</v>
      </c>
      <c r="H9" t="s">
        <v>109</v>
      </c>
      <c r="I9">
        <v>0.71499999999999997</v>
      </c>
      <c r="M9">
        <v>21</v>
      </c>
    </row>
    <row r="10" spans="1:13">
      <c r="A10" t="str">
        <f t="shared" si="1"/>
        <v>Denny McCarthy</v>
      </c>
      <c r="B10">
        <f t="shared" si="2"/>
        <v>9</v>
      </c>
      <c r="C10">
        <f t="shared" si="3"/>
        <v>0.70199999999999996</v>
      </c>
      <c r="D10">
        <f t="shared" si="0"/>
        <v>0</v>
      </c>
      <c r="E10">
        <f t="shared" si="0"/>
        <v>0</v>
      </c>
      <c r="G10">
        <v>9</v>
      </c>
      <c r="H10" t="s">
        <v>140</v>
      </c>
      <c r="I10">
        <v>0.70199999999999996</v>
      </c>
      <c r="M10">
        <v>32</v>
      </c>
    </row>
    <row r="11" spans="1:13">
      <c r="A11" t="str">
        <f t="shared" si="1"/>
        <v>Brendon Todd</v>
      </c>
      <c r="B11">
        <f t="shared" si="2"/>
        <v>10</v>
      </c>
      <c r="C11">
        <f t="shared" si="3"/>
        <v>0.7</v>
      </c>
      <c r="D11">
        <f t="shared" si="0"/>
        <v>0</v>
      </c>
      <c r="E11">
        <f t="shared" si="0"/>
        <v>0</v>
      </c>
      <c r="G11">
        <v>10</v>
      </c>
      <c r="H11" t="s">
        <v>188</v>
      </c>
      <c r="I11">
        <v>0.7</v>
      </c>
      <c r="M11">
        <v>34</v>
      </c>
    </row>
    <row r="12" spans="1:13">
      <c r="A12" t="str">
        <f t="shared" si="1"/>
        <v>Stewart Cink</v>
      </c>
      <c r="B12">
        <f t="shared" si="2"/>
        <v>11</v>
      </c>
      <c r="C12">
        <f t="shared" si="3"/>
        <v>0.68200000000000005</v>
      </c>
      <c r="D12">
        <f t="shared" si="0"/>
        <v>0</v>
      </c>
      <c r="E12">
        <f t="shared" si="0"/>
        <v>0</v>
      </c>
      <c r="G12">
        <v>11</v>
      </c>
      <c r="H12" t="s">
        <v>53</v>
      </c>
      <c r="I12">
        <v>0.68200000000000005</v>
      </c>
      <c r="M12">
        <v>17</v>
      </c>
    </row>
    <row r="13" spans="1:13">
      <c r="A13" t="str">
        <f t="shared" si="1"/>
        <v>Jordan Spieth</v>
      </c>
      <c r="B13">
        <f t="shared" si="2"/>
        <v>12</v>
      </c>
      <c r="C13">
        <f t="shared" si="3"/>
        <v>0.67300000000000004</v>
      </c>
      <c r="D13">
        <f t="shared" si="0"/>
        <v>0</v>
      </c>
      <c r="E13">
        <f t="shared" si="0"/>
        <v>0</v>
      </c>
      <c r="G13">
        <v>12</v>
      </c>
      <c r="H13" t="s">
        <v>76</v>
      </c>
      <c r="I13">
        <v>0.67300000000000004</v>
      </c>
      <c r="M13">
        <v>23</v>
      </c>
    </row>
    <row r="14" spans="1:13">
      <c r="A14" t="str">
        <f t="shared" si="1"/>
        <v>Sahith Theegala</v>
      </c>
      <c r="B14">
        <f t="shared" si="2"/>
        <v>13</v>
      </c>
      <c r="C14">
        <f t="shared" si="3"/>
        <v>0.65600000000000003</v>
      </c>
      <c r="D14">
        <f t="shared" si="0"/>
        <v>0</v>
      </c>
      <c r="E14">
        <f t="shared" si="0"/>
        <v>0</v>
      </c>
      <c r="G14">
        <v>13</v>
      </c>
      <c r="H14" t="s">
        <v>64</v>
      </c>
      <c r="I14">
        <v>0.65600000000000003</v>
      </c>
      <c r="M14">
        <v>31</v>
      </c>
    </row>
    <row r="15" spans="1:13">
      <c r="A15" t="str">
        <f t="shared" si="1"/>
        <v>Pierceson Coody</v>
      </c>
      <c r="B15">
        <f t="shared" si="2"/>
        <v>14</v>
      </c>
      <c r="C15">
        <f t="shared" si="3"/>
        <v>0.65100000000000002</v>
      </c>
      <c r="D15">
        <f t="shared" si="0"/>
        <v>0</v>
      </c>
      <c r="E15">
        <f t="shared" si="0"/>
        <v>0</v>
      </c>
      <c r="G15">
        <v>14</v>
      </c>
      <c r="H15" t="s">
        <v>490</v>
      </c>
      <c r="I15">
        <v>0.65100000000000002</v>
      </c>
      <c r="M15">
        <v>15</v>
      </c>
    </row>
    <row r="16" spans="1:13">
      <c r="A16" t="str">
        <f t="shared" si="1"/>
        <v>Wyndham Clark</v>
      </c>
      <c r="B16">
        <f t="shared" si="2"/>
        <v>15</v>
      </c>
      <c r="C16">
        <f t="shared" si="3"/>
        <v>0.63600000000000001</v>
      </c>
      <c r="D16">
        <f t="shared" si="0"/>
        <v>0</v>
      </c>
      <c r="E16">
        <f t="shared" si="0"/>
        <v>0</v>
      </c>
      <c r="G16">
        <v>15</v>
      </c>
      <c r="H16" t="s">
        <v>18</v>
      </c>
      <c r="I16">
        <v>0.63600000000000001</v>
      </c>
      <c r="M16">
        <v>24</v>
      </c>
    </row>
    <row r="17" spans="1:13">
      <c r="A17" t="str">
        <f t="shared" si="1"/>
        <v>Brian Harman</v>
      </c>
      <c r="B17">
        <f t="shared" si="2"/>
        <v>16</v>
      </c>
      <c r="C17">
        <f t="shared" si="3"/>
        <v>0.625</v>
      </c>
      <c r="D17">
        <f t="shared" si="0"/>
        <v>0</v>
      </c>
      <c r="E17">
        <f t="shared" si="0"/>
        <v>0</v>
      </c>
      <c r="G17">
        <v>16</v>
      </c>
      <c r="H17" t="s">
        <v>154</v>
      </c>
      <c r="I17">
        <v>0.625</v>
      </c>
      <c r="M17">
        <v>32</v>
      </c>
    </row>
    <row r="18" spans="1:13">
      <c r="A18" t="str">
        <f t="shared" si="1"/>
        <v>Christiaan Bezuidenhout</v>
      </c>
      <c r="B18">
        <f t="shared" si="2"/>
        <v>17</v>
      </c>
      <c r="C18">
        <f t="shared" si="3"/>
        <v>0.61099999999999999</v>
      </c>
      <c r="D18">
        <f t="shared" si="3"/>
        <v>0</v>
      </c>
      <c r="E18">
        <f t="shared" si="3"/>
        <v>0</v>
      </c>
      <c r="G18">
        <v>17</v>
      </c>
      <c r="H18" t="s">
        <v>165</v>
      </c>
      <c r="I18">
        <v>0.61099999999999999</v>
      </c>
      <c r="M18">
        <v>29</v>
      </c>
    </row>
    <row r="19" spans="1:13">
      <c r="A19" t="str">
        <f t="shared" si="1"/>
        <v>Billy Horschel</v>
      </c>
      <c r="B19">
        <f t="shared" si="2"/>
        <v>18</v>
      </c>
      <c r="C19">
        <f t="shared" si="3"/>
        <v>0.57799999999999996</v>
      </c>
      <c r="D19">
        <f t="shared" si="3"/>
        <v>0</v>
      </c>
      <c r="E19">
        <f t="shared" si="3"/>
        <v>0</v>
      </c>
      <c r="G19">
        <v>18</v>
      </c>
      <c r="H19" t="s">
        <v>115</v>
      </c>
      <c r="I19">
        <v>0.57799999999999996</v>
      </c>
      <c r="M19">
        <v>25</v>
      </c>
    </row>
    <row r="20" spans="1:13">
      <c r="A20" t="str">
        <f t="shared" si="1"/>
        <v>Nick Taylor</v>
      </c>
      <c r="B20">
        <f t="shared" si="2"/>
        <v>19</v>
      </c>
      <c r="C20">
        <f t="shared" si="3"/>
        <v>0.57499999999999996</v>
      </c>
      <c r="D20">
        <f t="shared" si="3"/>
        <v>0</v>
      </c>
      <c r="E20">
        <f t="shared" si="3"/>
        <v>0</v>
      </c>
      <c r="G20">
        <v>19</v>
      </c>
      <c r="H20" t="s">
        <v>158</v>
      </c>
      <c r="I20">
        <v>0.57499999999999996</v>
      </c>
      <c r="M20">
        <v>30</v>
      </c>
    </row>
    <row r="21" spans="1:13">
      <c r="A21" t="str">
        <f t="shared" si="1"/>
        <v>Adam Scott</v>
      </c>
      <c r="B21">
        <f t="shared" si="2"/>
        <v>20</v>
      </c>
      <c r="C21">
        <f t="shared" si="3"/>
        <v>0.56499999999999995</v>
      </c>
      <c r="D21">
        <f t="shared" si="3"/>
        <v>0</v>
      </c>
      <c r="E21">
        <f t="shared" si="3"/>
        <v>0</v>
      </c>
      <c r="G21">
        <v>20</v>
      </c>
      <c r="H21" t="s">
        <v>19</v>
      </c>
      <c r="I21">
        <v>0.56499999999999995</v>
      </c>
      <c r="M21">
        <v>20</v>
      </c>
    </row>
    <row r="22" spans="1:13">
      <c r="A22" t="str">
        <f t="shared" si="1"/>
        <v>Sam Burns</v>
      </c>
      <c r="B22">
        <f t="shared" si="2"/>
        <v>21</v>
      </c>
      <c r="C22">
        <f t="shared" si="3"/>
        <v>0.54200000000000004</v>
      </c>
      <c r="D22">
        <f t="shared" si="3"/>
        <v>0</v>
      </c>
      <c r="E22">
        <f t="shared" si="3"/>
        <v>0</v>
      </c>
      <c r="G22">
        <v>21</v>
      </c>
      <c r="H22" t="s">
        <v>27</v>
      </c>
      <c r="I22">
        <v>0.54200000000000004</v>
      </c>
      <c r="M22">
        <v>24</v>
      </c>
    </row>
    <row r="23" spans="1:13">
      <c r="A23" t="str">
        <f t="shared" si="1"/>
        <v>Taylor Pendrith</v>
      </c>
      <c r="B23">
        <f t="shared" si="2"/>
        <v>22</v>
      </c>
      <c r="C23">
        <f t="shared" si="3"/>
        <v>0.53800000000000003</v>
      </c>
      <c r="D23">
        <f t="shared" si="3"/>
        <v>0</v>
      </c>
      <c r="E23">
        <f t="shared" si="3"/>
        <v>0</v>
      </c>
      <c r="G23">
        <v>22</v>
      </c>
      <c r="H23" t="s">
        <v>33</v>
      </c>
      <c r="I23">
        <v>0.53800000000000003</v>
      </c>
      <c r="M23">
        <v>21</v>
      </c>
    </row>
    <row r="24" spans="1:13">
      <c r="A24" t="str">
        <f t="shared" si="1"/>
        <v>Emiliano Grillo</v>
      </c>
      <c r="B24">
        <f t="shared" si="2"/>
        <v>23</v>
      </c>
      <c r="C24">
        <f t="shared" si="3"/>
        <v>0.53300000000000003</v>
      </c>
      <c r="D24">
        <f t="shared" si="3"/>
        <v>0</v>
      </c>
      <c r="E24">
        <f t="shared" si="3"/>
        <v>0</v>
      </c>
      <c r="G24">
        <v>23</v>
      </c>
      <c r="H24" t="s">
        <v>90</v>
      </c>
      <c r="I24">
        <v>0.53300000000000003</v>
      </c>
      <c r="M24">
        <v>33</v>
      </c>
    </row>
    <row r="25" spans="1:13">
      <c r="A25" t="str">
        <f t="shared" si="1"/>
        <v>Nick Dunlap</v>
      </c>
      <c r="B25">
        <f t="shared" si="2"/>
        <v>24</v>
      </c>
      <c r="C25">
        <f t="shared" si="3"/>
        <v>0.48799999999999999</v>
      </c>
      <c r="D25">
        <f t="shared" si="3"/>
        <v>0</v>
      </c>
      <c r="E25">
        <f t="shared" si="3"/>
        <v>0</v>
      </c>
      <c r="G25">
        <v>24</v>
      </c>
      <c r="H25" t="s">
        <v>539</v>
      </c>
      <c r="I25">
        <v>0.48799999999999999</v>
      </c>
      <c r="M25">
        <v>18</v>
      </c>
    </row>
    <row r="26" spans="1:13">
      <c r="A26" t="str">
        <f t="shared" si="1"/>
        <v>Cameron Champ</v>
      </c>
      <c r="B26">
        <f t="shared" si="2"/>
        <v>25</v>
      </c>
      <c r="C26">
        <f t="shared" si="3"/>
        <v>0.45500000000000002</v>
      </c>
      <c r="D26">
        <f t="shared" si="3"/>
        <v>0</v>
      </c>
      <c r="E26">
        <f t="shared" si="3"/>
        <v>0</v>
      </c>
      <c r="G26">
        <v>25</v>
      </c>
      <c r="H26" t="s">
        <v>8</v>
      </c>
      <c r="I26">
        <v>0.45500000000000002</v>
      </c>
      <c r="M26">
        <v>21</v>
      </c>
    </row>
    <row r="27" spans="1:13">
      <c r="A27" t="str">
        <f t="shared" si="1"/>
        <v>Tom Hoge</v>
      </c>
      <c r="B27">
        <f t="shared" si="2"/>
        <v>26</v>
      </c>
      <c r="C27">
        <f t="shared" si="3"/>
        <v>0.436</v>
      </c>
      <c r="D27">
        <f t="shared" si="3"/>
        <v>0</v>
      </c>
      <c r="E27">
        <f t="shared" si="3"/>
        <v>0</v>
      </c>
      <c r="G27">
        <v>26</v>
      </c>
      <c r="H27" t="s">
        <v>139</v>
      </c>
      <c r="I27">
        <v>0.436</v>
      </c>
      <c r="M27">
        <v>35</v>
      </c>
    </row>
    <row r="28" spans="1:13">
      <c r="A28" t="str">
        <f t="shared" si="1"/>
        <v>Harris English</v>
      </c>
      <c r="B28">
        <f t="shared" si="2"/>
        <v>27</v>
      </c>
      <c r="C28">
        <f t="shared" si="3"/>
        <v>0.43099999999999999</v>
      </c>
      <c r="D28">
        <f t="shared" si="3"/>
        <v>0</v>
      </c>
      <c r="E28">
        <f t="shared" si="3"/>
        <v>0</v>
      </c>
      <c r="G28">
        <v>27</v>
      </c>
      <c r="H28" t="s">
        <v>125</v>
      </c>
      <c r="I28">
        <v>0.43099999999999999</v>
      </c>
      <c r="M28">
        <v>31</v>
      </c>
    </row>
    <row r="29" spans="1:13">
      <c r="A29" t="str">
        <f t="shared" si="1"/>
        <v>Matt Fitzpatrick</v>
      </c>
      <c r="B29">
        <f t="shared" si="2"/>
        <v>27</v>
      </c>
      <c r="C29">
        <f t="shared" si="3"/>
        <v>0.43099999999999999</v>
      </c>
      <c r="D29">
        <f t="shared" si="3"/>
        <v>0</v>
      </c>
      <c r="E29">
        <f t="shared" si="3"/>
        <v>0</v>
      </c>
      <c r="G29">
        <v>27</v>
      </c>
      <c r="H29" t="s">
        <v>72</v>
      </c>
      <c r="I29">
        <v>0.43099999999999999</v>
      </c>
      <c r="M29">
        <v>28</v>
      </c>
    </row>
    <row r="30" spans="1:13">
      <c r="A30" t="str">
        <f t="shared" si="1"/>
        <v>Russell Henley</v>
      </c>
      <c r="B30">
        <f t="shared" si="2"/>
        <v>29</v>
      </c>
      <c r="C30">
        <f t="shared" si="3"/>
        <v>0.42499999999999999</v>
      </c>
      <c r="D30">
        <f t="shared" si="3"/>
        <v>0</v>
      </c>
      <c r="E30">
        <f t="shared" si="3"/>
        <v>0</v>
      </c>
      <c r="G30">
        <v>29</v>
      </c>
      <c r="H30" t="s">
        <v>166</v>
      </c>
      <c r="I30">
        <v>0.42499999999999999</v>
      </c>
      <c r="M30">
        <v>28</v>
      </c>
    </row>
    <row r="31" spans="1:13">
      <c r="A31" t="str">
        <f t="shared" si="1"/>
        <v>S.H. Kim</v>
      </c>
      <c r="B31">
        <f t="shared" si="2"/>
        <v>30</v>
      </c>
      <c r="C31">
        <f t="shared" si="3"/>
        <v>0.42399999999999999</v>
      </c>
      <c r="D31">
        <f t="shared" si="3"/>
        <v>0</v>
      </c>
      <c r="E31">
        <f t="shared" si="3"/>
        <v>0</v>
      </c>
      <c r="G31">
        <v>30</v>
      </c>
      <c r="H31" t="s">
        <v>39</v>
      </c>
      <c r="I31">
        <v>0.42399999999999999</v>
      </c>
      <c r="M31">
        <v>33</v>
      </c>
    </row>
    <row r="32" spans="1:13">
      <c r="A32" t="str">
        <f t="shared" si="1"/>
        <v>Wilson Furr</v>
      </c>
      <c r="B32">
        <f t="shared" si="2"/>
        <v>31</v>
      </c>
      <c r="C32">
        <f t="shared" si="3"/>
        <v>0.42099999999999999</v>
      </c>
      <c r="D32">
        <f t="shared" si="3"/>
        <v>0</v>
      </c>
      <c r="E32">
        <f t="shared" si="3"/>
        <v>0</v>
      </c>
      <c r="G32">
        <v>31</v>
      </c>
      <c r="H32" t="s">
        <v>692</v>
      </c>
      <c r="I32">
        <v>0.42099999999999999</v>
      </c>
      <c r="M32">
        <v>13</v>
      </c>
    </row>
    <row r="33" spans="1:13">
      <c r="A33" t="str">
        <f t="shared" si="1"/>
        <v>Beau Hossler</v>
      </c>
      <c r="B33">
        <f t="shared" si="2"/>
        <v>31</v>
      </c>
      <c r="C33">
        <f t="shared" si="3"/>
        <v>0.42099999999999999</v>
      </c>
      <c r="D33">
        <f t="shared" si="3"/>
        <v>0</v>
      </c>
      <c r="E33">
        <f t="shared" si="3"/>
        <v>0</v>
      </c>
      <c r="G33">
        <v>31</v>
      </c>
      <c r="H33" t="s">
        <v>59</v>
      </c>
      <c r="I33">
        <v>0.42099999999999999</v>
      </c>
      <c r="M33">
        <v>29</v>
      </c>
    </row>
    <row r="34" spans="1:13">
      <c r="A34" t="str">
        <f t="shared" si="1"/>
        <v>Thomas Detry</v>
      </c>
      <c r="B34">
        <f t="shared" si="2"/>
        <v>33</v>
      </c>
      <c r="C34">
        <f t="shared" si="3"/>
        <v>0.40899999999999997</v>
      </c>
      <c r="D34">
        <f t="shared" si="3"/>
        <v>0</v>
      </c>
      <c r="E34">
        <f t="shared" si="3"/>
        <v>0</v>
      </c>
      <c r="G34">
        <v>33</v>
      </c>
      <c r="H34" t="s">
        <v>46</v>
      </c>
      <c r="I34">
        <v>0.40899999999999997</v>
      </c>
      <c r="M34">
        <v>25</v>
      </c>
    </row>
    <row r="35" spans="1:13">
      <c r="A35" t="str">
        <f t="shared" si="1"/>
        <v>Erik van Rooyen</v>
      </c>
      <c r="B35">
        <f t="shared" si="2"/>
        <v>34</v>
      </c>
      <c r="C35">
        <f t="shared" si="3"/>
        <v>0.40100000000000002</v>
      </c>
      <c r="D35">
        <f t="shared" si="3"/>
        <v>0</v>
      </c>
      <c r="E35">
        <f t="shared" si="3"/>
        <v>0</v>
      </c>
      <c r="G35">
        <v>34</v>
      </c>
      <c r="H35" t="s">
        <v>65</v>
      </c>
      <c r="I35">
        <v>0.40100000000000002</v>
      </c>
      <c r="M35">
        <v>28</v>
      </c>
    </row>
    <row r="36" spans="1:13">
      <c r="A36" t="str">
        <f t="shared" si="1"/>
        <v>Chesson Hadley</v>
      </c>
      <c r="B36">
        <f t="shared" si="2"/>
        <v>35</v>
      </c>
      <c r="C36">
        <f t="shared" si="3"/>
        <v>0.39300000000000002</v>
      </c>
      <c r="D36">
        <f t="shared" si="3"/>
        <v>0</v>
      </c>
      <c r="E36">
        <f t="shared" si="3"/>
        <v>0</v>
      </c>
      <c r="G36">
        <v>35</v>
      </c>
      <c r="H36" t="s">
        <v>106</v>
      </c>
      <c r="I36">
        <v>0.39300000000000002</v>
      </c>
      <c r="M36">
        <v>21</v>
      </c>
    </row>
    <row r="37" spans="1:13">
      <c r="A37" t="str">
        <f t="shared" si="1"/>
        <v>Maverick McNealy</v>
      </c>
      <c r="B37">
        <f t="shared" si="2"/>
        <v>36</v>
      </c>
      <c r="C37">
        <f t="shared" si="3"/>
        <v>0.38300000000000001</v>
      </c>
      <c r="D37">
        <f t="shared" si="3"/>
        <v>0</v>
      </c>
      <c r="E37">
        <f t="shared" si="3"/>
        <v>0</v>
      </c>
      <c r="G37">
        <v>36</v>
      </c>
      <c r="H37" t="s">
        <v>98</v>
      </c>
      <c r="I37">
        <v>0.38300000000000001</v>
      </c>
      <c r="M37">
        <v>33</v>
      </c>
    </row>
    <row r="38" spans="1:13">
      <c r="A38" t="str">
        <f t="shared" si="1"/>
        <v>Jacob Bridgeman</v>
      </c>
      <c r="B38">
        <f t="shared" si="2"/>
        <v>37</v>
      </c>
      <c r="C38">
        <f t="shared" si="3"/>
        <v>0.38200000000000001</v>
      </c>
      <c r="D38">
        <f t="shared" si="3"/>
        <v>0</v>
      </c>
      <c r="E38">
        <f t="shared" si="3"/>
        <v>0</v>
      </c>
      <c r="G38">
        <v>37</v>
      </c>
      <c r="H38" t="s">
        <v>496</v>
      </c>
      <c r="I38">
        <v>0.38200000000000001</v>
      </c>
      <c r="M38">
        <v>19</v>
      </c>
    </row>
    <row r="39" spans="1:13">
      <c r="A39" t="str">
        <f t="shared" si="1"/>
        <v>Adam Schenk</v>
      </c>
      <c r="B39">
        <f t="shared" si="2"/>
        <v>38</v>
      </c>
      <c r="C39">
        <f t="shared" si="3"/>
        <v>0.375</v>
      </c>
      <c r="D39">
        <f t="shared" si="3"/>
        <v>0</v>
      </c>
      <c r="E39">
        <f t="shared" si="3"/>
        <v>0</v>
      </c>
      <c r="G39">
        <v>38</v>
      </c>
      <c r="H39" t="s">
        <v>56</v>
      </c>
      <c r="I39">
        <v>0.375</v>
      </c>
      <c r="M39">
        <v>33</v>
      </c>
    </row>
    <row r="40" spans="1:13">
      <c r="A40" t="str">
        <f t="shared" si="1"/>
        <v>Garrick Higgo</v>
      </c>
      <c r="B40">
        <f t="shared" si="2"/>
        <v>39</v>
      </c>
      <c r="C40">
        <f t="shared" si="3"/>
        <v>0.372</v>
      </c>
      <c r="D40">
        <f t="shared" si="3"/>
        <v>0</v>
      </c>
      <c r="E40">
        <f t="shared" si="3"/>
        <v>0</v>
      </c>
      <c r="G40">
        <v>39</v>
      </c>
      <c r="H40" t="s">
        <v>32</v>
      </c>
      <c r="I40">
        <v>0.372</v>
      </c>
      <c r="M40">
        <v>26</v>
      </c>
    </row>
    <row r="41" spans="1:13">
      <c r="A41" t="str">
        <f t="shared" si="1"/>
        <v>Sam Ryder</v>
      </c>
      <c r="B41">
        <f t="shared" si="2"/>
        <v>40</v>
      </c>
      <c r="C41">
        <f t="shared" si="3"/>
        <v>0.36099999999999999</v>
      </c>
      <c r="D41">
        <f t="shared" si="3"/>
        <v>0</v>
      </c>
      <c r="E41">
        <f t="shared" si="3"/>
        <v>0</v>
      </c>
      <c r="G41">
        <v>40</v>
      </c>
      <c r="H41" t="s">
        <v>146</v>
      </c>
      <c r="I41">
        <v>0.36099999999999999</v>
      </c>
      <c r="M41">
        <v>25</v>
      </c>
    </row>
    <row r="42" spans="1:13">
      <c r="A42" t="str">
        <f t="shared" si="1"/>
        <v>Hayden Springer</v>
      </c>
      <c r="B42">
        <f t="shared" si="2"/>
        <v>41</v>
      </c>
      <c r="C42">
        <f t="shared" si="3"/>
        <v>0.35899999999999999</v>
      </c>
      <c r="D42">
        <f t="shared" si="3"/>
        <v>0</v>
      </c>
      <c r="E42">
        <f t="shared" si="3"/>
        <v>0</v>
      </c>
      <c r="G42">
        <v>41</v>
      </c>
      <c r="H42" t="s">
        <v>557</v>
      </c>
      <c r="I42">
        <v>0.35899999999999999</v>
      </c>
      <c r="M42">
        <v>17</v>
      </c>
    </row>
    <row r="43" spans="1:13">
      <c r="A43" t="str">
        <f t="shared" si="1"/>
        <v>Eric Cole</v>
      </c>
      <c r="B43">
        <f t="shared" si="2"/>
        <v>42</v>
      </c>
      <c r="C43">
        <f t="shared" si="3"/>
        <v>0.34899999999999998</v>
      </c>
      <c r="D43">
        <f t="shared" si="3"/>
        <v>0</v>
      </c>
      <c r="E43">
        <f t="shared" si="3"/>
        <v>0</v>
      </c>
      <c r="G43">
        <v>42</v>
      </c>
      <c r="H43" t="s">
        <v>114</v>
      </c>
      <c r="I43">
        <v>0.34899999999999998</v>
      </c>
      <c r="M43">
        <v>33</v>
      </c>
    </row>
    <row r="44" spans="1:13">
      <c r="A44" t="str">
        <f t="shared" si="1"/>
        <v>Jason Day</v>
      </c>
      <c r="B44">
        <f t="shared" si="2"/>
        <v>43</v>
      </c>
      <c r="C44">
        <f t="shared" si="3"/>
        <v>0.34699999999999998</v>
      </c>
      <c r="D44">
        <f t="shared" si="3"/>
        <v>0</v>
      </c>
      <c r="E44">
        <f t="shared" si="3"/>
        <v>0</v>
      </c>
      <c r="G44">
        <v>43</v>
      </c>
      <c r="H44" t="s">
        <v>68</v>
      </c>
      <c r="I44">
        <v>0.34699999999999998</v>
      </c>
      <c r="M44">
        <v>21</v>
      </c>
    </row>
    <row r="45" spans="1:13">
      <c r="A45" t="str">
        <f t="shared" si="1"/>
        <v>Trace Crowe</v>
      </c>
      <c r="B45">
        <f t="shared" si="2"/>
        <v>44</v>
      </c>
      <c r="C45">
        <f t="shared" si="3"/>
        <v>0.34399999999999997</v>
      </c>
      <c r="D45">
        <f t="shared" si="3"/>
        <v>0</v>
      </c>
      <c r="E45">
        <f t="shared" si="3"/>
        <v>0</v>
      </c>
      <c r="G45">
        <v>44</v>
      </c>
      <c r="H45" t="s">
        <v>559</v>
      </c>
      <c r="I45">
        <v>0.34399999999999997</v>
      </c>
      <c r="M45">
        <v>12</v>
      </c>
    </row>
    <row r="46" spans="1:13">
      <c r="A46" t="str">
        <f t="shared" si="1"/>
        <v>Chris Gotterup</v>
      </c>
      <c r="B46">
        <f t="shared" si="2"/>
        <v>45</v>
      </c>
      <c r="C46">
        <f t="shared" si="3"/>
        <v>0.33600000000000002</v>
      </c>
      <c r="D46">
        <f t="shared" si="3"/>
        <v>0</v>
      </c>
      <c r="E46">
        <f t="shared" si="3"/>
        <v>0</v>
      </c>
      <c r="G46">
        <v>45</v>
      </c>
      <c r="H46" t="s">
        <v>596</v>
      </c>
      <c r="I46">
        <v>0.33600000000000002</v>
      </c>
      <c r="M46">
        <v>20</v>
      </c>
    </row>
    <row r="47" spans="1:13">
      <c r="A47" t="str">
        <f t="shared" si="1"/>
        <v>Andrew Putnam</v>
      </c>
      <c r="B47">
        <f t="shared" si="2"/>
        <v>45</v>
      </c>
      <c r="C47">
        <f t="shared" si="3"/>
        <v>0.33600000000000002</v>
      </c>
      <c r="D47">
        <f t="shared" si="3"/>
        <v>0</v>
      </c>
      <c r="E47">
        <f t="shared" si="3"/>
        <v>0</v>
      </c>
      <c r="G47">
        <v>45</v>
      </c>
      <c r="H47" t="s">
        <v>183</v>
      </c>
      <c r="I47">
        <v>0.33600000000000002</v>
      </c>
      <c r="M47">
        <v>30</v>
      </c>
    </row>
    <row r="48" spans="1:13">
      <c r="A48" t="str">
        <f t="shared" si="1"/>
        <v>Akshay Bhatia</v>
      </c>
      <c r="B48">
        <f t="shared" si="2"/>
        <v>47</v>
      </c>
      <c r="C48">
        <f t="shared" si="3"/>
        <v>0.33500000000000002</v>
      </c>
      <c r="D48">
        <f t="shared" si="3"/>
        <v>0</v>
      </c>
      <c r="E48">
        <f t="shared" si="3"/>
        <v>0</v>
      </c>
      <c r="G48">
        <v>47</v>
      </c>
      <c r="H48" t="s">
        <v>370</v>
      </c>
      <c r="I48">
        <v>0.33500000000000002</v>
      </c>
      <c r="M48">
        <v>29</v>
      </c>
    </row>
    <row r="49" spans="1:13">
      <c r="A49" t="str">
        <f t="shared" si="1"/>
        <v>Norman Xiong</v>
      </c>
      <c r="B49">
        <f t="shared" si="2"/>
        <v>48</v>
      </c>
      <c r="C49">
        <f t="shared" si="3"/>
        <v>0.32700000000000001</v>
      </c>
      <c r="D49">
        <f t="shared" si="3"/>
        <v>0</v>
      </c>
      <c r="E49">
        <f t="shared" si="3"/>
        <v>0</v>
      </c>
      <c r="G49">
        <v>48</v>
      </c>
      <c r="H49" t="s">
        <v>494</v>
      </c>
      <c r="I49">
        <v>0.32700000000000001</v>
      </c>
      <c r="M49">
        <v>17</v>
      </c>
    </row>
    <row r="50" spans="1:13">
      <c r="A50" t="str">
        <f t="shared" si="1"/>
        <v>Tyson Alexander</v>
      </c>
      <c r="B50">
        <f t="shared" si="2"/>
        <v>49</v>
      </c>
      <c r="C50">
        <f t="shared" si="3"/>
        <v>0.32600000000000001</v>
      </c>
      <c r="D50">
        <f t="shared" si="3"/>
        <v>0</v>
      </c>
      <c r="E50">
        <f t="shared" si="3"/>
        <v>0</v>
      </c>
      <c r="G50">
        <v>49</v>
      </c>
      <c r="H50" t="s">
        <v>107</v>
      </c>
      <c r="I50">
        <v>0.32600000000000001</v>
      </c>
      <c r="M50">
        <v>28</v>
      </c>
    </row>
    <row r="51" spans="1:13">
      <c r="A51" t="str">
        <f t="shared" si="1"/>
        <v>Ben Griffin</v>
      </c>
      <c r="B51">
        <f t="shared" si="2"/>
        <v>50</v>
      </c>
      <c r="C51">
        <f t="shared" si="3"/>
        <v>0.30599999999999999</v>
      </c>
      <c r="D51">
        <f t="shared" si="3"/>
        <v>0</v>
      </c>
      <c r="E51">
        <f t="shared" si="3"/>
        <v>0</v>
      </c>
      <c r="G51">
        <v>50</v>
      </c>
      <c r="H51" t="s">
        <v>97</v>
      </c>
      <c r="I51">
        <v>0.30599999999999999</v>
      </c>
      <c r="M51">
        <v>31</v>
      </c>
    </row>
    <row r="52" spans="1:13">
      <c r="A52" t="str">
        <f t="shared" si="1"/>
        <v>Max Homa</v>
      </c>
      <c r="B52">
        <f t="shared" si="2"/>
        <v>51</v>
      </c>
      <c r="C52">
        <f t="shared" si="3"/>
        <v>0.30299999999999999</v>
      </c>
      <c r="D52">
        <f t="shared" si="3"/>
        <v>0</v>
      </c>
      <c r="E52">
        <f t="shared" si="3"/>
        <v>0</v>
      </c>
      <c r="G52">
        <v>51</v>
      </c>
      <c r="H52" t="s">
        <v>66</v>
      </c>
      <c r="I52">
        <v>0.30299999999999999</v>
      </c>
      <c r="M52">
        <v>27</v>
      </c>
    </row>
    <row r="53" spans="1:13">
      <c r="A53" t="str">
        <f t="shared" si="1"/>
        <v>Nico Echavarria</v>
      </c>
      <c r="B53">
        <f t="shared" si="2"/>
        <v>52</v>
      </c>
      <c r="C53">
        <f t="shared" si="3"/>
        <v>0.29499999999999998</v>
      </c>
      <c r="D53">
        <f t="shared" si="3"/>
        <v>0</v>
      </c>
      <c r="E53">
        <f t="shared" si="3"/>
        <v>0</v>
      </c>
      <c r="G53">
        <v>52</v>
      </c>
      <c r="H53" t="s">
        <v>103</v>
      </c>
      <c r="I53">
        <v>0.29499999999999998</v>
      </c>
      <c r="M53">
        <v>25</v>
      </c>
    </row>
    <row r="54" spans="1:13">
      <c r="A54" t="str">
        <f t="shared" si="1"/>
        <v>Matt Wallace</v>
      </c>
      <c r="B54">
        <f t="shared" si="2"/>
        <v>53</v>
      </c>
      <c r="C54">
        <f t="shared" si="3"/>
        <v>0.28999999999999998</v>
      </c>
      <c r="D54">
        <f t="shared" si="3"/>
        <v>0</v>
      </c>
      <c r="E54">
        <f t="shared" si="3"/>
        <v>0</v>
      </c>
      <c r="G54">
        <v>53</v>
      </c>
      <c r="H54" t="s">
        <v>82</v>
      </c>
      <c r="I54">
        <v>0.28999999999999998</v>
      </c>
      <c r="M54">
        <v>27</v>
      </c>
    </row>
    <row r="55" spans="1:13">
      <c r="A55" t="str">
        <f t="shared" si="1"/>
        <v>Ben Silverman</v>
      </c>
      <c r="B55">
        <f t="shared" si="2"/>
        <v>54</v>
      </c>
      <c r="C55">
        <f t="shared" si="3"/>
        <v>0.28699999999999998</v>
      </c>
      <c r="D55">
        <f t="shared" si="3"/>
        <v>0</v>
      </c>
      <c r="E55">
        <f t="shared" si="3"/>
        <v>0</v>
      </c>
      <c r="G55">
        <v>54</v>
      </c>
      <c r="H55" t="s">
        <v>433</v>
      </c>
      <c r="I55">
        <v>0.28699999999999998</v>
      </c>
      <c r="M55">
        <v>27</v>
      </c>
    </row>
    <row r="56" spans="1:13">
      <c r="A56" t="str">
        <f t="shared" si="1"/>
        <v>Justin Rose</v>
      </c>
      <c r="B56">
        <f t="shared" si="2"/>
        <v>55</v>
      </c>
      <c r="C56">
        <f t="shared" si="3"/>
        <v>0.27400000000000002</v>
      </c>
      <c r="D56">
        <f t="shared" si="3"/>
        <v>0</v>
      </c>
      <c r="E56">
        <f t="shared" si="3"/>
        <v>0</v>
      </c>
      <c r="G56">
        <v>55</v>
      </c>
      <c r="H56" t="s">
        <v>143</v>
      </c>
      <c r="I56">
        <v>0.27400000000000002</v>
      </c>
      <c r="M56">
        <v>21</v>
      </c>
    </row>
    <row r="57" spans="1:13">
      <c r="A57" t="str">
        <f t="shared" si="1"/>
        <v>Chandler Phillips</v>
      </c>
      <c r="B57">
        <f t="shared" si="2"/>
        <v>56</v>
      </c>
      <c r="C57">
        <f t="shared" si="3"/>
        <v>0.27100000000000002</v>
      </c>
      <c r="D57">
        <f t="shared" si="3"/>
        <v>0</v>
      </c>
      <c r="E57">
        <f t="shared" si="3"/>
        <v>0</v>
      </c>
      <c r="G57">
        <v>56</v>
      </c>
      <c r="H57" t="s">
        <v>489</v>
      </c>
      <c r="I57">
        <v>0.27100000000000002</v>
      </c>
      <c r="M57">
        <v>22</v>
      </c>
    </row>
    <row r="58" spans="1:13">
      <c r="A58" t="str">
        <f t="shared" si="1"/>
        <v>Patrick Cantlay</v>
      </c>
      <c r="B58">
        <f t="shared" si="2"/>
        <v>57</v>
      </c>
      <c r="C58">
        <f t="shared" si="3"/>
        <v>0.26</v>
      </c>
      <c r="D58">
        <f t="shared" si="3"/>
        <v>0</v>
      </c>
      <c r="E58">
        <f t="shared" si="3"/>
        <v>0</v>
      </c>
      <c r="G58">
        <v>57</v>
      </c>
      <c r="H58" t="s">
        <v>40</v>
      </c>
      <c r="I58">
        <v>0.26</v>
      </c>
      <c r="M58">
        <v>21</v>
      </c>
    </row>
    <row r="59" spans="1:13">
      <c r="A59" t="str">
        <f t="shared" si="1"/>
        <v>Viktor Hovland</v>
      </c>
      <c r="B59">
        <f t="shared" si="2"/>
        <v>58</v>
      </c>
      <c r="C59">
        <f t="shared" si="3"/>
        <v>0.218</v>
      </c>
      <c r="D59">
        <f t="shared" si="3"/>
        <v>0</v>
      </c>
      <c r="E59">
        <f t="shared" si="3"/>
        <v>0</v>
      </c>
      <c r="G59">
        <v>58</v>
      </c>
      <c r="H59" t="s">
        <v>47</v>
      </c>
      <c r="I59">
        <v>0.218</v>
      </c>
      <c r="M59">
        <v>18</v>
      </c>
    </row>
    <row r="60" spans="1:13">
      <c r="A60" t="str">
        <f t="shared" si="1"/>
        <v>Adam Hadwin</v>
      </c>
      <c r="B60">
        <f t="shared" si="2"/>
        <v>59</v>
      </c>
      <c r="C60">
        <f t="shared" si="3"/>
        <v>0.215</v>
      </c>
      <c r="D60">
        <f t="shared" si="3"/>
        <v>0</v>
      </c>
      <c r="E60">
        <f t="shared" si="3"/>
        <v>0</v>
      </c>
      <c r="G60">
        <v>59</v>
      </c>
      <c r="H60" t="s">
        <v>141</v>
      </c>
      <c r="I60">
        <v>0.215</v>
      </c>
      <c r="M60">
        <v>24</v>
      </c>
    </row>
    <row r="61" spans="1:13">
      <c r="A61" t="str">
        <f t="shared" si="1"/>
        <v>J.T. Poston</v>
      </c>
      <c r="B61">
        <f t="shared" si="2"/>
        <v>60</v>
      </c>
      <c r="C61">
        <f t="shared" si="3"/>
        <v>0.214</v>
      </c>
      <c r="D61">
        <f t="shared" si="3"/>
        <v>0</v>
      </c>
      <c r="E61">
        <f t="shared" si="3"/>
        <v>0</v>
      </c>
      <c r="G61">
        <v>60</v>
      </c>
      <c r="H61" t="s">
        <v>126</v>
      </c>
      <c r="I61">
        <v>0.214</v>
      </c>
      <c r="M61">
        <v>28</v>
      </c>
    </row>
    <row r="62" spans="1:13">
      <c r="A62" t="str">
        <f t="shared" si="1"/>
        <v>Jake Knapp</v>
      </c>
      <c r="B62">
        <f t="shared" si="2"/>
        <v>61</v>
      </c>
      <c r="C62">
        <f t="shared" si="3"/>
        <v>0.20599999999999999</v>
      </c>
      <c r="D62">
        <f t="shared" si="3"/>
        <v>0</v>
      </c>
      <c r="E62">
        <f t="shared" si="3"/>
        <v>0</v>
      </c>
      <c r="G62">
        <v>61</v>
      </c>
      <c r="H62" t="s">
        <v>492</v>
      </c>
      <c r="I62">
        <v>0.20599999999999999</v>
      </c>
      <c r="M62">
        <v>29</v>
      </c>
    </row>
    <row r="63" spans="1:13">
      <c r="A63" t="str">
        <f t="shared" si="1"/>
        <v>Sami Valimaki</v>
      </c>
      <c r="B63">
        <f t="shared" si="2"/>
        <v>62</v>
      </c>
      <c r="C63">
        <f t="shared" si="3"/>
        <v>0.20300000000000001</v>
      </c>
      <c r="D63">
        <f t="shared" si="3"/>
        <v>0</v>
      </c>
      <c r="E63">
        <f t="shared" si="3"/>
        <v>0</v>
      </c>
      <c r="G63">
        <v>62</v>
      </c>
      <c r="H63" t="s">
        <v>488</v>
      </c>
      <c r="I63">
        <v>0.20300000000000001</v>
      </c>
      <c r="M63">
        <v>25</v>
      </c>
    </row>
    <row r="64" spans="1:13">
      <c r="A64" t="str">
        <f t="shared" si="1"/>
        <v>Alex Noren</v>
      </c>
      <c r="B64">
        <f t="shared" si="2"/>
        <v>63</v>
      </c>
      <c r="C64">
        <f t="shared" si="3"/>
        <v>0.187</v>
      </c>
      <c r="D64">
        <f t="shared" si="3"/>
        <v>0</v>
      </c>
      <c r="E64">
        <f t="shared" si="3"/>
        <v>0</v>
      </c>
      <c r="G64">
        <v>63</v>
      </c>
      <c r="H64" t="s">
        <v>95</v>
      </c>
      <c r="I64">
        <v>0.187</v>
      </c>
      <c r="M64">
        <v>26</v>
      </c>
    </row>
    <row r="65" spans="1:13">
      <c r="A65" t="str">
        <f t="shared" si="1"/>
        <v>Davis Thompson</v>
      </c>
      <c r="B65">
        <f t="shared" si="2"/>
        <v>64</v>
      </c>
      <c r="C65">
        <f t="shared" si="3"/>
        <v>0.184</v>
      </c>
      <c r="D65">
        <f t="shared" si="3"/>
        <v>0</v>
      </c>
      <c r="E65">
        <f t="shared" si="3"/>
        <v>0</v>
      </c>
      <c r="G65">
        <v>64</v>
      </c>
      <c r="H65" t="s">
        <v>28</v>
      </c>
      <c r="I65">
        <v>0.184</v>
      </c>
      <c r="M65">
        <v>29</v>
      </c>
    </row>
    <row r="66" spans="1:13">
      <c r="A66" t="str">
        <f t="shared" si="1"/>
        <v>Ben Martin</v>
      </c>
      <c r="B66">
        <f t="shared" si="2"/>
        <v>65</v>
      </c>
      <c r="C66">
        <f t="shared" si="3"/>
        <v>0.183</v>
      </c>
      <c r="D66">
        <f t="shared" si="3"/>
        <v>0</v>
      </c>
      <c r="E66">
        <f t="shared" si="3"/>
        <v>0</v>
      </c>
      <c r="G66">
        <v>65</v>
      </c>
      <c r="H66" t="s">
        <v>151</v>
      </c>
      <c r="I66">
        <v>0.183</v>
      </c>
      <c r="M66">
        <v>21</v>
      </c>
    </row>
    <row r="67" spans="1:13">
      <c r="A67" t="str">
        <f t="shared" ref="A67:A130" si="4">H67</f>
        <v>Sam Stevens</v>
      </c>
      <c r="B67">
        <f t="shared" ref="B67:B130" si="5">G67</f>
        <v>66</v>
      </c>
      <c r="C67">
        <f t="shared" ref="C67:E101" si="6">I67</f>
        <v>0.182</v>
      </c>
      <c r="D67">
        <f t="shared" si="6"/>
        <v>0</v>
      </c>
      <c r="E67">
        <f t="shared" si="6"/>
        <v>0</v>
      </c>
      <c r="G67">
        <v>66</v>
      </c>
      <c r="H67" t="s">
        <v>30</v>
      </c>
      <c r="I67">
        <v>0.182</v>
      </c>
      <c r="M67">
        <v>29</v>
      </c>
    </row>
    <row r="68" spans="1:13">
      <c r="A68" t="str">
        <f t="shared" si="4"/>
        <v>Matti Schmid</v>
      </c>
      <c r="B68">
        <f t="shared" si="5"/>
        <v>67</v>
      </c>
      <c r="C68">
        <f t="shared" si="6"/>
        <v>0.17299999999999999</v>
      </c>
      <c r="D68">
        <f t="shared" si="6"/>
        <v>0</v>
      </c>
      <c r="E68">
        <f t="shared" si="6"/>
        <v>0</v>
      </c>
      <c r="G68">
        <v>67</v>
      </c>
      <c r="H68" t="s">
        <v>11</v>
      </c>
      <c r="I68">
        <v>0.17299999999999999</v>
      </c>
      <c r="M68">
        <v>25</v>
      </c>
    </row>
    <row r="69" spans="1:13">
      <c r="A69" t="str">
        <f t="shared" si="4"/>
        <v>Ryan Brehm</v>
      </c>
      <c r="B69">
        <f t="shared" si="5"/>
        <v>68</v>
      </c>
      <c r="C69">
        <f t="shared" si="6"/>
        <v>0.17100000000000001</v>
      </c>
      <c r="D69">
        <f t="shared" si="6"/>
        <v>0</v>
      </c>
      <c r="E69">
        <f t="shared" si="6"/>
        <v>0</v>
      </c>
      <c r="G69">
        <v>68</v>
      </c>
      <c r="H69" t="s">
        <v>37</v>
      </c>
      <c r="I69">
        <v>0.17100000000000001</v>
      </c>
      <c r="M69">
        <v>21</v>
      </c>
    </row>
    <row r="70" spans="1:13">
      <c r="A70" t="str">
        <f t="shared" si="4"/>
        <v>Stephan Jaeger</v>
      </c>
      <c r="B70">
        <f t="shared" si="5"/>
        <v>69</v>
      </c>
      <c r="C70">
        <f t="shared" si="6"/>
        <v>0.16700000000000001</v>
      </c>
      <c r="D70">
        <f t="shared" si="6"/>
        <v>0</v>
      </c>
      <c r="E70">
        <f t="shared" si="6"/>
        <v>0</v>
      </c>
      <c r="G70">
        <v>69</v>
      </c>
      <c r="H70" t="s">
        <v>52</v>
      </c>
      <c r="I70">
        <v>0.16700000000000001</v>
      </c>
      <c r="M70">
        <v>25</v>
      </c>
    </row>
    <row r="71" spans="1:13">
      <c r="A71" t="str">
        <f t="shared" si="4"/>
        <v>Zach Johnson</v>
      </c>
      <c r="B71">
        <f t="shared" si="5"/>
        <v>70</v>
      </c>
      <c r="C71">
        <f t="shared" si="6"/>
        <v>0.16600000000000001</v>
      </c>
      <c r="D71">
        <f t="shared" si="6"/>
        <v>0</v>
      </c>
      <c r="E71">
        <f t="shared" si="6"/>
        <v>0</v>
      </c>
      <c r="G71">
        <v>70</v>
      </c>
      <c r="H71" t="s">
        <v>170</v>
      </c>
      <c r="I71">
        <v>0.16600000000000001</v>
      </c>
      <c r="M71">
        <v>14</v>
      </c>
    </row>
    <row r="72" spans="1:13">
      <c r="A72" t="str">
        <f t="shared" si="4"/>
        <v>Martin Laird</v>
      </c>
      <c r="B72">
        <f t="shared" si="5"/>
        <v>71</v>
      </c>
      <c r="C72">
        <f t="shared" si="6"/>
        <v>0.16300000000000001</v>
      </c>
      <c r="D72">
        <f t="shared" si="6"/>
        <v>0</v>
      </c>
      <c r="E72">
        <f t="shared" si="6"/>
        <v>0</v>
      </c>
      <c r="G72">
        <v>71</v>
      </c>
      <c r="H72" t="s">
        <v>161</v>
      </c>
      <c r="I72">
        <v>0.16300000000000001</v>
      </c>
      <c r="M72">
        <v>23</v>
      </c>
    </row>
    <row r="73" spans="1:13">
      <c r="A73" t="str">
        <f t="shared" si="4"/>
        <v>Mark Hubbard</v>
      </c>
      <c r="B73">
        <f t="shared" si="5"/>
        <v>72</v>
      </c>
      <c r="C73">
        <f t="shared" si="6"/>
        <v>0.158</v>
      </c>
      <c r="D73">
        <f t="shared" si="6"/>
        <v>0</v>
      </c>
      <c r="E73">
        <f t="shared" si="6"/>
        <v>0</v>
      </c>
      <c r="G73">
        <v>72</v>
      </c>
      <c r="H73" t="s">
        <v>162</v>
      </c>
      <c r="I73">
        <v>0.158</v>
      </c>
      <c r="M73">
        <v>33</v>
      </c>
    </row>
    <row r="74" spans="1:13">
      <c r="A74" t="str">
        <f t="shared" si="4"/>
        <v>Tommy Fleetwood</v>
      </c>
      <c r="B74">
        <f t="shared" si="5"/>
        <v>73</v>
      </c>
      <c r="C74">
        <f t="shared" si="6"/>
        <v>0.14699999999999999</v>
      </c>
      <c r="D74">
        <f t="shared" si="6"/>
        <v>0</v>
      </c>
      <c r="E74">
        <f t="shared" si="6"/>
        <v>0</v>
      </c>
      <c r="G74">
        <v>73</v>
      </c>
      <c r="H74" t="s">
        <v>85</v>
      </c>
      <c r="I74">
        <v>0.14699999999999999</v>
      </c>
      <c r="M74">
        <v>20</v>
      </c>
    </row>
    <row r="75" spans="1:13">
      <c r="A75" t="str">
        <f t="shared" si="4"/>
        <v>Nick Hardy</v>
      </c>
      <c r="B75">
        <f t="shared" si="5"/>
        <v>74</v>
      </c>
      <c r="C75">
        <f t="shared" si="6"/>
        <v>0.14599999999999999</v>
      </c>
      <c r="D75">
        <f t="shared" si="6"/>
        <v>0</v>
      </c>
      <c r="E75">
        <f t="shared" si="6"/>
        <v>0</v>
      </c>
      <c r="G75">
        <v>74</v>
      </c>
      <c r="H75" t="s">
        <v>36</v>
      </c>
      <c r="I75">
        <v>0.14599999999999999</v>
      </c>
      <c r="M75">
        <v>33</v>
      </c>
    </row>
    <row r="76" spans="1:13">
      <c r="A76" t="str">
        <f t="shared" si="4"/>
        <v>Mackenzie Hughes</v>
      </c>
      <c r="B76">
        <f t="shared" si="5"/>
        <v>75</v>
      </c>
      <c r="C76">
        <f t="shared" si="6"/>
        <v>0.14399999999999999</v>
      </c>
      <c r="D76">
        <f t="shared" si="6"/>
        <v>0</v>
      </c>
      <c r="E76">
        <f t="shared" si="6"/>
        <v>0</v>
      </c>
      <c r="G76">
        <v>75</v>
      </c>
      <c r="H76" t="s">
        <v>104</v>
      </c>
      <c r="I76">
        <v>0.14399999999999999</v>
      </c>
      <c r="M76">
        <v>31</v>
      </c>
    </row>
    <row r="77" spans="1:13">
      <c r="A77" t="str">
        <f t="shared" si="4"/>
        <v>Ludvig Åberg</v>
      </c>
      <c r="B77">
        <f t="shared" si="5"/>
        <v>76</v>
      </c>
      <c r="C77">
        <f t="shared" si="6"/>
        <v>0.14099999999999999</v>
      </c>
      <c r="D77">
        <f t="shared" si="6"/>
        <v>0</v>
      </c>
      <c r="E77">
        <f t="shared" si="6"/>
        <v>0</v>
      </c>
      <c r="G77">
        <v>76</v>
      </c>
      <c r="H77" t="s">
        <v>439</v>
      </c>
      <c r="I77">
        <v>0.14099999999999999</v>
      </c>
      <c r="M77">
        <v>29</v>
      </c>
    </row>
    <row r="78" spans="1:13">
      <c r="A78" t="str">
        <f t="shared" si="4"/>
        <v>Kevin Dougherty</v>
      </c>
      <c r="B78">
        <f t="shared" si="5"/>
        <v>77</v>
      </c>
      <c r="C78">
        <f t="shared" si="6"/>
        <v>0.13300000000000001</v>
      </c>
      <c r="D78">
        <f t="shared" si="6"/>
        <v>0</v>
      </c>
      <c r="E78">
        <f t="shared" si="6"/>
        <v>0</v>
      </c>
      <c r="G78">
        <v>77</v>
      </c>
      <c r="H78" t="s">
        <v>562</v>
      </c>
      <c r="I78">
        <v>0.13300000000000001</v>
      </c>
      <c r="M78">
        <v>19</v>
      </c>
    </row>
    <row r="79" spans="1:13">
      <c r="A79" t="str">
        <f t="shared" si="4"/>
        <v>Rory McIlroy</v>
      </c>
      <c r="B79">
        <f t="shared" si="5"/>
        <v>78</v>
      </c>
      <c r="C79">
        <f t="shared" si="6"/>
        <v>0.11899999999999999</v>
      </c>
      <c r="D79">
        <f t="shared" si="6"/>
        <v>0</v>
      </c>
      <c r="E79">
        <f t="shared" si="6"/>
        <v>0</v>
      </c>
      <c r="G79">
        <v>78</v>
      </c>
      <c r="H79" t="s">
        <v>6</v>
      </c>
      <c r="I79">
        <v>0.11899999999999999</v>
      </c>
      <c r="M79">
        <v>22</v>
      </c>
    </row>
    <row r="80" spans="1:13">
      <c r="A80" t="str">
        <f t="shared" si="4"/>
        <v>Xander Schauffele</v>
      </c>
      <c r="B80">
        <f t="shared" si="5"/>
        <v>79</v>
      </c>
      <c r="C80">
        <f t="shared" si="6"/>
        <v>0.11700000000000001</v>
      </c>
      <c r="D80">
        <f t="shared" si="6"/>
        <v>0</v>
      </c>
      <c r="E80">
        <f t="shared" si="6"/>
        <v>0</v>
      </c>
      <c r="G80">
        <v>79</v>
      </c>
      <c r="H80" t="s">
        <v>73</v>
      </c>
      <c r="I80">
        <v>0.11700000000000001</v>
      </c>
      <c r="M80">
        <v>25</v>
      </c>
    </row>
    <row r="81" spans="1:13">
      <c r="A81" t="str">
        <f t="shared" si="4"/>
        <v>Doug Ghim</v>
      </c>
      <c r="B81">
        <f t="shared" si="5"/>
        <v>80</v>
      </c>
      <c r="C81">
        <f t="shared" si="6"/>
        <v>0.111</v>
      </c>
      <c r="D81">
        <f t="shared" si="6"/>
        <v>0</v>
      </c>
      <c r="E81">
        <f t="shared" si="6"/>
        <v>0</v>
      </c>
      <c r="G81">
        <v>80</v>
      </c>
      <c r="H81" t="s">
        <v>121</v>
      </c>
      <c r="I81">
        <v>0.111</v>
      </c>
      <c r="M81">
        <v>29</v>
      </c>
    </row>
    <row r="82" spans="1:13">
      <c r="A82" t="str">
        <f t="shared" si="4"/>
        <v>Max Greyserman</v>
      </c>
      <c r="B82">
        <f t="shared" si="5"/>
        <v>81</v>
      </c>
      <c r="C82">
        <f t="shared" si="6"/>
        <v>0.105</v>
      </c>
      <c r="D82">
        <f t="shared" si="6"/>
        <v>0</v>
      </c>
      <c r="E82">
        <f t="shared" si="6"/>
        <v>0</v>
      </c>
      <c r="G82">
        <v>81</v>
      </c>
      <c r="H82" t="s">
        <v>493</v>
      </c>
      <c r="I82">
        <v>0.105</v>
      </c>
      <c r="M82">
        <v>18</v>
      </c>
    </row>
    <row r="83" spans="1:13">
      <c r="A83" t="str">
        <f t="shared" si="4"/>
        <v>Justin Lower</v>
      </c>
      <c r="B83">
        <f t="shared" si="5"/>
        <v>82</v>
      </c>
      <c r="C83">
        <f t="shared" si="6"/>
        <v>0.10199999999999999</v>
      </c>
      <c r="D83">
        <f t="shared" si="6"/>
        <v>0</v>
      </c>
      <c r="E83">
        <f t="shared" si="6"/>
        <v>0</v>
      </c>
      <c r="G83">
        <v>82</v>
      </c>
      <c r="H83" t="s">
        <v>147</v>
      </c>
      <c r="I83">
        <v>0.10199999999999999</v>
      </c>
      <c r="M83">
        <v>32</v>
      </c>
    </row>
    <row r="84" spans="1:13">
      <c r="A84" t="str">
        <f t="shared" si="4"/>
        <v>Erik Barnes</v>
      </c>
      <c r="B84">
        <f t="shared" si="5"/>
        <v>83</v>
      </c>
      <c r="C84">
        <f t="shared" si="6"/>
        <v>0.10100000000000001</v>
      </c>
      <c r="D84">
        <f t="shared" si="6"/>
        <v>0</v>
      </c>
      <c r="E84">
        <f t="shared" si="6"/>
        <v>0</v>
      </c>
      <c r="G84">
        <v>83</v>
      </c>
      <c r="H84" t="s">
        <v>235</v>
      </c>
      <c r="I84">
        <v>0.10100000000000001</v>
      </c>
      <c r="M84">
        <v>14</v>
      </c>
    </row>
    <row r="85" spans="1:13">
      <c r="A85" t="str">
        <f t="shared" si="4"/>
        <v>Michael Kim</v>
      </c>
      <c r="B85">
        <f t="shared" si="5"/>
        <v>84</v>
      </c>
      <c r="C85">
        <f t="shared" si="6"/>
        <v>9.5000000000000001E-2</v>
      </c>
      <c r="D85">
        <f t="shared" si="6"/>
        <v>0</v>
      </c>
      <c r="E85">
        <f t="shared" si="6"/>
        <v>0</v>
      </c>
      <c r="G85">
        <v>84</v>
      </c>
      <c r="H85" t="s">
        <v>62</v>
      </c>
      <c r="I85">
        <v>9.5000000000000001E-2</v>
      </c>
      <c r="M85">
        <v>25</v>
      </c>
    </row>
    <row r="86" spans="1:13">
      <c r="A86" t="str">
        <f t="shared" si="4"/>
        <v>K.H. Lee</v>
      </c>
      <c r="B86">
        <f t="shared" si="5"/>
        <v>84</v>
      </c>
      <c r="C86">
        <f t="shared" si="6"/>
        <v>9.5000000000000001E-2</v>
      </c>
      <c r="D86">
        <f t="shared" si="6"/>
        <v>0</v>
      </c>
      <c r="E86">
        <f t="shared" si="6"/>
        <v>0</v>
      </c>
      <c r="G86">
        <v>84</v>
      </c>
      <c r="H86" t="s">
        <v>92</v>
      </c>
      <c r="I86">
        <v>9.5000000000000001E-2</v>
      </c>
      <c r="M86">
        <v>25</v>
      </c>
    </row>
    <row r="87" spans="1:13">
      <c r="A87" t="str">
        <f t="shared" si="4"/>
        <v>Joseph Bramlett</v>
      </c>
      <c r="B87">
        <f t="shared" si="5"/>
        <v>86</v>
      </c>
      <c r="C87">
        <f t="shared" si="6"/>
        <v>8.3000000000000004E-2</v>
      </c>
      <c r="D87">
        <f t="shared" si="6"/>
        <v>0</v>
      </c>
      <c r="E87">
        <f t="shared" si="6"/>
        <v>0</v>
      </c>
      <c r="G87">
        <v>86</v>
      </c>
      <c r="H87" t="s">
        <v>20</v>
      </c>
      <c r="I87">
        <v>8.3000000000000004E-2</v>
      </c>
      <c r="M87">
        <v>29</v>
      </c>
    </row>
    <row r="88" spans="1:13">
      <c r="A88" t="str">
        <f t="shared" si="4"/>
        <v>C.T. Pan</v>
      </c>
      <c r="B88">
        <f t="shared" si="5"/>
        <v>87</v>
      </c>
      <c r="C88">
        <f t="shared" si="6"/>
        <v>7.4999999999999997E-2</v>
      </c>
      <c r="D88">
        <f t="shared" si="6"/>
        <v>0</v>
      </c>
      <c r="E88">
        <f t="shared" si="6"/>
        <v>0</v>
      </c>
      <c r="G88">
        <v>87</v>
      </c>
      <c r="H88" t="s">
        <v>131</v>
      </c>
      <c r="I88">
        <v>7.4999999999999997E-2</v>
      </c>
      <c r="M88">
        <v>24</v>
      </c>
    </row>
    <row r="89" spans="1:13">
      <c r="A89" t="str">
        <f t="shared" si="4"/>
        <v>Cam Davis</v>
      </c>
      <c r="B89">
        <f t="shared" si="5"/>
        <v>88</v>
      </c>
      <c r="C89">
        <f t="shared" si="6"/>
        <v>6.3E-2</v>
      </c>
      <c r="D89">
        <f t="shared" si="6"/>
        <v>0</v>
      </c>
      <c r="E89">
        <f t="shared" si="6"/>
        <v>0</v>
      </c>
      <c r="G89">
        <v>88</v>
      </c>
      <c r="H89" t="s">
        <v>29</v>
      </c>
      <c r="I89">
        <v>6.3E-2</v>
      </c>
      <c r="M89">
        <v>24</v>
      </c>
    </row>
    <row r="90" spans="1:13">
      <c r="A90" t="str">
        <f t="shared" si="4"/>
        <v>Ryan Fox</v>
      </c>
      <c r="B90">
        <f t="shared" si="5"/>
        <v>89</v>
      </c>
      <c r="C90">
        <f t="shared" si="6"/>
        <v>5.6000000000000001E-2</v>
      </c>
      <c r="D90">
        <f t="shared" si="6"/>
        <v>0</v>
      </c>
      <c r="E90">
        <f t="shared" si="6"/>
        <v>0</v>
      </c>
      <c r="G90">
        <v>89</v>
      </c>
      <c r="H90" t="s">
        <v>549</v>
      </c>
      <c r="I90">
        <v>5.6000000000000001E-2</v>
      </c>
      <c r="M90">
        <v>21</v>
      </c>
    </row>
    <row r="91" spans="1:13">
      <c r="A91" t="str">
        <f t="shared" si="4"/>
        <v>Brandon Wu</v>
      </c>
      <c r="B91">
        <f t="shared" si="5"/>
        <v>90</v>
      </c>
      <c r="C91">
        <f t="shared" si="6"/>
        <v>0.05</v>
      </c>
      <c r="D91">
        <f t="shared" si="6"/>
        <v>0</v>
      </c>
      <c r="E91">
        <f t="shared" si="6"/>
        <v>0</v>
      </c>
      <c r="G91">
        <v>90</v>
      </c>
      <c r="H91" t="s">
        <v>133</v>
      </c>
      <c r="I91">
        <v>0.05</v>
      </c>
      <c r="M91">
        <v>20</v>
      </c>
    </row>
    <row r="92" spans="1:13">
      <c r="A92" t="str">
        <f t="shared" si="4"/>
        <v>Nate Lashley</v>
      </c>
      <c r="B92">
        <f t="shared" si="5"/>
        <v>91</v>
      </c>
      <c r="C92">
        <f t="shared" si="6"/>
        <v>3.9E-2</v>
      </c>
      <c r="D92">
        <f t="shared" si="6"/>
        <v>0</v>
      </c>
      <c r="E92">
        <f t="shared" si="6"/>
        <v>0</v>
      </c>
      <c r="G92">
        <v>91</v>
      </c>
      <c r="H92" t="s">
        <v>122</v>
      </c>
      <c r="I92">
        <v>3.9E-2</v>
      </c>
      <c r="M92">
        <v>23</v>
      </c>
    </row>
    <row r="93" spans="1:13">
      <c r="A93" t="str">
        <f t="shared" si="4"/>
        <v>Jimmy Stanger</v>
      </c>
      <c r="B93">
        <f t="shared" si="5"/>
        <v>92</v>
      </c>
      <c r="C93">
        <f t="shared" si="6"/>
        <v>3.4000000000000002E-2</v>
      </c>
      <c r="D93">
        <f t="shared" si="6"/>
        <v>0</v>
      </c>
      <c r="E93">
        <f t="shared" si="6"/>
        <v>0</v>
      </c>
      <c r="G93">
        <v>92</v>
      </c>
      <c r="H93" t="s">
        <v>495</v>
      </c>
      <c r="I93">
        <v>3.4000000000000002E-2</v>
      </c>
      <c r="M93">
        <v>19</v>
      </c>
    </row>
    <row r="94" spans="1:13">
      <c r="A94" t="str">
        <f t="shared" si="4"/>
        <v>Matt Kuchar</v>
      </c>
      <c r="B94">
        <f t="shared" si="5"/>
        <v>93</v>
      </c>
      <c r="C94">
        <f t="shared" si="6"/>
        <v>3.2000000000000001E-2</v>
      </c>
      <c r="D94">
        <f t="shared" si="6"/>
        <v>0</v>
      </c>
      <c r="E94">
        <f t="shared" si="6"/>
        <v>0</v>
      </c>
      <c r="G94">
        <v>93</v>
      </c>
      <c r="H94" t="s">
        <v>144</v>
      </c>
      <c r="I94">
        <v>3.2000000000000001E-2</v>
      </c>
      <c r="M94">
        <v>18</v>
      </c>
    </row>
    <row r="95" spans="1:13">
      <c r="A95" t="str">
        <f t="shared" si="4"/>
        <v>Taylor Moore</v>
      </c>
      <c r="B95">
        <f t="shared" si="5"/>
        <v>93</v>
      </c>
      <c r="C95">
        <f t="shared" si="6"/>
        <v>3.2000000000000001E-2</v>
      </c>
      <c r="D95">
        <f t="shared" si="6"/>
        <v>0</v>
      </c>
      <c r="E95">
        <f t="shared" si="6"/>
        <v>0</v>
      </c>
      <c r="G95">
        <v>93</v>
      </c>
      <c r="H95" t="s">
        <v>49</v>
      </c>
      <c r="I95">
        <v>3.2000000000000001E-2</v>
      </c>
      <c r="M95">
        <v>33</v>
      </c>
    </row>
    <row r="96" spans="1:13">
      <c r="A96" t="str">
        <f t="shared" si="4"/>
        <v>Mac Meissner</v>
      </c>
      <c r="B96">
        <f t="shared" si="5"/>
        <v>95</v>
      </c>
      <c r="C96">
        <f t="shared" si="6"/>
        <v>2.1999999999999999E-2</v>
      </c>
      <c r="D96">
        <f t="shared" si="6"/>
        <v>0</v>
      </c>
      <c r="E96">
        <f t="shared" si="6"/>
        <v>0</v>
      </c>
      <c r="G96">
        <v>95</v>
      </c>
      <c r="H96" t="s">
        <v>560</v>
      </c>
      <c r="I96">
        <v>2.1999999999999999E-2</v>
      </c>
      <c r="M96">
        <v>17</v>
      </c>
    </row>
    <row r="97" spans="1:13">
      <c r="A97" t="str">
        <f t="shared" si="4"/>
        <v>Scottie Scheffler</v>
      </c>
      <c r="B97">
        <f t="shared" si="5"/>
        <v>96</v>
      </c>
      <c r="C97">
        <f t="shared" si="6"/>
        <v>1.4E-2</v>
      </c>
      <c r="D97">
        <f t="shared" si="6"/>
        <v>0</v>
      </c>
      <c r="E97">
        <f t="shared" si="6"/>
        <v>0</v>
      </c>
      <c r="G97">
        <v>96</v>
      </c>
      <c r="H97" t="s">
        <v>35</v>
      </c>
      <c r="I97">
        <v>1.4E-2</v>
      </c>
      <c r="M97">
        <v>26</v>
      </c>
    </row>
    <row r="98" spans="1:13">
      <c r="A98" t="str">
        <f t="shared" si="4"/>
        <v>Patrick Fishburn</v>
      </c>
      <c r="B98">
        <f t="shared" si="5"/>
        <v>97</v>
      </c>
      <c r="C98">
        <f t="shared" si="6"/>
        <v>1E-3</v>
      </c>
      <c r="D98">
        <f t="shared" si="6"/>
        <v>0</v>
      </c>
      <c r="E98">
        <f t="shared" si="6"/>
        <v>0</v>
      </c>
      <c r="G98">
        <v>97</v>
      </c>
      <c r="H98" t="s">
        <v>556</v>
      </c>
      <c r="I98">
        <v>1E-3</v>
      </c>
      <c r="M98">
        <v>11</v>
      </c>
    </row>
    <row r="99" spans="1:13">
      <c r="A99" t="str">
        <f t="shared" si="4"/>
        <v>Dylan Wu</v>
      </c>
      <c r="B99">
        <f t="shared" si="5"/>
        <v>98</v>
      </c>
      <c r="C99">
        <f t="shared" si="6"/>
        <v>-0.01</v>
      </c>
      <c r="D99">
        <f t="shared" si="6"/>
        <v>0</v>
      </c>
      <c r="E99">
        <f t="shared" si="6"/>
        <v>0</v>
      </c>
      <c r="G99">
        <v>98</v>
      </c>
      <c r="H99" t="s">
        <v>118</v>
      </c>
      <c r="I99">
        <v>-0.01</v>
      </c>
      <c r="M99">
        <v>31</v>
      </c>
    </row>
    <row r="100" spans="1:13">
      <c r="A100" t="str">
        <f t="shared" si="4"/>
        <v>Shane Lowry</v>
      </c>
      <c r="B100">
        <f t="shared" si="5"/>
        <v>99</v>
      </c>
      <c r="C100">
        <f t="shared" si="6"/>
        <v>-1.2E-2</v>
      </c>
      <c r="D100">
        <f t="shared" si="6"/>
        <v>0</v>
      </c>
      <c r="E100">
        <f t="shared" si="6"/>
        <v>0</v>
      </c>
      <c r="G100">
        <v>99</v>
      </c>
      <c r="H100" t="s">
        <v>74</v>
      </c>
      <c r="I100">
        <v>-1.2E-2</v>
      </c>
      <c r="M100">
        <v>19</v>
      </c>
    </row>
    <row r="101" spans="1:13">
      <c r="A101" t="str">
        <f t="shared" si="4"/>
        <v>Tom Whitney</v>
      </c>
      <c r="B101">
        <f t="shared" si="5"/>
        <v>100</v>
      </c>
      <c r="C101">
        <f t="shared" si="6"/>
        <v>-1.7000000000000001E-2</v>
      </c>
      <c r="D101">
        <f t="shared" si="6"/>
        <v>0</v>
      </c>
      <c r="E101">
        <f t="shared" si="6"/>
        <v>0</v>
      </c>
      <c r="G101">
        <v>100</v>
      </c>
      <c r="H101" t="s">
        <v>563</v>
      </c>
      <c r="I101">
        <v>-1.7000000000000001E-2</v>
      </c>
      <c r="M101">
        <v>17</v>
      </c>
    </row>
    <row r="102" spans="1:13">
      <c r="A102" t="str">
        <f t="shared" si="4"/>
        <v>Byeong Hun An</v>
      </c>
      <c r="B102">
        <f t="shared" si="5"/>
        <v>101</v>
      </c>
      <c r="C102">
        <f t="shared" ref="C102:E130" si="7">I102</f>
        <v>-3.2000000000000001E-2</v>
      </c>
      <c r="D102">
        <f t="shared" si="7"/>
        <v>0</v>
      </c>
      <c r="E102">
        <f t="shared" si="7"/>
        <v>0</v>
      </c>
      <c r="G102">
        <v>101</v>
      </c>
      <c r="H102" t="s">
        <v>10</v>
      </c>
      <c r="I102">
        <v>-3.2000000000000001E-2</v>
      </c>
      <c r="M102">
        <v>30</v>
      </c>
    </row>
    <row r="103" spans="1:13">
      <c r="A103" t="str">
        <f t="shared" si="4"/>
        <v>Carson Young</v>
      </c>
      <c r="B103">
        <f t="shared" si="5"/>
        <v>102</v>
      </c>
      <c r="C103">
        <f t="shared" si="7"/>
        <v>-4.2999999999999997E-2</v>
      </c>
      <c r="D103">
        <f t="shared" si="7"/>
        <v>0</v>
      </c>
      <c r="E103">
        <f t="shared" si="7"/>
        <v>0</v>
      </c>
      <c r="G103">
        <v>102</v>
      </c>
      <c r="H103" t="s">
        <v>136</v>
      </c>
      <c r="I103">
        <v>-4.2999999999999997E-2</v>
      </c>
      <c r="M103">
        <v>27</v>
      </c>
    </row>
    <row r="104" spans="1:13">
      <c r="A104" t="str">
        <f t="shared" si="4"/>
        <v>Hayden Buckley</v>
      </c>
      <c r="B104">
        <f t="shared" si="5"/>
        <v>103</v>
      </c>
      <c r="C104">
        <f t="shared" si="7"/>
        <v>-4.5999999999999999E-2</v>
      </c>
      <c r="D104">
        <f t="shared" si="7"/>
        <v>0</v>
      </c>
      <c r="E104">
        <f t="shared" si="7"/>
        <v>0</v>
      </c>
      <c r="G104">
        <v>103</v>
      </c>
      <c r="H104" t="s">
        <v>60</v>
      </c>
      <c r="I104">
        <v>-4.5999999999999999E-2</v>
      </c>
      <c r="M104">
        <v>21</v>
      </c>
    </row>
    <row r="105" spans="1:13">
      <c r="A105" t="str">
        <f t="shared" si="4"/>
        <v>Davis Riley</v>
      </c>
      <c r="B105">
        <f t="shared" si="5"/>
        <v>104</v>
      </c>
      <c r="C105">
        <f t="shared" si="7"/>
        <v>-0.06</v>
      </c>
      <c r="D105">
        <f t="shared" si="7"/>
        <v>0</v>
      </c>
      <c r="E105">
        <f t="shared" si="7"/>
        <v>0</v>
      </c>
      <c r="G105">
        <v>104</v>
      </c>
      <c r="H105" t="s">
        <v>55</v>
      </c>
      <c r="I105">
        <v>-0.06</v>
      </c>
      <c r="M105">
        <v>25</v>
      </c>
    </row>
    <row r="106" spans="1:13">
      <c r="A106" t="str">
        <f t="shared" si="4"/>
        <v>Jorge Campillo</v>
      </c>
      <c r="B106">
        <f t="shared" si="5"/>
        <v>105</v>
      </c>
      <c r="C106">
        <f t="shared" si="7"/>
        <v>-6.3E-2</v>
      </c>
      <c r="D106">
        <f t="shared" si="7"/>
        <v>0</v>
      </c>
      <c r="E106">
        <f t="shared" si="7"/>
        <v>0</v>
      </c>
      <c r="G106">
        <v>105</v>
      </c>
      <c r="H106" t="s">
        <v>693</v>
      </c>
      <c r="I106">
        <v>-6.3E-2</v>
      </c>
      <c r="M106">
        <v>16</v>
      </c>
    </row>
    <row r="107" spans="1:13">
      <c r="A107" t="str">
        <f t="shared" si="4"/>
        <v>Ben Taylor</v>
      </c>
      <c r="B107">
        <f t="shared" si="5"/>
        <v>106</v>
      </c>
      <c r="C107">
        <f t="shared" si="7"/>
        <v>-6.6000000000000003E-2</v>
      </c>
      <c r="D107">
        <f t="shared" si="7"/>
        <v>0</v>
      </c>
      <c r="E107">
        <f t="shared" si="7"/>
        <v>0</v>
      </c>
      <c r="G107">
        <v>106</v>
      </c>
      <c r="H107" t="s">
        <v>71</v>
      </c>
      <c r="I107">
        <v>-6.6000000000000003E-2</v>
      </c>
      <c r="M107">
        <v>19</v>
      </c>
    </row>
    <row r="108" spans="1:13">
      <c r="A108" t="str">
        <f t="shared" si="4"/>
        <v>Aaron Rai</v>
      </c>
      <c r="B108">
        <f t="shared" si="5"/>
        <v>107</v>
      </c>
      <c r="C108">
        <f t="shared" si="7"/>
        <v>-6.7000000000000004E-2</v>
      </c>
      <c r="D108">
        <f t="shared" si="7"/>
        <v>0</v>
      </c>
      <c r="E108">
        <f t="shared" si="7"/>
        <v>0</v>
      </c>
      <c r="G108">
        <v>107</v>
      </c>
      <c r="H108" t="s">
        <v>152</v>
      </c>
      <c r="I108">
        <v>-6.7000000000000004E-2</v>
      </c>
      <c r="M108">
        <v>27</v>
      </c>
    </row>
    <row r="109" spans="1:13">
      <c r="A109" t="str">
        <f t="shared" si="4"/>
        <v>David Skinns</v>
      </c>
      <c r="B109">
        <f t="shared" si="5"/>
        <v>108</v>
      </c>
      <c r="C109">
        <f t="shared" si="7"/>
        <v>-7.9000000000000001E-2</v>
      </c>
      <c r="D109">
        <f t="shared" si="7"/>
        <v>0</v>
      </c>
      <c r="E109">
        <f t="shared" si="7"/>
        <v>0</v>
      </c>
      <c r="G109">
        <v>108</v>
      </c>
      <c r="H109" t="s">
        <v>410</v>
      </c>
      <c r="I109">
        <v>-7.9000000000000001E-2</v>
      </c>
      <c r="M109">
        <v>21</v>
      </c>
    </row>
    <row r="110" spans="1:13">
      <c r="A110" t="str">
        <f t="shared" si="4"/>
        <v>Kurt Kitayama</v>
      </c>
      <c r="B110">
        <f t="shared" si="5"/>
        <v>109</v>
      </c>
      <c r="C110">
        <f t="shared" si="7"/>
        <v>-8.2000000000000003E-2</v>
      </c>
      <c r="D110">
        <f t="shared" si="7"/>
        <v>0</v>
      </c>
      <c r="E110">
        <f t="shared" si="7"/>
        <v>0</v>
      </c>
      <c r="G110">
        <v>109</v>
      </c>
      <c r="H110" t="s">
        <v>54</v>
      </c>
      <c r="I110">
        <v>-8.2000000000000003E-2</v>
      </c>
      <c r="M110">
        <v>28</v>
      </c>
    </row>
    <row r="111" spans="1:13">
      <c r="A111" t="str">
        <f t="shared" si="4"/>
        <v>Charley Hoffman</v>
      </c>
      <c r="B111">
        <f t="shared" si="5"/>
        <v>110</v>
      </c>
      <c r="C111">
        <f t="shared" si="7"/>
        <v>-9.8000000000000004E-2</v>
      </c>
      <c r="D111">
        <f t="shared" si="7"/>
        <v>0</v>
      </c>
      <c r="E111">
        <f t="shared" si="7"/>
        <v>0</v>
      </c>
      <c r="G111">
        <v>110</v>
      </c>
      <c r="H111" t="s">
        <v>50</v>
      </c>
      <c r="I111">
        <v>-9.8000000000000004E-2</v>
      </c>
      <c r="M111">
        <v>25</v>
      </c>
    </row>
    <row r="112" spans="1:13">
      <c r="A112" t="str">
        <f t="shared" si="4"/>
        <v>Lee Hodges</v>
      </c>
      <c r="B112">
        <f t="shared" si="5"/>
        <v>111</v>
      </c>
      <c r="C112">
        <f t="shared" si="7"/>
        <v>-0.111</v>
      </c>
      <c r="D112">
        <f t="shared" si="7"/>
        <v>0</v>
      </c>
      <c r="E112">
        <f t="shared" si="7"/>
        <v>0</v>
      </c>
      <c r="G112">
        <v>111</v>
      </c>
      <c r="H112" t="s">
        <v>101</v>
      </c>
      <c r="I112">
        <v>-0.111</v>
      </c>
      <c r="M112">
        <v>29</v>
      </c>
    </row>
    <row r="113" spans="1:13">
      <c r="A113" t="str">
        <f t="shared" si="4"/>
        <v>Harry Hall</v>
      </c>
      <c r="B113">
        <f t="shared" si="5"/>
        <v>112</v>
      </c>
      <c r="C113">
        <f t="shared" si="7"/>
        <v>-0.112</v>
      </c>
      <c r="D113">
        <f t="shared" si="7"/>
        <v>0</v>
      </c>
      <c r="E113">
        <f t="shared" si="7"/>
        <v>0</v>
      </c>
      <c r="G113">
        <v>112</v>
      </c>
      <c r="H113" t="s">
        <v>108</v>
      </c>
      <c r="I113">
        <v>-0.112</v>
      </c>
      <c r="M113">
        <v>29</v>
      </c>
    </row>
    <row r="114" spans="1:13">
      <c r="A114" t="str">
        <f t="shared" si="4"/>
        <v>Andrew Novak</v>
      </c>
      <c r="B114">
        <f t="shared" si="5"/>
        <v>113</v>
      </c>
      <c r="C114">
        <f t="shared" si="7"/>
        <v>-0.11799999999999999</v>
      </c>
      <c r="D114">
        <f t="shared" si="7"/>
        <v>0</v>
      </c>
      <c r="E114">
        <f t="shared" si="7"/>
        <v>0</v>
      </c>
      <c r="G114">
        <v>113</v>
      </c>
      <c r="H114" t="s">
        <v>100</v>
      </c>
      <c r="I114">
        <v>-0.11799999999999999</v>
      </c>
      <c r="M114">
        <v>29</v>
      </c>
    </row>
    <row r="115" spans="1:13">
      <c r="A115" t="str">
        <f t="shared" si="4"/>
        <v>Parker Coody</v>
      </c>
      <c r="B115">
        <f t="shared" si="5"/>
        <v>114</v>
      </c>
      <c r="C115">
        <f t="shared" si="7"/>
        <v>-0.128</v>
      </c>
      <c r="D115">
        <f t="shared" si="7"/>
        <v>0</v>
      </c>
      <c r="E115">
        <f t="shared" si="7"/>
        <v>0</v>
      </c>
      <c r="G115">
        <v>114</v>
      </c>
      <c r="H115" t="s">
        <v>497</v>
      </c>
      <c r="I115">
        <v>-0.128</v>
      </c>
      <c r="M115">
        <v>25</v>
      </c>
    </row>
    <row r="116" spans="1:13" ht="23.25" customHeight="1">
      <c r="A116" t="str">
        <f t="shared" si="4"/>
        <v>Cameron Young</v>
      </c>
      <c r="B116">
        <f t="shared" si="5"/>
        <v>115</v>
      </c>
      <c r="C116">
        <f t="shared" si="7"/>
        <v>-0.14199999999999999</v>
      </c>
      <c r="D116">
        <f t="shared" si="7"/>
        <v>0</v>
      </c>
      <c r="E116">
        <f t="shared" si="7"/>
        <v>0</v>
      </c>
      <c r="G116">
        <v>115</v>
      </c>
      <c r="H116" t="s">
        <v>9</v>
      </c>
      <c r="I116">
        <v>-0.14199999999999999</v>
      </c>
      <c r="M116">
        <v>30</v>
      </c>
    </row>
    <row r="117" spans="1:13">
      <c r="A117" t="str">
        <f t="shared" si="4"/>
        <v>Ryo Hisatsune</v>
      </c>
      <c r="B117">
        <f t="shared" si="5"/>
        <v>116</v>
      </c>
      <c r="C117">
        <f t="shared" si="7"/>
        <v>-0.151</v>
      </c>
      <c r="D117">
        <f t="shared" si="7"/>
        <v>0</v>
      </c>
      <c r="E117">
        <f t="shared" si="7"/>
        <v>0</v>
      </c>
      <c r="G117">
        <v>116</v>
      </c>
      <c r="H117" t="s">
        <v>427</v>
      </c>
      <c r="I117">
        <v>-0.151</v>
      </c>
      <c r="M117">
        <v>25</v>
      </c>
    </row>
    <row r="118" spans="1:13">
      <c r="A118" t="str">
        <f t="shared" si="4"/>
        <v>Chan Kim</v>
      </c>
      <c r="B118">
        <f t="shared" si="5"/>
        <v>117</v>
      </c>
      <c r="C118">
        <f t="shared" si="7"/>
        <v>-0.16</v>
      </c>
      <c r="D118">
        <f t="shared" si="7"/>
        <v>0</v>
      </c>
      <c r="E118">
        <f t="shared" si="7"/>
        <v>0</v>
      </c>
      <c r="G118">
        <v>117</v>
      </c>
      <c r="H118" t="s">
        <v>424</v>
      </c>
      <c r="I118">
        <v>-0.16</v>
      </c>
      <c r="M118">
        <v>27</v>
      </c>
    </row>
    <row r="119" spans="1:13">
      <c r="A119" t="str">
        <f t="shared" si="4"/>
        <v>Robby Shelton</v>
      </c>
      <c r="B119">
        <f t="shared" si="5"/>
        <v>118</v>
      </c>
      <c r="C119">
        <f t="shared" si="7"/>
        <v>-0.16900000000000001</v>
      </c>
      <c r="D119">
        <f t="shared" si="7"/>
        <v>0</v>
      </c>
      <c r="E119">
        <f t="shared" si="7"/>
        <v>0</v>
      </c>
      <c r="G119">
        <v>118</v>
      </c>
      <c r="H119" t="s">
        <v>149</v>
      </c>
      <c r="I119">
        <v>-0.16900000000000001</v>
      </c>
      <c r="M119">
        <v>29</v>
      </c>
    </row>
    <row r="120" spans="1:13">
      <c r="A120" t="str">
        <f t="shared" si="4"/>
        <v>Austin Eckroat</v>
      </c>
      <c r="B120">
        <f t="shared" si="5"/>
        <v>119</v>
      </c>
      <c r="C120">
        <f t="shared" si="7"/>
        <v>-0.17499999999999999</v>
      </c>
      <c r="D120">
        <f t="shared" si="7"/>
        <v>0</v>
      </c>
      <c r="E120">
        <f t="shared" si="7"/>
        <v>0</v>
      </c>
      <c r="G120">
        <v>119</v>
      </c>
      <c r="H120" t="s">
        <v>88</v>
      </c>
      <c r="I120">
        <v>-0.17499999999999999</v>
      </c>
      <c r="M120">
        <v>29</v>
      </c>
    </row>
    <row r="121" spans="1:13">
      <c r="A121" t="str">
        <f t="shared" si="4"/>
        <v>Callum Tarren</v>
      </c>
      <c r="B121">
        <f t="shared" si="5"/>
        <v>120</v>
      </c>
      <c r="C121">
        <f t="shared" si="7"/>
        <v>-0.17899999999999999</v>
      </c>
      <c r="D121">
        <f t="shared" si="7"/>
        <v>0</v>
      </c>
      <c r="E121">
        <f t="shared" si="7"/>
        <v>0</v>
      </c>
      <c r="G121">
        <v>120</v>
      </c>
      <c r="H121" t="s">
        <v>21</v>
      </c>
      <c r="I121">
        <v>-0.17899999999999999</v>
      </c>
      <c r="M121">
        <v>21</v>
      </c>
    </row>
    <row r="122" spans="1:13">
      <c r="A122" t="str">
        <f t="shared" si="4"/>
        <v>Luke List</v>
      </c>
      <c r="B122">
        <f t="shared" si="5"/>
        <v>121</v>
      </c>
      <c r="C122">
        <f t="shared" si="7"/>
        <v>-0.19700000000000001</v>
      </c>
      <c r="D122">
        <f t="shared" si="7"/>
        <v>0</v>
      </c>
      <c r="E122">
        <f t="shared" si="7"/>
        <v>0</v>
      </c>
      <c r="G122">
        <v>121</v>
      </c>
      <c r="H122" t="s">
        <v>23</v>
      </c>
      <c r="I122">
        <v>-0.19700000000000001</v>
      </c>
      <c r="M122">
        <v>29</v>
      </c>
    </row>
    <row r="123" spans="1:13">
      <c r="A123" t="str">
        <f t="shared" si="4"/>
        <v>Rickie Fowler</v>
      </c>
      <c r="B123">
        <f t="shared" si="5"/>
        <v>122</v>
      </c>
      <c r="C123">
        <f t="shared" si="7"/>
        <v>-0.20499999999999999</v>
      </c>
      <c r="D123">
        <f t="shared" si="7"/>
        <v>0</v>
      </c>
      <c r="E123">
        <f t="shared" si="7"/>
        <v>0</v>
      </c>
      <c r="G123">
        <v>122</v>
      </c>
      <c r="H123" t="s">
        <v>44</v>
      </c>
      <c r="I123">
        <v>-0.20499999999999999</v>
      </c>
      <c r="M123">
        <v>26</v>
      </c>
    </row>
    <row r="124" spans="1:13">
      <c r="A124" t="str">
        <f t="shared" si="4"/>
        <v>Patrick Rodgers</v>
      </c>
      <c r="B124">
        <f t="shared" si="5"/>
        <v>123</v>
      </c>
      <c r="C124">
        <f t="shared" si="7"/>
        <v>-0.20599999999999999</v>
      </c>
      <c r="D124">
        <f t="shared" si="7"/>
        <v>0</v>
      </c>
      <c r="E124">
        <f t="shared" si="7"/>
        <v>0</v>
      </c>
      <c r="G124">
        <v>123</v>
      </c>
      <c r="H124" t="s">
        <v>38</v>
      </c>
      <c r="I124">
        <v>-0.20599999999999999</v>
      </c>
      <c r="M124">
        <v>32</v>
      </c>
    </row>
    <row r="125" spans="1:13">
      <c r="A125" t="str">
        <f t="shared" si="4"/>
        <v>Ryan McCormick</v>
      </c>
      <c r="B125">
        <f t="shared" si="5"/>
        <v>124</v>
      </c>
      <c r="C125">
        <f t="shared" si="7"/>
        <v>-0.20899999999999999</v>
      </c>
      <c r="D125">
        <f t="shared" si="7"/>
        <v>0</v>
      </c>
      <c r="E125">
        <f t="shared" si="7"/>
        <v>0</v>
      </c>
      <c r="G125">
        <v>124</v>
      </c>
      <c r="H125" t="s">
        <v>561</v>
      </c>
      <c r="I125">
        <v>-0.20899999999999999</v>
      </c>
      <c r="M125">
        <v>13</v>
      </c>
    </row>
    <row r="126" spans="1:13">
      <c r="A126" t="str">
        <f t="shared" si="4"/>
        <v>Sungjae Im</v>
      </c>
      <c r="B126">
        <f t="shared" si="5"/>
        <v>125</v>
      </c>
      <c r="C126">
        <f t="shared" si="7"/>
        <v>-0.216</v>
      </c>
      <c r="D126">
        <f t="shared" si="7"/>
        <v>0</v>
      </c>
      <c r="E126">
        <f t="shared" si="7"/>
        <v>0</v>
      </c>
      <c r="G126">
        <v>125</v>
      </c>
      <c r="H126" t="s">
        <v>113</v>
      </c>
      <c r="I126">
        <v>-0.216</v>
      </c>
      <c r="M126">
        <v>27</v>
      </c>
    </row>
    <row r="127" spans="1:13">
      <c r="A127" t="str">
        <f t="shared" si="4"/>
        <v>Roger Sloan</v>
      </c>
      <c r="B127">
        <f t="shared" si="5"/>
        <v>126</v>
      </c>
      <c r="C127">
        <f t="shared" si="7"/>
        <v>-0.223</v>
      </c>
      <c r="D127">
        <f t="shared" si="7"/>
        <v>0</v>
      </c>
      <c r="E127">
        <f t="shared" si="7"/>
        <v>0</v>
      </c>
      <c r="G127">
        <v>126</v>
      </c>
      <c r="H127" t="s">
        <v>393</v>
      </c>
      <c r="I127">
        <v>-0.223</v>
      </c>
      <c r="M127">
        <v>13</v>
      </c>
    </row>
    <row r="128" spans="1:13">
      <c r="A128" t="str">
        <f t="shared" si="4"/>
        <v>Sepp Straka</v>
      </c>
      <c r="B128">
        <f t="shared" si="5"/>
        <v>127</v>
      </c>
      <c r="C128">
        <f t="shared" si="7"/>
        <v>-0.24399999999999999</v>
      </c>
      <c r="D128">
        <f t="shared" si="7"/>
        <v>0</v>
      </c>
      <c r="E128">
        <f t="shared" si="7"/>
        <v>0</v>
      </c>
      <c r="G128">
        <v>127</v>
      </c>
      <c r="H128" t="s">
        <v>110</v>
      </c>
      <c r="I128">
        <v>-0.24399999999999999</v>
      </c>
      <c r="M128">
        <v>21</v>
      </c>
    </row>
    <row r="129" spans="1:13">
      <c r="A129" t="str">
        <f t="shared" si="4"/>
        <v>Chez Reavie</v>
      </c>
      <c r="B129">
        <f t="shared" si="5"/>
        <v>128</v>
      </c>
      <c r="C129">
        <f t="shared" si="7"/>
        <v>-0.248</v>
      </c>
      <c r="D129">
        <f t="shared" si="7"/>
        <v>0</v>
      </c>
      <c r="E129">
        <f t="shared" si="7"/>
        <v>0</v>
      </c>
      <c r="G129">
        <v>128</v>
      </c>
      <c r="H129" t="s">
        <v>177</v>
      </c>
      <c r="I129">
        <v>-0.248</v>
      </c>
      <c r="M129">
        <v>19</v>
      </c>
    </row>
    <row r="130" spans="1:13">
      <c r="A130" t="str">
        <f t="shared" si="4"/>
        <v>Thorbjørn Olesen</v>
      </c>
      <c r="B130">
        <f t="shared" si="5"/>
        <v>129</v>
      </c>
      <c r="C130">
        <f t="shared" si="7"/>
        <v>-0.26600000000000001</v>
      </c>
      <c r="D130">
        <f t="shared" si="7"/>
        <v>0</v>
      </c>
      <c r="E130">
        <f t="shared" si="7"/>
        <v>0</v>
      </c>
      <c r="G130">
        <v>129</v>
      </c>
      <c r="H130" t="s">
        <v>795</v>
      </c>
      <c r="I130">
        <v>-0.26600000000000001</v>
      </c>
      <c r="M130">
        <v>14</v>
      </c>
    </row>
    <row r="131" spans="1:13">
      <c r="A131" t="str">
        <f t="shared" ref="A131:A187" si="8">H131</f>
        <v>Tom Kim</v>
      </c>
      <c r="B131">
        <f t="shared" ref="B131:B187" si="9">G131</f>
        <v>130</v>
      </c>
      <c r="C131">
        <f t="shared" ref="C131:E187" si="10">I131</f>
        <v>-0.28699999999999998</v>
      </c>
      <c r="D131">
        <f t="shared" si="10"/>
        <v>0</v>
      </c>
      <c r="E131">
        <f t="shared" si="10"/>
        <v>0</v>
      </c>
      <c r="G131">
        <v>130</v>
      </c>
      <c r="H131" t="s">
        <v>124</v>
      </c>
      <c r="I131">
        <v>-0.28699999999999998</v>
      </c>
      <c r="M131">
        <v>24</v>
      </c>
    </row>
    <row r="132" spans="1:13">
      <c r="A132" t="str">
        <f t="shared" si="8"/>
        <v>Camilo Villegas</v>
      </c>
      <c r="B132">
        <f t="shared" si="9"/>
        <v>131</v>
      </c>
      <c r="C132">
        <f t="shared" si="10"/>
        <v>-0.28999999999999998</v>
      </c>
      <c r="D132">
        <f t="shared" si="10"/>
        <v>0</v>
      </c>
      <c r="E132">
        <f t="shared" si="10"/>
        <v>0</v>
      </c>
      <c r="G132">
        <v>131</v>
      </c>
      <c r="H132" t="s">
        <v>222</v>
      </c>
      <c r="I132">
        <v>-0.28999999999999998</v>
      </c>
      <c r="M132">
        <v>17</v>
      </c>
    </row>
    <row r="133" spans="1:13" ht="23.25" customHeight="1">
      <c r="A133" t="str">
        <f t="shared" si="8"/>
        <v>Victor Perez</v>
      </c>
      <c r="B133">
        <f t="shared" si="9"/>
        <v>132</v>
      </c>
      <c r="C133">
        <f t="shared" si="10"/>
        <v>-0.29499999999999998</v>
      </c>
      <c r="D133">
        <f t="shared" si="10"/>
        <v>0</v>
      </c>
      <c r="E133">
        <f t="shared" si="10"/>
        <v>0</v>
      </c>
      <c r="G133">
        <v>132</v>
      </c>
      <c r="H133" t="s">
        <v>632</v>
      </c>
      <c r="I133">
        <v>-0.29499999999999998</v>
      </c>
      <c r="M133">
        <v>21</v>
      </c>
    </row>
    <row r="134" spans="1:13">
      <c r="A134" t="str">
        <f t="shared" si="8"/>
        <v>Bud Cauley</v>
      </c>
      <c r="B134">
        <f t="shared" si="9"/>
        <v>133</v>
      </c>
      <c r="C134">
        <f t="shared" si="10"/>
        <v>-0.315</v>
      </c>
      <c r="D134">
        <f t="shared" si="10"/>
        <v>0</v>
      </c>
      <c r="E134">
        <f t="shared" si="10"/>
        <v>0</v>
      </c>
      <c r="G134">
        <v>133</v>
      </c>
      <c r="H134" t="s">
        <v>633</v>
      </c>
      <c r="I134">
        <v>-0.315</v>
      </c>
      <c r="M134">
        <v>18</v>
      </c>
    </row>
    <row r="135" spans="1:13">
      <c r="A135" t="str">
        <f t="shared" si="8"/>
        <v>Alejandro Tosti</v>
      </c>
      <c r="B135">
        <f t="shared" si="9"/>
        <v>133</v>
      </c>
      <c r="C135">
        <f t="shared" si="10"/>
        <v>-0.315</v>
      </c>
      <c r="D135">
        <f t="shared" si="10"/>
        <v>0</v>
      </c>
      <c r="E135">
        <f t="shared" si="10"/>
        <v>0</v>
      </c>
      <c r="G135">
        <v>133</v>
      </c>
      <c r="H135" t="s">
        <v>445</v>
      </c>
      <c r="I135">
        <v>-0.315</v>
      </c>
      <c r="M135">
        <v>21</v>
      </c>
    </row>
    <row r="136" spans="1:13">
      <c r="A136" t="str">
        <f t="shared" si="8"/>
        <v>Carl Yuan</v>
      </c>
      <c r="B136">
        <f t="shared" si="9"/>
        <v>133</v>
      </c>
      <c r="C136">
        <f t="shared" si="10"/>
        <v>-0.315</v>
      </c>
      <c r="D136">
        <f t="shared" si="10"/>
        <v>0</v>
      </c>
      <c r="E136">
        <f t="shared" si="10"/>
        <v>0</v>
      </c>
      <c r="G136">
        <v>133</v>
      </c>
      <c r="H136" t="s">
        <v>48</v>
      </c>
      <c r="I136">
        <v>-0.315</v>
      </c>
      <c r="M136">
        <v>24</v>
      </c>
    </row>
    <row r="137" spans="1:13">
      <c r="A137" t="str">
        <f t="shared" si="8"/>
        <v>Joe Highsmith</v>
      </c>
      <c r="B137">
        <f t="shared" si="9"/>
        <v>136</v>
      </c>
      <c r="C137">
        <f t="shared" si="10"/>
        <v>-0.316</v>
      </c>
      <c r="D137">
        <f t="shared" si="10"/>
        <v>0</v>
      </c>
      <c r="E137">
        <f t="shared" si="10"/>
        <v>0</v>
      </c>
      <c r="G137">
        <v>136</v>
      </c>
      <c r="H137" t="s">
        <v>522</v>
      </c>
      <c r="I137">
        <v>-0.316</v>
      </c>
      <c r="M137">
        <v>19</v>
      </c>
    </row>
    <row r="138" spans="1:13">
      <c r="A138" t="str">
        <f t="shared" si="8"/>
        <v>Rafael Campos</v>
      </c>
      <c r="B138">
        <f t="shared" si="9"/>
        <v>137</v>
      </c>
      <c r="C138">
        <f t="shared" si="10"/>
        <v>-0.31900000000000001</v>
      </c>
      <c r="D138">
        <f t="shared" si="10"/>
        <v>0</v>
      </c>
      <c r="E138">
        <f t="shared" si="10"/>
        <v>0</v>
      </c>
      <c r="G138">
        <v>137</v>
      </c>
      <c r="H138" t="s">
        <v>558</v>
      </c>
      <c r="I138">
        <v>-0.31900000000000001</v>
      </c>
      <c r="M138">
        <v>13</v>
      </c>
    </row>
    <row r="139" spans="1:13">
      <c r="A139" t="str">
        <f t="shared" si="8"/>
        <v>Grayson Murray</v>
      </c>
      <c r="B139">
        <f t="shared" si="9"/>
        <v>138</v>
      </c>
      <c r="C139">
        <f t="shared" si="10"/>
        <v>-0.34300000000000003</v>
      </c>
      <c r="D139">
        <f t="shared" si="10"/>
        <v>0</v>
      </c>
      <c r="E139">
        <f t="shared" si="10"/>
        <v>0</v>
      </c>
      <c r="G139">
        <v>138</v>
      </c>
      <c r="H139" t="s">
        <v>372</v>
      </c>
      <c r="I139">
        <v>-0.34300000000000003</v>
      </c>
      <c r="M139">
        <v>20</v>
      </c>
    </row>
    <row r="140" spans="1:13">
      <c r="A140" t="str">
        <f t="shared" si="8"/>
        <v>Lanto Griffin</v>
      </c>
      <c r="B140">
        <f t="shared" si="9"/>
        <v>139</v>
      </c>
      <c r="C140">
        <f t="shared" si="10"/>
        <v>-0.34699999999999998</v>
      </c>
      <c r="D140">
        <f t="shared" si="10"/>
        <v>0</v>
      </c>
      <c r="E140">
        <f t="shared" si="10"/>
        <v>0</v>
      </c>
      <c r="G140">
        <v>139</v>
      </c>
      <c r="H140" t="s">
        <v>80</v>
      </c>
      <c r="I140">
        <v>-0.34699999999999998</v>
      </c>
      <c r="M140">
        <v>21</v>
      </c>
    </row>
    <row r="141" spans="1:13">
      <c r="A141" t="str">
        <f t="shared" si="8"/>
        <v>Si Woo Kim</v>
      </c>
      <c r="B141">
        <f t="shared" si="9"/>
        <v>140</v>
      </c>
      <c r="C141">
        <f t="shared" si="10"/>
        <v>-0.35</v>
      </c>
      <c r="D141">
        <f t="shared" si="10"/>
        <v>0</v>
      </c>
      <c r="E141">
        <f t="shared" si="10"/>
        <v>0</v>
      </c>
      <c r="G141">
        <v>140</v>
      </c>
      <c r="H141" t="s">
        <v>128</v>
      </c>
      <c r="I141">
        <v>-0.35</v>
      </c>
      <c r="M141">
        <v>30</v>
      </c>
    </row>
    <row r="142" spans="1:13">
      <c r="A142" t="str">
        <f t="shared" si="8"/>
        <v>Zac Blair</v>
      </c>
      <c r="B142">
        <f t="shared" si="9"/>
        <v>141</v>
      </c>
      <c r="C142">
        <f t="shared" si="10"/>
        <v>-0.35299999999999998</v>
      </c>
      <c r="D142">
        <f t="shared" si="10"/>
        <v>0</v>
      </c>
      <c r="E142">
        <f t="shared" si="10"/>
        <v>0</v>
      </c>
      <c r="G142">
        <v>141</v>
      </c>
      <c r="H142" t="s">
        <v>187</v>
      </c>
      <c r="I142">
        <v>-0.35299999999999998</v>
      </c>
      <c r="M142">
        <v>23</v>
      </c>
    </row>
    <row r="143" spans="1:13">
      <c r="A143" t="str">
        <f t="shared" si="8"/>
        <v>Keith Mitchell</v>
      </c>
      <c r="B143">
        <f t="shared" si="9"/>
        <v>142</v>
      </c>
      <c r="C143">
        <f t="shared" si="10"/>
        <v>-0.35799999999999998</v>
      </c>
      <c r="D143">
        <f t="shared" si="10"/>
        <v>0</v>
      </c>
      <c r="E143">
        <f t="shared" si="10"/>
        <v>0</v>
      </c>
      <c r="G143">
        <v>142</v>
      </c>
      <c r="H143" t="s">
        <v>14</v>
      </c>
      <c r="I143">
        <v>-0.35799999999999998</v>
      </c>
      <c r="M143">
        <v>33</v>
      </c>
    </row>
    <row r="144" spans="1:13">
      <c r="A144" t="str">
        <f t="shared" si="8"/>
        <v>Hideki Matsuyama</v>
      </c>
      <c r="B144">
        <f t="shared" si="9"/>
        <v>143</v>
      </c>
      <c r="C144">
        <f t="shared" si="10"/>
        <v>-0.39500000000000002</v>
      </c>
      <c r="D144">
        <f t="shared" si="10"/>
        <v>0</v>
      </c>
      <c r="E144">
        <f t="shared" si="10"/>
        <v>0</v>
      </c>
      <c r="G144">
        <v>143</v>
      </c>
      <c r="H144" t="s">
        <v>129</v>
      </c>
      <c r="I144">
        <v>-0.39500000000000002</v>
      </c>
      <c r="M144">
        <v>33</v>
      </c>
    </row>
    <row r="145" spans="1:13">
      <c r="A145" t="str">
        <f t="shared" si="8"/>
        <v>Will Zalatoris</v>
      </c>
      <c r="B145">
        <f t="shared" si="9"/>
        <v>144</v>
      </c>
      <c r="C145">
        <f t="shared" si="10"/>
        <v>-0.40100000000000002</v>
      </c>
      <c r="D145">
        <f t="shared" si="10"/>
        <v>0</v>
      </c>
      <c r="E145">
        <f t="shared" si="10"/>
        <v>0</v>
      </c>
      <c r="G145">
        <v>144</v>
      </c>
      <c r="H145" t="s">
        <v>233</v>
      </c>
      <c r="I145">
        <v>-0.40100000000000002</v>
      </c>
      <c r="M145">
        <v>19</v>
      </c>
    </row>
    <row r="146" spans="1:13">
      <c r="A146" t="str">
        <f t="shared" si="8"/>
        <v>Chris Kirk</v>
      </c>
      <c r="B146">
        <f t="shared" si="9"/>
        <v>145</v>
      </c>
      <c r="C146">
        <f t="shared" si="10"/>
        <v>-0.40400000000000003</v>
      </c>
      <c r="D146">
        <f t="shared" si="10"/>
        <v>0</v>
      </c>
      <c r="E146">
        <f t="shared" si="10"/>
        <v>0</v>
      </c>
      <c r="G146">
        <v>145</v>
      </c>
      <c r="H146" t="s">
        <v>132</v>
      </c>
      <c r="I146">
        <v>-0.40400000000000003</v>
      </c>
      <c r="M146">
        <v>24</v>
      </c>
    </row>
    <row r="147" spans="1:13">
      <c r="A147" t="str">
        <f t="shared" si="8"/>
        <v>Webb Simpson</v>
      </c>
      <c r="B147">
        <f t="shared" si="9"/>
        <v>146</v>
      </c>
      <c r="C147">
        <f t="shared" si="10"/>
        <v>-0.40500000000000003</v>
      </c>
      <c r="D147">
        <f t="shared" si="10"/>
        <v>0</v>
      </c>
      <c r="E147">
        <f t="shared" si="10"/>
        <v>0</v>
      </c>
      <c r="G147">
        <v>146</v>
      </c>
      <c r="H147" t="s">
        <v>102</v>
      </c>
      <c r="I147">
        <v>-0.40500000000000003</v>
      </c>
      <c r="M147">
        <v>20</v>
      </c>
    </row>
    <row r="148" spans="1:13">
      <c r="A148" t="str">
        <f t="shared" si="8"/>
        <v>J.J. Spaun</v>
      </c>
      <c r="B148">
        <f t="shared" si="9"/>
        <v>147</v>
      </c>
      <c r="C148">
        <f t="shared" si="10"/>
        <v>-0.40699999999999997</v>
      </c>
      <c r="D148">
        <f t="shared" si="10"/>
        <v>0</v>
      </c>
      <c r="E148">
        <f t="shared" si="10"/>
        <v>0</v>
      </c>
      <c r="G148">
        <v>147</v>
      </c>
      <c r="H148" t="s">
        <v>112</v>
      </c>
      <c r="I148">
        <v>-0.40699999999999997</v>
      </c>
      <c r="M148">
        <v>25</v>
      </c>
    </row>
    <row r="149" spans="1:13">
      <c r="A149" t="str">
        <f t="shared" si="8"/>
        <v>Kevin Streelman</v>
      </c>
      <c r="B149">
        <f t="shared" si="9"/>
        <v>147</v>
      </c>
      <c r="C149">
        <f t="shared" si="10"/>
        <v>-0.40699999999999997</v>
      </c>
      <c r="D149">
        <f t="shared" si="10"/>
        <v>0</v>
      </c>
      <c r="E149">
        <f t="shared" si="10"/>
        <v>0</v>
      </c>
      <c r="G149">
        <v>147</v>
      </c>
      <c r="H149" t="s">
        <v>123</v>
      </c>
      <c r="I149">
        <v>-0.40699999999999997</v>
      </c>
      <c r="M149">
        <v>14</v>
      </c>
    </row>
    <row r="150" spans="1:13">
      <c r="A150" t="str">
        <f t="shared" si="8"/>
        <v>Brandt Snedeker</v>
      </c>
      <c r="B150">
        <f t="shared" si="9"/>
        <v>149</v>
      </c>
      <c r="C150">
        <f t="shared" si="10"/>
        <v>-0.40799999999999997</v>
      </c>
      <c r="D150">
        <f t="shared" si="10"/>
        <v>0</v>
      </c>
      <c r="E150">
        <f t="shared" si="10"/>
        <v>0</v>
      </c>
      <c r="G150">
        <v>149</v>
      </c>
      <c r="H150" t="s">
        <v>247</v>
      </c>
      <c r="I150">
        <v>-0.40799999999999997</v>
      </c>
      <c r="M150">
        <v>19</v>
      </c>
    </row>
    <row r="151" spans="1:13">
      <c r="A151" t="str">
        <f t="shared" si="8"/>
        <v>Seamus Power</v>
      </c>
      <c r="B151">
        <f t="shared" si="9"/>
        <v>150</v>
      </c>
      <c r="C151">
        <f t="shared" si="10"/>
        <v>-0.41199999999999998</v>
      </c>
      <c r="D151">
        <f t="shared" si="10"/>
        <v>0</v>
      </c>
      <c r="E151">
        <f t="shared" si="10"/>
        <v>0</v>
      </c>
      <c r="G151">
        <v>150</v>
      </c>
      <c r="H151" t="s">
        <v>105</v>
      </c>
      <c r="I151">
        <v>-0.41199999999999998</v>
      </c>
      <c r="M151">
        <v>33</v>
      </c>
    </row>
    <row r="152" spans="1:13">
      <c r="A152" t="str">
        <f t="shared" si="8"/>
        <v>Harrison Endycott</v>
      </c>
      <c r="B152">
        <f t="shared" si="9"/>
        <v>151</v>
      </c>
      <c r="C152">
        <f t="shared" si="10"/>
        <v>-0.42499999999999999</v>
      </c>
      <c r="D152">
        <f t="shared" si="10"/>
        <v>0</v>
      </c>
      <c r="E152">
        <f t="shared" si="10"/>
        <v>0</v>
      </c>
      <c r="G152">
        <v>151</v>
      </c>
      <c r="H152" t="s">
        <v>160</v>
      </c>
      <c r="I152">
        <v>-0.42499999999999999</v>
      </c>
      <c r="M152">
        <v>11</v>
      </c>
    </row>
    <row r="153" spans="1:13">
      <c r="A153" t="str">
        <f t="shared" si="8"/>
        <v>Robert MacIntyre</v>
      </c>
      <c r="B153">
        <f t="shared" si="9"/>
        <v>152</v>
      </c>
      <c r="C153">
        <f t="shared" si="10"/>
        <v>-0.436</v>
      </c>
      <c r="D153">
        <f t="shared" si="10"/>
        <v>0</v>
      </c>
      <c r="E153">
        <f t="shared" si="10"/>
        <v>0</v>
      </c>
      <c r="G153">
        <v>152</v>
      </c>
      <c r="H153" t="s">
        <v>434</v>
      </c>
      <c r="I153">
        <v>-0.436</v>
      </c>
      <c r="M153">
        <v>23</v>
      </c>
    </row>
    <row r="154" spans="1:13">
      <c r="A154" t="str">
        <f t="shared" si="8"/>
        <v>Nicolai Højgaard</v>
      </c>
      <c r="B154">
        <f t="shared" si="9"/>
        <v>153</v>
      </c>
      <c r="C154">
        <f t="shared" si="10"/>
        <v>-0.44</v>
      </c>
      <c r="D154">
        <f t="shared" si="10"/>
        <v>0</v>
      </c>
      <c r="E154">
        <f t="shared" si="10"/>
        <v>0</v>
      </c>
      <c r="G154">
        <v>153</v>
      </c>
      <c r="H154" t="s">
        <v>595</v>
      </c>
      <c r="I154">
        <v>-0.44</v>
      </c>
      <c r="M154">
        <v>21</v>
      </c>
    </row>
    <row r="155" spans="1:13">
      <c r="A155" t="str">
        <f t="shared" si="8"/>
        <v>Min Woo Lee</v>
      </c>
      <c r="B155">
        <f t="shared" si="9"/>
        <v>154</v>
      </c>
      <c r="C155">
        <f t="shared" si="10"/>
        <v>-0.44800000000000001</v>
      </c>
      <c r="D155">
        <f t="shared" si="10"/>
        <v>0</v>
      </c>
      <c r="E155">
        <f t="shared" si="10"/>
        <v>0</v>
      </c>
      <c r="G155">
        <v>154</v>
      </c>
      <c r="H155" t="s">
        <v>544</v>
      </c>
      <c r="I155">
        <v>-0.44800000000000001</v>
      </c>
      <c r="M155">
        <v>21</v>
      </c>
    </row>
    <row r="156" spans="1:13">
      <c r="A156" t="str">
        <f t="shared" si="8"/>
        <v>Vince Whaley</v>
      </c>
      <c r="B156">
        <f t="shared" si="9"/>
        <v>155</v>
      </c>
      <c r="C156">
        <f t="shared" si="10"/>
        <v>-0.46200000000000002</v>
      </c>
      <c r="D156">
        <f t="shared" si="10"/>
        <v>0</v>
      </c>
      <c r="E156">
        <f t="shared" si="10"/>
        <v>0</v>
      </c>
      <c r="G156">
        <v>155</v>
      </c>
      <c r="H156" t="s">
        <v>223</v>
      </c>
      <c r="I156">
        <v>-0.46200000000000002</v>
      </c>
      <c r="M156">
        <v>17</v>
      </c>
    </row>
    <row r="157" spans="1:13">
      <c r="A157" t="str">
        <f t="shared" si="8"/>
        <v>Paul Barjon</v>
      </c>
      <c r="B157">
        <f t="shared" si="9"/>
        <v>156</v>
      </c>
      <c r="C157">
        <f t="shared" si="10"/>
        <v>-0.46700000000000003</v>
      </c>
      <c r="D157">
        <f t="shared" si="10"/>
        <v>0</v>
      </c>
      <c r="E157">
        <f t="shared" si="10"/>
        <v>0</v>
      </c>
      <c r="G157">
        <v>156</v>
      </c>
      <c r="H157" t="s">
        <v>401</v>
      </c>
      <c r="I157">
        <v>-0.46700000000000003</v>
      </c>
      <c r="M157">
        <v>13</v>
      </c>
    </row>
    <row r="158" spans="1:13">
      <c r="A158" t="str">
        <f t="shared" si="8"/>
        <v>Matt NeSmith</v>
      </c>
      <c r="B158">
        <f t="shared" si="9"/>
        <v>157</v>
      </c>
      <c r="C158">
        <f t="shared" si="10"/>
        <v>-0.47799999999999998</v>
      </c>
      <c r="D158">
        <f t="shared" si="10"/>
        <v>0</v>
      </c>
      <c r="E158">
        <f t="shared" si="10"/>
        <v>0</v>
      </c>
      <c r="G158">
        <v>157</v>
      </c>
      <c r="H158" t="s">
        <v>443</v>
      </c>
      <c r="I158">
        <v>-0.47799999999999998</v>
      </c>
      <c r="M158">
        <v>23</v>
      </c>
    </row>
    <row r="159" spans="1:13">
      <c r="A159" t="str">
        <f t="shared" si="8"/>
        <v>Corey Conners</v>
      </c>
      <c r="B159">
        <f t="shared" si="9"/>
        <v>158</v>
      </c>
      <c r="C159">
        <f t="shared" si="10"/>
        <v>-0.48499999999999999</v>
      </c>
      <c r="D159">
        <f t="shared" si="10"/>
        <v>0</v>
      </c>
      <c r="E159">
        <f t="shared" si="10"/>
        <v>0</v>
      </c>
      <c r="G159">
        <v>158</v>
      </c>
      <c r="H159" t="s">
        <v>93</v>
      </c>
      <c r="I159">
        <v>-0.48499999999999999</v>
      </c>
      <c r="M159">
        <v>34</v>
      </c>
    </row>
    <row r="160" spans="1:13">
      <c r="A160" t="str">
        <f t="shared" si="8"/>
        <v>David Lipsky</v>
      </c>
      <c r="B160">
        <f t="shared" si="9"/>
        <v>159</v>
      </c>
      <c r="C160">
        <f t="shared" si="10"/>
        <v>-0.498</v>
      </c>
      <c r="D160">
        <f t="shared" si="10"/>
        <v>0</v>
      </c>
      <c r="E160">
        <f t="shared" si="10"/>
        <v>0</v>
      </c>
      <c r="G160">
        <v>159</v>
      </c>
      <c r="H160" t="s">
        <v>163</v>
      </c>
      <c r="I160">
        <v>-0.498</v>
      </c>
      <c r="M160">
        <v>23</v>
      </c>
    </row>
    <row r="161" spans="1:13">
      <c r="A161" t="str">
        <f t="shared" si="8"/>
        <v>Tony Finau</v>
      </c>
      <c r="B161">
        <f t="shared" si="9"/>
        <v>160</v>
      </c>
      <c r="C161">
        <f t="shared" si="10"/>
        <v>-0.51800000000000002</v>
      </c>
      <c r="D161">
        <f t="shared" si="10"/>
        <v>0</v>
      </c>
      <c r="E161">
        <f t="shared" si="10"/>
        <v>0</v>
      </c>
      <c r="G161">
        <v>160</v>
      </c>
      <c r="H161" t="s">
        <v>69</v>
      </c>
      <c r="I161">
        <v>-0.51800000000000002</v>
      </c>
      <c r="M161">
        <v>27</v>
      </c>
    </row>
    <row r="162" spans="1:13">
      <c r="A162" t="str">
        <f t="shared" si="8"/>
        <v>Collin Morikawa</v>
      </c>
      <c r="B162">
        <f t="shared" si="9"/>
        <v>161</v>
      </c>
      <c r="C162">
        <f t="shared" si="10"/>
        <v>-0.53100000000000003</v>
      </c>
      <c r="D162">
        <f t="shared" si="10"/>
        <v>0</v>
      </c>
      <c r="E162">
        <f t="shared" si="10"/>
        <v>0</v>
      </c>
      <c r="G162">
        <v>161</v>
      </c>
      <c r="H162" t="s">
        <v>135</v>
      </c>
      <c r="I162">
        <v>-0.53100000000000003</v>
      </c>
      <c r="M162">
        <v>21</v>
      </c>
    </row>
    <row r="163" spans="1:13">
      <c r="A163" t="str">
        <f t="shared" si="8"/>
        <v>Scott Stallings</v>
      </c>
      <c r="B163">
        <f t="shared" si="9"/>
        <v>162</v>
      </c>
      <c r="C163">
        <f t="shared" si="10"/>
        <v>-0.54300000000000004</v>
      </c>
      <c r="D163">
        <f t="shared" si="10"/>
        <v>0</v>
      </c>
      <c r="E163">
        <f t="shared" si="10"/>
        <v>0</v>
      </c>
      <c r="G163">
        <v>162</v>
      </c>
      <c r="H163" t="s">
        <v>89</v>
      </c>
      <c r="I163">
        <v>-0.54300000000000004</v>
      </c>
      <c r="M163">
        <v>20</v>
      </c>
    </row>
    <row r="164" spans="1:13">
      <c r="A164" t="str">
        <f t="shared" si="8"/>
        <v>Troy Merritt</v>
      </c>
      <c r="B164">
        <f t="shared" si="9"/>
        <v>163</v>
      </c>
      <c r="C164">
        <f t="shared" si="10"/>
        <v>-0.55200000000000005</v>
      </c>
      <c r="D164">
        <f t="shared" si="10"/>
        <v>0</v>
      </c>
      <c r="E164">
        <f t="shared" si="10"/>
        <v>0</v>
      </c>
      <c r="G164">
        <v>163</v>
      </c>
      <c r="H164" t="s">
        <v>156</v>
      </c>
      <c r="I164">
        <v>-0.55200000000000005</v>
      </c>
      <c r="M164">
        <v>21</v>
      </c>
    </row>
    <row r="165" spans="1:13">
      <c r="A165" t="str">
        <f t="shared" si="8"/>
        <v>Bronson Burgoon</v>
      </c>
      <c r="B165">
        <f t="shared" si="9"/>
        <v>164</v>
      </c>
      <c r="C165">
        <f t="shared" si="10"/>
        <v>-0.55300000000000005</v>
      </c>
      <c r="D165">
        <f t="shared" si="10"/>
        <v>0</v>
      </c>
      <c r="E165">
        <f t="shared" si="10"/>
        <v>0</v>
      </c>
      <c r="G165">
        <v>164</v>
      </c>
      <c r="H165" t="s">
        <v>412</v>
      </c>
      <c r="I165">
        <v>-0.55300000000000005</v>
      </c>
      <c r="M165">
        <v>15</v>
      </c>
    </row>
    <row r="166" spans="1:13">
      <c r="A166" t="str">
        <f t="shared" si="8"/>
        <v>Keegan Bradley</v>
      </c>
      <c r="B166">
        <f t="shared" si="9"/>
        <v>165</v>
      </c>
      <c r="C166">
        <f t="shared" si="10"/>
        <v>-0.57699999999999996</v>
      </c>
      <c r="D166">
        <f t="shared" si="10"/>
        <v>0</v>
      </c>
      <c r="E166">
        <f t="shared" si="10"/>
        <v>0</v>
      </c>
      <c r="G166">
        <v>165</v>
      </c>
      <c r="H166" t="s">
        <v>58</v>
      </c>
      <c r="I166">
        <v>-0.57699999999999996</v>
      </c>
      <c r="M166">
        <v>23</v>
      </c>
    </row>
    <row r="167" spans="1:13">
      <c r="A167" t="str">
        <f t="shared" si="8"/>
        <v>Adam Svensson</v>
      </c>
      <c r="B167">
        <f t="shared" si="9"/>
        <v>166</v>
      </c>
      <c r="C167">
        <f t="shared" si="10"/>
        <v>-0.59</v>
      </c>
      <c r="D167">
        <f t="shared" si="10"/>
        <v>0</v>
      </c>
      <c r="E167">
        <f t="shared" si="10"/>
        <v>0</v>
      </c>
      <c r="G167">
        <v>166</v>
      </c>
      <c r="H167" t="s">
        <v>130</v>
      </c>
      <c r="I167">
        <v>-0.59</v>
      </c>
      <c r="M167">
        <v>35</v>
      </c>
    </row>
    <row r="168" spans="1:13">
      <c r="A168" t="str">
        <f t="shared" si="8"/>
        <v>Tyler Duncan</v>
      </c>
      <c r="B168">
        <f t="shared" si="9"/>
        <v>167</v>
      </c>
      <c r="C168">
        <f t="shared" si="10"/>
        <v>-0.59099999999999997</v>
      </c>
      <c r="D168">
        <f t="shared" si="10"/>
        <v>0</v>
      </c>
      <c r="E168">
        <f t="shared" si="10"/>
        <v>0</v>
      </c>
      <c r="G168">
        <v>167</v>
      </c>
      <c r="H168" t="s">
        <v>116</v>
      </c>
      <c r="I168">
        <v>-0.59099999999999997</v>
      </c>
      <c r="M168">
        <v>23</v>
      </c>
    </row>
    <row r="169" spans="1:13">
      <c r="A169" t="str">
        <f t="shared" si="8"/>
        <v>Lucas Glover</v>
      </c>
      <c r="B169">
        <f t="shared" si="9"/>
        <v>168</v>
      </c>
      <c r="C169">
        <f t="shared" si="10"/>
        <v>-0.63</v>
      </c>
      <c r="D169">
        <f t="shared" si="10"/>
        <v>0</v>
      </c>
      <c r="E169">
        <f t="shared" si="10"/>
        <v>0</v>
      </c>
      <c r="G169">
        <v>168</v>
      </c>
      <c r="H169" t="s">
        <v>145</v>
      </c>
      <c r="I169">
        <v>-0.63</v>
      </c>
      <c r="M169">
        <v>30</v>
      </c>
    </row>
    <row r="170" spans="1:13">
      <c r="A170" t="str">
        <f t="shared" si="8"/>
        <v>Kevin Yu</v>
      </c>
      <c r="B170">
        <f t="shared" si="9"/>
        <v>169</v>
      </c>
      <c r="C170">
        <f t="shared" si="10"/>
        <v>-0.64200000000000002</v>
      </c>
      <c r="D170">
        <f t="shared" si="10"/>
        <v>0</v>
      </c>
      <c r="E170">
        <f t="shared" si="10"/>
        <v>0</v>
      </c>
      <c r="G170">
        <v>169</v>
      </c>
      <c r="H170" t="s">
        <v>26</v>
      </c>
      <c r="I170">
        <v>-0.64200000000000002</v>
      </c>
      <c r="M170">
        <v>23</v>
      </c>
    </row>
    <row r="171" spans="1:13">
      <c r="A171" t="str">
        <f t="shared" si="8"/>
        <v>Greyson Sigg</v>
      </c>
      <c r="B171">
        <f t="shared" si="9"/>
        <v>170</v>
      </c>
      <c r="C171">
        <f t="shared" si="10"/>
        <v>-0.64600000000000002</v>
      </c>
      <c r="D171">
        <f t="shared" si="10"/>
        <v>0</v>
      </c>
      <c r="E171">
        <f t="shared" si="10"/>
        <v>0</v>
      </c>
      <c r="G171">
        <v>170</v>
      </c>
      <c r="H171" t="s">
        <v>134</v>
      </c>
      <c r="I171">
        <v>-0.64600000000000002</v>
      </c>
      <c r="M171">
        <v>27</v>
      </c>
    </row>
    <row r="172" spans="1:13">
      <c r="A172" t="str">
        <f t="shared" si="8"/>
        <v>Justin Thomas</v>
      </c>
      <c r="B172">
        <f t="shared" si="9"/>
        <v>171</v>
      </c>
      <c r="C172">
        <f t="shared" si="10"/>
        <v>-0.67400000000000004</v>
      </c>
      <c r="D172">
        <f t="shared" si="10"/>
        <v>0</v>
      </c>
      <c r="E172">
        <f t="shared" si="10"/>
        <v>0</v>
      </c>
      <c r="G172">
        <v>171</v>
      </c>
      <c r="H172" t="s">
        <v>42</v>
      </c>
      <c r="I172">
        <v>-0.67400000000000004</v>
      </c>
      <c r="M172">
        <v>18</v>
      </c>
    </row>
    <row r="173" spans="1:13">
      <c r="A173" t="str">
        <f t="shared" si="8"/>
        <v>Ryan Moore</v>
      </c>
      <c r="B173">
        <f t="shared" si="9"/>
        <v>172</v>
      </c>
      <c r="C173">
        <f t="shared" si="10"/>
        <v>-0.68799999999999994</v>
      </c>
      <c r="D173">
        <f t="shared" si="10"/>
        <v>0</v>
      </c>
      <c r="E173">
        <f t="shared" si="10"/>
        <v>0</v>
      </c>
      <c r="G173">
        <v>172</v>
      </c>
      <c r="H173" t="s">
        <v>179</v>
      </c>
      <c r="I173">
        <v>-0.68799999999999994</v>
      </c>
      <c r="M173">
        <v>27</v>
      </c>
    </row>
    <row r="174" spans="1:13">
      <c r="A174" t="str">
        <f t="shared" si="8"/>
        <v>Adrien Dumont de Chassart</v>
      </c>
      <c r="B174">
        <f t="shared" si="9"/>
        <v>173</v>
      </c>
      <c r="C174">
        <f t="shared" si="10"/>
        <v>-0.69099999999999995</v>
      </c>
      <c r="D174">
        <f t="shared" si="10"/>
        <v>0</v>
      </c>
      <c r="E174">
        <f t="shared" si="10"/>
        <v>0</v>
      </c>
      <c r="G174">
        <v>173</v>
      </c>
      <c r="H174" t="s">
        <v>486</v>
      </c>
      <c r="I174">
        <v>-0.69099999999999995</v>
      </c>
      <c r="M174">
        <v>21</v>
      </c>
    </row>
    <row r="175" spans="1:13">
      <c r="A175" t="str">
        <f t="shared" si="8"/>
        <v>Ryan Palmer</v>
      </c>
      <c r="B175">
        <f t="shared" si="9"/>
        <v>174</v>
      </c>
      <c r="C175">
        <f t="shared" si="10"/>
        <v>-0.72599999999999998</v>
      </c>
      <c r="D175">
        <f t="shared" si="10"/>
        <v>0</v>
      </c>
      <c r="E175">
        <f t="shared" si="10"/>
        <v>0</v>
      </c>
      <c r="G175">
        <v>174</v>
      </c>
      <c r="H175" t="s">
        <v>87</v>
      </c>
      <c r="I175">
        <v>-0.72599999999999998</v>
      </c>
      <c r="M175">
        <v>18</v>
      </c>
    </row>
    <row r="176" spans="1:13">
      <c r="A176" t="str">
        <f t="shared" si="8"/>
        <v>Josh Teater</v>
      </c>
      <c r="B176">
        <f t="shared" si="9"/>
        <v>175</v>
      </c>
      <c r="C176">
        <f t="shared" si="10"/>
        <v>-0.76400000000000001</v>
      </c>
      <c r="D176">
        <f t="shared" si="10"/>
        <v>0</v>
      </c>
      <c r="E176">
        <f t="shared" si="10"/>
        <v>0</v>
      </c>
      <c r="G176">
        <v>175</v>
      </c>
      <c r="H176" t="s">
        <v>444</v>
      </c>
      <c r="I176">
        <v>-0.76400000000000001</v>
      </c>
      <c r="M176">
        <v>13</v>
      </c>
    </row>
    <row r="177" spans="1:13">
      <c r="A177" t="str">
        <f t="shared" si="8"/>
        <v>Ben Kohles</v>
      </c>
      <c r="B177">
        <f t="shared" si="9"/>
        <v>176</v>
      </c>
      <c r="C177">
        <f t="shared" si="10"/>
        <v>-0.82699999999999996</v>
      </c>
      <c r="D177">
        <f t="shared" si="10"/>
        <v>0</v>
      </c>
      <c r="E177">
        <f t="shared" si="10"/>
        <v>0</v>
      </c>
      <c r="G177">
        <v>176</v>
      </c>
      <c r="H177" t="s">
        <v>419</v>
      </c>
      <c r="I177">
        <v>-0.82699999999999996</v>
      </c>
      <c r="M177">
        <v>18</v>
      </c>
    </row>
    <row r="178" spans="1:13">
      <c r="A178" t="str">
        <f t="shared" si="8"/>
        <v>Gary Woodland</v>
      </c>
      <c r="B178">
        <f t="shared" si="9"/>
        <v>177</v>
      </c>
      <c r="C178">
        <f t="shared" si="10"/>
        <v>-0.83799999999999997</v>
      </c>
      <c r="D178">
        <f t="shared" si="10"/>
        <v>0</v>
      </c>
      <c r="E178">
        <f t="shared" si="10"/>
        <v>0</v>
      </c>
      <c r="G178">
        <v>177</v>
      </c>
      <c r="H178" t="s">
        <v>17</v>
      </c>
      <c r="I178">
        <v>-0.83799999999999997</v>
      </c>
      <c r="M178">
        <v>21</v>
      </c>
    </row>
    <row r="179" spans="1:13" ht="23.25" customHeight="1">
      <c r="A179" t="str">
        <f t="shared" si="8"/>
        <v>Rico Hoey</v>
      </c>
      <c r="B179">
        <f t="shared" si="9"/>
        <v>178</v>
      </c>
      <c r="C179">
        <f t="shared" si="10"/>
        <v>-0.9</v>
      </c>
      <c r="D179">
        <f t="shared" si="10"/>
        <v>0</v>
      </c>
      <c r="E179">
        <f t="shared" si="10"/>
        <v>0</v>
      </c>
      <c r="G179">
        <v>178</v>
      </c>
      <c r="H179" t="s">
        <v>485</v>
      </c>
      <c r="I179">
        <v>-0.9</v>
      </c>
      <c r="M179">
        <v>19</v>
      </c>
    </row>
    <row r="180" spans="1:13">
      <c r="A180" t="str">
        <f t="shared" si="8"/>
        <v>Jhonattan Vegas</v>
      </c>
      <c r="B180">
        <f t="shared" si="9"/>
        <v>179</v>
      </c>
      <c r="C180">
        <f t="shared" si="10"/>
        <v>-0.90100000000000002</v>
      </c>
      <c r="D180">
        <f t="shared" si="10"/>
        <v>0</v>
      </c>
      <c r="E180">
        <f t="shared" si="10"/>
        <v>0</v>
      </c>
      <c r="G180">
        <v>179</v>
      </c>
      <c r="H180" t="s">
        <v>241</v>
      </c>
      <c r="I180">
        <v>-0.90100000000000002</v>
      </c>
      <c r="M180">
        <v>19</v>
      </c>
    </row>
    <row r="181" spans="1:13">
      <c r="A181" t="str">
        <f t="shared" si="8"/>
        <v>Vincent Norrman</v>
      </c>
      <c r="B181">
        <f t="shared" si="9"/>
        <v>180</v>
      </c>
      <c r="C181">
        <f t="shared" si="10"/>
        <v>-1.0109999999999999</v>
      </c>
      <c r="D181">
        <f t="shared" si="10"/>
        <v>0</v>
      </c>
      <c r="E181">
        <f t="shared" si="10"/>
        <v>0</v>
      </c>
      <c r="G181">
        <v>180</v>
      </c>
      <c r="H181" t="s">
        <v>13</v>
      </c>
      <c r="I181">
        <v>-1.0109999999999999</v>
      </c>
      <c r="M181">
        <v>27</v>
      </c>
    </row>
    <row r="182" spans="1:13">
      <c r="A182" t="str">
        <f t="shared" si="8"/>
        <v>Joel Dahmen</v>
      </c>
      <c r="B182">
        <f t="shared" si="9"/>
        <v>181</v>
      </c>
      <c r="C182">
        <f t="shared" si="10"/>
        <v>-1.0389999999999999</v>
      </c>
      <c r="D182">
        <f t="shared" si="10"/>
        <v>0</v>
      </c>
      <c r="E182">
        <f t="shared" si="10"/>
        <v>0</v>
      </c>
      <c r="G182">
        <v>181</v>
      </c>
      <c r="H182" t="s">
        <v>137</v>
      </c>
      <c r="I182">
        <v>-1.0389999999999999</v>
      </c>
      <c r="M182">
        <v>23</v>
      </c>
    </row>
    <row r="183" spans="1:13">
      <c r="A183" t="str">
        <f t="shared" si="8"/>
        <v>Daniel Berger</v>
      </c>
      <c r="B183">
        <f t="shared" si="9"/>
        <v>182</v>
      </c>
      <c r="C183">
        <f t="shared" si="10"/>
        <v>-1.079</v>
      </c>
      <c r="D183">
        <f t="shared" si="10"/>
        <v>0</v>
      </c>
      <c r="E183">
        <f t="shared" si="10"/>
        <v>0</v>
      </c>
      <c r="G183">
        <v>182</v>
      </c>
      <c r="H183" t="s">
        <v>384</v>
      </c>
      <c r="I183">
        <v>-1.079</v>
      </c>
      <c r="M183">
        <v>13</v>
      </c>
    </row>
    <row r="184" spans="1:13">
      <c r="A184" t="str">
        <f t="shared" si="8"/>
        <v>Alex Smalley</v>
      </c>
      <c r="B184">
        <f t="shared" si="9"/>
        <v>183</v>
      </c>
      <c r="C184">
        <f t="shared" si="10"/>
        <v>-1.085</v>
      </c>
      <c r="D184">
        <f t="shared" si="10"/>
        <v>0</v>
      </c>
      <c r="E184">
        <f t="shared" si="10"/>
        <v>0</v>
      </c>
      <c r="G184">
        <v>183</v>
      </c>
      <c r="H184" t="s">
        <v>79</v>
      </c>
      <c r="I184">
        <v>-1.085</v>
      </c>
      <c r="M184">
        <v>19</v>
      </c>
    </row>
    <row r="185" spans="1:13">
      <c r="A185">
        <f t="shared" si="8"/>
        <v>0</v>
      </c>
      <c r="B185">
        <f t="shared" si="9"/>
        <v>0</v>
      </c>
      <c r="C185">
        <f t="shared" si="10"/>
        <v>0</v>
      </c>
      <c r="D185">
        <f t="shared" si="10"/>
        <v>0</v>
      </c>
      <c r="E185">
        <f t="shared" si="10"/>
        <v>0</v>
      </c>
    </row>
    <row r="186" spans="1:13">
      <c r="A186">
        <f t="shared" si="8"/>
        <v>0</v>
      </c>
      <c r="B186">
        <f t="shared" si="9"/>
        <v>0</v>
      </c>
      <c r="C186">
        <f t="shared" si="10"/>
        <v>0</v>
      </c>
      <c r="D186">
        <f t="shared" si="10"/>
        <v>0</v>
      </c>
      <c r="E186">
        <f t="shared" si="10"/>
        <v>0</v>
      </c>
    </row>
    <row r="187" spans="1:13">
      <c r="A187">
        <f t="shared" si="8"/>
        <v>0</v>
      </c>
      <c r="B187">
        <f t="shared" si="9"/>
        <v>0</v>
      </c>
      <c r="C187">
        <f t="shared" si="10"/>
        <v>0</v>
      </c>
      <c r="D187">
        <f t="shared" si="10"/>
        <v>0</v>
      </c>
      <c r="E187">
        <f t="shared" si="10"/>
        <v>0</v>
      </c>
    </row>
    <row r="188" spans="1:13">
      <c r="A188">
        <f t="shared" ref="A188:A205" si="11">H188</f>
        <v>0</v>
      </c>
      <c r="B188">
        <f t="shared" ref="B188:B205" si="12">G188</f>
        <v>0</v>
      </c>
      <c r="C188">
        <f t="shared" ref="C188:C205" si="13">I188</f>
        <v>0</v>
      </c>
      <c r="D188">
        <f t="shared" ref="D188:D205" si="14">J188</f>
        <v>0</v>
      </c>
      <c r="E188">
        <f t="shared" ref="E188:E205" si="15">K188</f>
        <v>0</v>
      </c>
    </row>
    <row r="189" spans="1:13">
      <c r="A189">
        <f t="shared" si="11"/>
        <v>0</v>
      </c>
      <c r="B189">
        <f t="shared" si="12"/>
        <v>0</v>
      </c>
      <c r="C189">
        <f t="shared" si="13"/>
        <v>0</v>
      </c>
      <c r="D189">
        <f t="shared" si="14"/>
        <v>0</v>
      </c>
      <c r="E189">
        <f t="shared" si="15"/>
        <v>0</v>
      </c>
    </row>
    <row r="190" spans="1:13">
      <c r="A190">
        <f t="shared" si="11"/>
        <v>0</v>
      </c>
      <c r="B190">
        <f t="shared" si="12"/>
        <v>0</v>
      </c>
      <c r="C190">
        <f t="shared" si="13"/>
        <v>0</v>
      </c>
      <c r="D190">
        <f t="shared" si="14"/>
        <v>0</v>
      </c>
      <c r="E190">
        <f t="shared" si="15"/>
        <v>0</v>
      </c>
    </row>
    <row r="191" spans="1:13">
      <c r="A191">
        <f t="shared" si="11"/>
        <v>0</v>
      </c>
      <c r="B191">
        <f t="shared" si="12"/>
        <v>0</v>
      </c>
      <c r="C191">
        <f t="shared" si="13"/>
        <v>0</v>
      </c>
      <c r="D191">
        <f t="shared" si="14"/>
        <v>0</v>
      </c>
      <c r="E191">
        <f t="shared" si="15"/>
        <v>0</v>
      </c>
    </row>
    <row r="192" spans="1:13">
      <c r="A192">
        <f t="shared" si="11"/>
        <v>0</v>
      </c>
      <c r="B192">
        <f t="shared" si="12"/>
        <v>0</v>
      </c>
      <c r="C192">
        <f t="shared" si="13"/>
        <v>0</v>
      </c>
      <c r="D192">
        <f t="shared" si="14"/>
        <v>0</v>
      </c>
      <c r="E192">
        <f t="shared" si="15"/>
        <v>0</v>
      </c>
    </row>
    <row r="193" spans="1:5">
      <c r="A193">
        <f t="shared" si="11"/>
        <v>0</v>
      </c>
      <c r="B193">
        <f t="shared" si="12"/>
        <v>0</v>
      </c>
      <c r="C193">
        <f t="shared" si="13"/>
        <v>0</v>
      </c>
      <c r="D193">
        <f t="shared" si="14"/>
        <v>0</v>
      </c>
      <c r="E193">
        <f t="shared" si="15"/>
        <v>0</v>
      </c>
    </row>
    <row r="194" spans="1:5">
      <c r="A194">
        <f t="shared" si="11"/>
        <v>0</v>
      </c>
      <c r="B194">
        <f t="shared" si="12"/>
        <v>0</v>
      </c>
      <c r="C194">
        <f t="shared" si="13"/>
        <v>0</v>
      </c>
      <c r="D194">
        <f t="shared" si="14"/>
        <v>0</v>
      </c>
      <c r="E194">
        <f t="shared" si="15"/>
        <v>0</v>
      </c>
    </row>
    <row r="195" spans="1:5">
      <c r="A195">
        <f t="shared" si="11"/>
        <v>0</v>
      </c>
      <c r="B195">
        <f t="shared" si="12"/>
        <v>0</v>
      </c>
      <c r="C195">
        <f t="shared" si="13"/>
        <v>0</v>
      </c>
      <c r="D195">
        <f t="shared" si="14"/>
        <v>0</v>
      </c>
      <c r="E195">
        <f t="shared" si="15"/>
        <v>0</v>
      </c>
    </row>
    <row r="196" spans="1:5">
      <c r="A196">
        <f t="shared" si="11"/>
        <v>0</v>
      </c>
      <c r="B196">
        <f t="shared" si="12"/>
        <v>0</v>
      </c>
      <c r="C196">
        <f t="shared" si="13"/>
        <v>0</v>
      </c>
      <c r="D196">
        <f t="shared" si="14"/>
        <v>0</v>
      </c>
      <c r="E196">
        <f t="shared" si="15"/>
        <v>0</v>
      </c>
    </row>
    <row r="197" spans="1:5">
      <c r="A197">
        <f t="shared" si="11"/>
        <v>0</v>
      </c>
      <c r="B197">
        <f t="shared" si="12"/>
        <v>0</v>
      </c>
      <c r="C197">
        <f t="shared" si="13"/>
        <v>0</v>
      </c>
      <c r="D197">
        <f t="shared" si="14"/>
        <v>0</v>
      </c>
      <c r="E197">
        <f t="shared" si="15"/>
        <v>0</v>
      </c>
    </row>
    <row r="198" spans="1:5">
      <c r="A198">
        <f t="shared" si="11"/>
        <v>0</v>
      </c>
      <c r="B198">
        <f t="shared" si="12"/>
        <v>0</v>
      </c>
      <c r="C198">
        <f t="shared" si="13"/>
        <v>0</v>
      </c>
      <c r="D198">
        <f t="shared" si="14"/>
        <v>0</v>
      </c>
      <c r="E198">
        <f t="shared" si="15"/>
        <v>0</v>
      </c>
    </row>
    <row r="199" spans="1:5">
      <c r="A199">
        <f t="shared" si="11"/>
        <v>0</v>
      </c>
      <c r="B199">
        <f t="shared" si="12"/>
        <v>0</v>
      </c>
      <c r="C199">
        <f t="shared" si="13"/>
        <v>0</v>
      </c>
      <c r="D199">
        <f t="shared" si="14"/>
        <v>0</v>
      </c>
      <c r="E199">
        <f t="shared" si="15"/>
        <v>0</v>
      </c>
    </row>
    <row r="200" spans="1:5">
      <c r="A200">
        <f t="shared" si="11"/>
        <v>0</v>
      </c>
      <c r="B200">
        <f t="shared" si="12"/>
        <v>0</v>
      </c>
      <c r="C200">
        <f t="shared" si="13"/>
        <v>0</v>
      </c>
      <c r="D200">
        <f t="shared" si="14"/>
        <v>0</v>
      </c>
      <c r="E200">
        <f t="shared" si="15"/>
        <v>0</v>
      </c>
    </row>
    <row r="201" spans="1:5">
      <c r="A201">
        <f t="shared" si="11"/>
        <v>0</v>
      </c>
      <c r="B201">
        <f t="shared" si="12"/>
        <v>0</v>
      </c>
      <c r="C201">
        <f t="shared" si="13"/>
        <v>0</v>
      </c>
      <c r="D201">
        <f t="shared" si="14"/>
        <v>0</v>
      </c>
      <c r="E201">
        <f t="shared" si="15"/>
        <v>0</v>
      </c>
    </row>
    <row r="202" spans="1:5">
      <c r="A202">
        <f t="shared" si="11"/>
        <v>0</v>
      </c>
      <c r="B202">
        <f t="shared" si="12"/>
        <v>0</v>
      </c>
      <c r="C202">
        <f t="shared" si="13"/>
        <v>0</v>
      </c>
      <c r="D202">
        <f t="shared" si="14"/>
        <v>0</v>
      </c>
      <c r="E202">
        <f t="shared" si="15"/>
        <v>0</v>
      </c>
    </row>
    <row r="203" spans="1:5">
      <c r="A203">
        <f t="shared" si="11"/>
        <v>0</v>
      </c>
      <c r="B203">
        <f t="shared" si="12"/>
        <v>0</v>
      </c>
      <c r="C203">
        <f t="shared" si="13"/>
        <v>0</v>
      </c>
      <c r="D203">
        <f t="shared" si="14"/>
        <v>0</v>
      </c>
      <c r="E203">
        <f t="shared" si="15"/>
        <v>0</v>
      </c>
    </row>
    <row r="204" spans="1:5">
      <c r="A204">
        <f t="shared" si="11"/>
        <v>0</v>
      </c>
      <c r="B204">
        <f t="shared" si="12"/>
        <v>0</v>
      </c>
      <c r="C204">
        <f t="shared" si="13"/>
        <v>0</v>
      </c>
      <c r="D204">
        <f t="shared" si="14"/>
        <v>0</v>
      </c>
      <c r="E204">
        <f t="shared" si="15"/>
        <v>0</v>
      </c>
    </row>
    <row r="205" spans="1:5">
      <c r="A205">
        <f t="shared" si="11"/>
        <v>0</v>
      </c>
      <c r="B205">
        <f t="shared" si="12"/>
        <v>0</v>
      </c>
      <c r="C205">
        <f t="shared" si="13"/>
        <v>0</v>
      </c>
      <c r="D205">
        <f t="shared" si="14"/>
        <v>0</v>
      </c>
      <c r="E205">
        <f t="shared" si="15"/>
        <v>0</v>
      </c>
    </row>
    <row r="206" spans="1:5">
      <c r="A206">
        <f>H206</f>
        <v>0</v>
      </c>
      <c r="B206">
        <f>G206</f>
        <v>0</v>
      </c>
      <c r="C206">
        <f t="shared" ref="C206:E208" si="16">I206</f>
        <v>0</v>
      </c>
      <c r="D206">
        <f t="shared" si="16"/>
        <v>0</v>
      </c>
      <c r="E206">
        <f t="shared" si="16"/>
        <v>0</v>
      </c>
    </row>
    <row r="207" spans="1:5">
      <c r="A207">
        <f>H207</f>
        <v>0</v>
      </c>
      <c r="B207">
        <f>G207</f>
        <v>0</v>
      </c>
      <c r="C207">
        <f t="shared" si="16"/>
        <v>0</v>
      </c>
      <c r="D207">
        <f t="shared" si="16"/>
        <v>0</v>
      </c>
      <c r="E207">
        <f t="shared" si="16"/>
        <v>0</v>
      </c>
    </row>
    <row r="208" spans="1:5">
      <c r="A208">
        <f>H208</f>
        <v>0</v>
      </c>
      <c r="B208">
        <f>G208</f>
        <v>0</v>
      </c>
      <c r="C208">
        <f t="shared" si="16"/>
        <v>0</v>
      </c>
      <c r="D208">
        <f t="shared" si="16"/>
        <v>0</v>
      </c>
      <c r="E208">
        <f t="shared" si="16"/>
        <v>0</v>
      </c>
    </row>
    <row r="209" spans="1:5">
      <c r="A209">
        <f t="shared" ref="A209:A240" si="17">H209</f>
        <v>0</v>
      </c>
      <c r="B209">
        <f t="shared" ref="B209:B240" si="18">G209</f>
        <v>0</v>
      </c>
      <c r="C209">
        <f t="shared" ref="C209:C240" si="19">I209</f>
        <v>0</v>
      </c>
      <c r="D209">
        <f t="shared" ref="D209:D240" si="20">J209</f>
        <v>0</v>
      </c>
      <c r="E209">
        <f t="shared" ref="E209:E240" si="21">K209</f>
        <v>0</v>
      </c>
    </row>
    <row r="210" spans="1:5">
      <c r="A210">
        <f t="shared" si="17"/>
        <v>0</v>
      </c>
      <c r="B210">
        <f t="shared" si="18"/>
        <v>0</v>
      </c>
      <c r="C210">
        <f t="shared" si="19"/>
        <v>0</v>
      </c>
      <c r="D210">
        <f t="shared" si="20"/>
        <v>0</v>
      </c>
      <c r="E210">
        <f t="shared" si="21"/>
        <v>0</v>
      </c>
    </row>
    <row r="211" spans="1:5">
      <c r="A211">
        <f t="shared" si="17"/>
        <v>0</v>
      </c>
      <c r="B211">
        <f t="shared" si="18"/>
        <v>0</v>
      </c>
      <c r="C211">
        <f t="shared" si="19"/>
        <v>0</v>
      </c>
      <c r="D211">
        <f t="shared" si="20"/>
        <v>0</v>
      </c>
      <c r="E211">
        <f t="shared" si="21"/>
        <v>0</v>
      </c>
    </row>
    <row r="212" spans="1:5">
      <c r="A212">
        <f t="shared" si="17"/>
        <v>0</v>
      </c>
      <c r="B212">
        <f t="shared" si="18"/>
        <v>0</v>
      </c>
      <c r="C212">
        <f t="shared" si="19"/>
        <v>0</v>
      </c>
      <c r="D212">
        <f t="shared" si="20"/>
        <v>0</v>
      </c>
      <c r="E212">
        <f t="shared" si="21"/>
        <v>0</v>
      </c>
    </row>
    <row r="213" spans="1:5">
      <c r="A213">
        <f t="shared" si="17"/>
        <v>0</v>
      </c>
      <c r="B213">
        <f t="shared" si="18"/>
        <v>0</v>
      </c>
      <c r="C213">
        <f t="shared" si="19"/>
        <v>0</v>
      </c>
      <c r="D213">
        <f t="shared" si="20"/>
        <v>0</v>
      </c>
      <c r="E213">
        <f t="shared" si="21"/>
        <v>0</v>
      </c>
    </row>
    <row r="214" spans="1:5">
      <c r="A214">
        <f t="shared" si="17"/>
        <v>0</v>
      </c>
      <c r="B214">
        <f t="shared" si="18"/>
        <v>0</v>
      </c>
      <c r="C214">
        <f t="shared" si="19"/>
        <v>0</v>
      </c>
      <c r="D214">
        <f t="shared" si="20"/>
        <v>0</v>
      </c>
      <c r="E214">
        <f t="shared" si="21"/>
        <v>0</v>
      </c>
    </row>
    <row r="215" spans="1:5">
      <c r="A215">
        <f t="shared" si="17"/>
        <v>0</v>
      </c>
      <c r="B215">
        <f t="shared" si="18"/>
        <v>0</v>
      </c>
      <c r="C215">
        <f t="shared" si="19"/>
        <v>0</v>
      </c>
      <c r="D215">
        <f t="shared" si="20"/>
        <v>0</v>
      </c>
      <c r="E215">
        <f t="shared" si="21"/>
        <v>0</v>
      </c>
    </row>
    <row r="216" spans="1:5">
      <c r="A216">
        <f t="shared" si="17"/>
        <v>0</v>
      </c>
      <c r="B216">
        <f t="shared" si="18"/>
        <v>0</v>
      </c>
      <c r="C216">
        <f t="shared" si="19"/>
        <v>0</v>
      </c>
      <c r="D216">
        <f t="shared" si="20"/>
        <v>0</v>
      </c>
      <c r="E216">
        <f t="shared" si="21"/>
        <v>0</v>
      </c>
    </row>
    <row r="217" spans="1:5">
      <c r="A217">
        <f t="shared" si="17"/>
        <v>0</v>
      </c>
      <c r="B217">
        <f t="shared" si="18"/>
        <v>0</v>
      </c>
      <c r="C217">
        <f t="shared" si="19"/>
        <v>0</v>
      </c>
      <c r="D217">
        <f t="shared" si="20"/>
        <v>0</v>
      </c>
      <c r="E217">
        <f t="shared" si="21"/>
        <v>0</v>
      </c>
    </row>
    <row r="218" spans="1:5">
      <c r="A218">
        <f t="shared" si="17"/>
        <v>0</v>
      </c>
      <c r="B218">
        <f t="shared" si="18"/>
        <v>0</v>
      </c>
      <c r="C218">
        <f t="shared" si="19"/>
        <v>0</v>
      </c>
      <c r="D218">
        <f t="shared" si="20"/>
        <v>0</v>
      </c>
      <c r="E218">
        <f t="shared" si="21"/>
        <v>0</v>
      </c>
    </row>
    <row r="219" spans="1:5">
      <c r="A219">
        <f t="shared" si="17"/>
        <v>0</v>
      </c>
      <c r="B219">
        <f t="shared" si="18"/>
        <v>0</v>
      </c>
      <c r="C219">
        <f t="shared" si="19"/>
        <v>0</v>
      </c>
      <c r="D219">
        <f t="shared" si="20"/>
        <v>0</v>
      </c>
      <c r="E219">
        <f t="shared" si="21"/>
        <v>0</v>
      </c>
    </row>
    <row r="220" spans="1:5">
      <c r="A220">
        <f t="shared" si="17"/>
        <v>0</v>
      </c>
      <c r="B220">
        <f t="shared" si="18"/>
        <v>0</v>
      </c>
      <c r="C220">
        <f t="shared" si="19"/>
        <v>0</v>
      </c>
      <c r="D220">
        <f t="shared" si="20"/>
        <v>0</v>
      </c>
      <c r="E220">
        <f t="shared" si="21"/>
        <v>0</v>
      </c>
    </row>
    <row r="221" spans="1:5">
      <c r="A221">
        <f t="shared" si="17"/>
        <v>0</v>
      </c>
      <c r="B221">
        <f t="shared" si="18"/>
        <v>0</v>
      </c>
      <c r="C221">
        <f t="shared" si="19"/>
        <v>0</v>
      </c>
      <c r="D221">
        <f t="shared" si="20"/>
        <v>0</v>
      </c>
      <c r="E221">
        <f t="shared" si="21"/>
        <v>0</v>
      </c>
    </row>
    <row r="222" spans="1:5">
      <c r="A222">
        <f t="shared" si="17"/>
        <v>0</v>
      </c>
      <c r="B222">
        <f t="shared" si="18"/>
        <v>0</v>
      </c>
      <c r="C222">
        <f t="shared" si="19"/>
        <v>0</v>
      </c>
      <c r="D222">
        <f t="shared" si="20"/>
        <v>0</v>
      </c>
      <c r="E222">
        <f t="shared" si="21"/>
        <v>0</v>
      </c>
    </row>
    <row r="223" spans="1:5">
      <c r="A223">
        <f t="shared" si="17"/>
        <v>0</v>
      </c>
      <c r="B223">
        <f t="shared" si="18"/>
        <v>0</v>
      </c>
      <c r="C223">
        <f t="shared" si="19"/>
        <v>0</v>
      </c>
      <c r="D223">
        <f t="shared" si="20"/>
        <v>0</v>
      </c>
      <c r="E223">
        <f t="shared" si="21"/>
        <v>0</v>
      </c>
    </row>
    <row r="224" spans="1:5">
      <c r="A224">
        <f t="shared" si="17"/>
        <v>0</v>
      </c>
      <c r="B224">
        <f t="shared" si="18"/>
        <v>0</v>
      </c>
      <c r="C224">
        <f t="shared" si="19"/>
        <v>0</v>
      </c>
      <c r="D224">
        <f t="shared" si="20"/>
        <v>0</v>
      </c>
      <c r="E224">
        <f t="shared" si="21"/>
        <v>0</v>
      </c>
    </row>
    <row r="225" spans="1:5">
      <c r="A225">
        <f t="shared" si="17"/>
        <v>0</v>
      </c>
      <c r="B225">
        <f t="shared" si="18"/>
        <v>0</v>
      </c>
      <c r="C225">
        <f t="shared" si="19"/>
        <v>0</v>
      </c>
      <c r="D225">
        <f t="shared" si="20"/>
        <v>0</v>
      </c>
      <c r="E225">
        <f t="shared" si="21"/>
        <v>0</v>
      </c>
    </row>
    <row r="226" spans="1:5">
      <c r="A226">
        <f t="shared" si="17"/>
        <v>0</v>
      </c>
      <c r="B226">
        <f t="shared" si="18"/>
        <v>0</v>
      </c>
      <c r="C226">
        <f t="shared" si="19"/>
        <v>0</v>
      </c>
      <c r="D226">
        <f t="shared" si="20"/>
        <v>0</v>
      </c>
      <c r="E226">
        <f t="shared" si="21"/>
        <v>0</v>
      </c>
    </row>
    <row r="227" spans="1:5">
      <c r="A227">
        <f t="shared" si="17"/>
        <v>0</v>
      </c>
      <c r="B227">
        <f t="shared" si="18"/>
        <v>0</v>
      </c>
      <c r="C227">
        <f t="shared" si="19"/>
        <v>0</v>
      </c>
      <c r="D227">
        <f t="shared" si="20"/>
        <v>0</v>
      </c>
      <c r="E227">
        <f t="shared" si="21"/>
        <v>0</v>
      </c>
    </row>
    <row r="228" spans="1:5">
      <c r="A228">
        <f t="shared" si="17"/>
        <v>0</v>
      </c>
      <c r="B228">
        <f t="shared" si="18"/>
        <v>0</v>
      </c>
      <c r="C228">
        <f t="shared" si="19"/>
        <v>0</v>
      </c>
      <c r="D228">
        <f t="shared" si="20"/>
        <v>0</v>
      </c>
      <c r="E228">
        <f t="shared" si="21"/>
        <v>0</v>
      </c>
    </row>
    <row r="229" spans="1:5">
      <c r="A229">
        <f t="shared" si="17"/>
        <v>0</v>
      </c>
      <c r="B229">
        <f t="shared" si="18"/>
        <v>0</v>
      </c>
      <c r="C229">
        <f t="shared" si="19"/>
        <v>0</v>
      </c>
      <c r="D229">
        <f t="shared" si="20"/>
        <v>0</v>
      </c>
      <c r="E229">
        <f t="shared" si="21"/>
        <v>0</v>
      </c>
    </row>
    <row r="230" spans="1:5">
      <c r="A230">
        <f t="shared" si="17"/>
        <v>0</v>
      </c>
      <c r="B230">
        <f t="shared" si="18"/>
        <v>0</v>
      </c>
      <c r="C230">
        <f t="shared" si="19"/>
        <v>0</v>
      </c>
      <c r="D230">
        <f t="shared" si="20"/>
        <v>0</v>
      </c>
      <c r="E230">
        <f t="shared" si="21"/>
        <v>0</v>
      </c>
    </row>
    <row r="231" spans="1:5">
      <c r="A231">
        <f t="shared" si="17"/>
        <v>0</v>
      </c>
      <c r="B231">
        <f t="shared" si="18"/>
        <v>0</v>
      </c>
      <c r="C231">
        <f t="shared" si="19"/>
        <v>0</v>
      </c>
      <c r="D231">
        <f t="shared" si="20"/>
        <v>0</v>
      </c>
      <c r="E231">
        <f t="shared" si="21"/>
        <v>0</v>
      </c>
    </row>
    <row r="232" spans="1:5">
      <c r="A232">
        <f t="shared" si="17"/>
        <v>0</v>
      </c>
      <c r="B232">
        <f t="shared" si="18"/>
        <v>0</v>
      </c>
      <c r="C232">
        <f t="shared" si="19"/>
        <v>0</v>
      </c>
      <c r="D232">
        <f t="shared" si="20"/>
        <v>0</v>
      </c>
      <c r="E232">
        <f t="shared" si="21"/>
        <v>0</v>
      </c>
    </row>
    <row r="233" spans="1:5">
      <c r="A233">
        <f t="shared" si="17"/>
        <v>0</v>
      </c>
      <c r="B233">
        <f t="shared" si="18"/>
        <v>0</v>
      </c>
      <c r="C233">
        <f t="shared" si="19"/>
        <v>0</v>
      </c>
      <c r="D233">
        <f t="shared" si="20"/>
        <v>0</v>
      </c>
      <c r="E233">
        <f t="shared" si="21"/>
        <v>0</v>
      </c>
    </row>
    <row r="234" spans="1:5" ht="23.25" customHeight="1">
      <c r="A234">
        <f t="shared" si="17"/>
        <v>0</v>
      </c>
      <c r="B234">
        <f t="shared" si="18"/>
        <v>0</v>
      </c>
      <c r="C234">
        <f t="shared" si="19"/>
        <v>0</v>
      </c>
      <c r="D234">
        <f t="shared" si="20"/>
        <v>0</v>
      </c>
      <c r="E234">
        <f t="shared" si="21"/>
        <v>0</v>
      </c>
    </row>
    <row r="235" spans="1:5">
      <c r="A235">
        <f t="shared" si="17"/>
        <v>0</v>
      </c>
      <c r="B235">
        <f t="shared" si="18"/>
        <v>0</v>
      </c>
      <c r="C235">
        <f t="shared" si="19"/>
        <v>0</v>
      </c>
      <c r="D235">
        <f t="shared" si="20"/>
        <v>0</v>
      </c>
      <c r="E235">
        <f t="shared" si="21"/>
        <v>0</v>
      </c>
    </row>
    <row r="236" spans="1:5">
      <c r="A236">
        <f t="shared" si="17"/>
        <v>0</v>
      </c>
      <c r="B236">
        <f t="shared" si="18"/>
        <v>0</v>
      </c>
      <c r="C236">
        <f t="shared" si="19"/>
        <v>0</v>
      </c>
      <c r="D236">
        <f t="shared" si="20"/>
        <v>0</v>
      </c>
      <c r="E236">
        <f t="shared" si="21"/>
        <v>0</v>
      </c>
    </row>
    <row r="237" spans="1:5">
      <c r="A237">
        <f t="shared" si="17"/>
        <v>0</v>
      </c>
      <c r="B237">
        <f t="shared" si="18"/>
        <v>0</v>
      </c>
      <c r="C237">
        <f t="shared" si="19"/>
        <v>0</v>
      </c>
      <c r="D237">
        <f t="shared" si="20"/>
        <v>0</v>
      </c>
      <c r="E237">
        <f t="shared" si="21"/>
        <v>0</v>
      </c>
    </row>
    <row r="238" spans="1:5">
      <c r="A238">
        <f t="shared" si="17"/>
        <v>0</v>
      </c>
      <c r="B238">
        <f t="shared" si="18"/>
        <v>0</v>
      </c>
      <c r="C238">
        <f t="shared" si="19"/>
        <v>0</v>
      </c>
      <c r="D238">
        <f t="shared" si="20"/>
        <v>0</v>
      </c>
      <c r="E238">
        <f t="shared" si="21"/>
        <v>0</v>
      </c>
    </row>
    <row r="239" spans="1:5">
      <c r="A239">
        <f t="shared" si="17"/>
        <v>0</v>
      </c>
      <c r="B239">
        <f t="shared" si="18"/>
        <v>0</v>
      </c>
      <c r="C239">
        <f t="shared" si="19"/>
        <v>0</v>
      </c>
      <c r="D239">
        <f t="shared" si="20"/>
        <v>0</v>
      </c>
      <c r="E239">
        <f t="shared" si="21"/>
        <v>0</v>
      </c>
    </row>
    <row r="240" spans="1:5">
      <c r="A240">
        <f t="shared" si="17"/>
        <v>0</v>
      </c>
      <c r="B240">
        <f t="shared" si="18"/>
        <v>0</v>
      </c>
      <c r="C240">
        <f t="shared" si="19"/>
        <v>0</v>
      </c>
      <c r="D240">
        <f t="shared" si="20"/>
        <v>0</v>
      </c>
      <c r="E240">
        <f t="shared" si="21"/>
        <v>0</v>
      </c>
    </row>
    <row r="241" spans="1:5">
      <c r="A241">
        <f t="shared" ref="A241:A247" si="22">H241</f>
        <v>0</v>
      </c>
      <c r="B241">
        <f t="shared" ref="B241:B247" si="23">G241</f>
        <v>0</v>
      </c>
      <c r="C241">
        <f t="shared" ref="C241:C247" si="24">I241</f>
        <v>0</v>
      </c>
      <c r="D241">
        <f t="shared" ref="D241:D247" si="25">J241</f>
        <v>0</v>
      </c>
      <c r="E241">
        <f t="shared" ref="E241:E247" si="26">K241</f>
        <v>0</v>
      </c>
    </row>
    <row r="242" spans="1:5">
      <c r="A242">
        <f t="shared" si="22"/>
        <v>0</v>
      </c>
      <c r="B242">
        <f t="shared" si="23"/>
        <v>0</v>
      </c>
      <c r="C242">
        <f t="shared" si="24"/>
        <v>0</v>
      </c>
      <c r="D242">
        <f t="shared" si="25"/>
        <v>0</v>
      </c>
      <c r="E242">
        <f t="shared" si="26"/>
        <v>0</v>
      </c>
    </row>
    <row r="243" spans="1:5">
      <c r="A243">
        <f t="shared" si="22"/>
        <v>0</v>
      </c>
      <c r="B243">
        <f t="shared" si="23"/>
        <v>0</v>
      </c>
      <c r="C243">
        <f t="shared" si="24"/>
        <v>0</v>
      </c>
      <c r="D243">
        <f t="shared" si="25"/>
        <v>0</v>
      </c>
      <c r="E243">
        <f t="shared" si="26"/>
        <v>0</v>
      </c>
    </row>
    <row r="244" spans="1:5">
      <c r="A244">
        <f t="shared" si="22"/>
        <v>0</v>
      </c>
      <c r="B244">
        <f t="shared" si="23"/>
        <v>0</v>
      </c>
      <c r="C244">
        <f t="shared" si="24"/>
        <v>0</v>
      </c>
      <c r="D244">
        <f t="shared" si="25"/>
        <v>0</v>
      </c>
      <c r="E244">
        <f t="shared" si="26"/>
        <v>0</v>
      </c>
    </row>
    <row r="245" spans="1:5">
      <c r="A245">
        <f t="shared" si="22"/>
        <v>0</v>
      </c>
      <c r="B245">
        <f t="shared" si="23"/>
        <v>0</v>
      </c>
      <c r="C245">
        <f t="shared" si="24"/>
        <v>0</v>
      </c>
      <c r="D245">
        <f t="shared" si="25"/>
        <v>0</v>
      </c>
      <c r="E245">
        <f t="shared" si="26"/>
        <v>0</v>
      </c>
    </row>
    <row r="246" spans="1:5" ht="23.25" customHeight="1">
      <c r="A246">
        <f t="shared" si="22"/>
        <v>0</v>
      </c>
      <c r="B246">
        <f t="shared" si="23"/>
        <v>0</v>
      </c>
      <c r="C246">
        <f t="shared" si="24"/>
        <v>0</v>
      </c>
      <c r="D246">
        <f t="shared" si="25"/>
        <v>0</v>
      </c>
      <c r="E246">
        <f t="shared" si="26"/>
        <v>0</v>
      </c>
    </row>
    <row r="247" spans="1:5">
      <c r="A247">
        <f t="shared" si="22"/>
        <v>0</v>
      </c>
      <c r="B247">
        <f t="shared" si="23"/>
        <v>0</v>
      </c>
      <c r="C247">
        <f t="shared" si="24"/>
        <v>0</v>
      </c>
      <c r="D247">
        <f t="shared" si="25"/>
        <v>0</v>
      </c>
      <c r="E247">
        <f t="shared" si="26"/>
        <v>0</v>
      </c>
    </row>
    <row r="248" spans="1:5">
      <c r="A248">
        <f t="shared" ref="A248:A258" si="27">H248</f>
        <v>0</v>
      </c>
      <c r="B248">
        <f t="shared" ref="B248:B258" si="28">G248</f>
        <v>0</v>
      </c>
      <c r="C248">
        <f t="shared" ref="C248:C258" si="29">I248</f>
        <v>0</v>
      </c>
      <c r="D248">
        <f t="shared" ref="D248:D258" si="30">J248</f>
        <v>0</v>
      </c>
      <c r="E248">
        <f t="shared" ref="E248:E258" si="31">K248</f>
        <v>0</v>
      </c>
    </row>
    <row r="249" spans="1:5">
      <c r="A249">
        <f t="shared" si="27"/>
        <v>0</v>
      </c>
      <c r="B249">
        <f t="shared" si="28"/>
        <v>0</v>
      </c>
      <c r="C249">
        <f t="shared" si="29"/>
        <v>0</v>
      </c>
      <c r="D249">
        <f t="shared" si="30"/>
        <v>0</v>
      </c>
      <c r="E249">
        <f t="shared" si="31"/>
        <v>0</v>
      </c>
    </row>
    <row r="250" spans="1:5">
      <c r="A250">
        <f t="shared" si="27"/>
        <v>0</v>
      </c>
      <c r="B250">
        <f t="shared" si="28"/>
        <v>0</v>
      </c>
      <c r="C250">
        <f t="shared" si="29"/>
        <v>0</v>
      </c>
      <c r="D250">
        <f t="shared" si="30"/>
        <v>0</v>
      </c>
      <c r="E250">
        <f t="shared" si="31"/>
        <v>0</v>
      </c>
    </row>
    <row r="251" spans="1:5">
      <c r="A251">
        <f t="shared" si="27"/>
        <v>0</v>
      </c>
      <c r="B251">
        <f t="shared" si="28"/>
        <v>0</v>
      </c>
      <c r="C251">
        <f t="shared" si="29"/>
        <v>0</v>
      </c>
      <c r="D251">
        <f t="shared" si="30"/>
        <v>0</v>
      </c>
      <c r="E251">
        <f t="shared" si="31"/>
        <v>0</v>
      </c>
    </row>
    <row r="252" spans="1:5">
      <c r="A252">
        <f t="shared" si="27"/>
        <v>0</v>
      </c>
      <c r="B252">
        <f t="shared" si="28"/>
        <v>0</v>
      </c>
      <c r="C252">
        <f t="shared" si="29"/>
        <v>0</v>
      </c>
      <c r="D252">
        <f t="shared" si="30"/>
        <v>0</v>
      </c>
      <c r="E252">
        <f t="shared" si="31"/>
        <v>0</v>
      </c>
    </row>
    <row r="253" spans="1:5">
      <c r="A253">
        <f t="shared" si="27"/>
        <v>0</v>
      </c>
      <c r="B253">
        <f t="shared" si="28"/>
        <v>0</v>
      </c>
      <c r="C253">
        <f t="shared" si="29"/>
        <v>0</v>
      </c>
      <c r="D253">
        <f t="shared" si="30"/>
        <v>0</v>
      </c>
      <c r="E253">
        <f t="shared" si="31"/>
        <v>0</v>
      </c>
    </row>
    <row r="254" spans="1:5">
      <c r="A254">
        <f t="shared" si="27"/>
        <v>0</v>
      </c>
      <c r="B254">
        <f t="shared" si="28"/>
        <v>0</v>
      </c>
      <c r="C254">
        <f t="shared" si="29"/>
        <v>0</v>
      </c>
      <c r="D254">
        <f t="shared" si="30"/>
        <v>0</v>
      </c>
      <c r="E254">
        <f t="shared" si="31"/>
        <v>0</v>
      </c>
    </row>
    <row r="255" spans="1:5">
      <c r="A255">
        <f t="shared" si="27"/>
        <v>0</v>
      </c>
      <c r="B255">
        <f t="shared" si="28"/>
        <v>0</v>
      </c>
      <c r="C255">
        <f t="shared" si="29"/>
        <v>0</v>
      </c>
      <c r="D255">
        <f t="shared" si="30"/>
        <v>0</v>
      </c>
      <c r="E255">
        <f t="shared" si="31"/>
        <v>0</v>
      </c>
    </row>
    <row r="256" spans="1:5">
      <c r="A256">
        <f t="shared" si="27"/>
        <v>0</v>
      </c>
      <c r="B256">
        <f t="shared" si="28"/>
        <v>0</v>
      </c>
      <c r="C256">
        <f t="shared" si="29"/>
        <v>0</v>
      </c>
      <c r="D256">
        <f t="shared" si="30"/>
        <v>0</v>
      </c>
      <c r="E256">
        <f t="shared" si="31"/>
        <v>0</v>
      </c>
    </row>
    <row r="257" spans="1:5">
      <c r="A257">
        <f t="shared" si="27"/>
        <v>0</v>
      </c>
      <c r="B257">
        <f t="shared" si="28"/>
        <v>0</v>
      </c>
      <c r="C257">
        <f t="shared" si="29"/>
        <v>0</v>
      </c>
      <c r="D257">
        <f t="shared" si="30"/>
        <v>0</v>
      </c>
      <c r="E257">
        <f t="shared" si="31"/>
        <v>0</v>
      </c>
    </row>
    <row r="258" spans="1:5">
      <c r="A258">
        <f t="shared" si="27"/>
        <v>0</v>
      </c>
      <c r="B258">
        <f t="shared" si="28"/>
        <v>0</v>
      </c>
      <c r="C258">
        <f t="shared" si="29"/>
        <v>0</v>
      </c>
      <c r="D258">
        <f t="shared" si="30"/>
        <v>0</v>
      </c>
      <c r="E258">
        <f t="shared" si="31"/>
        <v>0</v>
      </c>
    </row>
    <row r="320" ht="23.25" customHeight="1"/>
  </sheetData>
  <autoFilter ref="A1:E1" xr:uid="{AB4FD83E-F4FB-4F25-A6B5-256C3AB3B60B}"/>
  <mergeCells count="1">
    <mergeCell ref="G1:K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1EC51-E90B-43EB-82F9-83720C6A6214}">
  <sheetPr codeName="Sheet24">
    <tabColor theme="9" tint="-0.499984740745262"/>
  </sheetPr>
  <dimension ref="A1:O246"/>
  <sheetViews>
    <sheetView topLeftCell="A147" workbookViewId="0">
      <selection activeCell="I185" sqref="I185:O187"/>
    </sheetView>
  </sheetViews>
  <sheetFormatPr defaultRowHeight="15"/>
  <cols>
    <col min="1" max="1" width="23.140625" bestFit="1" customWidth="1"/>
    <col min="3" max="3" width="12.140625" bestFit="1" customWidth="1"/>
    <col min="5" max="5" width="13.85546875" style="16" bestFit="1" customWidth="1"/>
    <col min="6" max="6" width="9.140625" style="16"/>
    <col min="10" max="10" width="23.28515625" bestFit="1" customWidth="1"/>
    <col min="18" max="18" width="24" bestFit="1" customWidth="1"/>
    <col min="19" max="19" width="15.7109375" customWidth="1"/>
  </cols>
  <sheetData>
    <row r="1" spans="1:15">
      <c r="A1" s="36" t="s">
        <v>0</v>
      </c>
      <c r="B1" s="37" t="s">
        <v>251</v>
      </c>
      <c r="C1" s="1" t="s">
        <v>252</v>
      </c>
      <c r="D1" s="1" t="s">
        <v>209</v>
      </c>
      <c r="E1" s="1" t="s">
        <v>253</v>
      </c>
      <c r="F1" s="175" t="s">
        <v>254</v>
      </c>
      <c r="I1" s="403" t="s">
        <v>255</v>
      </c>
      <c r="J1" s="403"/>
      <c r="K1" s="403"/>
      <c r="L1" s="403"/>
      <c r="M1" s="403"/>
      <c r="N1" s="403"/>
      <c r="O1" s="403"/>
    </row>
    <row r="2" spans="1:15">
      <c r="A2" t="str">
        <f>J2</f>
        <v>Scottie Scheffler</v>
      </c>
      <c r="B2" s="38">
        <f>K2</f>
        <v>2.8119999999999998</v>
      </c>
      <c r="C2" s="16">
        <f>I2</f>
        <v>1</v>
      </c>
      <c r="D2" s="38">
        <f>VLOOKUP(A2,'SGT-5'!$A:$B,2,FALSE)</f>
        <v>2.032</v>
      </c>
      <c r="E2" s="16">
        <f>VLOOKUP(A2,'SGT-5'!$A:$C,3,FALSE)</f>
        <v>2</v>
      </c>
      <c r="F2" s="16">
        <f>E2-C2</f>
        <v>1</v>
      </c>
      <c r="I2">
        <v>1</v>
      </c>
      <c r="J2" t="s">
        <v>35</v>
      </c>
      <c r="K2">
        <v>2.8119999999999998</v>
      </c>
      <c r="L2">
        <v>73.117000000000004</v>
      </c>
      <c r="M2">
        <v>72.759</v>
      </c>
      <c r="N2">
        <v>0.35799999999999998</v>
      </c>
      <c r="O2">
        <v>26</v>
      </c>
    </row>
    <row r="3" spans="1:15">
      <c r="A3" t="str">
        <f t="shared" ref="A3:B66" si="0">J3</f>
        <v>Xander Schauffele</v>
      </c>
      <c r="B3" s="38">
        <f t="shared" si="0"/>
        <v>1.9339999999999999</v>
      </c>
      <c r="C3" s="16">
        <f t="shared" ref="C3:C66" si="1">I3</f>
        <v>2</v>
      </c>
      <c r="D3" s="38">
        <f>VLOOKUP(A3,'SGT-5'!$A:$B,2,FALSE)</f>
        <v>1.63</v>
      </c>
      <c r="E3" s="16">
        <f>VLOOKUP(A3,'SGT-5'!$A:$C,3,FALSE)</f>
        <v>5</v>
      </c>
      <c r="F3" s="16">
        <f t="shared" ref="F3:F66" si="2">E3-C3</f>
        <v>3</v>
      </c>
      <c r="I3">
        <v>2</v>
      </c>
      <c r="J3" t="s">
        <v>73</v>
      </c>
      <c r="K3">
        <v>1.9339999999999999</v>
      </c>
      <c r="L3">
        <v>48.35</v>
      </c>
      <c r="M3">
        <v>45.426000000000002</v>
      </c>
      <c r="N3">
        <v>2.923</v>
      </c>
      <c r="O3">
        <v>25</v>
      </c>
    </row>
    <row r="4" spans="1:15">
      <c r="A4" t="str">
        <f t="shared" si="0"/>
        <v>Wyndham Clark</v>
      </c>
      <c r="B4" s="38">
        <f t="shared" si="0"/>
        <v>1.726</v>
      </c>
      <c r="C4" s="16">
        <f t="shared" si="1"/>
        <v>3</v>
      </c>
      <c r="D4" s="38">
        <f>VLOOKUP(A4,'SGT-5'!$A:$B,2,FALSE)</f>
        <v>0.81399999999999995</v>
      </c>
      <c r="E4" s="16">
        <f>VLOOKUP(A4,'SGT-5'!$A:$C,3,FALSE)</f>
        <v>32</v>
      </c>
      <c r="F4" s="16">
        <f t="shared" si="2"/>
        <v>29</v>
      </c>
      <c r="I4">
        <v>3</v>
      </c>
      <c r="J4" t="s">
        <v>18</v>
      </c>
      <c r="K4">
        <v>1.726</v>
      </c>
      <c r="L4">
        <v>41.43</v>
      </c>
      <c r="M4">
        <v>26.158999999999999</v>
      </c>
      <c r="N4">
        <v>15.272</v>
      </c>
      <c r="O4">
        <v>24</v>
      </c>
    </row>
    <row r="5" spans="1:15">
      <c r="A5" t="str">
        <f t="shared" si="0"/>
        <v>Akshay Bhatia</v>
      </c>
      <c r="B5" s="38">
        <f t="shared" si="0"/>
        <v>1.522</v>
      </c>
      <c r="C5" s="16">
        <f t="shared" si="1"/>
        <v>4</v>
      </c>
      <c r="D5" s="38">
        <f>VLOOKUP(A5,'SGT-5'!$A:$B,2,FALSE)</f>
        <v>0.57599999999999996</v>
      </c>
      <c r="E5" s="16">
        <f>VLOOKUP(A5,'SGT-5'!$A:$C,3,FALSE)</f>
        <v>50</v>
      </c>
      <c r="F5" s="16">
        <f t="shared" si="2"/>
        <v>46</v>
      </c>
      <c r="I5">
        <v>4</v>
      </c>
      <c r="J5" t="s">
        <v>370</v>
      </c>
      <c r="K5">
        <v>1.522</v>
      </c>
      <c r="L5">
        <v>44.136000000000003</v>
      </c>
      <c r="M5">
        <v>34.427</v>
      </c>
      <c r="N5">
        <v>9.7059999999999995</v>
      </c>
      <c r="O5">
        <v>29</v>
      </c>
    </row>
    <row r="6" spans="1:15">
      <c r="A6" t="str">
        <f t="shared" si="0"/>
        <v>Sahith Theegala</v>
      </c>
      <c r="B6" s="38">
        <f t="shared" si="0"/>
        <v>1.4219999999999999</v>
      </c>
      <c r="C6" s="16">
        <f t="shared" si="1"/>
        <v>5</v>
      </c>
      <c r="D6" s="38">
        <f>VLOOKUP(A6,'SGT-5'!$A:$B,2,FALSE)</f>
        <v>1.18</v>
      </c>
      <c r="E6" s="16">
        <f>VLOOKUP(A6,'SGT-5'!$A:$C,3,FALSE)</f>
        <v>17</v>
      </c>
      <c r="F6" s="16">
        <f t="shared" si="2"/>
        <v>12</v>
      </c>
      <c r="I6">
        <v>5</v>
      </c>
      <c r="J6" t="s">
        <v>64</v>
      </c>
      <c r="K6">
        <v>1.4219999999999999</v>
      </c>
      <c r="L6">
        <v>44.082000000000001</v>
      </c>
      <c r="M6">
        <v>23.753</v>
      </c>
      <c r="N6">
        <v>20.327999999999999</v>
      </c>
      <c r="O6">
        <v>31</v>
      </c>
    </row>
    <row r="7" spans="1:15">
      <c r="A7" t="str">
        <f t="shared" si="0"/>
        <v>Matthieu Pavon</v>
      </c>
      <c r="B7" s="38">
        <f t="shared" si="0"/>
        <v>1.3859999999999999</v>
      </c>
      <c r="C7" s="16">
        <f t="shared" si="1"/>
        <v>6</v>
      </c>
      <c r="D7" s="38">
        <f>VLOOKUP(A7,'SGT-5'!$A:$B,2,FALSE)</f>
        <v>2.6219999999999999</v>
      </c>
      <c r="E7" s="16">
        <f>VLOOKUP(A7,'SGT-5'!$A:$C,3,FALSE)</f>
        <v>1</v>
      </c>
      <c r="F7" s="16">
        <f t="shared" si="2"/>
        <v>-5</v>
      </c>
      <c r="I7">
        <v>6</v>
      </c>
      <c r="J7" t="s">
        <v>487</v>
      </c>
      <c r="K7">
        <v>1.3859999999999999</v>
      </c>
      <c r="L7">
        <v>26.326000000000001</v>
      </c>
      <c r="M7">
        <v>11.637</v>
      </c>
      <c r="N7">
        <v>14.69</v>
      </c>
      <c r="O7">
        <v>19</v>
      </c>
    </row>
    <row r="8" spans="1:15">
      <c r="A8" t="str">
        <f t="shared" si="0"/>
        <v>Shane Lowry</v>
      </c>
      <c r="B8" s="38">
        <f t="shared" si="0"/>
        <v>1.323</v>
      </c>
      <c r="C8" s="16">
        <f t="shared" si="1"/>
        <v>7</v>
      </c>
      <c r="D8" s="38">
        <f>VLOOKUP(A8,'SGT-5'!$A:$B,2,FALSE)</f>
        <v>0.77500000000000002</v>
      </c>
      <c r="E8" s="16">
        <f>VLOOKUP(A8,'SGT-5'!$A:$C,3,FALSE)</f>
        <v>38</v>
      </c>
      <c r="F8" s="16">
        <f t="shared" si="2"/>
        <v>31</v>
      </c>
      <c r="I8">
        <v>7</v>
      </c>
      <c r="J8" t="s">
        <v>74</v>
      </c>
      <c r="K8">
        <v>1.323</v>
      </c>
      <c r="L8">
        <v>25.141999999999999</v>
      </c>
      <c r="M8">
        <v>25.376000000000001</v>
      </c>
      <c r="N8">
        <v>-0.23300000000000001</v>
      </c>
      <c r="O8">
        <v>19</v>
      </c>
    </row>
    <row r="9" spans="1:15">
      <c r="A9" t="str">
        <f t="shared" si="0"/>
        <v>Jordan Spieth</v>
      </c>
      <c r="B9" s="38">
        <f t="shared" si="0"/>
        <v>1.2030000000000001</v>
      </c>
      <c r="C9" s="16">
        <f t="shared" si="1"/>
        <v>8</v>
      </c>
      <c r="D9" s="38">
        <f>VLOOKUP(A9,'SGT-5'!$A:$B,2,FALSE)</f>
        <v>2.0310000000000001</v>
      </c>
      <c r="E9" s="16">
        <f>VLOOKUP(A9,'SGT-5'!$A:$C,3,FALSE)</f>
        <v>3</v>
      </c>
      <c r="F9" s="16">
        <f t="shared" si="2"/>
        <v>-5</v>
      </c>
      <c r="I9">
        <v>8</v>
      </c>
      <c r="J9" t="s">
        <v>76</v>
      </c>
      <c r="K9">
        <v>1.2030000000000001</v>
      </c>
      <c r="L9">
        <v>27.661999999999999</v>
      </c>
      <c r="M9">
        <v>12.180999999999999</v>
      </c>
      <c r="N9">
        <v>15.48</v>
      </c>
      <c r="O9">
        <v>23</v>
      </c>
    </row>
    <row r="10" spans="1:15">
      <c r="A10" t="str">
        <f t="shared" si="0"/>
        <v>Alex Noren</v>
      </c>
      <c r="B10" s="38">
        <f t="shared" si="0"/>
        <v>1.194</v>
      </c>
      <c r="C10" s="16">
        <f t="shared" si="1"/>
        <v>9</v>
      </c>
      <c r="D10" s="38">
        <f>VLOOKUP(A10,'SGT-5'!$A:$B,2,FALSE)</f>
        <v>0.69399999999999995</v>
      </c>
      <c r="E10" s="16">
        <f>VLOOKUP(A10,'SGT-5'!$A:$C,3,FALSE)</f>
        <v>44</v>
      </c>
      <c r="F10" s="16">
        <f t="shared" si="2"/>
        <v>35</v>
      </c>
      <c r="I10">
        <v>9</v>
      </c>
      <c r="J10" t="s">
        <v>95</v>
      </c>
      <c r="K10">
        <v>1.194</v>
      </c>
      <c r="L10">
        <v>31.039000000000001</v>
      </c>
      <c r="M10">
        <v>26.184999999999999</v>
      </c>
      <c r="N10">
        <v>4.8550000000000004</v>
      </c>
      <c r="O10">
        <v>26</v>
      </c>
    </row>
    <row r="11" spans="1:15">
      <c r="A11" t="str">
        <f t="shared" si="0"/>
        <v>Billy Horschel</v>
      </c>
      <c r="B11" s="38">
        <f t="shared" si="0"/>
        <v>1.171</v>
      </c>
      <c r="C11" s="16">
        <f t="shared" si="1"/>
        <v>10</v>
      </c>
      <c r="D11" s="38">
        <f>VLOOKUP(A11,'SGT-5'!$A:$B,2,FALSE)</f>
        <v>1.2210000000000001</v>
      </c>
      <c r="E11" s="16">
        <f>VLOOKUP(A11,'SGT-5'!$A:$C,3,FALSE)</f>
        <v>14</v>
      </c>
      <c r="F11" s="16">
        <f t="shared" si="2"/>
        <v>4</v>
      </c>
      <c r="I11">
        <v>10</v>
      </c>
      <c r="J11" t="s">
        <v>115</v>
      </c>
      <c r="K11">
        <v>1.171</v>
      </c>
      <c r="L11">
        <v>29.263000000000002</v>
      </c>
      <c r="M11">
        <v>14.815</v>
      </c>
      <c r="N11">
        <v>14.446999999999999</v>
      </c>
      <c r="O11">
        <v>25</v>
      </c>
    </row>
    <row r="12" spans="1:15">
      <c r="A12" t="str">
        <f t="shared" si="0"/>
        <v>Hideki Matsuyama</v>
      </c>
      <c r="B12" s="38">
        <f t="shared" si="0"/>
        <v>1.1399999999999999</v>
      </c>
      <c r="C12" s="16">
        <f t="shared" si="1"/>
        <v>11</v>
      </c>
      <c r="D12" s="38">
        <f>VLOOKUP(A12,'SGT-5'!$A:$B,2,FALSE)</f>
        <v>0.56399999999999995</v>
      </c>
      <c r="E12" s="16">
        <f>VLOOKUP(A12,'SGT-5'!$A:$C,3,FALSE)</f>
        <v>53</v>
      </c>
      <c r="F12" s="16">
        <f t="shared" si="2"/>
        <v>42</v>
      </c>
      <c r="I12">
        <v>11</v>
      </c>
      <c r="J12" t="s">
        <v>129</v>
      </c>
      <c r="K12">
        <v>1.1399999999999999</v>
      </c>
      <c r="L12">
        <v>37.613</v>
      </c>
      <c r="M12">
        <v>50.648000000000003</v>
      </c>
      <c r="N12">
        <v>-13.035</v>
      </c>
      <c r="O12">
        <v>33</v>
      </c>
    </row>
    <row r="13" spans="1:15">
      <c r="A13" t="str">
        <f t="shared" si="0"/>
        <v>Ludvig Åberg</v>
      </c>
      <c r="B13" s="38">
        <f t="shared" si="0"/>
        <v>1.1160000000000001</v>
      </c>
      <c r="C13" s="16">
        <f t="shared" si="1"/>
        <v>12</v>
      </c>
      <c r="D13" s="38">
        <f>VLOOKUP(A13,'SGT-5'!$A:$B,2,FALSE)</f>
        <v>0.79900000000000004</v>
      </c>
      <c r="E13" s="16">
        <f>VLOOKUP(A13,'SGT-5'!$A:$C,3,FALSE)</f>
        <v>34</v>
      </c>
      <c r="F13" s="16">
        <f t="shared" si="2"/>
        <v>22</v>
      </c>
      <c r="I13">
        <v>12</v>
      </c>
      <c r="J13" t="s">
        <v>439</v>
      </c>
      <c r="K13">
        <v>1.1160000000000001</v>
      </c>
      <c r="L13">
        <v>32.354999999999997</v>
      </c>
      <c r="M13">
        <v>28.251999999999999</v>
      </c>
      <c r="N13">
        <v>4.1020000000000003</v>
      </c>
      <c r="O13">
        <v>29</v>
      </c>
    </row>
    <row r="14" spans="1:15">
      <c r="A14" t="str">
        <f t="shared" si="0"/>
        <v>Si Woo Kim</v>
      </c>
      <c r="B14" s="38">
        <f t="shared" si="0"/>
        <v>1.083</v>
      </c>
      <c r="C14" s="16">
        <f t="shared" si="1"/>
        <v>13</v>
      </c>
      <c r="D14" s="38">
        <f>VLOOKUP(A14,'SGT-5'!$A:$B,2,FALSE)</f>
        <v>0.71299999999999997</v>
      </c>
      <c r="E14" s="16">
        <f>VLOOKUP(A14,'SGT-5'!$A:$C,3,FALSE)</f>
        <v>43</v>
      </c>
      <c r="F14" s="16">
        <f t="shared" si="2"/>
        <v>30</v>
      </c>
      <c r="I14">
        <v>13</v>
      </c>
      <c r="J14" t="s">
        <v>128</v>
      </c>
      <c r="K14">
        <v>1.083</v>
      </c>
      <c r="L14">
        <v>32.493000000000002</v>
      </c>
      <c r="M14">
        <v>43.003</v>
      </c>
      <c r="N14">
        <v>-10.51</v>
      </c>
      <c r="O14">
        <v>30</v>
      </c>
    </row>
    <row r="15" spans="1:15">
      <c r="A15" t="str">
        <f t="shared" si="0"/>
        <v>Rory McIlroy</v>
      </c>
      <c r="B15" s="38">
        <f t="shared" si="0"/>
        <v>1.052</v>
      </c>
      <c r="C15" s="16">
        <f t="shared" si="1"/>
        <v>14</v>
      </c>
      <c r="D15" s="38">
        <f>VLOOKUP(A15,'SGT-5'!$A:$B,2,FALSE)</f>
        <v>0.23599999999999999</v>
      </c>
      <c r="E15" s="16">
        <f>VLOOKUP(A15,'SGT-5'!$A:$C,3,FALSE)</f>
        <v>84</v>
      </c>
      <c r="F15" s="16">
        <f t="shared" si="2"/>
        <v>70</v>
      </c>
      <c r="I15">
        <v>14</v>
      </c>
      <c r="J15" t="s">
        <v>6</v>
      </c>
      <c r="K15">
        <v>1.052</v>
      </c>
      <c r="L15">
        <v>23.132999999999999</v>
      </c>
      <c r="M15">
        <v>20.518000000000001</v>
      </c>
      <c r="N15">
        <v>2.6160000000000001</v>
      </c>
      <c r="O15">
        <v>22</v>
      </c>
    </row>
    <row r="16" spans="1:15">
      <c r="A16" t="str">
        <f t="shared" si="0"/>
        <v>Stephan Jaeger</v>
      </c>
      <c r="B16" s="38">
        <f t="shared" si="0"/>
        <v>1.014</v>
      </c>
      <c r="C16" s="16">
        <f t="shared" si="1"/>
        <v>15</v>
      </c>
      <c r="D16" s="38">
        <f>VLOOKUP(A16,'SGT-5'!$A:$B,2,FALSE)</f>
        <v>1.004</v>
      </c>
      <c r="E16" s="16">
        <f>VLOOKUP(A16,'SGT-5'!$A:$C,3,FALSE)</f>
        <v>22</v>
      </c>
      <c r="F16" s="16">
        <f t="shared" si="2"/>
        <v>7</v>
      </c>
      <c r="I16">
        <v>15</v>
      </c>
      <c r="J16" t="s">
        <v>52</v>
      </c>
      <c r="K16">
        <v>1.014</v>
      </c>
      <c r="L16">
        <v>25.338000000000001</v>
      </c>
      <c r="M16">
        <v>21.154</v>
      </c>
      <c r="N16">
        <v>4.1840000000000002</v>
      </c>
      <c r="O16">
        <v>25</v>
      </c>
    </row>
    <row r="17" spans="1:15">
      <c r="A17" t="str">
        <f t="shared" si="0"/>
        <v>Doug Ghim</v>
      </c>
      <c r="B17" s="38">
        <f t="shared" si="0"/>
        <v>0.999</v>
      </c>
      <c r="C17" s="16">
        <f t="shared" si="1"/>
        <v>16</v>
      </c>
      <c r="D17" s="38">
        <f>VLOOKUP(A17,'SGT-5'!$A:$B,2,FALSE)</f>
        <v>1.556</v>
      </c>
      <c r="E17" s="16">
        <f>VLOOKUP(A17,'SGT-5'!$A:$C,3,FALSE)</f>
        <v>6</v>
      </c>
      <c r="F17" s="16">
        <f t="shared" si="2"/>
        <v>-10</v>
      </c>
      <c r="I17">
        <v>16</v>
      </c>
      <c r="J17" t="s">
        <v>121</v>
      </c>
      <c r="K17">
        <v>0.999</v>
      </c>
      <c r="L17">
        <v>28.97</v>
      </c>
      <c r="M17">
        <v>25.748999999999999</v>
      </c>
      <c r="N17">
        <v>3.2189999999999999</v>
      </c>
      <c r="O17">
        <v>29</v>
      </c>
    </row>
    <row r="18" spans="1:15">
      <c r="A18" t="str">
        <f t="shared" si="0"/>
        <v>Maverick McNealy</v>
      </c>
      <c r="B18" s="38">
        <f t="shared" si="0"/>
        <v>0.96299999999999997</v>
      </c>
      <c r="C18" s="16">
        <f t="shared" si="1"/>
        <v>17</v>
      </c>
      <c r="D18" s="38">
        <f>VLOOKUP(A18,'SGT-5'!$A:$B,2,FALSE)</f>
        <v>0.90200000000000002</v>
      </c>
      <c r="E18" s="16">
        <f>VLOOKUP(A18,'SGT-5'!$A:$C,3,FALSE)</f>
        <v>27</v>
      </c>
      <c r="F18" s="16">
        <f t="shared" si="2"/>
        <v>10</v>
      </c>
      <c r="I18">
        <v>17</v>
      </c>
      <c r="J18" t="s">
        <v>98</v>
      </c>
      <c r="K18">
        <v>0.96299999999999997</v>
      </c>
      <c r="L18">
        <v>31.773</v>
      </c>
      <c r="M18">
        <v>19.128</v>
      </c>
      <c r="N18">
        <v>12.644</v>
      </c>
      <c r="O18">
        <v>33</v>
      </c>
    </row>
    <row r="19" spans="1:15">
      <c r="A19" t="str">
        <f t="shared" si="0"/>
        <v>Christiaan Bezuidenhout</v>
      </c>
      <c r="B19" s="38">
        <f t="shared" si="0"/>
        <v>0.95799999999999996</v>
      </c>
      <c r="C19" s="16">
        <f t="shared" si="1"/>
        <v>18</v>
      </c>
      <c r="D19" s="38">
        <f>VLOOKUP(A19,'SGT-5'!$A:$B,2,FALSE)</f>
        <v>0.57499999999999996</v>
      </c>
      <c r="E19" s="16">
        <f>VLOOKUP(A19,'SGT-5'!$A:$C,3,FALSE)</f>
        <v>51</v>
      </c>
      <c r="F19" s="16">
        <f t="shared" si="2"/>
        <v>33</v>
      </c>
      <c r="I19">
        <v>18</v>
      </c>
      <c r="J19" t="s">
        <v>165</v>
      </c>
      <c r="K19">
        <v>0.95799999999999996</v>
      </c>
      <c r="L19">
        <v>27.79</v>
      </c>
      <c r="M19">
        <v>10.074999999999999</v>
      </c>
      <c r="N19">
        <v>17.715</v>
      </c>
      <c r="O19">
        <v>29</v>
      </c>
    </row>
    <row r="20" spans="1:15">
      <c r="A20" t="str">
        <f t="shared" si="0"/>
        <v>Tom Hoge</v>
      </c>
      <c r="B20" s="38">
        <f t="shared" si="0"/>
        <v>0.95499999999999996</v>
      </c>
      <c r="C20" s="16">
        <f t="shared" si="1"/>
        <v>19</v>
      </c>
      <c r="D20" s="38">
        <f>VLOOKUP(A20,'SGT-5'!$A:$B,2,FALSE)</f>
        <v>0.94699999999999995</v>
      </c>
      <c r="E20" s="16">
        <f>VLOOKUP(A20,'SGT-5'!$A:$C,3,FALSE)</f>
        <v>25</v>
      </c>
      <c r="F20" s="16">
        <f t="shared" si="2"/>
        <v>6</v>
      </c>
      <c r="I20">
        <v>19</v>
      </c>
      <c r="J20" t="s">
        <v>139</v>
      </c>
      <c r="K20">
        <v>0.95499999999999996</v>
      </c>
      <c r="L20">
        <v>33.436999999999998</v>
      </c>
      <c r="M20">
        <v>18.178999999999998</v>
      </c>
      <c r="N20">
        <v>15.257999999999999</v>
      </c>
      <c r="O20">
        <v>35</v>
      </c>
    </row>
    <row r="21" spans="1:15">
      <c r="A21" t="str">
        <f t="shared" si="0"/>
        <v>Brian Harman</v>
      </c>
      <c r="B21" s="38">
        <f t="shared" si="0"/>
        <v>0.93500000000000005</v>
      </c>
      <c r="C21" s="16">
        <f t="shared" si="1"/>
        <v>20</v>
      </c>
      <c r="D21" s="38">
        <f>VLOOKUP(A21,'SGT-5'!$A:$B,2,FALSE)</f>
        <v>0.28899999999999998</v>
      </c>
      <c r="E21" s="16">
        <f>VLOOKUP(A21,'SGT-5'!$A:$C,3,FALSE)</f>
        <v>76</v>
      </c>
      <c r="F21" s="16">
        <f t="shared" si="2"/>
        <v>56</v>
      </c>
      <c r="I21">
        <v>20</v>
      </c>
      <c r="J21" t="s">
        <v>154</v>
      </c>
      <c r="K21">
        <v>0.93500000000000005</v>
      </c>
      <c r="L21">
        <v>29.91</v>
      </c>
      <c r="M21">
        <v>9.8970000000000002</v>
      </c>
      <c r="N21">
        <v>20.012</v>
      </c>
      <c r="O21">
        <v>32</v>
      </c>
    </row>
    <row r="22" spans="1:15">
      <c r="A22" t="str">
        <f t="shared" si="0"/>
        <v>Russell Henley</v>
      </c>
      <c r="B22" s="38">
        <f t="shared" si="0"/>
        <v>0.878</v>
      </c>
      <c r="C22" s="16">
        <f t="shared" si="1"/>
        <v>21</v>
      </c>
      <c r="D22" s="38">
        <f>VLOOKUP(A22,'SGT-5'!$A:$B,2,FALSE)</f>
        <v>0.4</v>
      </c>
      <c r="E22" s="16">
        <f>VLOOKUP(A22,'SGT-5'!$A:$C,3,FALSE)</f>
        <v>67</v>
      </c>
      <c r="F22" s="16">
        <f t="shared" si="2"/>
        <v>46</v>
      </c>
      <c r="I22">
        <v>21</v>
      </c>
      <c r="J22" t="s">
        <v>166</v>
      </c>
      <c r="K22">
        <v>0.878</v>
      </c>
      <c r="L22">
        <v>24.584</v>
      </c>
      <c r="M22">
        <v>12.695</v>
      </c>
      <c r="N22">
        <v>11.888</v>
      </c>
      <c r="O22">
        <v>28</v>
      </c>
    </row>
    <row r="23" spans="1:15">
      <c r="A23" t="str">
        <f t="shared" si="0"/>
        <v>Sam Burns</v>
      </c>
      <c r="B23" s="38">
        <f t="shared" si="0"/>
        <v>0.875</v>
      </c>
      <c r="C23" s="16">
        <f t="shared" si="1"/>
        <v>22</v>
      </c>
      <c r="D23" s="38">
        <f>VLOOKUP(A23,'SGT-5'!$A:$B,2,FALSE)</f>
        <v>1.389</v>
      </c>
      <c r="E23" s="16">
        <f>VLOOKUP(A23,'SGT-5'!$A:$C,3,FALSE)</f>
        <v>10</v>
      </c>
      <c r="F23" s="16">
        <f t="shared" si="2"/>
        <v>-12</v>
      </c>
      <c r="I23">
        <v>22</v>
      </c>
      <c r="J23" t="s">
        <v>27</v>
      </c>
      <c r="K23">
        <v>0.875</v>
      </c>
      <c r="L23">
        <v>21.004999999999999</v>
      </c>
      <c r="M23">
        <v>8.0050000000000008</v>
      </c>
      <c r="N23">
        <v>13</v>
      </c>
      <c r="O23">
        <v>24</v>
      </c>
    </row>
    <row r="24" spans="1:15">
      <c r="A24" t="str">
        <f t="shared" si="0"/>
        <v>Keith Mitchell</v>
      </c>
      <c r="B24" s="38">
        <f t="shared" si="0"/>
        <v>0.86499999999999999</v>
      </c>
      <c r="C24" s="16">
        <f t="shared" si="1"/>
        <v>23</v>
      </c>
      <c r="D24" s="38">
        <f>VLOOKUP(A24,'SGT-5'!$A:$B,2,FALSE)</f>
        <v>1.2589999999999999</v>
      </c>
      <c r="E24" s="16">
        <f>VLOOKUP(A24,'SGT-5'!$A:$C,3,FALSE)</f>
        <v>12</v>
      </c>
      <c r="F24" s="16">
        <f t="shared" si="2"/>
        <v>-11</v>
      </c>
      <c r="I24">
        <v>23</v>
      </c>
      <c r="J24" t="s">
        <v>14</v>
      </c>
      <c r="K24">
        <v>0.86499999999999999</v>
      </c>
      <c r="L24">
        <v>28.538</v>
      </c>
      <c r="M24">
        <v>40.36</v>
      </c>
      <c r="N24">
        <v>-11.823</v>
      </c>
      <c r="O24">
        <v>33</v>
      </c>
    </row>
    <row r="25" spans="1:15">
      <c r="A25" t="str">
        <f t="shared" si="0"/>
        <v>Erik van Rooyen</v>
      </c>
      <c r="B25" s="38">
        <f t="shared" si="0"/>
        <v>0.85599999999999998</v>
      </c>
      <c r="C25" s="16">
        <f t="shared" si="1"/>
        <v>24</v>
      </c>
      <c r="D25" s="38">
        <f>VLOOKUP(A25,'SGT-5'!$A:$B,2,FALSE)</f>
        <v>1.1839999999999999</v>
      </c>
      <c r="E25" s="16">
        <f>VLOOKUP(A25,'SGT-5'!$A:$C,3,FALSE)</f>
        <v>16</v>
      </c>
      <c r="F25" s="16">
        <f t="shared" si="2"/>
        <v>-8</v>
      </c>
      <c r="I25">
        <v>24</v>
      </c>
      <c r="J25" t="s">
        <v>65</v>
      </c>
      <c r="K25">
        <v>0.85599999999999998</v>
      </c>
      <c r="L25">
        <v>23.974</v>
      </c>
      <c r="M25">
        <v>12.755000000000001</v>
      </c>
      <c r="N25">
        <v>11.218</v>
      </c>
      <c r="O25">
        <v>28</v>
      </c>
    </row>
    <row r="26" spans="1:15">
      <c r="A26" t="str">
        <f t="shared" si="0"/>
        <v>Chris Kirk</v>
      </c>
      <c r="B26" s="38">
        <f t="shared" si="0"/>
        <v>0.85399999999999998</v>
      </c>
      <c r="C26" s="16">
        <f t="shared" si="1"/>
        <v>25</v>
      </c>
      <c r="D26" s="38">
        <f>VLOOKUP(A26,'SGT-5'!$A:$B,2,FALSE)</f>
        <v>1.0549999999999999</v>
      </c>
      <c r="E26" s="16">
        <f>VLOOKUP(A26,'SGT-5'!$A:$C,3,FALSE)</f>
        <v>21</v>
      </c>
      <c r="F26" s="16">
        <f t="shared" si="2"/>
        <v>-4</v>
      </c>
      <c r="I26">
        <v>25</v>
      </c>
      <c r="J26" t="s">
        <v>132</v>
      </c>
      <c r="K26">
        <v>0.85399999999999998</v>
      </c>
      <c r="L26">
        <v>20.501999999999999</v>
      </c>
      <c r="M26">
        <v>30.201000000000001</v>
      </c>
      <c r="N26">
        <v>-9.6980000000000004</v>
      </c>
      <c r="O26">
        <v>24</v>
      </c>
    </row>
    <row r="27" spans="1:15">
      <c r="A27" t="str">
        <f t="shared" si="0"/>
        <v>Austin Eckroat</v>
      </c>
      <c r="B27" s="38">
        <f t="shared" si="0"/>
        <v>0.83799999999999997</v>
      </c>
      <c r="C27" s="16">
        <f t="shared" si="1"/>
        <v>26</v>
      </c>
      <c r="D27" s="38">
        <f>VLOOKUP(A27,'SGT-5'!$A:$B,2,FALSE)</f>
        <v>1.1479999999999999</v>
      </c>
      <c r="E27" s="16">
        <f>VLOOKUP(A27,'SGT-5'!$A:$C,3,FALSE)</f>
        <v>18</v>
      </c>
      <c r="F27" s="16">
        <f t="shared" si="2"/>
        <v>-8</v>
      </c>
      <c r="I27">
        <v>26</v>
      </c>
      <c r="J27" t="s">
        <v>88</v>
      </c>
      <c r="K27">
        <v>0.83799999999999997</v>
      </c>
      <c r="L27">
        <v>24.289000000000001</v>
      </c>
      <c r="M27">
        <v>29.370999999999999</v>
      </c>
      <c r="N27">
        <v>-5.0819999999999999</v>
      </c>
      <c r="O27">
        <v>29</v>
      </c>
    </row>
    <row r="28" spans="1:15">
      <c r="A28" t="str">
        <f t="shared" si="0"/>
        <v>Denny McCarthy</v>
      </c>
      <c r="B28" s="38">
        <f t="shared" si="0"/>
        <v>0.82799999999999996</v>
      </c>
      <c r="C28" s="16">
        <f t="shared" si="1"/>
        <v>27</v>
      </c>
      <c r="D28" s="38">
        <f>VLOOKUP(A28,'SGT-5'!$A:$B,2,FALSE)</f>
        <v>0.23599999999999999</v>
      </c>
      <c r="E28" s="16">
        <f>VLOOKUP(A28,'SGT-5'!$A:$C,3,FALSE)</f>
        <v>84</v>
      </c>
      <c r="F28" s="16">
        <f t="shared" si="2"/>
        <v>57</v>
      </c>
      <c r="I28">
        <v>27</v>
      </c>
      <c r="J28" t="s">
        <v>140</v>
      </c>
      <c r="K28">
        <v>0.82799999999999996</v>
      </c>
      <c r="L28">
        <v>26.491</v>
      </c>
      <c r="M28">
        <v>4.0199999999999996</v>
      </c>
      <c r="N28">
        <v>22.47</v>
      </c>
      <c r="O28">
        <v>32</v>
      </c>
    </row>
    <row r="29" spans="1:15">
      <c r="A29" t="str">
        <f t="shared" si="0"/>
        <v>Tony Finau</v>
      </c>
      <c r="B29" s="38">
        <f t="shared" si="0"/>
        <v>0.81100000000000005</v>
      </c>
      <c r="C29" s="16">
        <f t="shared" si="1"/>
        <v>28</v>
      </c>
      <c r="D29" s="38">
        <f>VLOOKUP(A29,'SGT-5'!$A:$B,2,FALSE)</f>
        <v>0.81100000000000005</v>
      </c>
      <c r="E29" s="16">
        <f>VLOOKUP(A29,'SGT-5'!$A:$C,3,FALSE)</f>
        <v>33</v>
      </c>
      <c r="F29" s="16">
        <f t="shared" si="2"/>
        <v>5</v>
      </c>
      <c r="I29">
        <v>28</v>
      </c>
      <c r="J29" t="s">
        <v>69</v>
      </c>
      <c r="K29">
        <v>0.81100000000000005</v>
      </c>
      <c r="L29">
        <v>21.890999999999998</v>
      </c>
      <c r="M29">
        <v>35.865000000000002</v>
      </c>
      <c r="N29">
        <v>-13.976000000000001</v>
      </c>
      <c r="O29">
        <v>27</v>
      </c>
    </row>
    <row r="30" spans="1:15">
      <c r="A30" t="str">
        <f t="shared" si="0"/>
        <v>Andrew Novak</v>
      </c>
      <c r="B30" s="38">
        <f t="shared" si="0"/>
        <v>0.81100000000000005</v>
      </c>
      <c r="C30" s="16">
        <f t="shared" si="1"/>
        <v>28</v>
      </c>
      <c r="D30" s="38">
        <f>VLOOKUP(A30,'SGT-5'!$A:$B,2,FALSE)</f>
        <v>1.403</v>
      </c>
      <c r="E30" s="16">
        <f>VLOOKUP(A30,'SGT-5'!$A:$C,3,FALSE)</f>
        <v>8</v>
      </c>
      <c r="F30" s="16">
        <f t="shared" si="2"/>
        <v>-20</v>
      </c>
      <c r="I30">
        <v>28</v>
      </c>
      <c r="J30" t="s">
        <v>100</v>
      </c>
      <c r="K30">
        <v>0.81100000000000005</v>
      </c>
      <c r="L30">
        <v>23.532</v>
      </c>
      <c r="M30">
        <v>26.942</v>
      </c>
      <c r="N30">
        <v>-3.4119999999999999</v>
      </c>
      <c r="O30">
        <v>29</v>
      </c>
    </row>
    <row r="31" spans="1:15">
      <c r="A31" t="str">
        <f t="shared" si="0"/>
        <v>Cameron Young</v>
      </c>
      <c r="B31" s="38">
        <f t="shared" si="0"/>
        <v>0.80800000000000005</v>
      </c>
      <c r="C31" s="16">
        <f t="shared" si="1"/>
        <v>30</v>
      </c>
      <c r="D31" s="38">
        <f>VLOOKUP(A31,'SGT-5'!$A:$B,2,FALSE)</f>
        <v>0.78200000000000003</v>
      </c>
      <c r="E31" s="16">
        <f>VLOOKUP(A31,'SGT-5'!$A:$C,3,FALSE)</f>
        <v>36</v>
      </c>
      <c r="F31" s="16">
        <f t="shared" si="2"/>
        <v>6</v>
      </c>
      <c r="I31">
        <v>30</v>
      </c>
      <c r="J31" t="s">
        <v>9</v>
      </c>
      <c r="K31">
        <v>0.80800000000000005</v>
      </c>
      <c r="L31">
        <v>24.242999999999999</v>
      </c>
      <c r="M31">
        <v>28.504000000000001</v>
      </c>
      <c r="N31">
        <v>-4.2610000000000001</v>
      </c>
      <c r="O31">
        <v>30</v>
      </c>
    </row>
    <row r="32" spans="1:15">
      <c r="A32" t="str">
        <f t="shared" si="0"/>
        <v>Adam Scott</v>
      </c>
      <c r="B32" s="38">
        <f t="shared" si="0"/>
        <v>0.80200000000000005</v>
      </c>
      <c r="C32" s="16">
        <f t="shared" si="1"/>
        <v>31</v>
      </c>
      <c r="D32" s="38">
        <f>VLOOKUP(A32,'SGT-5'!$A:$B,2,FALSE)</f>
        <v>1.399</v>
      </c>
      <c r="E32" s="16">
        <f>VLOOKUP(A32,'SGT-5'!$A:$C,3,FALSE)</f>
        <v>9</v>
      </c>
      <c r="F32" s="16">
        <f t="shared" si="2"/>
        <v>-22</v>
      </c>
      <c r="I32">
        <v>31</v>
      </c>
      <c r="J32" t="s">
        <v>19</v>
      </c>
      <c r="K32">
        <v>0.80200000000000005</v>
      </c>
      <c r="L32">
        <v>16.04</v>
      </c>
      <c r="M32">
        <v>4.7439999999999998</v>
      </c>
      <c r="N32">
        <v>11.297000000000001</v>
      </c>
      <c r="O32">
        <v>20</v>
      </c>
    </row>
    <row r="33" spans="1:15">
      <c r="A33" t="str">
        <f t="shared" si="0"/>
        <v>Nick Taylor</v>
      </c>
      <c r="B33" s="38">
        <f t="shared" si="0"/>
        <v>0.8</v>
      </c>
      <c r="C33" s="16">
        <f t="shared" si="1"/>
        <v>32</v>
      </c>
      <c r="D33" s="38">
        <f>VLOOKUP(A33,'SGT-5'!$A:$B,2,FALSE)</f>
        <v>0.879</v>
      </c>
      <c r="E33" s="16">
        <f>VLOOKUP(A33,'SGT-5'!$A:$C,3,FALSE)</f>
        <v>28</v>
      </c>
      <c r="F33" s="16">
        <f t="shared" si="2"/>
        <v>-4</v>
      </c>
      <c r="I33">
        <v>32</v>
      </c>
      <c r="J33" t="s">
        <v>158</v>
      </c>
      <c r="K33">
        <v>0.8</v>
      </c>
      <c r="L33">
        <v>23.992000000000001</v>
      </c>
      <c r="M33">
        <v>6.7510000000000003</v>
      </c>
      <c r="N33">
        <v>17.239999999999998</v>
      </c>
      <c r="O33">
        <v>30</v>
      </c>
    </row>
    <row r="34" spans="1:15">
      <c r="A34" t="str">
        <f t="shared" si="0"/>
        <v>Harris English</v>
      </c>
      <c r="B34" s="38">
        <f t="shared" si="0"/>
        <v>0.77900000000000003</v>
      </c>
      <c r="C34" s="16">
        <f t="shared" si="1"/>
        <v>33</v>
      </c>
      <c r="D34" s="38">
        <f>VLOOKUP(A34,'SGT-5'!$A:$B,2,FALSE)</f>
        <v>0.879</v>
      </c>
      <c r="E34" s="16">
        <f>VLOOKUP(A34,'SGT-5'!$A:$C,3,FALSE)</f>
        <v>28</v>
      </c>
      <c r="F34" s="16">
        <f t="shared" si="2"/>
        <v>-5</v>
      </c>
      <c r="I34">
        <v>33</v>
      </c>
      <c r="J34" t="s">
        <v>125</v>
      </c>
      <c r="K34">
        <v>0.77900000000000003</v>
      </c>
      <c r="L34">
        <v>24.14</v>
      </c>
      <c r="M34">
        <v>10.784000000000001</v>
      </c>
      <c r="N34">
        <v>13.355</v>
      </c>
      <c r="O34">
        <v>31</v>
      </c>
    </row>
    <row r="35" spans="1:15">
      <c r="A35" t="str">
        <f t="shared" si="0"/>
        <v>Jason Day</v>
      </c>
      <c r="B35" s="38">
        <f t="shared" si="0"/>
        <v>0.74099999999999999</v>
      </c>
      <c r="C35" s="16">
        <f t="shared" si="1"/>
        <v>34</v>
      </c>
      <c r="D35" s="38">
        <f>VLOOKUP(A35,'SGT-5'!$A:$B,2,FALSE)</f>
        <v>1.196</v>
      </c>
      <c r="E35" s="16">
        <f>VLOOKUP(A35,'SGT-5'!$A:$C,3,FALSE)</f>
        <v>15</v>
      </c>
      <c r="F35" s="16">
        <f t="shared" si="2"/>
        <v>-19</v>
      </c>
      <c r="I35">
        <v>34</v>
      </c>
      <c r="J35" t="s">
        <v>68</v>
      </c>
      <c r="K35">
        <v>0.74099999999999999</v>
      </c>
      <c r="L35">
        <v>15.568</v>
      </c>
      <c r="M35">
        <v>8.2910000000000004</v>
      </c>
      <c r="N35">
        <v>7.2770000000000001</v>
      </c>
      <c r="O35">
        <v>21</v>
      </c>
    </row>
    <row r="36" spans="1:15">
      <c r="A36" t="str">
        <f t="shared" si="0"/>
        <v>Byeong Hun An</v>
      </c>
      <c r="B36" s="38">
        <f t="shared" si="0"/>
        <v>0.73699999999999999</v>
      </c>
      <c r="C36" s="16">
        <f t="shared" si="1"/>
        <v>35</v>
      </c>
      <c r="D36" s="38">
        <f>VLOOKUP(A36,'SGT-5'!$A:$B,2,FALSE)</f>
        <v>1.129</v>
      </c>
      <c r="E36" s="16">
        <f>VLOOKUP(A36,'SGT-5'!$A:$C,3,FALSE)</f>
        <v>20</v>
      </c>
      <c r="F36" s="16">
        <f t="shared" si="2"/>
        <v>-15</v>
      </c>
      <c r="I36">
        <v>35</v>
      </c>
      <c r="J36" t="s">
        <v>10</v>
      </c>
      <c r="K36">
        <v>0.73699999999999999</v>
      </c>
      <c r="L36">
        <v>22.119</v>
      </c>
      <c r="M36">
        <v>23.068999999999999</v>
      </c>
      <c r="N36">
        <v>-0.95</v>
      </c>
      <c r="O36">
        <v>30</v>
      </c>
    </row>
    <row r="37" spans="1:15">
      <c r="A37" t="str">
        <f t="shared" si="0"/>
        <v>Jake Knapp</v>
      </c>
      <c r="B37" s="38">
        <f t="shared" si="0"/>
        <v>0.73399999999999999</v>
      </c>
      <c r="C37" s="16">
        <f t="shared" si="1"/>
        <v>36</v>
      </c>
      <c r="D37" s="38">
        <f>VLOOKUP(A37,'SGT-5'!$A:$B,2,FALSE)</f>
        <v>1.7829999999999999</v>
      </c>
      <c r="E37" s="16">
        <f>VLOOKUP(A37,'SGT-5'!$A:$C,3,FALSE)</f>
        <v>4</v>
      </c>
      <c r="F37" s="16">
        <f t="shared" si="2"/>
        <v>-32</v>
      </c>
      <c r="I37">
        <v>36</v>
      </c>
      <c r="J37" t="s">
        <v>492</v>
      </c>
      <c r="K37">
        <v>0.73399999999999999</v>
      </c>
      <c r="L37">
        <v>21.283999999999999</v>
      </c>
      <c r="M37">
        <v>15.315</v>
      </c>
      <c r="N37">
        <v>5.9690000000000003</v>
      </c>
      <c r="O37">
        <v>29</v>
      </c>
    </row>
    <row r="38" spans="1:15">
      <c r="A38" t="str">
        <f t="shared" si="0"/>
        <v>Max Homa</v>
      </c>
      <c r="B38" s="38">
        <f t="shared" si="0"/>
        <v>0.70899999999999996</v>
      </c>
      <c r="C38" s="16">
        <f t="shared" si="1"/>
        <v>37</v>
      </c>
      <c r="D38" s="38">
        <f>VLOOKUP(A38,'SGT-5'!$A:$B,2,FALSE)</f>
        <v>0.75700000000000001</v>
      </c>
      <c r="E38" s="16">
        <f>VLOOKUP(A38,'SGT-5'!$A:$C,3,FALSE)</f>
        <v>39</v>
      </c>
      <c r="F38" s="16">
        <f t="shared" si="2"/>
        <v>2</v>
      </c>
      <c r="I38">
        <v>37</v>
      </c>
      <c r="J38" t="s">
        <v>66</v>
      </c>
      <c r="K38">
        <v>0.70899999999999996</v>
      </c>
      <c r="L38">
        <v>19.132999999999999</v>
      </c>
      <c r="M38">
        <v>10.962</v>
      </c>
      <c r="N38">
        <v>8.17</v>
      </c>
      <c r="O38">
        <v>27</v>
      </c>
    </row>
    <row r="39" spans="1:15">
      <c r="A39" t="str">
        <f t="shared" si="0"/>
        <v>Corey Conners</v>
      </c>
      <c r="B39" s="38">
        <f t="shared" si="0"/>
        <v>0.69399999999999995</v>
      </c>
      <c r="C39" s="16">
        <f t="shared" si="1"/>
        <v>38</v>
      </c>
      <c r="D39" s="38">
        <f>VLOOKUP(A39,'SGT-5'!$A:$B,2,FALSE)</f>
        <v>0.31</v>
      </c>
      <c r="E39" s="16">
        <f>VLOOKUP(A39,'SGT-5'!$A:$C,3,FALSE)</f>
        <v>74</v>
      </c>
      <c r="F39" s="16">
        <f t="shared" si="2"/>
        <v>36</v>
      </c>
      <c r="I39">
        <v>38</v>
      </c>
      <c r="J39" t="s">
        <v>93</v>
      </c>
      <c r="K39">
        <v>0.69399999999999995</v>
      </c>
      <c r="L39">
        <v>23.600999999999999</v>
      </c>
      <c r="M39">
        <v>40.079000000000001</v>
      </c>
      <c r="N39">
        <v>-16.478000000000002</v>
      </c>
      <c r="O39">
        <v>34</v>
      </c>
    </row>
    <row r="40" spans="1:15">
      <c r="A40" t="str">
        <f t="shared" si="0"/>
        <v>Nate Lashley</v>
      </c>
      <c r="B40" s="38">
        <f t="shared" si="0"/>
        <v>0.69299999999999995</v>
      </c>
      <c r="C40" s="16">
        <f t="shared" si="1"/>
        <v>39</v>
      </c>
      <c r="D40" s="38">
        <f>VLOOKUP(A40,'SGT-5'!$A:$B,2,FALSE)</f>
        <v>-0.127</v>
      </c>
      <c r="E40" s="16">
        <f>VLOOKUP(A40,'SGT-5'!$A:$C,3,FALSE)</f>
        <v>119</v>
      </c>
      <c r="F40" s="16">
        <f t="shared" si="2"/>
        <v>80</v>
      </c>
      <c r="I40">
        <v>39</v>
      </c>
      <c r="J40" t="s">
        <v>122</v>
      </c>
      <c r="K40">
        <v>0.69299999999999995</v>
      </c>
      <c r="L40">
        <v>15.930999999999999</v>
      </c>
      <c r="M40">
        <v>15.025</v>
      </c>
      <c r="N40">
        <v>0.90500000000000003</v>
      </c>
      <c r="O40">
        <v>23</v>
      </c>
    </row>
    <row r="41" spans="1:15">
      <c r="A41" t="str">
        <f t="shared" si="0"/>
        <v>Mark Hubbard</v>
      </c>
      <c r="B41" s="38">
        <f t="shared" si="0"/>
        <v>0.67500000000000004</v>
      </c>
      <c r="C41" s="16">
        <f t="shared" si="1"/>
        <v>40</v>
      </c>
      <c r="D41" s="38">
        <f>VLOOKUP(A41,'SGT-5'!$A:$B,2,FALSE)</f>
        <v>0.42599999999999999</v>
      </c>
      <c r="E41" s="16">
        <f>VLOOKUP(A41,'SGT-5'!$A:$C,3,FALSE)</f>
        <v>66</v>
      </c>
      <c r="F41" s="16">
        <f t="shared" si="2"/>
        <v>26</v>
      </c>
      <c r="I41">
        <v>40</v>
      </c>
      <c r="J41" t="s">
        <v>162</v>
      </c>
      <c r="K41">
        <v>0.67500000000000004</v>
      </c>
      <c r="L41">
        <v>22.274000000000001</v>
      </c>
      <c r="M41">
        <v>17.05</v>
      </c>
      <c r="N41">
        <v>5.2240000000000002</v>
      </c>
      <c r="O41">
        <v>33</v>
      </c>
    </row>
    <row r="42" spans="1:15">
      <c r="A42" t="str">
        <f t="shared" si="0"/>
        <v>Matt Fitzpatrick</v>
      </c>
      <c r="B42" s="38">
        <f t="shared" si="0"/>
        <v>0.65700000000000003</v>
      </c>
      <c r="C42" s="16">
        <f t="shared" si="1"/>
        <v>41</v>
      </c>
      <c r="D42" s="38">
        <f>VLOOKUP(A42,'SGT-5'!$A:$B,2,FALSE)</f>
        <v>0.186</v>
      </c>
      <c r="E42" s="16">
        <f>VLOOKUP(A42,'SGT-5'!$A:$C,3,FALSE)</f>
        <v>92</v>
      </c>
      <c r="F42" s="16">
        <f t="shared" si="2"/>
        <v>51</v>
      </c>
      <c r="I42">
        <v>41</v>
      </c>
      <c r="J42" t="s">
        <v>72</v>
      </c>
      <c r="K42">
        <v>0.65700000000000003</v>
      </c>
      <c r="L42">
        <v>18.39</v>
      </c>
      <c r="M42">
        <v>6.31</v>
      </c>
      <c r="N42">
        <v>12.079000000000001</v>
      </c>
      <c r="O42">
        <v>28</v>
      </c>
    </row>
    <row r="43" spans="1:15">
      <c r="A43" t="str">
        <f t="shared" si="0"/>
        <v>Peter Malnati</v>
      </c>
      <c r="B43" s="38">
        <f t="shared" si="0"/>
        <v>0.64700000000000002</v>
      </c>
      <c r="C43" s="16">
        <f t="shared" si="1"/>
        <v>42</v>
      </c>
      <c r="D43" s="38">
        <f>VLOOKUP(A43,'SGT-5'!$A:$B,2,FALSE)</f>
        <v>0.28799999999999998</v>
      </c>
      <c r="E43" s="16">
        <f>VLOOKUP(A43,'SGT-5'!$A:$C,3,FALSE)</f>
        <v>77</v>
      </c>
      <c r="F43" s="16">
        <f t="shared" si="2"/>
        <v>35</v>
      </c>
      <c r="I43">
        <v>42</v>
      </c>
      <c r="J43" t="s">
        <v>142</v>
      </c>
      <c r="K43">
        <v>0.64700000000000002</v>
      </c>
      <c r="L43">
        <v>14.887</v>
      </c>
      <c r="M43">
        <v>-3.944</v>
      </c>
      <c r="N43">
        <v>18.831</v>
      </c>
      <c r="O43">
        <v>23</v>
      </c>
    </row>
    <row r="44" spans="1:15">
      <c r="A44" t="str">
        <f t="shared" si="0"/>
        <v>Chandler Phillips</v>
      </c>
      <c r="B44" s="38">
        <f t="shared" si="0"/>
        <v>0.64500000000000002</v>
      </c>
      <c r="C44" s="16">
        <f t="shared" si="1"/>
        <v>43</v>
      </c>
      <c r="D44" s="38">
        <f>VLOOKUP(A44,'SGT-5'!$A:$B,2,FALSE)</f>
        <v>0.21099999999999999</v>
      </c>
      <c r="E44" s="16">
        <f>VLOOKUP(A44,'SGT-5'!$A:$C,3,FALSE)</f>
        <v>88</v>
      </c>
      <c r="F44" s="16">
        <f t="shared" si="2"/>
        <v>45</v>
      </c>
      <c r="I44">
        <v>43</v>
      </c>
      <c r="J44" t="s">
        <v>489</v>
      </c>
      <c r="K44">
        <v>0.64500000000000002</v>
      </c>
      <c r="L44">
        <v>14.186</v>
      </c>
      <c r="M44">
        <v>8.2219999999999995</v>
      </c>
      <c r="N44">
        <v>5.9619999999999997</v>
      </c>
      <c r="O44">
        <v>22</v>
      </c>
    </row>
    <row r="45" spans="1:15">
      <c r="A45" t="str">
        <f t="shared" si="0"/>
        <v>Aaron Rai</v>
      </c>
      <c r="B45" s="38">
        <f t="shared" si="0"/>
        <v>0.64500000000000002</v>
      </c>
      <c r="C45" s="16">
        <f t="shared" si="1"/>
        <v>43</v>
      </c>
      <c r="D45" s="38">
        <f>VLOOKUP(A45,'SGT-5'!$A:$B,2,FALSE)</f>
        <v>0.47399999999999998</v>
      </c>
      <c r="E45" s="16">
        <f>VLOOKUP(A45,'SGT-5'!$A:$C,3,FALSE)</f>
        <v>59</v>
      </c>
      <c r="F45" s="16">
        <f t="shared" si="2"/>
        <v>16</v>
      </c>
      <c r="I45">
        <v>43</v>
      </c>
      <c r="J45" t="s">
        <v>152</v>
      </c>
      <c r="K45">
        <v>0.64500000000000002</v>
      </c>
      <c r="L45">
        <v>17.425999999999998</v>
      </c>
      <c r="M45">
        <v>19.231000000000002</v>
      </c>
      <c r="N45">
        <v>-1.8069999999999999</v>
      </c>
      <c r="O45">
        <v>27</v>
      </c>
    </row>
    <row r="46" spans="1:15">
      <c r="A46" t="str">
        <f t="shared" si="0"/>
        <v>Taylor Moore</v>
      </c>
      <c r="B46" s="38">
        <f t="shared" si="0"/>
        <v>0.60699999999999998</v>
      </c>
      <c r="C46" s="16">
        <f t="shared" si="1"/>
        <v>45</v>
      </c>
      <c r="D46" s="38">
        <f>VLOOKUP(A46,'SGT-5'!$A:$B,2,FALSE)</f>
        <v>4.8000000000000001E-2</v>
      </c>
      <c r="E46" s="16">
        <f>VLOOKUP(A46,'SGT-5'!$A:$C,3,FALSE)</f>
        <v>102</v>
      </c>
      <c r="F46" s="16">
        <f t="shared" si="2"/>
        <v>57</v>
      </c>
      <c r="I46">
        <v>45</v>
      </c>
      <c r="J46" t="s">
        <v>49</v>
      </c>
      <c r="K46">
        <v>0.60699999999999998</v>
      </c>
      <c r="L46">
        <v>20.030999999999999</v>
      </c>
      <c r="M46">
        <v>18.975999999999999</v>
      </c>
      <c r="N46">
        <v>1.054</v>
      </c>
      <c r="O46">
        <v>33</v>
      </c>
    </row>
    <row r="47" spans="1:15">
      <c r="A47" t="str">
        <f t="shared" si="0"/>
        <v>Kurt Kitayama</v>
      </c>
      <c r="B47" s="38">
        <f t="shared" si="0"/>
        <v>0.59899999999999998</v>
      </c>
      <c r="C47" s="16">
        <f t="shared" si="1"/>
        <v>46</v>
      </c>
      <c r="D47" s="38">
        <f>VLOOKUP(A47,'SGT-5'!$A:$B,2,FALSE)</f>
        <v>0.82399999999999995</v>
      </c>
      <c r="E47" s="16">
        <f>VLOOKUP(A47,'SGT-5'!$A:$C,3,FALSE)</f>
        <v>31</v>
      </c>
      <c r="F47" s="16">
        <f t="shared" si="2"/>
        <v>-15</v>
      </c>
      <c r="I47">
        <v>46</v>
      </c>
      <c r="J47" t="s">
        <v>54</v>
      </c>
      <c r="K47">
        <v>0.59899999999999998</v>
      </c>
      <c r="L47">
        <v>16.768999999999998</v>
      </c>
      <c r="M47">
        <v>19.056999999999999</v>
      </c>
      <c r="N47">
        <v>-2.2879999999999998</v>
      </c>
      <c r="O47">
        <v>28</v>
      </c>
    </row>
    <row r="48" spans="1:15">
      <c r="A48" t="str">
        <f t="shared" si="0"/>
        <v>Adam Schenk</v>
      </c>
      <c r="B48" s="38">
        <f t="shared" si="0"/>
        <v>0.58599999999999997</v>
      </c>
      <c r="C48" s="16">
        <f t="shared" si="1"/>
        <v>47</v>
      </c>
      <c r="D48" s="38">
        <f>VLOOKUP(A48,'SGT-5'!$A:$B,2,FALSE)</f>
        <v>0.19800000000000001</v>
      </c>
      <c r="E48" s="16">
        <f>VLOOKUP(A48,'SGT-5'!$A:$C,3,FALSE)</f>
        <v>91</v>
      </c>
      <c r="F48" s="16">
        <f t="shared" si="2"/>
        <v>44</v>
      </c>
      <c r="I48">
        <v>47</v>
      </c>
      <c r="J48" t="s">
        <v>56</v>
      </c>
      <c r="K48">
        <v>0.58599999999999997</v>
      </c>
      <c r="L48">
        <v>19.353000000000002</v>
      </c>
      <c r="M48">
        <v>6.98</v>
      </c>
      <c r="N48">
        <v>12.372</v>
      </c>
      <c r="O48">
        <v>33</v>
      </c>
    </row>
    <row r="49" spans="1:15">
      <c r="A49" t="str">
        <f t="shared" si="0"/>
        <v>Brendon Todd</v>
      </c>
      <c r="B49" s="38">
        <f t="shared" si="0"/>
        <v>0.57799999999999996</v>
      </c>
      <c r="C49" s="16">
        <f t="shared" si="1"/>
        <v>48</v>
      </c>
      <c r="D49" s="38">
        <f>VLOOKUP(A49,'SGT-5'!$A:$B,2,FALSE)</f>
        <v>0.28599999999999998</v>
      </c>
      <c r="E49" s="16">
        <f>VLOOKUP(A49,'SGT-5'!$A:$C,3,FALSE)</f>
        <v>78</v>
      </c>
      <c r="F49" s="16">
        <f t="shared" si="2"/>
        <v>30</v>
      </c>
      <c r="I49">
        <v>48</v>
      </c>
      <c r="J49" t="s">
        <v>188</v>
      </c>
      <c r="K49">
        <v>0.57799999999999996</v>
      </c>
      <c r="L49">
        <v>19.654</v>
      </c>
      <c r="M49">
        <v>-4.1630000000000003</v>
      </c>
      <c r="N49">
        <v>23.815000000000001</v>
      </c>
      <c r="O49">
        <v>34</v>
      </c>
    </row>
    <row r="50" spans="1:15">
      <c r="A50" t="str">
        <f t="shared" si="0"/>
        <v>Lucas Glover</v>
      </c>
      <c r="B50" s="38">
        <f t="shared" si="0"/>
        <v>0.55700000000000005</v>
      </c>
      <c r="C50" s="16">
        <f t="shared" si="1"/>
        <v>49</v>
      </c>
      <c r="D50" s="38">
        <f>VLOOKUP(A50,'SGT-5'!$A:$B,2,FALSE)</f>
        <v>0.23599999999999999</v>
      </c>
      <c r="E50" s="16">
        <f>VLOOKUP(A50,'SGT-5'!$A:$C,3,FALSE)</f>
        <v>84</v>
      </c>
      <c r="F50" s="16">
        <f t="shared" si="2"/>
        <v>35</v>
      </c>
      <c r="I50">
        <v>49</v>
      </c>
      <c r="J50" t="s">
        <v>145</v>
      </c>
      <c r="K50">
        <v>0.55700000000000005</v>
      </c>
      <c r="L50">
        <v>16.706</v>
      </c>
      <c r="M50">
        <v>35.610999999999997</v>
      </c>
      <c r="N50">
        <v>-18.907</v>
      </c>
      <c r="O50">
        <v>30</v>
      </c>
    </row>
    <row r="51" spans="1:15">
      <c r="A51" t="str">
        <f t="shared" si="0"/>
        <v>Davis Thompson</v>
      </c>
      <c r="B51" s="38">
        <f t="shared" si="0"/>
        <v>0.55400000000000005</v>
      </c>
      <c r="C51" s="16">
        <f t="shared" si="1"/>
        <v>50</v>
      </c>
      <c r="D51" s="38">
        <f>VLOOKUP(A51,'SGT-5'!$A:$B,2,FALSE)</f>
        <v>0.71699999999999997</v>
      </c>
      <c r="E51" s="16">
        <f>VLOOKUP(A51,'SGT-5'!$A:$C,3,FALSE)</f>
        <v>41</v>
      </c>
      <c r="F51" s="16">
        <f t="shared" si="2"/>
        <v>-9</v>
      </c>
      <c r="I51">
        <v>50</v>
      </c>
      <c r="J51" t="s">
        <v>28</v>
      </c>
      <c r="K51">
        <v>0.55400000000000005</v>
      </c>
      <c r="L51">
        <v>16.074000000000002</v>
      </c>
      <c r="M51">
        <v>10.734999999999999</v>
      </c>
      <c r="N51">
        <v>5.3380000000000001</v>
      </c>
      <c r="O51">
        <v>29</v>
      </c>
    </row>
    <row r="52" spans="1:15">
      <c r="A52" t="str">
        <f t="shared" si="0"/>
        <v>Ben Silverman</v>
      </c>
      <c r="B52" s="38">
        <f t="shared" si="0"/>
        <v>0.5</v>
      </c>
      <c r="C52" s="16">
        <f t="shared" si="1"/>
        <v>51</v>
      </c>
      <c r="D52" s="38">
        <f>VLOOKUP(A52,'SGT-5'!$A:$B,2,FALSE)</f>
        <v>1.2410000000000001</v>
      </c>
      <c r="E52" s="16">
        <f>VLOOKUP(A52,'SGT-5'!$A:$C,3,FALSE)</f>
        <v>13</v>
      </c>
      <c r="F52" s="16">
        <f t="shared" si="2"/>
        <v>-38</v>
      </c>
      <c r="I52">
        <v>51</v>
      </c>
      <c r="J52" t="s">
        <v>433</v>
      </c>
      <c r="K52">
        <v>0.5</v>
      </c>
      <c r="L52">
        <v>13.493</v>
      </c>
      <c r="M52">
        <v>5.75</v>
      </c>
      <c r="N52">
        <v>7.7409999999999997</v>
      </c>
      <c r="O52">
        <v>27</v>
      </c>
    </row>
    <row r="53" spans="1:15">
      <c r="A53" t="str">
        <f t="shared" si="0"/>
        <v>Emiliano Grillo</v>
      </c>
      <c r="B53" s="38">
        <f t="shared" si="0"/>
        <v>0.48699999999999999</v>
      </c>
      <c r="C53" s="16">
        <f t="shared" si="1"/>
        <v>52</v>
      </c>
      <c r="D53" s="38">
        <f>VLOOKUP(A53,'SGT-5'!$A:$B,2,FALSE)</f>
        <v>0.45700000000000002</v>
      </c>
      <c r="E53" s="16">
        <f>VLOOKUP(A53,'SGT-5'!$A:$C,3,FALSE)</f>
        <v>63</v>
      </c>
      <c r="F53" s="16">
        <f t="shared" si="2"/>
        <v>11</v>
      </c>
      <c r="I53">
        <v>52</v>
      </c>
      <c r="J53" t="s">
        <v>90</v>
      </c>
      <c r="K53">
        <v>0.48699999999999999</v>
      </c>
      <c r="L53">
        <v>16.055</v>
      </c>
      <c r="M53">
        <v>-1.526</v>
      </c>
      <c r="N53">
        <v>17.581</v>
      </c>
      <c r="O53">
        <v>33</v>
      </c>
    </row>
    <row r="54" spans="1:15">
      <c r="A54" t="str">
        <f t="shared" si="0"/>
        <v>Will Zalatoris</v>
      </c>
      <c r="B54" s="38">
        <f t="shared" si="0"/>
        <v>0.48699999999999999</v>
      </c>
      <c r="C54" s="16">
        <f t="shared" si="1"/>
        <v>52</v>
      </c>
      <c r="D54" s="38">
        <f>VLOOKUP(A54,'SGT-5'!$A:$B,2,FALSE)</f>
        <v>0.997</v>
      </c>
      <c r="E54" s="16">
        <f>VLOOKUP(A54,'SGT-5'!$A:$C,3,FALSE)</f>
        <v>23</v>
      </c>
      <c r="F54" s="16">
        <f t="shared" si="2"/>
        <v>-29</v>
      </c>
      <c r="I54">
        <v>52</v>
      </c>
      <c r="J54" t="s">
        <v>233</v>
      </c>
      <c r="K54">
        <v>0.48699999999999999</v>
      </c>
      <c r="L54">
        <v>9.2590000000000003</v>
      </c>
      <c r="M54">
        <v>16.885000000000002</v>
      </c>
      <c r="N54">
        <v>-7.6269999999999998</v>
      </c>
      <c r="O54">
        <v>19</v>
      </c>
    </row>
    <row r="55" spans="1:15">
      <c r="A55" t="str">
        <f t="shared" si="0"/>
        <v>Mackenzie Hughes</v>
      </c>
      <c r="B55" s="38">
        <f t="shared" si="0"/>
        <v>0.48</v>
      </c>
      <c r="C55" s="16">
        <f t="shared" si="1"/>
        <v>54</v>
      </c>
      <c r="D55" s="38">
        <f>VLOOKUP(A55,'SGT-5'!$A:$B,2,FALSE)</f>
        <v>-0.622</v>
      </c>
      <c r="E55" s="16">
        <f>VLOOKUP(A55,'SGT-5'!$A:$C,3,FALSE)</f>
        <v>138</v>
      </c>
      <c r="F55" s="16">
        <f t="shared" si="2"/>
        <v>84</v>
      </c>
      <c r="I55">
        <v>54</v>
      </c>
      <c r="J55" t="s">
        <v>104</v>
      </c>
      <c r="K55">
        <v>0.48</v>
      </c>
      <c r="L55">
        <v>14.887</v>
      </c>
      <c r="M55">
        <v>10.417</v>
      </c>
      <c r="N55">
        <v>4.4690000000000003</v>
      </c>
      <c r="O55">
        <v>31</v>
      </c>
    </row>
    <row r="56" spans="1:15">
      <c r="A56" t="str">
        <f t="shared" si="0"/>
        <v>Victor Perez</v>
      </c>
      <c r="B56" s="38">
        <f t="shared" si="0"/>
        <v>0.46500000000000002</v>
      </c>
      <c r="C56" s="16">
        <f t="shared" si="1"/>
        <v>55</v>
      </c>
      <c r="D56" s="38">
        <f>VLOOKUP(A56,'SGT-5'!$A:$B,2,FALSE)</f>
        <v>0.23899999999999999</v>
      </c>
      <c r="E56" s="16">
        <f>VLOOKUP(A56,'SGT-5'!$A:$C,3,FALSE)</f>
        <v>82</v>
      </c>
      <c r="F56" s="16">
        <f t="shared" si="2"/>
        <v>27</v>
      </c>
      <c r="I56">
        <v>55</v>
      </c>
      <c r="J56" t="s">
        <v>632</v>
      </c>
      <c r="K56">
        <v>0.46500000000000002</v>
      </c>
      <c r="L56">
        <v>9.7710000000000008</v>
      </c>
      <c r="M56">
        <v>15.965999999999999</v>
      </c>
      <c r="N56">
        <v>-6.1959999999999997</v>
      </c>
      <c r="O56">
        <v>21</v>
      </c>
    </row>
    <row r="57" spans="1:15">
      <c r="A57" t="str">
        <f t="shared" si="0"/>
        <v>Justin Thomas</v>
      </c>
      <c r="B57" s="38">
        <f t="shared" si="0"/>
        <v>0.44900000000000001</v>
      </c>
      <c r="C57" s="16">
        <f t="shared" si="1"/>
        <v>56</v>
      </c>
      <c r="D57" s="38">
        <f>VLOOKUP(A57,'SGT-5'!$A:$B,2,FALSE)</f>
        <v>0.78800000000000003</v>
      </c>
      <c r="E57" s="16">
        <f>VLOOKUP(A57,'SGT-5'!$A:$C,3,FALSE)</f>
        <v>35</v>
      </c>
      <c r="F57" s="16">
        <f t="shared" si="2"/>
        <v>-21</v>
      </c>
      <c r="I57">
        <v>56</v>
      </c>
      <c r="J57" t="s">
        <v>42</v>
      </c>
      <c r="K57">
        <v>0.44900000000000001</v>
      </c>
      <c r="L57">
        <v>8.0860000000000003</v>
      </c>
      <c r="M57">
        <v>20.225000000000001</v>
      </c>
      <c r="N57">
        <v>-12.138999999999999</v>
      </c>
      <c r="O57">
        <v>18</v>
      </c>
    </row>
    <row r="58" spans="1:15">
      <c r="A58" t="str">
        <f t="shared" si="0"/>
        <v>Bud Cauley</v>
      </c>
      <c r="B58" s="38">
        <f t="shared" si="0"/>
        <v>0.44600000000000001</v>
      </c>
      <c r="C58" s="16">
        <f t="shared" si="1"/>
        <v>57</v>
      </c>
      <c r="D58" s="38">
        <f>VLOOKUP(A58,'SGT-5'!$A:$B,2,FALSE)</f>
        <v>0.36099999999999999</v>
      </c>
      <c r="E58" s="16">
        <f>VLOOKUP(A58,'SGT-5'!$A:$C,3,FALSE)</f>
        <v>70</v>
      </c>
      <c r="F58" s="16">
        <f t="shared" si="2"/>
        <v>13</v>
      </c>
      <c r="I58">
        <v>57</v>
      </c>
      <c r="J58" t="s">
        <v>633</v>
      </c>
      <c r="K58">
        <v>0.44600000000000001</v>
      </c>
      <c r="L58">
        <v>8.0229999999999997</v>
      </c>
      <c r="M58">
        <v>13.694000000000001</v>
      </c>
      <c r="N58">
        <v>-5.6719999999999997</v>
      </c>
      <c r="O58">
        <v>18</v>
      </c>
    </row>
    <row r="59" spans="1:15">
      <c r="A59" t="str">
        <f t="shared" si="0"/>
        <v>Andrew Putnam</v>
      </c>
      <c r="B59" s="38">
        <f t="shared" si="0"/>
        <v>0.42799999999999999</v>
      </c>
      <c r="C59" s="16">
        <f t="shared" si="1"/>
        <v>58</v>
      </c>
      <c r="D59" s="38">
        <f>VLOOKUP(A59,'SGT-5'!$A:$B,2,FALSE)</f>
        <v>7.0000000000000007E-2</v>
      </c>
      <c r="E59" s="16">
        <f>VLOOKUP(A59,'SGT-5'!$A:$C,3,FALSE)</f>
        <v>101</v>
      </c>
      <c r="F59" s="16">
        <f t="shared" si="2"/>
        <v>43</v>
      </c>
      <c r="I59">
        <v>58</v>
      </c>
      <c r="J59" t="s">
        <v>183</v>
      </c>
      <c r="K59">
        <v>0.42799999999999999</v>
      </c>
      <c r="L59">
        <v>12.827999999999999</v>
      </c>
      <c r="M59">
        <v>2.7509999999999999</v>
      </c>
      <c r="N59">
        <v>10.076000000000001</v>
      </c>
      <c r="O59">
        <v>30</v>
      </c>
    </row>
    <row r="60" spans="1:15">
      <c r="A60" t="str">
        <f t="shared" si="0"/>
        <v>Max Greyserman</v>
      </c>
      <c r="B60" s="38">
        <f t="shared" si="0"/>
        <v>0.41</v>
      </c>
      <c r="C60" s="16">
        <f t="shared" si="1"/>
        <v>59</v>
      </c>
      <c r="D60" s="38">
        <f>VLOOKUP(A60,'SGT-5'!$A:$B,2,FALSE)</f>
        <v>-3.4000000000000002E-2</v>
      </c>
      <c r="E60" s="16">
        <f>VLOOKUP(A60,'SGT-5'!$A:$C,3,FALSE)</f>
        <v>110</v>
      </c>
      <c r="F60" s="16">
        <f t="shared" si="2"/>
        <v>51</v>
      </c>
      <c r="I60">
        <v>59</v>
      </c>
      <c r="J60" t="s">
        <v>493</v>
      </c>
      <c r="K60">
        <v>0.41</v>
      </c>
      <c r="L60">
        <v>7.383</v>
      </c>
      <c r="M60">
        <v>5.4969999999999999</v>
      </c>
      <c r="N60">
        <v>1.8839999999999999</v>
      </c>
      <c r="O60">
        <v>18</v>
      </c>
    </row>
    <row r="61" spans="1:15">
      <c r="A61" t="str">
        <f t="shared" si="0"/>
        <v>Ben Martin</v>
      </c>
      <c r="B61" s="38">
        <f t="shared" si="0"/>
        <v>0.40899999999999997</v>
      </c>
      <c r="C61" s="16">
        <f t="shared" si="1"/>
        <v>60</v>
      </c>
      <c r="D61" s="38">
        <f>VLOOKUP(A61,'SGT-5'!$A:$B,2,FALSE)</f>
        <v>-0.249</v>
      </c>
      <c r="E61" s="16">
        <f>VLOOKUP(A61,'SGT-5'!$A:$C,3,FALSE)</f>
        <v>128</v>
      </c>
      <c r="F61" s="16">
        <f t="shared" si="2"/>
        <v>68</v>
      </c>
      <c r="I61">
        <v>60</v>
      </c>
      <c r="J61" t="s">
        <v>151</v>
      </c>
      <c r="K61">
        <v>0.40899999999999997</v>
      </c>
      <c r="L61">
        <v>8.5879999999999992</v>
      </c>
      <c r="M61">
        <v>4.7450000000000001</v>
      </c>
      <c r="N61">
        <v>3.8410000000000002</v>
      </c>
      <c r="O61">
        <v>21</v>
      </c>
    </row>
    <row r="62" spans="1:15">
      <c r="A62" t="str">
        <f t="shared" si="0"/>
        <v>J.T. Poston</v>
      </c>
      <c r="B62" s="38">
        <f t="shared" si="0"/>
        <v>0.40600000000000003</v>
      </c>
      <c r="C62" s="16">
        <f t="shared" si="1"/>
        <v>61</v>
      </c>
      <c r="D62" s="38">
        <f>VLOOKUP(A62,'SGT-5'!$A:$B,2,FALSE)</f>
        <v>0.83699999999999997</v>
      </c>
      <c r="E62" s="16">
        <f>VLOOKUP(A62,'SGT-5'!$A:$C,3,FALSE)</f>
        <v>30</v>
      </c>
      <c r="F62" s="16">
        <f t="shared" si="2"/>
        <v>-31</v>
      </c>
      <c r="I62">
        <v>61</v>
      </c>
      <c r="J62" t="s">
        <v>126</v>
      </c>
      <c r="K62">
        <v>0.40600000000000003</v>
      </c>
      <c r="L62">
        <v>11.365</v>
      </c>
      <c r="M62">
        <v>5.36</v>
      </c>
      <c r="N62">
        <v>6.0060000000000002</v>
      </c>
      <c r="O62">
        <v>28</v>
      </c>
    </row>
    <row r="63" spans="1:15">
      <c r="A63" t="str">
        <f t="shared" si="0"/>
        <v>Hayden Springer</v>
      </c>
      <c r="B63" s="38">
        <f t="shared" si="0"/>
        <v>0.39600000000000002</v>
      </c>
      <c r="C63" s="16">
        <f t="shared" si="1"/>
        <v>62</v>
      </c>
      <c r="D63" s="38">
        <f>VLOOKUP(A63,'SGT-5'!$A:$B,2,FALSE)</f>
        <v>1.462</v>
      </c>
      <c r="E63" s="16">
        <f>VLOOKUP(A63,'SGT-5'!$A:$C,3,FALSE)</f>
        <v>7</v>
      </c>
      <c r="F63" s="16">
        <f t="shared" si="2"/>
        <v>-55</v>
      </c>
      <c r="I63">
        <v>62</v>
      </c>
      <c r="J63" t="s">
        <v>557</v>
      </c>
      <c r="K63">
        <v>0.39600000000000002</v>
      </c>
      <c r="L63">
        <v>6.7309999999999999</v>
      </c>
      <c r="M63">
        <v>0.61699999999999999</v>
      </c>
      <c r="N63">
        <v>6.1109999999999998</v>
      </c>
      <c r="O63">
        <v>17</v>
      </c>
    </row>
    <row r="64" spans="1:15">
      <c r="A64" t="str">
        <f t="shared" si="0"/>
        <v>Eric Cole</v>
      </c>
      <c r="B64" s="38">
        <f t="shared" si="0"/>
        <v>0.35699999999999998</v>
      </c>
      <c r="C64" s="16">
        <f t="shared" si="1"/>
        <v>63</v>
      </c>
      <c r="D64" s="38">
        <f>VLOOKUP(A64,'SGT-5'!$A:$B,2,FALSE)</f>
        <v>0.47399999999999998</v>
      </c>
      <c r="E64" s="16">
        <f>VLOOKUP(A64,'SGT-5'!$A:$C,3,FALSE)</f>
        <v>59</v>
      </c>
      <c r="F64" s="16">
        <f t="shared" si="2"/>
        <v>-4</v>
      </c>
      <c r="I64">
        <v>63</v>
      </c>
      <c r="J64" t="s">
        <v>114</v>
      </c>
      <c r="K64">
        <v>0.35699999999999998</v>
      </c>
      <c r="L64">
        <v>11.79</v>
      </c>
      <c r="M64">
        <v>0.27900000000000003</v>
      </c>
      <c r="N64">
        <v>11.509</v>
      </c>
      <c r="O64">
        <v>33</v>
      </c>
    </row>
    <row r="65" spans="1:15">
      <c r="A65" t="str">
        <f t="shared" si="0"/>
        <v>Joseph Bramlett</v>
      </c>
      <c r="B65" s="38">
        <f t="shared" si="0"/>
        <v>0.35099999999999998</v>
      </c>
      <c r="C65" s="16">
        <f t="shared" si="1"/>
        <v>64</v>
      </c>
      <c r="D65" s="38">
        <f>VLOOKUP(A65,'SGT-5'!$A:$B,2,FALSE)</f>
        <v>0.39900000000000002</v>
      </c>
      <c r="E65" s="16">
        <f>VLOOKUP(A65,'SGT-5'!$A:$C,3,FALSE)</f>
        <v>68</v>
      </c>
      <c r="F65" s="16">
        <f t="shared" si="2"/>
        <v>4</v>
      </c>
      <c r="I65">
        <v>64</v>
      </c>
      <c r="J65" t="s">
        <v>20</v>
      </c>
      <c r="K65">
        <v>0.35099999999999998</v>
      </c>
      <c r="L65">
        <v>10.182</v>
      </c>
      <c r="M65">
        <v>7.7850000000000001</v>
      </c>
      <c r="N65">
        <v>2.395</v>
      </c>
      <c r="O65">
        <v>29</v>
      </c>
    </row>
    <row r="66" spans="1:15">
      <c r="A66" t="str">
        <f t="shared" si="0"/>
        <v>Beau Hossler</v>
      </c>
      <c r="B66" s="38">
        <f t="shared" si="0"/>
        <v>0.315</v>
      </c>
      <c r="C66" s="16">
        <f t="shared" si="1"/>
        <v>65</v>
      </c>
      <c r="D66" s="38">
        <f>VLOOKUP(A66,'SGT-5'!$A:$B,2,FALSE)</f>
        <v>0.95599999999999996</v>
      </c>
      <c r="E66" s="16">
        <f>VLOOKUP(A66,'SGT-5'!$A:$C,3,FALSE)</f>
        <v>24</v>
      </c>
      <c r="F66" s="16">
        <f t="shared" si="2"/>
        <v>-41</v>
      </c>
      <c r="I66">
        <v>65</v>
      </c>
      <c r="J66" t="s">
        <v>59</v>
      </c>
      <c r="K66">
        <v>0.315</v>
      </c>
      <c r="L66">
        <v>9.1379999999999999</v>
      </c>
      <c r="M66">
        <v>-3.0649999999999999</v>
      </c>
      <c r="N66">
        <v>12.202</v>
      </c>
      <c r="O66">
        <v>29</v>
      </c>
    </row>
    <row r="67" spans="1:15">
      <c r="A67" t="str">
        <f t="shared" ref="A67:B130" si="3">J67</f>
        <v>C.T. Pan</v>
      </c>
      <c r="B67" s="38">
        <f t="shared" si="3"/>
        <v>0.312</v>
      </c>
      <c r="C67" s="16">
        <f t="shared" ref="C67:C130" si="4">I67</f>
        <v>66</v>
      </c>
      <c r="D67" s="38">
        <f>VLOOKUP(A67,'SGT-5'!$A:$B,2,FALSE)</f>
        <v>0.64400000000000002</v>
      </c>
      <c r="E67" s="16">
        <f>VLOOKUP(A67,'SGT-5'!$A:$C,3,FALSE)</f>
        <v>46</v>
      </c>
      <c r="F67" s="16">
        <f t="shared" ref="F67:F130" si="5">E67-C67</f>
        <v>-20</v>
      </c>
      <c r="I67">
        <v>66</v>
      </c>
      <c r="J67" t="s">
        <v>131</v>
      </c>
      <c r="K67">
        <v>0.312</v>
      </c>
      <c r="L67">
        <v>7.4969999999999999</v>
      </c>
      <c r="M67">
        <v>5.6870000000000003</v>
      </c>
      <c r="N67">
        <v>1.81</v>
      </c>
      <c r="O67">
        <v>24</v>
      </c>
    </row>
    <row r="68" spans="1:15">
      <c r="A68" t="str">
        <f t="shared" si="3"/>
        <v>Ryan Moore</v>
      </c>
      <c r="B68" s="38">
        <f t="shared" si="3"/>
        <v>0.3</v>
      </c>
      <c r="C68" s="16">
        <f t="shared" si="4"/>
        <v>67</v>
      </c>
      <c r="D68" s="38">
        <f>VLOOKUP(A68,'SGT-5'!$A:$B,2,FALSE)</f>
        <v>-0.79800000000000004</v>
      </c>
      <c r="E68" s="16">
        <f>VLOOKUP(A68,'SGT-5'!$A:$C,3,FALSE)</f>
        <v>145</v>
      </c>
      <c r="F68" s="16">
        <f t="shared" si="5"/>
        <v>78</v>
      </c>
      <c r="I68">
        <v>67</v>
      </c>
      <c r="J68" t="s">
        <v>179</v>
      </c>
      <c r="K68">
        <v>0.3</v>
      </c>
      <c r="L68">
        <v>8.0990000000000002</v>
      </c>
      <c r="M68">
        <v>26.681000000000001</v>
      </c>
      <c r="N68">
        <v>-18.584</v>
      </c>
      <c r="O68">
        <v>27</v>
      </c>
    </row>
    <row r="69" spans="1:15">
      <c r="A69" t="str">
        <f t="shared" si="3"/>
        <v>Tyson Alexander</v>
      </c>
      <c r="B69" s="38">
        <f t="shared" si="3"/>
        <v>0.28899999999999998</v>
      </c>
      <c r="C69" s="16">
        <f t="shared" si="4"/>
        <v>68</v>
      </c>
      <c r="D69" s="38">
        <f>VLOOKUP(A69,'SGT-5'!$A:$B,2,FALSE)</f>
        <v>0.26400000000000001</v>
      </c>
      <c r="E69" s="16">
        <f>VLOOKUP(A69,'SGT-5'!$A:$C,3,FALSE)</f>
        <v>80</v>
      </c>
      <c r="F69" s="16">
        <f t="shared" si="5"/>
        <v>12</v>
      </c>
      <c r="I69">
        <v>68</v>
      </c>
      <c r="J69" t="s">
        <v>107</v>
      </c>
      <c r="K69">
        <v>0.28899999999999998</v>
      </c>
      <c r="L69">
        <v>8.0960000000000001</v>
      </c>
      <c r="M69">
        <v>-1.03</v>
      </c>
      <c r="N69">
        <v>9.125</v>
      </c>
      <c r="O69">
        <v>28</v>
      </c>
    </row>
    <row r="70" spans="1:15">
      <c r="A70" t="str">
        <f t="shared" si="3"/>
        <v>Ben Griffin</v>
      </c>
      <c r="B70" s="38">
        <f t="shared" si="3"/>
        <v>0.28100000000000003</v>
      </c>
      <c r="C70" s="16">
        <f t="shared" si="4"/>
        <v>69</v>
      </c>
      <c r="D70" s="38">
        <f>VLOOKUP(A70,'SGT-5'!$A:$B,2,FALSE)</f>
        <v>-0.16300000000000001</v>
      </c>
      <c r="E70" s="16">
        <f>VLOOKUP(A70,'SGT-5'!$A:$C,3,FALSE)</f>
        <v>122</v>
      </c>
      <c r="F70" s="16">
        <f t="shared" si="5"/>
        <v>53</v>
      </c>
      <c r="I70">
        <v>69</v>
      </c>
      <c r="J70" t="s">
        <v>97</v>
      </c>
      <c r="K70">
        <v>0.28100000000000003</v>
      </c>
      <c r="L70">
        <v>8.7129999999999992</v>
      </c>
      <c r="M70">
        <v>-0.77400000000000002</v>
      </c>
      <c r="N70">
        <v>9.4860000000000007</v>
      </c>
      <c r="O70">
        <v>31</v>
      </c>
    </row>
    <row r="71" spans="1:15">
      <c r="A71" t="str">
        <f t="shared" si="3"/>
        <v>Chan Kim</v>
      </c>
      <c r="B71" s="38">
        <f t="shared" si="3"/>
        <v>0.27400000000000002</v>
      </c>
      <c r="C71" s="16">
        <f t="shared" si="4"/>
        <v>70</v>
      </c>
      <c r="D71" s="38">
        <f>VLOOKUP(A71,'SGT-5'!$A:$B,2,FALSE)</f>
        <v>0.68300000000000005</v>
      </c>
      <c r="E71" s="16">
        <f>VLOOKUP(A71,'SGT-5'!$A:$C,3,FALSE)</f>
        <v>45</v>
      </c>
      <c r="F71" s="16">
        <f t="shared" si="5"/>
        <v>-25</v>
      </c>
      <c r="I71">
        <v>70</v>
      </c>
      <c r="J71" t="s">
        <v>424</v>
      </c>
      <c r="K71">
        <v>0.27400000000000002</v>
      </c>
      <c r="L71">
        <v>7.3860000000000001</v>
      </c>
      <c r="M71">
        <v>11.711</v>
      </c>
      <c r="N71">
        <v>-4.327</v>
      </c>
      <c r="O71">
        <v>27</v>
      </c>
    </row>
    <row r="72" spans="1:15">
      <c r="A72" t="str">
        <f t="shared" si="3"/>
        <v>Taylor Montgomery</v>
      </c>
      <c r="B72" s="38">
        <f t="shared" si="3"/>
        <v>0.27300000000000002</v>
      </c>
      <c r="C72" s="16">
        <f t="shared" si="4"/>
        <v>71</v>
      </c>
      <c r="D72" s="38">
        <f>VLOOKUP(A72,'SGT-5'!$A:$B,2,FALSE)</f>
        <v>0.47099999999999997</v>
      </c>
      <c r="E72" s="16">
        <f>VLOOKUP(A72,'SGT-5'!$A:$C,3,FALSE)</f>
        <v>61</v>
      </c>
      <c r="F72" s="16">
        <f t="shared" si="5"/>
        <v>-10</v>
      </c>
      <c r="I72">
        <v>71</v>
      </c>
      <c r="J72" t="s">
        <v>63</v>
      </c>
      <c r="K72">
        <v>0.27300000000000002</v>
      </c>
      <c r="L72">
        <v>7.657</v>
      </c>
      <c r="M72">
        <v>-19.954000000000001</v>
      </c>
      <c r="N72">
        <v>27.61</v>
      </c>
      <c r="O72">
        <v>28</v>
      </c>
    </row>
    <row r="73" spans="1:15">
      <c r="A73" t="str">
        <f t="shared" si="3"/>
        <v>Parker Coody</v>
      </c>
      <c r="B73" s="38">
        <f t="shared" si="3"/>
        <v>0.24399999999999999</v>
      </c>
      <c r="C73" s="16">
        <f t="shared" si="4"/>
        <v>72</v>
      </c>
      <c r="D73" s="38">
        <f>VLOOKUP(A73,'SGT-5'!$A:$B,2,FALSE)</f>
        <v>0.57399999999999995</v>
      </c>
      <c r="E73" s="16">
        <f>VLOOKUP(A73,'SGT-5'!$A:$C,3,FALSE)</f>
        <v>52</v>
      </c>
      <c r="F73" s="16">
        <f t="shared" si="5"/>
        <v>-20</v>
      </c>
      <c r="I73">
        <v>72</v>
      </c>
      <c r="J73" t="s">
        <v>497</v>
      </c>
      <c r="K73">
        <v>0.24399999999999999</v>
      </c>
      <c r="L73">
        <v>6.109</v>
      </c>
      <c r="M73">
        <v>9.3179999999999996</v>
      </c>
      <c r="N73">
        <v>-3.2109999999999999</v>
      </c>
      <c r="O73">
        <v>25</v>
      </c>
    </row>
    <row r="74" spans="1:15">
      <c r="A74" t="str">
        <f t="shared" si="3"/>
        <v>Justin Lower</v>
      </c>
      <c r="B74" s="38">
        <f t="shared" si="3"/>
        <v>0.23899999999999999</v>
      </c>
      <c r="C74" s="16">
        <f t="shared" si="4"/>
        <v>73</v>
      </c>
      <c r="D74" s="38">
        <f>VLOOKUP(A74,'SGT-5'!$A:$B,2,FALSE)</f>
        <v>0.36099999999999999</v>
      </c>
      <c r="E74" s="16">
        <f>VLOOKUP(A74,'SGT-5'!$A:$C,3,FALSE)</f>
        <v>70</v>
      </c>
      <c r="F74" s="16">
        <f t="shared" si="5"/>
        <v>-3</v>
      </c>
      <c r="I74">
        <v>73</v>
      </c>
      <c r="J74" t="s">
        <v>147</v>
      </c>
      <c r="K74">
        <v>0.23899999999999999</v>
      </c>
      <c r="L74">
        <v>7.6440000000000001</v>
      </c>
      <c r="M74">
        <v>4.3789999999999996</v>
      </c>
      <c r="N74">
        <v>3.2639999999999998</v>
      </c>
      <c r="O74">
        <v>32</v>
      </c>
    </row>
    <row r="75" spans="1:15">
      <c r="A75" t="str">
        <f t="shared" si="3"/>
        <v>Mac Meissner</v>
      </c>
      <c r="B75" s="38">
        <f t="shared" si="3"/>
        <v>0.23100000000000001</v>
      </c>
      <c r="C75" s="16">
        <f t="shared" si="4"/>
        <v>74</v>
      </c>
      <c r="D75" s="38">
        <f>VLOOKUP(A75,'SGT-5'!$A:$B,2,FALSE)</f>
        <v>-0.93799999999999994</v>
      </c>
      <c r="E75" s="16">
        <f>VLOOKUP(A75,'SGT-5'!$A:$C,3,FALSE)</f>
        <v>149</v>
      </c>
      <c r="F75" s="16">
        <f t="shared" si="5"/>
        <v>75</v>
      </c>
      <c r="I75">
        <v>74</v>
      </c>
      <c r="J75" t="s">
        <v>560</v>
      </c>
      <c r="K75">
        <v>0.23100000000000001</v>
      </c>
      <c r="L75">
        <v>3.927</v>
      </c>
      <c r="M75">
        <v>3.5459999999999998</v>
      </c>
      <c r="N75">
        <v>0.38</v>
      </c>
      <c r="O75">
        <v>17</v>
      </c>
    </row>
    <row r="76" spans="1:15">
      <c r="A76" t="str">
        <f t="shared" si="3"/>
        <v>Jorge Campillo</v>
      </c>
      <c r="B76" s="38">
        <f t="shared" si="3"/>
        <v>0.22600000000000001</v>
      </c>
      <c r="C76" s="16">
        <f t="shared" si="4"/>
        <v>75</v>
      </c>
      <c r="D76" s="38">
        <f>VLOOKUP(A76,'SGT-5'!$A:$B,2,FALSE)</f>
        <v>0.77800000000000002</v>
      </c>
      <c r="E76" s="16">
        <f>VLOOKUP(A76,'SGT-5'!$A:$C,3,FALSE)</f>
        <v>37</v>
      </c>
      <c r="F76" s="16">
        <f t="shared" si="5"/>
        <v>-38</v>
      </c>
      <c r="I76">
        <v>75</v>
      </c>
      <c r="J76" t="s">
        <v>693</v>
      </c>
      <c r="K76">
        <v>0.22600000000000001</v>
      </c>
      <c r="L76">
        <v>3.621</v>
      </c>
      <c r="M76">
        <v>4.6260000000000003</v>
      </c>
      <c r="N76">
        <v>-1.0069999999999999</v>
      </c>
      <c r="O76">
        <v>16</v>
      </c>
    </row>
    <row r="77" spans="1:15">
      <c r="A77" t="str">
        <f t="shared" si="3"/>
        <v>Sami Valimaki</v>
      </c>
      <c r="B77" s="38">
        <f t="shared" si="3"/>
        <v>0.20599999999999999</v>
      </c>
      <c r="C77" s="16">
        <f t="shared" si="4"/>
        <v>76</v>
      </c>
      <c r="D77" s="38">
        <f>VLOOKUP(A77,'SGT-5'!$A:$B,2,FALSE)</f>
        <v>0.58099999999999996</v>
      </c>
      <c r="E77" s="16">
        <f>VLOOKUP(A77,'SGT-5'!$A:$C,3,FALSE)</f>
        <v>49</v>
      </c>
      <c r="F77" s="16">
        <f t="shared" si="5"/>
        <v>-27</v>
      </c>
      <c r="I77">
        <v>76</v>
      </c>
      <c r="J77" t="s">
        <v>488</v>
      </c>
      <c r="K77">
        <v>0.20599999999999999</v>
      </c>
      <c r="L77">
        <v>5.1520000000000001</v>
      </c>
      <c r="M77">
        <v>6.9000000000000006E-2</v>
      </c>
      <c r="N77">
        <v>5.0810000000000004</v>
      </c>
      <c r="O77">
        <v>25</v>
      </c>
    </row>
    <row r="78" spans="1:15">
      <c r="A78" t="str">
        <f t="shared" si="3"/>
        <v>K.H. Lee</v>
      </c>
      <c r="B78" s="38">
        <f t="shared" si="3"/>
        <v>0.20100000000000001</v>
      </c>
      <c r="C78" s="16">
        <f t="shared" si="4"/>
        <v>77</v>
      </c>
      <c r="D78" s="38">
        <f>VLOOKUP(A78,'SGT-5'!$A:$B,2,FALSE)</f>
        <v>0.433</v>
      </c>
      <c r="E78" s="16">
        <f>VLOOKUP(A78,'SGT-5'!$A:$C,3,FALSE)</f>
        <v>65</v>
      </c>
      <c r="F78" s="16">
        <f t="shared" si="5"/>
        <v>-12</v>
      </c>
      <c r="I78">
        <v>77</v>
      </c>
      <c r="J78" t="s">
        <v>92</v>
      </c>
      <c r="K78">
        <v>0.20100000000000001</v>
      </c>
      <c r="L78">
        <v>5.0229999999999997</v>
      </c>
      <c r="M78">
        <v>2.6429999999999998</v>
      </c>
      <c r="N78">
        <v>2.379</v>
      </c>
      <c r="O78">
        <v>25</v>
      </c>
    </row>
    <row r="79" spans="1:15">
      <c r="A79" t="str">
        <f t="shared" si="3"/>
        <v>S.H. Kim</v>
      </c>
      <c r="B79" s="38">
        <f t="shared" si="3"/>
        <v>0.19400000000000001</v>
      </c>
      <c r="C79" s="16">
        <f t="shared" si="4"/>
        <v>78</v>
      </c>
      <c r="D79" s="38">
        <f>VLOOKUP(A79,'SGT-5'!$A:$B,2,FALSE)</f>
        <v>-4.0000000000000001E-3</v>
      </c>
      <c r="E79" s="16">
        <f>VLOOKUP(A79,'SGT-5'!$A:$C,3,FALSE)</f>
        <v>106</v>
      </c>
      <c r="F79" s="16">
        <f t="shared" si="5"/>
        <v>28</v>
      </c>
      <c r="I79">
        <v>78</v>
      </c>
      <c r="J79" t="s">
        <v>39</v>
      </c>
      <c r="K79">
        <v>0.19400000000000001</v>
      </c>
      <c r="L79">
        <v>6.4109999999999996</v>
      </c>
      <c r="M79">
        <v>-7.5869999999999997</v>
      </c>
      <c r="N79">
        <v>13.997</v>
      </c>
      <c r="O79">
        <v>33</v>
      </c>
    </row>
    <row r="80" spans="1:15">
      <c r="A80" t="str">
        <f t="shared" si="3"/>
        <v>Dylan Wu</v>
      </c>
      <c r="B80" s="38">
        <f t="shared" si="3"/>
        <v>0.182</v>
      </c>
      <c r="C80" s="16">
        <f t="shared" si="4"/>
        <v>79</v>
      </c>
      <c r="D80" s="38">
        <f>VLOOKUP(A80,'SGT-5'!$A:$B,2,FALSE)</f>
        <v>-1.4999999999999999E-2</v>
      </c>
      <c r="E80" s="16">
        <f>VLOOKUP(A80,'SGT-5'!$A:$C,3,FALSE)</f>
        <v>108</v>
      </c>
      <c r="F80" s="16">
        <f t="shared" si="5"/>
        <v>29</v>
      </c>
      <c r="I80">
        <v>79</v>
      </c>
      <c r="J80" t="s">
        <v>118</v>
      </c>
      <c r="K80">
        <v>0.182</v>
      </c>
      <c r="L80">
        <v>5.657</v>
      </c>
      <c r="M80">
        <v>5.97</v>
      </c>
      <c r="N80">
        <v>-0.315</v>
      </c>
      <c r="O80">
        <v>31</v>
      </c>
    </row>
    <row r="81" spans="1:15">
      <c r="A81" t="str">
        <f t="shared" si="3"/>
        <v>Aaron Baddeley</v>
      </c>
      <c r="B81" s="38">
        <f t="shared" si="3"/>
        <v>0.18099999999999999</v>
      </c>
      <c r="C81" s="16">
        <f t="shared" si="4"/>
        <v>80</v>
      </c>
      <c r="D81" s="38">
        <f>VLOOKUP(A81,'SGT-5'!$A:$B,2,FALSE)</f>
        <v>0.72199999999999998</v>
      </c>
      <c r="E81" s="16">
        <f>VLOOKUP(A81,'SGT-5'!$A:$C,3,FALSE)</f>
        <v>40</v>
      </c>
      <c r="F81" s="16">
        <f t="shared" si="5"/>
        <v>-40</v>
      </c>
      <c r="I81">
        <v>80</v>
      </c>
      <c r="J81" t="s">
        <v>182</v>
      </c>
      <c r="K81">
        <v>0.18099999999999999</v>
      </c>
      <c r="L81">
        <v>4.8760000000000003</v>
      </c>
      <c r="M81">
        <v>-18.274999999999999</v>
      </c>
      <c r="N81">
        <v>23.149000000000001</v>
      </c>
      <c r="O81">
        <v>27</v>
      </c>
    </row>
    <row r="82" spans="1:15">
      <c r="A82" t="str">
        <f t="shared" si="3"/>
        <v>Adam Hadwin</v>
      </c>
      <c r="B82" s="38">
        <f t="shared" si="3"/>
        <v>0.17100000000000001</v>
      </c>
      <c r="C82" s="16">
        <f t="shared" si="4"/>
        <v>81</v>
      </c>
      <c r="D82" s="38">
        <f>VLOOKUP(A82,'SGT-5'!$A:$B,2,FALSE)</f>
        <v>0.23699999999999999</v>
      </c>
      <c r="E82" s="16">
        <f>VLOOKUP(A82,'SGT-5'!$A:$C,3,FALSE)</f>
        <v>83</v>
      </c>
      <c r="F82" s="16">
        <f t="shared" si="5"/>
        <v>2</v>
      </c>
      <c r="I82">
        <v>81</v>
      </c>
      <c r="J82" t="s">
        <v>141</v>
      </c>
      <c r="K82">
        <v>0.17100000000000001</v>
      </c>
      <c r="L82">
        <v>4.101</v>
      </c>
      <c r="M82">
        <v>-1.0649999999999999</v>
      </c>
      <c r="N82">
        <v>5.1639999999999997</v>
      </c>
      <c r="O82">
        <v>24</v>
      </c>
    </row>
    <row r="83" spans="1:15">
      <c r="A83" t="str">
        <f t="shared" si="3"/>
        <v>Jacob Bridgeman</v>
      </c>
      <c r="B83" s="38">
        <f t="shared" si="3"/>
        <v>0.16900000000000001</v>
      </c>
      <c r="C83" s="16">
        <f t="shared" si="4"/>
        <v>82</v>
      </c>
      <c r="D83" s="38">
        <f>VLOOKUP(A83,'SGT-5'!$A:$B,2,FALSE)</f>
        <v>0.106</v>
      </c>
      <c r="E83" s="16">
        <f>VLOOKUP(A83,'SGT-5'!$A:$C,3,FALSE)</f>
        <v>97</v>
      </c>
      <c r="F83" s="16">
        <f t="shared" si="5"/>
        <v>15</v>
      </c>
      <c r="I83">
        <v>82</v>
      </c>
      <c r="J83" t="s">
        <v>496</v>
      </c>
      <c r="K83">
        <v>0.16900000000000001</v>
      </c>
      <c r="L83">
        <v>3.202</v>
      </c>
      <c r="M83">
        <v>-4.05</v>
      </c>
      <c r="N83">
        <v>7.2510000000000003</v>
      </c>
      <c r="O83">
        <v>19</v>
      </c>
    </row>
    <row r="84" spans="1:15">
      <c r="A84" t="str">
        <f t="shared" si="3"/>
        <v>Sam Stevens</v>
      </c>
      <c r="B84" s="38">
        <f t="shared" si="3"/>
        <v>0.16800000000000001</v>
      </c>
      <c r="C84" s="16">
        <f t="shared" si="4"/>
        <v>83</v>
      </c>
      <c r="D84" s="38">
        <f>VLOOKUP(A84,'SGT-5'!$A:$B,2,FALSE)</f>
        <v>0.35899999999999999</v>
      </c>
      <c r="E84" s="16">
        <f>VLOOKUP(A84,'SGT-5'!$A:$C,3,FALSE)</f>
        <v>72</v>
      </c>
      <c r="F84" s="16">
        <f t="shared" si="5"/>
        <v>-11</v>
      </c>
      <c r="I84">
        <v>83</v>
      </c>
      <c r="J84" t="s">
        <v>30</v>
      </c>
      <c r="K84">
        <v>0.16800000000000001</v>
      </c>
      <c r="L84">
        <v>4.8730000000000002</v>
      </c>
      <c r="M84">
        <v>-0.41399999999999998</v>
      </c>
      <c r="N84">
        <v>5.2850000000000001</v>
      </c>
      <c r="O84">
        <v>29</v>
      </c>
    </row>
    <row r="85" spans="1:15">
      <c r="A85" t="str">
        <f t="shared" si="3"/>
        <v>Stewart Cink</v>
      </c>
      <c r="B85" s="38">
        <f t="shared" si="3"/>
        <v>0.156</v>
      </c>
      <c r="C85" s="16">
        <f t="shared" si="4"/>
        <v>84</v>
      </c>
      <c r="D85" s="38">
        <f>VLOOKUP(A85,'SGT-5'!$A:$B,2,FALSE)</f>
        <v>2.3E-2</v>
      </c>
      <c r="E85" s="16">
        <f>VLOOKUP(A85,'SGT-5'!$A:$C,3,FALSE)</f>
        <v>103</v>
      </c>
      <c r="F85" s="16">
        <f t="shared" si="5"/>
        <v>19</v>
      </c>
      <c r="I85">
        <v>84</v>
      </c>
      <c r="J85" t="s">
        <v>53</v>
      </c>
      <c r="K85">
        <v>0.156</v>
      </c>
      <c r="L85">
        <v>2.657</v>
      </c>
      <c r="M85">
        <v>-8.9339999999999993</v>
      </c>
      <c r="N85">
        <v>11.589</v>
      </c>
      <c r="O85">
        <v>17</v>
      </c>
    </row>
    <row r="86" spans="1:15">
      <c r="A86" t="str">
        <f t="shared" si="3"/>
        <v>Kevin Dougherty</v>
      </c>
      <c r="B86" s="38">
        <f t="shared" si="3"/>
        <v>0.13200000000000001</v>
      </c>
      <c r="C86" s="16">
        <f t="shared" si="4"/>
        <v>85</v>
      </c>
      <c r="D86" s="38">
        <f>VLOOKUP(A86,'SGT-5'!$A:$B,2,FALSE)</f>
        <v>-1.6E-2</v>
      </c>
      <c r="E86" s="16">
        <f>VLOOKUP(A86,'SGT-5'!$A:$C,3,FALSE)</f>
        <v>109</v>
      </c>
      <c r="F86" s="16">
        <f t="shared" si="5"/>
        <v>24</v>
      </c>
      <c r="I86">
        <v>85</v>
      </c>
      <c r="J86" t="s">
        <v>562</v>
      </c>
      <c r="K86">
        <v>0.13200000000000001</v>
      </c>
      <c r="L86">
        <v>2.5059999999999998</v>
      </c>
      <c r="M86">
        <v>-1.4999999999999999E-2</v>
      </c>
      <c r="N86">
        <v>2.5190000000000001</v>
      </c>
      <c r="O86">
        <v>19</v>
      </c>
    </row>
    <row r="87" spans="1:15">
      <c r="A87" t="str">
        <f t="shared" si="3"/>
        <v>Martin Laird</v>
      </c>
      <c r="B87" s="38">
        <f t="shared" si="3"/>
        <v>0.109</v>
      </c>
      <c r="C87" s="16">
        <f t="shared" si="4"/>
        <v>86</v>
      </c>
      <c r="D87" s="38">
        <f>VLOOKUP(A87,'SGT-5'!$A:$B,2,FALSE)</f>
        <v>-0.16600000000000001</v>
      </c>
      <c r="E87" s="16">
        <f>VLOOKUP(A87,'SGT-5'!$A:$C,3,FALSE)</f>
        <v>123</v>
      </c>
      <c r="F87" s="16">
        <f t="shared" si="5"/>
        <v>37</v>
      </c>
      <c r="I87">
        <v>86</v>
      </c>
      <c r="J87" t="s">
        <v>161</v>
      </c>
      <c r="K87">
        <v>0.109</v>
      </c>
      <c r="L87">
        <v>2.5009999999999999</v>
      </c>
      <c r="M87">
        <v>-1.258</v>
      </c>
      <c r="N87">
        <v>3.7589999999999999</v>
      </c>
      <c r="O87">
        <v>23</v>
      </c>
    </row>
    <row r="88" spans="1:15">
      <c r="A88" t="str">
        <f t="shared" si="3"/>
        <v>Jimmy Stanger</v>
      </c>
      <c r="B88" s="38">
        <f t="shared" si="3"/>
        <v>0.1</v>
      </c>
      <c r="C88" s="16">
        <f t="shared" si="4"/>
        <v>87</v>
      </c>
      <c r="D88" s="38">
        <f>VLOOKUP(A88,'SGT-5'!$A:$B,2,FALSE)</f>
        <v>0.16200000000000001</v>
      </c>
      <c r="E88" s="16">
        <f>VLOOKUP(A88,'SGT-5'!$A:$C,3,FALSE)</f>
        <v>95</v>
      </c>
      <c r="F88" s="16">
        <f t="shared" si="5"/>
        <v>8</v>
      </c>
      <c r="I88">
        <v>87</v>
      </c>
      <c r="J88" t="s">
        <v>495</v>
      </c>
      <c r="K88">
        <v>0.1</v>
      </c>
      <c r="L88">
        <v>1.901</v>
      </c>
      <c r="M88">
        <v>1.2629999999999999</v>
      </c>
      <c r="N88">
        <v>0.63700000000000001</v>
      </c>
      <c r="O88">
        <v>19</v>
      </c>
    </row>
    <row r="89" spans="1:15">
      <c r="A89" t="str">
        <f t="shared" si="3"/>
        <v>Taylor Pendrith</v>
      </c>
      <c r="B89" s="38">
        <f t="shared" si="3"/>
        <v>7.8E-2</v>
      </c>
      <c r="C89" s="16">
        <f t="shared" si="4"/>
        <v>88</v>
      </c>
      <c r="D89" s="38">
        <f>VLOOKUP(A89,'SGT-5'!$A:$B,2,FALSE)</f>
        <v>0.71399999999999997</v>
      </c>
      <c r="E89" s="16">
        <f>VLOOKUP(A89,'SGT-5'!$A:$C,3,FALSE)</f>
        <v>42</v>
      </c>
      <c r="F89" s="16">
        <f t="shared" si="5"/>
        <v>-46</v>
      </c>
      <c r="I89">
        <v>88</v>
      </c>
      <c r="J89" t="s">
        <v>33</v>
      </c>
      <c r="K89">
        <v>7.8E-2</v>
      </c>
      <c r="L89">
        <v>1.6339999999999999</v>
      </c>
      <c r="M89">
        <v>-9.6690000000000005</v>
      </c>
      <c r="N89">
        <v>11.302</v>
      </c>
      <c r="O89">
        <v>21</v>
      </c>
    </row>
    <row r="90" spans="1:15">
      <c r="A90" t="str">
        <f t="shared" si="3"/>
        <v>Chesson Hadley</v>
      </c>
      <c r="B90" s="38">
        <f t="shared" si="3"/>
        <v>7.4999999999999997E-2</v>
      </c>
      <c r="C90" s="16">
        <f t="shared" si="4"/>
        <v>89</v>
      </c>
      <c r="D90" s="38">
        <f>VLOOKUP(A90,'SGT-5'!$A:$B,2,FALSE)</f>
        <v>0.61799999999999999</v>
      </c>
      <c r="E90" s="16">
        <f>VLOOKUP(A90,'SGT-5'!$A:$C,3,FALSE)</f>
        <v>47</v>
      </c>
      <c r="F90" s="16">
        <f t="shared" si="5"/>
        <v>-42</v>
      </c>
      <c r="I90">
        <v>89</v>
      </c>
      <c r="J90" t="s">
        <v>106</v>
      </c>
      <c r="K90">
        <v>7.4999999999999997E-2</v>
      </c>
      <c r="L90">
        <v>1.5669999999999999</v>
      </c>
      <c r="M90">
        <v>-6.68</v>
      </c>
      <c r="N90">
        <v>8.2449999999999992</v>
      </c>
      <c r="O90">
        <v>21</v>
      </c>
    </row>
    <row r="91" spans="1:15">
      <c r="A91" t="str">
        <f t="shared" si="3"/>
        <v>Thomas Detry</v>
      </c>
      <c r="B91" s="38">
        <f t="shared" si="3"/>
        <v>7.1999999999999995E-2</v>
      </c>
      <c r="C91" s="16">
        <f t="shared" si="4"/>
        <v>90</v>
      </c>
      <c r="D91" s="38">
        <f>VLOOKUP(A91,'SGT-5'!$A:$B,2,FALSE)</f>
        <v>-0.99399999999999999</v>
      </c>
      <c r="E91" s="16">
        <f>VLOOKUP(A91,'SGT-5'!$A:$C,3,FALSE)</f>
        <v>154</v>
      </c>
      <c r="F91" s="16">
        <f t="shared" si="5"/>
        <v>64</v>
      </c>
      <c r="I91">
        <v>90</v>
      </c>
      <c r="J91" t="s">
        <v>46</v>
      </c>
      <c r="K91">
        <v>7.1999999999999995E-2</v>
      </c>
      <c r="L91">
        <v>1.802</v>
      </c>
      <c r="M91">
        <v>-8.4350000000000005</v>
      </c>
      <c r="N91">
        <v>10.237</v>
      </c>
      <c r="O91">
        <v>25</v>
      </c>
    </row>
    <row r="92" spans="1:15">
      <c r="A92" t="str">
        <f t="shared" si="3"/>
        <v>Patrick Cantlay</v>
      </c>
      <c r="B92" s="38">
        <f t="shared" si="3"/>
        <v>6.9000000000000006E-2</v>
      </c>
      <c r="C92" s="16">
        <f t="shared" si="4"/>
        <v>91</v>
      </c>
      <c r="D92" s="38">
        <f>VLOOKUP(A92,'SGT-5'!$A:$B,2,FALSE)</f>
        <v>0.52600000000000002</v>
      </c>
      <c r="E92" s="16">
        <f>VLOOKUP(A92,'SGT-5'!$A:$C,3,FALSE)</f>
        <v>55</v>
      </c>
      <c r="F92" s="16">
        <f t="shared" si="5"/>
        <v>-36</v>
      </c>
      <c r="I92">
        <v>91</v>
      </c>
      <c r="J92" t="s">
        <v>40</v>
      </c>
      <c r="K92">
        <v>6.9000000000000006E-2</v>
      </c>
      <c r="L92">
        <v>1.45</v>
      </c>
      <c r="M92">
        <v>-4</v>
      </c>
      <c r="N92">
        <v>5.45</v>
      </c>
      <c r="O92">
        <v>21</v>
      </c>
    </row>
    <row r="93" spans="1:15">
      <c r="A93" t="str">
        <f t="shared" si="3"/>
        <v>Ryo Hisatsune</v>
      </c>
      <c r="B93" s="38">
        <f t="shared" si="3"/>
        <v>0.06</v>
      </c>
      <c r="C93" s="16">
        <f t="shared" si="4"/>
        <v>92</v>
      </c>
      <c r="D93" s="38">
        <f>VLOOKUP(A93,'SGT-5'!$A:$B,2,FALSE)</f>
        <v>0.20399999999999999</v>
      </c>
      <c r="E93" s="16">
        <f>VLOOKUP(A93,'SGT-5'!$A:$C,3,FALSE)</f>
        <v>89</v>
      </c>
      <c r="F93" s="16">
        <f t="shared" si="5"/>
        <v>-3</v>
      </c>
      <c r="I93">
        <v>92</v>
      </c>
      <c r="J93" t="s">
        <v>427</v>
      </c>
      <c r="K93">
        <v>0.06</v>
      </c>
      <c r="L93">
        <v>1.4970000000000001</v>
      </c>
      <c r="M93">
        <v>5.28</v>
      </c>
      <c r="N93">
        <v>-3.7850000000000001</v>
      </c>
      <c r="O93">
        <v>25</v>
      </c>
    </row>
    <row r="94" spans="1:15">
      <c r="A94" t="str">
        <f t="shared" si="3"/>
        <v>Charley Hoffman</v>
      </c>
      <c r="B94" s="38">
        <f t="shared" si="3"/>
        <v>5.2999999999999999E-2</v>
      </c>
      <c r="C94" s="16">
        <f t="shared" si="4"/>
        <v>93</v>
      </c>
      <c r="D94" s="38">
        <f>VLOOKUP(A94,'SGT-5'!$A:$B,2,FALSE)</f>
        <v>0.441</v>
      </c>
      <c r="E94" s="16">
        <f>VLOOKUP(A94,'SGT-5'!$A:$C,3,FALSE)</f>
        <v>64</v>
      </c>
      <c r="F94" s="16">
        <f t="shared" si="5"/>
        <v>-29</v>
      </c>
      <c r="I94">
        <v>93</v>
      </c>
      <c r="J94" t="s">
        <v>50</v>
      </c>
      <c r="K94">
        <v>5.2999999999999999E-2</v>
      </c>
      <c r="L94">
        <v>1.3340000000000001</v>
      </c>
      <c r="M94">
        <v>3.786</v>
      </c>
      <c r="N94">
        <v>-2.4540000000000002</v>
      </c>
      <c r="O94">
        <v>25</v>
      </c>
    </row>
    <row r="95" spans="1:15">
      <c r="A95" t="str">
        <f t="shared" si="3"/>
        <v>Collin Morikawa</v>
      </c>
      <c r="B95" s="38">
        <f t="shared" si="3"/>
        <v>5.1999999999999998E-2</v>
      </c>
      <c r="C95" s="16">
        <f t="shared" si="4"/>
        <v>94</v>
      </c>
      <c r="D95" s="38">
        <f>VLOOKUP(A95,'SGT-5'!$A:$B,2,FALSE)</f>
        <v>0.91400000000000003</v>
      </c>
      <c r="E95" s="16">
        <f>VLOOKUP(A95,'SGT-5'!$A:$C,3,FALSE)</f>
        <v>26</v>
      </c>
      <c r="F95" s="16">
        <f t="shared" si="5"/>
        <v>-68</v>
      </c>
      <c r="I95">
        <v>94</v>
      </c>
      <c r="J95" t="s">
        <v>135</v>
      </c>
      <c r="K95">
        <v>5.1999999999999998E-2</v>
      </c>
      <c r="L95">
        <v>1.1000000000000001</v>
      </c>
      <c r="M95">
        <v>12.25</v>
      </c>
      <c r="N95">
        <v>-11.151</v>
      </c>
      <c r="O95">
        <v>21</v>
      </c>
    </row>
    <row r="96" spans="1:15">
      <c r="A96" t="str">
        <f t="shared" si="3"/>
        <v>Keegan Bradley</v>
      </c>
      <c r="B96" s="38">
        <f t="shared" si="3"/>
        <v>3.5000000000000003E-2</v>
      </c>
      <c r="C96" s="16">
        <f t="shared" si="4"/>
        <v>95</v>
      </c>
      <c r="D96" s="38">
        <f>VLOOKUP(A96,'SGT-5'!$A:$B,2,FALSE)</f>
        <v>0.50800000000000001</v>
      </c>
      <c r="E96" s="16">
        <f>VLOOKUP(A96,'SGT-5'!$A:$C,3,FALSE)</f>
        <v>56</v>
      </c>
      <c r="F96" s="16">
        <f t="shared" si="5"/>
        <v>-39</v>
      </c>
      <c r="I96">
        <v>95</v>
      </c>
      <c r="J96" t="s">
        <v>58</v>
      </c>
      <c r="K96">
        <v>3.5000000000000003E-2</v>
      </c>
      <c r="L96">
        <v>0.79400000000000004</v>
      </c>
      <c r="M96">
        <v>14.061999999999999</v>
      </c>
      <c r="N96">
        <v>-13.269</v>
      </c>
      <c r="O96">
        <v>23</v>
      </c>
    </row>
    <row r="97" spans="1:15">
      <c r="A97" t="str">
        <f t="shared" si="3"/>
        <v>Roger Sloan</v>
      </c>
      <c r="B97" s="38">
        <f t="shared" si="3"/>
        <v>3.5000000000000003E-2</v>
      </c>
      <c r="C97" s="16">
        <f t="shared" si="4"/>
        <v>95</v>
      </c>
      <c r="D97" s="38" t="e">
        <f>VLOOKUP(A97,'SGT-5'!$A:$B,2,FALSE)</f>
        <v>#N/A</v>
      </c>
      <c r="E97" s="16" t="e">
        <f>VLOOKUP(A97,'SGT-5'!$A:$C,3,FALSE)</f>
        <v>#N/A</v>
      </c>
      <c r="F97" s="16" t="e">
        <f t="shared" si="5"/>
        <v>#N/A</v>
      </c>
      <c r="I97">
        <v>95</v>
      </c>
      <c r="J97" t="s">
        <v>393</v>
      </c>
      <c r="K97">
        <v>3.5000000000000003E-2</v>
      </c>
      <c r="L97">
        <v>0.45500000000000002</v>
      </c>
      <c r="M97">
        <v>3.35</v>
      </c>
      <c r="N97">
        <v>-2.8959999999999999</v>
      </c>
      <c r="O97">
        <v>13</v>
      </c>
    </row>
    <row r="98" spans="1:15">
      <c r="A98" t="str">
        <f t="shared" si="3"/>
        <v>Carl Yuan</v>
      </c>
      <c r="B98" s="38">
        <f t="shared" si="3"/>
        <v>2.5000000000000001E-2</v>
      </c>
      <c r="C98" s="16">
        <f t="shared" si="4"/>
        <v>97</v>
      </c>
      <c r="D98" s="38">
        <f>VLOOKUP(A98,'SGT-5'!$A:$B,2,FALSE)</f>
        <v>-0.219</v>
      </c>
      <c r="E98" s="16">
        <f>VLOOKUP(A98,'SGT-5'!$A:$C,3,FALSE)</f>
        <v>126</v>
      </c>
      <c r="F98" s="16">
        <f t="shared" si="5"/>
        <v>29</v>
      </c>
      <c r="I98">
        <v>97</v>
      </c>
      <c r="J98" t="s">
        <v>48</v>
      </c>
      <c r="K98">
        <v>2.5000000000000001E-2</v>
      </c>
      <c r="L98">
        <v>0.60499999999999998</v>
      </c>
      <c r="M98">
        <v>8.1639999999999997</v>
      </c>
      <c r="N98">
        <v>-7.5620000000000003</v>
      </c>
      <c r="O98">
        <v>24</v>
      </c>
    </row>
    <row r="99" spans="1:15">
      <c r="A99" t="str">
        <f t="shared" si="3"/>
        <v>Tommy Fleetwood</v>
      </c>
      <c r="B99" s="38">
        <f t="shared" si="3"/>
        <v>1.2E-2</v>
      </c>
      <c r="C99" s="16">
        <f t="shared" si="4"/>
        <v>98</v>
      </c>
      <c r="D99" s="38">
        <f>VLOOKUP(A99,'SGT-5'!$A:$B,2,FALSE)</f>
        <v>-0.28100000000000003</v>
      </c>
      <c r="E99" s="16">
        <f>VLOOKUP(A99,'SGT-5'!$A:$C,3,FALSE)</f>
        <v>130</v>
      </c>
      <c r="F99" s="16">
        <f t="shared" si="5"/>
        <v>32</v>
      </c>
      <c r="I99">
        <v>98</v>
      </c>
      <c r="J99" t="s">
        <v>85</v>
      </c>
      <c r="K99">
        <v>1.2E-2</v>
      </c>
      <c r="L99">
        <v>0.24099999999999999</v>
      </c>
      <c r="M99">
        <v>-2.6949999999999998</v>
      </c>
      <c r="N99">
        <v>2.9350000000000001</v>
      </c>
      <c r="O99">
        <v>20</v>
      </c>
    </row>
    <row r="100" spans="1:15">
      <c r="A100" t="str">
        <f t="shared" si="3"/>
        <v>David Skinns</v>
      </c>
      <c r="B100" s="38">
        <f t="shared" si="3"/>
        <v>7.0000000000000001E-3</v>
      </c>
      <c r="C100" s="16">
        <f t="shared" si="4"/>
        <v>99</v>
      </c>
      <c r="D100" s="38">
        <f>VLOOKUP(A100,'SGT-5'!$A:$B,2,FALSE)</f>
        <v>0.52900000000000003</v>
      </c>
      <c r="E100" s="16">
        <f>VLOOKUP(A100,'SGT-5'!$A:$C,3,FALSE)</f>
        <v>54</v>
      </c>
      <c r="F100" s="16">
        <f t="shared" si="5"/>
        <v>-45</v>
      </c>
      <c r="I100">
        <v>99</v>
      </c>
      <c r="J100" t="s">
        <v>410</v>
      </c>
      <c r="K100">
        <v>7.0000000000000001E-3</v>
      </c>
      <c r="L100">
        <v>0.15</v>
      </c>
      <c r="M100">
        <v>1.8</v>
      </c>
      <c r="N100">
        <v>-1.651</v>
      </c>
      <c r="O100">
        <v>21</v>
      </c>
    </row>
    <row r="101" spans="1:15">
      <c r="A101" t="str">
        <f t="shared" si="3"/>
        <v>Harry Hall</v>
      </c>
      <c r="B101" s="38">
        <f t="shared" si="3"/>
        <v>-2E-3</v>
      </c>
      <c r="C101" s="16">
        <f t="shared" si="4"/>
        <v>100</v>
      </c>
      <c r="D101" s="38">
        <f>VLOOKUP(A101,'SGT-5'!$A:$B,2,FALSE)</f>
        <v>0.29699999999999999</v>
      </c>
      <c r="E101" s="16">
        <f>VLOOKUP(A101,'SGT-5'!$A:$C,3,FALSE)</f>
        <v>75</v>
      </c>
      <c r="F101" s="16">
        <f t="shared" si="5"/>
        <v>-25</v>
      </c>
      <c r="I101">
        <v>100</v>
      </c>
      <c r="J101" t="s">
        <v>108</v>
      </c>
      <c r="K101">
        <v>-2E-3</v>
      </c>
      <c r="L101">
        <v>-0.05</v>
      </c>
      <c r="M101">
        <v>3.2010000000000001</v>
      </c>
      <c r="N101">
        <v>-3.2530000000000001</v>
      </c>
      <c r="O101">
        <v>29</v>
      </c>
    </row>
    <row r="102" spans="1:15">
      <c r="A102" t="str">
        <f t="shared" si="3"/>
        <v>Webb Simpson</v>
      </c>
      <c r="B102" s="38">
        <f t="shared" si="3"/>
        <v>-1.2E-2</v>
      </c>
      <c r="C102" s="16">
        <f t="shared" si="4"/>
        <v>101</v>
      </c>
      <c r="D102" s="38" t="e">
        <f>VLOOKUP(A102,'SGT-5'!$A:$B,2,FALSE)</f>
        <v>#N/A</v>
      </c>
      <c r="E102" s="16" t="e">
        <f>VLOOKUP(A102,'SGT-5'!$A:$C,3,FALSE)</f>
        <v>#N/A</v>
      </c>
      <c r="F102" s="16" t="e">
        <f t="shared" si="5"/>
        <v>#N/A</v>
      </c>
      <c r="I102">
        <v>101</v>
      </c>
      <c r="J102" t="s">
        <v>102</v>
      </c>
      <c r="K102">
        <v>-1.2E-2</v>
      </c>
      <c r="L102">
        <v>-0.23899999999999999</v>
      </c>
      <c r="M102">
        <v>7.8689999999999998</v>
      </c>
      <c r="N102">
        <v>-8.109</v>
      </c>
      <c r="O102">
        <v>20</v>
      </c>
    </row>
    <row r="103" spans="1:15">
      <c r="A103" t="str">
        <f t="shared" si="3"/>
        <v>Carson Young</v>
      </c>
      <c r="B103" s="38">
        <f t="shared" si="3"/>
        <v>-1.4999999999999999E-2</v>
      </c>
      <c r="C103" s="16">
        <f t="shared" si="4"/>
        <v>102</v>
      </c>
      <c r="D103" s="38">
        <f>VLOOKUP(A103,'SGT-5'!$A:$B,2,FALSE)</f>
        <v>0.497</v>
      </c>
      <c r="E103" s="16">
        <f>VLOOKUP(A103,'SGT-5'!$A:$C,3,FALSE)</f>
        <v>57</v>
      </c>
      <c r="F103" s="16">
        <f t="shared" si="5"/>
        <v>-45</v>
      </c>
      <c r="I103">
        <v>102</v>
      </c>
      <c r="J103" t="s">
        <v>136</v>
      </c>
      <c r="K103">
        <v>-1.4999999999999999E-2</v>
      </c>
      <c r="L103">
        <v>-0.41399999999999998</v>
      </c>
      <c r="M103">
        <v>0.73199999999999998</v>
      </c>
      <c r="N103">
        <v>-1.149</v>
      </c>
      <c r="O103">
        <v>27</v>
      </c>
    </row>
    <row r="104" spans="1:15">
      <c r="A104" t="str">
        <f t="shared" si="3"/>
        <v>Patrick Rodgers</v>
      </c>
      <c r="B104" s="38">
        <f t="shared" si="3"/>
        <v>-3.4000000000000002E-2</v>
      </c>
      <c r="C104" s="16">
        <f t="shared" si="4"/>
        <v>103</v>
      </c>
      <c r="D104" s="38">
        <f>VLOOKUP(A104,'SGT-5'!$A:$B,2,FALSE)</f>
        <v>0.46600000000000003</v>
      </c>
      <c r="E104" s="16">
        <f>VLOOKUP(A104,'SGT-5'!$A:$C,3,FALSE)</f>
        <v>62</v>
      </c>
      <c r="F104" s="16">
        <f t="shared" si="5"/>
        <v>-41</v>
      </c>
      <c r="I104">
        <v>103</v>
      </c>
      <c r="J104" t="s">
        <v>38</v>
      </c>
      <c r="K104">
        <v>-3.4000000000000002E-2</v>
      </c>
      <c r="L104">
        <v>-1.0840000000000001</v>
      </c>
      <c r="M104">
        <v>5.492</v>
      </c>
      <c r="N104">
        <v>-6.5780000000000003</v>
      </c>
      <c r="O104">
        <v>32</v>
      </c>
    </row>
    <row r="105" spans="1:15">
      <c r="A105" t="str">
        <f t="shared" si="3"/>
        <v>Greyson Sigg</v>
      </c>
      <c r="B105" s="38">
        <f t="shared" si="3"/>
        <v>-5.5E-2</v>
      </c>
      <c r="C105" s="16">
        <f t="shared" si="4"/>
        <v>104</v>
      </c>
      <c r="D105" s="38">
        <f>VLOOKUP(A105,'SGT-5'!$A:$B,2,FALSE)</f>
        <v>-5.8999999999999997E-2</v>
      </c>
      <c r="E105" s="16">
        <f>VLOOKUP(A105,'SGT-5'!$A:$C,3,FALSE)</f>
        <v>113</v>
      </c>
      <c r="F105" s="16">
        <f t="shared" si="5"/>
        <v>9</v>
      </c>
      <c r="I105">
        <v>104</v>
      </c>
      <c r="J105" t="s">
        <v>134</v>
      </c>
      <c r="K105">
        <v>-5.5E-2</v>
      </c>
      <c r="L105">
        <v>-1.4950000000000001</v>
      </c>
      <c r="M105">
        <v>15.935</v>
      </c>
      <c r="N105">
        <v>-17.431000000000001</v>
      </c>
      <c r="O105">
        <v>27</v>
      </c>
    </row>
    <row r="106" spans="1:15">
      <c r="A106" t="str">
        <f t="shared" si="3"/>
        <v>Zach Johnson</v>
      </c>
      <c r="B106" s="38">
        <f t="shared" si="3"/>
        <v>-5.7000000000000002E-2</v>
      </c>
      <c r="C106" s="16">
        <f t="shared" si="4"/>
        <v>105</v>
      </c>
      <c r="D106" s="38">
        <f>VLOOKUP(A106,'SGT-5'!$A:$B,2,FALSE)</f>
        <v>0.221</v>
      </c>
      <c r="E106" s="16">
        <f>VLOOKUP(A106,'SGT-5'!$A:$C,3,FALSE)</f>
        <v>87</v>
      </c>
      <c r="F106" s="16">
        <f t="shared" si="5"/>
        <v>-18</v>
      </c>
      <c r="I106">
        <v>105</v>
      </c>
      <c r="J106" t="s">
        <v>170</v>
      </c>
      <c r="K106">
        <v>-5.7000000000000002E-2</v>
      </c>
      <c r="L106">
        <v>-0.79700000000000004</v>
      </c>
      <c r="M106">
        <v>-3.125</v>
      </c>
      <c r="N106">
        <v>2.327</v>
      </c>
      <c r="O106">
        <v>14</v>
      </c>
    </row>
    <row r="107" spans="1:15">
      <c r="A107" t="str">
        <f t="shared" si="3"/>
        <v>Erik Barnes</v>
      </c>
      <c r="B107" s="38">
        <f t="shared" si="3"/>
        <v>-6.2E-2</v>
      </c>
      <c r="C107" s="16">
        <f t="shared" si="4"/>
        <v>106</v>
      </c>
      <c r="D107" s="38">
        <f>VLOOKUP(A107,'SGT-5'!$A:$B,2,FALSE)</f>
        <v>-5.0000000000000001E-3</v>
      </c>
      <c r="E107" s="16">
        <f>VLOOKUP(A107,'SGT-5'!$A:$C,3,FALSE)</f>
        <v>107</v>
      </c>
      <c r="F107" s="16">
        <f t="shared" si="5"/>
        <v>1</v>
      </c>
      <c r="I107">
        <v>106</v>
      </c>
      <c r="J107" t="s">
        <v>235</v>
      </c>
      <c r="K107">
        <v>-6.2E-2</v>
      </c>
      <c r="L107">
        <v>-0.86099999999999999</v>
      </c>
      <c r="M107">
        <v>-2.282</v>
      </c>
      <c r="N107">
        <v>1.42</v>
      </c>
      <c r="O107">
        <v>14</v>
      </c>
    </row>
    <row r="108" spans="1:15">
      <c r="A108" t="str">
        <f t="shared" si="3"/>
        <v>Scott Stallings</v>
      </c>
      <c r="B108" s="38">
        <f t="shared" si="3"/>
        <v>-6.3E-2</v>
      </c>
      <c r="C108" s="16">
        <f t="shared" si="4"/>
        <v>107</v>
      </c>
      <c r="D108" s="38">
        <f>VLOOKUP(A108,'SGT-5'!$A:$B,2,FALSE)</f>
        <v>2E-3</v>
      </c>
      <c r="E108" s="16">
        <f>VLOOKUP(A108,'SGT-5'!$A:$C,3,FALSE)</f>
        <v>105</v>
      </c>
      <c r="F108" s="16">
        <f t="shared" si="5"/>
        <v>-2</v>
      </c>
      <c r="I108">
        <v>107</v>
      </c>
      <c r="J108" t="s">
        <v>89</v>
      </c>
      <c r="K108">
        <v>-6.3E-2</v>
      </c>
      <c r="L108">
        <v>-1.252</v>
      </c>
      <c r="M108">
        <v>9.5969999999999995</v>
      </c>
      <c r="N108">
        <v>-10.85</v>
      </c>
      <c r="O108">
        <v>20</v>
      </c>
    </row>
    <row r="109" spans="1:15">
      <c r="A109" t="str">
        <f t="shared" si="3"/>
        <v>Chris Gotterup</v>
      </c>
      <c r="B109" s="38">
        <f t="shared" si="3"/>
        <v>-6.8000000000000005E-2</v>
      </c>
      <c r="C109" s="16">
        <f t="shared" si="4"/>
        <v>108</v>
      </c>
      <c r="D109" s="38">
        <f>VLOOKUP(A109,'SGT-5'!$A:$B,2,FALSE)</f>
        <v>0.19900000000000001</v>
      </c>
      <c r="E109" s="16">
        <f>VLOOKUP(A109,'SGT-5'!$A:$C,3,FALSE)</f>
        <v>90</v>
      </c>
      <c r="F109" s="16">
        <f t="shared" si="5"/>
        <v>-18</v>
      </c>
      <c r="I109">
        <v>108</v>
      </c>
      <c r="J109" t="s">
        <v>596</v>
      </c>
      <c r="K109">
        <v>-6.8000000000000005E-2</v>
      </c>
      <c r="L109">
        <v>-1.3620000000000001</v>
      </c>
      <c r="M109">
        <v>-8.0850000000000009</v>
      </c>
      <c r="N109">
        <v>6.7220000000000004</v>
      </c>
      <c r="O109">
        <v>20</v>
      </c>
    </row>
    <row r="110" spans="1:15">
      <c r="A110" t="str">
        <f t="shared" si="3"/>
        <v>Grayson Murray</v>
      </c>
      <c r="B110" s="38">
        <f t="shared" si="3"/>
        <v>-6.8000000000000005E-2</v>
      </c>
      <c r="C110" s="16">
        <f t="shared" si="4"/>
        <v>108</v>
      </c>
      <c r="D110" s="38">
        <f>VLOOKUP(A110,'SGT-5'!$A:$B,2,FALSE)</f>
        <v>-0.40300000000000002</v>
      </c>
      <c r="E110" s="16">
        <f>VLOOKUP(A110,'SGT-5'!$A:$C,3,FALSE)</f>
        <v>136</v>
      </c>
      <c r="F110" s="16">
        <f t="shared" si="5"/>
        <v>28</v>
      </c>
      <c r="I110">
        <v>108</v>
      </c>
      <c r="J110" t="s">
        <v>372</v>
      </c>
      <c r="K110">
        <v>-6.8000000000000005E-2</v>
      </c>
      <c r="L110">
        <v>-1.3520000000000001</v>
      </c>
      <c r="M110">
        <v>5.5149999999999997</v>
      </c>
      <c r="N110">
        <v>-6.8659999999999997</v>
      </c>
      <c r="O110">
        <v>20</v>
      </c>
    </row>
    <row r="111" spans="1:15">
      <c r="A111" t="str">
        <f t="shared" si="3"/>
        <v>Wilson Furr</v>
      </c>
      <c r="B111" s="38">
        <f t="shared" si="3"/>
        <v>-8.6999999999999994E-2</v>
      </c>
      <c r="C111" s="16">
        <f t="shared" si="4"/>
        <v>110</v>
      </c>
      <c r="D111" s="38">
        <f>VLOOKUP(A111,'SGT-5'!$A:$B,2,FALSE)</f>
        <v>-3.4000000000000002E-2</v>
      </c>
      <c r="E111" s="16">
        <f>VLOOKUP(A111,'SGT-5'!$A:$C,3,FALSE)</f>
        <v>110</v>
      </c>
      <c r="F111" s="16">
        <f t="shared" si="5"/>
        <v>0</v>
      </c>
      <c r="I111">
        <v>110</v>
      </c>
      <c r="J111" t="s">
        <v>692</v>
      </c>
      <c r="K111">
        <v>-8.6999999999999994E-2</v>
      </c>
      <c r="L111">
        <v>-1.1299999999999999</v>
      </c>
      <c r="M111">
        <v>-6.6079999999999997</v>
      </c>
      <c r="N111">
        <v>5.4770000000000003</v>
      </c>
      <c r="O111">
        <v>13</v>
      </c>
    </row>
    <row r="112" spans="1:15">
      <c r="A112" t="str">
        <f t="shared" si="3"/>
        <v>Sam Ryder</v>
      </c>
      <c r="B112" s="38">
        <f t="shared" si="3"/>
        <v>-0.10100000000000001</v>
      </c>
      <c r="C112" s="16">
        <f t="shared" si="4"/>
        <v>111</v>
      </c>
      <c r="D112" s="38">
        <f>VLOOKUP(A112,'SGT-5'!$A:$B,2,FALSE)</f>
        <v>-0.11700000000000001</v>
      </c>
      <c r="E112" s="16">
        <f>VLOOKUP(A112,'SGT-5'!$A:$C,3,FALSE)</f>
        <v>117</v>
      </c>
      <c r="F112" s="16">
        <f t="shared" si="5"/>
        <v>6</v>
      </c>
      <c r="I112">
        <v>111</v>
      </c>
      <c r="J112" t="s">
        <v>146</v>
      </c>
      <c r="K112">
        <v>-0.10100000000000001</v>
      </c>
      <c r="L112">
        <v>-2.5139999999999998</v>
      </c>
      <c r="M112">
        <v>-11.55</v>
      </c>
      <c r="N112">
        <v>9.0359999999999996</v>
      </c>
      <c r="O112">
        <v>25</v>
      </c>
    </row>
    <row r="113" spans="1:15">
      <c r="A113" t="str">
        <f t="shared" si="3"/>
        <v>Matti Schmid</v>
      </c>
      <c r="B113" s="38">
        <f t="shared" si="3"/>
        <v>-0.11700000000000001</v>
      </c>
      <c r="C113" s="16">
        <f t="shared" si="4"/>
        <v>112</v>
      </c>
      <c r="D113" s="38">
        <f>VLOOKUP(A113,'SGT-5'!$A:$B,2,FALSE)</f>
        <v>-2.089</v>
      </c>
      <c r="E113" s="16">
        <f>VLOOKUP(A113,'SGT-5'!$A:$C,3,FALSE)</f>
        <v>179</v>
      </c>
      <c r="F113" s="16">
        <f t="shared" si="5"/>
        <v>67</v>
      </c>
      <c r="I113">
        <v>112</v>
      </c>
      <c r="J113" t="s">
        <v>11</v>
      </c>
      <c r="K113">
        <v>-0.11700000000000001</v>
      </c>
      <c r="L113">
        <v>-2.927</v>
      </c>
      <c r="M113">
        <v>-7.2530000000000001</v>
      </c>
      <c r="N113">
        <v>4.3250000000000002</v>
      </c>
      <c r="O113">
        <v>25</v>
      </c>
    </row>
    <row r="114" spans="1:15">
      <c r="A114" t="str">
        <f t="shared" si="3"/>
        <v>Sungjae Im</v>
      </c>
      <c r="B114" s="38">
        <f t="shared" si="3"/>
        <v>-0.13</v>
      </c>
      <c r="C114" s="16">
        <f t="shared" si="4"/>
        <v>113</v>
      </c>
      <c r="D114" s="38">
        <f>VLOOKUP(A114,'SGT-5'!$A:$B,2,FALSE)</f>
        <v>-0.122</v>
      </c>
      <c r="E114" s="16">
        <f>VLOOKUP(A114,'SGT-5'!$A:$C,3,FALSE)</f>
        <v>118</v>
      </c>
      <c r="F114" s="16">
        <f t="shared" si="5"/>
        <v>5</v>
      </c>
      <c r="I114">
        <v>113</v>
      </c>
      <c r="J114" t="s">
        <v>113</v>
      </c>
      <c r="K114">
        <v>-0.13</v>
      </c>
      <c r="L114">
        <v>-3.516</v>
      </c>
      <c r="M114">
        <v>2.3220000000000001</v>
      </c>
      <c r="N114">
        <v>-5.8390000000000004</v>
      </c>
      <c r="O114">
        <v>27</v>
      </c>
    </row>
    <row r="115" spans="1:15">
      <c r="A115" t="str">
        <f t="shared" si="3"/>
        <v>Luke List</v>
      </c>
      <c r="B115" s="38">
        <f t="shared" si="3"/>
        <v>-0.13700000000000001</v>
      </c>
      <c r="C115" s="16">
        <f t="shared" si="4"/>
        <v>114</v>
      </c>
      <c r="D115" s="38">
        <f>VLOOKUP(A115,'SGT-5'!$A:$B,2,FALSE)</f>
        <v>0.38100000000000001</v>
      </c>
      <c r="E115" s="16">
        <f>VLOOKUP(A115,'SGT-5'!$A:$C,3,FALSE)</f>
        <v>69</v>
      </c>
      <c r="F115" s="16">
        <f t="shared" si="5"/>
        <v>-45</v>
      </c>
      <c r="I115">
        <v>114</v>
      </c>
      <c r="J115" t="s">
        <v>23</v>
      </c>
      <c r="K115">
        <v>-0.13700000000000001</v>
      </c>
      <c r="L115">
        <v>-3.9670000000000001</v>
      </c>
      <c r="M115">
        <v>1.7350000000000001</v>
      </c>
      <c r="N115">
        <v>-5.7039999999999997</v>
      </c>
      <c r="O115">
        <v>29</v>
      </c>
    </row>
    <row r="116" spans="1:15">
      <c r="A116" t="str">
        <f t="shared" si="3"/>
        <v>Kevin Yu</v>
      </c>
      <c r="B116" s="38">
        <f t="shared" si="3"/>
        <v>-0.14599999999999999</v>
      </c>
      <c r="C116" s="16">
        <f t="shared" si="4"/>
        <v>115</v>
      </c>
      <c r="D116" s="38">
        <f>VLOOKUP(A116,'SGT-5'!$A:$B,2,FALSE)</f>
        <v>-0.21199999999999999</v>
      </c>
      <c r="E116" s="16">
        <f>VLOOKUP(A116,'SGT-5'!$A:$C,3,FALSE)</f>
        <v>125</v>
      </c>
      <c r="F116" s="16">
        <f t="shared" si="5"/>
        <v>10</v>
      </c>
      <c r="I116">
        <v>115</v>
      </c>
      <c r="J116" t="s">
        <v>26</v>
      </c>
      <c r="K116">
        <v>-0.14599999999999999</v>
      </c>
      <c r="L116">
        <v>-3.3530000000000002</v>
      </c>
      <c r="M116">
        <v>11.404999999999999</v>
      </c>
      <c r="N116">
        <v>-14.759</v>
      </c>
      <c r="O116">
        <v>23</v>
      </c>
    </row>
    <row r="117" spans="1:15">
      <c r="A117" t="str">
        <f t="shared" si="3"/>
        <v>Min Woo Lee</v>
      </c>
      <c r="B117" s="38">
        <f t="shared" si="3"/>
        <v>-0.152</v>
      </c>
      <c r="C117" s="16">
        <f t="shared" si="4"/>
        <v>116</v>
      </c>
      <c r="D117" s="38">
        <f>VLOOKUP(A117,'SGT-5'!$A:$B,2,FALSE)</f>
        <v>0.47699999999999998</v>
      </c>
      <c r="E117" s="16">
        <f>VLOOKUP(A117,'SGT-5'!$A:$C,3,FALSE)</f>
        <v>58</v>
      </c>
      <c r="F117" s="16">
        <f t="shared" si="5"/>
        <v>-58</v>
      </c>
      <c r="I117">
        <v>116</v>
      </c>
      <c r="J117" t="s">
        <v>544</v>
      </c>
      <c r="K117">
        <v>-0.152</v>
      </c>
      <c r="L117">
        <v>-3.194</v>
      </c>
      <c r="M117">
        <v>6.2169999999999996</v>
      </c>
      <c r="N117">
        <v>-9.4109999999999996</v>
      </c>
      <c r="O117">
        <v>21</v>
      </c>
    </row>
    <row r="118" spans="1:15">
      <c r="A118" t="str">
        <f t="shared" si="3"/>
        <v>Garrick Higgo</v>
      </c>
      <c r="B118" s="38">
        <f t="shared" si="3"/>
        <v>-0.157</v>
      </c>
      <c r="C118" s="16">
        <f t="shared" si="4"/>
        <v>117</v>
      </c>
      <c r="D118" s="38">
        <f>VLOOKUP(A118,'SGT-5'!$A:$B,2,FALSE)</f>
        <v>-0.28299999999999997</v>
      </c>
      <c r="E118" s="16">
        <f>VLOOKUP(A118,'SGT-5'!$A:$C,3,FALSE)</f>
        <v>131</v>
      </c>
      <c r="F118" s="16">
        <f t="shared" si="5"/>
        <v>14</v>
      </c>
      <c r="I118">
        <v>117</v>
      </c>
      <c r="J118" t="s">
        <v>32</v>
      </c>
      <c r="K118">
        <v>-0.157</v>
      </c>
      <c r="L118">
        <v>-4.0730000000000004</v>
      </c>
      <c r="M118">
        <v>-13.734</v>
      </c>
      <c r="N118">
        <v>9.6609999999999996</v>
      </c>
      <c r="O118">
        <v>26</v>
      </c>
    </row>
    <row r="119" spans="1:15">
      <c r="A119" t="str">
        <f t="shared" si="3"/>
        <v>Chad Ramey</v>
      </c>
      <c r="B119" s="38">
        <f t="shared" si="3"/>
        <v>-0.16500000000000001</v>
      </c>
      <c r="C119" s="16">
        <f t="shared" si="4"/>
        <v>118</v>
      </c>
      <c r="D119" s="38">
        <f>VLOOKUP(A119,'SGT-5'!$A:$B,2,FALSE)</f>
        <v>-0.32700000000000001</v>
      </c>
      <c r="E119" s="16">
        <f>VLOOKUP(A119,'SGT-5'!$A:$C,3,FALSE)</f>
        <v>133</v>
      </c>
      <c r="F119" s="16">
        <f t="shared" si="5"/>
        <v>15</v>
      </c>
      <c r="I119">
        <v>118</v>
      </c>
      <c r="J119" t="s">
        <v>148</v>
      </c>
      <c r="K119">
        <v>-0.16500000000000001</v>
      </c>
      <c r="L119">
        <v>-4.1260000000000003</v>
      </c>
      <c r="M119">
        <v>-22.486000000000001</v>
      </c>
      <c r="N119">
        <v>18.358000000000001</v>
      </c>
      <c r="O119">
        <v>25</v>
      </c>
    </row>
    <row r="120" spans="1:15">
      <c r="A120" t="str">
        <f t="shared" si="3"/>
        <v>Viktor Hovland</v>
      </c>
      <c r="B120" s="38">
        <f t="shared" si="3"/>
        <v>-0.17699999999999999</v>
      </c>
      <c r="C120" s="16">
        <f t="shared" si="4"/>
        <v>119</v>
      </c>
      <c r="D120" s="38">
        <f>VLOOKUP(A120,'SGT-5'!$A:$B,2,FALSE)</f>
        <v>-8.1000000000000003E-2</v>
      </c>
      <c r="E120" s="16">
        <f>VLOOKUP(A120,'SGT-5'!$A:$C,3,FALSE)</f>
        <v>115</v>
      </c>
      <c r="F120" s="16">
        <f t="shared" si="5"/>
        <v>-4</v>
      </c>
      <c r="I120">
        <v>119</v>
      </c>
      <c r="J120" t="s">
        <v>47</v>
      </c>
      <c r="K120">
        <v>-0.17699999999999999</v>
      </c>
      <c r="L120">
        <v>-3.1890000000000001</v>
      </c>
      <c r="M120">
        <v>-7.1079999999999997</v>
      </c>
      <c r="N120">
        <v>3.919</v>
      </c>
      <c r="O120">
        <v>18</v>
      </c>
    </row>
    <row r="121" spans="1:15">
      <c r="A121" t="str">
        <f t="shared" si="3"/>
        <v>Cameron Champ</v>
      </c>
      <c r="B121" s="38">
        <f t="shared" si="3"/>
        <v>-0.20899999999999999</v>
      </c>
      <c r="C121" s="16">
        <f t="shared" si="4"/>
        <v>120</v>
      </c>
      <c r="D121" s="38">
        <f>VLOOKUP(A121,'SGT-5'!$A:$B,2,FALSE)</f>
        <v>-0.36799999999999999</v>
      </c>
      <c r="E121" s="16">
        <f>VLOOKUP(A121,'SGT-5'!$A:$C,3,FALSE)</f>
        <v>135</v>
      </c>
      <c r="F121" s="16">
        <f t="shared" si="5"/>
        <v>15</v>
      </c>
      <c r="I121">
        <v>120</v>
      </c>
      <c r="J121" t="s">
        <v>8</v>
      </c>
      <c r="K121">
        <v>-0.20899999999999999</v>
      </c>
      <c r="L121">
        <v>-4.3970000000000002</v>
      </c>
      <c r="M121">
        <v>-13.946999999999999</v>
      </c>
      <c r="N121">
        <v>9.548</v>
      </c>
      <c r="O121">
        <v>21</v>
      </c>
    </row>
    <row r="122" spans="1:15">
      <c r="A122" t="str">
        <f t="shared" si="3"/>
        <v>Matt Wallace</v>
      </c>
      <c r="B122" s="38">
        <f t="shared" si="3"/>
        <v>-0.222</v>
      </c>
      <c r="C122" s="16">
        <f t="shared" si="4"/>
        <v>121</v>
      </c>
      <c r="D122" s="38">
        <f>VLOOKUP(A122,'SGT-5'!$A:$B,2,FALSE)</f>
        <v>-0.11</v>
      </c>
      <c r="E122" s="16">
        <f>VLOOKUP(A122,'SGT-5'!$A:$C,3,FALSE)</f>
        <v>116</v>
      </c>
      <c r="F122" s="16">
        <f t="shared" si="5"/>
        <v>-5</v>
      </c>
      <c r="I122">
        <v>121</v>
      </c>
      <c r="J122" t="s">
        <v>82</v>
      </c>
      <c r="K122">
        <v>-0.222</v>
      </c>
      <c r="L122">
        <v>-5.9980000000000002</v>
      </c>
      <c r="M122">
        <v>-13.839</v>
      </c>
      <c r="N122">
        <v>7.8380000000000001</v>
      </c>
      <c r="O122">
        <v>27</v>
      </c>
    </row>
    <row r="123" spans="1:15">
      <c r="A123" t="str">
        <f t="shared" si="3"/>
        <v>Chez Reavie</v>
      </c>
      <c r="B123" s="38">
        <f t="shared" si="3"/>
        <v>-0.23499999999999999</v>
      </c>
      <c r="C123" s="16">
        <f t="shared" si="4"/>
        <v>122</v>
      </c>
      <c r="D123" s="38">
        <f>VLOOKUP(A123,'SGT-5'!$A:$B,2,FALSE)</f>
        <v>-1.528</v>
      </c>
      <c r="E123" s="16">
        <f>VLOOKUP(A123,'SGT-5'!$A:$C,3,FALSE)</f>
        <v>171</v>
      </c>
      <c r="F123" s="16">
        <f t="shared" si="5"/>
        <v>49</v>
      </c>
      <c r="I123">
        <v>122</v>
      </c>
      <c r="J123" t="s">
        <v>177</v>
      </c>
      <c r="K123">
        <v>-0.23499999999999999</v>
      </c>
      <c r="L123">
        <v>-4.4560000000000004</v>
      </c>
      <c r="M123">
        <v>0.252</v>
      </c>
      <c r="N123">
        <v>-4.7110000000000003</v>
      </c>
      <c r="O123">
        <v>19</v>
      </c>
    </row>
    <row r="124" spans="1:15">
      <c r="A124" t="str">
        <f t="shared" si="3"/>
        <v>Joel Dahmen</v>
      </c>
      <c r="B124" s="38">
        <f t="shared" si="3"/>
        <v>-0.24399999999999999</v>
      </c>
      <c r="C124" s="16">
        <f t="shared" si="4"/>
        <v>123</v>
      </c>
      <c r="D124" s="38">
        <f>VLOOKUP(A124,'SGT-5'!$A:$B,2,FALSE)</f>
        <v>-0.83099999999999996</v>
      </c>
      <c r="E124" s="16">
        <f>VLOOKUP(A124,'SGT-5'!$A:$C,3,FALSE)</f>
        <v>146</v>
      </c>
      <c r="F124" s="16">
        <f t="shared" si="5"/>
        <v>23</v>
      </c>
      <c r="I124">
        <v>123</v>
      </c>
      <c r="J124" t="s">
        <v>137</v>
      </c>
      <c r="K124">
        <v>-0.24399999999999999</v>
      </c>
      <c r="L124">
        <v>-5.6130000000000004</v>
      </c>
      <c r="M124">
        <v>18.285</v>
      </c>
      <c r="N124">
        <v>-23.899000000000001</v>
      </c>
      <c r="O124">
        <v>23</v>
      </c>
    </row>
    <row r="125" spans="1:15">
      <c r="A125" t="str">
        <f t="shared" si="3"/>
        <v>Nicolai Højgaard</v>
      </c>
      <c r="B125" s="38">
        <f t="shared" si="3"/>
        <v>-0.26900000000000002</v>
      </c>
      <c r="C125" s="16">
        <f t="shared" si="4"/>
        <v>124</v>
      </c>
      <c r="D125" s="38">
        <f>VLOOKUP(A125,'SGT-5'!$A:$B,2,FALSE)</f>
        <v>0.59199999999999997</v>
      </c>
      <c r="E125" s="16">
        <f>VLOOKUP(A125,'SGT-5'!$A:$C,3,FALSE)</f>
        <v>48</v>
      </c>
      <c r="F125" s="16">
        <f t="shared" si="5"/>
        <v>-76</v>
      </c>
      <c r="I125">
        <v>124</v>
      </c>
      <c r="J125" t="s">
        <v>595</v>
      </c>
      <c r="K125">
        <v>-0.26900000000000002</v>
      </c>
      <c r="L125">
        <v>-5.6390000000000002</v>
      </c>
      <c r="M125">
        <v>3.6070000000000002</v>
      </c>
      <c r="N125">
        <v>-9.2469999999999999</v>
      </c>
      <c r="O125">
        <v>21</v>
      </c>
    </row>
    <row r="126" spans="1:15">
      <c r="A126" t="str">
        <f t="shared" si="3"/>
        <v>Rico Hoey</v>
      </c>
      <c r="B126" s="38">
        <f t="shared" si="3"/>
        <v>-0.28799999999999998</v>
      </c>
      <c r="C126" s="16">
        <f t="shared" si="4"/>
        <v>125</v>
      </c>
      <c r="D126" s="38">
        <f>VLOOKUP(A126,'SGT-5'!$A:$B,2,FALSE)</f>
        <v>-1.1080000000000001</v>
      </c>
      <c r="E126" s="16">
        <f>VLOOKUP(A126,'SGT-5'!$A:$C,3,FALSE)</f>
        <v>155</v>
      </c>
      <c r="F126" s="16">
        <f t="shared" si="5"/>
        <v>30</v>
      </c>
      <c r="I126">
        <v>125</v>
      </c>
      <c r="J126" t="s">
        <v>485</v>
      </c>
      <c r="K126">
        <v>-0.28799999999999998</v>
      </c>
      <c r="L126">
        <v>-5.4749999999999996</v>
      </c>
      <c r="M126">
        <v>11.618</v>
      </c>
      <c r="N126">
        <v>-17.094999999999999</v>
      </c>
      <c r="O126">
        <v>19</v>
      </c>
    </row>
    <row r="127" spans="1:15">
      <c r="A127" t="str">
        <f t="shared" si="3"/>
        <v>Jhonattan Vegas</v>
      </c>
      <c r="B127" s="38">
        <f t="shared" si="3"/>
        <v>-0.30599999999999999</v>
      </c>
      <c r="C127" s="16">
        <f t="shared" si="4"/>
        <v>126</v>
      </c>
      <c r="D127" s="38">
        <f>VLOOKUP(A127,'SGT-5'!$A:$B,2,FALSE)</f>
        <v>-0.623</v>
      </c>
      <c r="E127" s="16">
        <f>VLOOKUP(A127,'SGT-5'!$A:$C,3,FALSE)</f>
        <v>139</v>
      </c>
      <c r="F127" s="16">
        <f t="shared" si="5"/>
        <v>13</v>
      </c>
      <c r="I127">
        <v>126</v>
      </c>
      <c r="J127" t="s">
        <v>241</v>
      </c>
      <c r="K127">
        <v>-0.30599999999999999</v>
      </c>
      <c r="L127">
        <v>-5.8179999999999996</v>
      </c>
      <c r="M127">
        <v>11.305</v>
      </c>
      <c r="N127">
        <v>-17.125</v>
      </c>
      <c r="O127">
        <v>19</v>
      </c>
    </row>
    <row r="128" spans="1:15">
      <c r="A128" t="str">
        <f t="shared" si="3"/>
        <v>Tom Whitney</v>
      </c>
      <c r="B128" s="38">
        <f t="shared" si="3"/>
        <v>-0.318</v>
      </c>
      <c r="C128" s="16">
        <f t="shared" si="4"/>
        <v>127</v>
      </c>
      <c r="D128" s="38">
        <f>VLOOKUP(A128,'SGT-5'!$A:$B,2,FALSE)</f>
        <v>-0.128</v>
      </c>
      <c r="E128" s="16">
        <f>VLOOKUP(A128,'SGT-5'!$A:$C,3,FALSE)</f>
        <v>120</v>
      </c>
      <c r="F128" s="16">
        <f t="shared" si="5"/>
        <v>-7</v>
      </c>
      <c r="I128">
        <v>127</v>
      </c>
      <c r="J128" t="s">
        <v>563</v>
      </c>
      <c r="K128">
        <v>-0.318</v>
      </c>
      <c r="L128">
        <v>-5.4029999999999996</v>
      </c>
      <c r="M128">
        <v>-5.1219999999999999</v>
      </c>
      <c r="N128">
        <v>-0.28299999999999997</v>
      </c>
      <c r="O128">
        <v>17</v>
      </c>
    </row>
    <row r="129" spans="1:15">
      <c r="A129" t="str">
        <f t="shared" si="3"/>
        <v>Lanto Griffin</v>
      </c>
      <c r="B129" s="38">
        <f t="shared" si="3"/>
        <v>-0.32900000000000001</v>
      </c>
      <c r="C129" s="16">
        <f t="shared" si="4"/>
        <v>128</v>
      </c>
      <c r="D129" s="38">
        <f>VLOOKUP(A129,'SGT-5'!$A:$B,2,FALSE)</f>
        <v>-0.624</v>
      </c>
      <c r="E129" s="16">
        <f>VLOOKUP(A129,'SGT-5'!$A:$C,3,FALSE)</f>
        <v>140</v>
      </c>
      <c r="F129" s="16">
        <f t="shared" si="5"/>
        <v>12</v>
      </c>
      <c r="I129">
        <v>128</v>
      </c>
      <c r="J129" t="s">
        <v>80</v>
      </c>
      <c r="K129">
        <v>-0.32900000000000001</v>
      </c>
      <c r="L129">
        <v>-6.9080000000000004</v>
      </c>
      <c r="M129">
        <v>0.38600000000000001</v>
      </c>
      <c r="N129">
        <v>-7.2949999999999999</v>
      </c>
      <c r="O129">
        <v>21</v>
      </c>
    </row>
    <row r="130" spans="1:15">
      <c r="A130" t="str">
        <f t="shared" si="3"/>
        <v>Thorbjørn Olesen</v>
      </c>
      <c r="B130" s="38">
        <f t="shared" si="3"/>
        <v>-0.33100000000000002</v>
      </c>
      <c r="C130" s="16">
        <f t="shared" si="4"/>
        <v>129</v>
      </c>
      <c r="D130" s="38" t="e">
        <f>VLOOKUP(A130,'SGT-5'!$A:$B,2,FALSE)</f>
        <v>#N/A</v>
      </c>
      <c r="E130" s="16" t="e">
        <f>VLOOKUP(A130,'SGT-5'!$A:$C,3,FALSE)</f>
        <v>#N/A</v>
      </c>
      <c r="F130" s="16" t="e">
        <f t="shared" si="5"/>
        <v>#N/A</v>
      </c>
      <c r="I130">
        <v>129</v>
      </c>
      <c r="J130" t="s">
        <v>795</v>
      </c>
      <c r="K130">
        <v>-0.33100000000000002</v>
      </c>
      <c r="L130">
        <v>-4.6269999999999998</v>
      </c>
      <c r="M130">
        <v>-0.90800000000000003</v>
      </c>
      <c r="N130">
        <v>-3.7210000000000001</v>
      </c>
      <c r="O130">
        <v>14</v>
      </c>
    </row>
    <row r="131" spans="1:15">
      <c r="A131" t="str">
        <f t="shared" ref="A131:B187" si="6">J131</f>
        <v>Robert MacIntyre</v>
      </c>
      <c r="B131" s="38">
        <f t="shared" si="6"/>
        <v>-0.33900000000000002</v>
      </c>
      <c r="C131" s="16">
        <f t="shared" ref="C131:C187" si="7">I131</f>
        <v>130</v>
      </c>
      <c r="D131" s="38">
        <f>VLOOKUP(A131,'SGT-5'!$A:$B,2,FALSE)</f>
        <v>7.3999999999999996E-2</v>
      </c>
      <c r="E131" s="16">
        <f>VLOOKUP(A131,'SGT-5'!$A:$C,3,FALSE)</f>
        <v>100</v>
      </c>
      <c r="F131" s="16">
        <f t="shared" ref="F131:F187" si="8">E131-C131</f>
        <v>-30</v>
      </c>
      <c r="I131">
        <v>130</v>
      </c>
      <c r="J131" t="s">
        <v>434</v>
      </c>
      <c r="K131">
        <v>-0.33900000000000002</v>
      </c>
      <c r="L131">
        <v>-7.8040000000000003</v>
      </c>
      <c r="M131">
        <v>2.2240000000000002</v>
      </c>
      <c r="N131">
        <v>-10.029999999999999</v>
      </c>
      <c r="O131">
        <v>23</v>
      </c>
    </row>
    <row r="132" spans="1:15">
      <c r="A132" t="str">
        <f t="shared" si="6"/>
        <v>Robby Shelton</v>
      </c>
      <c r="B132" s="38">
        <f t="shared" si="6"/>
        <v>-0.34100000000000003</v>
      </c>
      <c r="C132" s="16">
        <f t="shared" si="7"/>
        <v>131</v>
      </c>
      <c r="D132" s="38">
        <f>VLOOKUP(A132,'SGT-5'!$A:$B,2,FALSE)</f>
        <v>-6.7000000000000004E-2</v>
      </c>
      <c r="E132" s="16">
        <f>VLOOKUP(A132,'SGT-5'!$A:$C,3,FALSE)</f>
        <v>114</v>
      </c>
      <c r="F132" s="16">
        <f t="shared" si="8"/>
        <v>-17</v>
      </c>
      <c r="I132">
        <v>131</v>
      </c>
      <c r="J132" t="s">
        <v>149</v>
      </c>
      <c r="K132">
        <v>-0.34100000000000003</v>
      </c>
      <c r="L132">
        <v>-9.8979999999999997</v>
      </c>
      <c r="M132">
        <v>-4.9989999999999997</v>
      </c>
      <c r="N132">
        <v>-4.9020000000000001</v>
      </c>
      <c r="O132">
        <v>29</v>
      </c>
    </row>
    <row r="133" spans="1:15">
      <c r="A133" t="str">
        <f t="shared" si="6"/>
        <v>Sepp Straka</v>
      </c>
      <c r="B133" s="38">
        <f t="shared" si="6"/>
        <v>-0.372</v>
      </c>
      <c r="C133" s="16">
        <f t="shared" si="7"/>
        <v>132</v>
      </c>
      <c r="D133" s="38">
        <f>VLOOKUP(A133,'SGT-5'!$A:$B,2,FALSE)</f>
        <v>-0.30599999999999999</v>
      </c>
      <c r="E133" s="16">
        <f>VLOOKUP(A133,'SGT-5'!$A:$C,3,FALSE)</f>
        <v>132</v>
      </c>
      <c r="F133" s="16">
        <f t="shared" si="8"/>
        <v>0</v>
      </c>
      <c r="I133">
        <v>132</v>
      </c>
      <c r="J133" t="s">
        <v>110</v>
      </c>
      <c r="K133">
        <v>-0.372</v>
      </c>
      <c r="L133">
        <v>-7.8140000000000001</v>
      </c>
      <c r="M133">
        <v>-2.6880000000000002</v>
      </c>
      <c r="N133">
        <v>-5.1260000000000003</v>
      </c>
      <c r="O133">
        <v>21</v>
      </c>
    </row>
    <row r="134" spans="1:15">
      <c r="A134" t="str">
        <f t="shared" si="6"/>
        <v>Kevin Streelman</v>
      </c>
      <c r="B134" s="38">
        <f t="shared" si="6"/>
        <v>-0.38100000000000001</v>
      </c>
      <c r="C134" s="16">
        <f t="shared" si="7"/>
        <v>133</v>
      </c>
      <c r="D134" s="38">
        <f>VLOOKUP(A134,'SGT-5'!$A:$B,2,FALSE)</f>
        <v>-0.94599999999999995</v>
      </c>
      <c r="E134" s="16">
        <f>VLOOKUP(A134,'SGT-5'!$A:$C,3,FALSE)</f>
        <v>150</v>
      </c>
      <c r="F134" s="16">
        <f t="shared" si="8"/>
        <v>17</v>
      </c>
      <c r="I134">
        <v>133</v>
      </c>
      <c r="J134" t="s">
        <v>123</v>
      </c>
      <c r="K134">
        <v>-0.38100000000000001</v>
      </c>
      <c r="L134">
        <v>-5.3390000000000004</v>
      </c>
      <c r="M134">
        <v>0.36199999999999999</v>
      </c>
      <c r="N134">
        <v>-5.7030000000000003</v>
      </c>
      <c r="O134">
        <v>14</v>
      </c>
    </row>
    <row r="135" spans="1:15">
      <c r="A135" t="str">
        <f t="shared" si="6"/>
        <v>Nick Hardy</v>
      </c>
      <c r="B135" s="38">
        <f t="shared" si="6"/>
        <v>-0.38500000000000001</v>
      </c>
      <c r="C135" s="16">
        <f t="shared" si="7"/>
        <v>134</v>
      </c>
      <c r="D135" s="38">
        <f>VLOOKUP(A135,'SGT-5'!$A:$B,2,FALSE)</f>
        <v>-0.36199999999999999</v>
      </c>
      <c r="E135" s="16">
        <f>VLOOKUP(A135,'SGT-5'!$A:$C,3,FALSE)</f>
        <v>134</v>
      </c>
      <c r="F135" s="16">
        <f t="shared" si="8"/>
        <v>0</v>
      </c>
      <c r="I135">
        <v>134</v>
      </c>
      <c r="J135" t="s">
        <v>36</v>
      </c>
      <c r="K135">
        <v>-0.38500000000000001</v>
      </c>
      <c r="L135">
        <v>-12.721</v>
      </c>
      <c r="M135">
        <v>-17.527999999999999</v>
      </c>
      <c r="N135">
        <v>4.8040000000000003</v>
      </c>
      <c r="O135">
        <v>33</v>
      </c>
    </row>
    <row r="136" spans="1:15">
      <c r="A136" t="str">
        <f t="shared" si="6"/>
        <v>Brandon Wu</v>
      </c>
      <c r="B136" s="38">
        <f t="shared" si="6"/>
        <v>-0.39600000000000002</v>
      </c>
      <c r="C136" s="16">
        <f t="shared" si="7"/>
        <v>135</v>
      </c>
      <c r="D136" s="38">
        <f>VLOOKUP(A136,'SGT-5'!$A:$B,2,FALSE)</f>
        <v>0.17799999999999999</v>
      </c>
      <c r="E136" s="16">
        <f>VLOOKUP(A136,'SGT-5'!$A:$C,3,FALSE)</f>
        <v>93</v>
      </c>
      <c r="F136" s="16">
        <f t="shared" si="8"/>
        <v>-42</v>
      </c>
      <c r="I136">
        <v>135</v>
      </c>
      <c r="J136" t="s">
        <v>133</v>
      </c>
      <c r="K136">
        <v>-0.39600000000000002</v>
      </c>
      <c r="L136">
        <v>-7.9169999999999998</v>
      </c>
      <c r="M136">
        <v>-8.9139999999999997</v>
      </c>
      <c r="N136">
        <v>0.996</v>
      </c>
      <c r="O136">
        <v>20</v>
      </c>
    </row>
    <row r="137" spans="1:15">
      <c r="A137" t="str">
        <f t="shared" si="6"/>
        <v>Adam Svensson</v>
      </c>
      <c r="B137" s="38">
        <f t="shared" si="6"/>
        <v>-0.40400000000000003</v>
      </c>
      <c r="C137" s="16">
        <f t="shared" si="7"/>
        <v>136</v>
      </c>
      <c r="D137" s="38">
        <f>VLOOKUP(A137,'SGT-5'!$A:$B,2,FALSE)</f>
        <v>8.4000000000000005E-2</v>
      </c>
      <c r="E137" s="16">
        <f>VLOOKUP(A137,'SGT-5'!$A:$C,3,FALSE)</f>
        <v>99</v>
      </c>
      <c r="F137" s="16">
        <f t="shared" si="8"/>
        <v>-37</v>
      </c>
      <c r="I137">
        <v>136</v>
      </c>
      <c r="J137" t="s">
        <v>130</v>
      </c>
      <c r="K137">
        <v>-0.40400000000000003</v>
      </c>
      <c r="L137">
        <v>-14.141999999999999</v>
      </c>
      <c r="M137">
        <v>6.5019999999999998</v>
      </c>
      <c r="N137">
        <v>-20.646000000000001</v>
      </c>
      <c r="O137">
        <v>35</v>
      </c>
    </row>
    <row r="138" spans="1:15">
      <c r="A138" t="str">
        <f t="shared" si="6"/>
        <v>Michael Kim</v>
      </c>
      <c r="B138" s="38">
        <f t="shared" si="6"/>
        <v>-0.45200000000000001</v>
      </c>
      <c r="C138" s="16">
        <f t="shared" si="7"/>
        <v>137</v>
      </c>
      <c r="D138" s="38">
        <f>VLOOKUP(A138,'SGT-5'!$A:$B,2,FALSE)</f>
        <v>-0.66900000000000004</v>
      </c>
      <c r="E138" s="16">
        <f>VLOOKUP(A138,'SGT-5'!$A:$C,3,FALSE)</f>
        <v>143</v>
      </c>
      <c r="F138" s="16">
        <f t="shared" si="8"/>
        <v>6</v>
      </c>
      <c r="I138">
        <v>137</v>
      </c>
      <c r="J138" t="s">
        <v>62</v>
      </c>
      <c r="K138">
        <v>-0.45200000000000001</v>
      </c>
      <c r="L138">
        <v>-11.307</v>
      </c>
      <c r="M138">
        <v>-13.685</v>
      </c>
      <c r="N138">
        <v>2.3759999999999999</v>
      </c>
      <c r="O138">
        <v>25</v>
      </c>
    </row>
    <row r="139" spans="1:15">
      <c r="A139" t="str">
        <f t="shared" si="6"/>
        <v>Nico Echavarria</v>
      </c>
      <c r="B139" s="38">
        <f t="shared" si="6"/>
        <v>-0.45700000000000002</v>
      </c>
      <c r="C139" s="16">
        <f t="shared" si="7"/>
        <v>138</v>
      </c>
      <c r="D139" s="38">
        <f>VLOOKUP(A139,'SGT-5'!$A:$B,2,FALSE)</f>
        <v>0.255</v>
      </c>
      <c r="E139" s="16">
        <f>VLOOKUP(A139,'SGT-5'!$A:$C,3,FALSE)</f>
        <v>81</v>
      </c>
      <c r="F139" s="16">
        <f t="shared" si="8"/>
        <v>-57</v>
      </c>
      <c r="I139">
        <v>138</v>
      </c>
      <c r="J139" t="s">
        <v>103</v>
      </c>
      <c r="K139">
        <v>-0.45700000000000002</v>
      </c>
      <c r="L139">
        <v>-11.423</v>
      </c>
      <c r="M139">
        <v>-18.809000000000001</v>
      </c>
      <c r="N139">
        <v>7.3840000000000003</v>
      </c>
      <c r="O139">
        <v>25</v>
      </c>
    </row>
    <row r="140" spans="1:15">
      <c r="A140" t="str">
        <f t="shared" si="6"/>
        <v>Lee Hodges</v>
      </c>
      <c r="B140" s="38">
        <f t="shared" si="6"/>
        <v>-0.45800000000000002</v>
      </c>
      <c r="C140" s="16">
        <f t="shared" si="7"/>
        <v>139</v>
      </c>
      <c r="D140" s="38">
        <f>VLOOKUP(A140,'SGT-5'!$A:$B,2,FALSE)</f>
        <v>-1.6339999999999999</v>
      </c>
      <c r="E140" s="16">
        <f>VLOOKUP(A140,'SGT-5'!$A:$C,3,FALSE)</f>
        <v>173</v>
      </c>
      <c r="F140" s="16">
        <f t="shared" si="8"/>
        <v>34</v>
      </c>
      <c r="I140">
        <v>139</v>
      </c>
      <c r="J140" t="s">
        <v>101</v>
      </c>
      <c r="K140">
        <v>-0.45800000000000002</v>
      </c>
      <c r="L140">
        <v>-13.284000000000001</v>
      </c>
      <c r="M140">
        <v>-10.055</v>
      </c>
      <c r="N140">
        <v>-3.23</v>
      </c>
      <c r="O140">
        <v>29</v>
      </c>
    </row>
    <row r="141" spans="1:15">
      <c r="A141" t="str">
        <f t="shared" si="6"/>
        <v>Alexander Björk</v>
      </c>
      <c r="B141" s="38">
        <f t="shared" si="6"/>
        <v>-0.48499999999999999</v>
      </c>
      <c r="C141" s="16">
        <f t="shared" si="7"/>
        <v>140</v>
      </c>
      <c r="D141" s="38">
        <f>VLOOKUP(A141,'SGT-5'!$A:$B,2,FALSE)</f>
        <v>-0.89700000000000002</v>
      </c>
      <c r="E141" s="16">
        <f>VLOOKUP(A141,'SGT-5'!$A:$C,3,FALSE)</f>
        <v>148</v>
      </c>
      <c r="F141" s="16">
        <f t="shared" si="8"/>
        <v>8</v>
      </c>
      <c r="I141">
        <v>140</v>
      </c>
      <c r="J141" t="s">
        <v>491</v>
      </c>
      <c r="K141">
        <v>-0.48499999999999999</v>
      </c>
      <c r="L141">
        <v>-11.166</v>
      </c>
      <c r="M141">
        <v>-30.646000000000001</v>
      </c>
      <c r="N141">
        <v>19.478000000000002</v>
      </c>
      <c r="O141">
        <v>23</v>
      </c>
    </row>
    <row r="142" spans="1:15">
      <c r="A142" t="str">
        <f t="shared" si="6"/>
        <v>Seamus Power</v>
      </c>
      <c r="B142" s="38">
        <f t="shared" si="6"/>
        <v>-0.48499999999999999</v>
      </c>
      <c r="C142" s="16">
        <f t="shared" si="7"/>
        <v>140</v>
      </c>
      <c r="D142" s="38">
        <f>VLOOKUP(A142,'SGT-5'!$A:$B,2,FALSE)</f>
        <v>-0.85299999999999998</v>
      </c>
      <c r="E142" s="16">
        <f>VLOOKUP(A142,'SGT-5'!$A:$C,3,FALSE)</f>
        <v>147</v>
      </c>
      <c r="F142" s="16">
        <f t="shared" si="8"/>
        <v>7</v>
      </c>
      <c r="I142">
        <v>140</v>
      </c>
      <c r="J142" t="s">
        <v>105</v>
      </c>
      <c r="K142">
        <v>-0.48499999999999999</v>
      </c>
      <c r="L142">
        <v>-15.99</v>
      </c>
      <c r="M142">
        <v>-2.3929999999999998</v>
      </c>
      <c r="N142">
        <v>-13.598000000000001</v>
      </c>
      <c r="O142">
        <v>33</v>
      </c>
    </row>
    <row r="143" spans="1:15">
      <c r="A143" t="str">
        <f t="shared" si="6"/>
        <v>Ryan Fox</v>
      </c>
      <c r="B143" s="38">
        <f t="shared" si="6"/>
        <v>-0.48799999999999999</v>
      </c>
      <c r="C143" s="16">
        <f t="shared" si="7"/>
        <v>142</v>
      </c>
      <c r="D143" s="38">
        <f>VLOOKUP(A143,'SGT-5'!$A:$B,2,FALSE)</f>
        <v>8.6999999999999994E-2</v>
      </c>
      <c r="E143" s="16">
        <f>VLOOKUP(A143,'SGT-5'!$A:$C,3,FALSE)</f>
        <v>98</v>
      </c>
      <c r="F143" s="16">
        <f t="shared" si="8"/>
        <v>-44</v>
      </c>
      <c r="I143">
        <v>142</v>
      </c>
      <c r="J143" t="s">
        <v>549</v>
      </c>
      <c r="K143">
        <v>-0.48799999999999999</v>
      </c>
      <c r="L143">
        <v>-10.257</v>
      </c>
      <c r="M143">
        <v>-11.425000000000001</v>
      </c>
      <c r="N143">
        <v>1.167</v>
      </c>
      <c r="O143">
        <v>21</v>
      </c>
    </row>
    <row r="144" spans="1:15">
      <c r="A144" t="str">
        <f t="shared" si="6"/>
        <v>Tom Kim</v>
      </c>
      <c r="B144" s="38">
        <f t="shared" si="6"/>
        <v>-0.49</v>
      </c>
      <c r="C144" s="16">
        <f t="shared" si="7"/>
        <v>143</v>
      </c>
      <c r="D144" s="38">
        <f>VLOOKUP(A144,'SGT-5'!$A:$B,2,FALSE)</f>
        <v>-0.128</v>
      </c>
      <c r="E144" s="16">
        <f>VLOOKUP(A144,'SGT-5'!$A:$C,3,FALSE)</f>
        <v>120</v>
      </c>
      <c r="F144" s="16">
        <f t="shared" si="8"/>
        <v>-23</v>
      </c>
      <c r="I144">
        <v>143</v>
      </c>
      <c r="J144" t="s">
        <v>124</v>
      </c>
      <c r="K144">
        <v>-0.49</v>
      </c>
      <c r="L144">
        <v>-11.749000000000001</v>
      </c>
      <c r="M144">
        <v>-4.859</v>
      </c>
      <c r="N144">
        <v>-6.89</v>
      </c>
      <c r="O144">
        <v>24</v>
      </c>
    </row>
    <row r="145" spans="1:15">
      <c r="A145" t="str">
        <f t="shared" si="6"/>
        <v>Troy Merritt</v>
      </c>
      <c r="B145" s="38">
        <f t="shared" si="6"/>
        <v>-0.51800000000000002</v>
      </c>
      <c r="C145" s="16">
        <f t="shared" si="7"/>
        <v>144</v>
      </c>
      <c r="D145" s="38">
        <f>VLOOKUP(A145,'SGT-5'!$A:$B,2,FALSE)</f>
        <v>-0.17399999999999999</v>
      </c>
      <c r="E145" s="16">
        <f>VLOOKUP(A145,'SGT-5'!$A:$C,3,FALSE)</f>
        <v>124</v>
      </c>
      <c r="F145" s="16">
        <f t="shared" si="8"/>
        <v>-20</v>
      </c>
      <c r="I145">
        <v>144</v>
      </c>
      <c r="J145" t="s">
        <v>156</v>
      </c>
      <c r="K145">
        <v>-0.51800000000000002</v>
      </c>
      <c r="L145">
        <v>-10.882</v>
      </c>
      <c r="M145">
        <v>0.71599999999999997</v>
      </c>
      <c r="N145">
        <v>-11.599</v>
      </c>
      <c r="O145">
        <v>21</v>
      </c>
    </row>
    <row r="146" spans="1:15">
      <c r="A146" t="str">
        <f t="shared" si="6"/>
        <v>Nick Dunlap</v>
      </c>
      <c r="B146" s="38">
        <f t="shared" si="6"/>
        <v>-0.52300000000000002</v>
      </c>
      <c r="C146" s="16">
        <f t="shared" si="7"/>
        <v>145</v>
      </c>
      <c r="D146" s="38">
        <f>VLOOKUP(A146,'SGT-5'!$A:$B,2,FALSE)</f>
        <v>-1.5880000000000001</v>
      </c>
      <c r="E146" s="16">
        <f>VLOOKUP(A146,'SGT-5'!$A:$C,3,FALSE)</f>
        <v>172</v>
      </c>
      <c r="F146" s="16">
        <f t="shared" si="8"/>
        <v>27</v>
      </c>
      <c r="I146">
        <v>145</v>
      </c>
      <c r="J146" t="s">
        <v>539</v>
      </c>
      <c r="K146">
        <v>-0.52300000000000002</v>
      </c>
      <c r="L146">
        <v>-9.4190000000000005</v>
      </c>
      <c r="M146">
        <v>-18.204999999999998</v>
      </c>
      <c r="N146">
        <v>8.7870000000000008</v>
      </c>
      <c r="O146">
        <v>18</v>
      </c>
    </row>
    <row r="147" spans="1:15">
      <c r="A147" t="str">
        <f t="shared" si="6"/>
        <v>Ryan Palmer</v>
      </c>
      <c r="B147" s="38">
        <f t="shared" si="6"/>
        <v>-0.53</v>
      </c>
      <c r="C147" s="16">
        <f t="shared" si="7"/>
        <v>146</v>
      </c>
      <c r="D147" s="38">
        <f>VLOOKUP(A147,'SGT-5'!$A:$B,2,FALSE)</f>
        <v>-0.27300000000000002</v>
      </c>
      <c r="E147" s="16">
        <f>VLOOKUP(A147,'SGT-5'!$A:$C,3,FALSE)</f>
        <v>129</v>
      </c>
      <c r="F147" s="16">
        <f t="shared" si="8"/>
        <v>-17</v>
      </c>
      <c r="I147">
        <v>146</v>
      </c>
      <c r="J147" t="s">
        <v>87</v>
      </c>
      <c r="K147">
        <v>-0.53</v>
      </c>
      <c r="L147">
        <v>-9.5350000000000001</v>
      </c>
      <c r="M147">
        <v>3.5379999999999998</v>
      </c>
      <c r="N147">
        <v>-13.074999999999999</v>
      </c>
      <c r="O147">
        <v>18</v>
      </c>
    </row>
    <row r="148" spans="1:15">
      <c r="A148" t="str">
        <f t="shared" si="6"/>
        <v>Rafael Campos</v>
      </c>
      <c r="B148" s="38">
        <f t="shared" si="6"/>
        <v>-0.55800000000000005</v>
      </c>
      <c r="C148" s="16">
        <f t="shared" si="7"/>
        <v>147</v>
      </c>
      <c r="D148" s="38">
        <f>VLOOKUP(A148,'SGT-5'!$A:$B,2,FALSE)</f>
        <v>1.1379999999999999</v>
      </c>
      <c r="E148" s="16">
        <f>VLOOKUP(A148,'SGT-5'!$A:$C,3,FALSE)</f>
        <v>19</v>
      </c>
      <c r="F148" s="16">
        <f t="shared" si="8"/>
        <v>-128</v>
      </c>
      <c r="I148">
        <v>147</v>
      </c>
      <c r="J148" t="s">
        <v>558</v>
      </c>
      <c r="K148">
        <v>-0.55800000000000005</v>
      </c>
      <c r="L148">
        <v>-7.25</v>
      </c>
      <c r="M148">
        <v>-3.1110000000000002</v>
      </c>
      <c r="N148">
        <v>-4.141</v>
      </c>
      <c r="O148">
        <v>13</v>
      </c>
    </row>
    <row r="149" spans="1:15">
      <c r="A149" t="str">
        <f t="shared" si="6"/>
        <v>Justin Rose</v>
      </c>
      <c r="B149" s="38">
        <f t="shared" si="6"/>
        <v>-0.59799999999999998</v>
      </c>
      <c r="C149" s="16">
        <f t="shared" si="7"/>
        <v>148</v>
      </c>
      <c r="D149" s="38">
        <f>VLOOKUP(A149,'SGT-5'!$A:$B,2,FALSE)</f>
        <v>-0.24</v>
      </c>
      <c r="E149" s="16">
        <f>VLOOKUP(A149,'SGT-5'!$A:$C,3,FALSE)</f>
        <v>127</v>
      </c>
      <c r="F149" s="16">
        <f t="shared" si="8"/>
        <v>-21</v>
      </c>
      <c r="I149">
        <v>148</v>
      </c>
      <c r="J149" t="s">
        <v>143</v>
      </c>
      <c r="K149">
        <v>-0.59799999999999998</v>
      </c>
      <c r="L149">
        <v>-12.564</v>
      </c>
      <c r="M149">
        <v>-18.312000000000001</v>
      </c>
      <c r="N149">
        <v>5.7480000000000002</v>
      </c>
      <c r="O149">
        <v>21</v>
      </c>
    </row>
    <row r="150" spans="1:15">
      <c r="A150" t="str">
        <f t="shared" si="6"/>
        <v>Zac Blair</v>
      </c>
      <c r="B150" s="38">
        <f t="shared" si="6"/>
        <v>-0.60099999999999998</v>
      </c>
      <c r="C150" s="16">
        <f t="shared" si="7"/>
        <v>149</v>
      </c>
      <c r="D150" s="38">
        <f>VLOOKUP(A150,'SGT-5'!$A:$B,2,FALSE)</f>
        <v>-5.6000000000000001E-2</v>
      </c>
      <c r="E150" s="16">
        <f>VLOOKUP(A150,'SGT-5'!$A:$C,3,FALSE)</f>
        <v>112</v>
      </c>
      <c r="F150" s="16">
        <f t="shared" si="8"/>
        <v>-37</v>
      </c>
      <c r="I150">
        <v>149</v>
      </c>
      <c r="J150" t="s">
        <v>187</v>
      </c>
      <c r="K150">
        <v>-0.60099999999999998</v>
      </c>
      <c r="L150">
        <v>-13.819000000000001</v>
      </c>
      <c r="M150">
        <v>-5.6989999999999998</v>
      </c>
      <c r="N150">
        <v>-8.1210000000000004</v>
      </c>
      <c r="O150">
        <v>23</v>
      </c>
    </row>
    <row r="151" spans="1:15">
      <c r="A151" t="str">
        <f t="shared" si="6"/>
        <v>Cam Davis</v>
      </c>
      <c r="B151" s="38">
        <f t="shared" si="6"/>
        <v>-0.65700000000000003</v>
      </c>
      <c r="C151" s="16">
        <f t="shared" si="7"/>
        <v>150</v>
      </c>
      <c r="D151" s="38">
        <f>VLOOKUP(A151,'SGT-5'!$A:$B,2,FALSE)</f>
        <v>-0.57499999999999996</v>
      </c>
      <c r="E151" s="16">
        <f>VLOOKUP(A151,'SGT-5'!$A:$C,3,FALSE)</f>
        <v>137</v>
      </c>
      <c r="F151" s="16">
        <f t="shared" si="8"/>
        <v>-13</v>
      </c>
      <c r="I151">
        <v>150</v>
      </c>
      <c r="J151" t="s">
        <v>29</v>
      </c>
      <c r="K151">
        <v>-0.65700000000000003</v>
      </c>
      <c r="L151">
        <v>-15.773999999999999</v>
      </c>
      <c r="M151">
        <v>-17.292000000000002</v>
      </c>
      <c r="N151">
        <v>1.518</v>
      </c>
      <c r="O151">
        <v>24</v>
      </c>
    </row>
    <row r="152" spans="1:15">
      <c r="A152" t="str">
        <f t="shared" si="6"/>
        <v>Tyler Duncan</v>
      </c>
      <c r="B152" s="38">
        <f t="shared" si="6"/>
        <v>-0.69899999999999995</v>
      </c>
      <c r="C152" s="16">
        <f t="shared" si="7"/>
        <v>151</v>
      </c>
      <c r="D152" s="38">
        <f>VLOOKUP(A152,'SGT-5'!$A:$B,2,FALSE)</f>
        <v>-0.94599999999999995</v>
      </c>
      <c r="E152" s="16">
        <f>VLOOKUP(A152,'SGT-5'!$A:$C,3,FALSE)</f>
        <v>150</v>
      </c>
      <c r="F152" s="16">
        <f t="shared" si="8"/>
        <v>-1</v>
      </c>
      <c r="I152">
        <v>151</v>
      </c>
      <c r="J152" t="s">
        <v>116</v>
      </c>
      <c r="K152">
        <v>-0.69899999999999995</v>
      </c>
      <c r="L152">
        <v>-16.079000000000001</v>
      </c>
      <c r="M152">
        <v>-2.4940000000000002</v>
      </c>
      <c r="N152">
        <v>-13.586</v>
      </c>
      <c r="O152">
        <v>23</v>
      </c>
    </row>
    <row r="153" spans="1:15">
      <c r="A153" t="str">
        <f t="shared" si="6"/>
        <v>Trace Crowe</v>
      </c>
      <c r="B153" s="38">
        <f t="shared" si="6"/>
        <v>-0.70399999999999996</v>
      </c>
      <c r="C153" s="16">
        <f t="shared" si="7"/>
        <v>152</v>
      </c>
      <c r="D153" s="38">
        <f>VLOOKUP(A153,'SGT-5'!$A:$B,2,FALSE)</f>
        <v>0.13800000000000001</v>
      </c>
      <c r="E153" s="16">
        <f>VLOOKUP(A153,'SGT-5'!$A:$C,3,FALSE)</f>
        <v>96</v>
      </c>
      <c r="F153" s="16">
        <f t="shared" si="8"/>
        <v>-56</v>
      </c>
      <c r="I153">
        <v>152</v>
      </c>
      <c r="J153" t="s">
        <v>559</v>
      </c>
      <c r="K153">
        <v>-0.70399999999999996</v>
      </c>
      <c r="L153">
        <v>-8.4529999999999994</v>
      </c>
      <c r="M153">
        <v>-12.587</v>
      </c>
      <c r="N153">
        <v>4.1319999999999997</v>
      </c>
      <c r="O153">
        <v>12</v>
      </c>
    </row>
    <row r="154" spans="1:15">
      <c r="A154" t="str">
        <f t="shared" si="6"/>
        <v>J.J. Spaun</v>
      </c>
      <c r="B154" s="38">
        <f t="shared" si="6"/>
        <v>-0.73899999999999999</v>
      </c>
      <c r="C154" s="16">
        <f t="shared" si="7"/>
        <v>153</v>
      </c>
      <c r="D154" s="38">
        <f>VLOOKUP(A154,'SGT-5'!$A:$B,2,FALSE)</f>
        <v>-1.4319999999999999</v>
      </c>
      <c r="E154" s="16">
        <f>VLOOKUP(A154,'SGT-5'!$A:$C,3,FALSE)</f>
        <v>166</v>
      </c>
      <c r="F154" s="16">
        <f t="shared" si="8"/>
        <v>13</v>
      </c>
      <c r="I154">
        <v>153</v>
      </c>
      <c r="J154" t="s">
        <v>112</v>
      </c>
      <c r="K154">
        <v>-0.73899999999999999</v>
      </c>
      <c r="L154">
        <v>-18.486000000000001</v>
      </c>
      <c r="M154">
        <v>-8.3089999999999993</v>
      </c>
      <c r="N154">
        <v>-10.178000000000001</v>
      </c>
      <c r="O154">
        <v>25</v>
      </c>
    </row>
    <row r="155" spans="1:15">
      <c r="A155" t="str">
        <f t="shared" si="6"/>
        <v>Daniel Berger</v>
      </c>
      <c r="B155" s="38">
        <f t="shared" si="6"/>
        <v>-0.74099999999999999</v>
      </c>
      <c r="C155" s="16">
        <f t="shared" si="7"/>
        <v>154</v>
      </c>
      <c r="D155" s="38">
        <f>VLOOKUP(A155,'SGT-5'!$A:$B,2,FALSE)</f>
        <v>-0.65900000000000003</v>
      </c>
      <c r="E155" s="16">
        <f>VLOOKUP(A155,'SGT-5'!$A:$C,3,FALSE)</f>
        <v>142</v>
      </c>
      <c r="F155" s="16">
        <f t="shared" si="8"/>
        <v>-12</v>
      </c>
      <c r="I155">
        <v>154</v>
      </c>
      <c r="J155" t="s">
        <v>384</v>
      </c>
      <c r="K155">
        <v>-0.74099999999999999</v>
      </c>
      <c r="L155">
        <v>-9.6319999999999997</v>
      </c>
      <c r="M155">
        <v>4.3929999999999998</v>
      </c>
      <c r="N155">
        <v>-14.025</v>
      </c>
      <c r="O155">
        <v>13</v>
      </c>
    </row>
    <row r="156" spans="1:15">
      <c r="A156" t="str">
        <f t="shared" si="6"/>
        <v>Alejandro Tosti</v>
      </c>
      <c r="B156" s="38">
        <f t="shared" si="6"/>
        <v>-0.77300000000000002</v>
      </c>
      <c r="C156" s="16">
        <f t="shared" si="7"/>
        <v>155</v>
      </c>
      <c r="D156" s="38">
        <f>VLOOKUP(A156,'SGT-5'!$A:$B,2,FALSE)</f>
        <v>-0.98899999999999999</v>
      </c>
      <c r="E156" s="16">
        <f>VLOOKUP(A156,'SGT-5'!$A:$C,3,FALSE)</f>
        <v>153</v>
      </c>
      <c r="F156" s="16">
        <f t="shared" si="8"/>
        <v>-2</v>
      </c>
      <c r="I156">
        <v>155</v>
      </c>
      <c r="J156" t="s">
        <v>445</v>
      </c>
      <c r="K156">
        <v>-0.77300000000000002</v>
      </c>
      <c r="L156">
        <v>-16.225000000000001</v>
      </c>
      <c r="M156">
        <v>-9.6210000000000004</v>
      </c>
      <c r="N156">
        <v>-6.6050000000000004</v>
      </c>
      <c r="O156">
        <v>21</v>
      </c>
    </row>
    <row r="157" spans="1:15">
      <c r="A157" t="str">
        <f t="shared" si="6"/>
        <v>Gary Woodland</v>
      </c>
      <c r="B157" s="38">
        <f t="shared" si="6"/>
        <v>-0.77400000000000002</v>
      </c>
      <c r="C157" s="16">
        <f t="shared" si="7"/>
        <v>156</v>
      </c>
      <c r="D157" s="38">
        <f>VLOOKUP(A157,'SGT-5'!$A:$B,2,FALSE)</f>
        <v>-1.3049999999999999</v>
      </c>
      <c r="E157" s="16">
        <f>VLOOKUP(A157,'SGT-5'!$A:$C,3,FALSE)</f>
        <v>162</v>
      </c>
      <c r="F157" s="16">
        <f t="shared" si="8"/>
        <v>6</v>
      </c>
      <c r="I157">
        <v>156</v>
      </c>
      <c r="J157" t="s">
        <v>17</v>
      </c>
      <c r="K157">
        <v>-0.77400000000000002</v>
      </c>
      <c r="L157">
        <v>-16.25</v>
      </c>
      <c r="M157">
        <v>1.337</v>
      </c>
      <c r="N157">
        <v>-17.588000000000001</v>
      </c>
      <c r="O157">
        <v>21</v>
      </c>
    </row>
    <row r="158" spans="1:15">
      <c r="A158" t="str">
        <f t="shared" si="6"/>
        <v>Bronson Burgoon</v>
      </c>
      <c r="B158" s="38">
        <f t="shared" si="6"/>
        <v>-0.80200000000000005</v>
      </c>
      <c r="C158" s="16">
        <f t="shared" si="7"/>
        <v>157</v>
      </c>
      <c r="D158" s="38">
        <f>VLOOKUP(A158,'SGT-5'!$A:$B,2,FALSE)</f>
        <v>-0.70399999999999996</v>
      </c>
      <c r="E158" s="16">
        <f>VLOOKUP(A158,'SGT-5'!$A:$C,3,FALSE)</f>
        <v>144</v>
      </c>
      <c r="F158" s="16">
        <f t="shared" si="8"/>
        <v>-13</v>
      </c>
      <c r="I158">
        <v>157</v>
      </c>
      <c r="J158" t="s">
        <v>412</v>
      </c>
      <c r="K158">
        <v>-0.80200000000000005</v>
      </c>
      <c r="L158">
        <v>-12.023</v>
      </c>
      <c r="M158">
        <v>-3.7330000000000001</v>
      </c>
      <c r="N158">
        <v>-8.2919999999999998</v>
      </c>
      <c r="O158">
        <v>15</v>
      </c>
    </row>
    <row r="159" spans="1:15">
      <c r="A159" t="str">
        <f t="shared" si="6"/>
        <v>Justin Suh</v>
      </c>
      <c r="B159" s="38">
        <f t="shared" si="6"/>
        <v>-0.85499999999999998</v>
      </c>
      <c r="C159" s="16">
        <f t="shared" si="7"/>
        <v>158</v>
      </c>
      <c r="D159" s="38">
        <f>VLOOKUP(A159,'SGT-5'!$A:$B,2,FALSE)</f>
        <v>-1.234</v>
      </c>
      <c r="E159" s="16">
        <f>VLOOKUP(A159,'SGT-5'!$A:$C,3,FALSE)</f>
        <v>158</v>
      </c>
      <c r="F159" s="16">
        <f t="shared" si="8"/>
        <v>0</v>
      </c>
      <c r="I159">
        <v>158</v>
      </c>
      <c r="J159" t="s">
        <v>109</v>
      </c>
      <c r="K159">
        <v>-0.85499999999999998</v>
      </c>
      <c r="L159">
        <v>-17.959</v>
      </c>
      <c r="M159">
        <v>-32.975999999999999</v>
      </c>
      <c r="N159">
        <v>15.015000000000001</v>
      </c>
      <c r="O159">
        <v>21</v>
      </c>
    </row>
    <row r="160" spans="1:15">
      <c r="A160" t="str">
        <f t="shared" si="6"/>
        <v>Harrison Endycott</v>
      </c>
      <c r="B160" s="38">
        <f t="shared" si="6"/>
        <v>-0.89900000000000002</v>
      </c>
      <c r="C160" s="16">
        <f t="shared" si="7"/>
        <v>159</v>
      </c>
      <c r="D160" s="38">
        <f>VLOOKUP(A160,'SGT-5'!$A:$B,2,FALSE)</f>
        <v>-1.3080000000000001</v>
      </c>
      <c r="E160" s="16">
        <f>VLOOKUP(A160,'SGT-5'!$A:$C,3,FALSE)</f>
        <v>163</v>
      </c>
      <c r="F160" s="16">
        <f t="shared" si="8"/>
        <v>4</v>
      </c>
      <c r="I160">
        <v>159</v>
      </c>
      <c r="J160" t="s">
        <v>160</v>
      </c>
      <c r="K160">
        <v>-0.89900000000000002</v>
      </c>
      <c r="L160">
        <v>-9.8840000000000003</v>
      </c>
      <c r="M160">
        <v>-5.2149999999999999</v>
      </c>
      <c r="N160">
        <v>-4.67</v>
      </c>
      <c r="O160">
        <v>11</v>
      </c>
    </row>
    <row r="161" spans="1:15">
      <c r="A161" t="str">
        <f t="shared" si="6"/>
        <v>Matt Kuchar</v>
      </c>
      <c r="B161" s="38">
        <f t="shared" si="6"/>
        <v>-0.92200000000000004</v>
      </c>
      <c r="C161" s="16">
        <f t="shared" si="7"/>
        <v>160</v>
      </c>
      <c r="D161" s="38">
        <f>VLOOKUP(A161,'SGT-5'!$A:$B,2,FALSE)</f>
        <v>-1.4930000000000001</v>
      </c>
      <c r="E161" s="16">
        <f>VLOOKUP(A161,'SGT-5'!$A:$C,3,FALSE)</f>
        <v>169</v>
      </c>
      <c r="F161" s="16">
        <f t="shared" si="8"/>
        <v>9</v>
      </c>
      <c r="I161">
        <v>160</v>
      </c>
      <c r="J161" t="s">
        <v>144</v>
      </c>
      <c r="K161">
        <v>-0.92200000000000004</v>
      </c>
      <c r="L161">
        <v>-16.588999999999999</v>
      </c>
      <c r="M161">
        <v>-17.170000000000002</v>
      </c>
      <c r="N161">
        <v>0.57899999999999996</v>
      </c>
      <c r="O161">
        <v>18</v>
      </c>
    </row>
    <row r="162" spans="1:15">
      <c r="A162" t="str">
        <f t="shared" si="6"/>
        <v>Rickie Fowler</v>
      </c>
      <c r="B162" s="38">
        <f t="shared" si="6"/>
        <v>-1.0509999999999999</v>
      </c>
      <c r="C162" s="16">
        <f t="shared" si="7"/>
        <v>161</v>
      </c>
      <c r="D162" s="38">
        <f>VLOOKUP(A162,'SGT-5'!$A:$B,2,FALSE)</f>
        <v>-1.25</v>
      </c>
      <c r="E162" s="16">
        <f>VLOOKUP(A162,'SGT-5'!$A:$C,3,FALSE)</f>
        <v>159</v>
      </c>
      <c r="F162" s="16">
        <f t="shared" si="8"/>
        <v>-2</v>
      </c>
      <c r="I162">
        <v>161</v>
      </c>
      <c r="J162" t="s">
        <v>44</v>
      </c>
      <c r="K162">
        <v>-1.0509999999999999</v>
      </c>
      <c r="L162">
        <v>-27.33</v>
      </c>
      <c r="M162">
        <v>-21.995999999999999</v>
      </c>
      <c r="N162">
        <v>-5.3330000000000002</v>
      </c>
      <c r="O162">
        <v>26</v>
      </c>
    </row>
    <row r="163" spans="1:15">
      <c r="A163" t="str">
        <f t="shared" si="6"/>
        <v>Norman Xiong</v>
      </c>
      <c r="B163" s="38">
        <f t="shared" si="6"/>
        <v>-1.0680000000000001</v>
      </c>
      <c r="C163" s="16">
        <f t="shared" si="7"/>
        <v>162</v>
      </c>
      <c r="D163" s="38">
        <f>VLOOKUP(A163,'SGT-5'!$A:$B,2,FALSE)</f>
        <v>-1.284</v>
      </c>
      <c r="E163" s="16">
        <f>VLOOKUP(A163,'SGT-5'!$A:$C,3,FALSE)</f>
        <v>161</v>
      </c>
      <c r="F163" s="16">
        <f t="shared" si="8"/>
        <v>-1</v>
      </c>
      <c r="I163">
        <v>162</v>
      </c>
      <c r="J163" t="s">
        <v>494</v>
      </c>
      <c r="K163">
        <v>-1.0680000000000001</v>
      </c>
      <c r="L163">
        <v>-18.155000000000001</v>
      </c>
      <c r="M163">
        <v>-23.722000000000001</v>
      </c>
      <c r="N163">
        <v>5.5659999999999998</v>
      </c>
      <c r="O163">
        <v>17</v>
      </c>
    </row>
    <row r="164" spans="1:15">
      <c r="A164" t="str">
        <f t="shared" si="6"/>
        <v>Ryan Brehm</v>
      </c>
      <c r="B164" s="38">
        <f t="shared" si="6"/>
        <v>-1.083</v>
      </c>
      <c r="C164" s="16">
        <f t="shared" si="7"/>
        <v>163</v>
      </c>
      <c r="D164" s="38">
        <f>VLOOKUP(A164,'SGT-5'!$A:$B,2,FALSE)</f>
        <v>-1.7629999999999999</v>
      </c>
      <c r="E164" s="16">
        <f>VLOOKUP(A164,'SGT-5'!$A:$C,3,FALSE)</f>
        <v>177</v>
      </c>
      <c r="F164" s="16">
        <f t="shared" si="8"/>
        <v>14</v>
      </c>
      <c r="I164">
        <v>163</v>
      </c>
      <c r="J164" t="s">
        <v>37</v>
      </c>
      <c r="K164">
        <v>-1.083</v>
      </c>
      <c r="L164">
        <v>-22.745999999999999</v>
      </c>
      <c r="M164">
        <v>-26.332000000000001</v>
      </c>
      <c r="N164">
        <v>3.5840000000000001</v>
      </c>
      <c r="O164">
        <v>21</v>
      </c>
    </row>
    <row r="165" spans="1:15">
      <c r="A165" t="str">
        <f t="shared" si="6"/>
        <v>Matt NeSmith</v>
      </c>
      <c r="B165" s="38">
        <f t="shared" si="6"/>
        <v>-1.0920000000000001</v>
      </c>
      <c r="C165" s="16">
        <f t="shared" si="7"/>
        <v>164</v>
      </c>
      <c r="D165" s="38">
        <f>VLOOKUP(A165,'SGT-5'!$A:$B,2,FALSE)</f>
        <v>-1.3859999999999999</v>
      </c>
      <c r="E165" s="16">
        <f>VLOOKUP(A165,'SGT-5'!$A:$C,3,FALSE)</f>
        <v>165</v>
      </c>
      <c r="F165" s="16">
        <f t="shared" si="8"/>
        <v>1</v>
      </c>
      <c r="I165">
        <v>164</v>
      </c>
      <c r="J165" t="s">
        <v>443</v>
      </c>
      <c r="K165">
        <v>-1.0920000000000001</v>
      </c>
      <c r="L165">
        <v>-25.11</v>
      </c>
      <c r="M165">
        <v>-14.11</v>
      </c>
      <c r="N165">
        <v>-11.000999999999999</v>
      </c>
      <c r="O165">
        <v>23</v>
      </c>
    </row>
    <row r="166" spans="1:15">
      <c r="A166" t="str">
        <f t="shared" si="6"/>
        <v>David Lipsky</v>
      </c>
      <c r="B166" s="38">
        <f t="shared" si="6"/>
        <v>-1.133</v>
      </c>
      <c r="C166" s="16">
        <f t="shared" si="7"/>
        <v>165</v>
      </c>
      <c r="D166" s="38">
        <f>VLOOKUP(A166,'SGT-5'!$A:$B,2,FALSE)</f>
        <v>-1.2789999999999999</v>
      </c>
      <c r="E166" s="16">
        <f>VLOOKUP(A166,'SGT-5'!$A:$C,3,FALSE)</f>
        <v>160</v>
      </c>
      <c r="F166" s="16">
        <f t="shared" si="8"/>
        <v>-5</v>
      </c>
      <c r="I166">
        <v>165</v>
      </c>
      <c r="J166" t="s">
        <v>163</v>
      </c>
      <c r="K166">
        <v>-1.133</v>
      </c>
      <c r="L166">
        <v>-26.056000000000001</v>
      </c>
      <c r="M166">
        <v>-14.602</v>
      </c>
      <c r="N166">
        <v>-11.455</v>
      </c>
      <c r="O166">
        <v>23</v>
      </c>
    </row>
    <row r="167" spans="1:15">
      <c r="A167" t="str">
        <f t="shared" si="6"/>
        <v>Josh Teater</v>
      </c>
      <c r="B167" s="38">
        <f t="shared" si="6"/>
        <v>-1.153</v>
      </c>
      <c r="C167" s="16">
        <f t="shared" si="7"/>
        <v>166</v>
      </c>
      <c r="D167" s="38">
        <f>VLOOKUP(A167,'SGT-5'!$A:$B,2,FALSE)</f>
        <v>-1.1739999999999999</v>
      </c>
      <c r="E167" s="16">
        <f>VLOOKUP(A167,'SGT-5'!$A:$C,3,FALSE)</f>
        <v>157</v>
      </c>
      <c r="F167" s="16">
        <f t="shared" si="8"/>
        <v>-9</v>
      </c>
      <c r="I167">
        <v>166</v>
      </c>
      <c r="J167" t="s">
        <v>444</v>
      </c>
      <c r="K167">
        <v>-1.153</v>
      </c>
      <c r="L167">
        <v>-14.984999999999999</v>
      </c>
      <c r="M167">
        <v>-5.0490000000000004</v>
      </c>
      <c r="N167">
        <v>-9.9380000000000006</v>
      </c>
      <c r="O167">
        <v>13</v>
      </c>
    </row>
    <row r="168" spans="1:15">
      <c r="A168" t="str">
        <f t="shared" si="6"/>
        <v>Hayden Buckley</v>
      </c>
      <c r="B168" s="38">
        <f t="shared" si="6"/>
        <v>-1.159</v>
      </c>
      <c r="C168" s="16">
        <f t="shared" si="7"/>
        <v>167</v>
      </c>
      <c r="D168" s="38">
        <f>VLOOKUP(A168,'SGT-5'!$A:$B,2,FALSE)</f>
        <v>-0.95299999999999996</v>
      </c>
      <c r="E168" s="16">
        <f>VLOOKUP(A168,'SGT-5'!$A:$C,3,FALSE)</f>
        <v>152</v>
      </c>
      <c r="F168" s="16">
        <f t="shared" si="8"/>
        <v>-15</v>
      </c>
      <c r="I168">
        <v>167</v>
      </c>
      <c r="J168" t="s">
        <v>60</v>
      </c>
      <c r="K168">
        <v>-1.159</v>
      </c>
      <c r="L168">
        <v>-24.347000000000001</v>
      </c>
      <c r="M168">
        <v>-23.376999999999999</v>
      </c>
      <c r="N168">
        <v>-0.97199999999999998</v>
      </c>
      <c r="O168">
        <v>21</v>
      </c>
    </row>
    <row r="169" spans="1:15">
      <c r="A169" t="str">
        <f t="shared" si="6"/>
        <v>Joe Highsmith</v>
      </c>
      <c r="B169" s="38">
        <f t="shared" si="6"/>
        <v>-1.181</v>
      </c>
      <c r="C169" s="16">
        <f t="shared" si="7"/>
        <v>168</v>
      </c>
      <c r="D169" s="38">
        <f>VLOOKUP(A169,'SGT-5'!$A:$B,2,FALSE)</f>
        <v>-2.3969999999999998</v>
      </c>
      <c r="E169" s="16">
        <f>VLOOKUP(A169,'SGT-5'!$A:$C,3,FALSE)</f>
        <v>182</v>
      </c>
      <c r="F169" s="16">
        <f t="shared" si="8"/>
        <v>14</v>
      </c>
      <c r="I169">
        <v>168</v>
      </c>
      <c r="J169" t="s">
        <v>522</v>
      </c>
      <c r="K169">
        <v>-1.181</v>
      </c>
      <c r="L169">
        <v>-22.434999999999999</v>
      </c>
      <c r="M169">
        <v>-16.440000000000001</v>
      </c>
      <c r="N169">
        <v>-5.9969999999999999</v>
      </c>
      <c r="O169">
        <v>19</v>
      </c>
    </row>
    <row r="170" spans="1:15">
      <c r="A170" t="str">
        <f t="shared" si="6"/>
        <v>Patrick Fishburn</v>
      </c>
      <c r="B170" s="38">
        <f t="shared" si="6"/>
        <v>-1.2290000000000001</v>
      </c>
      <c r="C170" s="16">
        <f t="shared" si="7"/>
        <v>169</v>
      </c>
      <c r="D170" s="38">
        <f>VLOOKUP(A170,'SGT-5'!$A:$B,2,FALSE)</f>
        <v>-1.661</v>
      </c>
      <c r="E170" s="16">
        <f>VLOOKUP(A170,'SGT-5'!$A:$C,3,FALSE)</f>
        <v>174</v>
      </c>
      <c r="F170" s="16">
        <f t="shared" si="8"/>
        <v>5</v>
      </c>
      <c r="I170">
        <v>169</v>
      </c>
      <c r="J170" t="s">
        <v>556</v>
      </c>
      <c r="K170">
        <v>-1.2290000000000001</v>
      </c>
      <c r="L170">
        <v>-13.516999999999999</v>
      </c>
      <c r="M170">
        <v>-13.523999999999999</v>
      </c>
      <c r="N170">
        <v>6.0000000000000001E-3</v>
      </c>
      <c r="O170">
        <v>11</v>
      </c>
    </row>
    <row r="171" spans="1:15">
      <c r="A171" t="str">
        <f t="shared" si="6"/>
        <v>Pierceson Coody</v>
      </c>
      <c r="B171" s="38">
        <f t="shared" si="6"/>
        <v>-1.2669999999999999</v>
      </c>
      <c r="C171" s="16">
        <f t="shared" si="7"/>
        <v>170</v>
      </c>
      <c r="D171" s="38">
        <f>VLOOKUP(A171,'SGT-5'!$A:$B,2,FALSE)</f>
        <v>-2.379</v>
      </c>
      <c r="E171" s="16">
        <f>VLOOKUP(A171,'SGT-5'!$A:$C,3,FALSE)</f>
        <v>181</v>
      </c>
      <c r="F171" s="16">
        <f t="shared" si="8"/>
        <v>11</v>
      </c>
      <c r="I171">
        <v>170</v>
      </c>
      <c r="J171" t="s">
        <v>490</v>
      </c>
      <c r="K171">
        <v>-1.2669999999999999</v>
      </c>
      <c r="L171">
        <v>-19.001000000000001</v>
      </c>
      <c r="M171">
        <v>-28.762</v>
      </c>
      <c r="N171">
        <v>9.7590000000000003</v>
      </c>
      <c r="O171">
        <v>15</v>
      </c>
    </row>
    <row r="172" spans="1:15">
      <c r="A172" t="str">
        <f t="shared" si="6"/>
        <v>Davis Riley</v>
      </c>
      <c r="B172" s="38">
        <f t="shared" si="6"/>
        <v>-1.302</v>
      </c>
      <c r="C172" s="16">
        <f t="shared" si="7"/>
        <v>171</v>
      </c>
      <c r="D172" s="38">
        <f>VLOOKUP(A172,'SGT-5'!$A:$B,2,FALSE)</f>
        <v>-2.089</v>
      </c>
      <c r="E172" s="16">
        <f>VLOOKUP(A172,'SGT-5'!$A:$C,3,FALSE)</f>
        <v>179</v>
      </c>
      <c r="F172" s="16">
        <f t="shared" si="8"/>
        <v>8</v>
      </c>
      <c r="I172">
        <v>171</v>
      </c>
      <c r="J172" t="s">
        <v>55</v>
      </c>
      <c r="K172">
        <v>-1.302</v>
      </c>
      <c r="L172">
        <v>-32.552</v>
      </c>
      <c r="M172">
        <v>-31.053999999999998</v>
      </c>
      <c r="N172">
        <v>-1.5</v>
      </c>
      <c r="O172">
        <v>25</v>
      </c>
    </row>
    <row r="173" spans="1:15">
      <c r="A173" t="str">
        <f t="shared" si="6"/>
        <v>Vince Whaley</v>
      </c>
      <c r="B173" s="38">
        <f t="shared" si="6"/>
        <v>-1.306</v>
      </c>
      <c r="C173" s="16">
        <f t="shared" si="7"/>
        <v>172</v>
      </c>
      <c r="D173" s="38">
        <f>VLOOKUP(A173,'SGT-5'!$A:$B,2,FALSE)</f>
        <v>-2.528</v>
      </c>
      <c r="E173" s="16">
        <f>VLOOKUP(A173,'SGT-5'!$A:$C,3,FALSE)</f>
        <v>184</v>
      </c>
      <c r="F173" s="16">
        <f t="shared" si="8"/>
        <v>12</v>
      </c>
      <c r="I173">
        <v>172</v>
      </c>
      <c r="J173" t="s">
        <v>223</v>
      </c>
      <c r="K173">
        <v>-1.306</v>
      </c>
      <c r="L173">
        <v>-22.198</v>
      </c>
      <c r="M173">
        <v>-14.339</v>
      </c>
      <c r="N173">
        <v>-7.8609999999999998</v>
      </c>
      <c r="O173">
        <v>17</v>
      </c>
    </row>
    <row r="174" spans="1:15">
      <c r="A174" t="str">
        <f t="shared" si="6"/>
        <v>Ryan McCormick</v>
      </c>
      <c r="B174" s="38">
        <f t="shared" si="6"/>
        <v>-1.351</v>
      </c>
      <c r="C174" s="16">
        <f t="shared" si="7"/>
        <v>173</v>
      </c>
      <c r="D174" s="38">
        <f>VLOOKUP(A174,'SGT-5'!$A:$B,2,FALSE)</f>
        <v>0.312</v>
      </c>
      <c r="E174" s="16">
        <f>VLOOKUP(A174,'SGT-5'!$A:$C,3,FALSE)</f>
        <v>73</v>
      </c>
      <c r="F174" s="16">
        <f t="shared" si="8"/>
        <v>-100</v>
      </c>
      <c r="I174">
        <v>173</v>
      </c>
      <c r="J174" t="s">
        <v>561</v>
      </c>
      <c r="K174">
        <v>-1.351</v>
      </c>
      <c r="L174">
        <v>-17.556999999999999</v>
      </c>
      <c r="M174">
        <v>-14.845000000000001</v>
      </c>
      <c r="N174">
        <v>-2.714</v>
      </c>
      <c r="O174">
        <v>13</v>
      </c>
    </row>
    <row r="175" spans="1:15">
      <c r="A175" t="str">
        <f t="shared" si="6"/>
        <v>Vincent Norrman</v>
      </c>
      <c r="B175" s="38">
        <f t="shared" si="6"/>
        <v>-1.407</v>
      </c>
      <c r="C175" s="16">
        <f t="shared" si="7"/>
        <v>174</v>
      </c>
      <c r="D175" s="38">
        <f>VLOOKUP(A175,'SGT-5'!$A:$B,2,FALSE)</f>
        <v>-1.5249999999999999</v>
      </c>
      <c r="E175" s="16">
        <f>VLOOKUP(A175,'SGT-5'!$A:$C,3,FALSE)</f>
        <v>170</v>
      </c>
      <c r="F175" s="16">
        <f t="shared" si="8"/>
        <v>-4</v>
      </c>
      <c r="I175">
        <v>174</v>
      </c>
      <c r="J175" t="s">
        <v>13</v>
      </c>
      <c r="K175">
        <v>-1.407</v>
      </c>
      <c r="L175">
        <v>-37.987000000000002</v>
      </c>
      <c r="M175">
        <v>-10.688000000000001</v>
      </c>
      <c r="N175">
        <v>-27.300999999999998</v>
      </c>
      <c r="O175">
        <v>27</v>
      </c>
    </row>
    <row r="176" spans="1:15">
      <c r="A176" t="str">
        <f t="shared" si="6"/>
        <v>Callum Tarren</v>
      </c>
      <c r="B176" s="38">
        <f t="shared" si="6"/>
        <v>-1.4830000000000001</v>
      </c>
      <c r="C176" s="16">
        <f t="shared" si="7"/>
        <v>175</v>
      </c>
      <c r="D176" s="38">
        <f>VLOOKUP(A176,'SGT-5'!$A:$B,2,FALSE)</f>
        <v>-1.837</v>
      </c>
      <c r="E176" s="16">
        <f>VLOOKUP(A176,'SGT-5'!$A:$C,3,FALSE)</f>
        <v>178</v>
      </c>
      <c r="F176" s="16">
        <f t="shared" si="8"/>
        <v>3</v>
      </c>
      <c r="I176">
        <v>175</v>
      </c>
      <c r="J176" t="s">
        <v>21</v>
      </c>
      <c r="K176">
        <v>-1.4830000000000001</v>
      </c>
      <c r="L176">
        <v>-31.137</v>
      </c>
      <c r="M176">
        <v>-27.381</v>
      </c>
      <c r="N176">
        <v>-3.758</v>
      </c>
      <c r="O176">
        <v>21</v>
      </c>
    </row>
    <row r="177" spans="1:15">
      <c r="A177" t="str">
        <f t="shared" si="6"/>
        <v>Raul Pereda</v>
      </c>
      <c r="B177" s="38">
        <f t="shared" si="6"/>
        <v>-1.5349999999999999</v>
      </c>
      <c r="C177" s="16">
        <f t="shared" si="7"/>
        <v>176</v>
      </c>
      <c r="D177" s="38" t="e">
        <f>VLOOKUP(A177,'SGT-5'!$A:$B,2,FALSE)</f>
        <v>#N/A</v>
      </c>
      <c r="E177" s="16" t="e">
        <f>VLOOKUP(A177,'SGT-5'!$A:$C,3,FALSE)</f>
        <v>#N/A</v>
      </c>
      <c r="F177" s="16" t="e">
        <f t="shared" si="8"/>
        <v>#N/A</v>
      </c>
      <c r="I177">
        <v>176</v>
      </c>
      <c r="J177" t="s">
        <v>564</v>
      </c>
      <c r="K177">
        <v>-1.5349999999999999</v>
      </c>
      <c r="L177">
        <v>-16.884</v>
      </c>
      <c r="M177">
        <v>-25.806000000000001</v>
      </c>
      <c r="N177">
        <v>8.9209999999999994</v>
      </c>
      <c r="O177">
        <v>11</v>
      </c>
    </row>
    <row r="178" spans="1:15">
      <c r="A178" t="str">
        <f t="shared" si="6"/>
        <v>Alex Smalley</v>
      </c>
      <c r="B178" s="38">
        <f t="shared" si="6"/>
        <v>-1.6719999999999999</v>
      </c>
      <c r="C178" s="16">
        <f t="shared" si="7"/>
        <v>177</v>
      </c>
      <c r="D178" s="38">
        <f>VLOOKUP(A178,'SGT-5'!$A:$B,2,FALSE)</f>
        <v>-1.482</v>
      </c>
      <c r="E178" s="16">
        <f>VLOOKUP(A178,'SGT-5'!$A:$C,3,FALSE)</f>
        <v>168</v>
      </c>
      <c r="F178" s="16">
        <f t="shared" si="8"/>
        <v>-9</v>
      </c>
      <c r="I178">
        <v>177</v>
      </c>
      <c r="J178" t="s">
        <v>79</v>
      </c>
      <c r="K178">
        <v>-1.6719999999999999</v>
      </c>
      <c r="L178">
        <v>-31.777000000000001</v>
      </c>
      <c r="M178">
        <v>-11.166</v>
      </c>
      <c r="N178">
        <v>-20.613</v>
      </c>
      <c r="O178">
        <v>19</v>
      </c>
    </row>
    <row r="179" spans="1:15">
      <c r="A179" t="str">
        <f t="shared" si="6"/>
        <v>Ben Taylor</v>
      </c>
      <c r="B179" s="38">
        <f t="shared" si="6"/>
        <v>-1.716</v>
      </c>
      <c r="C179" s="16">
        <f t="shared" si="7"/>
        <v>178</v>
      </c>
      <c r="D179" s="38">
        <f>VLOOKUP(A179,'SGT-5'!$A:$B,2,FALSE)</f>
        <v>-1.466</v>
      </c>
      <c r="E179" s="16">
        <f>VLOOKUP(A179,'SGT-5'!$A:$C,3,FALSE)</f>
        <v>167</v>
      </c>
      <c r="F179" s="16">
        <f t="shared" si="8"/>
        <v>-11</v>
      </c>
      <c r="I179">
        <v>178</v>
      </c>
      <c r="J179" t="s">
        <v>71</v>
      </c>
      <c r="K179">
        <v>-1.716</v>
      </c>
      <c r="L179">
        <v>-32.595999999999997</v>
      </c>
      <c r="M179">
        <v>-31.341000000000001</v>
      </c>
      <c r="N179">
        <v>-1.258</v>
      </c>
      <c r="O179">
        <v>19</v>
      </c>
    </row>
    <row r="180" spans="1:15">
      <c r="A180" t="str">
        <f t="shared" si="6"/>
        <v>Paul Barjon</v>
      </c>
      <c r="B180" s="38">
        <f t="shared" si="6"/>
        <v>-1.7629999999999999</v>
      </c>
      <c r="C180" s="16">
        <f t="shared" si="7"/>
        <v>179</v>
      </c>
      <c r="D180" s="38">
        <f>VLOOKUP(A180,'SGT-5'!$A:$B,2,FALSE)</f>
        <v>-1.6719999999999999</v>
      </c>
      <c r="E180" s="16">
        <f>VLOOKUP(A180,'SGT-5'!$A:$C,3,FALSE)</f>
        <v>175</v>
      </c>
      <c r="F180" s="16">
        <f t="shared" si="8"/>
        <v>-4</v>
      </c>
      <c r="I180">
        <v>179</v>
      </c>
      <c r="J180" t="s">
        <v>401</v>
      </c>
      <c r="K180">
        <v>-1.7629999999999999</v>
      </c>
      <c r="L180">
        <v>-22.919</v>
      </c>
      <c r="M180">
        <v>-16.850999999999999</v>
      </c>
      <c r="N180">
        <v>-6.07</v>
      </c>
      <c r="O180">
        <v>13</v>
      </c>
    </row>
    <row r="181" spans="1:15">
      <c r="A181" t="str">
        <f t="shared" si="6"/>
        <v>Camilo Villegas</v>
      </c>
      <c r="B181" s="38">
        <f t="shared" si="6"/>
        <v>-1.9730000000000001</v>
      </c>
      <c r="C181" s="16">
        <f t="shared" si="7"/>
        <v>180</v>
      </c>
      <c r="D181" s="38">
        <f>VLOOKUP(A181,'SGT-5'!$A:$B,2,FALSE)</f>
        <v>-1.3680000000000001</v>
      </c>
      <c r="E181" s="16">
        <f>VLOOKUP(A181,'SGT-5'!$A:$C,3,FALSE)</f>
        <v>164</v>
      </c>
      <c r="F181" s="16">
        <f t="shared" si="8"/>
        <v>-16</v>
      </c>
      <c r="I181">
        <v>180</v>
      </c>
      <c r="J181" t="s">
        <v>222</v>
      </c>
      <c r="K181">
        <v>-1.9730000000000001</v>
      </c>
      <c r="L181">
        <v>-33.542000000000002</v>
      </c>
      <c r="M181">
        <v>-28.611000000000001</v>
      </c>
      <c r="N181">
        <v>-4.9329999999999998</v>
      </c>
      <c r="O181">
        <v>17</v>
      </c>
    </row>
    <row r="182" spans="1:15">
      <c r="A182" t="str">
        <f t="shared" si="6"/>
        <v>Ben Kohles</v>
      </c>
      <c r="B182" s="38">
        <f t="shared" si="6"/>
        <v>-2.0870000000000002</v>
      </c>
      <c r="C182" s="16">
        <f t="shared" si="7"/>
        <v>181</v>
      </c>
      <c r="D182" s="38">
        <f>VLOOKUP(A182,'SGT-5'!$A:$B,2,FALSE)</f>
        <v>-1.74</v>
      </c>
      <c r="E182" s="16">
        <f>VLOOKUP(A182,'SGT-5'!$A:$C,3,FALSE)</f>
        <v>176</v>
      </c>
      <c r="F182" s="16">
        <f t="shared" si="8"/>
        <v>-5</v>
      </c>
      <c r="I182">
        <v>181</v>
      </c>
      <c r="J182" t="s">
        <v>419</v>
      </c>
      <c r="K182">
        <v>-2.0870000000000002</v>
      </c>
      <c r="L182">
        <v>-37.57</v>
      </c>
      <c r="M182">
        <v>-22.687000000000001</v>
      </c>
      <c r="N182">
        <v>-14.885</v>
      </c>
      <c r="O182">
        <v>18</v>
      </c>
    </row>
    <row r="183" spans="1:15">
      <c r="A183" t="str">
        <f t="shared" si="6"/>
        <v>Brandt Snedeker</v>
      </c>
      <c r="B183" s="38">
        <f t="shared" si="6"/>
        <v>-2.5009999999999999</v>
      </c>
      <c r="C183" s="16">
        <f t="shared" si="7"/>
        <v>182</v>
      </c>
      <c r="D183" s="38">
        <f>VLOOKUP(A183,'SGT-5'!$A:$B,2,FALSE)</f>
        <v>-3.5819999999999999</v>
      </c>
      <c r="E183" s="16">
        <f>VLOOKUP(A183,'SGT-5'!$A:$C,3,FALSE)</f>
        <v>186</v>
      </c>
      <c r="F183" s="16">
        <f t="shared" si="8"/>
        <v>4</v>
      </c>
      <c r="I183">
        <v>182</v>
      </c>
      <c r="J183" t="s">
        <v>247</v>
      </c>
      <c r="K183">
        <v>-2.5009999999999999</v>
      </c>
      <c r="L183">
        <v>-47.512</v>
      </c>
      <c r="M183">
        <v>-39.768999999999998</v>
      </c>
      <c r="N183">
        <v>-7.7450000000000001</v>
      </c>
      <c r="O183">
        <v>19</v>
      </c>
    </row>
    <row r="184" spans="1:15">
      <c r="A184" t="str">
        <f t="shared" si="6"/>
        <v>Adrien Dumont de Chassart</v>
      </c>
      <c r="B184" s="38">
        <f t="shared" si="6"/>
        <v>-2.5720000000000001</v>
      </c>
      <c r="C184" s="16">
        <f t="shared" si="7"/>
        <v>183</v>
      </c>
      <c r="D184" s="38">
        <f>VLOOKUP(A184,'SGT-5'!$A:$B,2,FALSE)</f>
        <v>-2.6960000000000002</v>
      </c>
      <c r="E184" s="16">
        <f>VLOOKUP(A184,'SGT-5'!$A:$C,3,FALSE)</f>
        <v>185</v>
      </c>
      <c r="F184" s="16">
        <f t="shared" si="8"/>
        <v>2</v>
      </c>
      <c r="I184">
        <v>183</v>
      </c>
      <c r="J184" t="s">
        <v>486</v>
      </c>
      <c r="K184">
        <v>-2.5720000000000001</v>
      </c>
      <c r="L184">
        <v>-54.003</v>
      </c>
      <c r="M184">
        <v>-39.488</v>
      </c>
      <c r="N184">
        <v>-14.516999999999999</v>
      </c>
      <c r="O184">
        <v>21</v>
      </c>
    </row>
    <row r="185" spans="1:15">
      <c r="A185">
        <f t="shared" si="6"/>
        <v>0</v>
      </c>
      <c r="B185" s="38">
        <f t="shared" si="6"/>
        <v>0</v>
      </c>
      <c r="C185" s="16">
        <f t="shared" si="7"/>
        <v>0</v>
      </c>
      <c r="D185" s="38">
        <f>VLOOKUP(A185,'SGT-5'!$A:$B,2,FALSE)</f>
        <v>0</v>
      </c>
      <c r="E185" s="16">
        <f>VLOOKUP(A185,'SGT-5'!$A:$C,3,FALSE)</f>
        <v>0</v>
      </c>
      <c r="F185" s="16">
        <f t="shared" si="8"/>
        <v>0</v>
      </c>
    </row>
    <row r="186" spans="1:15">
      <c r="A186">
        <f t="shared" si="6"/>
        <v>0</v>
      </c>
      <c r="B186" s="38">
        <f t="shared" si="6"/>
        <v>0</v>
      </c>
      <c r="C186" s="16">
        <f t="shared" si="7"/>
        <v>0</v>
      </c>
      <c r="D186" s="38">
        <f>VLOOKUP(A186,'SGT-5'!$A:$B,2,FALSE)</f>
        <v>0</v>
      </c>
      <c r="E186" s="16">
        <f>VLOOKUP(A186,'SGT-5'!$A:$C,3,FALSE)</f>
        <v>0</v>
      </c>
      <c r="F186" s="16">
        <f t="shared" si="8"/>
        <v>0</v>
      </c>
    </row>
    <row r="187" spans="1:15">
      <c r="A187">
        <f t="shared" si="6"/>
        <v>0</v>
      </c>
      <c r="B187" s="38">
        <f t="shared" si="6"/>
        <v>0</v>
      </c>
      <c r="C187" s="16">
        <f t="shared" si="7"/>
        <v>0</v>
      </c>
      <c r="D187" s="38">
        <f>VLOOKUP(A187,'SGT-5'!$A:$B,2,FALSE)</f>
        <v>0</v>
      </c>
      <c r="E187" s="16">
        <f>VLOOKUP(A187,'SGT-5'!$A:$C,3,FALSE)</f>
        <v>0</v>
      </c>
      <c r="F187" s="16">
        <f t="shared" si="8"/>
        <v>0</v>
      </c>
    </row>
    <row r="188" spans="1:15">
      <c r="A188">
        <f t="shared" ref="A188:A205" si="9">J188</f>
        <v>0</v>
      </c>
      <c r="B188" s="38">
        <f t="shared" ref="B188:B205" si="10">K188</f>
        <v>0</v>
      </c>
      <c r="C188" s="16">
        <f t="shared" ref="C188:C205" si="11">I188</f>
        <v>0</v>
      </c>
      <c r="D188" s="38">
        <f>VLOOKUP(A188,'SGT-5'!$A:$B,2,FALSE)</f>
        <v>0</v>
      </c>
      <c r="E188" s="16">
        <f>VLOOKUP(A188,'SGT-5'!$A:$C,3,FALSE)</f>
        <v>0</v>
      </c>
      <c r="F188" s="16">
        <f t="shared" ref="F188:F205" si="12">E188-C188</f>
        <v>0</v>
      </c>
    </row>
    <row r="189" spans="1:15">
      <c r="A189">
        <f t="shared" si="9"/>
        <v>0</v>
      </c>
      <c r="B189" s="38">
        <f t="shared" si="10"/>
        <v>0</v>
      </c>
      <c r="C189" s="16">
        <f t="shared" si="11"/>
        <v>0</v>
      </c>
      <c r="D189" s="38">
        <f>VLOOKUP(A189,'SGT-5'!$A:$B,2,FALSE)</f>
        <v>0</v>
      </c>
      <c r="E189" s="16">
        <f>VLOOKUP(A189,'SGT-5'!$A:$C,3,FALSE)</f>
        <v>0</v>
      </c>
      <c r="F189" s="16">
        <f t="shared" si="12"/>
        <v>0</v>
      </c>
    </row>
    <row r="190" spans="1:15">
      <c r="A190">
        <f t="shared" si="9"/>
        <v>0</v>
      </c>
      <c r="B190" s="38">
        <f t="shared" si="10"/>
        <v>0</v>
      </c>
      <c r="C190" s="16">
        <f t="shared" si="11"/>
        <v>0</v>
      </c>
      <c r="D190" s="38">
        <f>VLOOKUP(A190,'SGT-5'!$A:$B,2,FALSE)</f>
        <v>0</v>
      </c>
      <c r="E190" s="16">
        <f>VLOOKUP(A190,'SGT-5'!$A:$C,3,FALSE)</f>
        <v>0</v>
      </c>
      <c r="F190" s="16">
        <f t="shared" si="12"/>
        <v>0</v>
      </c>
    </row>
    <row r="191" spans="1:15">
      <c r="A191">
        <f t="shared" si="9"/>
        <v>0</v>
      </c>
      <c r="B191" s="38">
        <f t="shared" si="10"/>
        <v>0</v>
      </c>
      <c r="C191" s="16">
        <f t="shared" si="11"/>
        <v>0</v>
      </c>
      <c r="D191" s="38">
        <f>VLOOKUP(A191,'SGT-5'!$A:$B,2,FALSE)</f>
        <v>0</v>
      </c>
      <c r="E191" s="16">
        <f>VLOOKUP(A191,'SGT-5'!$A:$C,3,FALSE)</f>
        <v>0</v>
      </c>
      <c r="F191" s="16">
        <f t="shared" si="12"/>
        <v>0</v>
      </c>
    </row>
    <row r="192" spans="1:15">
      <c r="A192">
        <f t="shared" si="9"/>
        <v>0</v>
      </c>
      <c r="B192" s="38">
        <f t="shared" si="10"/>
        <v>0</v>
      </c>
      <c r="C192" s="16">
        <f t="shared" si="11"/>
        <v>0</v>
      </c>
      <c r="D192" s="38">
        <f>VLOOKUP(A192,'SGT-5'!$A:$B,2,FALSE)</f>
        <v>0</v>
      </c>
      <c r="E192" s="16">
        <f>VLOOKUP(A192,'SGT-5'!$A:$C,3,FALSE)</f>
        <v>0</v>
      </c>
      <c r="F192" s="16">
        <f t="shared" si="12"/>
        <v>0</v>
      </c>
    </row>
    <row r="193" spans="1:6">
      <c r="A193">
        <f t="shared" si="9"/>
        <v>0</v>
      </c>
      <c r="B193" s="38">
        <f t="shared" si="10"/>
        <v>0</v>
      </c>
      <c r="C193" s="16">
        <f t="shared" si="11"/>
        <v>0</v>
      </c>
      <c r="D193" s="38">
        <f>VLOOKUP(A193,'SGT-5'!$A:$B,2,FALSE)</f>
        <v>0</v>
      </c>
      <c r="E193" s="16">
        <f>VLOOKUP(A193,'SGT-5'!$A:$C,3,FALSE)</f>
        <v>0</v>
      </c>
      <c r="F193" s="16">
        <f t="shared" si="12"/>
        <v>0</v>
      </c>
    </row>
    <row r="194" spans="1:6">
      <c r="A194">
        <f t="shared" si="9"/>
        <v>0</v>
      </c>
      <c r="B194" s="38">
        <f t="shared" si="10"/>
        <v>0</v>
      </c>
      <c r="C194" s="16">
        <f t="shared" si="11"/>
        <v>0</v>
      </c>
      <c r="D194" s="38">
        <f>VLOOKUP(A194,'SGT-5'!$A:$B,2,FALSE)</f>
        <v>0</v>
      </c>
      <c r="E194" s="16">
        <f>VLOOKUP(A194,'SGT-5'!$A:$C,3,FALSE)</f>
        <v>0</v>
      </c>
      <c r="F194" s="16">
        <f t="shared" si="12"/>
        <v>0</v>
      </c>
    </row>
    <row r="195" spans="1:6">
      <c r="A195">
        <f t="shared" si="9"/>
        <v>0</v>
      </c>
      <c r="B195" s="38">
        <f t="shared" si="10"/>
        <v>0</v>
      </c>
      <c r="C195" s="16">
        <f t="shared" si="11"/>
        <v>0</v>
      </c>
      <c r="D195" s="38">
        <f>VLOOKUP(A195,'SGT-5'!$A:$B,2,FALSE)</f>
        <v>0</v>
      </c>
      <c r="E195" s="16">
        <f>VLOOKUP(A195,'SGT-5'!$A:$C,3,FALSE)</f>
        <v>0</v>
      </c>
      <c r="F195" s="16">
        <f t="shared" si="12"/>
        <v>0</v>
      </c>
    </row>
    <row r="196" spans="1:6">
      <c r="A196">
        <f t="shared" si="9"/>
        <v>0</v>
      </c>
      <c r="B196" s="38">
        <f t="shared" si="10"/>
        <v>0</v>
      </c>
      <c r="C196" s="16">
        <f t="shared" si="11"/>
        <v>0</v>
      </c>
      <c r="D196" s="38">
        <f>VLOOKUP(A196,'SGT-5'!$A:$B,2,FALSE)</f>
        <v>0</v>
      </c>
      <c r="E196" s="16">
        <f>VLOOKUP(A196,'SGT-5'!$A:$C,3,FALSE)</f>
        <v>0</v>
      </c>
      <c r="F196" s="16">
        <f t="shared" si="12"/>
        <v>0</v>
      </c>
    </row>
    <row r="197" spans="1:6">
      <c r="A197">
        <f t="shared" si="9"/>
        <v>0</v>
      </c>
      <c r="B197" s="38">
        <f t="shared" si="10"/>
        <v>0</v>
      </c>
      <c r="C197" s="16">
        <f t="shared" si="11"/>
        <v>0</v>
      </c>
      <c r="D197" s="38">
        <f>VLOOKUP(A197,'SGT-5'!$A:$B,2,FALSE)</f>
        <v>0</v>
      </c>
      <c r="E197" s="16">
        <f>VLOOKUP(A197,'SGT-5'!$A:$C,3,FALSE)</f>
        <v>0</v>
      </c>
      <c r="F197" s="16">
        <f t="shared" si="12"/>
        <v>0</v>
      </c>
    </row>
    <row r="198" spans="1:6">
      <c r="A198">
        <f t="shared" si="9"/>
        <v>0</v>
      </c>
      <c r="B198" s="38">
        <f t="shared" si="10"/>
        <v>0</v>
      </c>
      <c r="C198" s="16">
        <f t="shared" si="11"/>
        <v>0</v>
      </c>
      <c r="D198" s="38">
        <f>VLOOKUP(A198,'SGT-5'!$A:$B,2,FALSE)</f>
        <v>0</v>
      </c>
      <c r="E198" s="16">
        <f>VLOOKUP(A198,'SGT-5'!$A:$C,3,FALSE)</f>
        <v>0</v>
      </c>
      <c r="F198" s="16">
        <f t="shared" si="12"/>
        <v>0</v>
      </c>
    </row>
    <row r="199" spans="1:6">
      <c r="A199">
        <f t="shared" si="9"/>
        <v>0</v>
      </c>
      <c r="B199" s="38">
        <f t="shared" si="10"/>
        <v>0</v>
      </c>
      <c r="C199" s="16">
        <f t="shared" si="11"/>
        <v>0</v>
      </c>
      <c r="D199" s="38">
        <f>VLOOKUP(A199,'SGT-5'!$A:$B,2,FALSE)</f>
        <v>0</v>
      </c>
      <c r="E199" s="16">
        <f>VLOOKUP(A199,'SGT-5'!$A:$C,3,FALSE)</f>
        <v>0</v>
      </c>
      <c r="F199" s="16">
        <f t="shared" si="12"/>
        <v>0</v>
      </c>
    </row>
    <row r="200" spans="1:6">
      <c r="A200">
        <f t="shared" si="9"/>
        <v>0</v>
      </c>
      <c r="B200" s="38">
        <f t="shared" si="10"/>
        <v>0</v>
      </c>
      <c r="C200" s="16">
        <f t="shared" si="11"/>
        <v>0</v>
      </c>
      <c r="D200" s="38">
        <f>VLOOKUP(A200,'SGT-5'!$A:$B,2,FALSE)</f>
        <v>0</v>
      </c>
      <c r="E200" s="16">
        <f>VLOOKUP(A200,'SGT-5'!$A:$C,3,FALSE)</f>
        <v>0</v>
      </c>
      <c r="F200" s="16">
        <f t="shared" si="12"/>
        <v>0</v>
      </c>
    </row>
    <row r="201" spans="1:6">
      <c r="A201">
        <f t="shared" si="9"/>
        <v>0</v>
      </c>
      <c r="B201" s="38">
        <f t="shared" si="10"/>
        <v>0</v>
      </c>
      <c r="C201" s="16">
        <f t="shared" si="11"/>
        <v>0</v>
      </c>
      <c r="D201" s="38">
        <f>VLOOKUP(A201,'SGT-5'!$A:$B,2,FALSE)</f>
        <v>0</v>
      </c>
      <c r="E201" s="16">
        <f>VLOOKUP(A201,'SGT-5'!$A:$C,3,FALSE)</f>
        <v>0</v>
      </c>
      <c r="F201" s="16">
        <f t="shared" si="12"/>
        <v>0</v>
      </c>
    </row>
    <row r="202" spans="1:6">
      <c r="A202">
        <f t="shared" si="9"/>
        <v>0</v>
      </c>
      <c r="B202" s="38">
        <f t="shared" si="10"/>
        <v>0</v>
      </c>
      <c r="C202" s="16">
        <f t="shared" si="11"/>
        <v>0</v>
      </c>
      <c r="D202" s="38">
        <f>VLOOKUP(A202,'SGT-5'!$A:$B,2,FALSE)</f>
        <v>0</v>
      </c>
      <c r="E202" s="16">
        <f>VLOOKUP(A202,'SGT-5'!$A:$C,3,FALSE)</f>
        <v>0</v>
      </c>
      <c r="F202" s="16">
        <f t="shared" si="12"/>
        <v>0</v>
      </c>
    </row>
    <row r="203" spans="1:6">
      <c r="A203">
        <f t="shared" si="9"/>
        <v>0</v>
      </c>
      <c r="B203" s="38">
        <f t="shared" si="10"/>
        <v>0</v>
      </c>
      <c r="C203" s="16">
        <f t="shared" si="11"/>
        <v>0</v>
      </c>
      <c r="D203" s="38">
        <f>VLOOKUP(A203,'SGT-5'!$A:$B,2,FALSE)</f>
        <v>0</v>
      </c>
      <c r="E203" s="16">
        <f>VLOOKUP(A203,'SGT-5'!$A:$C,3,FALSE)</f>
        <v>0</v>
      </c>
      <c r="F203" s="16">
        <f t="shared" si="12"/>
        <v>0</v>
      </c>
    </row>
    <row r="204" spans="1:6">
      <c r="A204">
        <f t="shared" si="9"/>
        <v>0</v>
      </c>
      <c r="B204" s="38">
        <f t="shared" si="10"/>
        <v>0</v>
      </c>
      <c r="C204" s="16">
        <f t="shared" si="11"/>
        <v>0</v>
      </c>
      <c r="D204" s="38">
        <f>VLOOKUP(A204,'SGT-5'!$A:$B,2,FALSE)</f>
        <v>0</v>
      </c>
      <c r="E204" s="16">
        <f>VLOOKUP(A204,'SGT-5'!$A:$C,3,FALSE)</f>
        <v>0</v>
      </c>
      <c r="F204" s="16">
        <f t="shared" si="12"/>
        <v>0</v>
      </c>
    </row>
    <row r="205" spans="1:6">
      <c r="A205">
        <f t="shared" si="9"/>
        <v>0</v>
      </c>
      <c r="B205" s="38">
        <f t="shared" si="10"/>
        <v>0</v>
      </c>
      <c r="C205" s="16">
        <f t="shared" si="11"/>
        <v>0</v>
      </c>
      <c r="D205" s="38">
        <f>VLOOKUP(A205,'SGT-5'!$A:$B,2,FALSE)</f>
        <v>0</v>
      </c>
      <c r="E205" s="16">
        <f>VLOOKUP(A205,'SGT-5'!$A:$C,3,FALSE)</f>
        <v>0</v>
      </c>
      <c r="F205" s="16">
        <f t="shared" si="12"/>
        <v>0</v>
      </c>
    </row>
    <row r="206" spans="1:6">
      <c r="A206">
        <f t="shared" ref="A206:B208" si="13">J206</f>
        <v>0</v>
      </c>
      <c r="B206" s="38">
        <f t="shared" si="13"/>
        <v>0</v>
      </c>
      <c r="C206" s="16">
        <f>I206</f>
        <v>0</v>
      </c>
      <c r="D206" s="38">
        <f>VLOOKUP(A206,'SGT-5'!$A:$B,2,FALSE)</f>
        <v>0</v>
      </c>
      <c r="E206" s="16">
        <f>VLOOKUP(A206,'SGT-5'!$A:$C,3,FALSE)</f>
        <v>0</v>
      </c>
      <c r="F206" s="16">
        <f>E206-C206</f>
        <v>0</v>
      </c>
    </row>
    <row r="207" spans="1:6">
      <c r="A207">
        <f t="shared" si="13"/>
        <v>0</v>
      </c>
      <c r="B207" s="38">
        <f t="shared" si="13"/>
        <v>0</v>
      </c>
      <c r="C207" s="16">
        <f>I207</f>
        <v>0</v>
      </c>
      <c r="D207" s="38">
        <f>VLOOKUP(A207,'SGT-5'!$A:$B,2,FALSE)</f>
        <v>0</v>
      </c>
      <c r="E207" s="16">
        <f>VLOOKUP(A207,'SGT-5'!$A:$C,3,FALSE)</f>
        <v>0</v>
      </c>
      <c r="F207" s="16">
        <f>E207-C207</f>
        <v>0</v>
      </c>
    </row>
    <row r="208" spans="1:6">
      <c r="A208">
        <f t="shared" si="13"/>
        <v>0</v>
      </c>
      <c r="B208" s="38">
        <f t="shared" si="13"/>
        <v>0</v>
      </c>
      <c r="C208" s="16">
        <f>I208</f>
        <v>0</v>
      </c>
      <c r="D208" s="38">
        <f>VLOOKUP(A208,'SGT-5'!$A:$B,2,FALSE)</f>
        <v>0</v>
      </c>
      <c r="E208" s="16">
        <f>VLOOKUP(A208,'SGT-5'!$A:$C,3,FALSE)</f>
        <v>0</v>
      </c>
      <c r="F208" s="16">
        <f>E208-C208</f>
        <v>0</v>
      </c>
    </row>
    <row r="209" spans="1:6">
      <c r="A209">
        <f t="shared" ref="A209:A241" si="14">J209</f>
        <v>0</v>
      </c>
      <c r="B209" s="38">
        <f t="shared" ref="B209:B241" si="15">K209</f>
        <v>0</v>
      </c>
      <c r="C209" s="16">
        <f t="shared" ref="C209:C241" si="16">I209</f>
        <v>0</v>
      </c>
      <c r="D209" s="38">
        <f>VLOOKUP(A209,'SGT-5'!$A:$B,2,FALSE)</f>
        <v>0</v>
      </c>
      <c r="E209" s="16">
        <f>VLOOKUP(A209,'SGT-5'!$A:$C,3,FALSE)</f>
        <v>0</v>
      </c>
      <c r="F209" s="16">
        <f t="shared" ref="F209:F241" si="17">E209-C209</f>
        <v>0</v>
      </c>
    </row>
    <row r="210" spans="1:6">
      <c r="A210">
        <f t="shared" si="14"/>
        <v>0</v>
      </c>
      <c r="B210" s="38">
        <f t="shared" si="15"/>
        <v>0</v>
      </c>
      <c r="C210" s="16">
        <f t="shared" si="16"/>
        <v>0</v>
      </c>
      <c r="D210" s="38">
        <f>VLOOKUP(A210,'SGT-5'!$A:$B,2,FALSE)</f>
        <v>0</v>
      </c>
      <c r="E210" s="16">
        <f>VLOOKUP(A210,'SGT-5'!$A:$C,3,FALSE)</f>
        <v>0</v>
      </c>
      <c r="F210" s="16">
        <f t="shared" si="17"/>
        <v>0</v>
      </c>
    </row>
    <row r="211" spans="1:6">
      <c r="A211">
        <f t="shared" si="14"/>
        <v>0</v>
      </c>
      <c r="B211" s="38">
        <f t="shared" si="15"/>
        <v>0</v>
      </c>
      <c r="C211" s="16">
        <f t="shared" si="16"/>
        <v>0</v>
      </c>
      <c r="D211" s="38">
        <f>VLOOKUP(A211,'SGT-5'!$A:$B,2,FALSE)</f>
        <v>0</v>
      </c>
      <c r="E211" s="16">
        <f>VLOOKUP(A211,'SGT-5'!$A:$C,3,FALSE)</f>
        <v>0</v>
      </c>
      <c r="F211" s="16">
        <f t="shared" si="17"/>
        <v>0</v>
      </c>
    </row>
    <row r="212" spans="1:6">
      <c r="A212">
        <f t="shared" si="14"/>
        <v>0</v>
      </c>
      <c r="B212" s="38">
        <f t="shared" si="15"/>
        <v>0</v>
      </c>
      <c r="C212" s="16">
        <f t="shared" si="16"/>
        <v>0</v>
      </c>
      <c r="D212" s="38">
        <f>VLOOKUP(A212,'SGT-5'!$A:$B,2,FALSE)</f>
        <v>0</v>
      </c>
      <c r="E212" s="16">
        <f>VLOOKUP(A212,'SGT-5'!$A:$C,3,FALSE)</f>
        <v>0</v>
      </c>
      <c r="F212" s="16">
        <f t="shared" si="17"/>
        <v>0</v>
      </c>
    </row>
    <row r="213" spans="1:6">
      <c r="A213">
        <f t="shared" si="14"/>
        <v>0</v>
      </c>
      <c r="B213" s="38">
        <f t="shared" si="15"/>
        <v>0</v>
      </c>
      <c r="C213" s="16">
        <f t="shared" si="16"/>
        <v>0</v>
      </c>
      <c r="D213" s="38">
        <f>VLOOKUP(A213,'SGT-5'!$A:$B,2,FALSE)</f>
        <v>0</v>
      </c>
      <c r="E213" s="16">
        <f>VLOOKUP(A213,'SGT-5'!$A:$C,3,FALSE)</f>
        <v>0</v>
      </c>
      <c r="F213" s="16">
        <f t="shared" si="17"/>
        <v>0</v>
      </c>
    </row>
    <row r="214" spans="1:6">
      <c r="A214">
        <f t="shared" si="14"/>
        <v>0</v>
      </c>
      <c r="B214" s="38">
        <f t="shared" si="15"/>
        <v>0</v>
      </c>
      <c r="C214" s="16">
        <f t="shared" si="16"/>
        <v>0</v>
      </c>
      <c r="D214" s="38">
        <f>VLOOKUP(A214,'SGT-5'!$A:$B,2,FALSE)</f>
        <v>0</v>
      </c>
      <c r="E214" s="16">
        <f>VLOOKUP(A214,'SGT-5'!$A:$C,3,FALSE)</f>
        <v>0</v>
      </c>
      <c r="F214" s="16">
        <f t="shared" si="17"/>
        <v>0</v>
      </c>
    </row>
    <row r="215" spans="1:6">
      <c r="A215">
        <f t="shared" si="14"/>
        <v>0</v>
      </c>
      <c r="B215" s="38">
        <f t="shared" si="15"/>
        <v>0</v>
      </c>
      <c r="C215" s="16">
        <f t="shared" si="16"/>
        <v>0</v>
      </c>
      <c r="D215" s="38">
        <f>VLOOKUP(A215,'SGT-5'!$A:$B,2,FALSE)</f>
        <v>0</v>
      </c>
      <c r="E215" s="16">
        <f>VLOOKUP(A215,'SGT-5'!$A:$C,3,FALSE)</f>
        <v>0</v>
      </c>
      <c r="F215" s="16">
        <f t="shared" si="17"/>
        <v>0</v>
      </c>
    </row>
    <row r="216" spans="1:6">
      <c r="A216">
        <f t="shared" si="14"/>
        <v>0</v>
      </c>
      <c r="B216" s="38">
        <f t="shared" si="15"/>
        <v>0</v>
      </c>
      <c r="C216" s="16">
        <f t="shared" si="16"/>
        <v>0</v>
      </c>
      <c r="D216" s="38">
        <f>VLOOKUP(A216,'SGT-5'!$A:$B,2,FALSE)</f>
        <v>0</v>
      </c>
      <c r="E216" s="16">
        <f>VLOOKUP(A216,'SGT-5'!$A:$C,3,FALSE)</f>
        <v>0</v>
      </c>
      <c r="F216" s="16">
        <f t="shared" si="17"/>
        <v>0</v>
      </c>
    </row>
    <row r="217" spans="1:6">
      <c r="A217">
        <f t="shared" si="14"/>
        <v>0</v>
      </c>
      <c r="B217" s="38">
        <f t="shared" si="15"/>
        <v>0</v>
      </c>
      <c r="C217" s="16">
        <f t="shared" si="16"/>
        <v>0</v>
      </c>
      <c r="D217" s="38">
        <f>VLOOKUP(A217,'SGT-5'!$A:$B,2,FALSE)</f>
        <v>0</v>
      </c>
      <c r="E217" s="16">
        <f>VLOOKUP(A217,'SGT-5'!$A:$C,3,FALSE)</f>
        <v>0</v>
      </c>
      <c r="F217" s="16">
        <f t="shared" si="17"/>
        <v>0</v>
      </c>
    </row>
    <row r="218" spans="1:6">
      <c r="A218">
        <f t="shared" si="14"/>
        <v>0</v>
      </c>
      <c r="B218" s="38">
        <f t="shared" si="15"/>
        <v>0</v>
      </c>
      <c r="C218" s="16">
        <f t="shared" si="16"/>
        <v>0</v>
      </c>
      <c r="D218" s="38">
        <f>VLOOKUP(A218,'SGT-5'!$A:$B,2,FALSE)</f>
        <v>0</v>
      </c>
      <c r="E218" s="16">
        <f>VLOOKUP(A218,'SGT-5'!$A:$C,3,FALSE)</f>
        <v>0</v>
      </c>
      <c r="F218" s="16">
        <f t="shared" si="17"/>
        <v>0</v>
      </c>
    </row>
    <row r="219" spans="1:6">
      <c r="A219">
        <f t="shared" si="14"/>
        <v>0</v>
      </c>
      <c r="B219" s="38">
        <f t="shared" si="15"/>
        <v>0</v>
      </c>
      <c r="C219" s="16">
        <f t="shared" si="16"/>
        <v>0</v>
      </c>
      <c r="D219" s="38">
        <f>VLOOKUP(A219,'SGT-5'!$A:$B,2,FALSE)</f>
        <v>0</v>
      </c>
      <c r="E219" s="16">
        <f>VLOOKUP(A219,'SGT-5'!$A:$C,3,FALSE)</f>
        <v>0</v>
      </c>
      <c r="F219" s="16">
        <f t="shared" si="17"/>
        <v>0</v>
      </c>
    </row>
    <row r="220" spans="1:6">
      <c r="A220">
        <f t="shared" si="14"/>
        <v>0</v>
      </c>
      <c r="B220" s="38">
        <f t="shared" si="15"/>
        <v>0</v>
      </c>
      <c r="C220" s="16">
        <f t="shared" si="16"/>
        <v>0</v>
      </c>
      <c r="D220" s="38">
        <f>VLOOKUP(A220,'SGT-5'!$A:$B,2,FALSE)</f>
        <v>0</v>
      </c>
      <c r="E220" s="16">
        <f>VLOOKUP(A220,'SGT-5'!$A:$C,3,FALSE)</f>
        <v>0</v>
      </c>
      <c r="F220" s="16">
        <f t="shared" si="17"/>
        <v>0</v>
      </c>
    </row>
    <row r="221" spans="1:6">
      <c r="A221">
        <f t="shared" si="14"/>
        <v>0</v>
      </c>
      <c r="B221" s="38">
        <f t="shared" si="15"/>
        <v>0</v>
      </c>
      <c r="C221" s="16">
        <f t="shared" si="16"/>
        <v>0</v>
      </c>
      <c r="D221" s="38">
        <f>VLOOKUP(A221,'SGT-5'!$A:$B,2,FALSE)</f>
        <v>0</v>
      </c>
      <c r="E221" s="16">
        <f>VLOOKUP(A221,'SGT-5'!$A:$C,3,FALSE)</f>
        <v>0</v>
      </c>
      <c r="F221" s="16">
        <f t="shared" si="17"/>
        <v>0</v>
      </c>
    </row>
    <row r="222" spans="1:6">
      <c r="A222">
        <f t="shared" si="14"/>
        <v>0</v>
      </c>
      <c r="B222" s="38">
        <f t="shared" si="15"/>
        <v>0</v>
      </c>
      <c r="C222" s="16">
        <f t="shared" si="16"/>
        <v>0</v>
      </c>
      <c r="D222" s="38">
        <f>VLOOKUP(A222,'SGT-5'!$A:$B,2,FALSE)</f>
        <v>0</v>
      </c>
      <c r="E222" s="16">
        <f>VLOOKUP(A222,'SGT-5'!$A:$C,3,FALSE)</f>
        <v>0</v>
      </c>
      <c r="F222" s="16">
        <f t="shared" si="17"/>
        <v>0</v>
      </c>
    </row>
    <row r="223" spans="1:6">
      <c r="A223">
        <f t="shared" si="14"/>
        <v>0</v>
      </c>
      <c r="B223" s="38">
        <f t="shared" si="15"/>
        <v>0</v>
      </c>
      <c r="C223" s="16">
        <f t="shared" si="16"/>
        <v>0</v>
      </c>
      <c r="D223" s="38">
        <f>VLOOKUP(A223,'SGT-5'!$A:$B,2,FALSE)</f>
        <v>0</v>
      </c>
      <c r="E223" s="16">
        <f>VLOOKUP(A223,'SGT-5'!$A:$C,3,FALSE)</f>
        <v>0</v>
      </c>
      <c r="F223" s="16">
        <f t="shared" si="17"/>
        <v>0</v>
      </c>
    </row>
    <row r="224" spans="1:6">
      <c r="A224">
        <f t="shared" si="14"/>
        <v>0</v>
      </c>
      <c r="B224" s="38">
        <f t="shared" si="15"/>
        <v>0</v>
      </c>
      <c r="C224" s="16">
        <f t="shared" si="16"/>
        <v>0</v>
      </c>
      <c r="D224" s="38">
        <f>VLOOKUP(A224,'SGT-5'!$A:$B,2,FALSE)</f>
        <v>0</v>
      </c>
      <c r="E224" s="16">
        <f>VLOOKUP(A224,'SGT-5'!$A:$C,3,FALSE)</f>
        <v>0</v>
      </c>
      <c r="F224" s="16">
        <f t="shared" si="17"/>
        <v>0</v>
      </c>
    </row>
    <row r="225" spans="1:6">
      <c r="A225">
        <f t="shared" si="14"/>
        <v>0</v>
      </c>
      <c r="B225" s="38">
        <f t="shared" si="15"/>
        <v>0</v>
      </c>
      <c r="C225" s="16">
        <f t="shared" si="16"/>
        <v>0</v>
      </c>
      <c r="D225" s="38">
        <f>VLOOKUP(A225,'SGT-5'!$A:$B,2,FALSE)</f>
        <v>0</v>
      </c>
      <c r="E225" s="16">
        <f>VLOOKUP(A225,'SGT-5'!$A:$C,3,FALSE)</f>
        <v>0</v>
      </c>
      <c r="F225" s="16">
        <f t="shared" si="17"/>
        <v>0</v>
      </c>
    </row>
    <row r="226" spans="1:6">
      <c r="A226">
        <f t="shared" si="14"/>
        <v>0</v>
      </c>
      <c r="B226" s="38">
        <f t="shared" si="15"/>
        <v>0</v>
      </c>
      <c r="C226" s="16">
        <f t="shared" si="16"/>
        <v>0</v>
      </c>
      <c r="D226" s="38">
        <f>VLOOKUP(A226,'SGT-5'!$A:$B,2,FALSE)</f>
        <v>0</v>
      </c>
      <c r="E226" s="16">
        <f>VLOOKUP(A226,'SGT-5'!$A:$C,3,FALSE)</f>
        <v>0</v>
      </c>
      <c r="F226" s="16">
        <f t="shared" si="17"/>
        <v>0</v>
      </c>
    </row>
    <row r="227" spans="1:6">
      <c r="A227">
        <f t="shared" si="14"/>
        <v>0</v>
      </c>
      <c r="B227" s="38">
        <f t="shared" si="15"/>
        <v>0</v>
      </c>
      <c r="C227" s="16">
        <f t="shared" si="16"/>
        <v>0</v>
      </c>
      <c r="D227" s="38">
        <f>VLOOKUP(A227,'SGT-5'!$A:$B,2,FALSE)</f>
        <v>0</v>
      </c>
      <c r="E227" s="16">
        <f>VLOOKUP(A227,'SGT-5'!$A:$C,3,FALSE)</f>
        <v>0</v>
      </c>
      <c r="F227" s="16">
        <f t="shared" si="17"/>
        <v>0</v>
      </c>
    </row>
    <row r="228" spans="1:6">
      <c r="A228">
        <f t="shared" si="14"/>
        <v>0</v>
      </c>
      <c r="B228" s="38">
        <f t="shared" si="15"/>
        <v>0</v>
      </c>
      <c r="C228" s="16">
        <f t="shared" si="16"/>
        <v>0</v>
      </c>
      <c r="D228" s="38">
        <f>VLOOKUP(A228,'SGT-5'!$A:$B,2,FALSE)</f>
        <v>0</v>
      </c>
      <c r="E228" s="16">
        <f>VLOOKUP(A228,'SGT-5'!$A:$C,3,FALSE)</f>
        <v>0</v>
      </c>
      <c r="F228" s="16">
        <f t="shared" si="17"/>
        <v>0</v>
      </c>
    </row>
    <row r="229" spans="1:6">
      <c r="A229">
        <f t="shared" si="14"/>
        <v>0</v>
      </c>
      <c r="B229" s="38">
        <f t="shared" si="15"/>
        <v>0</v>
      </c>
      <c r="C229" s="16">
        <f t="shared" si="16"/>
        <v>0</v>
      </c>
      <c r="D229" s="38">
        <f>VLOOKUP(A229,'SGT-5'!$A:$B,2,FALSE)</f>
        <v>0</v>
      </c>
      <c r="E229" s="16">
        <f>VLOOKUP(A229,'SGT-5'!$A:$C,3,FALSE)</f>
        <v>0</v>
      </c>
      <c r="F229" s="16">
        <f t="shared" si="17"/>
        <v>0</v>
      </c>
    </row>
    <row r="230" spans="1:6">
      <c r="A230">
        <f t="shared" si="14"/>
        <v>0</v>
      </c>
      <c r="B230" s="38">
        <f t="shared" si="15"/>
        <v>0</v>
      </c>
      <c r="C230" s="16">
        <f t="shared" si="16"/>
        <v>0</v>
      </c>
      <c r="D230" s="38">
        <f>VLOOKUP(A230,'SGT-5'!$A:$B,2,FALSE)</f>
        <v>0</v>
      </c>
      <c r="E230" s="16">
        <f>VLOOKUP(A230,'SGT-5'!$A:$C,3,FALSE)</f>
        <v>0</v>
      </c>
      <c r="F230" s="16">
        <f t="shared" si="17"/>
        <v>0</v>
      </c>
    </row>
    <row r="231" spans="1:6">
      <c r="A231">
        <f t="shared" si="14"/>
        <v>0</v>
      </c>
      <c r="B231" s="38">
        <f t="shared" si="15"/>
        <v>0</v>
      </c>
      <c r="C231" s="16">
        <f t="shared" si="16"/>
        <v>0</v>
      </c>
      <c r="D231" s="38">
        <f>VLOOKUP(A231,'SGT-5'!$A:$B,2,FALSE)</f>
        <v>0</v>
      </c>
      <c r="E231" s="16">
        <f>VLOOKUP(A231,'SGT-5'!$A:$C,3,FALSE)</f>
        <v>0</v>
      </c>
      <c r="F231" s="16">
        <f t="shared" si="17"/>
        <v>0</v>
      </c>
    </row>
    <row r="232" spans="1:6">
      <c r="A232">
        <f t="shared" si="14"/>
        <v>0</v>
      </c>
      <c r="B232" s="38">
        <f t="shared" si="15"/>
        <v>0</v>
      </c>
      <c r="C232" s="16">
        <f t="shared" si="16"/>
        <v>0</v>
      </c>
      <c r="D232" s="38">
        <f>VLOOKUP(A232,'SGT-5'!$A:$B,2,FALSE)</f>
        <v>0</v>
      </c>
      <c r="E232" s="16">
        <f>VLOOKUP(A232,'SGT-5'!$A:$C,3,FALSE)</f>
        <v>0</v>
      </c>
      <c r="F232" s="16">
        <f t="shared" si="17"/>
        <v>0</v>
      </c>
    </row>
    <row r="233" spans="1:6">
      <c r="A233">
        <f t="shared" si="14"/>
        <v>0</v>
      </c>
      <c r="B233" s="38">
        <f t="shared" si="15"/>
        <v>0</v>
      </c>
      <c r="C233" s="16">
        <f t="shared" si="16"/>
        <v>0</v>
      </c>
      <c r="D233" s="38">
        <f>VLOOKUP(A233,'SGT-5'!$A:$B,2,FALSE)</f>
        <v>0</v>
      </c>
      <c r="E233" s="16">
        <f>VLOOKUP(A233,'SGT-5'!$A:$C,3,FALSE)</f>
        <v>0</v>
      </c>
      <c r="F233" s="16">
        <f t="shared" si="17"/>
        <v>0</v>
      </c>
    </row>
    <row r="234" spans="1:6">
      <c r="A234">
        <f t="shared" si="14"/>
        <v>0</v>
      </c>
      <c r="B234" s="38">
        <f t="shared" si="15"/>
        <v>0</v>
      </c>
      <c r="C234" s="16">
        <f t="shared" si="16"/>
        <v>0</v>
      </c>
      <c r="D234" s="38">
        <f>VLOOKUP(A234,'SGT-5'!$A:$B,2,FALSE)</f>
        <v>0</v>
      </c>
      <c r="E234" s="16">
        <f>VLOOKUP(A234,'SGT-5'!$A:$C,3,FALSE)</f>
        <v>0</v>
      </c>
      <c r="F234" s="16">
        <f t="shared" si="17"/>
        <v>0</v>
      </c>
    </row>
    <row r="235" spans="1:6">
      <c r="A235">
        <f t="shared" si="14"/>
        <v>0</v>
      </c>
      <c r="B235" s="38">
        <f t="shared" si="15"/>
        <v>0</v>
      </c>
      <c r="C235" s="16">
        <f t="shared" si="16"/>
        <v>0</v>
      </c>
      <c r="D235" s="38">
        <f>VLOOKUP(A235,'SGT-5'!$A:$B,2,FALSE)</f>
        <v>0</v>
      </c>
      <c r="E235" s="16">
        <f>VLOOKUP(A235,'SGT-5'!$A:$C,3,FALSE)</f>
        <v>0</v>
      </c>
      <c r="F235" s="16">
        <f t="shared" si="17"/>
        <v>0</v>
      </c>
    </row>
    <row r="236" spans="1:6">
      <c r="A236">
        <f t="shared" si="14"/>
        <v>0</v>
      </c>
      <c r="B236" s="38">
        <f t="shared" si="15"/>
        <v>0</v>
      </c>
      <c r="C236" s="16">
        <f t="shared" si="16"/>
        <v>0</v>
      </c>
      <c r="D236" s="38">
        <f>VLOOKUP(A236,'SGT-5'!$A:$B,2,FALSE)</f>
        <v>0</v>
      </c>
      <c r="E236" s="16">
        <f>VLOOKUP(A236,'SGT-5'!$A:$C,3,FALSE)</f>
        <v>0</v>
      </c>
      <c r="F236" s="16">
        <f t="shared" si="17"/>
        <v>0</v>
      </c>
    </row>
    <row r="237" spans="1:6">
      <c r="A237">
        <f t="shared" si="14"/>
        <v>0</v>
      </c>
      <c r="B237" s="38">
        <f t="shared" si="15"/>
        <v>0</v>
      </c>
      <c r="C237" s="16">
        <f t="shared" si="16"/>
        <v>0</v>
      </c>
      <c r="D237" s="38">
        <f>VLOOKUP(A237,'SGT-5'!$A:$B,2,FALSE)</f>
        <v>0</v>
      </c>
      <c r="E237" s="16">
        <f>VLOOKUP(A237,'SGT-5'!$A:$C,3,FALSE)</f>
        <v>0</v>
      </c>
      <c r="F237" s="16">
        <f t="shared" si="17"/>
        <v>0</v>
      </c>
    </row>
    <row r="238" spans="1:6">
      <c r="A238">
        <f t="shared" si="14"/>
        <v>0</v>
      </c>
      <c r="B238" s="38">
        <f t="shared" si="15"/>
        <v>0</v>
      </c>
      <c r="C238" s="16">
        <f t="shared" si="16"/>
        <v>0</v>
      </c>
      <c r="D238" s="38">
        <f>VLOOKUP(A238,'SGT-5'!$A:$B,2,FALSE)</f>
        <v>0</v>
      </c>
      <c r="E238" s="16">
        <f>VLOOKUP(A238,'SGT-5'!$A:$C,3,FALSE)</f>
        <v>0</v>
      </c>
      <c r="F238" s="16">
        <f t="shared" si="17"/>
        <v>0</v>
      </c>
    </row>
    <row r="239" spans="1:6">
      <c r="A239">
        <f t="shared" si="14"/>
        <v>0</v>
      </c>
      <c r="B239" s="38">
        <f t="shared" si="15"/>
        <v>0</v>
      </c>
      <c r="C239" s="16">
        <f t="shared" si="16"/>
        <v>0</v>
      </c>
      <c r="D239" s="38">
        <f>VLOOKUP(A239,'SGT-5'!$A:$B,2,FALSE)</f>
        <v>0</v>
      </c>
      <c r="E239" s="16">
        <f>VLOOKUP(A239,'SGT-5'!$A:$C,3,FALSE)</f>
        <v>0</v>
      </c>
      <c r="F239" s="16">
        <f t="shared" si="17"/>
        <v>0</v>
      </c>
    </row>
    <row r="240" spans="1:6">
      <c r="A240">
        <f t="shared" si="14"/>
        <v>0</v>
      </c>
      <c r="B240" s="38">
        <f t="shared" si="15"/>
        <v>0</v>
      </c>
      <c r="C240" s="16">
        <f t="shared" si="16"/>
        <v>0</v>
      </c>
      <c r="D240" s="38">
        <f>VLOOKUP(A240,'SGT-5'!$A:$B,2,FALSE)</f>
        <v>0</v>
      </c>
      <c r="E240" s="16">
        <f>VLOOKUP(A240,'SGT-5'!$A:$C,3,FALSE)</f>
        <v>0</v>
      </c>
      <c r="F240" s="16">
        <f t="shared" si="17"/>
        <v>0</v>
      </c>
    </row>
    <row r="241" spans="1:6">
      <c r="A241">
        <f t="shared" si="14"/>
        <v>0</v>
      </c>
      <c r="B241" s="38">
        <f t="shared" si="15"/>
        <v>0</v>
      </c>
      <c r="C241" s="16">
        <f t="shared" si="16"/>
        <v>0</v>
      </c>
      <c r="D241" s="38">
        <f>VLOOKUP(A241,'SGT-5'!$A:$B,2,FALSE)</f>
        <v>0</v>
      </c>
      <c r="E241" s="16">
        <f>VLOOKUP(A241,'SGT-5'!$A:$C,3,FALSE)</f>
        <v>0</v>
      </c>
      <c r="F241" s="16">
        <f t="shared" si="17"/>
        <v>0</v>
      </c>
    </row>
    <row r="242" spans="1:6">
      <c r="A242">
        <f t="shared" ref="A242:B246" si="18">J242</f>
        <v>0</v>
      </c>
      <c r="B242" s="38">
        <f t="shared" si="18"/>
        <v>0</v>
      </c>
      <c r="C242" s="16">
        <f>I242</f>
        <v>0</v>
      </c>
      <c r="D242" s="38">
        <f>VLOOKUP(A242,'SGT-5'!$A:$B,2,FALSE)</f>
        <v>0</v>
      </c>
      <c r="E242" s="16">
        <f>VLOOKUP(A242,'SGT-5'!$A:$C,3,FALSE)</f>
        <v>0</v>
      </c>
      <c r="F242" s="16">
        <f>E242-C242</f>
        <v>0</v>
      </c>
    </row>
    <row r="243" spans="1:6">
      <c r="A243">
        <f t="shared" si="18"/>
        <v>0</v>
      </c>
      <c r="B243" s="38">
        <f t="shared" si="18"/>
        <v>0</v>
      </c>
      <c r="C243" s="16">
        <f>I243</f>
        <v>0</v>
      </c>
      <c r="D243" s="38">
        <f>VLOOKUP(A243,'SGT-5'!$A:$B,2,FALSE)</f>
        <v>0</v>
      </c>
      <c r="E243" s="16">
        <f>VLOOKUP(A243,'SGT-5'!$A:$C,3,FALSE)</f>
        <v>0</v>
      </c>
      <c r="F243" s="16">
        <f>E243-C243</f>
        <v>0</v>
      </c>
    </row>
    <row r="244" spans="1:6">
      <c r="A244">
        <f t="shared" si="18"/>
        <v>0</v>
      </c>
      <c r="B244" s="38">
        <f t="shared" si="18"/>
        <v>0</v>
      </c>
      <c r="C244" s="16">
        <f>I244</f>
        <v>0</v>
      </c>
      <c r="D244" s="38">
        <f>VLOOKUP(A244,'SGT-5'!$A:$B,2,FALSE)</f>
        <v>0</v>
      </c>
      <c r="E244" s="16">
        <f>VLOOKUP(A244,'SGT-5'!$A:$C,3,FALSE)</f>
        <v>0</v>
      </c>
      <c r="F244" s="16">
        <f>E244-C244</f>
        <v>0</v>
      </c>
    </row>
    <row r="245" spans="1:6">
      <c r="A245">
        <f t="shared" si="18"/>
        <v>0</v>
      </c>
      <c r="B245" s="38">
        <f t="shared" si="18"/>
        <v>0</v>
      </c>
      <c r="C245" s="16">
        <f>I245</f>
        <v>0</v>
      </c>
      <c r="D245" s="38">
        <f>VLOOKUP(A245,'SGT-5'!$A:$B,2,FALSE)</f>
        <v>0</v>
      </c>
      <c r="E245" s="16">
        <f>VLOOKUP(A245,'SGT-5'!$A:$C,3,FALSE)</f>
        <v>0</v>
      </c>
      <c r="F245" s="16">
        <f>E245-C245</f>
        <v>0</v>
      </c>
    </row>
    <row r="246" spans="1:6">
      <c r="A246">
        <f t="shared" si="18"/>
        <v>0</v>
      </c>
      <c r="B246" s="38">
        <f t="shared" si="18"/>
        <v>0</v>
      </c>
      <c r="C246" s="16">
        <f>I246</f>
        <v>0</v>
      </c>
      <c r="D246" s="38">
        <f>VLOOKUP(A246,'SGT-5'!$A:$B,2,FALSE)</f>
        <v>0</v>
      </c>
      <c r="E246" s="16">
        <f>VLOOKUP(A246,'SGT-5'!$A:$C,3,FALSE)</f>
        <v>0</v>
      </c>
      <c r="F246" s="16">
        <f>E246-C246</f>
        <v>0</v>
      </c>
    </row>
  </sheetData>
  <autoFilter ref="A1:F1" xr:uid="{1B6D034A-E824-433B-8A71-91926EB32D4E}">
    <sortState xmlns:xlrd2="http://schemas.microsoft.com/office/spreadsheetml/2017/richdata2" ref="A2:F192">
      <sortCondition ref="A1"/>
    </sortState>
  </autoFilter>
  <mergeCells count="1">
    <mergeCell ref="I1:O1"/>
  </mergeCells>
  <conditionalFormatting sqref="F2:F246">
    <cfRule type="cellIs" dxfId="570" priority="5" operator="between">
      <formula>-0.5</formula>
      <formula>-4</formula>
    </cfRule>
    <cfRule type="cellIs" dxfId="569" priority="6" operator="between">
      <formula>0</formula>
      <formula>4</formula>
    </cfRule>
    <cfRule type="cellIs" dxfId="568" priority="7" operator="between">
      <formula>-4.5</formula>
      <formula>-100</formula>
    </cfRule>
    <cfRule type="cellIs" dxfId="567" priority="8" operator="between">
      <formula>4.5</formula>
      <formula>100</formula>
    </cfRule>
  </conditionalFormatting>
  <conditionalFormatting sqref="C1:C1048576">
    <cfRule type="cellIs" dxfId="566" priority="1" operator="between">
      <formula>100.5</formula>
      <formula>250</formula>
    </cfRule>
    <cfRule type="cellIs" dxfId="565" priority="2" operator="between">
      <formula>50.5</formula>
      <formula>100</formula>
    </cfRule>
    <cfRule type="cellIs" dxfId="564" priority="3" operator="between">
      <formula>20.5</formula>
      <formula>50</formula>
    </cfRule>
    <cfRule type="cellIs" dxfId="563" priority="4" operator="between">
      <formula>1</formula>
      <formula>20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9F269-AC6D-4DB2-9017-711F62524896}">
  <sheetPr codeName="Sheet6">
    <tabColor theme="9" tint="-0.499984740745262"/>
  </sheetPr>
  <dimension ref="A1:N242"/>
  <sheetViews>
    <sheetView topLeftCell="A137" workbookViewId="0">
      <selection activeCell="F188" sqref="F188:L189"/>
    </sheetView>
  </sheetViews>
  <sheetFormatPr defaultRowHeight="15"/>
  <cols>
    <col min="1" max="1" width="23.140625" bestFit="1" customWidth="1"/>
    <col min="6" max="6" width="13.5703125" bestFit="1" customWidth="1"/>
    <col min="7" max="7" width="23.28515625" bestFit="1" customWidth="1"/>
    <col min="14" max="14" width="49.28515625" bestFit="1" customWidth="1"/>
  </cols>
  <sheetData>
    <row r="1" spans="1:14">
      <c r="A1" s="39" t="s">
        <v>0</v>
      </c>
      <c r="B1" s="1" t="s">
        <v>209</v>
      </c>
      <c r="C1" s="1" t="s">
        <v>1</v>
      </c>
      <c r="F1" s="403" t="s">
        <v>5</v>
      </c>
      <c r="G1" s="403"/>
      <c r="H1" s="403"/>
      <c r="I1" s="403"/>
      <c r="J1" s="403"/>
      <c r="K1" s="403"/>
      <c r="L1" s="403"/>
      <c r="N1" s="342"/>
    </row>
    <row r="2" spans="1:14">
      <c r="A2" t="str">
        <f t="shared" ref="A2:A33" si="0">G2</f>
        <v>Matthieu Pavon</v>
      </c>
      <c r="B2" s="38">
        <f t="shared" ref="B2:B33" si="1">H2</f>
        <v>2.6219999999999999</v>
      </c>
      <c r="C2">
        <f t="shared" ref="C2:C33" si="2">F2</f>
        <v>1</v>
      </c>
      <c r="F2">
        <v>1</v>
      </c>
      <c r="G2" t="s">
        <v>487</v>
      </c>
      <c r="H2">
        <v>2.6219999999999999</v>
      </c>
      <c r="I2">
        <v>34.091999999999999</v>
      </c>
      <c r="J2">
        <v>17.997</v>
      </c>
      <c r="K2">
        <v>16.094999999999999</v>
      </c>
      <c r="L2">
        <v>13</v>
      </c>
    </row>
    <row r="3" spans="1:14">
      <c r="A3" t="str">
        <f t="shared" si="0"/>
        <v>Scottie Scheffler</v>
      </c>
      <c r="B3" s="38">
        <f t="shared" si="1"/>
        <v>2.032</v>
      </c>
      <c r="C3">
        <f t="shared" si="2"/>
        <v>2</v>
      </c>
      <c r="F3">
        <v>2</v>
      </c>
      <c r="G3" t="s">
        <v>35</v>
      </c>
      <c r="H3">
        <v>2.032</v>
      </c>
      <c r="I3">
        <v>28.451000000000001</v>
      </c>
      <c r="J3">
        <v>34.154000000000003</v>
      </c>
      <c r="K3">
        <v>-5.7030000000000003</v>
      </c>
      <c r="L3">
        <v>14</v>
      </c>
    </row>
    <row r="4" spans="1:14">
      <c r="A4" t="str">
        <f t="shared" si="0"/>
        <v>Jordan Spieth</v>
      </c>
      <c r="B4" s="38">
        <f t="shared" si="1"/>
        <v>2.0310000000000001</v>
      </c>
      <c r="C4">
        <f t="shared" si="2"/>
        <v>3</v>
      </c>
      <c r="F4">
        <v>3</v>
      </c>
      <c r="G4" t="s">
        <v>76</v>
      </c>
      <c r="H4">
        <v>2.0310000000000001</v>
      </c>
      <c r="I4">
        <v>22.338000000000001</v>
      </c>
      <c r="J4">
        <v>12.064</v>
      </c>
      <c r="K4">
        <v>10.273999999999999</v>
      </c>
      <c r="L4">
        <v>11</v>
      </c>
    </row>
    <row r="5" spans="1:14">
      <c r="A5" t="str">
        <f t="shared" si="0"/>
        <v>Jake Knapp</v>
      </c>
      <c r="B5" s="38">
        <f t="shared" si="1"/>
        <v>1.7829999999999999</v>
      </c>
      <c r="C5">
        <f t="shared" si="2"/>
        <v>4</v>
      </c>
      <c r="F5">
        <v>4</v>
      </c>
      <c r="G5" t="s">
        <v>492</v>
      </c>
      <c r="H5">
        <v>1.7829999999999999</v>
      </c>
      <c r="I5">
        <v>33.871000000000002</v>
      </c>
      <c r="J5">
        <v>25.707999999999998</v>
      </c>
      <c r="K5">
        <v>8.1630000000000003</v>
      </c>
      <c r="L5">
        <v>19</v>
      </c>
    </row>
    <row r="6" spans="1:14">
      <c r="A6" t="str">
        <f t="shared" si="0"/>
        <v>Xander Schauffele</v>
      </c>
      <c r="B6" s="38">
        <f t="shared" si="1"/>
        <v>1.63</v>
      </c>
      <c r="C6">
        <f t="shared" si="2"/>
        <v>5</v>
      </c>
      <c r="F6">
        <v>5</v>
      </c>
      <c r="G6" t="s">
        <v>73</v>
      </c>
      <c r="H6">
        <v>1.63</v>
      </c>
      <c r="I6">
        <v>21.184999999999999</v>
      </c>
      <c r="J6">
        <v>24.236999999999998</v>
      </c>
      <c r="K6">
        <v>-3.0529999999999999</v>
      </c>
      <c r="L6">
        <v>13</v>
      </c>
    </row>
    <row r="7" spans="1:14">
      <c r="A7" t="str">
        <f t="shared" si="0"/>
        <v>Doug Ghim</v>
      </c>
      <c r="B7" s="38">
        <f t="shared" si="1"/>
        <v>1.556</v>
      </c>
      <c r="C7">
        <f t="shared" si="2"/>
        <v>6</v>
      </c>
      <c r="F7">
        <v>6</v>
      </c>
      <c r="G7" t="s">
        <v>121</v>
      </c>
      <c r="H7">
        <v>1.556</v>
      </c>
      <c r="I7">
        <v>26.446000000000002</v>
      </c>
      <c r="J7">
        <v>20.523</v>
      </c>
      <c r="K7">
        <v>5.9219999999999997</v>
      </c>
      <c r="L7">
        <v>17</v>
      </c>
    </row>
    <row r="8" spans="1:14">
      <c r="A8" t="str">
        <f t="shared" si="0"/>
        <v>Hayden Springer</v>
      </c>
      <c r="B8" s="38">
        <f t="shared" si="1"/>
        <v>1.462</v>
      </c>
      <c r="C8">
        <f t="shared" si="2"/>
        <v>7</v>
      </c>
      <c r="F8">
        <v>7</v>
      </c>
      <c r="G8" t="s">
        <v>557</v>
      </c>
      <c r="H8">
        <v>1.462</v>
      </c>
      <c r="I8">
        <v>10.234999999999999</v>
      </c>
      <c r="J8">
        <v>3.1059999999999999</v>
      </c>
      <c r="K8">
        <v>7.1280000000000001</v>
      </c>
      <c r="L8">
        <v>7</v>
      </c>
    </row>
    <row r="9" spans="1:14">
      <c r="A9" t="str">
        <f t="shared" si="0"/>
        <v>Andrew Novak</v>
      </c>
      <c r="B9" s="38">
        <f t="shared" si="1"/>
        <v>1.403</v>
      </c>
      <c r="C9">
        <f t="shared" si="2"/>
        <v>8</v>
      </c>
      <c r="F9">
        <v>8</v>
      </c>
      <c r="G9" t="s">
        <v>100</v>
      </c>
      <c r="H9">
        <v>1.403</v>
      </c>
      <c r="I9">
        <v>21.041</v>
      </c>
      <c r="J9">
        <v>21.026</v>
      </c>
      <c r="K9">
        <v>1.4999999999999999E-2</v>
      </c>
      <c r="L9">
        <v>15</v>
      </c>
    </row>
    <row r="10" spans="1:14">
      <c r="A10" t="str">
        <f t="shared" si="0"/>
        <v>Adam Scott</v>
      </c>
      <c r="B10" s="38">
        <f t="shared" si="1"/>
        <v>1.399</v>
      </c>
      <c r="C10">
        <f t="shared" si="2"/>
        <v>9</v>
      </c>
      <c r="F10">
        <v>9</v>
      </c>
      <c r="G10" t="s">
        <v>19</v>
      </c>
      <c r="H10">
        <v>1.399</v>
      </c>
      <c r="I10">
        <v>13.992000000000001</v>
      </c>
      <c r="J10">
        <v>10.631</v>
      </c>
      <c r="K10">
        <v>3.3620000000000001</v>
      </c>
      <c r="L10">
        <v>10</v>
      </c>
    </row>
    <row r="11" spans="1:14">
      <c r="A11" t="str">
        <f t="shared" si="0"/>
        <v>Sam Burns</v>
      </c>
      <c r="B11" s="38">
        <f t="shared" si="1"/>
        <v>1.389</v>
      </c>
      <c r="C11">
        <f t="shared" si="2"/>
        <v>10</v>
      </c>
      <c r="F11">
        <v>10</v>
      </c>
      <c r="G11" t="s">
        <v>27</v>
      </c>
      <c r="H11">
        <v>1.389</v>
      </c>
      <c r="I11">
        <v>19.451000000000001</v>
      </c>
      <c r="J11">
        <v>9.141</v>
      </c>
      <c r="K11">
        <v>10.31</v>
      </c>
      <c r="L11">
        <v>14</v>
      </c>
    </row>
    <row r="12" spans="1:14">
      <c r="A12" t="str">
        <f t="shared" si="0"/>
        <v>Tyrrell Hatton</v>
      </c>
      <c r="B12" s="38">
        <f t="shared" si="1"/>
        <v>1.276</v>
      </c>
      <c r="C12">
        <f t="shared" si="2"/>
        <v>11</v>
      </c>
      <c r="F12">
        <v>11</v>
      </c>
      <c r="G12" t="s">
        <v>51</v>
      </c>
      <c r="H12">
        <v>1.276</v>
      </c>
      <c r="I12">
        <v>10.210000000000001</v>
      </c>
      <c r="J12">
        <v>8.8409999999999993</v>
      </c>
      <c r="K12">
        <v>1.3680000000000001</v>
      </c>
      <c r="L12">
        <v>8</v>
      </c>
    </row>
    <row r="13" spans="1:14">
      <c r="A13" t="str">
        <f t="shared" si="0"/>
        <v>Keith Mitchell</v>
      </c>
      <c r="B13" s="38">
        <f t="shared" si="1"/>
        <v>1.2589999999999999</v>
      </c>
      <c r="C13">
        <f t="shared" si="2"/>
        <v>12</v>
      </c>
      <c r="F13">
        <v>12</v>
      </c>
      <c r="G13" t="s">
        <v>14</v>
      </c>
      <c r="H13">
        <v>1.2589999999999999</v>
      </c>
      <c r="I13">
        <v>23.916</v>
      </c>
      <c r="J13">
        <v>25.908000000000001</v>
      </c>
      <c r="K13">
        <v>-1.9910000000000001</v>
      </c>
      <c r="L13">
        <v>19</v>
      </c>
    </row>
    <row r="14" spans="1:14">
      <c r="A14" t="str">
        <f t="shared" si="0"/>
        <v>Ben Silverman</v>
      </c>
      <c r="B14" s="38">
        <f t="shared" si="1"/>
        <v>1.2410000000000001</v>
      </c>
      <c r="C14">
        <f t="shared" si="2"/>
        <v>13</v>
      </c>
      <c r="F14">
        <v>13</v>
      </c>
      <c r="G14" t="s">
        <v>433</v>
      </c>
      <c r="H14">
        <v>1.2410000000000001</v>
      </c>
      <c r="I14">
        <v>18.613</v>
      </c>
      <c r="J14">
        <v>10.167</v>
      </c>
      <c r="K14">
        <v>8.4459999999999997</v>
      </c>
      <c r="L14">
        <v>15</v>
      </c>
    </row>
    <row r="15" spans="1:14">
      <c r="A15" t="str">
        <f t="shared" si="0"/>
        <v>Billy Horschel</v>
      </c>
      <c r="B15" s="38">
        <f t="shared" si="1"/>
        <v>1.2210000000000001</v>
      </c>
      <c r="C15">
        <f t="shared" si="2"/>
        <v>14</v>
      </c>
      <c r="F15">
        <v>14</v>
      </c>
      <c r="G15" t="s">
        <v>115</v>
      </c>
      <c r="H15">
        <v>1.2210000000000001</v>
      </c>
      <c r="I15">
        <v>15.87</v>
      </c>
      <c r="J15">
        <v>4.92</v>
      </c>
      <c r="K15">
        <v>10.95</v>
      </c>
      <c r="L15">
        <v>13</v>
      </c>
    </row>
    <row r="16" spans="1:14">
      <c r="A16" t="str">
        <f t="shared" si="0"/>
        <v>Jason Day</v>
      </c>
      <c r="B16" s="38">
        <f t="shared" si="1"/>
        <v>1.196</v>
      </c>
      <c r="C16">
        <f t="shared" si="2"/>
        <v>15</v>
      </c>
      <c r="F16">
        <v>15</v>
      </c>
      <c r="G16" t="s">
        <v>68</v>
      </c>
      <c r="H16">
        <v>1.196</v>
      </c>
      <c r="I16">
        <v>13.154999999999999</v>
      </c>
      <c r="J16">
        <v>13.032</v>
      </c>
      <c r="K16">
        <v>0.123</v>
      </c>
      <c r="L16">
        <v>11</v>
      </c>
    </row>
    <row r="17" spans="1:12">
      <c r="A17" t="str">
        <f t="shared" si="0"/>
        <v>Erik van Rooyen</v>
      </c>
      <c r="B17" s="38">
        <f t="shared" si="1"/>
        <v>1.1839999999999999</v>
      </c>
      <c r="C17">
        <f t="shared" si="2"/>
        <v>16</v>
      </c>
      <c r="F17">
        <v>16</v>
      </c>
      <c r="G17" t="s">
        <v>65</v>
      </c>
      <c r="H17">
        <v>1.1839999999999999</v>
      </c>
      <c r="I17">
        <v>23.684000000000001</v>
      </c>
      <c r="J17">
        <v>11.5</v>
      </c>
      <c r="K17">
        <v>12.183</v>
      </c>
      <c r="L17">
        <v>20</v>
      </c>
    </row>
    <row r="18" spans="1:12">
      <c r="A18" t="str">
        <f t="shared" si="0"/>
        <v>Sahith Theegala</v>
      </c>
      <c r="B18" s="38">
        <f t="shared" si="1"/>
        <v>1.18</v>
      </c>
      <c r="C18">
        <f t="shared" si="2"/>
        <v>17</v>
      </c>
      <c r="F18">
        <v>17</v>
      </c>
      <c r="G18" t="s">
        <v>64</v>
      </c>
      <c r="H18">
        <v>1.18</v>
      </c>
      <c r="I18">
        <v>22.416</v>
      </c>
      <c r="J18">
        <v>9.9700000000000006</v>
      </c>
      <c r="K18">
        <v>12.445</v>
      </c>
      <c r="L18">
        <v>19</v>
      </c>
    </row>
    <row r="19" spans="1:12">
      <c r="A19" t="str">
        <f t="shared" si="0"/>
        <v>Austin Eckroat</v>
      </c>
      <c r="B19" s="38">
        <f t="shared" si="1"/>
        <v>1.1479999999999999</v>
      </c>
      <c r="C19">
        <f t="shared" si="2"/>
        <v>18</v>
      </c>
      <c r="F19">
        <v>18</v>
      </c>
      <c r="G19" t="s">
        <v>88</v>
      </c>
      <c r="H19">
        <v>1.1479999999999999</v>
      </c>
      <c r="I19">
        <v>19.516999999999999</v>
      </c>
      <c r="J19">
        <v>17.806000000000001</v>
      </c>
      <c r="K19">
        <v>1.7110000000000001</v>
      </c>
      <c r="L19">
        <v>17</v>
      </c>
    </row>
    <row r="20" spans="1:12">
      <c r="A20" t="str">
        <f t="shared" si="0"/>
        <v>Rafael Campos</v>
      </c>
      <c r="B20" s="38">
        <f t="shared" si="1"/>
        <v>1.1379999999999999</v>
      </c>
      <c r="C20">
        <f t="shared" si="2"/>
        <v>19</v>
      </c>
      <c r="F20">
        <v>19</v>
      </c>
      <c r="G20" t="s">
        <v>558</v>
      </c>
      <c r="H20">
        <v>1.1379999999999999</v>
      </c>
      <c r="I20">
        <v>7.9630000000000001</v>
      </c>
      <c r="J20">
        <v>9.1579999999999995</v>
      </c>
      <c r="K20">
        <v>-1.196</v>
      </c>
      <c r="L20">
        <v>7</v>
      </c>
    </row>
    <row r="21" spans="1:12">
      <c r="A21" t="str">
        <f t="shared" si="0"/>
        <v>Byeong Hun An</v>
      </c>
      <c r="B21" s="38">
        <f t="shared" si="1"/>
        <v>1.129</v>
      </c>
      <c r="C21">
        <f t="shared" si="2"/>
        <v>20</v>
      </c>
      <c r="F21">
        <v>20</v>
      </c>
      <c r="G21" t="s">
        <v>10</v>
      </c>
      <c r="H21">
        <v>1.129</v>
      </c>
      <c r="I21">
        <v>24.829000000000001</v>
      </c>
      <c r="J21">
        <v>22.946000000000002</v>
      </c>
      <c r="K21">
        <v>1.883</v>
      </c>
      <c r="L21">
        <v>22</v>
      </c>
    </row>
    <row r="22" spans="1:12">
      <c r="A22" t="str">
        <f t="shared" si="0"/>
        <v>Chris Kirk</v>
      </c>
      <c r="B22" s="38">
        <f t="shared" si="1"/>
        <v>1.0549999999999999</v>
      </c>
      <c r="C22">
        <f t="shared" si="2"/>
        <v>21</v>
      </c>
      <c r="F22">
        <v>21</v>
      </c>
      <c r="G22" t="s">
        <v>132</v>
      </c>
      <c r="H22">
        <v>1.0549999999999999</v>
      </c>
      <c r="I22">
        <v>16.884</v>
      </c>
      <c r="J22">
        <v>21.111999999999998</v>
      </c>
      <c r="K22">
        <v>-4.2279999999999998</v>
      </c>
      <c r="L22">
        <v>16</v>
      </c>
    </row>
    <row r="23" spans="1:12">
      <c r="A23" t="str">
        <f t="shared" si="0"/>
        <v>Stephan Jaeger</v>
      </c>
      <c r="B23" s="38">
        <f t="shared" si="1"/>
        <v>1.004</v>
      </c>
      <c r="C23">
        <f t="shared" si="2"/>
        <v>22</v>
      </c>
      <c r="F23">
        <v>22</v>
      </c>
      <c r="G23" t="s">
        <v>52</v>
      </c>
      <c r="H23">
        <v>1.004</v>
      </c>
      <c r="I23">
        <v>15.055999999999999</v>
      </c>
      <c r="J23">
        <v>12.942</v>
      </c>
      <c r="K23">
        <v>2.1139999999999999</v>
      </c>
      <c r="L23">
        <v>15</v>
      </c>
    </row>
    <row r="24" spans="1:12">
      <c r="A24" t="str">
        <f t="shared" si="0"/>
        <v>Will Zalatoris</v>
      </c>
      <c r="B24" s="38">
        <f t="shared" si="1"/>
        <v>0.997</v>
      </c>
      <c r="C24">
        <f t="shared" si="2"/>
        <v>23</v>
      </c>
      <c r="F24">
        <v>23</v>
      </c>
      <c r="G24" t="s">
        <v>233</v>
      </c>
      <c r="H24">
        <v>0.997</v>
      </c>
      <c r="I24">
        <v>8.9770000000000003</v>
      </c>
      <c r="J24">
        <v>9.048</v>
      </c>
      <c r="K24">
        <v>-7.1999999999999995E-2</v>
      </c>
      <c r="L24">
        <v>9</v>
      </c>
    </row>
    <row r="25" spans="1:12">
      <c r="A25" t="str">
        <f t="shared" si="0"/>
        <v>Beau Hossler</v>
      </c>
      <c r="B25" s="38">
        <f t="shared" si="1"/>
        <v>0.95599999999999996</v>
      </c>
      <c r="C25">
        <f t="shared" si="2"/>
        <v>24</v>
      </c>
      <c r="F25">
        <v>24</v>
      </c>
      <c r="G25" t="s">
        <v>59</v>
      </c>
      <c r="H25">
        <v>0.95599999999999996</v>
      </c>
      <c r="I25">
        <v>16.257999999999999</v>
      </c>
      <c r="J25">
        <v>7.7050000000000001</v>
      </c>
      <c r="K25">
        <v>8.5540000000000003</v>
      </c>
      <c r="L25">
        <v>17</v>
      </c>
    </row>
    <row r="26" spans="1:12">
      <c r="A26" t="str">
        <f t="shared" si="0"/>
        <v>Tom Hoge</v>
      </c>
      <c r="B26" s="38">
        <f t="shared" si="1"/>
        <v>0.94699999999999995</v>
      </c>
      <c r="C26">
        <f t="shared" si="2"/>
        <v>25</v>
      </c>
      <c r="F26">
        <v>25</v>
      </c>
      <c r="G26" t="s">
        <v>139</v>
      </c>
      <c r="H26">
        <v>0.94699999999999995</v>
      </c>
      <c r="I26">
        <v>21.771000000000001</v>
      </c>
      <c r="J26">
        <v>14.256</v>
      </c>
      <c r="K26">
        <v>7.5140000000000002</v>
      </c>
      <c r="L26">
        <v>23</v>
      </c>
    </row>
    <row r="27" spans="1:12">
      <c r="A27" t="str">
        <f t="shared" si="0"/>
        <v>Collin Morikawa</v>
      </c>
      <c r="B27" s="38">
        <f t="shared" si="1"/>
        <v>0.91400000000000003</v>
      </c>
      <c r="C27">
        <f t="shared" si="2"/>
        <v>26</v>
      </c>
      <c r="F27">
        <v>26</v>
      </c>
      <c r="G27" t="s">
        <v>135</v>
      </c>
      <c r="H27">
        <v>0.91400000000000003</v>
      </c>
      <c r="I27">
        <v>10.052</v>
      </c>
      <c r="J27">
        <v>11.81</v>
      </c>
      <c r="K27">
        <v>-1.7589999999999999</v>
      </c>
      <c r="L27">
        <v>11</v>
      </c>
    </row>
    <row r="28" spans="1:12">
      <c r="A28" t="str">
        <f t="shared" si="0"/>
        <v>Maverick McNealy</v>
      </c>
      <c r="B28" s="38">
        <f t="shared" si="1"/>
        <v>0.90200000000000002</v>
      </c>
      <c r="C28">
        <f t="shared" si="2"/>
        <v>27</v>
      </c>
      <c r="F28">
        <v>27</v>
      </c>
      <c r="G28" t="s">
        <v>98</v>
      </c>
      <c r="H28">
        <v>0.90200000000000002</v>
      </c>
      <c r="I28">
        <v>18.946000000000002</v>
      </c>
      <c r="J28">
        <v>8.7729999999999997</v>
      </c>
      <c r="K28">
        <v>10.173</v>
      </c>
      <c r="L28">
        <v>21</v>
      </c>
    </row>
    <row r="29" spans="1:12">
      <c r="A29" t="str">
        <f t="shared" si="0"/>
        <v>Harris English</v>
      </c>
      <c r="B29" s="38">
        <f t="shared" si="1"/>
        <v>0.879</v>
      </c>
      <c r="C29">
        <f t="shared" si="2"/>
        <v>28</v>
      </c>
      <c r="F29">
        <v>28</v>
      </c>
      <c r="G29" t="s">
        <v>125</v>
      </c>
      <c r="H29">
        <v>0.879</v>
      </c>
      <c r="I29">
        <v>18.466000000000001</v>
      </c>
      <c r="J29">
        <v>6.2</v>
      </c>
      <c r="K29">
        <v>12.265000000000001</v>
      </c>
      <c r="L29">
        <v>21</v>
      </c>
    </row>
    <row r="30" spans="1:12">
      <c r="A30" t="str">
        <f t="shared" si="0"/>
        <v>Nick Taylor</v>
      </c>
      <c r="B30" s="38">
        <f t="shared" si="1"/>
        <v>0.879</v>
      </c>
      <c r="C30">
        <f t="shared" si="2"/>
        <v>28</v>
      </c>
      <c r="F30">
        <v>28</v>
      </c>
      <c r="G30" t="s">
        <v>158</v>
      </c>
      <c r="H30">
        <v>0.879</v>
      </c>
      <c r="I30">
        <v>15.827</v>
      </c>
      <c r="J30">
        <v>3.8180000000000001</v>
      </c>
      <c r="K30">
        <v>12.007999999999999</v>
      </c>
      <c r="L30">
        <v>18</v>
      </c>
    </row>
    <row r="31" spans="1:12">
      <c r="A31" t="str">
        <f t="shared" si="0"/>
        <v>J.T. Poston</v>
      </c>
      <c r="B31" s="38">
        <f t="shared" si="1"/>
        <v>0.83699999999999997</v>
      </c>
      <c r="C31">
        <f t="shared" si="2"/>
        <v>30</v>
      </c>
      <c r="F31">
        <v>30</v>
      </c>
      <c r="G31" t="s">
        <v>126</v>
      </c>
      <c r="H31">
        <v>0.83699999999999997</v>
      </c>
      <c r="I31">
        <v>16.747</v>
      </c>
      <c r="J31">
        <v>8.6370000000000005</v>
      </c>
      <c r="K31">
        <v>8.11</v>
      </c>
      <c r="L31">
        <v>20</v>
      </c>
    </row>
    <row r="32" spans="1:12">
      <c r="A32" t="str">
        <f t="shared" si="0"/>
        <v>Kurt Kitayama</v>
      </c>
      <c r="B32" s="38">
        <f t="shared" si="1"/>
        <v>0.82399999999999995</v>
      </c>
      <c r="C32">
        <f t="shared" si="2"/>
        <v>31</v>
      </c>
      <c r="F32">
        <v>31</v>
      </c>
      <c r="G32" t="s">
        <v>54</v>
      </c>
      <c r="H32">
        <v>0.82399999999999995</v>
      </c>
      <c r="I32">
        <v>14.827</v>
      </c>
      <c r="J32">
        <v>17.154</v>
      </c>
      <c r="K32">
        <v>-2.3279999999999998</v>
      </c>
      <c r="L32">
        <v>18</v>
      </c>
    </row>
    <row r="33" spans="1:12">
      <c r="A33" t="str">
        <f t="shared" si="0"/>
        <v>Wyndham Clark</v>
      </c>
      <c r="B33" s="38">
        <f t="shared" si="1"/>
        <v>0.81399999999999995</v>
      </c>
      <c r="C33">
        <f t="shared" si="2"/>
        <v>32</v>
      </c>
      <c r="F33">
        <v>32</v>
      </c>
      <c r="G33" t="s">
        <v>18</v>
      </c>
      <c r="H33">
        <v>0.81399999999999995</v>
      </c>
      <c r="I33">
        <v>9.7639999999999993</v>
      </c>
      <c r="J33">
        <v>7.6349999999999998</v>
      </c>
      <c r="K33">
        <v>2.129</v>
      </c>
      <c r="L33">
        <v>12</v>
      </c>
    </row>
    <row r="34" spans="1:12">
      <c r="A34" t="str">
        <f t="shared" ref="A34:A65" si="3">G34</f>
        <v>Tony Finau</v>
      </c>
      <c r="B34" s="38">
        <f t="shared" ref="B34:B65" si="4">H34</f>
        <v>0.81100000000000005</v>
      </c>
      <c r="C34">
        <f t="shared" ref="C34:C65" si="5">F34</f>
        <v>33</v>
      </c>
      <c r="F34">
        <v>33</v>
      </c>
      <c r="G34" t="s">
        <v>69</v>
      </c>
      <c r="H34">
        <v>0.81100000000000005</v>
      </c>
      <c r="I34">
        <v>13.781000000000001</v>
      </c>
      <c r="J34">
        <v>26.408000000000001</v>
      </c>
      <c r="K34">
        <v>-12.628</v>
      </c>
      <c r="L34">
        <v>17</v>
      </c>
    </row>
    <row r="35" spans="1:12">
      <c r="A35" t="str">
        <f t="shared" si="3"/>
        <v>Ludvig Åberg</v>
      </c>
      <c r="B35" s="38">
        <f t="shared" si="4"/>
        <v>0.79900000000000004</v>
      </c>
      <c r="C35">
        <f t="shared" si="5"/>
        <v>34</v>
      </c>
      <c r="F35">
        <v>34</v>
      </c>
      <c r="G35" t="s">
        <v>439</v>
      </c>
      <c r="H35">
        <v>0.79900000000000004</v>
      </c>
      <c r="I35">
        <v>13.583</v>
      </c>
      <c r="J35">
        <v>9.9629999999999992</v>
      </c>
      <c r="K35">
        <v>3.6190000000000002</v>
      </c>
      <c r="L35">
        <v>17</v>
      </c>
    </row>
    <row r="36" spans="1:12">
      <c r="A36" t="str">
        <f t="shared" si="3"/>
        <v>Justin Thomas</v>
      </c>
      <c r="B36" s="38">
        <f t="shared" si="4"/>
        <v>0.78800000000000003</v>
      </c>
      <c r="C36">
        <f t="shared" si="5"/>
        <v>35</v>
      </c>
      <c r="F36">
        <v>35</v>
      </c>
      <c r="G36" t="s">
        <v>42</v>
      </c>
      <c r="H36">
        <v>0.78800000000000003</v>
      </c>
      <c r="I36">
        <v>6.3049999999999997</v>
      </c>
      <c r="J36">
        <v>10.734</v>
      </c>
      <c r="K36">
        <v>-4.4279999999999999</v>
      </c>
      <c r="L36">
        <v>8</v>
      </c>
    </row>
    <row r="37" spans="1:12">
      <c r="A37" t="str">
        <f t="shared" si="3"/>
        <v>Cameron Young</v>
      </c>
      <c r="B37" s="38">
        <f t="shared" si="4"/>
        <v>0.78200000000000003</v>
      </c>
      <c r="C37">
        <f t="shared" si="5"/>
        <v>36</v>
      </c>
      <c r="F37">
        <v>36</v>
      </c>
      <c r="G37" t="s">
        <v>9</v>
      </c>
      <c r="H37">
        <v>0.78200000000000003</v>
      </c>
      <c r="I37">
        <v>14.077999999999999</v>
      </c>
      <c r="J37">
        <v>11.529</v>
      </c>
      <c r="K37">
        <v>2.5489999999999999</v>
      </c>
      <c r="L37">
        <v>18</v>
      </c>
    </row>
    <row r="38" spans="1:12">
      <c r="A38" t="str">
        <f t="shared" si="3"/>
        <v>Jorge Campillo</v>
      </c>
      <c r="B38" s="38">
        <f t="shared" si="4"/>
        <v>0.77800000000000002</v>
      </c>
      <c r="C38">
        <f t="shared" si="5"/>
        <v>37</v>
      </c>
      <c r="F38">
        <v>37</v>
      </c>
      <c r="G38" t="s">
        <v>693</v>
      </c>
      <c r="H38">
        <v>0.77800000000000002</v>
      </c>
      <c r="I38">
        <v>6.2229999999999999</v>
      </c>
      <c r="J38">
        <v>1.3560000000000001</v>
      </c>
      <c r="K38">
        <v>4.867</v>
      </c>
      <c r="L38">
        <v>8</v>
      </c>
    </row>
    <row r="39" spans="1:12">
      <c r="A39" t="str">
        <f t="shared" si="3"/>
        <v>Shane Lowry</v>
      </c>
      <c r="B39" s="38">
        <f t="shared" si="4"/>
        <v>0.77500000000000002</v>
      </c>
      <c r="C39">
        <f t="shared" si="5"/>
        <v>38</v>
      </c>
      <c r="F39">
        <v>38</v>
      </c>
      <c r="G39" t="s">
        <v>74</v>
      </c>
      <c r="H39">
        <v>0.77500000000000002</v>
      </c>
      <c r="I39">
        <v>8.5239999999999991</v>
      </c>
      <c r="J39">
        <v>8.2799999999999994</v>
      </c>
      <c r="K39">
        <v>0.24399999999999999</v>
      </c>
      <c r="L39">
        <v>11</v>
      </c>
    </row>
    <row r="40" spans="1:12">
      <c r="A40" t="str">
        <f t="shared" si="3"/>
        <v>Max Homa</v>
      </c>
      <c r="B40" s="38">
        <f t="shared" si="4"/>
        <v>0.75700000000000001</v>
      </c>
      <c r="C40">
        <f t="shared" si="5"/>
        <v>39</v>
      </c>
      <c r="F40">
        <v>39</v>
      </c>
      <c r="G40" t="s">
        <v>66</v>
      </c>
      <c r="H40">
        <v>0.75700000000000001</v>
      </c>
      <c r="I40">
        <v>11.361000000000001</v>
      </c>
      <c r="J40">
        <v>12.433999999999999</v>
      </c>
      <c r="K40">
        <v>-1.0740000000000001</v>
      </c>
      <c r="L40">
        <v>15</v>
      </c>
    </row>
    <row r="41" spans="1:12">
      <c r="A41" t="str">
        <f t="shared" si="3"/>
        <v>Aaron Baddeley</v>
      </c>
      <c r="B41" s="38">
        <f t="shared" si="4"/>
        <v>0.72199999999999998</v>
      </c>
      <c r="C41">
        <f t="shared" si="5"/>
        <v>40</v>
      </c>
      <c r="F41">
        <v>40</v>
      </c>
      <c r="G41" t="s">
        <v>182</v>
      </c>
      <c r="H41">
        <v>0.72199999999999998</v>
      </c>
      <c r="I41">
        <v>9.3849999999999998</v>
      </c>
      <c r="J41">
        <v>-7.16</v>
      </c>
      <c r="K41">
        <v>16.545000000000002</v>
      </c>
      <c r="L41">
        <v>13</v>
      </c>
    </row>
    <row r="42" spans="1:12">
      <c r="A42" t="str">
        <f t="shared" si="3"/>
        <v>Davis Thompson</v>
      </c>
      <c r="B42" s="38">
        <f t="shared" si="4"/>
        <v>0.71699999999999997</v>
      </c>
      <c r="C42">
        <f t="shared" si="5"/>
        <v>41</v>
      </c>
      <c r="F42">
        <v>41</v>
      </c>
      <c r="G42" t="s">
        <v>28</v>
      </c>
      <c r="H42">
        <v>0.71699999999999997</v>
      </c>
      <c r="I42">
        <v>12.194000000000001</v>
      </c>
      <c r="J42">
        <v>5.298</v>
      </c>
      <c r="K42">
        <v>6.8959999999999999</v>
      </c>
      <c r="L42">
        <v>17</v>
      </c>
    </row>
    <row r="43" spans="1:12">
      <c r="A43" t="str">
        <f t="shared" si="3"/>
        <v>Taylor Pendrith</v>
      </c>
      <c r="B43" s="38">
        <f t="shared" si="4"/>
        <v>0.71399999999999997</v>
      </c>
      <c r="C43">
        <f t="shared" si="5"/>
        <v>42</v>
      </c>
      <c r="F43">
        <v>42</v>
      </c>
      <c r="G43" t="s">
        <v>33</v>
      </c>
      <c r="H43">
        <v>0.71399999999999997</v>
      </c>
      <c r="I43">
        <v>7.8520000000000003</v>
      </c>
      <c r="J43">
        <v>1.637</v>
      </c>
      <c r="K43">
        <v>6.2149999999999999</v>
      </c>
      <c r="L43">
        <v>11</v>
      </c>
    </row>
    <row r="44" spans="1:12">
      <c r="A44" t="str">
        <f t="shared" si="3"/>
        <v>Si Woo Kim</v>
      </c>
      <c r="B44" s="38">
        <f t="shared" si="4"/>
        <v>0.71299999999999997</v>
      </c>
      <c r="C44">
        <f t="shared" si="5"/>
        <v>43</v>
      </c>
      <c r="F44">
        <v>43</v>
      </c>
      <c r="G44" t="s">
        <v>128</v>
      </c>
      <c r="H44">
        <v>0.71299999999999997</v>
      </c>
      <c r="I44">
        <v>12.827</v>
      </c>
      <c r="J44">
        <v>17.577000000000002</v>
      </c>
      <c r="K44">
        <v>-4.7510000000000003</v>
      </c>
      <c r="L44">
        <v>18</v>
      </c>
    </row>
    <row r="45" spans="1:12">
      <c r="A45" t="str">
        <f t="shared" si="3"/>
        <v>Alex Noren</v>
      </c>
      <c r="B45" s="38">
        <f t="shared" si="4"/>
        <v>0.69399999999999995</v>
      </c>
      <c r="C45">
        <f t="shared" si="5"/>
        <v>44</v>
      </c>
      <c r="F45">
        <v>44</v>
      </c>
      <c r="G45" t="s">
        <v>95</v>
      </c>
      <c r="H45">
        <v>0.69399999999999995</v>
      </c>
      <c r="I45">
        <v>9.7110000000000003</v>
      </c>
      <c r="J45">
        <v>8.27</v>
      </c>
      <c r="K45">
        <v>1.4419999999999999</v>
      </c>
      <c r="L45">
        <v>14</v>
      </c>
    </row>
    <row r="46" spans="1:12">
      <c r="A46" t="str">
        <f t="shared" si="3"/>
        <v>Chan Kim</v>
      </c>
      <c r="B46" s="38">
        <f t="shared" si="4"/>
        <v>0.68300000000000005</v>
      </c>
      <c r="C46">
        <f t="shared" si="5"/>
        <v>45</v>
      </c>
      <c r="F46">
        <v>45</v>
      </c>
      <c r="G46" t="s">
        <v>424</v>
      </c>
      <c r="H46">
        <v>0.68300000000000005</v>
      </c>
      <c r="I46">
        <v>7.5110000000000001</v>
      </c>
      <c r="J46">
        <v>2.4980000000000002</v>
      </c>
      <c r="K46">
        <v>5.0119999999999996</v>
      </c>
      <c r="L46">
        <v>11</v>
      </c>
    </row>
    <row r="47" spans="1:12">
      <c r="A47" t="str">
        <f t="shared" si="3"/>
        <v>C.T. Pan</v>
      </c>
      <c r="B47" s="38">
        <f t="shared" si="4"/>
        <v>0.64400000000000002</v>
      </c>
      <c r="C47">
        <f t="shared" si="5"/>
        <v>46</v>
      </c>
      <c r="F47">
        <v>46</v>
      </c>
      <c r="G47" t="s">
        <v>131</v>
      </c>
      <c r="H47">
        <v>0.64400000000000002</v>
      </c>
      <c r="I47">
        <v>7.7249999999999996</v>
      </c>
      <c r="J47">
        <v>0.307</v>
      </c>
      <c r="K47">
        <v>7.4169999999999998</v>
      </c>
      <c r="L47">
        <v>12</v>
      </c>
    </row>
    <row r="48" spans="1:12">
      <c r="A48" t="str">
        <f t="shared" si="3"/>
        <v>Chesson Hadley</v>
      </c>
      <c r="B48" s="38">
        <f t="shared" si="4"/>
        <v>0.61799999999999999</v>
      </c>
      <c r="C48">
        <f t="shared" si="5"/>
        <v>47</v>
      </c>
      <c r="F48">
        <v>47</v>
      </c>
      <c r="G48" t="s">
        <v>106</v>
      </c>
      <c r="H48">
        <v>0.61799999999999999</v>
      </c>
      <c r="I48">
        <v>8.0380000000000003</v>
      </c>
      <c r="J48">
        <v>-0.83</v>
      </c>
      <c r="K48">
        <v>8.8680000000000003</v>
      </c>
      <c r="L48">
        <v>13</v>
      </c>
    </row>
    <row r="49" spans="1:12">
      <c r="A49" t="str">
        <f t="shared" si="3"/>
        <v>Nicolai Højgaard</v>
      </c>
      <c r="B49" s="38">
        <f t="shared" si="4"/>
        <v>0.59199999999999997</v>
      </c>
      <c r="C49">
        <f t="shared" si="5"/>
        <v>48</v>
      </c>
      <c r="F49">
        <v>48</v>
      </c>
      <c r="G49" t="s">
        <v>595</v>
      </c>
      <c r="H49">
        <v>0.59199999999999997</v>
      </c>
      <c r="I49">
        <v>7.6970000000000001</v>
      </c>
      <c r="J49">
        <v>6.5170000000000003</v>
      </c>
      <c r="K49">
        <v>1.18</v>
      </c>
      <c r="L49">
        <v>13</v>
      </c>
    </row>
    <row r="50" spans="1:12">
      <c r="A50" t="str">
        <f t="shared" si="3"/>
        <v>Sami Valimaki</v>
      </c>
      <c r="B50" s="38">
        <f t="shared" si="4"/>
        <v>0.58099999999999996</v>
      </c>
      <c r="C50">
        <f t="shared" si="5"/>
        <v>49</v>
      </c>
      <c r="F50">
        <v>49</v>
      </c>
      <c r="G50" t="s">
        <v>488</v>
      </c>
      <c r="H50">
        <v>0.58099999999999996</v>
      </c>
      <c r="I50">
        <v>8.7110000000000003</v>
      </c>
      <c r="J50">
        <v>7.3689999999999998</v>
      </c>
      <c r="K50">
        <v>1.341</v>
      </c>
      <c r="L50">
        <v>15</v>
      </c>
    </row>
    <row r="51" spans="1:12">
      <c r="A51" t="str">
        <f t="shared" si="3"/>
        <v>Akshay Bhatia</v>
      </c>
      <c r="B51" s="38">
        <f t="shared" si="4"/>
        <v>0.57599999999999996</v>
      </c>
      <c r="C51">
        <f t="shared" si="5"/>
        <v>50</v>
      </c>
      <c r="F51">
        <v>50</v>
      </c>
      <c r="G51" t="s">
        <v>370</v>
      </c>
      <c r="H51">
        <v>0.57599999999999996</v>
      </c>
      <c r="I51">
        <v>8.6449999999999996</v>
      </c>
      <c r="J51">
        <v>5.4240000000000004</v>
      </c>
      <c r="K51">
        <v>3.22</v>
      </c>
      <c r="L51">
        <v>15</v>
      </c>
    </row>
    <row r="52" spans="1:12">
      <c r="A52" t="str">
        <f t="shared" si="3"/>
        <v>Christiaan Bezuidenhout</v>
      </c>
      <c r="B52" s="38">
        <f t="shared" si="4"/>
        <v>0.57499999999999996</v>
      </c>
      <c r="C52">
        <f t="shared" si="5"/>
        <v>51</v>
      </c>
      <c r="F52">
        <v>51</v>
      </c>
      <c r="G52" t="s">
        <v>165</v>
      </c>
      <c r="H52">
        <v>0.57499999999999996</v>
      </c>
      <c r="I52">
        <v>7.4710000000000001</v>
      </c>
      <c r="J52">
        <v>0.55100000000000005</v>
      </c>
      <c r="K52">
        <v>6.92</v>
      </c>
      <c r="L52">
        <v>13</v>
      </c>
    </row>
    <row r="53" spans="1:12">
      <c r="A53" t="str">
        <f t="shared" si="3"/>
        <v>Parker Coody</v>
      </c>
      <c r="B53" s="38">
        <f t="shared" si="4"/>
        <v>0.57399999999999995</v>
      </c>
      <c r="C53">
        <f t="shared" si="5"/>
        <v>52</v>
      </c>
      <c r="F53">
        <v>52</v>
      </c>
      <c r="G53" t="s">
        <v>497</v>
      </c>
      <c r="H53">
        <v>0.57399999999999995</v>
      </c>
      <c r="I53">
        <v>8.6129999999999995</v>
      </c>
      <c r="J53">
        <v>14.194000000000001</v>
      </c>
      <c r="K53">
        <v>-5.5810000000000004</v>
      </c>
      <c r="L53">
        <v>15</v>
      </c>
    </row>
    <row r="54" spans="1:12">
      <c r="A54" t="str">
        <f t="shared" si="3"/>
        <v>Hideki Matsuyama</v>
      </c>
      <c r="B54" s="38">
        <f t="shared" si="4"/>
        <v>0.56399999999999995</v>
      </c>
      <c r="C54">
        <f t="shared" si="5"/>
        <v>53</v>
      </c>
      <c r="F54">
        <v>53</v>
      </c>
      <c r="G54" t="s">
        <v>129</v>
      </c>
      <c r="H54">
        <v>0.56399999999999995</v>
      </c>
      <c r="I54">
        <v>11.840999999999999</v>
      </c>
      <c r="J54">
        <v>21.558</v>
      </c>
      <c r="K54">
        <v>-9.718</v>
      </c>
      <c r="L54">
        <v>21</v>
      </c>
    </row>
    <row r="55" spans="1:12">
      <c r="A55" t="str">
        <f t="shared" si="3"/>
        <v>David Skinns</v>
      </c>
      <c r="B55" s="38">
        <f t="shared" si="4"/>
        <v>0.52900000000000003</v>
      </c>
      <c r="C55">
        <f t="shared" si="5"/>
        <v>54</v>
      </c>
      <c r="F55">
        <v>54</v>
      </c>
      <c r="G55" t="s">
        <v>410</v>
      </c>
      <c r="H55">
        <v>0.52900000000000003</v>
      </c>
      <c r="I55">
        <v>4.7569999999999997</v>
      </c>
      <c r="J55">
        <v>0.41599999999999998</v>
      </c>
      <c r="K55">
        <v>4.3410000000000002</v>
      </c>
      <c r="L55">
        <v>9</v>
      </c>
    </row>
    <row r="56" spans="1:12">
      <c r="A56" t="str">
        <f t="shared" si="3"/>
        <v>Patrick Cantlay</v>
      </c>
      <c r="B56" s="38">
        <f t="shared" si="4"/>
        <v>0.52600000000000002</v>
      </c>
      <c r="C56">
        <f t="shared" si="5"/>
        <v>55</v>
      </c>
      <c r="F56">
        <v>55</v>
      </c>
      <c r="G56" t="s">
        <v>40</v>
      </c>
      <c r="H56">
        <v>0.52600000000000002</v>
      </c>
      <c r="I56">
        <v>6.8319999999999999</v>
      </c>
      <c r="J56">
        <v>3.306</v>
      </c>
      <c r="K56">
        <v>3.5249999999999999</v>
      </c>
      <c r="L56">
        <v>13</v>
      </c>
    </row>
    <row r="57" spans="1:12">
      <c r="A57" t="str">
        <f t="shared" si="3"/>
        <v>Keegan Bradley</v>
      </c>
      <c r="B57" s="38">
        <f t="shared" si="4"/>
        <v>0.50800000000000001</v>
      </c>
      <c r="C57">
        <f t="shared" si="5"/>
        <v>56</v>
      </c>
      <c r="F57">
        <v>56</v>
      </c>
      <c r="G57" t="s">
        <v>58</v>
      </c>
      <c r="H57">
        <v>0.50800000000000001</v>
      </c>
      <c r="I57">
        <v>7.6239999999999997</v>
      </c>
      <c r="J57">
        <v>13.173999999999999</v>
      </c>
      <c r="K57">
        <v>-5.5510000000000002</v>
      </c>
      <c r="L57">
        <v>15</v>
      </c>
    </row>
    <row r="58" spans="1:12">
      <c r="A58" t="str">
        <f t="shared" si="3"/>
        <v>Carson Young</v>
      </c>
      <c r="B58" s="38">
        <f t="shared" si="4"/>
        <v>0.497</v>
      </c>
      <c r="C58">
        <f t="shared" si="5"/>
        <v>57</v>
      </c>
      <c r="F58">
        <v>57</v>
      </c>
      <c r="G58" t="s">
        <v>136</v>
      </c>
      <c r="H58">
        <v>0.497</v>
      </c>
      <c r="I58">
        <v>8.4459999999999997</v>
      </c>
      <c r="J58">
        <v>10.345000000000001</v>
      </c>
      <c r="K58">
        <v>-1.9</v>
      </c>
      <c r="L58">
        <v>17</v>
      </c>
    </row>
    <row r="59" spans="1:12">
      <c r="A59" t="str">
        <f t="shared" si="3"/>
        <v>Min Woo Lee</v>
      </c>
      <c r="B59" s="38">
        <f t="shared" si="4"/>
        <v>0.47699999999999998</v>
      </c>
      <c r="C59">
        <f t="shared" si="5"/>
        <v>58</v>
      </c>
      <c r="F59">
        <v>58</v>
      </c>
      <c r="G59" t="s">
        <v>544</v>
      </c>
      <c r="H59">
        <v>0.47699999999999998</v>
      </c>
      <c r="I59">
        <v>5.2519999999999998</v>
      </c>
      <c r="J59">
        <v>5.3529999999999998</v>
      </c>
      <c r="K59">
        <v>-0.10100000000000001</v>
      </c>
      <c r="L59">
        <v>11</v>
      </c>
    </row>
    <row r="60" spans="1:12">
      <c r="A60" t="str">
        <f t="shared" si="3"/>
        <v>Eric Cole</v>
      </c>
      <c r="B60" s="38">
        <f t="shared" si="4"/>
        <v>0.47399999999999998</v>
      </c>
      <c r="C60">
        <f t="shared" si="5"/>
        <v>59</v>
      </c>
      <c r="F60">
        <v>59</v>
      </c>
      <c r="G60" t="s">
        <v>114</v>
      </c>
      <c r="H60">
        <v>0.47399999999999998</v>
      </c>
      <c r="I60">
        <v>9.9529999999999994</v>
      </c>
      <c r="J60">
        <v>0.98099999999999998</v>
      </c>
      <c r="K60">
        <v>8.9710000000000001</v>
      </c>
      <c r="L60">
        <v>21</v>
      </c>
    </row>
    <row r="61" spans="1:12">
      <c r="A61" t="str">
        <f t="shared" si="3"/>
        <v>Aaron Rai</v>
      </c>
      <c r="B61" s="38">
        <f t="shared" si="4"/>
        <v>0.47399999999999998</v>
      </c>
      <c r="C61">
        <f t="shared" si="5"/>
        <v>59</v>
      </c>
      <c r="F61">
        <v>59</v>
      </c>
      <c r="G61" t="s">
        <v>152</v>
      </c>
      <c r="H61">
        <v>0.47399999999999998</v>
      </c>
      <c r="I61">
        <v>6.1619999999999999</v>
      </c>
      <c r="J61">
        <v>9.9079999999999995</v>
      </c>
      <c r="K61">
        <v>-3.7469999999999999</v>
      </c>
      <c r="L61">
        <v>13</v>
      </c>
    </row>
    <row r="62" spans="1:12">
      <c r="A62" t="str">
        <f t="shared" si="3"/>
        <v>Taylor Montgomery</v>
      </c>
      <c r="B62" s="38">
        <f t="shared" si="4"/>
        <v>0.47099999999999997</v>
      </c>
      <c r="C62">
        <f t="shared" si="5"/>
        <v>61</v>
      </c>
      <c r="F62">
        <v>61</v>
      </c>
      <c r="G62" t="s">
        <v>63</v>
      </c>
      <c r="H62">
        <v>0.47099999999999997</v>
      </c>
      <c r="I62">
        <v>8.9469999999999992</v>
      </c>
      <c r="J62">
        <v>-8.3719999999999999</v>
      </c>
      <c r="K62">
        <v>17.318999999999999</v>
      </c>
      <c r="L62">
        <v>19</v>
      </c>
    </row>
    <row r="63" spans="1:12">
      <c r="A63" t="str">
        <f t="shared" si="3"/>
        <v>Patrick Rodgers</v>
      </c>
      <c r="B63" s="38">
        <f t="shared" si="4"/>
        <v>0.46600000000000003</v>
      </c>
      <c r="C63">
        <f t="shared" si="5"/>
        <v>62</v>
      </c>
      <c r="F63">
        <v>62</v>
      </c>
      <c r="G63" t="s">
        <v>38</v>
      </c>
      <c r="H63">
        <v>0.46600000000000003</v>
      </c>
      <c r="I63">
        <v>8.8450000000000006</v>
      </c>
      <c r="J63">
        <v>12.347</v>
      </c>
      <c r="K63">
        <v>-3.5030000000000001</v>
      </c>
      <c r="L63">
        <v>19</v>
      </c>
    </row>
    <row r="64" spans="1:12">
      <c r="A64" t="str">
        <f t="shared" si="3"/>
        <v>Emiliano Grillo</v>
      </c>
      <c r="B64" s="38">
        <f t="shared" si="4"/>
        <v>0.45700000000000002</v>
      </c>
      <c r="C64">
        <f t="shared" si="5"/>
        <v>63</v>
      </c>
      <c r="F64">
        <v>63</v>
      </c>
      <c r="G64" t="s">
        <v>90</v>
      </c>
      <c r="H64">
        <v>0.45700000000000002</v>
      </c>
      <c r="I64">
        <v>11.436999999999999</v>
      </c>
      <c r="J64">
        <v>-4.6260000000000003</v>
      </c>
      <c r="K64">
        <v>16.062000000000001</v>
      </c>
      <c r="L64">
        <v>25</v>
      </c>
    </row>
    <row r="65" spans="1:12">
      <c r="A65" t="str">
        <f t="shared" si="3"/>
        <v>Charley Hoffman</v>
      </c>
      <c r="B65" s="38">
        <f t="shared" si="4"/>
        <v>0.441</v>
      </c>
      <c r="C65">
        <f t="shared" si="5"/>
        <v>64</v>
      </c>
      <c r="F65">
        <v>64</v>
      </c>
      <c r="G65" t="s">
        <v>50</v>
      </c>
      <c r="H65">
        <v>0.441</v>
      </c>
      <c r="I65">
        <v>7.5019999999999998</v>
      </c>
      <c r="J65">
        <v>1.5109999999999999</v>
      </c>
      <c r="K65">
        <v>5.9909999999999997</v>
      </c>
      <c r="L65">
        <v>17</v>
      </c>
    </row>
    <row r="66" spans="1:12">
      <c r="A66" t="str">
        <f t="shared" ref="A66:A97" si="6">G66</f>
        <v>K.H. Lee</v>
      </c>
      <c r="B66" s="38">
        <f t="shared" ref="B66:B97" si="7">H66</f>
        <v>0.433</v>
      </c>
      <c r="C66">
        <f t="shared" ref="C66:C97" si="8">F66</f>
        <v>65</v>
      </c>
      <c r="F66">
        <v>65</v>
      </c>
      <c r="G66" t="s">
        <v>92</v>
      </c>
      <c r="H66">
        <v>0.433</v>
      </c>
      <c r="I66">
        <v>5.63</v>
      </c>
      <c r="J66">
        <v>3.827</v>
      </c>
      <c r="K66">
        <v>1.804</v>
      </c>
      <c r="L66">
        <v>13</v>
      </c>
    </row>
    <row r="67" spans="1:12">
      <c r="A67" t="str">
        <f t="shared" si="6"/>
        <v>Mark Hubbard</v>
      </c>
      <c r="B67" s="38">
        <f t="shared" si="7"/>
        <v>0.42599999999999999</v>
      </c>
      <c r="C67">
        <f t="shared" si="8"/>
        <v>66</v>
      </c>
      <c r="F67">
        <v>66</v>
      </c>
      <c r="G67" t="s">
        <v>162</v>
      </c>
      <c r="H67">
        <v>0.42599999999999999</v>
      </c>
      <c r="I67">
        <v>8.9459999999999997</v>
      </c>
      <c r="J67">
        <v>-2.0649999999999999</v>
      </c>
      <c r="K67">
        <v>11.010999999999999</v>
      </c>
      <c r="L67">
        <v>21</v>
      </c>
    </row>
    <row r="68" spans="1:12">
      <c r="A68" t="str">
        <f t="shared" si="6"/>
        <v>Russell Henley</v>
      </c>
      <c r="B68" s="38">
        <f t="shared" si="7"/>
        <v>0.4</v>
      </c>
      <c r="C68">
        <f t="shared" si="8"/>
        <v>67</v>
      </c>
      <c r="F68">
        <v>67</v>
      </c>
      <c r="G68" t="s">
        <v>166</v>
      </c>
      <c r="H68">
        <v>0.4</v>
      </c>
      <c r="I68">
        <v>7.1959999999999997</v>
      </c>
      <c r="J68">
        <v>3.0059999999999998</v>
      </c>
      <c r="K68">
        <v>4.1890000000000001</v>
      </c>
      <c r="L68">
        <v>18</v>
      </c>
    </row>
    <row r="69" spans="1:12">
      <c r="A69" t="str">
        <f t="shared" si="6"/>
        <v>Joseph Bramlett</v>
      </c>
      <c r="B69" s="38">
        <f t="shared" si="7"/>
        <v>0.39900000000000002</v>
      </c>
      <c r="C69">
        <f t="shared" si="8"/>
        <v>68</v>
      </c>
      <c r="F69">
        <v>68</v>
      </c>
      <c r="G69" t="s">
        <v>20</v>
      </c>
      <c r="H69">
        <v>0.39900000000000002</v>
      </c>
      <c r="I69">
        <v>6.7889999999999997</v>
      </c>
      <c r="J69">
        <v>-0.72899999999999998</v>
      </c>
      <c r="K69">
        <v>7.5179999999999998</v>
      </c>
      <c r="L69">
        <v>17</v>
      </c>
    </row>
    <row r="70" spans="1:12">
      <c r="A70" t="str">
        <f t="shared" si="6"/>
        <v>Luke List</v>
      </c>
      <c r="B70" s="38">
        <f t="shared" si="7"/>
        <v>0.38100000000000001</v>
      </c>
      <c r="C70">
        <f t="shared" si="8"/>
        <v>69</v>
      </c>
      <c r="F70">
        <v>69</v>
      </c>
      <c r="G70" t="s">
        <v>23</v>
      </c>
      <c r="H70">
        <v>0.38100000000000001</v>
      </c>
      <c r="I70">
        <v>8.0039999999999996</v>
      </c>
      <c r="J70">
        <v>6.6059999999999999</v>
      </c>
      <c r="K70">
        <v>1.397</v>
      </c>
      <c r="L70">
        <v>21</v>
      </c>
    </row>
    <row r="71" spans="1:12">
      <c r="A71" t="str">
        <f t="shared" si="6"/>
        <v>Bud Cauley</v>
      </c>
      <c r="B71" s="38">
        <f t="shared" si="7"/>
        <v>0.36099999999999999</v>
      </c>
      <c r="C71">
        <f t="shared" si="8"/>
        <v>70</v>
      </c>
      <c r="F71">
        <v>70</v>
      </c>
      <c r="G71" t="s">
        <v>633</v>
      </c>
      <c r="H71">
        <v>0.36099999999999999</v>
      </c>
      <c r="I71">
        <v>2.8849999999999998</v>
      </c>
      <c r="J71">
        <v>4.8760000000000003</v>
      </c>
      <c r="K71">
        <v>-1.99</v>
      </c>
      <c r="L71">
        <v>8</v>
      </c>
    </row>
    <row r="72" spans="1:12">
      <c r="A72" t="str">
        <f t="shared" si="6"/>
        <v>Justin Lower</v>
      </c>
      <c r="B72" s="38">
        <f t="shared" si="7"/>
        <v>0.36099999999999999</v>
      </c>
      <c r="C72">
        <f t="shared" si="8"/>
        <v>70</v>
      </c>
      <c r="F72">
        <v>70</v>
      </c>
      <c r="G72" t="s">
        <v>147</v>
      </c>
      <c r="H72">
        <v>0.36099999999999999</v>
      </c>
      <c r="I72">
        <v>6.1360000000000001</v>
      </c>
      <c r="J72">
        <v>6.8010000000000002</v>
      </c>
      <c r="K72">
        <v>-0.66600000000000004</v>
      </c>
      <c r="L72">
        <v>17</v>
      </c>
    </row>
    <row r="73" spans="1:12">
      <c r="A73" t="str">
        <f t="shared" si="6"/>
        <v>Sam Stevens</v>
      </c>
      <c r="B73" s="38">
        <f t="shared" si="7"/>
        <v>0.35899999999999999</v>
      </c>
      <c r="C73">
        <f t="shared" si="8"/>
        <v>72</v>
      </c>
      <c r="F73">
        <v>72</v>
      </c>
      <c r="G73" t="s">
        <v>30</v>
      </c>
      <c r="H73">
        <v>0.35899999999999999</v>
      </c>
      <c r="I73">
        <v>5.3819999999999997</v>
      </c>
      <c r="J73">
        <v>6.1289999999999996</v>
      </c>
      <c r="K73">
        <v>-0.747</v>
      </c>
      <c r="L73">
        <v>15</v>
      </c>
    </row>
    <row r="74" spans="1:12">
      <c r="A74" t="str">
        <f t="shared" si="6"/>
        <v>Ryan McCormick</v>
      </c>
      <c r="B74" s="38">
        <f t="shared" si="7"/>
        <v>0.312</v>
      </c>
      <c r="C74">
        <f t="shared" si="8"/>
        <v>73</v>
      </c>
      <c r="F74">
        <v>73</v>
      </c>
      <c r="G74" t="s">
        <v>561</v>
      </c>
      <c r="H74">
        <v>0.312</v>
      </c>
      <c r="I74">
        <v>1.5580000000000001</v>
      </c>
      <c r="J74">
        <v>-3.4940000000000002</v>
      </c>
      <c r="K74">
        <v>5.0519999999999996</v>
      </c>
      <c r="L74">
        <v>5</v>
      </c>
    </row>
    <row r="75" spans="1:12">
      <c r="A75" t="str">
        <f t="shared" si="6"/>
        <v>Corey Conners</v>
      </c>
      <c r="B75" s="38">
        <f t="shared" si="7"/>
        <v>0.31</v>
      </c>
      <c r="C75">
        <f t="shared" si="8"/>
        <v>74</v>
      </c>
      <c r="F75">
        <v>74</v>
      </c>
      <c r="G75" t="s">
        <v>93</v>
      </c>
      <c r="H75">
        <v>0.31</v>
      </c>
      <c r="I75">
        <v>6.8289999999999997</v>
      </c>
      <c r="J75">
        <v>21.817</v>
      </c>
      <c r="K75">
        <v>-14.988</v>
      </c>
      <c r="L75">
        <v>22</v>
      </c>
    </row>
    <row r="76" spans="1:12">
      <c r="A76" t="str">
        <f t="shared" si="6"/>
        <v>Harry Hall</v>
      </c>
      <c r="B76" s="38">
        <f t="shared" si="7"/>
        <v>0.29699999999999999</v>
      </c>
      <c r="C76">
        <f t="shared" si="8"/>
        <v>75</v>
      </c>
      <c r="F76">
        <v>75</v>
      </c>
      <c r="G76" t="s">
        <v>108</v>
      </c>
      <c r="H76">
        <v>0.29699999999999999</v>
      </c>
      <c r="I76">
        <v>4.4589999999999996</v>
      </c>
      <c r="J76">
        <v>5.98</v>
      </c>
      <c r="K76">
        <v>-1.5209999999999999</v>
      </c>
      <c r="L76">
        <v>15</v>
      </c>
    </row>
    <row r="77" spans="1:12">
      <c r="A77" t="str">
        <f t="shared" si="6"/>
        <v>Brian Harman</v>
      </c>
      <c r="B77" s="38">
        <f t="shared" si="7"/>
        <v>0.28899999999999998</v>
      </c>
      <c r="C77">
        <f t="shared" si="8"/>
        <v>76</v>
      </c>
      <c r="F77">
        <v>76</v>
      </c>
      <c r="G77" t="s">
        <v>154</v>
      </c>
      <c r="H77">
        <v>0.28899999999999998</v>
      </c>
      <c r="I77">
        <v>5.202</v>
      </c>
      <c r="J77">
        <v>-4.5209999999999999</v>
      </c>
      <c r="K77">
        <v>9.7219999999999995</v>
      </c>
      <c r="L77">
        <v>18</v>
      </c>
    </row>
    <row r="78" spans="1:12">
      <c r="A78" t="str">
        <f t="shared" si="6"/>
        <v>Peter Malnati</v>
      </c>
      <c r="B78" s="38">
        <f t="shared" si="7"/>
        <v>0.28799999999999998</v>
      </c>
      <c r="C78">
        <f t="shared" si="8"/>
        <v>77</v>
      </c>
      <c r="F78">
        <v>77</v>
      </c>
      <c r="G78" t="s">
        <v>142</v>
      </c>
      <c r="H78">
        <v>0.28799999999999998</v>
      </c>
      <c r="I78">
        <v>3.1659999999999999</v>
      </c>
      <c r="J78">
        <v>-2.5019999999999998</v>
      </c>
      <c r="K78">
        <v>5.6680000000000001</v>
      </c>
      <c r="L78">
        <v>11</v>
      </c>
    </row>
    <row r="79" spans="1:12">
      <c r="A79" t="str">
        <f t="shared" si="6"/>
        <v>Brendon Todd</v>
      </c>
      <c r="B79" s="38">
        <f t="shared" si="7"/>
        <v>0.28599999999999998</v>
      </c>
      <c r="C79">
        <f t="shared" si="8"/>
        <v>78</v>
      </c>
      <c r="F79">
        <v>78</v>
      </c>
      <c r="G79" t="s">
        <v>188</v>
      </c>
      <c r="H79">
        <v>0.28599999999999998</v>
      </c>
      <c r="I79">
        <v>5.7190000000000003</v>
      </c>
      <c r="J79">
        <v>-7.016</v>
      </c>
      <c r="K79">
        <v>12.734</v>
      </c>
      <c r="L79">
        <v>20</v>
      </c>
    </row>
    <row r="80" spans="1:12">
      <c r="A80" t="str">
        <f t="shared" si="6"/>
        <v>Will Gordon</v>
      </c>
      <c r="B80" s="38">
        <f t="shared" si="7"/>
        <v>0.27</v>
      </c>
      <c r="C80">
        <f t="shared" si="8"/>
        <v>79</v>
      </c>
      <c r="F80">
        <v>79</v>
      </c>
      <c r="G80" t="s">
        <v>22</v>
      </c>
      <c r="H80">
        <v>0.27</v>
      </c>
      <c r="I80">
        <v>1.889</v>
      </c>
      <c r="J80">
        <v>0.10299999999999999</v>
      </c>
      <c r="K80">
        <v>1.786</v>
      </c>
      <c r="L80">
        <v>7</v>
      </c>
    </row>
    <row r="81" spans="1:12">
      <c r="A81" t="str">
        <f t="shared" si="6"/>
        <v>Tyson Alexander</v>
      </c>
      <c r="B81" s="38">
        <f t="shared" si="7"/>
        <v>0.26400000000000001</v>
      </c>
      <c r="C81">
        <f t="shared" si="8"/>
        <v>80</v>
      </c>
      <c r="F81">
        <v>80</v>
      </c>
      <c r="G81" t="s">
        <v>107</v>
      </c>
      <c r="H81">
        <v>0.26400000000000001</v>
      </c>
      <c r="I81">
        <v>4.2160000000000002</v>
      </c>
      <c r="J81">
        <v>-1.9510000000000001</v>
      </c>
      <c r="K81">
        <v>6.1669999999999998</v>
      </c>
      <c r="L81">
        <v>16</v>
      </c>
    </row>
    <row r="82" spans="1:12">
      <c r="A82" t="str">
        <f t="shared" si="6"/>
        <v>Nico Echavarria</v>
      </c>
      <c r="B82" s="38">
        <f t="shared" si="7"/>
        <v>0.255</v>
      </c>
      <c r="C82">
        <f t="shared" si="8"/>
        <v>81</v>
      </c>
      <c r="F82">
        <v>81</v>
      </c>
      <c r="G82" t="s">
        <v>103</v>
      </c>
      <c r="H82">
        <v>0.255</v>
      </c>
      <c r="I82">
        <v>4.843</v>
      </c>
      <c r="J82">
        <v>-3.1629999999999998</v>
      </c>
      <c r="K82">
        <v>8.0050000000000008</v>
      </c>
      <c r="L82">
        <v>19</v>
      </c>
    </row>
    <row r="83" spans="1:12">
      <c r="A83" t="str">
        <f t="shared" si="6"/>
        <v>Victor Perez</v>
      </c>
      <c r="B83" s="38">
        <f t="shared" si="7"/>
        <v>0.23899999999999999</v>
      </c>
      <c r="C83">
        <f t="shared" si="8"/>
        <v>82</v>
      </c>
      <c r="F83">
        <v>82</v>
      </c>
      <c r="G83" t="s">
        <v>632</v>
      </c>
      <c r="H83">
        <v>0.23899999999999999</v>
      </c>
      <c r="I83">
        <v>2.633</v>
      </c>
      <c r="J83">
        <v>9.8699999999999992</v>
      </c>
      <c r="K83">
        <v>-7.2370000000000001</v>
      </c>
      <c r="L83">
        <v>11</v>
      </c>
    </row>
    <row r="84" spans="1:12">
      <c r="A84" t="str">
        <f t="shared" si="6"/>
        <v>Adam Hadwin</v>
      </c>
      <c r="B84" s="38">
        <f t="shared" si="7"/>
        <v>0.23699999999999999</v>
      </c>
      <c r="C84">
        <f t="shared" si="8"/>
        <v>83</v>
      </c>
      <c r="F84">
        <v>83</v>
      </c>
      <c r="G84" t="s">
        <v>141</v>
      </c>
      <c r="H84">
        <v>0.23699999999999999</v>
      </c>
      <c r="I84">
        <v>3.32</v>
      </c>
      <c r="J84">
        <v>-0.90300000000000002</v>
      </c>
      <c r="K84">
        <v>4.2210000000000001</v>
      </c>
      <c r="L84">
        <v>14</v>
      </c>
    </row>
    <row r="85" spans="1:12">
      <c r="A85" t="str">
        <f t="shared" si="6"/>
        <v>Lucas Glover</v>
      </c>
      <c r="B85" s="38">
        <f t="shared" si="7"/>
        <v>0.23599999999999999</v>
      </c>
      <c r="C85">
        <f t="shared" si="8"/>
        <v>84</v>
      </c>
      <c r="F85">
        <v>84</v>
      </c>
      <c r="G85" t="s">
        <v>145</v>
      </c>
      <c r="H85">
        <v>0.23599999999999999</v>
      </c>
      <c r="I85">
        <v>3.7709999999999999</v>
      </c>
      <c r="J85">
        <v>16.196000000000002</v>
      </c>
      <c r="K85">
        <v>-12.426</v>
      </c>
      <c r="L85">
        <v>16</v>
      </c>
    </row>
    <row r="86" spans="1:12">
      <c r="A86" t="str">
        <f t="shared" si="6"/>
        <v>Denny McCarthy</v>
      </c>
      <c r="B86" s="38">
        <f t="shared" si="7"/>
        <v>0.23599999999999999</v>
      </c>
      <c r="C86">
        <f t="shared" si="8"/>
        <v>84</v>
      </c>
      <c r="F86">
        <v>84</v>
      </c>
      <c r="G86" t="s">
        <v>140</v>
      </c>
      <c r="H86">
        <v>0.23599999999999999</v>
      </c>
      <c r="I86">
        <v>4.7190000000000003</v>
      </c>
      <c r="J86">
        <v>-3.6429999999999998</v>
      </c>
      <c r="K86">
        <v>8.3610000000000007</v>
      </c>
      <c r="L86">
        <v>20</v>
      </c>
    </row>
    <row r="87" spans="1:12">
      <c r="A87" t="str">
        <f t="shared" si="6"/>
        <v>Rory McIlroy</v>
      </c>
      <c r="B87" s="38">
        <f t="shared" si="7"/>
        <v>0.23599999999999999</v>
      </c>
      <c r="C87">
        <f t="shared" si="8"/>
        <v>84</v>
      </c>
      <c r="F87">
        <v>84</v>
      </c>
      <c r="G87" t="s">
        <v>6</v>
      </c>
      <c r="H87">
        <v>0.23599999999999999</v>
      </c>
      <c r="I87">
        <v>2.3610000000000002</v>
      </c>
      <c r="J87">
        <v>7.3659999999999997</v>
      </c>
      <c r="K87">
        <v>-5.0039999999999996</v>
      </c>
      <c r="L87">
        <v>10</v>
      </c>
    </row>
    <row r="88" spans="1:12">
      <c r="A88" t="str">
        <f t="shared" si="6"/>
        <v>Zach Johnson</v>
      </c>
      <c r="B88" s="38">
        <f t="shared" si="7"/>
        <v>0.221</v>
      </c>
      <c r="C88">
        <f t="shared" si="8"/>
        <v>87</v>
      </c>
      <c r="F88">
        <v>87</v>
      </c>
      <c r="G88" t="s">
        <v>170</v>
      </c>
      <c r="H88">
        <v>0.221</v>
      </c>
      <c r="I88">
        <v>2.2109999999999999</v>
      </c>
      <c r="J88">
        <v>0.41799999999999998</v>
      </c>
      <c r="K88">
        <v>1.7929999999999999</v>
      </c>
      <c r="L88">
        <v>10</v>
      </c>
    </row>
    <row r="89" spans="1:12">
      <c r="A89" t="str">
        <f t="shared" si="6"/>
        <v>Chandler Phillips</v>
      </c>
      <c r="B89" s="38">
        <f t="shared" si="7"/>
        <v>0.21099999999999999</v>
      </c>
      <c r="C89">
        <f t="shared" si="8"/>
        <v>88</v>
      </c>
      <c r="F89">
        <v>88</v>
      </c>
      <c r="G89" t="s">
        <v>489</v>
      </c>
      <c r="H89">
        <v>0.21099999999999999</v>
      </c>
      <c r="I89">
        <v>2.5350000000000001</v>
      </c>
      <c r="J89">
        <v>3.27</v>
      </c>
      <c r="K89">
        <v>-0.73599999999999999</v>
      </c>
      <c r="L89">
        <v>12</v>
      </c>
    </row>
    <row r="90" spans="1:12">
      <c r="A90" t="str">
        <f t="shared" si="6"/>
        <v>Ryo Hisatsune</v>
      </c>
      <c r="B90" s="38">
        <f t="shared" si="7"/>
        <v>0.20399999999999999</v>
      </c>
      <c r="C90">
        <f t="shared" si="8"/>
        <v>89</v>
      </c>
      <c r="F90">
        <v>89</v>
      </c>
      <c r="G90" t="s">
        <v>427</v>
      </c>
      <c r="H90">
        <v>0.20399999999999999</v>
      </c>
      <c r="I90">
        <v>3.0539999999999998</v>
      </c>
      <c r="J90">
        <v>5.89</v>
      </c>
      <c r="K90">
        <v>-2.8370000000000002</v>
      </c>
      <c r="L90">
        <v>15</v>
      </c>
    </row>
    <row r="91" spans="1:12">
      <c r="A91" t="str">
        <f t="shared" si="6"/>
        <v>Chris Gotterup</v>
      </c>
      <c r="B91" s="38">
        <f t="shared" si="7"/>
        <v>0.19900000000000001</v>
      </c>
      <c r="C91">
        <f t="shared" si="8"/>
        <v>90</v>
      </c>
      <c r="F91">
        <v>90</v>
      </c>
      <c r="G91" t="s">
        <v>596</v>
      </c>
      <c r="H91">
        <v>0.19900000000000001</v>
      </c>
      <c r="I91">
        <v>1.9870000000000001</v>
      </c>
      <c r="J91">
        <v>2.379</v>
      </c>
      <c r="K91">
        <v>-0.39200000000000002</v>
      </c>
      <c r="L91">
        <v>10</v>
      </c>
    </row>
    <row r="92" spans="1:12">
      <c r="A92" t="str">
        <f t="shared" si="6"/>
        <v>Adam Schenk</v>
      </c>
      <c r="B92" s="38">
        <f t="shared" si="7"/>
        <v>0.19800000000000001</v>
      </c>
      <c r="C92">
        <f t="shared" si="8"/>
        <v>91</v>
      </c>
      <c r="F92">
        <v>91</v>
      </c>
      <c r="G92" t="s">
        <v>56</v>
      </c>
      <c r="H92">
        <v>0.19800000000000001</v>
      </c>
      <c r="I92">
        <v>3.758</v>
      </c>
      <c r="J92">
        <v>-1.8520000000000001</v>
      </c>
      <c r="K92">
        <v>5.61</v>
      </c>
      <c r="L92">
        <v>19</v>
      </c>
    </row>
    <row r="93" spans="1:12">
      <c r="A93" t="str">
        <f t="shared" si="6"/>
        <v>Matt Fitzpatrick</v>
      </c>
      <c r="B93" s="38">
        <f t="shared" si="7"/>
        <v>0.186</v>
      </c>
      <c r="C93">
        <f t="shared" si="8"/>
        <v>92</v>
      </c>
      <c r="F93">
        <v>92</v>
      </c>
      <c r="G93" t="s">
        <v>72</v>
      </c>
      <c r="H93">
        <v>0.186</v>
      </c>
      <c r="I93">
        <v>3.3420000000000001</v>
      </c>
      <c r="J93">
        <v>3.21</v>
      </c>
      <c r="K93">
        <v>0.13100000000000001</v>
      </c>
      <c r="L93">
        <v>18</v>
      </c>
    </row>
    <row r="94" spans="1:12">
      <c r="A94" t="str">
        <f t="shared" si="6"/>
        <v>Brandon Wu</v>
      </c>
      <c r="B94" s="38">
        <f t="shared" si="7"/>
        <v>0.17799999999999999</v>
      </c>
      <c r="C94">
        <f t="shared" si="8"/>
        <v>93</v>
      </c>
      <c r="F94">
        <v>93</v>
      </c>
      <c r="G94" t="s">
        <v>133</v>
      </c>
      <c r="H94">
        <v>0.17799999999999999</v>
      </c>
      <c r="I94">
        <v>2.4900000000000002</v>
      </c>
      <c r="J94">
        <v>-1.9470000000000001</v>
      </c>
      <c r="K94">
        <v>4.4370000000000003</v>
      </c>
      <c r="L94">
        <v>14</v>
      </c>
    </row>
    <row r="95" spans="1:12">
      <c r="A95" t="str">
        <f t="shared" si="6"/>
        <v>Martin Trainer</v>
      </c>
      <c r="B95" s="38">
        <f t="shared" si="7"/>
        <v>0.16800000000000001</v>
      </c>
      <c r="C95">
        <f t="shared" si="8"/>
        <v>94</v>
      </c>
      <c r="F95">
        <v>94</v>
      </c>
      <c r="G95" t="s">
        <v>83</v>
      </c>
      <c r="H95">
        <v>0.16800000000000001</v>
      </c>
      <c r="I95">
        <v>1.347</v>
      </c>
      <c r="J95">
        <v>0.15</v>
      </c>
      <c r="K95">
        <v>1.1970000000000001</v>
      </c>
      <c r="L95">
        <v>8</v>
      </c>
    </row>
    <row r="96" spans="1:12">
      <c r="A96" t="str">
        <f t="shared" si="6"/>
        <v>Jimmy Stanger</v>
      </c>
      <c r="B96" s="38">
        <f t="shared" si="7"/>
        <v>0.16200000000000001</v>
      </c>
      <c r="C96">
        <f t="shared" si="8"/>
        <v>95</v>
      </c>
      <c r="F96">
        <v>95</v>
      </c>
      <c r="G96" t="s">
        <v>495</v>
      </c>
      <c r="H96">
        <v>0.16200000000000001</v>
      </c>
      <c r="I96">
        <v>1.7829999999999999</v>
      </c>
      <c r="J96">
        <v>3.6949999999999998</v>
      </c>
      <c r="K96">
        <v>-1.913</v>
      </c>
      <c r="L96">
        <v>11</v>
      </c>
    </row>
    <row r="97" spans="1:12">
      <c r="A97" t="str">
        <f t="shared" si="6"/>
        <v>Trace Crowe</v>
      </c>
      <c r="B97" s="38">
        <f t="shared" si="7"/>
        <v>0.13800000000000001</v>
      </c>
      <c r="C97">
        <f t="shared" si="8"/>
        <v>96</v>
      </c>
      <c r="F97">
        <v>96</v>
      </c>
      <c r="G97" t="s">
        <v>559</v>
      </c>
      <c r="H97">
        <v>0.13800000000000001</v>
      </c>
      <c r="I97">
        <v>0.96299999999999997</v>
      </c>
      <c r="J97">
        <v>-7.6139999999999999</v>
      </c>
      <c r="K97">
        <v>8.5760000000000005</v>
      </c>
      <c r="L97">
        <v>7</v>
      </c>
    </row>
    <row r="98" spans="1:12">
      <c r="A98" t="str">
        <f t="shared" ref="A98:A129" si="9">G98</f>
        <v>Jacob Bridgeman</v>
      </c>
      <c r="B98" s="38">
        <f t="shared" ref="B98:B129" si="10">H98</f>
        <v>0.106</v>
      </c>
      <c r="C98">
        <f t="shared" ref="C98:C129" si="11">F98</f>
        <v>97</v>
      </c>
      <c r="F98">
        <v>97</v>
      </c>
      <c r="G98" t="s">
        <v>496</v>
      </c>
      <c r="H98">
        <v>0.106</v>
      </c>
      <c r="I98">
        <v>1.1619999999999999</v>
      </c>
      <c r="J98">
        <v>-3.109</v>
      </c>
      <c r="K98">
        <v>4.2709999999999999</v>
      </c>
      <c r="L98">
        <v>11</v>
      </c>
    </row>
    <row r="99" spans="1:12">
      <c r="A99" t="str">
        <f t="shared" si="9"/>
        <v>Ryan Fox</v>
      </c>
      <c r="B99" s="38">
        <f t="shared" si="10"/>
        <v>8.6999999999999994E-2</v>
      </c>
      <c r="C99">
        <f t="shared" si="11"/>
        <v>98</v>
      </c>
      <c r="F99">
        <v>98</v>
      </c>
      <c r="G99" t="s">
        <v>549</v>
      </c>
      <c r="H99">
        <v>8.6999999999999994E-2</v>
      </c>
      <c r="I99">
        <v>0.96099999999999997</v>
      </c>
      <c r="J99">
        <v>-2.6379999999999999</v>
      </c>
      <c r="K99">
        <v>3.6</v>
      </c>
      <c r="L99">
        <v>11</v>
      </c>
    </row>
    <row r="100" spans="1:12">
      <c r="A100" t="str">
        <f t="shared" si="9"/>
        <v>Adam Svensson</v>
      </c>
      <c r="B100" s="38">
        <f t="shared" si="10"/>
        <v>8.4000000000000005E-2</v>
      </c>
      <c r="C100">
        <f t="shared" si="11"/>
        <v>99</v>
      </c>
      <c r="F100">
        <v>99</v>
      </c>
      <c r="G100" t="s">
        <v>130</v>
      </c>
      <c r="H100">
        <v>8.4000000000000005E-2</v>
      </c>
      <c r="I100">
        <v>1.599</v>
      </c>
      <c r="J100">
        <v>9.2680000000000007</v>
      </c>
      <c r="K100">
        <v>-7.67</v>
      </c>
      <c r="L100">
        <v>19</v>
      </c>
    </row>
    <row r="101" spans="1:12">
      <c r="A101" t="str">
        <f t="shared" si="9"/>
        <v>Robert MacIntyre</v>
      </c>
      <c r="B101" s="38">
        <f t="shared" si="10"/>
        <v>7.3999999999999996E-2</v>
      </c>
      <c r="C101">
        <f t="shared" si="11"/>
        <v>100</v>
      </c>
      <c r="F101">
        <v>100</v>
      </c>
      <c r="G101" t="s">
        <v>434</v>
      </c>
      <c r="H101">
        <v>7.3999999999999996E-2</v>
      </c>
      <c r="I101">
        <v>1.1120000000000001</v>
      </c>
      <c r="J101">
        <v>13.135</v>
      </c>
      <c r="K101">
        <v>-12.023</v>
      </c>
      <c r="L101">
        <v>15</v>
      </c>
    </row>
    <row r="102" spans="1:12">
      <c r="A102" t="str">
        <f t="shared" si="9"/>
        <v>Andrew Putnam</v>
      </c>
      <c r="B102" s="38">
        <f t="shared" si="10"/>
        <v>7.0000000000000007E-2</v>
      </c>
      <c r="C102">
        <f t="shared" si="11"/>
        <v>101</v>
      </c>
      <c r="F102">
        <v>101</v>
      </c>
      <c r="G102" t="s">
        <v>183</v>
      </c>
      <c r="H102">
        <v>7.0000000000000007E-2</v>
      </c>
      <c r="I102">
        <v>1.1200000000000001</v>
      </c>
      <c r="J102">
        <v>-10.917999999999999</v>
      </c>
      <c r="K102">
        <v>12.037000000000001</v>
      </c>
      <c r="L102">
        <v>16</v>
      </c>
    </row>
    <row r="103" spans="1:12">
      <c r="A103" t="str">
        <f t="shared" si="9"/>
        <v>Taylor Moore</v>
      </c>
      <c r="B103" s="38">
        <f t="shared" si="10"/>
        <v>4.8000000000000001E-2</v>
      </c>
      <c r="C103">
        <f t="shared" si="11"/>
        <v>102</v>
      </c>
      <c r="F103">
        <v>102</v>
      </c>
      <c r="G103" t="s">
        <v>49</v>
      </c>
      <c r="H103">
        <v>4.8000000000000001E-2</v>
      </c>
      <c r="I103">
        <v>0.81799999999999995</v>
      </c>
      <c r="J103">
        <v>5.0730000000000004</v>
      </c>
      <c r="K103">
        <v>-4.2560000000000002</v>
      </c>
      <c r="L103">
        <v>17</v>
      </c>
    </row>
    <row r="104" spans="1:12">
      <c r="A104" t="str">
        <f t="shared" si="9"/>
        <v>Stewart Cink</v>
      </c>
      <c r="B104" s="38">
        <f t="shared" si="10"/>
        <v>2.3E-2</v>
      </c>
      <c r="C104">
        <f t="shared" si="11"/>
        <v>103</v>
      </c>
      <c r="F104">
        <v>103</v>
      </c>
      <c r="G104" t="s">
        <v>53</v>
      </c>
      <c r="H104">
        <v>2.3E-2</v>
      </c>
      <c r="I104">
        <v>0.161</v>
      </c>
      <c r="J104">
        <v>-7.2069999999999999</v>
      </c>
      <c r="K104">
        <v>7.3680000000000003</v>
      </c>
      <c r="L104">
        <v>7</v>
      </c>
    </row>
    <row r="105" spans="1:12">
      <c r="A105" t="str">
        <f t="shared" si="9"/>
        <v>Taiga Semikawa</v>
      </c>
      <c r="B105" s="38">
        <f t="shared" si="10"/>
        <v>1.7000000000000001E-2</v>
      </c>
      <c r="C105">
        <f t="shared" si="11"/>
        <v>104</v>
      </c>
      <c r="F105">
        <v>104</v>
      </c>
      <c r="G105" t="s">
        <v>361</v>
      </c>
      <c r="H105">
        <v>1.7000000000000001E-2</v>
      </c>
      <c r="I105">
        <v>0.11799999999999999</v>
      </c>
      <c r="J105">
        <v>-0.40400000000000003</v>
      </c>
      <c r="K105">
        <v>0.52200000000000002</v>
      </c>
      <c r="L105">
        <v>7</v>
      </c>
    </row>
    <row r="106" spans="1:12">
      <c r="A106" t="str">
        <f t="shared" si="9"/>
        <v>Scott Stallings</v>
      </c>
      <c r="B106" s="38">
        <f t="shared" si="10"/>
        <v>2E-3</v>
      </c>
      <c r="C106">
        <f t="shared" si="11"/>
        <v>105</v>
      </c>
      <c r="F106">
        <v>105</v>
      </c>
      <c r="G106" t="s">
        <v>89</v>
      </c>
      <c r="H106">
        <v>2E-3</v>
      </c>
      <c r="I106">
        <v>2.8000000000000001E-2</v>
      </c>
      <c r="J106">
        <v>3.819</v>
      </c>
      <c r="K106">
        <v>-3.7909999999999999</v>
      </c>
      <c r="L106">
        <v>13</v>
      </c>
    </row>
    <row r="107" spans="1:12">
      <c r="A107" t="str">
        <f t="shared" si="9"/>
        <v>S.H. Kim</v>
      </c>
      <c r="B107" s="38">
        <f t="shared" si="10"/>
        <v>-4.0000000000000001E-3</v>
      </c>
      <c r="C107">
        <f t="shared" si="11"/>
        <v>106</v>
      </c>
      <c r="F107">
        <v>106</v>
      </c>
      <c r="G107" t="s">
        <v>39</v>
      </c>
      <c r="H107">
        <v>-4.0000000000000001E-3</v>
      </c>
      <c r="I107">
        <v>-0.08</v>
      </c>
      <c r="J107">
        <v>-3.2789999999999999</v>
      </c>
      <c r="K107">
        <v>3.2</v>
      </c>
      <c r="L107">
        <v>19</v>
      </c>
    </row>
    <row r="108" spans="1:12">
      <c r="A108" t="str">
        <f t="shared" si="9"/>
        <v>Erik Barnes</v>
      </c>
      <c r="B108" s="38">
        <f t="shared" si="10"/>
        <v>-5.0000000000000001E-3</v>
      </c>
      <c r="C108">
        <f t="shared" si="11"/>
        <v>107</v>
      </c>
      <c r="F108">
        <v>107</v>
      </c>
      <c r="G108" t="s">
        <v>235</v>
      </c>
      <c r="H108">
        <v>-5.0000000000000001E-3</v>
      </c>
      <c r="I108">
        <v>-3.6999999999999998E-2</v>
      </c>
      <c r="J108">
        <v>2.7210000000000001</v>
      </c>
      <c r="K108">
        <v>-2.7589999999999999</v>
      </c>
      <c r="L108">
        <v>7</v>
      </c>
    </row>
    <row r="109" spans="1:12">
      <c r="A109" t="str">
        <f t="shared" si="9"/>
        <v>Dylan Wu</v>
      </c>
      <c r="B109" s="38">
        <f t="shared" si="10"/>
        <v>-1.4999999999999999E-2</v>
      </c>
      <c r="C109">
        <f t="shared" si="11"/>
        <v>108</v>
      </c>
      <c r="F109">
        <v>108</v>
      </c>
      <c r="G109" t="s">
        <v>118</v>
      </c>
      <c r="H109">
        <v>-1.4999999999999999E-2</v>
      </c>
      <c r="I109">
        <v>-0.218</v>
      </c>
      <c r="J109">
        <v>0.92300000000000004</v>
      </c>
      <c r="K109">
        <v>-1.1419999999999999</v>
      </c>
      <c r="L109">
        <v>15</v>
      </c>
    </row>
    <row r="110" spans="1:12">
      <c r="A110" t="str">
        <f t="shared" si="9"/>
        <v>Kevin Dougherty</v>
      </c>
      <c r="B110" s="38">
        <f t="shared" si="10"/>
        <v>-1.6E-2</v>
      </c>
      <c r="C110">
        <f t="shared" si="11"/>
        <v>109</v>
      </c>
      <c r="F110">
        <v>109</v>
      </c>
      <c r="G110" t="s">
        <v>562</v>
      </c>
      <c r="H110">
        <v>-1.6E-2</v>
      </c>
      <c r="I110">
        <v>-0.14499999999999999</v>
      </c>
      <c r="J110">
        <v>0.59899999999999998</v>
      </c>
      <c r="K110">
        <v>-0.74399999999999999</v>
      </c>
      <c r="L110">
        <v>9</v>
      </c>
    </row>
    <row r="111" spans="1:12">
      <c r="A111" t="str">
        <f t="shared" si="9"/>
        <v>Wilson Furr</v>
      </c>
      <c r="B111" s="38">
        <f t="shared" si="10"/>
        <v>-3.4000000000000002E-2</v>
      </c>
      <c r="C111">
        <f t="shared" si="11"/>
        <v>110</v>
      </c>
      <c r="F111">
        <v>110</v>
      </c>
      <c r="G111" t="s">
        <v>692</v>
      </c>
      <c r="H111">
        <v>-3.4000000000000002E-2</v>
      </c>
      <c r="I111">
        <v>-0.17</v>
      </c>
      <c r="J111">
        <v>-4.5359999999999996</v>
      </c>
      <c r="K111">
        <v>4.3659999999999997</v>
      </c>
      <c r="L111">
        <v>5</v>
      </c>
    </row>
    <row r="112" spans="1:12">
      <c r="A112" t="str">
        <f t="shared" si="9"/>
        <v>Max Greyserman</v>
      </c>
      <c r="B112" s="38">
        <f t="shared" si="10"/>
        <v>-3.4000000000000002E-2</v>
      </c>
      <c r="C112">
        <f t="shared" si="11"/>
        <v>110</v>
      </c>
      <c r="F112">
        <v>110</v>
      </c>
      <c r="G112" t="s">
        <v>493</v>
      </c>
      <c r="H112">
        <v>-3.4000000000000002E-2</v>
      </c>
      <c r="I112">
        <v>-0.26800000000000002</v>
      </c>
      <c r="J112">
        <v>3.5590000000000002</v>
      </c>
      <c r="K112">
        <v>-3.827</v>
      </c>
      <c r="L112">
        <v>8</v>
      </c>
    </row>
    <row r="113" spans="1:12">
      <c r="A113" t="str">
        <f t="shared" si="9"/>
        <v>Zac Blair</v>
      </c>
      <c r="B113" s="38">
        <f t="shared" si="10"/>
        <v>-5.6000000000000001E-2</v>
      </c>
      <c r="C113">
        <f t="shared" si="11"/>
        <v>112</v>
      </c>
      <c r="F113">
        <v>112</v>
      </c>
      <c r="G113" t="s">
        <v>187</v>
      </c>
      <c r="H113">
        <v>-5.6000000000000001E-2</v>
      </c>
      <c r="I113">
        <v>-0.73199999999999998</v>
      </c>
      <c r="J113">
        <v>2.835</v>
      </c>
      <c r="K113">
        <v>-3.5670000000000002</v>
      </c>
      <c r="L113">
        <v>13</v>
      </c>
    </row>
    <row r="114" spans="1:12">
      <c r="A114" t="str">
        <f t="shared" si="9"/>
        <v>Greyson Sigg</v>
      </c>
      <c r="B114" s="38">
        <f t="shared" si="10"/>
        <v>-5.8999999999999997E-2</v>
      </c>
      <c r="C114">
        <f t="shared" si="11"/>
        <v>113</v>
      </c>
      <c r="F114">
        <v>113</v>
      </c>
      <c r="G114" t="s">
        <v>134</v>
      </c>
      <c r="H114">
        <v>-5.8999999999999997E-2</v>
      </c>
      <c r="I114">
        <v>-0.88800000000000001</v>
      </c>
      <c r="J114">
        <v>9.3109999999999999</v>
      </c>
      <c r="K114">
        <v>-10.199</v>
      </c>
      <c r="L114">
        <v>15</v>
      </c>
    </row>
    <row r="115" spans="1:12">
      <c r="A115" t="str">
        <f t="shared" si="9"/>
        <v>Robby Shelton</v>
      </c>
      <c r="B115" s="38">
        <f t="shared" si="10"/>
        <v>-6.7000000000000004E-2</v>
      </c>
      <c r="C115">
        <f t="shared" si="11"/>
        <v>114</v>
      </c>
      <c r="F115">
        <v>114</v>
      </c>
      <c r="G115" t="s">
        <v>149</v>
      </c>
      <c r="H115">
        <v>-6.7000000000000004E-2</v>
      </c>
      <c r="I115">
        <v>-1.1359999999999999</v>
      </c>
      <c r="J115">
        <v>-4.1639999999999997</v>
      </c>
      <c r="K115">
        <v>3.028</v>
      </c>
      <c r="L115">
        <v>17</v>
      </c>
    </row>
    <row r="116" spans="1:12">
      <c r="A116" t="str">
        <f t="shared" si="9"/>
        <v>Viktor Hovland</v>
      </c>
      <c r="B116" s="38">
        <f t="shared" si="10"/>
        <v>-8.1000000000000003E-2</v>
      </c>
      <c r="C116">
        <f t="shared" si="11"/>
        <v>115</v>
      </c>
      <c r="F116">
        <v>115</v>
      </c>
      <c r="G116" t="s">
        <v>47</v>
      </c>
      <c r="H116">
        <v>-8.1000000000000003E-2</v>
      </c>
      <c r="I116">
        <v>-0.80700000000000005</v>
      </c>
      <c r="J116">
        <v>-3.266</v>
      </c>
      <c r="K116">
        <v>2.4590000000000001</v>
      </c>
      <c r="L116">
        <v>10</v>
      </c>
    </row>
    <row r="117" spans="1:12">
      <c r="A117" t="str">
        <f t="shared" si="9"/>
        <v>Matt Wallace</v>
      </c>
      <c r="B117" s="38">
        <f t="shared" si="10"/>
        <v>-0.11</v>
      </c>
      <c r="C117">
        <f t="shared" si="11"/>
        <v>116</v>
      </c>
      <c r="F117">
        <v>116</v>
      </c>
      <c r="G117" t="s">
        <v>82</v>
      </c>
      <c r="H117">
        <v>-0.11</v>
      </c>
      <c r="I117">
        <v>-2.0819999999999999</v>
      </c>
      <c r="J117">
        <v>-7.6539999999999999</v>
      </c>
      <c r="K117">
        <v>5.5709999999999997</v>
      </c>
      <c r="L117">
        <v>19</v>
      </c>
    </row>
    <row r="118" spans="1:12">
      <c r="A118" t="str">
        <f t="shared" si="9"/>
        <v>Sam Ryder</v>
      </c>
      <c r="B118" s="38">
        <f t="shared" si="10"/>
        <v>-0.11700000000000001</v>
      </c>
      <c r="C118">
        <f t="shared" si="11"/>
        <v>117</v>
      </c>
      <c r="F118">
        <v>117</v>
      </c>
      <c r="G118" t="s">
        <v>146</v>
      </c>
      <c r="H118">
        <v>-0.11700000000000001</v>
      </c>
      <c r="I118">
        <v>-1.2909999999999999</v>
      </c>
      <c r="J118">
        <v>-0.69799999999999995</v>
      </c>
      <c r="K118">
        <v>-0.59199999999999997</v>
      </c>
      <c r="L118">
        <v>11</v>
      </c>
    </row>
    <row r="119" spans="1:12">
      <c r="A119" t="str">
        <f t="shared" si="9"/>
        <v>Sungjae Im</v>
      </c>
      <c r="B119" s="38">
        <f t="shared" si="10"/>
        <v>-0.122</v>
      </c>
      <c r="C119">
        <f t="shared" si="11"/>
        <v>118</v>
      </c>
      <c r="F119">
        <v>118</v>
      </c>
      <c r="G119" t="s">
        <v>113</v>
      </c>
      <c r="H119">
        <v>-0.122</v>
      </c>
      <c r="I119">
        <v>-2.0699999999999998</v>
      </c>
      <c r="J119">
        <v>-3.8359999999999999</v>
      </c>
      <c r="K119">
        <v>1.7649999999999999</v>
      </c>
      <c r="L119">
        <v>17</v>
      </c>
    </row>
    <row r="120" spans="1:12">
      <c r="A120" t="str">
        <f t="shared" si="9"/>
        <v>Nate Lashley</v>
      </c>
      <c r="B120" s="38">
        <f t="shared" si="10"/>
        <v>-0.127</v>
      </c>
      <c r="C120">
        <f t="shared" si="11"/>
        <v>119</v>
      </c>
      <c r="F120">
        <v>119</v>
      </c>
      <c r="G120" t="s">
        <v>122</v>
      </c>
      <c r="H120">
        <v>-0.127</v>
      </c>
      <c r="I120">
        <v>-1.397</v>
      </c>
      <c r="J120">
        <v>-2.6659999999999999</v>
      </c>
      <c r="K120">
        <v>1.268</v>
      </c>
      <c r="L120">
        <v>11</v>
      </c>
    </row>
    <row r="121" spans="1:12">
      <c r="A121" t="str">
        <f t="shared" si="9"/>
        <v>Tom Kim</v>
      </c>
      <c r="B121" s="38">
        <f t="shared" si="10"/>
        <v>-0.128</v>
      </c>
      <c r="C121">
        <f t="shared" si="11"/>
        <v>120</v>
      </c>
      <c r="F121">
        <v>120</v>
      </c>
      <c r="G121" t="s">
        <v>124</v>
      </c>
      <c r="H121">
        <v>-0.128</v>
      </c>
      <c r="I121">
        <v>-2.2970000000000002</v>
      </c>
      <c r="J121">
        <v>4.726</v>
      </c>
      <c r="K121">
        <v>-7.0229999999999997</v>
      </c>
      <c r="L121">
        <v>18</v>
      </c>
    </row>
    <row r="122" spans="1:12">
      <c r="A122" t="str">
        <f t="shared" si="9"/>
        <v>Tom Whitney</v>
      </c>
      <c r="B122" s="38">
        <f t="shared" si="10"/>
        <v>-0.128</v>
      </c>
      <c r="C122">
        <f t="shared" si="11"/>
        <v>120</v>
      </c>
      <c r="F122">
        <v>120</v>
      </c>
      <c r="G122" t="s">
        <v>563</v>
      </c>
      <c r="H122">
        <v>-0.128</v>
      </c>
      <c r="I122">
        <v>-0.89900000000000002</v>
      </c>
      <c r="J122">
        <v>-0.217</v>
      </c>
      <c r="K122">
        <v>-0.68200000000000005</v>
      </c>
      <c r="L122">
        <v>7</v>
      </c>
    </row>
    <row r="123" spans="1:12">
      <c r="A123" t="str">
        <f t="shared" si="9"/>
        <v>Ben Griffin</v>
      </c>
      <c r="B123" s="38">
        <f t="shared" si="10"/>
        <v>-0.16300000000000001</v>
      </c>
      <c r="C123">
        <f t="shared" si="11"/>
        <v>122</v>
      </c>
      <c r="F123">
        <v>122</v>
      </c>
      <c r="G123" t="s">
        <v>97</v>
      </c>
      <c r="H123">
        <v>-0.16300000000000001</v>
      </c>
      <c r="I123">
        <v>-2.778</v>
      </c>
      <c r="J123">
        <v>-4.8710000000000004</v>
      </c>
      <c r="K123">
        <v>2.093</v>
      </c>
      <c r="L123">
        <v>17</v>
      </c>
    </row>
    <row r="124" spans="1:12">
      <c r="A124" t="str">
        <f t="shared" si="9"/>
        <v>Martin Laird</v>
      </c>
      <c r="B124" s="38">
        <f t="shared" si="10"/>
        <v>-0.16600000000000001</v>
      </c>
      <c r="C124">
        <f t="shared" si="11"/>
        <v>123</v>
      </c>
      <c r="F124">
        <v>123</v>
      </c>
      <c r="G124" t="s">
        <v>161</v>
      </c>
      <c r="H124">
        <v>-0.16600000000000001</v>
      </c>
      <c r="I124">
        <v>-1.827</v>
      </c>
      <c r="J124">
        <v>-1.222</v>
      </c>
      <c r="K124">
        <v>-0.60499999999999998</v>
      </c>
      <c r="L124">
        <v>11</v>
      </c>
    </row>
    <row r="125" spans="1:12">
      <c r="A125" t="str">
        <f t="shared" si="9"/>
        <v>Troy Merritt</v>
      </c>
      <c r="B125" s="38">
        <f t="shared" si="10"/>
        <v>-0.17399999999999999</v>
      </c>
      <c r="C125">
        <f t="shared" si="11"/>
        <v>124</v>
      </c>
      <c r="F125">
        <v>124</v>
      </c>
      <c r="G125" t="s">
        <v>156</v>
      </c>
      <c r="H125">
        <v>-0.17399999999999999</v>
      </c>
      <c r="I125">
        <v>-2.6160000000000001</v>
      </c>
      <c r="J125">
        <v>1.913</v>
      </c>
      <c r="K125">
        <v>-4.5289999999999999</v>
      </c>
      <c r="L125">
        <v>15</v>
      </c>
    </row>
    <row r="126" spans="1:12">
      <c r="A126" t="str">
        <f t="shared" si="9"/>
        <v>Kevin Yu</v>
      </c>
      <c r="B126" s="38">
        <f t="shared" si="10"/>
        <v>-0.21199999999999999</v>
      </c>
      <c r="C126">
        <f t="shared" si="11"/>
        <v>125</v>
      </c>
      <c r="F126">
        <v>125</v>
      </c>
      <c r="G126" t="s">
        <v>26</v>
      </c>
      <c r="H126">
        <v>-0.21199999999999999</v>
      </c>
      <c r="I126">
        <v>-3.1850000000000001</v>
      </c>
      <c r="J126">
        <v>2.9830000000000001</v>
      </c>
      <c r="K126">
        <v>-6.1680000000000001</v>
      </c>
      <c r="L126">
        <v>15</v>
      </c>
    </row>
    <row r="127" spans="1:12">
      <c r="A127" t="str">
        <f t="shared" si="9"/>
        <v>Carl Yuan</v>
      </c>
      <c r="B127" s="38">
        <f t="shared" si="10"/>
        <v>-0.219</v>
      </c>
      <c r="C127">
        <f t="shared" si="11"/>
        <v>126</v>
      </c>
      <c r="F127">
        <v>126</v>
      </c>
      <c r="G127" t="s">
        <v>48</v>
      </c>
      <c r="H127">
        <v>-0.219</v>
      </c>
      <c r="I127">
        <v>-2.633</v>
      </c>
      <c r="J127">
        <v>8.4149999999999991</v>
      </c>
      <c r="K127">
        <v>-11.048</v>
      </c>
      <c r="L127">
        <v>12</v>
      </c>
    </row>
    <row r="128" spans="1:12">
      <c r="A128" t="str">
        <f t="shared" si="9"/>
        <v>Justin Rose</v>
      </c>
      <c r="B128" s="38">
        <f t="shared" si="10"/>
        <v>-0.24</v>
      </c>
      <c r="C128">
        <f t="shared" si="11"/>
        <v>127</v>
      </c>
      <c r="F128">
        <v>127</v>
      </c>
      <c r="G128" t="s">
        <v>143</v>
      </c>
      <c r="H128">
        <v>-0.24</v>
      </c>
      <c r="I128">
        <v>-4.0739999999999998</v>
      </c>
      <c r="J128">
        <v>-14.689</v>
      </c>
      <c r="K128">
        <v>10.615</v>
      </c>
      <c r="L128">
        <v>17</v>
      </c>
    </row>
    <row r="129" spans="1:12">
      <c r="A129" t="str">
        <f t="shared" si="9"/>
        <v>Ben Martin</v>
      </c>
      <c r="B129" s="38">
        <f t="shared" si="10"/>
        <v>-0.249</v>
      </c>
      <c r="C129">
        <f t="shared" si="11"/>
        <v>128</v>
      </c>
      <c r="F129">
        <v>128</v>
      </c>
      <c r="G129" t="s">
        <v>151</v>
      </c>
      <c r="H129">
        <v>-0.249</v>
      </c>
      <c r="I129">
        <v>-2.2389999999999999</v>
      </c>
      <c r="J129">
        <v>-2.2149999999999999</v>
      </c>
      <c r="K129">
        <v>-2.5000000000000001E-2</v>
      </c>
      <c r="L129">
        <v>9</v>
      </c>
    </row>
    <row r="130" spans="1:12">
      <c r="A130" t="str">
        <f t="shared" ref="A130:A161" si="12">G130</f>
        <v>Ryan Palmer</v>
      </c>
      <c r="B130" s="38">
        <f t="shared" ref="B130:B161" si="13">H130</f>
        <v>-0.27300000000000002</v>
      </c>
      <c r="C130">
        <f t="shared" ref="C130:C161" si="14">F130</f>
        <v>129</v>
      </c>
      <c r="F130">
        <v>129</v>
      </c>
      <c r="G130" t="s">
        <v>87</v>
      </c>
      <c r="H130">
        <v>-0.27300000000000002</v>
      </c>
      <c r="I130">
        <v>-2.1859999999999999</v>
      </c>
      <c r="J130">
        <v>0.93300000000000005</v>
      </c>
      <c r="K130">
        <v>-3.12</v>
      </c>
      <c r="L130">
        <v>8</v>
      </c>
    </row>
    <row r="131" spans="1:12">
      <c r="A131" t="str">
        <f t="shared" si="12"/>
        <v>Tommy Fleetwood</v>
      </c>
      <c r="B131" s="38">
        <f t="shared" si="13"/>
        <v>-0.28100000000000003</v>
      </c>
      <c r="C131">
        <f t="shared" si="14"/>
        <v>130</v>
      </c>
      <c r="F131">
        <v>130</v>
      </c>
      <c r="G131" t="s">
        <v>85</v>
      </c>
      <c r="H131">
        <v>-0.28100000000000003</v>
      </c>
      <c r="I131">
        <v>-2.8069999999999999</v>
      </c>
      <c r="J131">
        <v>-3.681</v>
      </c>
      <c r="K131">
        <v>0.874</v>
      </c>
      <c r="L131">
        <v>10</v>
      </c>
    </row>
    <row r="132" spans="1:12">
      <c r="A132" t="str">
        <f t="shared" si="12"/>
        <v>Garrick Higgo</v>
      </c>
      <c r="B132" s="38">
        <f t="shared" si="13"/>
        <v>-0.28299999999999997</v>
      </c>
      <c r="C132">
        <f t="shared" si="14"/>
        <v>131</v>
      </c>
      <c r="F132">
        <v>131</v>
      </c>
      <c r="G132" t="s">
        <v>32</v>
      </c>
      <c r="H132">
        <v>-0.28299999999999997</v>
      </c>
      <c r="I132">
        <v>-4.806</v>
      </c>
      <c r="J132">
        <v>-12.24</v>
      </c>
      <c r="K132">
        <v>7.4340000000000002</v>
      </c>
      <c r="L132">
        <v>17</v>
      </c>
    </row>
    <row r="133" spans="1:12">
      <c r="A133" t="str">
        <f t="shared" si="12"/>
        <v>Sepp Straka</v>
      </c>
      <c r="B133" s="38">
        <f t="shared" si="13"/>
        <v>-0.30599999999999999</v>
      </c>
      <c r="C133">
        <f t="shared" si="14"/>
        <v>132</v>
      </c>
      <c r="F133">
        <v>132</v>
      </c>
      <c r="G133" t="s">
        <v>110</v>
      </c>
      <c r="H133">
        <v>-0.30599999999999999</v>
      </c>
      <c r="I133">
        <v>-3.3679999999999999</v>
      </c>
      <c r="J133">
        <v>1.607</v>
      </c>
      <c r="K133">
        <v>-4.9749999999999996</v>
      </c>
      <c r="L133">
        <v>11</v>
      </c>
    </row>
    <row r="134" spans="1:12">
      <c r="A134" t="str">
        <f t="shared" si="12"/>
        <v>Chad Ramey</v>
      </c>
      <c r="B134" s="38">
        <f t="shared" si="13"/>
        <v>-0.32700000000000001</v>
      </c>
      <c r="C134">
        <f t="shared" si="14"/>
        <v>133</v>
      </c>
      <c r="F134">
        <v>133</v>
      </c>
      <c r="G134" t="s">
        <v>148</v>
      </c>
      <c r="H134">
        <v>-0.32700000000000001</v>
      </c>
      <c r="I134">
        <v>-4.9080000000000004</v>
      </c>
      <c r="J134">
        <v>-18.420999999999999</v>
      </c>
      <c r="K134">
        <v>13.512</v>
      </c>
      <c r="L134">
        <v>15</v>
      </c>
    </row>
    <row r="135" spans="1:12">
      <c r="A135" t="str">
        <f t="shared" si="12"/>
        <v>Nick Hardy</v>
      </c>
      <c r="B135" s="38">
        <f t="shared" si="13"/>
        <v>-0.36199999999999999</v>
      </c>
      <c r="C135">
        <f t="shared" si="14"/>
        <v>134</v>
      </c>
      <c r="F135">
        <v>134</v>
      </c>
      <c r="G135" t="s">
        <v>36</v>
      </c>
      <c r="H135">
        <v>-0.36199999999999999</v>
      </c>
      <c r="I135">
        <v>-7.601</v>
      </c>
      <c r="J135">
        <v>-7.5179999999999998</v>
      </c>
      <c r="K135">
        <v>-8.4000000000000005E-2</v>
      </c>
      <c r="L135">
        <v>21</v>
      </c>
    </row>
    <row r="136" spans="1:12">
      <c r="A136" t="str">
        <f t="shared" si="12"/>
        <v>Cameron Champ</v>
      </c>
      <c r="B136" s="38">
        <f t="shared" si="13"/>
        <v>-0.36799999999999999</v>
      </c>
      <c r="C136">
        <f t="shared" si="14"/>
        <v>135</v>
      </c>
      <c r="F136">
        <v>135</v>
      </c>
      <c r="G136" t="s">
        <v>8</v>
      </c>
      <c r="H136">
        <v>-0.36799999999999999</v>
      </c>
      <c r="I136">
        <v>-4.048</v>
      </c>
      <c r="J136">
        <v>-5.915</v>
      </c>
      <c r="K136">
        <v>1.8660000000000001</v>
      </c>
      <c r="L136">
        <v>11</v>
      </c>
    </row>
    <row r="137" spans="1:12">
      <c r="A137" t="str">
        <f t="shared" si="12"/>
        <v>Grayson Murray</v>
      </c>
      <c r="B137" s="38">
        <f t="shared" si="13"/>
        <v>-0.40300000000000002</v>
      </c>
      <c r="C137">
        <f t="shared" si="14"/>
        <v>136</v>
      </c>
      <c r="F137">
        <v>136</v>
      </c>
      <c r="G137" t="s">
        <v>372</v>
      </c>
      <c r="H137">
        <v>-0.40300000000000002</v>
      </c>
      <c r="I137">
        <v>-4.0259999999999998</v>
      </c>
      <c r="J137">
        <v>1.651</v>
      </c>
      <c r="K137">
        <v>-5.6760000000000002</v>
      </c>
      <c r="L137">
        <v>10</v>
      </c>
    </row>
    <row r="138" spans="1:12">
      <c r="A138" t="str">
        <f t="shared" si="12"/>
        <v>Cam Davis</v>
      </c>
      <c r="B138" s="38">
        <f t="shared" si="13"/>
        <v>-0.57499999999999996</v>
      </c>
      <c r="C138">
        <f t="shared" si="14"/>
        <v>137</v>
      </c>
      <c r="F138">
        <v>137</v>
      </c>
      <c r="G138" t="s">
        <v>29</v>
      </c>
      <c r="H138">
        <v>-0.57499999999999996</v>
      </c>
      <c r="I138">
        <v>-8.0559999999999992</v>
      </c>
      <c r="J138">
        <v>-11.592000000000001</v>
      </c>
      <c r="K138">
        <v>3.5350000000000001</v>
      </c>
      <c r="L138">
        <v>14</v>
      </c>
    </row>
    <row r="139" spans="1:12">
      <c r="A139" t="str">
        <f t="shared" si="12"/>
        <v>Mackenzie Hughes</v>
      </c>
      <c r="B139" s="38">
        <f t="shared" si="13"/>
        <v>-0.622</v>
      </c>
      <c r="C139">
        <f t="shared" si="14"/>
        <v>138</v>
      </c>
      <c r="F139">
        <v>138</v>
      </c>
      <c r="G139" t="s">
        <v>104</v>
      </c>
      <c r="H139">
        <v>-0.622</v>
      </c>
      <c r="I139">
        <v>-9.3260000000000005</v>
      </c>
      <c r="J139">
        <v>-8.0570000000000004</v>
      </c>
      <c r="K139">
        <v>-1.2689999999999999</v>
      </c>
      <c r="L139">
        <v>15</v>
      </c>
    </row>
    <row r="140" spans="1:12">
      <c r="A140" t="str">
        <f t="shared" si="12"/>
        <v>Jhonattan Vegas</v>
      </c>
      <c r="B140" s="38">
        <f t="shared" si="13"/>
        <v>-0.623</v>
      </c>
      <c r="C140">
        <f t="shared" si="14"/>
        <v>139</v>
      </c>
      <c r="F140">
        <v>139</v>
      </c>
      <c r="G140" t="s">
        <v>241</v>
      </c>
      <c r="H140">
        <v>-0.623</v>
      </c>
      <c r="I140">
        <v>-6.8579999999999997</v>
      </c>
      <c r="J140">
        <v>4.1890000000000001</v>
      </c>
      <c r="K140">
        <v>-11.048</v>
      </c>
      <c r="L140">
        <v>11</v>
      </c>
    </row>
    <row r="141" spans="1:12">
      <c r="A141" t="str">
        <f t="shared" si="12"/>
        <v>Lanto Griffin</v>
      </c>
      <c r="B141" s="38">
        <f t="shared" si="13"/>
        <v>-0.624</v>
      </c>
      <c r="C141">
        <f t="shared" si="14"/>
        <v>140</v>
      </c>
      <c r="F141">
        <v>140</v>
      </c>
      <c r="G141" t="s">
        <v>80</v>
      </c>
      <c r="H141">
        <v>-0.624</v>
      </c>
      <c r="I141">
        <v>-8.11</v>
      </c>
      <c r="J141">
        <v>-8.048</v>
      </c>
      <c r="K141">
        <v>-6.3E-2</v>
      </c>
      <c r="L141">
        <v>13</v>
      </c>
    </row>
    <row r="142" spans="1:12">
      <c r="A142" t="str">
        <f t="shared" si="12"/>
        <v>Patton Kizzire</v>
      </c>
      <c r="B142" s="38">
        <f t="shared" si="13"/>
        <v>-0.63400000000000001</v>
      </c>
      <c r="C142">
        <f t="shared" si="14"/>
        <v>141</v>
      </c>
      <c r="F142">
        <v>141</v>
      </c>
      <c r="G142" t="s">
        <v>91</v>
      </c>
      <c r="H142">
        <v>-0.63400000000000001</v>
      </c>
      <c r="I142">
        <v>-6.3390000000000004</v>
      </c>
      <c r="J142">
        <v>-5.8659999999999997</v>
      </c>
      <c r="K142">
        <v>-0.47299999999999998</v>
      </c>
      <c r="L142">
        <v>10</v>
      </c>
    </row>
    <row r="143" spans="1:12">
      <c r="A143" t="str">
        <f t="shared" si="12"/>
        <v>Daniel Berger</v>
      </c>
      <c r="B143" s="38">
        <f t="shared" si="13"/>
        <v>-0.65900000000000003</v>
      </c>
      <c r="C143">
        <f t="shared" si="14"/>
        <v>142</v>
      </c>
      <c r="F143">
        <v>142</v>
      </c>
      <c r="G143" t="s">
        <v>384</v>
      </c>
      <c r="H143">
        <v>-0.65900000000000003</v>
      </c>
      <c r="I143">
        <v>-4.6159999999999997</v>
      </c>
      <c r="J143">
        <v>1.655</v>
      </c>
      <c r="K143">
        <v>-6.2709999999999999</v>
      </c>
      <c r="L143">
        <v>7</v>
      </c>
    </row>
    <row r="144" spans="1:12">
      <c r="A144" t="str">
        <f t="shared" si="12"/>
        <v>Michael Kim</v>
      </c>
      <c r="B144" s="38">
        <f t="shared" si="13"/>
        <v>-0.66900000000000004</v>
      </c>
      <c r="C144">
        <f t="shared" si="14"/>
        <v>143</v>
      </c>
      <c r="F144">
        <v>143</v>
      </c>
      <c r="G144" t="s">
        <v>62</v>
      </c>
      <c r="H144">
        <v>-0.66900000000000004</v>
      </c>
      <c r="I144">
        <v>-8.6999999999999993</v>
      </c>
      <c r="J144">
        <v>-8.8699999999999992</v>
      </c>
      <c r="K144">
        <v>0.17</v>
      </c>
      <c r="L144">
        <v>13</v>
      </c>
    </row>
    <row r="145" spans="1:12">
      <c r="A145" t="str">
        <f t="shared" si="12"/>
        <v>Bronson Burgoon</v>
      </c>
      <c r="B145" s="38">
        <f t="shared" si="13"/>
        <v>-0.70399999999999996</v>
      </c>
      <c r="C145">
        <f t="shared" si="14"/>
        <v>144</v>
      </c>
      <c r="F145">
        <v>144</v>
      </c>
      <c r="G145" t="s">
        <v>412</v>
      </c>
      <c r="H145">
        <v>-0.70399999999999996</v>
      </c>
      <c r="I145">
        <v>-3.5190000000000001</v>
      </c>
      <c r="J145">
        <v>0.54100000000000004</v>
      </c>
      <c r="K145">
        <v>-4.0599999999999996</v>
      </c>
      <c r="L145">
        <v>5</v>
      </c>
    </row>
    <row r="146" spans="1:12">
      <c r="A146" t="str">
        <f t="shared" si="12"/>
        <v>Ryan Moore</v>
      </c>
      <c r="B146" s="38">
        <f t="shared" si="13"/>
        <v>-0.79800000000000004</v>
      </c>
      <c r="C146">
        <f t="shared" si="14"/>
        <v>145</v>
      </c>
      <c r="F146">
        <v>145</v>
      </c>
      <c r="G146" t="s">
        <v>179</v>
      </c>
      <c r="H146">
        <v>-0.79800000000000004</v>
      </c>
      <c r="I146">
        <v>-8.7759999999999998</v>
      </c>
      <c r="J146">
        <v>-0.19500000000000001</v>
      </c>
      <c r="K146">
        <v>-8.5820000000000007</v>
      </c>
      <c r="L146">
        <v>11</v>
      </c>
    </row>
    <row r="147" spans="1:12">
      <c r="A147" t="str">
        <f t="shared" si="12"/>
        <v>Joel Dahmen</v>
      </c>
      <c r="B147" s="38">
        <f t="shared" si="13"/>
        <v>-0.83099999999999996</v>
      </c>
      <c r="C147">
        <f t="shared" si="14"/>
        <v>146</v>
      </c>
      <c r="F147">
        <v>146</v>
      </c>
      <c r="G147" t="s">
        <v>137</v>
      </c>
      <c r="H147">
        <v>-0.83099999999999996</v>
      </c>
      <c r="I147">
        <v>-9.1370000000000005</v>
      </c>
      <c r="J147">
        <v>2.0619999999999998</v>
      </c>
      <c r="K147">
        <v>-11.199</v>
      </c>
      <c r="L147">
        <v>11</v>
      </c>
    </row>
    <row r="148" spans="1:12">
      <c r="A148" t="str">
        <f t="shared" si="12"/>
        <v>Seamus Power</v>
      </c>
      <c r="B148" s="38">
        <f t="shared" si="13"/>
        <v>-0.85299999999999998</v>
      </c>
      <c r="C148">
        <f t="shared" si="14"/>
        <v>147</v>
      </c>
      <c r="F148">
        <v>147</v>
      </c>
      <c r="G148" t="s">
        <v>105</v>
      </c>
      <c r="H148">
        <v>-0.85299999999999998</v>
      </c>
      <c r="I148">
        <v>-16.210999999999999</v>
      </c>
      <c r="J148">
        <v>-4.9420000000000002</v>
      </c>
      <c r="K148">
        <v>-11.27</v>
      </c>
      <c r="L148">
        <v>19</v>
      </c>
    </row>
    <row r="149" spans="1:12">
      <c r="A149" t="str">
        <f t="shared" si="12"/>
        <v>Alexander Björk</v>
      </c>
      <c r="B149" s="38">
        <f t="shared" si="13"/>
        <v>-0.89700000000000002</v>
      </c>
      <c r="C149">
        <f t="shared" si="14"/>
        <v>148</v>
      </c>
      <c r="F149">
        <v>148</v>
      </c>
      <c r="G149" t="s">
        <v>491</v>
      </c>
      <c r="H149">
        <v>-0.89700000000000002</v>
      </c>
      <c r="I149">
        <v>-11.662000000000001</v>
      </c>
      <c r="J149">
        <v>-16.128</v>
      </c>
      <c r="K149">
        <v>4.4660000000000002</v>
      </c>
      <c r="L149">
        <v>13</v>
      </c>
    </row>
    <row r="150" spans="1:12">
      <c r="A150" t="str">
        <f t="shared" si="12"/>
        <v>Mac Meissner</v>
      </c>
      <c r="B150" s="38">
        <f t="shared" si="13"/>
        <v>-0.93799999999999994</v>
      </c>
      <c r="C150">
        <f t="shared" si="14"/>
        <v>149</v>
      </c>
      <c r="F150">
        <v>149</v>
      </c>
      <c r="G150" t="s">
        <v>560</v>
      </c>
      <c r="H150">
        <v>-0.93799999999999994</v>
      </c>
      <c r="I150">
        <v>-6.569</v>
      </c>
      <c r="J150">
        <v>-2.786</v>
      </c>
      <c r="K150">
        <v>-3.782</v>
      </c>
      <c r="L150">
        <v>7</v>
      </c>
    </row>
    <row r="151" spans="1:12">
      <c r="A151" t="str">
        <f t="shared" si="12"/>
        <v>Tyler Duncan</v>
      </c>
      <c r="B151" s="38">
        <f t="shared" si="13"/>
        <v>-0.94599999999999995</v>
      </c>
      <c r="C151">
        <f t="shared" si="14"/>
        <v>150</v>
      </c>
      <c r="F151">
        <v>150</v>
      </c>
      <c r="G151" t="s">
        <v>116</v>
      </c>
      <c r="H151">
        <v>-0.94599999999999995</v>
      </c>
      <c r="I151">
        <v>-12.295</v>
      </c>
      <c r="J151">
        <v>-4.4710000000000001</v>
      </c>
      <c r="K151">
        <v>-7.8239999999999998</v>
      </c>
      <c r="L151">
        <v>13</v>
      </c>
    </row>
    <row r="152" spans="1:12">
      <c r="A152" t="str">
        <f t="shared" si="12"/>
        <v>Kevin Streelman</v>
      </c>
      <c r="B152" s="38">
        <f t="shared" si="13"/>
        <v>-0.94599999999999995</v>
      </c>
      <c r="C152">
        <f t="shared" si="14"/>
        <v>150</v>
      </c>
      <c r="F152">
        <v>150</v>
      </c>
      <c r="G152" t="s">
        <v>123</v>
      </c>
      <c r="H152">
        <v>-0.94599999999999995</v>
      </c>
      <c r="I152">
        <v>-3.782</v>
      </c>
      <c r="J152">
        <v>-1.226</v>
      </c>
      <c r="K152">
        <v>-2.5569999999999999</v>
      </c>
      <c r="L152">
        <v>4</v>
      </c>
    </row>
    <row r="153" spans="1:12">
      <c r="A153" t="str">
        <f t="shared" si="12"/>
        <v>Hayden Buckley</v>
      </c>
      <c r="B153" s="38">
        <f t="shared" si="13"/>
        <v>-0.95299999999999996</v>
      </c>
      <c r="C153">
        <f t="shared" si="14"/>
        <v>152</v>
      </c>
      <c r="F153">
        <v>152</v>
      </c>
      <c r="G153" t="s">
        <v>60</v>
      </c>
      <c r="H153">
        <v>-0.95299999999999996</v>
      </c>
      <c r="I153">
        <v>-10.487</v>
      </c>
      <c r="J153">
        <v>-11.295</v>
      </c>
      <c r="K153">
        <v>0.80800000000000005</v>
      </c>
      <c r="L153">
        <v>11</v>
      </c>
    </row>
    <row r="154" spans="1:12">
      <c r="A154" t="str">
        <f t="shared" si="12"/>
        <v>Alejandro Tosti</v>
      </c>
      <c r="B154" s="38">
        <f t="shared" si="13"/>
        <v>-0.98899999999999999</v>
      </c>
      <c r="C154">
        <f t="shared" si="14"/>
        <v>153</v>
      </c>
      <c r="F154">
        <v>153</v>
      </c>
      <c r="G154" t="s">
        <v>445</v>
      </c>
      <c r="H154">
        <v>-0.98899999999999999</v>
      </c>
      <c r="I154">
        <v>-10.875999999999999</v>
      </c>
      <c r="J154">
        <v>-11.204000000000001</v>
      </c>
      <c r="K154">
        <v>0.32800000000000001</v>
      </c>
      <c r="L154">
        <v>11</v>
      </c>
    </row>
    <row r="155" spans="1:12">
      <c r="A155" t="str">
        <f t="shared" si="12"/>
        <v>Thomas Detry</v>
      </c>
      <c r="B155" s="38">
        <f t="shared" si="13"/>
        <v>-0.99399999999999999</v>
      </c>
      <c r="C155">
        <f t="shared" si="14"/>
        <v>154</v>
      </c>
      <c r="F155">
        <v>154</v>
      </c>
      <c r="G155" t="s">
        <v>46</v>
      </c>
      <c r="H155">
        <v>-0.99399999999999999</v>
      </c>
      <c r="I155">
        <v>-12.919</v>
      </c>
      <c r="J155">
        <v>-12.089</v>
      </c>
      <c r="K155">
        <v>-0.82899999999999996</v>
      </c>
      <c r="L155">
        <v>13</v>
      </c>
    </row>
    <row r="156" spans="1:12">
      <c r="A156" t="str">
        <f t="shared" si="12"/>
        <v>Rico Hoey</v>
      </c>
      <c r="B156" s="38">
        <f t="shared" si="13"/>
        <v>-1.1080000000000001</v>
      </c>
      <c r="C156">
        <f t="shared" si="14"/>
        <v>155</v>
      </c>
      <c r="F156">
        <v>155</v>
      </c>
      <c r="G156" t="s">
        <v>485</v>
      </c>
      <c r="H156">
        <v>-1.1080000000000001</v>
      </c>
      <c r="I156">
        <v>-9.9710000000000001</v>
      </c>
      <c r="J156">
        <v>7.7160000000000002</v>
      </c>
      <c r="K156">
        <v>-17.687000000000001</v>
      </c>
      <c r="L156">
        <v>9</v>
      </c>
    </row>
    <row r="157" spans="1:12">
      <c r="A157" t="str">
        <f t="shared" si="12"/>
        <v>Francesco Molinari</v>
      </c>
      <c r="B157" s="38">
        <f t="shared" si="13"/>
        <v>-1.1279999999999999</v>
      </c>
      <c r="C157">
        <f t="shared" si="14"/>
        <v>156</v>
      </c>
      <c r="F157">
        <v>156</v>
      </c>
      <c r="G157" t="s">
        <v>239</v>
      </c>
      <c r="H157">
        <v>-1.1279999999999999</v>
      </c>
      <c r="I157">
        <v>-7.899</v>
      </c>
      <c r="J157">
        <v>0.91300000000000003</v>
      </c>
      <c r="K157">
        <v>-8.8119999999999994</v>
      </c>
      <c r="L157">
        <v>7</v>
      </c>
    </row>
    <row r="158" spans="1:12">
      <c r="A158" t="str">
        <f t="shared" si="12"/>
        <v>Josh Teater</v>
      </c>
      <c r="B158" s="38">
        <f t="shared" si="13"/>
        <v>-1.1739999999999999</v>
      </c>
      <c r="C158">
        <f t="shared" si="14"/>
        <v>157</v>
      </c>
      <c r="F158">
        <v>157</v>
      </c>
      <c r="G158" t="s">
        <v>444</v>
      </c>
      <c r="H158">
        <v>-1.1739999999999999</v>
      </c>
      <c r="I158">
        <v>-5.87</v>
      </c>
      <c r="J158">
        <v>-1.627</v>
      </c>
      <c r="K158">
        <v>-4.2430000000000003</v>
      </c>
      <c r="L158">
        <v>5</v>
      </c>
    </row>
    <row r="159" spans="1:12">
      <c r="A159" t="str">
        <f t="shared" si="12"/>
        <v>Justin Suh</v>
      </c>
      <c r="B159" s="38">
        <f t="shared" si="13"/>
        <v>-1.234</v>
      </c>
      <c r="C159">
        <f t="shared" si="14"/>
        <v>158</v>
      </c>
      <c r="F159">
        <v>158</v>
      </c>
      <c r="G159" t="s">
        <v>109</v>
      </c>
      <c r="H159">
        <v>-1.234</v>
      </c>
      <c r="I159">
        <v>-16.042999999999999</v>
      </c>
      <c r="J159">
        <v>-24.896999999999998</v>
      </c>
      <c r="K159">
        <v>8.8539999999999992</v>
      </c>
      <c r="L159">
        <v>13</v>
      </c>
    </row>
    <row r="160" spans="1:12">
      <c r="A160" t="str">
        <f t="shared" si="12"/>
        <v>Rickie Fowler</v>
      </c>
      <c r="B160" s="38">
        <f t="shared" si="13"/>
        <v>-1.25</v>
      </c>
      <c r="C160">
        <f t="shared" si="14"/>
        <v>159</v>
      </c>
      <c r="F160">
        <v>159</v>
      </c>
      <c r="G160" t="s">
        <v>44</v>
      </c>
      <c r="H160">
        <v>-1.25</v>
      </c>
      <c r="I160">
        <v>-20.004000000000001</v>
      </c>
      <c r="J160">
        <v>-14.476000000000001</v>
      </c>
      <c r="K160">
        <v>-5.5279999999999996</v>
      </c>
      <c r="L160">
        <v>16</v>
      </c>
    </row>
    <row r="161" spans="1:12">
      <c r="A161" t="str">
        <f t="shared" si="12"/>
        <v>David Lipsky</v>
      </c>
      <c r="B161" s="38">
        <f t="shared" si="13"/>
        <v>-1.2789999999999999</v>
      </c>
      <c r="C161">
        <f t="shared" si="14"/>
        <v>160</v>
      </c>
      <c r="F161">
        <v>160</v>
      </c>
      <c r="G161" t="s">
        <v>163</v>
      </c>
      <c r="H161">
        <v>-1.2789999999999999</v>
      </c>
      <c r="I161">
        <v>-14.067</v>
      </c>
      <c r="J161">
        <v>-7.7489999999999997</v>
      </c>
      <c r="K161">
        <v>-6.3179999999999996</v>
      </c>
      <c r="L161">
        <v>11</v>
      </c>
    </row>
    <row r="162" spans="1:12">
      <c r="A162" t="str">
        <f t="shared" ref="A162:A187" si="15">G162</f>
        <v>Norman Xiong</v>
      </c>
      <c r="B162" s="38">
        <f t="shared" ref="B162:B187" si="16">H162</f>
        <v>-1.284</v>
      </c>
      <c r="C162">
        <f t="shared" ref="C162:C187" si="17">F162</f>
        <v>161</v>
      </c>
      <c r="F162">
        <v>161</v>
      </c>
      <c r="G162" t="s">
        <v>494</v>
      </c>
      <c r="H162">
        <v>-1.284</v>
      </c>
      <c r="I162">
        <v>-11.553000000000001</v>
      </c>
      <c r="J162">
        <v>-10.430999999999999</v>
      </c>
      <c r="K162">
        <v>-1.1220000000000001</v>
      </c>
      <c r="L162">
        <v>9</v>
      </c>
    </row>
    <row r="163" spans="1:12">
      <c r="A163" t="str">
        <f t="shared" si="15"/>
        <v>Gary Woodland</v>
      </c>
      <c r="B163" s="38">
        <f t="shared" si="16"/>
        <v>-1.3049999999999999</v>
      </c>
      <c r="C163">
        <f t="shared" si="17"/>
        <v>162</v>
      </c>
      <c r="F163">
        <v>162</v>
      </c>
      <c r="G163" t="s">
        <v>17</v>
      </c>
      <c r="H163">
        <v>-1.3049999999999999</v>
      </c>
      <c r="I163">
        <v>-14.36</v>
      </c>
      <c r="J163">
        <v>-10.493</v>
      </c>
      <c r="K163">
        <v>-3.8679999999999999</v>
      </c>
      <c r="L163">
        <v>11</v>
      </c>
    </row>
    <row r="164" spans="1:12">
      <c r="A164" t="str">
        <f t="shared" si="15"/>
        <v>Harrison Endycott</v>
      </c>
      <c r="B164" s="38">
        <f t="shared" si="16"/>
        <v>-1.3080000000000001</v>
      </c>
      <c r="C164">
        <f t="shared" si="17"/>
        <v>163</v>
      </c>
      <c r="F164">
        <v>163</v>
      </c>
      <c r="G164" t="s">
        <v>160</v>
      </c>
      <c r="H164">
        <v>-1.3080000000000001</v>
      </c>
      <c r="I164">
        <v>-3.9239999999999999</v>
      </c>
      <c r="J164">
        <v>-0.13900000000000001</v>
      </c>
      <c r="K164">
        <v>-3.7850000000000001</v>
      </c>
      <c r="L164">
        <v>3</v>
      </c>
    </row>
    <row r="165" spans="1:12">
      <c r="A165" t="str">
        <f t="shared" si="15"/>
        <v>Camilo Villegas</v>
      </c>
      <c r="B165" s="38">
        <f t="shared" si="16"/>
        <v>-1.3680000000000001</v>
      </c>
      <c r="C165">
        <f t="shared" si="17"/>
        <v>164</v>
      </c>
      <c r="F165">
        <v>164</v>
      </c>
      <c r="G165" t="s">
        <v>222</v>
      </c>
      <c r="H165">
        <v>-1.3680000000000001</v>
      </c>
      <c r="I165">
        <v>-16.411999999999999</v>
      </c>
      <c r="J165">
        <v>-17.942</v>
      </c>
      <c r="K165">
        <v>1.5289999999999999</v>
      </c>
      <c r="L165">
        <v>12</v>
      </c>
    </row>
    <row r="166" spans="1:12">
      <c r="A166" t="str">
        <f t="shared" si="15"/>
        <v>Matt NeSmith</v>
      </c>
      <c r="B166" s="38">
        <f t="shared" si="16"/>
        <v>-1.3859999999999999</v>
      </c>
      <c r="C166">
        <f t="shared" si="17"/>
        <v>165</v>
      </c>
      <c r="F166">
        <v>165</v>
      </c>
      <c r="G166" t="s">
        <v>443</v>
      </c>
      <c r="H166">
        <v>-1.3859999999999999</v>
      </c>
      <c r="I166">
        <v>-18.023</v>
      </c>
      <c r="J166">
        <v>-13.178000000000001</v>
      </c>
      <c r="K166">
        <v>-4.8449999999999998</v>
      </c>
      <c r="L166">
        <v>13</v>
      </c>
    </row>
    <row r="167" spans="1:12">
      <c r="A167" t="str">
        <f t="shared" si="15"/>
        <v>J.J. Spaun</v>
      </c>
      <c r="B167" s="38">
        <f t="shared" si="16"/>
        <v>-1.4319999999999999</v>
      </c>
      <c r="C167">
        <f t="shared" si="17"/>
        <v>166</v>
      </c>
      <c r="F167">
        <v>166</v>
      </c>
      <c r="G167" t="s">
        <v>112</v>
      </c>
      <c r="H167">
        <v>-1.4319999999999999</v>
      </c>
      <c r="I167">
        <v>-15.75</v>
      </c>
      <c r="J167">
        <v>-2.6859999999999999</v>
      </c>
      <c r="K167">
        <v>-13.064</v>
      </c>
      <c r="L167">
        <v>11</v>
      </c>
    </row>
    <row r="168" spans="1:12">
      <c r="A168" t="str">
        <f t="shared" si="15"/>
        <v>Ben Taylor</v>
      </c>
      <c r="B168" s="38">
        <f t="shared" si="16"/>
        <v>-1.466</v>
      </c>
      <c r="C168">
        <f t="shared" si="17"/>
        <v>167</v>
      </c>
      <c r="F168">
        <v>167</v>
      </c>
      <c r="G168" t="s">
        <v>71</v>
      </c>
      <c r="H168">
        <v>-1.466</v>
      </c>
      <c r="I168">
        <v>-16.125</v>
      </c>
      <c r="J168">
        <v>-17.640999999999998</v>
      </c>
      <c r="K168">
        <v>1.5149999999999999</v>
      </c>
      <c r="L168">
        <v>11</v>
      </c>
    </row>
    <row r="169" spans="1:12">
      <c r="A169" t="str">
        <f t="shared" si="15"/>
        <v>Alex Smalley</v>
      </c>
      <c r="B169" s="38">
        <f t="shared" si="16"/>
        <v>-1.482</v>
      </c>
      <c r="C169">
        <f t="shared" si="17"/>
        <v>168</v>
      </c>
      <c r="F169">
        <v>168</v>
      </c>
      <c r="G169" t="s">
        <v>79</v>
      </c>
      <c r="H169">
        <v>-1.482</v>
      </c>
      <c r="I169">
        <v>-16.306000000000001</v>
      </c>
      <c r="J169">
        <v>-0.627</v>
      </c>
      <c r="K169">
        <v>-15.679</v>
      </c>
      <c r="L169">
        <v>11</v>
      </c>
    </row>
    <row r="170" spans="1:12">
      <c r="A170" t="str">
        <f t="shared" si="15"/>
        <v>Matt Kuchar</v>
      </c>
      <c r="B170" s="38">
        <f t="shared" si="16"/>
        <v>-1.4930000000000001</v>
      </c>
      <c r="C170">
        <f t="shared" si="17"/>
        <v>169</v>
      </c>
      <c r="F170">
        <v>169</v>
      </c>
      <c r="G170" t="s">
        <v>144</v>
      </c>
      <c r="H170">
        <v>-1.4930000000000001</v>
      </c>
      <c r="I170">
        <v>-14.933999999999999</v>
      </c>
      <c r="J170">
        <v>-7.5270000000000001</v>
      </c>
      <c r="K170">
        <v>-7.407</v>
      </c>
      <c r="L170">
        <v>10</v>
      </c>
    </row>
    <row r="171" spans="1:12">
      <c r="A171" t="str">
        <f t="shared" si="15"/>
        <v>Vincent Norrman</v>
      </c>
      <c r="B171" s="38">
        <f t="shared" si="16"/>
        <v>-1.5249999999999999</v>
      </c>
      <c r="C171">
        <f t="shared" si="17"/>
        <v>170</v>
      </c>
      <c r="F171">
        <v>170</v>
      </c>
      <c r="G171" t="s">
        <v>13</v>
      </c>
      <c r="H171">
        <v>-1.5249999999999999</v>
      </c>
      <c r="I171">
        <v>-25.931000000000001</v>
      </c>
      <c r="J171">
        <v>-6.1340000000000003</v>
      </c>
      <c r="K171">
        <v>-19.797999999999998</v>
      </c>
      <c r="L171">
        <v>17</v>
      </c>
    </row>
    <row r="172" spans="1:12">
      <c r="A172" t="str">
        <f t="shared" si="15"/>
        <v>Chez Reavie</v>
      </c>
      <c r="B172" s="38">
        <f t="shared" si="16"/>
        <v>-1.528</v>
      </c>
      <c r="C172">
        <f t="shared" si="17"/>
        <v>171</v>
      </c>
      <c r="F172">
        <v>171</v>
      </c>
      <c r="G172" t="s">
        <v>177</v>
      </c>
      <c r="H172">
        <v>-1.528</v>
      </c>
      <c r="I172">
        <v>-10.694000000000001</v>
      </c>
      <c r="J172">
        <v>-1.7110000000000001</v>
      </c>
      <c r="K172">
        <v>-8.9830000000000005</v>
      </c>
      <c r="L172">
        <v>7</v>
      </c>
    </row>
    <row r="173" spans="1:12">
      <c r="A173" t="str">
        <f t="shared" si="15"/>
        <v>Nick Dunlap</v>
      </c>
      <c r="B173" s="38">
        <f t="shared" si="16"/>
        <v>-1.5880000000000001</v>
      </c>
      <c r="C173">
        <f t="shared" si="17"/>
        <v>172</v>
      </c>
      <c r="F173">
        <v>172</v>
      </c>
      <c r="G173" t="s">
        <v>539</v>
      </c>
      <c r="H173">
        <v>-1.5880000000000001</v>
      </c>
      <c r="I173">
        <v>-12.701000000000001</v>
      </c>
      <c r="J173">
        <v>-14.176</v>
      </c>
      <c r="K173">
        <v>1.476</v>
      </c>
      <c r="L173">
        <v>8</v>
      </c>
    </row>
    <row r="174" spans="1:12">
      <c r="A174" t="str">
        <f t="shared" si="15"/>
        <v>Lee Hodges</v>
      </c>
      <c r="B174" s="38">
        <f t="shared" si="16"/>
        <v>-1.6339999999999999</v>
      </c>
      <c r="C174">
        <f t="shared" si="17"/>
        <v>173</v>
      </c>
      <c r="F174">
        <v>173</v>
      </c>
      <c r="G174" t="s">
        <v>101</v>
      </c>
      <c r="H174">
        <v>-1.6339999999999999</v>
      </c>
      <c r="I174">
        <v>-24.504999999999999</v>
      </c>
      <c r="J174">
        <v>-14.113</v>
      </c>
      <c r="K174">
        <v>-10.391999999999999</v>
      </c>
      <c r="L174">
        <v>15</v>
      </c>
    </row>
    <row r="175" spans="1:12">
      <c r="A175" t="str">
        <f t="shared" si="15"/>
        <v>Patrick Fishburn</v>
      </c>
      <c r="B175" s="38">
        <f t="shared" si="16"/>
        <v>-1.661</v>
      </c>
      <c r="C175">
        <f t="shared" si="17"/>
        <v>174</v>
      </c>
      <c r="F175">
        <v>174</v>
      </c>
      <c r="G175" t="s">
        <v>556</v>
      </c>
      <c r="H175">
        <v>-1.661</v>
      </c>
      <c r="I175">
        <v>-8.3040000000000003</v>
      </c>
      <c r="J175">
        <v>-8.3059999999999992</v>
      </c>
      <c r="K175">
        <v>2E-3</v>
      </c>
      <c r="L175">
        <v>5</v>
      </c>
    </row>
    <row r="176" spans="1:12">
      <c r="A176" t="str">
        <f t="shared" si="15"/>
        <v>Paul Barjon</v>
      </c>
      <c r="B176" s="38">
        <f t="shared" si="16"/>
        <v>-1.6719999999999999</v>
      </c>
      <c r="C176">
        <f t="shared" si="17"/>
        <v>175</v>
      </c>
      <c r="F176">
        <v>175</v>
      </c>
      <c r="G176" t="s">
        <v>401</v>
      </c>
      <c r="H176">
        <v>-1.6719999999999999</v>
      </c>
      <c r="I176">
        <v>-11.706</v>
      </c>
      <c r="J176">
        <v>-5.827</v>
      </c>
      <c r="K176">
        <v>-5.8789999999999996</v>
      </c>
      <c r="L176">
        <v>7</v>
      </c>
    </row>
    <row r="177" spans="1:12">
      <c r="A177" t="str">
        <f t="shared" si="15"/>
        <v>Ben Kohles</v>
      </c>
      <c r="B177" s="38">
        <f t="shared" si="16"/>
        <v>-1.74</v>
      </c>
      <c r="C177">
        <f t="shared" si="17"/>
        <v>176</v>
      </c>
      <c r="F177">
        <v>176</v>
      </c>
      <c r="G177" t="s">
        <v>419</v>
      </c>
      <c r="H177">
        <v>-1.74</v>
      </c>
      <c r="I177">
        <v>-17.402000000000001</v>
      </c>
      <c r="J177">
        <v>-13.211</v>
      </c>
      <c r="K177">
        <v>-4.1909999999999998</v>
      </c>
      <c r="L177">
        <v>10</v>
      </c>
    </row>
    <row r="178" spans="1:12">
      <c r="A178" t="str">
        <f t="shared" si="15"/>
        <v>Ryan Brehm</v>
      </c>
      <c r="B178" s="38">
        <f t="shared" si="16"/>
        <v>-1.7629999999999999</v>
      </c>
      <c r="C178">
        <f t="shared" si="17"/>
        <v>177</v>
      </c>
      <c r="F178">
        <v>177</v>
      </c>
      <c r="G178" t="s">
        <v>37</v>
      </c>
      <c r="H178">
        <v>-1.7629999999999999</v>
      </c>
      <c r="I178">
        <v>-19.396999999999998</v>
      </c>
      <c r="J178">
        <v>-23.87</v>
      </c>
      <c r="K178">
        <v>4.4720000000000004</v>
      </c>
      <c r="L178">
        <v>11</v>
      </c>
    </row>
    <row r="179" spans="1:12">
      <c r="A179" t="str">
        <f t="shared" si="15"/>
        <v>Callum Tarren</v>
      </c>
      <c r="B179" s="38">
        <f t="shared" si="16"/>
        <v>-1.837</v>
      </c>
      <c r="C179">
        <f t="shared" si="17"/>
        <v>178</v>
      </c>
      <c r="F179">
        <v>178</v>
      </c>
      <c r="G179" t="s">
        <v>21</v>
      </c>
      <c r="H179">
        <v>-1.837</v>
      </c>
      <c r="I179">
        <v>-16.53</v>
      </c>
      <c r="J179">
        <v>-10.512</v>
      </c>
      <c r="K179">
        <v>-6.0179999999999998</v>
      </c>
      <c r="L179">
        <v>9</v>
      </c>
    </row>
    <row r="180" spans="1:12">
      <c r="A180" t="str">
        <f t="shared" si="15"/>
        <v>Davis Riley</v>
      </c>
      <c r="B180" s="38">
        <f t="shared" si="16"/>
        <v>-2.089</v>
      </c>
      <c r="C180">
        <f t="shared" si="17"/>
        <v>179</v>
      </c>
      <c r="F180">
        <v>179</v>
      </c>
      <c r="G180" t="s">
        <v>55</v>
      </c>
      <c r="H180">
        <v>-2.089</v>
      </c>
      <c r="I180">
        <v>-31.334</v>
      </c>
      <c r="J180">
        <v>-28.553999999999998</v>
      </c>
      <c r="K180">
        <v>-2.78</v>
      </c>
      <c r="L180">
        <v>15</v>
      </c>
    </row>
    <row r="181" spans="1:12">
      <c r="A181" t="str">
        <f t="shared" si="15"/>
        <v>Matti Schmid</v>
      </c>
      <c r="B181" s="38">
        <f t="shared" si="16"/>
        <v>-2.089</v>
      </c>
      <c r="C181">
        <f t="shared" si="17"/>
        <v>179</v>
      </c>
      <c r="F181">
        <v>179</v>
      </c>
      <c r="G181" t="s">
        <v>11</v>
      </c>
      <c r="H181">
        <v>-2.089</v>
      </c>
      <c r="I181">
        <v>-18.802</v>
      </c>
      <c r="J181">
        <v>-13.164</v>
      </c>
      <c r="K181">
        <v>-5.6379999999999999</v>
      </c>
      <c r="L181">
        <v>9</v>
      </c>
    </row>
    <row r="182" spans="1:12">
      <c r="A182" t="str">
        <f t="shared" si="15"/>
        <v>Pierceson Coody</v>
      </c>
      <c r="B182" s="38">
        <f t="shared" si="16"/>
        <v>-2.379</v>
      </c>
      <c r="C182">
        <f t="shared" si="17"/>
        <v>181</v>
      </c>
      <c r="F182">
        <v>181</v>
      </c>
      <c r="G182" t="s">
        <v>490</v>
      </c>
      <c r="H182">
        <v>-2.379</v>
      </c>
      <c r="I182">
        <v>-14.275</v>
      </c>
      <c r="J182">
        <v>-18.719000000000001</v>
      </c>
      <c r="K182">
        <v>4.4429999999999996</v>
      </c>
      <c r="L182">
        <v>6</v>
      </c>
    </row>
    <row r="183" spans="1:12">
      <c r="A183" t="str">
        <f t="shared" si="15"/>
        <v>Joe Highsmith</v>
      </c>
      <c r="B183" s="38">
        <f t="shared" si="16"/>
        <v>-2.3969999999999998</v>
      </c>
      <c r="C183">
        <f t="shared" si="17"/>
        <v>182</v>
      </c>
      <c r="F183">
        <v>182</v>
      </c>
      <c r="G183" t="s">
        <v>522</v>
      </c>
      <c r="H183">
        <v>-2.3969999999999998</v>
      </c>
      <c r="I183">
        <v>-21.573</v>
      </c>
      <c r="J183">
        <v>-19.524000000000001</v>
      </c>
      <c r="K183">
        <v>-2.0499999999999998</v>
      </c>
      <c r="L183">
        <v>9</v>
      </c>
    </row>
    <row r="184" spans="1:12">
      <c r="A184" t="str">
        <f t="shared" si="15"/>
        <v>J.B. Holmes</v>
      </c>
      <c r="B184" s="38">
        <f t="shared" si="16"/>
        <v>-2.4079999999999999</v>
      </c>
      <c r="C184">
        <f t="shared" si="17"/>
        <v>183</v>
      </c>
      <c r="F184">
        <v>183</v>
      </c>
      <c r="G184" t="s">
        <v>250</v>
      </c>
      <c r="H184">
        <v>-2.4079999999999999</v>
      </c>
      <c r="I184">
        <v>-16.856000000000002</v>
      </c>
      <c r="J184">
        <v>-10.329000000000001</v>
      </c>
      <c r="K184">
        <v>-6.5270000000000001</v>
      </c>
      <c r="L184">
        <v>7</v>
      </c>
    </row>
    <row r="185" spans="1:12">
      <c r="A185" t="str">
        <f t="shared" si="15"/>
        <v>Vince Whaley</v>
      </c>
      <c r="B185" s="38">
        <f t="shared" si="16"/>
        <v>-2.528</v>
      </c>
      <c r="C185">
        <f t="shared" si="17"/>
        <v>184</v>
      </c>
      <c r="F185">
        <v>184</v>
      </c>
      <c r="G185" t="s">
        <v>223</v>
      </c>
      <c r="H185">
        <v>-2.528</v>
      </c>
      <c r="I185">
        <v>-17.693999999999999</v>
      </c>
      <c r="J185">
        <v>-7.5819999999999999</v>
      </c>
      <c r="K185">
        <v>-10.112</v>
      </c>
      <c r="L185">
        <v>7</v>
      </c>
    </row>
    <row r="186" spans="1:12">
      <c r="A186" t="str">
        <f t="shared" si="15"/>
        <v>Adrien Dumont de Chassart</v>
      </c>
      <c r="B186" s="38">
        <f t="shared" si="16"/>
        <v>-2.6960000000000002</v>
      </c>
      <c r="C186">
        <f t="shared" si="17"/>
        <v>185</v>
      </c>
      <c r="F186">
        <v>185</v>
      </c>
      <c r="G186" t="s">
        <v>486</v>
      </c>
      <c r="H186">
        <v>-2.6960000000000002</v>
      </c>
      <c r="I186">
        <v>-35.042999999999999</v>
      </c>
      <c r="J186">
        <v>-22.123999999999999</v>
      </c>
      <c r="K186">
        <v>-12.919</v>
      </c>
      <c r="L186">
        <v>13</v>
      </c>
    </row>
    <row r="187" spans="1:12">
      <c r="A187" t="str">
        <f t="shared" si="15"/>
        <v>Brandt Snedeker</v>
      </c>
      <c r="B187" s="38">
        <f t="shared" si="16"/>
        <v>-3.5819999999999999</v>
      </c>
      <c r="C187">
        <f t="shared" si="17"/>
        <v>186</v>
      </c>
      <c r="F187">
        <v>186</v>
      </c>
      <c r="G187" t="s">
        <v>247</v>
      </c>
      <c r="H187">
        <v>-3.5819999999999999</v>
      </c>
      <c r="I187">
        <v>-39.396999999999998</v>
      </c>
      <c r="J187">
        <v>-29.224</v>
      </c>
      <c r="K187">
        <v>-10.173999999999999</v>
      </c>
      <c r="L187">
        <v>11</v>
      </c>
    </row>
    <row r="188" spans="1:12">
      <c r="A188">
        <f t="shared" ref="A188:A212" si="18">G188</f>
        <v>0</v>
      </c>
      <c r="B188" s="38">
        <f t="shared" ref="B188:B212" si="19">H188</f>
        <v>0</v>
      </c>
      <c r="C188">
        <f t="shared" ref="C188:C212" si="20">F188</f>
        <v>0</v>
      </c>
    </row>
    <row r="189" spans="1:12">
      <c r="A189">
        <f t="shared" si="18"/>
        <v>0</v>
      </c>
      <c r="B189" s="38">
        <f t="shared" si="19"/>
        <v>0</v>
      </c>
      <c r="C189">
        <f t="shared" si="20"/>
        <v>0</v>
      </c>
    </row>
    <row r="190" spans="1:12">
      <c r="A190">
        <f t="shared" si="18"/>
        <v>0</v>
      </c>
      <c r="B190" s="38">
        <f t="shared" si="19"/>
        <v>0</v>
      </c>
      <c r="C190">
        <f t="shared" si="20"/>
        <v>0</v>
      </c>
    </row>
    <row r="191" spans="1:12">
      <c r="A191">
        <f t="shared" si="18"/>
        <v>0</v>
      </c>
      <c r="B191" s="38">
        <f t="shared" si="19"/>
        <v>0</v>
      </c>
      <c r="C191">
        <f t="shared" si="20"/>
        <v>0</v>
      </c>
    </row>
    <row r="192" spans="1:12">
      <c r="A192">
        <f t="shared" si="18"/>
        <v>0</v>
      </c>
      <c r="B192" s="38">
        <f t="shared" si="19"/>
        <v>0</v>
      </c>
      <c r="C192">
        <f t="shared" si="20"/>
        <v>0</v>
      </c>
    </row>
    <row r="193" spans="1:3">
      <c r="A193">
        <f t="shared" si="18"/>
        <v>0</v>
      </c>
      <c r="B193" s="38">
        <f t="shared" si="19"/>
        <v>0</v>
      </c>
      <c r="C193">
        <f t="shared" si="20"/>
        <v>0</v>
      </c>
    </row>
    <row r="194" spans="1:3">
      <c r="A194">
        <f t="shared" si="18"/>
        <v>0</v>
      </c>
      <c r="B194" s="38">
        <f t="shared" si="19"/>
        <v>0</v>
      </c>
      <c r="C194">
        <f t="shared" si="20"/>
        <v>0</v>
      </c>
    </row>
    <row r="195" spans="1:3">
      <c r="A195">
        <f t="shared" si="18"/>
        <v>0</v>
      </c>
      <c r="B195" s="38">
        <f t="shared" si="19"/>
        <v>0</v>
      </c>
      <c r="C195">
        <f t="shared" si="20"/>
        <v>0</v>
      </c>
    </row>
    <row r="196" spans="1:3">
      <c r="A196">
        <f t="shared" si="18"/>
        <v>0</v>
      </c>
      <c r="B196" s="38">
        <f t="shared" si="19"/>
        <v>0</v>
      </c>
      <c r="C196">
        <f t="shared" si="20"/>
        <v>0</v>
      </c>
    </row>
    <row r="197" spans="1:3">
      <c r="A197">
        <f t="shared" si="18"/>
        <v>0</v>
      </c>
      <c r="B197" s="38">
        <f t="shared" si="19"/>
        <v>0</v>
      </c>
      <c r="C197">
        <f t="shared" si="20"/>
        <v>0</v>
      </c>
    </row>
    <row r="198" spans="1:3">
      <c r="A198">
        <f t="shared" si="18"/>
        <v>0</v>
      </c>
      <c r="B198" s="38">
        <f t="shared" si="19"/>
        <v>0</v>
      </c>
      <c r="C198">
        <f t="shared" si="20"/>
        <v>0</v>
      </c>
    </row>
    <row r="199" spans="1:3">
      <c r="A199">
        <f t="shared" si="18"/>
        <v>0</v>
      </c>
      <c r="B199" s="38">
        <f t="shared" si="19"/>
        <v>0</v>
      </c>
      <c r="C199">
        <f t="shared" si="20"/>
        <v>0</v>
      </c>
    </row>
    <row r="200" spans="1:3">
      <c r="A200">
        <f t="shared" si="18"/>
        <v>0</v>
      </c>
      <c r="B200" s="38">
        <f t="shared" si="19"/>
        <v>0</v>
      </c>
      <c r="C200">
        <f t="shared" si="20"/>
        <v>0</v>
      </c>
    </row>
    <row r="201" spans="1:3">
      <c r="A201">
        <f t="shared" si="18"/>
        <v>0</v>
      </c>
      <c r="B201" s="38">
        <f t="shared" si="19"/>
        <v>0</v>
      </c>
      <c r="C201">
        <f t="shared" si="20"/>
        <v>0</v>
      </c>
    </row>
    <row r="202" spans="1:3">
      <c r="A202">
        <f t="shared" si="18"/>
        <v>0</v>
      </c>
      <c r="B202" s="38">
        <f t="shared" si="19"/>
        <v>0</v>
      </c>
      <c r="C202">
        <f t="shared" si="20"/>
        <v>0</v>
      </c>
    </row>
    <row r="203" spans="1:3">
      <c r="A203">
        <f t="shared" si="18"/>
        <v>0</v>
      </c>
      <c r="B203" s="38">
        <f t="shared" si="19"/>
        <v>0</v>
      </c>
      <c r="C203">
        <f t="shared" si="20"/>
        <v>0</v>
      </c>
    </row>
    <row r="204" spans="1:3">
      <c r="A204">
        <f t="shared" si="18"/>
        <v>0</v>
      </c>
      <c r="B204" s="38">
        <f t="shared" si="19"/>
        <v>0</v>
      </c>
      <c r="C204">
        <f t="shared" si="20"/>
        <v>0</v>
      </c>
    </row>
    <row r="205" spans="1:3">
      <c r="A205">
        <f t="shared" si="18"/>
        <v>0</v>
      </c>
      <c r="B205" s="38">
        <f t="shared" si="19"/>
        <v>0</v>
      </c>
      <c r="C205">
        <f t="shared" si="20"/>
        <v>0</v>
      </c>
    </row>
    <row r="206" spans="1:3">
      <c r="A206">
        <f t="shared" si="18"/>
        <v>0</v>
      </c>
      <c r="B206" s="38">
        <f t="shared" si="19"/>
        <v>0</v>
      </c>
      <c r="C206">
        <f t="shared" si="20"/>
        <v>0</v>
      </c>
    </row>
    <row r="207" spans="1:3">
      <c r="A207">
        <f t="shared" si="18"/>
        <v>0</v>
      </c>
      <c r="B207" s="38">
        <f t="shared" si="19"/>
        <v>0</v>
      </c>
      <c r="C207">
        <f t="shared" si="20"/>
        <v>0</v>
      </c>
    </row>
    <row r="208" spans="1:3">
      <c r="A208">
        <f t="shared" si="18"/>
        <v>0</v>
      </c>
      <c r="B208" s="38">
        <f t="shared" si="19"/>
        <v>0</v>
      </c>
      <c r="C208">
        <f t="shared" si="20"/>
        <v>0</v>
      </c>
    </row>
    <row r="209" spans="1:3">
      <c r="A209">
        <f t="shared" si="18"/>
        <v>0</v>
      </c>
      <c r="B209" s="38">
        <f t="shared" si="19"/>
        <v>0</v>
      </c>
      <c r="C209">
        <f t="shared" si="20"/>
        <v>0</v>
      </c>
    </row>
    <row r="210" spans="1:3">
      <c r="A210">
        <f t="shared" si="18"/>
        <v>0</v>
      </c>
      <c r="B210" s="38">
        <f t="shared" si="19"/>
        <v>0</v>
      </c>
      <c r="C210">
        <f t="shared" si="20"/>
        <v>0</v>
      </c>
    </row>
    <row r="211" spans="1:3">
      <c r="A211">
        <f t="shared" si="18"/>
        <v>0</v>
      </c>
      <c r="B211" s="38">
        <f t="shared" si="19"/>
        <v>0</v>
      </c>
      <c r="C211">
        <f t="shared" si="20"/>
        <v>0</v>
      </c>
    </row>
    <row r="212" spans="1:3">
      <c r="A212">
        <f t="shared" si="18"/>
        <v>0</v>
      </c>
      <c r="B212" s="38">
        <f t="shared" si="19"/>
        <v>0</v>
      </c>
      <c r="C212">
        <f t="shared" si="20"/>
        <v>0</v>
      </c>
    </row>
    <row r="213" spans="1:3">
      <c r="A213">
        <f t="shared" ref="A213:A238" si="21">G213</f>
        <v>0</v>
      </c>
      <c r="B213" s="38">
        <f t="shared" ref="B213:B238" si="22">H213</f>
        <v>0</v>
      </c>
      <c r="C213">
        <f t="shared" ref="C213:C238" si="23">F213</f>
        <v>0</v>
      </c>
    </row>
    <row r="214" spans="1:3">
      <c r="A214">
        <f t="shared" si="21"/>
        <v>0</v>
      </c>
      <c r="B214" s="38">
        <f t="shared" si="22"/>
        <v>0</v>
      </c>
      <c r="C214">
        <f t="shared" si="23"/>
        <v>0</v>
      </c>
    </row>
    <row r="215" spans="1:3">
      <c r="A215">
        <f t="shared" si="21"/>
        <v>0</v>
      </c>
      <c r="B215" s="38">
        <f t="shared" si="22"/>
        <v>0</v>
      </c>
      <c r="C215">
        <f t="shared" si="23"/>
        <v>0</v>
      </c>
    </row>
    <row r="216" spans="1:3">
      <c r="A216">
        <f t="shared" si="21"/>
        <v>0</v>
      </c>
      <c r="B216" s="38">
        <f t="shared" si="22"/>
        <v>0</v>
      </c>
      <c r="C216">
        <f t="shared" si="23"/>
        <v>0</v>
      </c>
    </row>
    <row r="217" spans="1:3">
      <c r="A217">
        <f t="shared" si="21"/>
        <v>0</v>
      </c>
      <c r="B217" s="38">
        <f t="shared" si="22"/>
        <v>0</v>
      </c>
      <c r="C217">
        <f t="shared" si="23"/>
        <v>0</v>
      </c>
    </row>
    <row r="218" spans="1:3">
      <c r="A218">
        <f t="shared" si="21"/>
        <v>0</v>
      </c>
      <c r="B218" s="38">
        <f t="shared" si="22"/>
        <v>0</v>
      </c>
      <c r="C218">
        <f t="shared" si="23"/>
        <v>0</v>
      </c>
    </row>
    <row r="219" spans="1:3">
      <c r="A219">
        <f t="shared" si="21"/>
        <v>0</v>
      </c>
      <c r="B219" s="38">
        <f t="shared" si="22"/>
        <v>0</v>
      </c>
      <c r="C219">
        <f t="shared" si="23"/>
        <v>0</v>
      </c>
    </row>
    <row r="220" spans="1:3">
      <c r="A220">
        <f t="shared" si="21"/>
        <v>0</v>
      </c>
      <c r="B220" s="38">
        <f t="shared" si="22"/>
        <v>0</v>
      </c>
      <c r="C220">
        <f t="shared" si="23"/>
        <v>0</v>
      </c>
    </row>
    <row r="221" spans="1:3">
      <c r="A221">
        <f t="shared" si="21"/>
        <v>0</v>
      </c>
      <c r="B221" s="38">
        <f t="shared" si="22"/>
        <v>0</v>
      </c>
      <c r="C221">
        <f t="shared" si="23"/>
        <v>0</v>
      </c>
    </row>
    <row r="222" spans="1:3">
      <c r="A222">
        <f t="shared" si="21"/>
        <v>0</v>
      </c>
      <c r="B222" s="38">
        <f t="shared" si="22"/>
        <v>0</v>
      </c>
      <c r="C222">
        <f t="shared" si="23"/>
        <v>0</v>
      </c>
    </row>
    <row r="223" spans="1:3">
      <c r="A223">
        <f t="shared" si="21"/>
        <v>0</v>
      </c>
      <c r="B223" s="38">
        <f t="shared" si="22"/>
        <v>0</v>
      </c>
      <c r="C223">
        <f t="shared" si="23"/>
        <v>0</v>
      </c>
    </row>
    <row r="224" spans="1:3">
      <c r="A224">
        <f t="shared" si="21"/>
        <v>0</v>
      </c>
      <c r="B224" s="38">
        <f t="shared" si="22"/>
        <v>0</v>
      </c>
      <c r="C224">
        <f t="shared" si="23"/>
        <v>0</v>
      </c>
    </row>
    <row r="225" spans="1:3">
      <c r="A225">
        <f t="shared" si="21"/>
        <v>0</v>
      </c>
      <c r="B225" s="38">
        <f t="shared" si="22"/>
        <v>0</v>
      </c>
      <c r="C225">
        <f t="shared" si="23"/>
        <v>0</v>
      </c>
    </row>
    <row r="226" spans="1:3">
      <c r="A226">
        <f t="shared" si="21"/>
        <v>0</v>
      </c>
      <c r="B226" s="38">
        <f t="shared" si="22"/>
        <v>0</v>
      </c>
      <c r="C226">
        <f t="shared" si="23"/>
        <v>0</v>
      </c>
    </row>
    <row r="227" spans="1:3">
      <c r="A227">
        <f t="shared" si="21"/>
        <v>0</v>
      </c>
      <c r="B227" s="38">
        <f t="shared" si="22"/>
        <v>0</v>
      </c>
      <c r="C227">
        <f t="shared" si="23"/>
        <v>0</v>
      </c>
    </row>
    <row r="228" spans="1:3">
      <c r="A228">
        <f t="shared" si="21"/>
        <v>0</v>
      </c>
      <c r="B228" s="38">
        <f t="shared" si="22"/>
        <v>0</v>
      </c>
      <c r="C228">
        <f t="shared" si="23"/>
        <v>0</v>
      </c>
    </row>
    <row r="229" spans="1:3">
      <c r="A229">
        <f t="shared" si="21"/>
        <v>0</v>
      </c>
      <c r="B229" s="38">
        <f t="shared" si="22"/>
        <v>0</v>
      </c>
      <c r="C229">
        <f t="shared" si="23"/>
        <v>0</v>
      </c>
    </row>
    <row r="230" spans="1:3">
      <c r="A230">
        <f t="shared" si="21"/>
        <v>0</v>
      </c>
      <c r="B230" s="38">
        <f t="shared" si="22"/>
        <v>0</v>
      </c>
      <c r="C230">
        <f t="shared" si="23"/>
        <v>0</v>
      </c>
    </row>
    <row r="231" spans="1:3">
      <c r="A231">
        <f t="shared" si="21"/>
        <v>0</v>
      </c>
      <c r="B231" s="38">
        <f t="shared" si="22"/>
        <v>0</v>
      </c>
      <c r="C231">
        <f t="shared" si="23"/>
        <v>0</v>
      </c>
    </row>
    <row r="232" spans="1:3">
      <c r="A232">
        <f t="shared" si="21"/>
        <v>0</v>
      </c>
      <c r="B232" s="38">
        <f t="shared" si="22"/>
        <v>0</v>
      </c>
      <c r="C232">
        <f t="shared" si="23"/>
        <v>0</v>
      </c>
    </row>
    <row r="233" spans="1:3">
      <c r="A233">
        <f t="shared" si="21"/>
        <v>0</v>
      </c>
      <c r="B233" s="38">
        <f t="shared" si="22"/>
        <v>0</v>
      </c>
      <c r="C233">
        <f t="shared" si="23"/>
        <v>0</v>
      </c>
    </row>
    <row r="234" spans="1:3">
      <c r="A234">
        <f t="shared" si="21"/>
        <v>0</v>
      </c>
      <c r="B234" s="38">
        <f t="shared" si="22"/>
        <v>0</v>
      </c>
      <c r="C234">
        <f t="shared" si="23"/>
        <v>0</v>
      </c>
    </row>
    <row r="235" spans="1:3">
      <c r="A235">
        <f t="shared" si="21"/>
        <v>0</v>
      </c>
      <c r="B235" s="38">
        <f t="shared" si="22"/>
        <v>0</v>
      </c>
      <c r="C235">
        <f t="shared" si="23"/>
        <v>0</v>
      </c>
    </row>
    <row r="236" spans="1:3">
      <c r="A236">
        <f t="shared" si="21"/>
        <v>0</v>
      </c>
      <c r="B236" s="38">
        <f t="shared" si="22"/>
        <v>0</v>
      </c>
      <c r="C236">
        <f t="shared" si="23"/>
        <v>0</v>
      </c>
    </row>
    <row r="237" spans="1:3">
      <c r="A237">
        <f t="shared" si="21"/>
        <v>0</v>
      </c>
      <c r="B237" s="38">
        <f t="shared" si="22"/>
        <v>0</v>
      </c>
      <c r="C237">
        <f t="shared" si="23"/>
        <v>0</v>
      </c>
    </row>
    <row r="238" spans="1:3">
      <c r="A238">
        <f t="shared" si="21"/>
        <v>0</v>
      </c>
      <c r="B238" s="38">
        <f t="shared" si="22"/>
        <v>0</v>
      </c>
      <c r="C238">
        <f t="shared" si="23"/>
        <v>0</v>
      </c>
    </row>
    <row r="239" spans="1:3">
      <c r="A239">
        <f t="shared" ref="A239:B242" si="24">G239</f>
        <v>0</v>
      </c>
      <c r="B239" s="38">
        <f t="shared" si="24"/>
        <v>0</v>
      </c>
      <c r="C239">
        <f>F239</f>
        <v>0</v>
      </c>
    </row>
    <row r="240" spans="1:3">
      <c r="A240">
        <f t="shared" si="24"/>
        <v>0</v>
      </c>
      <c r="B240" s="38">
        <f t="shared" si="24"/>
        <v>0</v>
      </c>
      <c r="C240">
        <f>F240</f>
        <v>0</v>
      </c>
    </row>
    <row r="241" spans="1:3">
      <c r="A241">
        <f t="shared" si="24"/>
        <v>0</v>
      </c>
      <c r="B241" s="38">
        <f t="shared" si="24"/>
        <v>0</v>
      </c>
      <c r="C241">
        <f>F241</f>
        <v>0</v>
      </c>
    </row>
    <row r="242" spans="1:3">
      <c r="A242">
        <f t="shared" si="24"/>
        <v>0</v>
      </c>
      <c r="B242" s="38">
        <f t="shared" si="24"/>
        <v>0</v>
      </c>
      <c r="C242">
        <f>F242</f>
        <v>0</v>
      </c>
    </row>
  </sheetData>
  <autoFilter ref="A1:C1" xr:uid="{E982F14E-4130-42C9-A71A-814F66513902}">
    <sortState xmlns:xlrd2="http://schemas.microsoft.com/office/spreadsheetml/2017/richdata2" ref="A2:C207">
      <sortCondition ref="A1"/>
    </sortState>
  </autoFilter>
  <mergeCells count="1">
    <mergeCell ref="F1:L1"/>
  </mergeCells>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1AD9F-E33E-4FD4-88C0-79EF3F1BC9AE}">
  <sheetPr codeName="Sheet5">
    <tabColor theme="9" tint="-0.499984740745262"/>
  </sheetPr>
  <dimension ref="A1:NTG383"/>
  <sheetViews>
    <sheetView zoomScaleNormal="100" workbookViewId="0">
      <selection activeCell="S18" sqref="S18"/>
    </sheetView>
  </sheetViews>
  <sheetFormatPr defaultRowHeight="15"/>
  <cols>
    <col min="1" max="1" width="23.28515625" bestFit="1" customWidth="1"/>
    <col min="2" max="3" width="17.140625" bestFit="1" customWidth="1"/>
    <col min="6" max="6" width="20.42578125" bestFit="1" customWidth="1"/>
    <col min="8" max="8" width="10.28515625" bestFit="1" customWidth="1"/>
    <col min="13" max="13" width="20.140625" bestFit="1" customWidth="1"/>
    <col min="16" max="16" width="15.28515625" customWidth="1"/>
    <col min="21" max="21" width="12" bestFit="1" customWidth="1"/>
    <col min="22" max="22" width="16.28515625" bestFit="1" customWidth="1"/>
    <col min="23" max="23" width="24.28515625" bestFit="1" customWidth="1"/>
    <col min="24" max="24" width="20.42578125" customWidth="1"/>
    <col min="25" max="25" width="12.42578125" customWidth="1"/>
  </cols>
  <sheetData>
    <row r="1" spans="1:17">
      <c r="A1" t="s">
        <v>0</v>
      </c>
      <c r="B1" t="s">
        <v>224</v>
      </c>
      <c r="C1" t="s">
        <v>225</v>
      </c>
      <c r="D1" t="s">
        <v>226</v>
      </c>
      <c r="E1" t="s">
        <v>227</v>
      </c>
      <c r="F1" t="s">
        <v>228</v>
      </c>
      <c r="G1" t="s">
        <v>229</v>
      </c>
      <c r="H1" t="s">
        <v>230</v>
      </c>
      <c r="K1" s="403" t="s">
        <v>1127</v>
      </c>
      <c r="L1" s="403"/>
      <c r="M1" s="403"/>
      <c r="N1" s="403"/>
      <c r="O1" s="403"/>
      <c r="P1" s="403"/>
      <c r="Q1" s="403"/>
    </row>
    <row r="2" spans="1:17">
      <c r="A2" t="str">
        <f>M2</f>
        <v>Scottie Scheffler</v>
      </c>
      <c r="B2">
        <f>K2</f>
        <v>1</v>
      </c>
      <c r="C2">
        <f>L2</f>
        <v>1</v>
      </c>
      <c r="D2">
        <f>N2</f>
        <v>9</v>
      </c>
      <c r="E2">
        <f>O2</f>
        <v>3215</v>
      </c>
      <c r="F2" t="str">
        <f>P2</f>
        <v>-</v>
      </c>
      <c r="G2">
        <f>Q2</f>
        <v>0</v>
      </c>
      <c r="H2">
        <f>R2</f>
        <v>0</v>
      </c>
      <c r="K2">
        <v>1</v>
      </c>
      <c r="L2">
        <v>1</v>
      </c>
      <c r="M2" t="s">
        <v>35</v>
      </c>
      <c r="N2">
        <v>9</v>
      </c>
      <c r="O2" s="3">
        <v>3215</v>
      </c>
      <c r="P2" s="3" t="s">
        <v>218</v>
      </c>
    </row>
    <row r="3" spans="1:17">
      <c r="A3" t="str">
        <f>M3</f>
        <v>Wyndham Clark</v>
      </c>
      <c r="B3">
        <f t="shared" ref="B3:B66" si="0">K3</f>
        <v>2</v>
      </c>
      <c r="C3">
        <f t="shared" ref="C3:C66" si="1">L3</f>
        <v>2</v>
      </c>
      <c r="D3">
        <f t="shared" ref="D3:D66" si="2">N3</f>
        <v>9</v>
      </c>
      <c r="E3">
        <f t="shared" ref="E3:E66" si="3">O3</f>
        <v>1555</v>
      </c>
      <c r="F3">
        <f t="shared" ref="F3:F66" si="4">P3</f>
        <v>1660</v>
      </c>
      <c r="G3">
        <f t="shared" ref="G3:G66" si="5">Q3</f>
        <v>0</v>
      </c>
      <c r="H3">
        <f t="shared" ref="H3:H66" si="6">R3</f>
        <v>0</v>
      </c>
      <c r="K3">
        <v>2</v>
      </c>
      <c r="L3">
        <v>2</v>
      </c>
      <c r="M3" t="s">
        <v>18</v>
      </c>
      <c r="N3">
        <v>9</v>
      </c>
      <c r="O3" s="3">
        <v>1555</v>
      </c>
      <c r="P3" s="3">
        <v>1660</v>
      </c>
      <c r="Q3" s="3"/>
    </row>
    <row r="4" spans="1:17">
      <c r="A4" t="str">
        <f t="shared" ref="A4:A66" si="7">M4</f>
        <v>Xander Schauffele</v>
      </c>
      <c r="B4">
        <f t="shared" si="0"/>
        <v>3</v>
      </c>
      <c r="C4">
        <f t="shared" si="1"/>
        <v>4</v>
      </c>
      <c r="D4">
        <f t="shared" si="2"/>
        <v>9</v>
      </c>
      <c r="E4">
        <f t="shared" si="3"/>
        <v>1442</v>
      </c>
      <c r="F4">
        <f t="shared" si="4"/>
        <v>1773</v>
      </c>
      <c r="G4">
        <f t="shared" si="5"/>
        <v>0</v>
      </c>
      <c r="H4">
        <f t="shared" si="6"/>
        <v>0</v>
      </c>
      <c r="K4">
        <v>3</v>
      </c>
      <c r="L4">
        <v>4</v>
      </c>
      <c r="M4" t="s">
        <v>73</v>
      </c>
      <c r="N4">
        <v>9</v>
      </c>
      <c r="O4" s="3">
        <v>1442</v>
      </c>
      <c r="P4" s="3">
        <v>1773</v>
      </c>
      <c r="Q4" s="3"/>
    </row>
    <row r="5" spans="1:17">
      <c r="A5" t="str">
        <f t="shared" si="7"/>
        <v>Ludvig Åberg</v>
      </c>
      <c r="B5">
        <f t="shared" si="0"/>
        <v>4</v>
      </c>
      <c r="C5">
        <f t="shared" si="1"/>
        <v>8</v>
      </c>
      <c r="D5">
        <f t="shared" si="2"/>
        <v>9</v>
      </c>
      <c r="E5">
        <f t="shared" si="3"/>
        <v>1340</v>
      </c>
      <c r="F5">
        <f t="shared" si="4"/>
        <v>1875</v>
      </c>
      <c r="G5">
        <f t="shared" si="5"/>
        <v>0</v>
      </c>
      <c r="H5">
        <f t="shared" si="6"/>
        <v>0</v>
      </c>
      <c r="K5">
        <v>4</v>
      </c>
      <c r="L5">
        <v>8</v>
      </c>
      <c r="M5" t="s">
        <v>439</v>
      </c>
      <c r="N5">
        <v>9</v>
      </c>
      <c r="O5" s="3">
        <v>1340</v>
      </c>
      <c r="P5" s="3">
        <v>1875</v>
      </c>
      <c r="Q5" s="3"/>
    </row>
    <row r="6" spans="1:17">
      <c r="A6" t="str">
        <f t="shared" si="7"/>
        <v>Hideki Matsuyama</v>
      </c>
      <c r="B6">
        <f t="shared" si="0"/>
        <v>5</v>
      </c>
      <c r="C6">
        <f t="shared" si="1"/>
        <v>3</v>
      </c>
      <c r="D6">
        <f t="shared" si="2"/>
        <v>10</v>
      </c>
      <c r="E6">
        <f t="shared" si="3"/>
        <v>1325</v>
      </c>
      <c r="F6">
        <f t="shared" si="4"/>
        <v>1890</v>
      </c>
      <c r="G6">
        <f t="shared" si="5"/>
        <v>0</v>
      </c>
      <c r="H6">
        <f t="shared" si="6"/>
        <v>0</v>
      </c>
      <c r="K6">
        <v>5</v>
      </c>
      <c r="L6">
        <v>3</v>
      </c>
      <c r="M6" t="s">
        <v>129</v>
      </c>
      <c r="N6">
        <v>10</v>
      </c>
      <c r="O6" s="3">
        <v>1325</v>
      </c>
      <c r="P6" s="3">
        <v>1890</v>
      </c>
      <c r="Q6" s="3"/>
    </row>
    <row r="7" spans="1:17">
      <c r="A7" t="str">
        <f t="shared" si="7"/>
        <v>Matthieu Pavon</v>
      </c>
      <c r="B7">
        <f t="shared" si="0"/>
        <v>6</v>
      </c>
      <c r="C7">
        <f t="shared" si="1"/>
        <v>6</v>
      </c>
      <c r="D7">
        <f t="shared" si="2"/>
        <v>8</v>
      </c>
      <c r="E7">
        <f t="shared" si="3"/>
        <v>1127</v>
      </c>
      <c r="F7">
        <f t="shared" si="4"/>
        <v>2088</v>
      </c>
      <c r="G7">
        <f t="shared" si="5"/>
        <v>0</v>
      </c>
      <c r="H7">
        <f t="shared" si="6"/>
        <v>0</v>
      </c>
      <c r="K7">
        <v>6</v>
      </c>
      <c r="L7">
        <v>6</v>
      </c>
      <c r="M7" t="s">
        <v>487</v>
      </c>
      <c r="N7">
        <v>8</v>
      </c>
      <c r="O7" s="3">
        <v>1127</v>
      </c>
      <c r="P7" s="3">
        <v>2088</v>
      </c>
      <c r="Q7" s="3"/>
    </row>
    <row r="8" spans="1:17">
      <c r="A8" t="str">
        <f t="shared" si="7"/>
        <v>Sahith Theegala</v>
      </c>
      <c r="B8">
        <f t="shared" si="0"/>
        <v>7</v>
      </c>
      <c r="C8">
        <f t="shared" si="1"/>
        <v>5</v>
      </c>
      <c r="D8">
        <f t="shared" si="2"/>
        <v>10</v>
      </c>
      <c r="E8">
        <f t="shared" si="3"/>
        <v>1118</v>
      </c>
      <c r="F8">
        <f t="shared" si="4"/>
        <v>2097</v>
      </c>
      <c r="G8">
        <f t="shared" si="5"/>
        <v>0</v>
      </c>
      <c r="H8">
        <f t="shared" si="6"/>
        <v>0</v>
      </c>
      <c r="K8">
        <v>7</v>
      </c>
      <c r="L8">
        <v>5</v>
      </c>
      <c r="M8" t="s">
        <v>64</v>
      </c>
      <c r="N8">
        <v>10</v>
      </c>
      <c r="O8" s="3">
        <v>1118</v>
      </c>
      <c r="P8" s="3">
        <v>2097</v>
      </c>
      <c r="Q8" s="3"/>
    </row>
    <row r="9" spans="1:17">
      <c r="A9" t="str">
        <f t="shared" si="7"/>
        <v>Byeong Hun An</v>
      </c>
      <c r="B9">
        <f t="shared" si="0"/>
        <v>8</v>
      </c>
      <c r="C9">
        <f t="shared" si="1"/>
        <v>7</v>
      </c>
      <c r="D9">
        <f t="shared" si="2"/>
        <v>10</v>
      </c>
      <c r="E9">
        <f t="shared" si="3"/>
        <v>1060</v>
      </c>
      <c r="F9">
        <f t="shared" si="4"/>
        <v>2155</v>
      </c>
      <c r="G9">
        <f t="shared" si="5"/>
        <v>0</v>
      </c>
      <c r="H9">
        <f t="shared" si="6"/>
        <v>0</v>
      </c>
      <c r="K9">
        <v>8</v>
      </c>
      <c r="L9">
        <v>7</v>
      </c>
      <c r="M9" t="s">
        <v>10</v>
      </c>
      <c r="N9">
        <v>10</v>
      </c>
      <c r="O9" s="3">
        <v>1060</v>
      </c>
      <c r="P9" s="3">
        <v>2155</v>
      </c>
      <c r="Q9" s="3"/>
    </row>
    <row r="10" spans="1:17">
      <c r="A10" t="str">
        <f t="shared" si="7"/>
        <v>Chris Kirk</v>
      </c>
      <c r="B10">
        <f t="shared" si="0"/>
        <v>9</v>
      </c>
      <c r="C10">
        <f t="shared" si="1"/>
        <v>9</v>
      </c>
      <c r="D10">
        <f t="shared" si="2"/>
        <v>9</v>
      </c>
      <c r="E10">
        <f t="shared" si="3"/>
        <v>1028</v>
      </c>
      <c r="F10">
        <f t="shared" si="4"/>
        <v>2187</v>
      </c>
      <c r="G10">
        <f t="shared" si="5"/>
        <v>0</v>
      </c>
      <c r="H10">
        <f t="shared" si="6"/>
        <v>0</v>
      </c>
      <c r="K10">
        <v>9</v>
      </c>
      <c r="L10">
        <v>9</v>
      </c>
      <c r="M10" t="s">
        <v>132</v>
      </c>
      <c r="N10">
        <v>9</v>
      </c>
      <c r="O10" s="3">
        <v>1028</v>
      </c>
      <c r="P10" s="3">
        <v>2187</v>
      </c>
      <c r="Q10" s="3"/>
    </row>
    <row r="11" spans="1:17" ht="19.5" customHeight="1">
      <c r="A11" t="str">
        <f t="shared" si="7"/>
        <v>Will Zalatoris</v>
      </c>
      <c r="B11">
        <f t="shared" si="0"/>
        <v>10</v>
      </c>
      <c r="C11">
        <f t="shared" si="1"/>
        <v>16</v>
      </c>
      <c r="D11">
        <f t="shared" si="2"/>
        <v>8</v>
      </c>
      <c r="E11">
        <f t="shared" si="3"/>
        <v>943</v>
      </c>
      <c r="F11">
        <f t="shared" si="4"/>
        <v>2272</v>
      </c>
      <c r="G11">
        <f t="shared" si="5"/>
        <v>0</v>
      </c>
      <c r="H11">
        <f t="shared" si="6"/>
        <v>0</v>
      </c>
      <c r="K11">
        <v>10</v>
      </c>
      <c r="L11">
        <v>16</v>
      </c>
      <c r="M11" t="s">
        <v>233</v>
      </c>
      <c r="N11">
        <v>8</v>
      </c>
      <c r="O11">
        <v>943</v>
      </c>
      <c r="P11" s="3">
        <v>2272</v>
      </c>
      <c r="Q11" s="3"/>
    </row>
    <row r="12" spans="1:17">
      <c r="A12" t="str">
        <f t="shared" si="7"/>
        <v>Stephan Jaeger</v>
      </c>
      <c r="B12">
        <f t="shared" si="0"/>
        <v>11</v>
      </c>
      <c r="C12">
        <f t="shared" si="1"/>
        <v>10</v>
      </c>
      <c r="D12">
        <f t="shared" si="2"/>
        <v>10</v>
      </c>
      <c r="E12">
        <f t="shared" si="3"/>
        <v>862</v>
      </c>
      <c r="F12">
        <f t="shared" si="4"/>
        <v>2353</v>
      </c>
      <c r="G12">
        <f t="shared" si="5"/>
        <v>0</v>
      </c>
      <c r="H12">
        <f t="shared" si="6"/>
        <v>0</v>
      </c>
      <c r="K12">
        <v>11</v>
      </c>
      <c r="L12">
        <v>10</v>
      </c>
      <c r="M12" t="s">
        <v>52</v>
      </c>
      <c r="N12">
        <v>10</v>
      </c>
      <c r="O12">
        <v>862</v>
      </c>
      <c r="P12" s="3">
        <v>2353</v>
      </c>
      <c r="Q12" s="3"/>
    </row>
    <row r="13" spans="1:17">
      <c r="A13" t="str">
        <f t="shared" si="7"/>
        <v>Akshay Bhatia</v>
      </c>
      <c r="B13">
        <f t="shared" si="0"/>
        <v>12</v>
      </c>
      <c r="C13">
        <f t="shared" si="1"/>
        <v>12</v>
      </c>
      <c r="D13">
        <f t="shared" si="2"/>
        <v>11</v>
      </c>
      <c r="E13">
        <f t="shared" si="3"/>
        <v>854</v>
      </c>
      <c r="F13">
        <f t="shared" si="4"/>
        <v>2361</v>
      </c>
      <c r="G13">
        <f t="shared" si="5"/>
        <v>0</v>
      </c>
      <c r="H13">
        <f t="shared" si="6"/>
        <v>0</v>
      </c>
      <c r="K13">
        <v>12</v>
      </c>
      <c r="L13">
        <v>12</v>
      </c>
      <c r="M13" t="s">
        <v>370</v>
      </c>
      <c r="N13">
        <v>11</v>
      </c>
      <c r="O13">
        <v>854</v>
      </c>
      <c r="P13" s="3">
        <v>2361</v>
      </c>
      <c r="Q13" s="3"/>
    </row>
    <row r="14" spans="1:17">
      <c r="A14" t="str">
        <f t="shared" si="7"/>
        <v>Brian Harman</v>
      </c>
      <c r="B14">
        <f t="shared" si="0"/>
        <v>13</v>
      </c>
      <c r="C14">
        <f t="shared" si="1"/>
        <v>11</v>
      </c>
      <c r="D14">
        <f t="shared" si="2"/>
        <v>10</v>
      </c>
      <c r="E14">
        <f t="shared" si="3"/>
        <v>846</v>
      </c>
      <c r="F14">
        <f t="shared" si="4"/>
        <v>2369</v>
      </c>
      <c r="G14">
        <f t="shared" si="5"/>
        <v>0</v>
      </c>
      <c r="H14">
        <f t="shared" si="6"/>
        <v>0</v>
      </c>
      <c r="K14">
        <v>13</v>
      </c>
      <c r="L14">
        <v>11</v>
      </c>
      <c r="M14" t="s">
        <v>154</v>
      </c>
      <c r="N14">
        <v>10</v>
      </c>
      <c r="O14">
        <v>846</v>
      </c>
      <c r="P14" s="3">
        <v>2369</v>
      </c>
      <c r="Q14" s="3"/>
    </row>
    <row r="15" spans="1:17">
      <c r="A15" t="str">
        <f t="shared" si="7"/>
        <v>Max Homa</v>
      </c>
      <c r="B15">
        <f t="shared" si="0"/>
        <v>14</v>
      </c>
      <c r="C15">
        <f t="shared" si="1"/>
        <v>39</v>
      </c>
      <c r="D15">
        <f t="shared" si="2"/>
        <v>9</v>
      </c>
      <c r="E15">
        <f t="shared" si="3"/>
        <v>841</v>
      </c>
      <c r="F15">
        <f t="shared" si="4"/>
        <v>2374</v>
      </c>
      <c r="G15">
        <f t="shared" si="5"/>
        <v>0</v>
      </c>
      <c r="H15">
        <f t="shared" si="6"/>
        <v>0</v>
      </c>
      <c r="K15">
        <v>14</v>
      </c>
      <c r="L15">
        <v>39</v>
      </c>
      <c r="M15" t="s">
        <v>66</v>
      </c>
      <c r="N15">
        <v>9</v>
      </c>
      <c r="O15">
        <v>841</v>
      </c>
      <c r="P15" s="3">
        <v>2374</v>
      </c>
      <c r="Q15" s="3"/>
    </row>
    <row r="16" spans="1:17">
      <c r="A16" t="str">
        <f t="shared" si="7"/>
        <v>Cameron Young</v>
      </c>
      <c r="B16">
        <f t="shared" si="0"/>
        <v>15</v>
      </c>
      <c r="C16">
        <f t="shared" si="1"/>
        <v>23</v>
      </c>
      <c r="D16">
        <f t="shared" si="2"/>
        <v>9</v>
      </c>
      <c r="E16">
        <f t="shared" si="3"/>
        <v>840</v>
      </c>
      <c r="F16">
        <f t="shared" si="4"/>
        <v>2375</v>
      </c>
      <c r="G16">
        <f t="shared" si="5"/>
        <v>0</v>
      </c>
      <c r="H16">
        <f t="shared" si="6"/>
        <v>0</v>
      </c>
      <c r="K16">
        <v>15</v>
      </c>
      <c r="L16">
        <v>23</v>
      </c>
      <c r="M16" t="s">
        <v>9</v>
      </c>
      <c r="N16">
        <v>9</v>
      </c>
      <c r="O16">
        <v>840</v>
      </c>
      <c r="P16" s="3">
        <v>2375</v>
      </c>
      <c r="Q16" s="3"/>
    </row>
    <row r="17" spans="1:9991">
      <c r="A17" t="str">
        <f t="shared" si="7"/>
        <v>Nick Taylor</v>
      </c>
      <c r="B17">
        <f t="shared" si="0"/>
        <v>16</v>
      </c>
      <c r="C17">
        <f t="shared" si="1"/>
        <v>13</v>
      </c>
      <c r="D17">
        <f t="shared" si="2"/>
        <v>10</v>
      </c>
      <c r="E17">
        <f t="shared" si="3"/>
        <v>818</v>
      </c>
      <c r="F17">
        <f t="shared" si="4"/>
        <v>2397</v>
      </c>
      <c r="G17">
        <f t="shared" si="5"/>
        <v>0</v>
      </c>
      <c r="H17">
        <f t="shared" si="6"/>
        <v>0</v>
      </c>
      <c r="K17">
        <v>16</v>
      </c>
      <c r="L17">
        <v>13</v>
      </c>
      <c r="M17" t="s">
        <v>158</v>
      </c>
      <c r="N17">
        <v>10</v>
      </c>
      <c r="O17">
        <v>818</v>
      </c>
      <c r="P17" s="3">
        <v>2397</v>
      </c>
      <c r="Q17" s="3"/>
    </row>
    <row r="18" spans="1:9991">
      <c r="A18" t="str">
        <f t="shared" si="7"/>
        <v>Jake Knapp</v>
      </c>
      <c r="B18">
        <f t="shared" si="0"/>
        <v>17</v>
      </c>
      <c r="C18">
        <f t="shared" si="1"/>
        <v>15</v>
      </c>
      <c r="D18">
        <f t="shared" si="2"/>
        <v>10</v>
      </c>
      <c r="E18">
        <f t="shared" si="3"/>
        <v>809</v>
      </c>
      <c r="F18">
        <f t="shared" si="4"/>
        <v>2406</v>
      </c>
      <c r="G18">
        <f t="shared" si="5"/>
        <v>0</v>
      </c>
      <c r="H18">
        <f t="shared" si="6"/>
        <v>0</v>
      </c>
      <c r="K18">
        <v>17</v>
      </c>
      <c r="L18">
        <v>15</v>
      </c>
      <c r="M18" t="s">
        <v>492</v>
      </c>
      <c r="N18">
        <v>10</v>
      </c>
      <c r="O18">
        <v>809</v>
      </c>
      <c r="P18" s="3">
        <v>2406</v>
      </c>
      <c r="Q18" s="3"/>
    </row>
    <row r="19" spans="1:9991">
      <c r="A19" t="str">
        <f t="shared" si="7"/>
        <v>Tom Hoge</v>
      </c>
      <c r="B19">
        <f t="shared" si="0"/>
        <v>18</v>
      </c>
      <c r="C19">
        <f t="shared" si="1"/>
        <v>14</v>
      </c>
      <c r="D19">
        <f t="shared" si="2"/>
        <v>11</v>
      </c>
      <c r="E19">
        <f t="shared" si="3"/>
        <v>807</v>
      </c>
      <c r="F19">
        <f t="shared" si="4"/>
        <v>2408</v>
      </c>
      <c r="G19">
        <f t="shared" si="5"/>
        <v>0</v>
      </c>
      <c r="H19">
        <f t="shared" si="6"/>
        <v>0</v>
      </c>
      <c r="K19">
        <v>18</v>
      </c>
      <c r="L19">
        <v>14</v>
      </c>
      <c r="M19" t="s">
        <v>139</v>
      </c>
      <c r="N19">
        <v>11</v>
      </c>
      <c r="O19">
        <v>807</v>
      </c>
      <c r="P19" s="3">
        <v>2408</v>
      </c>
      <c r="Q19" s="3"/>
    </row>
    <row r="20" spans="1:9991">
      <c r="A20" t="str">
        <f t="shared" si="7"/>
        <v>Collin Morikawa</v>
      </c>
      <c r="B20">
        <f t="shared" si="0"/>
        <v>19</v>
      </c>
      <c r="C20">
        <f t="shared" si="1"/>
        <v>43</v>
      </c>
      <c r="D20">
        <f t="shared" si="2"/>
        <v>8</v>
      </c>
      <c r="E20">
        <f t="shared" si="3"/>
        <v>805</v>
      </c>
      <c r="F20">
        <f t="shared" si="4"/>
        <v>2410</v>
      </c>
      <c r="G20">
        <f t="shared" si="5"/>
        <v>0</v>
      </c>
      <c r="H20">
        <f t="shared" si="6"/>
        <v>0</v>
      </c>
      <c r="K20">
        <v>19</v>
      </c>
      <c r="L20">
        <v>43</v>
      </c>
      <c r="M20" t="s">
        <v>135</v>
      </c>
      <c r="N20">
        <v>8</v>
      </c>
      <c r="O20">
        <v>805</v>
      </c>
      <c r="P20" s="3">
        <v>2410</v>
      </c>
      <c r="Q20" s="3"/>
    </row>
    <row r="21" spans="1:9991">
      <c r="A21" t="str">
        <f t="shared" si="7"/>
        <v>Harris English</v>
      </c>
      <c r="B21">
        <f t="shared" si="0"/>
        <v>20</v>
      </c>
      <c r="C21">
        <f t="shared" si="1"/>
        <v>22</v>
      </c>
      <c r="D21">
        <f t="shared" si="2"/>
        <v>10</v>
      </c>
      <c r="E21">
        <f t="shared" si="3"/>
        <v>739</v>
      </c>
      <c r="F21">
        <f t="shared" si="4"/>
        <v>2476</v>
      </c>
      <c r="G21">
        <f t="shared" si="5"/>
        <v>0</v>
      </c>
      <c r="H21">
        <f t="shared" si="6"/>
        <v>0</v>
      </c>
      <c r="K21">
        <v>20</v>
      </c>
      <c r="L21">
        <v>22</v>
      </c>
      <c r="M21" t="s">
        <v>125</v>
      </c>
      <c r="N21">
        <v>10</v>
      </c>
      <c r="O21">
        <v>739</v>
      </c>
      <c r="P21" s="3">
        <v>2476</v>
      </c>
      <c r="Q21" s="3"/>
    </row>
    <row r="22" spans="1:9991">
      <c r="A22" t="str">
        <f t="shared" si="7"/>
        <v>Christiaan Bezuidenhout</v>
      </c>
      <c r="B22">
        <f t="shared" si="0"/>
        <v>21</v>
      </c>
      <c r="C22">
        <f t="shared" si="1"/>
        <v>17</v>
      </c>
      <c r="D22">
        <f t="shared" si="2"/>
        <v>10</v>
      </c>
      <c r="E22">
        <f t="shared" si="3"/>
        <v>735</v>
      </c>
      <c r="F22">
        <f t="shared" si="4"/>
        <v>2480</v>
      </c>
      <c r="G22">
        <f t="shared" si="5"/>
        <v>0</v>
      </c>
      <c r="H22">
        <f t="shared" si="6"/>
        <v>0</v>
      </c>
      <c r="K22">
        <v>21</v>
      </c>
      <c r="L22">
        <v>17</v>
      </c>
      <c r="M22" t="s">
        <v>165</v>
      </c>
      <c r="N22">
        <v>10</v>
      </c>
      <c r="O22">
        <v>735</v>
      </c>
      <c r="P22" s="3">
        <v>2480</v>
      </c>
      <c r="Q22" s="3"/>
    </row>
    <row r="23" spans="1:9991">
      <c r="A23" t="str">
        <f t="shared" si="7"/>
        <v>J.T. Poston</v>
      </c>
      <c r="B23">
        <f t="shared" si="0"/>
        <v>22</v>
      </c>
      <c r="C23">
        <f t="shared" si="1"/>
        <v>19</v>
      </c>
      <c r="D23">
        <f t="shared" si="2"/>
        <v>10</v>
      </c>
      <c r="E23">
        <f t="shared" si="3"/>
        <v>721</v>
      </c>
      <c r="F23">
        <f t="shared" si="4"/>
        <v>2494</v>
      </c>
      <c r="G23">
        <f t="shared" si="5"/>
        <v>0</v>
      </c>
      <c r="H23">
        <f t="shared" si="6"/>
        <v>0</v>
      </c>
      <c r="K23">
        <v>22</v>
      </c>
      <c r="L23">
        <v>19</v>
      </c>
      <c r="M23" t="s">
        <v>126</v>
      </c>
      <c r="N23">
        <v>10</v>
      </c>
      <c r="O23">
        <v>721</v>
      </c>
      <c r="P23" s="3">
        <v>2494</v>
      </c>
      <c r="Q23" s="3"/>
      <c r="AB23" s="35"/>
      <c r="AC23" s="35"/>
      <c r="AD23" s="35"/>
      <c r="AE23" s="35"/>
      <c r="AF23" s="35"/>
      <c r="AG23" s="35"/>
      <c r="AH23" s="35"/>
      <c r="AI23" s="35"/>
      <c r="AJ23" s="35"/>
      <c r="AK23" s="35"/>
      <c r="AL23" s="35"/>
      <c r="AM23" s="35"/>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5"/>
      <c r="BL23" s="35"/>
      <c r="BM23" s="35"/>
      <c r="BN23" s="35"/>
      <c r="BO23" s="35"/>
      <c r="BP23" s="35"/>
      <c r="BQ23" s="35"/>
      <c r="BR23" s="35"/>
      <c r="BS23" s="35"/>
      <c r="BT23" s="35"/>
      <c r="BU23" s="35"/>
      <c r="BV23" s="35"/>
      <c r="BW23" s="35"/>
      <c r="BX23" s="35"/>
      <c r="BY23" s="35"/>
      <c r="BZ23" s="35"/>
      <c r="CA23" s="35"/>
      <c r="CB23" s="35"/>
      <c r="CC23" s="35"/>
      <c r="CD23" s="35"/>
      <c r="CE23" s="35"/>
      <c r="CF23" s="35"/>
      <c r="CG23" s="35"/>
      <c r="CH23" s="35"/>
      <c r="CI23" s="35"/>
      <c r="CJ23" s="35"/>
      <c r="CK23" s="35"/>
      <c r="CL23" s="35"/>
      <c r="CM23" s="35"/>
      <c r="CN23" s="35"/>
      <c r="CO23" s="35"/>
      <c r="CP23" s="35"/>
      <c r="CQ23" s="35"/>
      <c r="CR23" s="35"/>
      <c r="CS23" s="35"/>
      <c r="CT23" s="35"/>
      <c r="CU23" s="35"/>
      <c r="CV23" s="35"/>
      <c r="CW23" s="35"/>
      <c r="CX23" s="35"/>
      <c r="CY23" s="35"/>
      <c r="CZ23" s="35"/>
      <c r="DA23" s="35"/>
      <c r="DB23" s="35"/>
      <c r="DC23" s="35"/>
      <c r="DD23" s="35"/>
      <c r="DE23" s="35"/>
      <c r="DF23" s="35"/>
      <c r="DG23" s="35"/>
      <c r="DH23" s="35"/>
      <c r="DI23" s="35"/>
      <c r="DJ23" s="35"/>
      <c r="DK23" s="35"/>
      <c r="DL23" s="35"/>
      <c r="DM23" s="35"/>
      <c r="DN23" s="35"/>
      <c r="DO23" s="35"/>
      <c r="DP23" s="35"/>
      <c r="DQ23" s="35"/>
      <c r="DR23" s="35"/>
      <c r="DS23" s="35"/>
      <c r="DT23" s="35"/>
      <c r="DU23" s="35"/>
      <c r="DV23" s="35"/>
      <c r="DW23" s="35"/>
      <c r="DX23" s="35"/>
      <c r="DY23" s="35"/>
      <c r="DZ23" s="35"/>
      <c r="EA23" s="35"/>
      <c r="EB23" s="35"/>
      <c r="EC23" s="35"/>
      <c r="ED23" s="35"/>
      <c r="EE23" s="35"/>
      <c r="EF23" s="35"/>
      <c r="EG23" s="35"/>
      <c r="EH23" s="35"/>
      <c r="EI23" s="35"/>
      <c r="EJ23" s="35"/>
      <c r="EK23" s="35"/>
      <c r="EL23" s="35"/>
      <c r="EM23" s="35"/>
      <c r="EN23" s="35"/>
      <c r="EO23" s="35"/>
      <c r="EP23" s="35"/>
      <c r="EQ23" s="35"/>
      <c r="ER23" s="35"/>
      <c r="ES23" s="35"/>
      <c r="ET23" s="35"/>
      <c r="EU23" s="35"/>
      <c r="EV23" s="35"/>
      <c r="EW23" s="35"/>
      <c r="EX23" s="35"/>
      <c r="EY23" s="35"/>
      <c r="EZ23" s="35"/>
      <c r="FA23" s="35"/>
      <c r="FB23" s="35"/>
      <c r="FC23" s="35"/>
      <c r="FD23" s="35"/>
      <c r="FE23" s="35"/>
      <c r="FF23" s="35"/>
      <c r="FG23" s="35"/>
      <c r="FH23" s="35"/>
      <c r="FI23" s="35"/>
      <c r="FJ23" s="35"/>
      <c r="FK23" s="35"/>
      <c r="FL23" s="35"/>
      <c r="FM23" s="35"/>
      <c r="FN23" s="35"/>
      <c r="FO23" s="35"/>
      <c r="FP23" s="35"/>
      <c r="FQ23" s="35"/>
      <c r="FR23" s="35"/>
      <c r="FS23" s="35"/>
      <c r="FT23" s="35"/>
      <c r="FU23" s="35"/>
      <c r="FV23" s="35"/>
      <c r="FW23" s="35"/>
      <c r="FX23" s="35"/>
      <c r="FY23" s="35"/>
      <c r="FZ23" s="35"/>
      <c r="GA23" s="35"/>
      <c r="GB23" s="35"/>
      <c r="GC23" s="35"/>
      <c r="GD23" s="35"/>
      <c r="GE23" s="35"/>
      <c r="GF23" s="35"/>
      <c r="GG23" s="35"/>
      <c r="GH23" s="35"/>
      <c r="GI23" s="35"/>
      <c r="GJ23" s="35"/>
      <c r="GK23" s="35"/>
      <c r="GL23" s="35"/>
      <c r="GM23" s="35"/>
      <c r="GN23" s="35"/>
      <c r="GO23" s="35"/>
      <c r="GP23" s="35"/>
      <c r="GQ23" s="35"/>
      <c r="GR23" s="35"/>
      <c r="GS23" s="35"/>
      <c r="GT23" s="35"/>
      <c r="GU23" s="35"/>
      <c r="GV23" s="35"/>
      <c r="GW23" s="35"/>
      <c r="GX23" s="35"/>
      <c r="GY23" s="35"/>
      <c r="GZ23" s="35"/>
      <c r="HA23" s="35"/>
      <c r="HB23" s="35"/>
      <c r="HC23" s="35"/>
      <c r="HD23" s="35"/>
      <c r="HE23" s="35"/>
      <c r="HF23" s="35"/>
      <c r="HG23" s="35"/>
      <c r="HH23" s="35"/>
      <c r="HI23" s="35"/>
      <c r="HJ23" s="35"/>
      <c r="HK23" s="35"/>
      <c r="HL23" s="35"/>
      <c r="HM23" s="35"/>
      <c r="HN23" s="35"/>
      <c r="HO23" s="35"/>
      <c r="HP23" s="35"/>
      <c r="HQ23" s="35"/>
      <c r="HR23" s="35"/>
      <c r="HS23" s="35"/>
      <c r="HT23" s="35"/>
      <c r="HU23" s="35"/>
      <c r="HV23" s="35"/>
      <c r="HW23" s="35"/>
      <c r="HX23" s="35"/>
      <c r="HY23" s="35"/>
      <c r="HZ23" s="35"/>
      <c r="IA23" s="35"/>
      <c r="IB23" s="35"/>
      <c r="IC23" s="35"/>
      <c r="ID23" s="35"/>
      <c r="IE23" s="35"/>
      <c r="IF23" s="35"/>
      <c r="IG23" s="35"/>
      <c r="IH23" s="35"/>
      <c r="II23" s="35"/>
      <c r="IJ23" s="35"/>
      <c r="IK23" s="35"/>
      <c r="IL23" s="35"/>
      <c r="IM23" s="35"/>
      <c r="IN23" s="35"/>
      <c r="IO23" s="35"/>
      <c r="IP23" s="35"/>
      <c r="IQ23" s="35"/>
      <c r="IR23" s="35"/>
      <c r="IS23" s="35"/>
      <c r="IT23" s="35"/>
      <c r="IU23" s="35"/>
      <c r="IV23" s="35"/>
      <c r="IW23" s="35"/>
      <c r="IX23" s="35"/>
      <c r="IY23" s="35"/>
      <c r="IZ23" s="35"/>
      <c r="JA23" s="35"/>
      <c r="JB23" s="35"/>
      <c r="JC23" s="35"/>
      <c r="JD23" s="35"/>
      <c r="JE23" s="35"/>
      <c r="JF23" s="35"/>
      <c r="JG23" s="35"/>
      <c r="JH23" s="35"/>
      <c r="JI23" s="35"/>
      <c r="JJ23" s="35"/>
      <c r="JK23" s="35"/>
      <c r="JL23" s="35"/>
      <c r="JM23" s="35"/>
      <c r="JN23" s="35"/>
      <c r="JO23" s="35"/>
      <c r="JP23" s="35"/>
      <c r="JQ23" s="35"/>
      <c r="JR23" s="35"/>
      <c r="JS23" s="35"/>
      <c r="JT23" s="35"/>
      <c r="JU23" s="35"/>
      <c r="JV23" s="35"/>
      <c r="JW23" s="35"/>
      <c r="JX23" s="35"/>
      <c r="JY23" s="35"/>
      <c r="JZ23" s="35"/>
      <c r="KA23" s="35"/>
      <c r="KB23" s="35"/>
      <c r="KC23" s="35"/>
      <c r="KD23" s="35"/>
      <c r="KE23" s="35"/>
      <c r="KF23" s="35"/>
      <c r="KG23" s="35"/>
      <c r="KH23" s="35"/>
      <c r="KI23" s="35"/>
      <c r="KJ23" s="35"/>
      <c r="KK23" s="35"/>
      <c r="KL23" s="35"/>
      <c r="KM23" s="35"/>
      <c r="KN23" s="35"/>
      <c r="KO23" s="35"/>
      <c r="KP23" s="35"/>
      <c r="KQ23" s="35"/>
      <c r="KR23" s="35"/>
      <c r="KS23" s="35"/>
      <c r="KT23" s="35"/>
      <c r="KU23" s="35"/>
      <c r="KV23" s="35"/>
      <c r="KW23" s="35"/>
      <c r="KX23" s="35"/>
      <c r="KY23" s="35"/>
      <c r="KZ23" s="35"/>
      <c r="LA23" s="35"/>
      <c r="LB23" s="35"/>
      <c r="LC23" s="35"/>
      <c r="LD23" s="35"/>
      <c r="LE23" s="35"/>
      <c r="LF23" s="35"/>
      <c r="LG23" s="35"/>
      <c r="LH23" s="35"/>
      <c r="LI23" s="35"/>
      <c r="LJ23" s="35"/>
      <c r="LK23" s="35"/>
      <c r="LL23" s="35"/>
      <c r="LM23" s="35"/>
      <c r="LN23" s="35"/>
      <c r="LO23" s="35"/>
      <c r="LP23" s="35"/>
      <c r="LQ23" s="35"/>
      <c r="LR23" s="35"/>
      <c r="LS23" s="35"/>
      <c r="LT23" s="35"/>
      <c r="LU23" s="35"/>
      <c r="LV23" s="35"/>
      <c r="LW23" s="35"/>
      <c r="LX23" s="35"/>
      <c r="LY23" s="35"/>
      <c r="LZ23" s="35"/>
      <c r="MA23" s="35"/>
      <c r="MB23" s="35"/>
      <c r="MC23" s="35"/>
      <c r="MD23" s="35"/>
      <c r="ME23" s="35"/>
      <c r="MF23" s="35"/>
      <c r="MG23" s="35"/>
      <c r="MH23" s="35"/>
      <c r="MI23" s="35"/>
      <c r="MJ23" s="35"/>
      <c r="MK23" s="35"/>
      <c r="ML23" s="35"/>
      <c r="MM23" s="35"/>
      <c r="MN23" s="35"/>
      <c r="MO23" s="35"/>
      <c r="MP23" s="35"/>
      <c r="MQ23" s="35"/>
      <c r="MR23" s="35"/>
      <c r="MS23" s="35"/>
      <c r="MT23" s="35"/>
      <c r="MU23" s="35"/>
      <c r="MV23" s="35"/>
      <c r="MW23" s="35"/>
      <c r="MX23" s="35"/>
      <c r="MY23" s="35"/>
      <c r="MZ23" s="35"/>
      <c r="NA23" s="35"/>
      <c r="NB23" s="35"/>
      <c r="NC23" s="35"/>
      <c r="ND23" s="35"/>
      <c r="NE23" s="35"/>
      <c r="NF23" s="35"/>
      <c r="NG23" s="35"/>
      <c r="NH23" s="35"/>
      <c r="NI23" s="35"/>
      <c r="NJ23" s="35"/>
      <c r="NK23" s="35"/>
      <c r="NL23" s="35"/>
      <c r="NM23" s="35"/>
      <c r="NN23" s="35"/>
      <c r="NO23" s="35"/>
      <c r="NP23" s="35"/>
      <c r="NQ23" s="35"/>
      <c r="NR23" s="35"/>
      <c r="NS23" s="35"/>
      <c r="NT23" s="35"/>
      <c r="NU23" s="35"/>
      <c r="NV23" s="35"/>
      <c r="NW23" s="35"/>
      <c r="NX23" s="35"/>
      <c r="NY23" s="35"/>
      <c r="NZ23" s="35"/>
      <c r="OA23" s="35"/>
      <c r="OB23" s="35"/>
      <c r="OC23" s="35"/>
      <c r="OD23" s="35"/>
      <c r="OE23" s="35"/>
      <c r="OF23" s="35"/>
      <c r="OG23" s="35"/>
      <c r="OH23" s="35"/>
      <c r="OI23" s="35"/>
      <c r="OJ23" s="35"/>
      <c r="OK23" s="35"/>
      <c r="OL23" s="35"/>
      <c r="OM23" s="35"/>
      <c r="ON23" s="35"/>
      <c r="OO23" s="35"/>
      <c r="OP23" s="35"/>
      <c r="OQ23" s="35"/>
      <c r="OR23" s="35"/>
      <c r="OS23" s="35"/>
      <c r="OT23" s="35"/>
      <c r="OU23" s="35"/>
      <c r="OV23" s="35"/>
      <c r="OW23" s="35"/>
      <c r="OX23" s="35"/>
      <c r="OY23" s="35"/>
      <c r="OZ23" s="35"/>
      <c r="PA23" s="35"/>
      <c r="PB23" s="35"/>
      <c r="PC23" s="35"/>
      <c r="PD23" s="35"/>
      <c r="PE23" s="35"/>
      <c r="PF23" s="35"/>
      <c r="PG23" s="35"/>
      <c r="PH23" s="35"/>
      <c r="PI23" s="35"/>
      <c r="PJ23" s="35"/>
      <c r="PK23" s="35"/>
      <c r="PL23" s="35"/>
      <c r="PM23" s="35"/>
      <c r="PN23" s="35"/>
      <c r="PO23" s="35"/>
      <c r="PP23" s="35"/>
      <c r="PQ23" s="35"/>
      <c r="PR23" s="35"/>
      <c r="PS23" s="35"/>
      <c r="PT23" s="35"/>
      <c r="PU23" s="35"/>
      <c r="PV23" s="35"/>
      <c r="PW23" s="35"/>
      <c r="PX23" s="35"/>
      <c r="PY23" s="35"/>
      <c r="PZ23" s="35"/>
      <c r="QA23" s="35"/>
      <c r="QB23" s="35"/>
      <c r="QC23" s="35"/>
      <c r="QD23" s="35"/>
      <c r="QE23" s="35"/>
      <c r="QF23" s="35"/>
      <c r="QG23" s="35"/>
      <c r="QH23" s="35"/>
      <c r="QI23" s="35"/>
      <c r="QJ23" s="35"/>
      <c r="QK23" s="35"/>
      <c r="QL23" s="35"/>
      <c r="QM23" s="35"/>
      <c r="QN23" s="35"/>
      <c r="QO23" s="35"/>
      <c r="QP23" s="35"/>
      <c r="QQ23" s="35"/>
      <c r="QR23" s="35"/>
      <c r="QS23" s="35"/>
      <c r="QT23" s="35"/>
      <c r="QU23" s="35"/>
      <c r="QV23" s="35"/>
      <c r="QW23" s="35"/>
      <c r="QX23" s="35"/>
      <c r="QY23" s="35"/>
      <c r="QZ23" s="35"/>
      <c r="RA23" s="35"/>
      <c r="RB23" s="35"/>
      <c r="RC23" s="35"/>
      <c r="RD23" s="35"/>
      <c r="RE23" s="35"/>
      <c r="RF23" s="35"/>
      <c r="RG23" s="35"/>
      <c r="RH23" s="35"/>
      <c r="RI23" s="35"/>
      <c r="RJ23" s="35"/>
      <c r="RK23" s="35"/>
      <c r="RL23" s="35"/>
      <c r="RM23" s="35"/>
      <c r="RN23" s="35"/>
      <c r="RO23" s="35"/>
      <c r="RP23" s="35"/>
      <c r="RQ23" s="35"/>
      <c r="RR23" s="35"/>
      <c r="RS23" s="35"/>
      <c r="RT23" s="35"/>
      <c r="RU23" s="35"/>
      <c r="RV23" s="35"/>
      <c r="RW23" s="35"/>
      <c r="RX23" s="35"/>
      <c r="RY23" s="35"/>
      <c r="RZ23" s="35"/>
      <c r="SA23" s="35"/>
      <c r="SB23" s="35"/>
      <c r="SC23" s="35"/>
      <c r="SD23" s="35"/>
      <c r="SE23" s="35"/>
      <c r="SF23" s="35"/>
      <c r="SG23" s="35"/>
      <c r="SH23" s="35"/>
      <c r="SI23" s="35"/>
      <c r="SJ23" s="35"/>
      <c r="SK23" s="35"/>
      <c r="SL23" s="35"/>
      <c r="SM23" s="35"/>
      <c r="SN23" s="35"/>
      <c r="SO23" s="35"/>
      <c r="SP23" s="35"/>
      <c r="SQ23" s="35"/>
      <c r="SR23" s="35"/>
      <c r="SS23" s="35"/>
      <c r="ST23" s="35"/>
      <c r="SU23" s="35"/>
      <c r="SV23" s="35"/>
      <c r="SW23" s="35"/>
      <c r="SX23" s="35"/>
      <c r="SY23" s="35"/>
      <c r="SZ23" s="35"/>
      <c r="TA23" s="35"/>
      <c r="TB23" s="35"/>
      <c r="TC23" s="35"/>
      <c r="TD23" s="35"/>
      <c r="TE23" s="35"/>
      <c r="TF23" s="35"/>
      <c r="TG23" s="35"/>
      <c r="TH23" s="35"/>
      <c r="TI23" s="35"/>
      <c r="TJ23" s="35"/>
      <c r="TK23" s="35"/>
      <c r="TL23" s="35"/>
      <c r="TM23" s="35"/>
      <c r="TN23" s="35"/>
      <c r="TO23" s="35"/>
      <c r="TP23" s="35"/>
      <c r="TQ23" s="35"/>
      <c r="TR23" s="35"/>
      <c r="TS23" s="35"/>
      <c r="TT23" s="35"/>
      <c r="TU23" s="35"/>
      <c r="TV23" s="35"/>
      <c r="TW23" s="35"/>
      <c r="TX23" s="35"/>
      <c r="TY23" s="35"/>
      <c r="TZ23" s="35"/>
      <c r="UA23" s="35"/>
      <c r="UB23" s="35"/>
      <c r="UC23" s="35"/>
      <c r="UD23" s="35"/>
      <c r="UE23" s="35"/>
      <c r="UF23" s="35"/>
      <c r="UG23" s="35"/>
      <c r="UH23" s="35"/>
      <c r="UI23" s="35"/>
      <c r="UJ23" s="35"/>
      <c r="UK23" s="35"/>
      <c r="UL23" s="35"/>
      <c r="UM23" s="35"/>
      <c r="UN23" s="35"/>
      <c r="UO23" s="35"/>
      <c r="UP23" s="35"/>
      <c r="UQ23" s="35"/>
      <c r="UR23" s="35"/>
      <c r="US23" s="35"/>
      <c r="UT23" s="35"/>
      <c r="UU23" s="35"/>
      <c r="UV23" s="35"/>
      <c r="UW23" s="35"/>
      <c r="UX23" s="35"/>
      <c r="UY23" s="35"/>
      <c r="UZ23" s="35"/>
      <c r="VA23" s="35"/>
      <c r="VB23" s="35"/>
      <c r="VC23" s="35"/>
      <c r="VD23" s="35"/>
      <c r="VE23" s="35"/>
      <c r="VF23" s="35"/>
      <c r="VG23" s="35"/>
      <c r="VH23" s="35"/>
      <c r="VI23" s="35"/>
      <c r="VJ23" s="35"/>
      <c r="VK23" s="35"/>
      <c r="VL23" s="35"/>
      <c r="VM23" s="35"/>
      <c r="VN23" s="35"/>
      <c r="VO23" s="35"/>
      <c r="VP23" s="35"/>
      <c r="VQ23" s="35"/>
      <c r="VR23" s="35"/>
      <c r="VS23" s="35"/>
      <c r="VT23" s="35"/>
      <c r="VU23" s="35"/>
      <c r="VV23" s="35"/>
      <c r="VW23" s="35"/>
      <c r="VX23" s="35"/>
      <c r="VY23" s="35"/>
      <c r="VZ23" s="35"/>
      <c r="WA23" s="35"/>
      <c r="WB23" s="35"/>
      <c r="WC23" s="35"/>
      <c r="WD23" s="35"/>
      <c r="WE23" s="35"/>
      <c r="WF23" s="35"/>
      <c r="WG23" s="35"/>
      <c r="WH23" s="35"/>
      <c r="WI23" s="35"/>
      <c r="WJ23" s="35"/>
      <c r="WK23" s="35"/>
      <c r="WL23" s="35"/>
      <c r="WM23" s="35"/>
      <c r="WN23" s="35"/>
      <c r="WO23" s="35"/>
      <c r="WP23" s="35"/>
      <c r="WQ23" s="35"/>
      <c r="WR23" s="35"/>
      <c r="WS23" s="35"/>
      <c r="WT23" s="35"/>
      <c r="WU23" s="35"/>
      <c r="WV23" s="35"/>
      <c r="WW23" s="35"/>
      <c r="WX23" s="35"/>
      <c r="WY23" s="35"/>
      <c r="WZ23" s="35"/>
      <c r="XA23" s="35"/>
      <c r="XB23" s="35"/>
      <c r="XC23" s="35"/>
      <c r="XD23" s="35"/>
      <c r="XE23" s="35"/>
      <c r="XF23" s="35"/>
      <c r="XG23" s="35"/>
      <c r="XH23" s="35"/>
      <c r="XI23" s="35"/>
      <c r="XJ23" s="35"/>
      <c r="XK23" s="35"/>
      <c r="XL23" s="35"/>
      <c r="XM23" s="35"/>
      <c r="XN23" s="35"/>
      <c r="XO23" s="35"/>
      <c r="XP23" s="35"/>
      <c r="XQ23" s="35"/>
      <c r="XR23" s="35"/>
      <c r="XS23" s="35"/>
      <c r="XT23" s="35"/>
      <c r="XU23" s="35"/>
      <c r="XV23" s="35"/>
      <c r="XW23" s="35"/>
      <c r="XX23" s="35"/>
      <c r="XY23" s="35"/>
      <c r="XZ23" s="35"/>
      <c r="YA23" s="35"/>
      <c r="YB23" s="35"/>
      <c r="YC23" s="35"/>
      <c r="YD23" s="35"/>
      <c r="YE23" s="35"/>
      <c r="YF23" s="35"/>
      <c r="YG23" s="35"/>
      <c r="YH23" s="35"/>
      <c r="YI23" s="35"/>
      <c r="YJ23" s="35"/>
      <c r="YK23" s="35"/>
      <c r="YL23" s="35"/>
      <c r="YM23" s="35"/>
      <c r="YN23" s="35"/>
      <c r="YO23" s="35"/>
      <c r="YP23" s="35"/>
      <c r="YQ23" s="35"/>
      <c r="YR23" s="35"/>
      <c r="YS23" s="35"/>
      <c r="YT23" s="35"/>
      <c r="YU23" s="35"/>
      <c r="YV23" s="35"/>
      <c r="YW23" s="35"/>
      <c r="YX23" s="35"/>
      <c r="YY23" s="35"/>
      <c r="YZ23" s="35"/>
      <c r="ZA23" s="35"/>
      <c r="ZB23" s="35"/>
      <c r="ZC23" s="35"/>
      <c r="ZD23" s="35"/>
      <c r="ZE23" s="35"/>
      <c r="ZF23" s="35"/>
      <c r="ZG23" s="35"/>
      <c r="ZH23" s="35"/>
      <c r="ZI23" s="35"/>
      <c r="ZJ23" s="35"/>
      <c r="ZK23" s="35"/>
      <c r="ZL23" s="35"/>
      <c r="ZM23" s="35"/>
      <c r="ZN23" s="35"/>
      <c r="ZO23" s="35"/>
      <c r="ZP23" s="35"/>
      <c r="ZQ23" s="35"/>
      <c r="ZR23" s="35"/>
      <c r="ZS23" s="35"/>
      <c r="ZT23" s="35"/>
      <c r="ZU23" s="35"/>
      <c r="ZV23" s="35"/>
      <c r="ZW23" s="35"/>
      <c r="ZX23" s="35"/>
      <c r="ZY23" s="35"/>
      <c r="ZZ23" s="35"/>
      <c r="AAA23" s="35"/>
      <c r="AAB23" s="35"/>
      <c r="AAC23" s="35"/>
      <c r="AAD23" s="35"/>
      <c r="AAE23" s="35"/>
      <c r="AAF23" s="35"/>
      <c r="AAG23" s="35"/>
      <c r="AAH23" s="35"/>
      <c r="AAI23" s="35"/>
      <c r="AAJ23" s="35"/>
      <c r="AAK23" s="35"/>
      <c r="AAL23" s="35"/>
      <c r="AAM23" s="35"/>
      <c r="AAN23" s="35"/>
      <c r="AAO23" s="35"/>
      <c r="AAP23" s="35"/>
      <c r="AAQ23" s="35"/>
      <c r="AAR23" s="35"/>
      <c r="AAS23" s="35"/>
      <c r="AAT23" s="35"/>
      <c r="AAU23" s="35"/>
      <c r="AAV23" s="35"/>
      <c r="AAW23" s="35"/>
      <c r="AAX23" s="35"/>
      <c r="AAY23" s="35"/>
      <c r="AAZ23" s="35"/>
      <c r="ABA23" s="35"/>
      <c r="ABB23" s="35"/>
      <c r="ABC23" s="35"/>
      <c r="ABD23" s="35"/>
      <c r="ABE23" s="35"/>
      <c r="ABF23" s="35"/>
      <c r="ABG23" s="35"/>
      <c r="ABH23" s="35"/>
      <c r="ABI23" s="35"/>
      <c r="ABJ23" s="35"/>
      <c r="ABK23" s="35"/>
      <c r="ABL23" s="35"/>
      <c r="ABM23" s="35"/>
      <c r="ABN23" s="35"/>
      <c r="ABO23" s="35"/>
      <c r="ABP23" s="35"/>
      <c r="ABQ23" s="35"/>
      <c r="ABR23" s="35"/>
      <c r="ABS23" s="35"/>
      <c r="ABT23" s="35"/>
      <c r="ABU23" s="35"/>
      <c r="ABV23" s="35"/>
      <c r="ABW23" s="35"/>
      <c r="ABX23" s="35"/>
      <c r="ABY23" s="35"/>
      <c r="ABZ23" s="35"/>
      <c r="ACA23" s="35"/>
      <c r="ACB23" s="35"/>
      <c r="ACC23" s="35"/>
      <c r="ACD23" s="35"/>
      <c r="ACE23" s="35"/>
      <c r="ACF23" s="35"/>
      <c r="ACG23" s="35"/>
      <c r="ACH23" s="35"/>
      <c r="ACI23" s="35"/>
      <c r="ACJ23" s="35"/>
      <c r="ACK23" s="35"/>
      <c r="ACL23" s="35"/>
      <c r="ACM23" s="35"/>
      <c r="ACN23" s="35"/>
      <c r="ACO23" s="35"/>
      <c r="ACP23" s="35"/>
      <c r="ACQ23" s="35"/>
      <c r="ACR23" s="35"/>
      <c r="ACS23" s="35"/>
      <c r="ACT23" s="35"/>
      <c r="ACU23" s="35"/>
      <c r="ACV23" s="35"/>
      <c r="ACW23" s="35"/>
      <c r="ACX23" s="35"/>
      <c r="ACY23" s="35"/>
      <c r="ACZ23" s="35"/>
      <c r="ADA23" s="35"/>
      <c r="ADB23" s="35"/>
      <c r="ADC23" s="35"/>
      <c r="ADD23" s="35"/>
      <c r="ADE23" s="35"/>
      <c r="ADF23" s="35"/>
      <c r="ADG23" s="35"/>
      <c r="ADH23" s="35"/>
      <c r="ADI23" s="35"/>
      <c r="ADJ23" s="35"/>
      <c r="ADK23" s="35"/>
      <c r="ADL23" s="35"/>
      <c r="ADM23" s="35"/>
      <c r="ADN23" s="35"/>
      <c r="ADO23" s="35"/>
      <c r="ADP23" s="35"/>
      <c r="ADQ23" s="35"/>
      <c r="ADR23" s="35"/>
      <c r="ADS23" s="35"/>
      <c r="ADT23" s="35"/>
      <c r="ADU23" s="35"/>
      <c r="ADV23" s="35"/>
      <c r="ADW23" s="35"/>
      <c r="ADX23" s="35"/>
      <c r="ADY23" s="35"/>
      <c r="ADZ23" s="35"/>
      <c r="AEA23" s="35"/>
      <c r="AEB23" s="35"/>
      <c r="AEC23" s="35"/>
      <c r="AED23" s="35"/>
      <c r="AEE23" s="35"/>
      <c r="AEF23" s="35"/>
      <c r="AEG23" s="35"/>
      <c r="AEH23" s="35"/>
      <c r="AEI23" s="35"/>
      <c r="AEJ23" s="35"/>
      <c r="AEK23" s="35"/>
      <c r="AEL23" s="35"/>
      <c r="AEM23" s="35"/>
      <c r="AEN23" s="35"/>
      <c r="AEO23" s="35"/>
      <c r="AEP23" s="35"/>
      <c r="AEQ23" s="35"/>
      <c r="AER23" s="35"/>
      <c r="AES23" s="35"/>
      <c r="AET23" s="35"/>
      <c r="AEU23" s="35"/>
      <c r="AEV23" s="35"/>
      <c r="AEW23" s="35"/>
      <c r="AEX23" s="35"/>
      <c r="AEY23" s="35"/>
      <c r="AEZ23" s="35"/>
      <c r="AFA23" s="35"/>
      <c r="AFB23" s="35"/>
      <c r="AFC23" s="35"/>
      <c r="AFD23" s="35"/>
      <c r="AFE23" s="35"/>
      <c r="AFF23" s="35"/>
      <c r="AFG23" s="35"/>
      <c r="AFH23" s="35"/>
      <c r="AFI23" s="35"/>
      <c r="AFJ23" s="35"/>
      <c r="AFK23" s="35"/>
      <c r="AFL23" s="35"/>
      <c r="AFM23" s="35"/>
      <c r="AFN23" s="35"/>
      <c r="AFO23" s="35"/>
      <c r="AFP23" s="35"/>
      <c r="AFQ23" s="35"/>
      <c r="AFR23" s="35"/>
      <c r="AFS23" s="35"/>
      <c r="AFT23" s="35"/>
      <c r="AFU23" s="35"/>
      <c r="AFV23" s="35"/>
      <c r="AFW23" s="35"/>
      <c r="AFX23" s="35"/>
      <c r="AFY23" s="35"/>
      <c r="AFZ23" s="35"/>
      <c r="AGA23" s="35"/>
      <c r="AGB23" s="35"/>
      <c r="AGC23" s="35"/>
      <c r="AGD23" s="35"/>
      <c r="AGE23" s="35"/>
      <c r="AGF23" s="35"/>
      <c r="AGG23" s="35"/>
      <c r="AGH23" s="35"/>
      <c r="AGI23" s="35"/>
      <c r="AGJ23" s="35"/>
      <c r="AGK23" s="35"/>
      <c r="AGL23" s="35"/>
      <c r="AGM23" s="35"/>
      <c r="AGN23" s="35"/>
      <c r="AGO23" s="35"/>
      <c r="AGP23" s="35"/>
      <c r="AGQ23" s="35"/>
      <c r="AGR23" s="35"/>
      <c r="AGS23" s="35"/>
      <c r="AGT23" s="35"/>
      <c r="AGU23" s="35"/>
      <c r="AGV23" s="35"/>
      <c r="AGW23" s="35"/>
      <c r="AGX23" s="35"/>
      <c r="AGY23" s="35"/>
      <c r="AGZ23" s="35"/>
      <c r="AHA23" s="35"/>
      <c r="AHB23" s="35"/>
      <c r="AHC23" s="35"/>
      <c r="AHD23" s="35"/>
      <c r="AHE23" s="35"/>
      <c r="AHF23" s="35"/>
      <c r="AHG23" s="35"/>
      <c r="AHH23" s="35"/>
      <c r="AHI23" s="35"/>
      <c r="AHJ23" s="35"/>
      <c r="AHK23" s="35"/>
      <c r="AHL23" s="35"/>
      <c r="AHM23" s="35"/>
      <c r="AHN23" s="35"/>
      <c r="AHO23" s="35"/>
      <c r="AHP23" s="35"/>
      <c r="AHQ23" s="35"/>
      <c r="AHR23" s="35"/>
      <c r="AHS23" s="35"/>
      <c r="AHT23" s="35"/>
      <c r="AHU23" s="35"/>
      <c r="AHV23" s="35"/>
      <c r="AHW23" s="35"/>
      <c r="AHX23" s="35"/>
      <c r="AHY23" s="35"/>
      <c r="AHZ23" s="35"/>
      <c r="AIA23" s="35"/>
      <c r="AIB23" s="35"/>
      <c r="AIC23" s="35"/>
      <c r="AID23" s="35"/>
      <c r="AIE23" s="35"/>
      <c r="AIF23" s="35"/>
      <c r="AIG23" s="35"/>
      <c r="AIH23" s="35"/>
      <c r="AII23" s="35"/>
      <c r="AIJ23" s="35"/>
      <c r="AIK23" s="35"/>
      <c r="AIL23" s="35"/>
      <c r="AIM23" s="35"/>
      <c r="AIN23" s="35"/>
      <c r="AIO23" s="35"/>
      <c r="AIP23" s="35"/>
      <c r="AIQ23" s="35"/>
      <c r="AIR23" s="35"/>
      <c r="AIS23" s="35"/>
      <c r="AIT23" s="35"/>
      <c r="AIU23" s="35"/>
      <c r="AIV23" s="35"/>
      <c r="AIW23" s="35"/>
      <c r="AIX23" s="35"/>
      <c r="AIY23" s="35"/>
      <c r="AIZ23" s="35"/>
      <c r="AJA23" s="35"/>
      <c r="AJB23" s="35"/>
      <c r="AJC23" s="35"/>
      <c r="AJD23" s="35"/>
      <c r="AJE23" s="35"/>
      <c r="AJF23" s="35"/>
      <c r="AJG23" s="35"/>
      <c r="AJH23" s="35"/>
      <c r="AJI23" s="35"/>
      <c r="AJJ23" s="35"/>
      <c r="AJK23" s="35"/>
      <c r="AJL23" s="35"/>
      <c r="AJM23" s="35"/>
      <c r="AJN23" s="35"/>
      <c r="AJO23" s="35"/>
      <c r="AJP23" s="35"/>
      <c r="AJQ23" s="35"/>
      <c r="AJR23" s="35"/>
      <c r="AJS23" s="35"/>
      <c r="AJT23" s="35"/>
      <c r="AJU23" s="35"/>
      <c r="AJV23" s="35"/>
      <c r="AJW23" s="35"/>
      <c r="AJX23" s="35"/>
      <c r="AJY23" s="35"/>
      <c r="AJZ23" s="35"/>
      <c r="AKA23" s="35"/>
      <c r="AKB23" s="35"/>
      <c r="AKC23" s="35"/>
      <c r="AKD23" s="35"/>
      <c r="AKE23" s="35"/>
      <c r="AKF23" s="35"/>
      <c r="AKG23" s="35"/>
      <c r="AKH23" s="35"/>
      <c r="AKI23" s="35"/>
      <c r="AKJ23" s="35"/>
      <c r="AKK23" s="35"/>
      <c r="AKL23" s="35"/>
      <c r="AKM23" s="35"/>
      <c r="AKN23" s="35"/>
      <c r="AKO23" s="35"/>
      <c r="AKP23" s="35"/>
      <c r="AKQ23" s="35"/>
      <c r="AKR23" s="35"/>
      <c r="AKS23" s="35"/>
      <c r="AKT23" s="35"/>
      <c r="AKU23" s="35"/>
      <c r="AKV23" s="35"/>
      <c r="AKW23" s="35"/>
      <c r="AKX23" s="35"/>
      <c r="AKY23" s="35"/>
      <c r="AKZ23" s="35"/>
      <c r="ALA23" s="35"/>
      <c r="ALB23" s="35"/>
      <c r="ALC23" s="35"/>
      <c r="ALD23" s="35"/>
      <c r="ALE23" s="35"/>
      <c r="ALF23" s="35"/>
      <c r="ALG23" s="35"/>
      <c r="ALH23" s="35"/>
      <c r="ALI23" s="35"/>
      <c r="ALJ23" s="35"/>
      <c r="ALK23" s="35"/>
      <c r="ALL23" s="35"/>
      <c r="ALM23" s="35"/>
      <c r="ALN23" s="35"/>
      <c r="ALO23" s="35"/>
      <c r="ALP23" s="35"/>
      <c r="ALQ23" s="35"/>
      <c r="ALR23" s="35"/>
      <c r="ALS23" s="35"/>
      <c r="ALT23" s="35"/>
      <c r="ALU23" s="35"/>
      <c r="ALV23" s="35"/>
      <c r="ALW23" s="35"/>
      <c r="ALX23" s="35"/>
      <c r="ALY23" s="35"/>
      <c r="ALZ23" s="35"/>
      <c r="AMA23" s="35"/>
      <c r="AMB23" s="35"/>
      <c r="AMC23" s="35"/>
      <c r="AMD23" s="35"/>
      <c r="AME23" s="35"/>
      <c r="AMF23" s="35"/>
      <c r="AMG23" s="35"/>
      <c r="AMH23" s="35"/>
      <c r="AMI23" s="35"/>
      <c r="AMJ23" s="35"/>
      <c r="AMK23" s="35"/>
      <c r="AML23" s="35"/>
      <c r="AMM23" s="35"/>
      <c r="AMN23" s="35"/>
      <c r="AMO23" s="35"/>
      <c r="AMP23" s="35"/>
      <c r="AMQ23" s="35"/>
      <c r="AMR23" s="35"/>
      <c r="AMS23" s="35"/>
      <c r="AMT23" s="35"/>
      <c r="AMU23" s="35"/>
      <c r="AMV23" s="35"/>
      <c r="AMW23" s="35"/>
      <c r="AMX23" s="35"/>
      <c r="AMY23" s="35"/>
      <c r="AMZ23" s="35"/>
      <c r="ANA23" s="35"/>
      <c r="ANB23" s="35"/>
      <c r="ANC23" s="35"/>
      <c r="AND23" s="35"/>
      <c r="ANE23" s="35"/>
      <c r="ANF23" s="35"/>
      <c r="ANG23" s="35"/>
      <c r="ANH23" s="35"/>
      <c r="ANI23" s="35"/>
      <c r="ANJ23" s="35"/>
      <c r="ANK23" s="35"/>
      <c r="ANL23" s="35"/>
      <c r="ANM23" s="35"/>
      <c r="ANN23" s="35"/>
      <c r="ANO23" s="35"/>
      <c r="ANP23" s="35"/>
      <c r="ANQ23" s="35"/>
      <c r="ANR23" s="35"/>
      <c r="ANS23" s="35"/>
      <c r="ANT23" s="35"/>
      <c r="ANU23" s="35"/>
      <c r="ANV23" s="35"/>
      <c r="ANW23" s="35"/>
      <c r="ANX23" s="35"/>
      <c r="ANY23" s="35"/>
      <c r="ANZ23" s="35"/>
      <c r="AOA23" s="35"/>
      <c r="AOB23" s="35"/>
      <c r="AOC23" s="35"/>
      <c r="AOD23" s="35"/>
      <c r="AOE23" s="35"/>
      <c r="AOF23" s="35"/>
      <c r="AOG23" s="35"/>
      <c r="AOH23" s="35"/>
      <c r="AOI23" s="35"/>
      <c r="AOJ23" s="35"/>
      <c r="AOK23" s="35"/>
      <c r="AOL23" s="35"/>
      <c r="AOM23" s="35"/>
      <c r="AON23" s="35"/>
      <c r="AOO23" s="35"/>
      <c r="AOP23" s="35"/>
      <c r="AOQ23" s="35"/>
      <c r="AOR23" s="35"/>
      <c r="AOS23" s="35"/>
      <c r="AOT23" s="35"/>
      <c r="AOU23" s="35"/>
      <c r="AOV23" s="35"/>
      <c r="AOW23" s="35"/>
      <c r="AOX23" s="35"/>
      <c r="AOY23" s="35"/>
      <c r="AOZ23" s="35"/>
      <c r="APA23" s="35"/>
      <c r="APB23" s="35"/>
      <c r="APC23" s="35"/>
      <c r="APD23" s="35"/>
      <c r="APE23" s="35"/>
      <c r="APF23" s="35"/>
      <c r="APG23" s="35"/>
      <c r="APH23" s="35"/>
      <c r="API23" s="35"/>
      <c r="APJ23" s="35"/>
      <c r="APK23" s="35"/>
      <c r="APL23" s="35"/>
      <c r="APM23" s="35"/>
      <c r="APN23" s="35"/>
      <c r="APO23" s="35"/>
      <c r="APP23" s="35"/>
      <c r="APQ23" s="35"/>
      <c r="APR23" s="35"/>
      <c r="APS23" s="35"/>
      <c r="APT23" s="35"/>
      <c r="APU23" s="35"/>
      <c r="APV23" s="35"/>
      <c r="APW23" s="35"/>
      <c r="APX23" s="35"/>
      <c r="APY23" s="35"/>
      <c r="APZ23" s="35"/>
      <c r="AQA23" s="35"/>
      <c r="AQB23" s="35"/>
      <c r="AQC23" s="35"/>
      <c r="AQD23" s="35"/>
      <c r="AQE23" s="35"/>
      <c r="AQF23" s="35"/>
      <c r="AQG23" s="35"/>
      <c r="AQH23" s="35"/>
      <c r="AQI23" s="35"/>
      <c r="AQJ23" s="35"/>
      <c r="AQK23" s="35"/>
      <c r="AQL23" s="35"/>
      <c r="AQM23" s="35"/>
      <c r="AQN23" s="35"/>
      <c r="AQO23" s="35"/>
      <c r="AQP23" s="35"/>
      <c r="AQQ23" s="35"/>
      <c r="AQR23" s="35"/>
      <c r="AQS23" s="35"/>
      <c r="AQT23" s="35"/>
      <c r="AQU23" s="35"/>
      <c r="AQV23" s="35"/>
      <c r="AQW23" s="35"/>
      <c r="AQX23" s="35"/>
      <c r="AQY23" s="35"/>
      <c r="AQZ23" s="35"/>
      <c r="ARA23" s="35"/>
      <c r="ARB23" s="35"/>
      <c r="ARC23" s="35"/>
      <c r="ARD23" s="35"/>
      <c r="ARE23" s="35"/>
      <c r="ARF23" s="35"/>
      <c r="ARG23" s="35"/>
      <c r="ARH23" s="35"/>
      <c r="ARI23" s="35"/>
      <c r="ARJ23" s="35"/>
      <c r="ARK23" s="35"/>
      <c r="ARL23" s="35"/>
      <c r="ARM23" s="35"/>
      <c r="ARN23" s="35"/>
      <c r="ARO23" s="35"/>
      <c r="ARP23" s="35"/>
      <c r="ARQ23" s="35"/>
      <c r="ARR23" s="35"/>
      <c r="ARS23" s="35"/>
      <c r="ART23" s="35"/>
      <c r="ARU23" s="35"/>
      <c r="ARV23" s="35"/>
      <c r="ARW23" s="35"/>
      <c r="ARX23" s="35"/>
      <c r="ARY23" s="35"/>
      <c r="ARZ23" s="35"/>
      <c r="ASA23" s="35"/>
      <c r="ASB23" s="35"/>
      <c r="ASC23" s="35"/>
      <c r="ASD23" s="35"/>
      <c r="ASE23" s="35"/>
      <c r="ASF23" s="35"/>
      <c r="ASG23" s="35"/>
      <c r="ASH23" s="35"/>
      <c r="ASI23" s="35"/>
      <c r="ASJ23" s="35"/>
      <c r="ASK23" s="35"/>
      <c r="ASL23" s="35"/>
      <c r="ASM23" s="35"/>
      <c r="ASN23" s="35"/>
      <c r="ASO23" s="35"/>
      <c r="ASP23" s="35"/>
      <c r="ASQ23" s="35"/>
      <c r="ASR23" s="35"/>
      <c r="ASS23" s="35"/>
      <c r="AST23" s="35"/>
      <c r="ASU23" s="35"/>
      <c r="ASV23" s="35"/>
      <c r="ASW23" s="35"/>
      <c r="ASX23" s="35"/>
      <c r="ASY23" s="35"/>
      <c r="ASZ23" s="35"/>
      <c r="ATA23" s="35"/>
      <c r="ATB23" s="35"/>
      <c r="ATC23" s="35"/>
      <c r="ATD23" s="35"/>
      <c r="ATE23" s="35"/>
      <c r="ATF23" s="35"/>
      <c r="ATG23" s="35"/>
      <c r="ATH23" s="35"/>
      <c r="ATI23" s="35"/>
      <c r="ATJ23" s="35"/>
      <c r="ATK23" s="35"/>
      <c r="ATL23" s="35"/>
      <c r="ATM23" s="35"/>
      <c r="ATN23" s="35"/>
      <c r="ATO23" s="35"/>
      <c r="ATP23" s="35"/>
      <c r="ATQ23" s="35"/>
      <c r="ATR23" s="35"/>
      <c r="ATS23" s="35"/>
      <c r="ATT23" s="35"/>
      <c r="ATU23" s="35"/>
      <c r="ATV23" s="35"/>
      <c r="ATW23" s="35"/>
      <c r="ATX23" s="35"/>
      <c r="ATY23" s="35"/>
      <c r="ATZ23" s="35"/>
      <c r="AUA23" s="35"/>
      <c r="AUB23" s="35"/>
      <c r="AUC23" s="35"/>
      <c r="AUD23" s="35"/>
      <c r="AUE23" s="35"/>
      <c r="AUF23" s="35"/>
      <c r="AUG23" s="35"/>
      <c r="AUH23" s="35"/>
      <c r="AUI23" s="35"/>
      <c r="AUJ23" s="35"/>
      <c r="AUK23" s="35"/>
      <c r="AUL23" s="35"/>
      <c r="AUM23" s="35"/>
      <c r="AUN23" s="35"/>
      <c r="AUO23" s="35"/>
      <c r="AUP23" s="35"/>
      <c r="AUQ23" s="35"/>
      <c r="AUR23" s="35"/>
      <c r="AUS23" s="35"/>
      <c r="AUT23" s="35"/>
      <c r="AUU23" s="35"/>
      <c r="AUV23" s="35"/>
      <c r="AUW23" s="35"/>
      <c r="AUX23" s="35"/>
      <c r="AUY23" s="35"/>
      <c r="AUZ23" s="35"/>
      <c r="AVA23" s="35"/>
      <c r="AVB23" s="35"/>
      <c r="AVC23" s="35"/>
      <c r="AVD23" s="35"/>
      <c r="AVE23" s="35"/>
      <c r="AVF23" s="35"/>
      <c r="AVG23" s="35"/>
      <c r="AVH23" s="35"/>
      <c r="AVI23" s="35"/>
      <c r="AVJ23" s="35"/>
      <c r="AVK23" s="35"/>
      <c r="AVL23" s="35"/>
      <c r="AVM23" s="35"/>
      <c r="AVN23" s="35"/>
      <c r="AVO23" s="35"/>
      <c r="AVP23" s="35"/>
      <c r="AVQ23" s="35"/>
      <c r="AVR23" s="35"/>
      <c r="AVS23" s="35"/>
      <c r="AVT23" s="35"/>
      <c r="AVU23" s="35"/>
      <c r="AVV23" s="35"/>
      <c r="AVW23" s="35"/>
      <c r="AVX23" s="35"/>
      <c r="AVY23" s="35"/>
      <c r="AVZ23" s="35"/>
      <c r="AWA23" s="35"/>
      <c r="AWB23" s="35"/>
      <c r="AWC23" s="35"/>
      <c r="AWD23" s="35"/>
      <c r="AWE23" s="35"/>
      <c r="AWF23" s="35"/>
      <c r="AWG23" s="35"/>
      <c r="AWH23" s="35"/>
      <c r="AWI23" s="35"/>
      <c r="AWJ23" s="35"/>
      <c r="AWK23" s="35"/>
      <c r="AWL23" s="35"/>
      <c r="AWM23" s="35"/>
      <c r="AWN23" s="35"/>
      <c r="AWO23" s="35"/>
      <c r="AWP23" s="35"/>
      <c r="AWQ23" s="35"/>
      <c r="AWR23" s="35"/>
      <c r="AWS23" s="35"/>
      <c r="AWT23" s="35"/>
      <c r="AWU23" s="35"/>
      <c r="AWV23" s="35"/>
      <c r="AWW23" s="35"/>
      <c r="AWX23" s="35"/>
      <c r="AWY23" s="35"/>
      <c r="AWZ23" s="35"/>
      <c r="AXA23" s="35"/>
      <c r="AXB23" s="35"/>
      <c r="AXC23" s="35"/>
      <c r="AXD23" s="35"/>
      <c r="AXE23" s="35"/>
      <c r="AXF23" s="35"/>
      <c r="AXG23" s="35"/>
      <c r="AXH23" s="35"/>
      <c r="AXI23" s="35"/>
      <c r="AXJ23" s="35"/>
      <c r="AXK23" s="35"/>
      <c r="AXL23" s="35"/>
      <c r="AXM23" s="35"/>
      <c r="AXN23" s="35"/>
      <c r="AXO23" s="35"/>
      <c r="AXP23" s="35"/>
      <c r="AXQ23" s="35"/>
      <c r="AXR23" s="35"/>
      <c r="AXS23" s="35"/>
      <c r="AXT23" s="35"/>
      <c r="AXU23" s="35"/>
      <c r="AXV23" s="35"/>
      <c r="AXW23" s="35"/>
      <c r="AXX23" s="35"/>
      <c r="AXY23" s="35"/>
      <c r="AXZ23" s="35"/>
      <c r="AYA23" s="35"/>
      <c r="AYB23" s="35"/>
      <c r="AYC23" s="35"/>
      <c r="AYD23" s="35"/>
      <c r="AYE23" s="35"/>
      <c r="AYF23" s="35"/>
      <c r="AYG23" s="35"/>
      <c r="AYH23" s="35"/>
      <c r="AYI23" s="35"/>
      <c r="AYJ23" s="35"/>
      <c r="AYK23" s="35"/>
      <c r="AYL23" s="35"/>
      <c r="AYM23" s="35"/>
      <c r="AYN23" s="35"/>
      <c r="AYO23" s="35"/>
      <c r="AYP23" s="35"/>
      <c r="AYQ23" s="35"/>
      <c r="AYR23" s="35"/>
      <c r="AYS23" s="35"/>
      <c r="AYT23" s="35"/>
      <c r="AYU23" s="35"/>
      <c r="AYV23" s="35"/>
      <c r="AYW23" s="35"/>
      <c r="AYX23" s="35"/>
      <c r="AYY23" s="35"/>
      <c r="AYZ23" s="35"/>
      <c r="AZA23" s="35"/>
      <c r="AZB23" s="35"/>
      <c r="AZC23" s="35"/>
      <c r="AZD23" s="35"/>
      <c r="AZE23" s="35"/>
      <c r="AZF23" s="35"/>
      <c r="AZG23" s="35"/>
      <c r="AZH23" s="35"/>
      <c r="AZI23" s="35"/>
      <c r="AZJ23" s="35"/>
      <c r="AZK23" s="35"/>
      <c r="AZL23" s="35"/>
      <c r="AZM23" s="35"/>
      <c r="AZN23" s="35"/>
      <c r="AZO23" s="35"/>
      <c r="AZP23" s="35"/>
      <c r="AZQ23" s="35"/>
      <c r="AZR23" s="35"/>
      <c r="AZS23" s="35"/>
      <c r="AZT23" s="35"/>
      <c r="AZU23" s="35"/>
      <c r="AZV23" s="35"/>
      <c r="AZW23" s="35"/>
      <c r="AZX23" s="35"/>
      <c r="AZY23" s="35"/>
      <c r="AZZ23" s="35"/>
      <c r="BAA23" s="35"/>
      <c r="BAB23" s="35"/>
      <c r="BAC23" s="35"/>
      <c r="BAD23" s="35"/>
      <c r="BAE23" s="35"/>
      <c r="BAF23" s="35"/>
      <c r="BAG23" s="35"/>
      <c r="BAH23" s="35"/>
      <c r="BAI23" s="35"/>
      <c r="BAJ23" s="35"/>
      <c r="BAK23" s="35"/>
      <c r="BAL23" s="35"/>
      <c r="BAM23" s="35"/>
      <c r="BAN23" s="35"/>
      <c r="BAO23" s="35"/>
      <c r="BAP23" s="35"/>
      <c r="BAQ23" s="35"/>
      <c r="BAR23" s="35"/>
      <c r="BAS23" s="35"/>
      <c r="BAT23" s="35"/>
      <c r="BAU23" s="35"/>
      <c r="BAV23" s="35"/>
      <c r="BAW23" s="35"/>
      <c r="BAX23" s="35"/>
      <c r="BAY23" s="35"/>
      <c r="BAZ23" s="35"/>
      <c r="BBA23" s="35"/>
      <c r="BBB23" s="35"/>
      <c r="BBC23" s="35"/>
      <c r="BBD23" s="35"/>
      <c r="BBE23" s="35"/>
      <c r="BBF23" s="35"/>
      <c r="BBG23" s="35"/>
      <c r="BBH23" s="35"/>
      <c r="BBI23" s="35"/>
      <c r="BBJ23" s="35"/>
      <c r="BBK23" s="35"/>
      <c r="BBL23" s="35"/>
      <c r="BBM23" s="35"/>
      <c r="BBN23" s="35"/>
      <c r="BBO23" s="35"/>
      <c r="BBP23" s="35"/>
      <c r="BBQ23" s="35"/>
      <c r="BBR23" s="35"/>
      <c r="BBS23" s="35"/>
      <c r="BBT23" s="35"/>
      <c r="BBU23" s="35"/>
      <c r="BBV23" s="35"/>
      <c r="BBW23" s="35"/>
      <c r="BBX23" s="35"/>
      <c r="BBY23" s="35"/>
      <c r="BBZ23" s="35"/>
      <c r="BCA23" s="35"/>
      <c r="BCB23" s="35"/>
      <c r="BCC23" s="35"/>
      <c r="BCD23" s="35"/>
      <c r="BCE23" s="35"/>
      <c r="BCF23" s="35"/>
      <c r="BCG23" s="35"/>
      <c r="BCH23" s="35"/>
      <c r="BCI23" s="35"/>
      <c r="BCJ23" s="35"/>
      <c r="BCK23" s="35"/>
      <c r="BCL23" s="35"/>
      <c r="BCM23" s="35"/>
      <c r="BCN23" s="35"/>
      <c r="BCO23" s="35"/>
      <c r="BCP23" s="35"/>
      <c r="BCQ23" s="35"/>
      <c r="BCR23" s="35"/>
      <c r="BCS23" s="35"/>
      <c r="BCT23" s="35"/>
      <c r="BCU23" s="35"/>
      <c r="BCV23" s="35"/>
      <c r="BCW23" s="35"/>
      <c r="BCX23" s="35"/>
      <c r="BCY23" s="35"/>
      <c r="BCZ23" s="35"/>
      <c r="BDA23" s="35"/>
      <c r="BDB23" s="35"/>
      <c r="BDC23" s="35"/>
      <c r="BDD23" s="35"/>
      <c r="BDE23" s="35"/>
      <c r="BDF23" s="35"/>
      <c r="BDG23" s="35"/>
      <c r="BDH23" s="35"/>
      <c r="BDI23" s="35"/>
      <c r="BDJ23" s="35"/>
      <c r="BDK23" s="35"/>
      <c r="BDL23" s="35"/>
      <c r="BDM23" s="35"/>
      <c r="BDN23" s="35"/>
      <c r="BDO23" s="35"/>
      <c r="BDP23" s="35"/>
      <c r="BDQ23" s="35"/>
      <c r="BDR23" s="35"/>
      <c r="BDS23" s="35"/>
      <c r="BDT23" s="35"/>
      <c r="BDU23" s="35"/>
      <c r="BDV23" s="35"/>
      <c r="BDW23" s="35"/>
      <c r="BDX23" s="35"/>
      <c r="BDY23" s="35"/>
      <c r="BDZ23" s="35"/>
      <c r="BEA23" s="35"/>
      <c r="BEB23" s="35"/>
      <c r="BEC23" s="35"/>
      <c r="BED23" s="35"/>
      <c r="BEE23" s="35"/>
      <c r="BEF23" s="35"/>
      <c r="BEG23" s="35"/>
      <c r="BEH23" s="35"/>
      <c r="BEI23" s="35"/>
      <c r="BEJ23" s="35"/>
      <c r="BEK23" s="35"/>
      <c r="BEL23" s="35"/>
      <c r="BEM23" s="35"/>
      <c r="BEN23" s="35"/>
      <c r="BEO23" s="35"/>
      <c r="BEP23" s="35"/>
      <c r="BEQ23" s="35"/>
      <c r="BER23" s="35"/>
      <c r="BES23" s="35"/>
      <c r="BET23" s="35"/>
      <c r="BEU23" s="35"/>
      <c r="BEV23" s="35"/>
      <c r="BEW23" s="35"/>
      <c r="BEX23" s="35"/>
      <c r="BEY23" s="35"/>
      <c r="BEZ23" s="35"/>
      <c r="BFA23" s="35"/>
      <c r="BFB23" s="35"/>
      <c r="BFC23" s="35"/>
      <c r="BFD23" s="35"/>
      <c r="BFE23" s="35"/>
      <c r="BFF23" s="35"/>
      <c r="BFG23" s="35"/>
      <c r="BFH23" s="35"/>
      <c r="BFI23" s="35"/>
      <c r="BFJ23" s="35"/>
      <c r="BFK23" s="35"/>
      <c r="BFL23" s="35"/>
      <c r="BFM23" s="35"/>
      <c r="BFN23" s="35"/>
      <c r="BFO23" s="35"/>
      <c r="BFP23" s="35"/>
      <c r="BFQ23" s="35"/>
      <c r="BFR23" s="35"/>
      <c r="BFS23" s="35"/>
      <c r="BFT23" s="35"/>
      <c r="BFU23" s="35"/>
      <c r="BFV23" s="35"/>
      <c r="BFW23" s="35"/>
      <c r="BFX23" s="35"/>
      <c r="BFY23" s="35"/>
      <c r="BFZ23" s="35"/>
      <c r="BGA23" s="35"/>
      <c r="BGB23" s="35"/>
      <c r="BGC23" s="35"/>
      <c r="BGD23" s="35"/>
      <c r="BGE23" s="35"/>
      <c r="BGF23" s="35"/>
      <c r="BGG23" s="35"/>
      <c r="BGH23" s="35"/>
      <c r="BGI23" s="35"/>
      <c r="BGJ23" s="35"/>
      <c r="BGK23" s="35"/>
      <c r="BGL23" s="35"/>
      <c r="BGM23" s="35"/>
      <c r="BGN23" s="35"/>
      <c r="BGO23" s="35"/>
      <c r="BGP23" s="35"/>
      <c r="BGQ23" s="35"/>
      <c r="BGR23" s="35"/>
      <c r="BGS23" s="35"/>
      <c r="BGT23" s="35"/>
      <c r="BGU23" s="35"/>
      <c r="BGV23" s="35"/>
      <c r="BGW23" s="35"/>
      <c r="BGX23" s="35"/>
      <c r="BGY23" s="35"/>
      <c r="BGZ23" s="35"/>
      <c r="BHA23" s="35"/>
      <c r="BHB23" s="35"/>
      <c r="BHC23" s="35"/>
      <c r="BHD23" s="35"/>
      <c r="BHE23" s="35"/>
      <c r="BHF23" s="35"/>
      <c r="BHG23" s="35"/>
      <c r="BHH23" s="35"/>
      <c r="BHI23" s="35"/>
      <c r="BHJ23" s="35"/>
      <c r="BHK23" s="35"/>
      <c r="BHL23" s="35"/>
      <c r="BHM23" s="35"/>
      <c r="BHN23" s="35"/>
      <c r="BHO23" s="35"/>
      <c r="BHP23" s="35"/>
      <c r="BHQ23" s="35"/>
      <c r="BHR23" s="35"/>
      <c r="BHS23" s="35"/>
      <c r="BHT23" s="35"/>
      <c r="BHU23" s="35"/>
      <c r="BHV23" s="35"/>
      <c r="BHW23" s="35"/>
      <c r="BHX23" s="35"/>
      <c r="BHY23" s="35"/>
      <c r="BHZ23" s="35"/>
      <c r="BIA23" s="35"/>
      <c r="BIB23" s="35"/>
      <c r="BIC23" s="35"/>
      <c r="BID23" s="35"/>
      <c r="BIE23" s="35"/>
      <c r="BIF23" s="35"/>
      <c r="BIG23" s="35"/>
      <c r="BIH23" s="35"/>
      <c r="BII23" s="35"/>
      <c r="BIJ23" s="35"/>
      <c r="BIK23" s="35"/>
      <c r="BIL23" s="35"/>
      <c r="BIM23" s="35"/>
      <c r="BIN23" s="35"/>
      <c r="BIO23" s="35"/>
      <c r="BIP23" s="35"/>
      <c r="BIQ23" s="35"/>
      <c r="BIR23" s="35"/>
      <c r="BIS23" s="35"/>
      <c r="BIT23" s="35"/>
      <c r="BIU23" s="35"/>
      <c r="BIV23" s="35"/>
      <c r="BIW23" s="35"/>
      <c r="BIX23" s="35"/>
      <c r="BIY23" s="35"/>
      <c r="BIZ23" s="35"/>
      <c r="BJA23" s="35"/>
      <c r="BJB23" s="35"/>
      <c r="BJC23" s="35"/>
      <c r="BJD23" s="35"/>
      <c r="BJE23" s="35"/>
      <c r="BJF23" s="35"/>
      <c r="BJG23" s="35"/>
      <c r="BJH23" s="35"/>
      <c r="BJI23" s="35"/>
      <c r="BJJ23" s="35"/>
      <c r="BJK23" s="35"/>
      <c r="BJL23" s="35"/>
      <c r="BJM23" s="35"/>
      <c r="BJN23" s="35"/>
      <c r="BJO23" s="35"/>
      <c r="BJP23" s="35"/>
      <c r="BJQ23" s="35"/>
      <c r="BJR23" s="35"/>
      <c r="BJS23" s="35"/>
      <c r="BJT23" s="35"/>
      <c r="BJU23" s="35"/>
      <c r="BJV23" s="35"/>
      <c r="BJW23" s="35"/>
      <c r="BJX23" s="35"/>
      <c r="BJY23" s="35"/>
      <c r="BJZ23" s="35"/>
      <c r="BKA23" s="35"/>
      <c r="BKB23" s="35"/>
      <c r="BKC23" s="35"/>
      <c r="BKD23" s="35"/>
      <c r="BKE23" s="35"/>
      <c r="BKF23" s="35"/>
      <c r="BKG23" s="35"/>
      <c r="BKH23" s="35"/>
      <c r="BKI23" s="35"/>
      <c r="BKJ23" s="35"/>
      <c r="BKK23" s="35"/>
      <c r="BKL23" s="35"/>
      <c r="BKM23" s="35"/>
      <c r="BKN23" s="35"/>
      <c r="BKO23" s="35"/>
      <c r="BKP23" s="35"/>
      <c r="BKQ23" s="35"/>
      <c r="BKR23" s="35"/>
      <c r="BKS23" s="35"/>
      <c r="BKT23" s="35"/>
      <c r="BKU23" s="35"/>
      <c r="BKV23" s="35"/>
      <c r="BKW23" s="35"/>
      <c r="BKX23" s="35"/>
      <c r="BKY23" s="35"/>
      <c r="BKZ23" s="35"/>
      <c r="BLA23" s="35"/>
      <c r="BLB23" s="35"/>
      <c r="BLC23" s="35"/>
      <c r="BLD23" s="35"/>
      <c r="BLE23" s="35"/>
      <c r="BLF23" s="35"/>
      <c r="BLG23" s="35"/>
      <c r="BLH23" s="35"/>
      <c r="BLI23" s="35"/>
      <c r="BLJ23" s="35"/>
      <c r="BLK23" s="35"/>
      <c r="BLL23" s="35"/>
      <c r="BLM23" s="35"/>
      <c r="BLN23" s="35"/>
      <c r="BLO23" s="35"/>
      <c r="BLP23" s="35"/>
      <c r="BLQ23" s="35"/>
      <c r="BLR23" s="35"/>
      <c r="BLS23" s="35"/>
      <c r="BLT23" s="35"/>
      <c r="BLU23" s="35"/>
      <c r="BLV23" s="35"/>
      <c r="BLW23" s="35"/>
      <c r="BLX23" s="35"/>
      <c r="BLY23" s="35"/>
      <c r="BLZ23" s="35"/>
      <c r="BMA23" s="35"/>
      <c r="BMB23" s="35"/>
      <c r="BMC23" s="35"/>
      <c r="BMD23" s="35"/>
      <c r="BME23" s="35"/>
      <c r="BMF23" s="35"/>
      <c r="BMG23" s="35"/>
      <c r="BMH23" s="35"/>
      <c r="BMI23" s="35"/>
      <c r="BMJ23" s="35"/>
      <c r="BMK23" s="35"/>
      <c r="BML23" s="35"/>
      <c r="BMM23" s="35"/>
      <c r="BMN23" s="35"/>
      <c r="BMO23" s="35"/>
      <c r="BMP23" s="35"/>
      <c r="BMQ23" s="35"/>
      <c r="BMR23" s="35"/>
      <c r="BMS23" s="35"/>
      <c r="BMT23" s="35"/>
      <c r="BMU23" s="35"/>
      <c r="BMV23" s="35"/>
      <c r="BMW23" s="35"/>
      <c r="BMX23" s="35"/>
      <c r="BMY23" s="35"/>
      <c r="BMZ23" s="35"/>
      <c r="BNA23" s="35"/>
      <c r="BNB23" s="35"/>
      <c r="BNC23" s="35"/>
      <c r="BND23" s="35"/>
      <c r="BNE23" s="35"/>
      <c r="BNF23" s="35"/>
      <c r="BNG23" s="35"/>
      <c r="BNH23" s="35"/>
      <c r="BNI23" s="35"/>
      <c r="BNJ23" s="35"/>
      <c r="BNK23" s="35"/>
      <c r="BNL23" s="35"/>
      <c r="BNM23" s="35"/>
      <c r="BNN23" s="35"/>
      <c r="BNO23" s="35"/>
      <c r="BNP23" s="35"/>
      <c r="BNQ23" s="35"/>
      <c r="BNR23" s="35"/>
      <c r="BNS23" s="35"/>
      <c r="BNT23" s="35"/>
      <c r="BNU23" s="35"/>
      <c r="BNV23" s="35"/>
      <c r="BNW23" s="35"/>
      <c r="BNX23" s="35"/>
      <c r="BNY23" s="35"/>
      <c r="BNZ23" s="35"/>
      <c r="BOA23" s="35"/>
      <c r="BOB23" s="35"/>
      <c r="BOC23" s="35"/>
      <c r="BOD23" s="35"/>
      <c r="BOE23" s="35"/>
      <c r="BOF23" s="35"/>
      <c r="BOG23" s="35"/>
      <c r="BOH23" s="35"/>
      <c r="BOI23" s="35"/>
      <c r="BOJ23" s="35"/>
      <c r="BOK23" s="35"/>
      <c r="BOL23" s="35"/>
      <c r="BOM23" s="35"/>
      <c r="BON23" s="35"/>
      <c r="BOO23" s="35"/>
      <c r="BOP23" s="35"/>
      <c r="BOQ23" s="35"/>
      <c r="BOR23" s="35"/>
      <c r="BOS23" s="35"/>
      <c r="BOT23" s="35"/>
      <c r="BOU23" s="35"/>
      <c r="BOV23" s="35"/>
      <c r="BOW23" s="35"/>
      <c r="BOX23" s="35"/>
      <c r="BOY23" s="35"/>
      <c r="BOZ23" s="35"/>
      <c r="BPA23" s="35"/>
      <c r="BPB23" s="35"/>
      <c r="BPC23" s="35"/>
      <c r="BPD23" s="35"/>
      <c r="BPE23" s="35"/>
      <c r="BPF23" s="35"/>
      <c r="BPG23" s="35"/>
      <c r="BPH23" s="35"/>
      <c r="BPI23" s="35"/>
      <c r="BPJ23" s="35"/>
      <c r="BPK23" s="35"/>
      <c r="BPL23" s="35"/>
      <c r="BPM23" s="35"/>
      <c r="BPN23" s="35"/>
      <c r="BPO23" s="35"/>
      <c r="BPP23" s="35"/>
      <c r="BPQ23" s="35"/>
      <c r="BPR23" s="35"/>
      <c r="BPS23" s="35"/>
      <c r="BPT23" s="35"/>
      <c r="BPU23" s="35"/>
      <c r="BPV23" s="35"/>
      <c r="BPW23" s="35"/>
      <c r="BPX23" s="35"/>
      <c r="BPY23" s="35"/>
      <c r="BPZ23" s="35"/>
      <c r="BQA23" s="35"/>
      <c r="BQB23" s="35"/>
      <c r="BQC23" s="35"/>
      <c r="BQD23" s="35"/>
      <c r="BQE23" s="35"/>
      <c r="BQF23" s="35"/>
      <c r="BQG23" s="35"/>
      <c r="BQH23" s="35"/>
      <c r="BQI23" s="35"/>
      <c r="BQJ23" s="35"/>
      <c r="BQK23" s="35"/>
      <c r="BQL23" s="35"/>
      <c r="BQM23" s="35"/>
      <c r="BQN23" s="35"/>
      <c r="BQO23" s="35"/>
      <c r="BQP23" s="35"/>
      <c r="BQQ23" s="35"/>
      <c r="BQR23" s="35"/>
      <c r="BQS23" s="35"/>
      <c r="BQT23" s="35"/>
      <c r="BQU23" s="35"/>
      <c r="BQV23" s="35"/>
      <c r="BQW23" s="35"/>
      <c r="BQX23" s="35"/>
      <c r="BQY23" s="35"/>
      <c r="BQZ23" s="35"/>
      <c r="BRA23" s="35"/>
      <c r="BRB23" s="35"/>
      <c r="BRC23" s="35"/>
      <c r="BRD23" s="35"/>
      <c r="BRE23" s="35"/>
      <c r="BRF23" s="35"/>
      <c r="BRG23" s="35"/>
      <c r="BRH23" s="35"/>
      <c r="BRI23" s="35"/>
      <c r="BRJ23" s="35"/>
      <c r="BRK23" s="35"/>
      <c r="BRL23" s="35"/>
      <c r="BRM23" s="35"/>
      <c r="BRN23" s="35"/>
      <c r="BRO23" s="35"/>
      <c r="BRP23" s="35"/>
      <c r="BRQ23" s="35"/>
      <c r="BRR23" s="35"/>
      <c r="BRS23" s="35"/>
      <c r="BRT23" s="35"/>
      <c r="BRU23" s="35"/>
      <c r="BRV23" s="35"/>
      <c r="BRW23" s="35"/>
      <c r="BRX23" s="35"/>
      <c r="BRY23" s="35"/>
      <c r="BRZ23" s="35"/>
      <c r="BSA23" s="35"/>
      <c r="BSB23" s="35"/>
      <c r="BSC23" s="35"/>
      <c r="BSD23" s="35"/>
      <c r="BSE23" s="35"/>
      <c r="BSF23" s="35"/>
      <c r="BSG23" s="35"/>
      <c r="BSH23" s="35"/>
      <c r="BSI23" s="35"/>
      <c r="BSJ23" s="35"/>
      <c r="BSK23" s="35"/>
      <c r="BSL23" s="35"/>
      <c r="BSM23" s="35"/>
      <c r="BSN23" s="35"/>
      <c r="BSO23" s="35"/>
      <c r="BSP23" s="35"/>
      <c r="BSQ23" s="35"/>
      <c r="BSR23" s="35"/>
      <c r="BSS23" s="35"/>
      <c r="BST23" s="35"/>
      <c r="BSU23" s="35"/>
      <c r="BSV23" s="35"/>
      <c r="BSW23" s="35"/>
      <c r="BSX23" s="35"/>
      <c r="BSY23" s="35"/>
      <c r="BSZ23" s="35"/>
      <c r="BTA23" s="35"/>
      <c r="BTB23" s="35"/>
      <c r="BTC23" s="35"/>
      <c r="BTD23" s="35"/>
      <c r="BTE23" s="35"/>
      <c r="BTF23" s="35"/>
      <c r="BTG23" s="35"/>
      <c r="BTH23" s="35"/>
      <c r="BTI23" s="35"/>
      <c r="BTJ23" s="35"/>
      <c r="BTK23" s="35"/>
      <c r="BTL23" s="35"/>
      <c r="BTM23" s="35"/>
      <c r="BTN23" s="35"/>
      <c r="BTO23" s="35"/>
      <c r="BTP23" s="35"/>
      <c r="BTQ23" s="35"/>
      <c r="BTR23" s="35"/>
      <c r="BTS23" s="35"/>
      <c r="BTT23" s="35"/>
      <c r="BTU23" s="35"/>
      <c r="BTV23" s="35"/>
      <c r="BTW23" s="35"/>
      <c r="BTX23" s="35"/>
      <c r="BTY23" s="35"/>
      <c r="BTZ23" s="35"/>
      <c r="BUA23" s="35"/>
      <c r="BUB23" s="35"/>
      <c r="BUC23" s="35"/>
      <c r="BUD23" s="35"/>
      <c r="BUE23" s="35"/>
      <c r="BUF23" s="35"/>
      <c r="BUG23" s="35"/>
      <c r="BUH23" s="35"/>
      <c r="BUI23" s="35"/>
      <c r="BUJ23" s="35"/>
      <c r="BUK23" s="35"/>
      <c r="BUL23" s="35"/>
      <c r="BUM23" s="35"/>
      <c r="BUN23" s="35"/>
      <c r="BUO23" s="35"/>
      <c r="BUP23" s="35"/>
      <c r="BUQ23" s="35"/>
      <c r="BUR23" s="35"/>
      <c r="BUS23" s="35"/>
      <c r="BUT23" s="35"/>
      <c r="BUU23" s="35"/>
      <c r="BUV23" s="35"/>
      <c r="BUW23" s="35"/>
      <c r="BUX23" s="35"/>
      <c r="BUY23" s="35"/>
      <c r="BUZ23" s="35"/>
      <c r="BVA23" s="35"/>
      <c r="BVB23" s="35"/>
      <c r="BVC23" s="35"/>
      <c r="BVD23" s="35"/>
      <c r="BVE23" s="35"/>
      <c r="BVF23" s="35"/>
      <c r="BVG23" s="35"/>
      <c r="BVH23" s="35"/>
      <c r="BVI23" s="35"/>
      <c r="BVJ23" s="35"/>
      <c r="BVK23" s="35"/>
      <c r="BVL23" s="35"/>
      <c r="BVM23" s="35"/>
      <c r="BVN23" s="35"/>
      <c r="BVO23" s="35"/>
      <c r="BVP23" s="35"/>
      <c r="BVQ23" s="35"/>
      <c r="BVR23" s="35"/>
      <c r="BVS23" s="35"/>
      <c r="BVT23" s="35"/>
      <c r="BVU23" s="35"/>
      <c r="BVV23" s="35"/>
      <c r="BVW23" s="35"/>
      <c r="BVX23" s="35"/>
      <c r="BVY23" s="35"/>
      <c r="BVZ23" s="35"/>
      <c r="BWA23" s="35"/>
      <c r="BWB23" s="35"/>
      <c r="BWC23" s="35"/>
      <c r="BWD23" s="35"/>
      <c r="BWE23" s="35"/>
      <c r="BWF23" s="35"/>
      <c r="BWG23" s="35"/>
      <c r="BWH23" s="35"/>
      <c r="BWI23" s="35"/>
      <c r="BWJ23" s="35"/>
      <c r="BWK23" s="35"/>
      <c r="BWL23" s="35"/>
      <c r="BWM23" s="35"/>
      <c r="BWN23" s="35"/>
      <c r="BWO23" s="35"/>
      <c r="BWP23" s="35"/>
      <c r="BWQ23" s="35"/>
      <c r="BWR23" s="35"/>
      <c r="BWS23" s="35"/>
      <c r="BWT23" s="35"/>
      <c r="BWU23" s="35"/>
      <c r="BWV23" s="35"/>
      <c r="BWW23" s="35"/>
      <c r="BWX23" s="35"/>
      <c r="BWY23" s="35"/>
      <c r="BWZ23" s="35"/>
      <c r="BXA23" s="35"/>
      <c r="BXB23" s="35"/>
      <c r="BXC23" s="35"/>
      <c r="BXD23" s="35"/>
      <c r="BXE23" s="35"/>
      <c r="BXF23" s="35"/>
      <c r="BXG23" s="35"/>
      <c r="BXH23" s="35"/>
      <c r="BXI23" s="35"/>
      <c r="BXJ23" s="35"/>
      <c r="BXK23" s="35"/>
      <c r="BXL23" s="35"/>
      <c r="BXM23" s="35"/>
      <c r="BXN23" s="35"/>
      <c r="BXO23" s="35"/>
      <c r="BXP23" s="35"/>
      <c r="BXQ23" s="35"/>
      <c r="BXR23" s="35"/>
      <c r="BXS23" s="35"/>
      <c r="BXT23" s="35"/>
      <c r="BXU23" s="35"/>
      <c r="BXV23" s="35"/>
      <c r="BXW23" s="35"/>
      <c r="BXX23" s="35"/>
      <c r="BXY23" s="35"/>
      <c r="BXZ23" s="35"/>
      <c r="BYA23" s="35"/>
      <c r="BYB23" s="35"/>
      <c r="BYC23" s="35"/>
      <c r="BYD23" s="35"/>
      <c r="BYE23" s="35"/>
      <c r="BYF23" s="35"/>
      <c r="BYG23" s="35"/>
      <c r="BYH23" s="35"/>
      <c r="BYI23" s="35"/>
      <c r="BYJ23" s="35"/>
      <c r="BYK23" s="35"/>
      <c r="BYL23" s="35"/>
      <c r="BYM23" s="35"/>
      <c r="BYN23" s="35"/>
      <c r="BYO23" s="35"/>
      <c r="BYP23" s="35"/>
      <c r="BYQ23" s="35"/>
      <c r="BYR23" s="35"/>
      <c r="BYS23" s="35"/>
      <c r="BYT23" s="35"/>
      <c r="BYU23" s="35"/>
      <c r="BYV23" s="35"/>
      <c r="BYW23" s="35"/>
      <c r="BYX23" s="35"/>
      <c r="BYY23" s="35"/>
      <c r="BYZ23" s="35"/>
      <c r="BZA23" s="35"/>
      <c r="BZB23" s="35"/>
      <c r="BZC23" s="35"/>
      <c r="BZD23" s="35"/>
      <c r="BZE23" s="35"/>
      <c r="BZF23" s="35"/>
      <c r="BZG23" s="35"/>
      <c r="BZH23" s="35"/>
      <c r="BZI23" s="35"/>
      <c r="BZJ23" s="35"/>
      <c r="BZK23" s="35"/>
      <c r="BZL23" s="35"/>
      <c r="BZM23" s="35"/>
      <c r="BZN23" s="35"/>
      <c r="BZO23" s="35"/>
      <c r="BZP23" s="35"/>
      <c r="BZQ23" s="35"/>
      <c r="BZR23" s="35"/>
      <c r="BZS23" s="35"/>
      <c r="BZT23" s="35"/>
      <c r="BZU23" s="35"/>
      <c r="BZV23" s="35"/>
      <c r="BZW23" s="35"/>
      <c r="BZX23" s="35"/>
      <c r="BZY23" s="35"/>
      <c r="BZZ23" s="35"/>
      <c r="CAA23" s="35"/>
      <c r="CAB23" s="35"/>
      <c r="CAC23" s="35"/>
      <c r="CAD23" s="35"/>
      <c r="CAE23" s="35"/>
      <c r="CAF23" s="35"/>
      <c r="CAG23" s="35"/>
      <c r="CAH23" s="35"/>
      <c r="CAI23" s="35"/>
      <c r="CAJ23" s="35"/>
      <c r="CAK23" s="35"/>
      <c r="CAL23" s="35"/>
      <c r="CAM23" s="35"/>
      <c r="CAN23" s="35"/>
      <c r="CAO23" s="35"/>
      <c r="CAP23" s="35"/>
      <c r="CAQ23" s="35"/>
      <c r="CAR23" s="35"/>
      <c r="CAS23" s="35"/>
      <c r="CAT23" s="35"/>
      <c r="CAU23" s="35"/>
      <c r="CAV23" s="35"/>
      <c r="CAW23" s="35"/>
      <c r="CAX23" s="35"/>
      <c r="CAY23" s="35"/>
      <c r="CAZ23" s="35"/>
      <c r="CBA23" s="35"/>
      <c r="CBB23" s="35"/>
      <c r="CBC23" s="35"/>
      <c r="CBD23" s="35"/>
      <c r="CBE23" s="35"/>
      <c r="CBF23" s="35"/>
      <c r="CBG23" s="35"/>
      <c r="CBH23" s="35"/>
      <c r="CBI23" s="35"/>
      <c r="CBJ23" s="35"/>
      <c r="CBK23" s="35"/>
      <c r="CBL23" s="35"/>
      <c r="CBM23" s="35"/>
      <c r="CBN23" s="35"/>
      <c r="CBO23" s="35"/>
      <c r="CBP23" s="35"/>
      <c r="CBQ23" s="35"/>
      <c r="CBR23" s="35"/>
      <c r="CBS23" s="35"/>
      <c r="CBT23" s="35"/>
      <c r="CBU23" s="35"/>
      <c r="CBV23" s="35"/>
      <c r="CBW23" s="35"/>
      <c r="CBX23" s="35"/>
      <c r="CBY23" s="35"/>
      <c r="CBZ23" s="35"/>
      <c r="CCA23" s="35"/>
      <c r="CCB23" s="35"/>
      <c r="CCC23" s="35"/>
      <c r="CCD23" s="35"/>
      <c r="CCE23" s="35"/>
      <c r="CCF23" s="35"/>
      <c r="CCG23" s="35"/>
      <c r="CCH23" s="35"/>
      <c r="CCI23" s="35"/>
      <c r="CCJ23" s="35"/>
      <c r="CCK23" s="35"/>
      <c r="CCL23" s="35"/>
      <c r="CCM23" s="35"/>
      <c r="CCN23" s="35"/>
      <c r="CCO23" s="35"/>
      <c r="CCP23" s="35"/>
      <c r="CCQ23" s="35"/>
      <c r="CCR23" s="35"/>
      <c r="CCS23" s="35"/>
      <c r="CCT23" s="35"/>
      <c r="CCU23" s="35"/>
      <c r="CCV23" s="35"/>
      <c r="CCW23" s="35"/>
      <c r="CCX23" s="35"/>
      <c r="CCY23" s="35"/>
      <c r="CCZ23" s="35"/>
      <c r="CDA23" s="35"/>
      <c r="CDB23" s="35"/>
      <c r="CDC23" s="35"/>
      <c r="CDD23" s="35"/>
      <c r="CDE23" s="35"/>
      <c r="CDF23" s="35"/>
      <c r="CDG23" s="35"/>
      <c r="CDH23" s="35"/>
      <c r="CDI23" s="35"/>
      <c r="CDJ23" s="35"/>
      <c r="CDK23" s="35"/>
      <c r="CDL23" s="35"/>
      <c r="CDM23" s="35"/>
      <c r="CDN23" s="35"/>
      <c r="CDO23" s="35"/>
      <c r="CDP23" s="35"/>
      <c r="CDQ23" s="35"/>
      <c r="CDR23" s="35"/>
      <c r="CDS23" s="35"/>
      <c r="CDT23" s="35"/>
      <c r="CDU23" s="35"/>
      <c r="CDV23" s="35"/>
      <c r="CDW23" s="35"/>
      <c r="CDX23" s="35"/>
      <c r="CDY23" s="35"/>
      <c r="CDZ23" s="35"/>
      <c r="CEA23" s="35"/>
      <c r="CEB23" s="35"/>
      <c r="CEC23" s="35"/>
      <c r="CED23" s="35"/>
      <c r="CEE23" s="35"/>
      <c r="CEF23" s="35"/>
      <c r="CEG23" s="35"/>
      <c r="CEH23" s="35"/>
      <c r="CEI23" s="35"/>
      <c r="CEJ23" s="35"/>
      <c r="CEK23" s="35"/>
      <c r="CEL23" s="35"/>
      <c r="CEM23" s="35"/>
      <c r="CEN23" s="35"/>
      <c r="CEO23" s="35"/>
      <c r="CEP23" s="35"/>
      <c r="CEQ23" s="35"/>
      <c r="CER23" s="35"/>
      <c r="CES23" s="35"/>
      <c r="CET23" s="35"/>
      <c r="CEU23" s="35"/>
      <c r="CEV23" s="35"/>
      <c r="CEW23" s="35"/>
      <c r="CEX23" s="35"/>
      <c r="CEY23" s="35"/>
      <c r="CEZ23" s="35"/>
      <c r="CFA23" s="35"/>
      <c r="CFB23" s="35"/>
      <c r="CFC23" s="35"/>
      <c r="CFD23" s="35"/>
      <c r="CFE23" s="35"/>
      <c r="CFF23" s="35"/>
      <c r="CFG23" s="35"/>
      <c r="CFH23" s="35"/>
      <c r="CFI23" s="35"/>
      <c r="CFJ23" s="35"/>
      <c r="CFK23" s="35"/>
      <c r="CFL23" s="35"/>
      <c r="CFM23" s="35"/>
      <c r="CFN23" s="35"/>
      <c r="CFO23" s="35"/>
      <c r="CFP23" s="35"/>
      <c r="CFQ23" s="35"/>
      <c r="CFR23" s="35"/>
      <c r="CFS23" s="35"/>
      <c r="CFT23" s="35"/>
      <c r="CFU23" s="35"/>
      <c r="CFV23" s="35"/>
      <c r="CFW23" s="35"/>
      <c r="CFX23" s="35"/>
      <c r="CFY23" s="35"/>
      <c r="CFZ23" s="35"/>
      <c r="CGA23" s="35"/>
      <c r="CGB23" s="35"/>
      <c r="CGC23" s="35"/>
      <c r="CGD23" s="35"/>
      <c r="CGE23" s="35"/>
      <c r="CGF23" s="35"/>
      <c r="CGG23" s="35"/>
      <c r="CGH23" s="35"/>
      <c r="CGI23" s="35"/>
      <c r="CGJ23" s="35"/>
      <c r="CGK23" s="35"/>
      <c r="CGL23" s="35"/>
      <c r="CGM23" s="35"/>
      <c r="CGN23" s="35"/>
      <c r="CGO23" s="35"/>
      <c r="CGP23" s="35"/>
      <c r="CGQ23" s="35"/>
      <c r="CGR23" s="35"/>
      <c r="CGS23" s="35"/>
      <c r="CGT23" s="35"/>
      <c r="CGU23" s="35"/>
      <c r="CGV23" s="35"/>
      <c r="CGW23" s="35"/>
      <c r="CGX23" s="35"/>
      <c r="CGY23" s="35"/>
      <c r="CGZ23" s="35"/>
      <c r="CHA23" s="35"/>
      <c r="CHB23" s="35"/>
      <c r="CHC23" s="35"/>
      <c r="CHD23" s="35"/>
      <c r="CHE23" s="35"/>
      <c r="CHF23" s="35"/>
      <c r="CHG23" s="35"/>
      <c r="CHH23" s="35"/>
      <c r="CHI23" s="35"/>
      <c r="CHJ23" s="35"/>
      <c r="CHK23" s="35"/>
      <c r="CHL23" s="35"/>
      <c r="CHM23" s="35"/>
      <c r="CHN23" s="35"/>
      <c r="CHO23" s="35"/>
      <c r="CHP23" s="35"/>
      <c r="CHQ23" s="35"/>
      <c r="CHR23" s="35"/>
      <c r="CHS23" s="35"/>
      <c r="CHT23" s="35"/>
      <c r="CHU23" s="35"/>
      <c r="CHV23" s="35"/>
      <c r="CHW23" s="35"/>
      <c r="CHX23" s="35"/>
      <c r="CHY23" s="35"/>
      <c r="CHZ23" s="35"/>
      <c r="CIA23" s="35"/>
      <c r="CIB23" s="35"/>
      <c r="CIC23" s="35"/>
      <c r="CID23" s="35"/>
      <c r="CIE23" s="35"/>
      <c r="CIF23" s="35"/>
      <c r="CIG23" s="35"/>
      <c r="CIH23" s="35"/>
      <c r="CII23" s="35"/>
      <c r="CIJ23" s="35"/>
      <c r="CIK23" s="35"/>
      <c r="CIL23" s="35"/>
      <c r="CIM23" s="35"/>
      <c r="CIN23" s="35"/>
      <c r="CIO23" s="35"/>
      <c r="CIP23" s="35"/>
      <c r="CIQ23" s="35"/>
      <c r="CIR23" s="35"/>
      <c r="CIS23" s="35"/>
      <c r="CIT23" s="35"/>
      <c r="CIU23" s="35"/>
      <c r="CIV23" s="35"/>
      <c r="CIW23" s="35"/>
      <c r="CIX23" s="35"/>
      <c r="CIY23" s="35"/>
      <c r="CIZ23" s="35"/>
      <c r="CJA23" s="35"/>
      <c r="CJB23" s="35"/>
      <c r="CJC23" s="35"/>
      <c r="CJD23" s="35"/>
      <c r="CJE23" s="35"/>
      <c r="CJF23" s="35"/>
      <c r="CJG23" s="35"/>
      <c r="CJH23" s="35"/>
      <c r="CJI23" s="35"/>
      <c r="CJJ23" s="35"/>
      <c r="CJK23" s="35"/>
      <c r="CJL23" s="35"/>
      <c r="CJM23" s="35"/>
      <c r="CJN23" s="35"/>
      <c r="CJO23" s="35"/>
      <c r="CJP23" s="35"/>
      <c r="CJQ23" s="35"/>
      <c r="CJR23" s="35"/>
      <c r="CJS23" s="35"/>
      <c r="CJT23" s="35"/>
      <c r="CJU23" s="35"/>
      <c r="CJV23" s="35"/>
      <c r="CJW23" s="35"/>
      <c r="CJX23" s="35"/>
      <c r="CJY23" s="35"/>
      <c r="CJZ23" s="35"/>
      <c r="CKA23" s="35"/>
      <c r="CKB23" s="35"/>
      <c r="CKC23" s="35"/>
      <c r="CKD23" s="35"/>
      <c r="CKE23" s="35"/>
      <c r="CKF23" s="35"/>
      <c r="CKG23" s="35"/>
      <c r="CKH23" s="35"/>
      <c r="CKI23" s="35"/>
      <c r="CKJ23" s="35"/>
      <c r="CKK23" s="35"/>
      <c r="CKL23" s="35"/>
      <c r="CKM23" s="35"/>
      <c r="CKN23" s="35"/>
      <c r="CKO23" s="35"/>
      <c r="CKP23" s="35"/>
      <c r="CKQ23" s="35"/>
      <c r="CKR23" s="35"/>
      <c r="CKS23" s="35"/>
      <c r="CKT23" s="35"/>
      <c r="CKU23" s="35"/>
      <c r="CKV23" s="35"/>
      <c r="CKW23" s="35"/>
      <c r="CKX23" s="35"/>
      <c r="CKY23" s="35"/>
      <c r="CKZ23" s="35"/>
      <c r="CLA23" s="35"/>
      <c r="CLB23" s="35"/>
      <c r="CLC23" s="35"/>
      <c r="CLD23" s="35"/>
      <c r="CLE23" s="35"/>
      <c r="CLF23" s="35"/>
      <c r="CLG23" s="35"/>
      <c r="CLH23" s="35"/>
      <c r="CLI23" s="35"/>
      <c r="CLJ23" s="35"/>
      <c r="CLK23" s="35"/>
      <c r="CLL23" s="35"/>
      <c r="CLM23" s="35"/>
      <c r="CLN23" s="35"/>
      <c r="CLO23" s="35"/>
      <c r="CLP23" s="35"/>
      <c r="CLQ23" s="35"/>
      <c r="CLR23" s="35"/>
      <c r="CLS23" s="35"/>
      <c r="CLT23" s="35"/>
      <c r="CLU23" s="35"/>
      <c r="CLV23" s="35"/>
      <c r="CLW23" s="35"/>
      <c r="CLX23" s="35"/>
      <c r="CLY23" s="35"/>
      <c r="CLZ23" s="35"/>
      <c r="CMA23" s="35"/>
      <c r="CMB23" s="35"/>
      <c r="CMC23" s="35"/>
      <c r="CMD23" s="35"/>
      <c r="CME23" s="35"/>
      <c r="CMF23" s="35"/>
      <c r="CMG23" s="35"/>
      <c r="CMH23" s="35"/>
      <c r="CMI23" s="35"/>
      <c r="CMJ23" s="35"/>
      <c r="CMK23" s="35"/>
      <c r="CML23" s="35"/>
      <c r="CMM23" s="35"/>
      <c r="CMN23" s="35"/>
      <c r="CMO23" s="35"/>
      <c r="CMP23" s="35"/>
      <c r="CMQ23" s="35"/>
      <c r="CMR23" s="35"/>
      <c r="CMS23" s="35"/>
      <c r="CMT23" s="35"/>
      <c r="CMU23" s="35"/>
      <c r="CMV23" s="35"/>
      <c r="CMW23" s="35"/>
      <c r="CMX23" s="35"/>
      <c r="CMY23" s="35"/>
      <c r="CMZ23" s="35"/>
      <c r="CNA23" s="35"/>
      <c r="CNB23" s="35"/>
      <c r="CNC23" s="35"/>
      <c r="CND23" s="35"/>
      <c r="CNE23" s="35"/>
      <c r="CNF23" s="35"/>
      <c r="CNG23" s="35"/>
      <c r="CNH23" s="35"/>
      <c r="CNI23" s="35"/>
      <c r="CNJ23" s="35"/>
      <c r="CNK23" s="35"/>
      <c r="CNL23" s="35"/>
      <c r="CNM23" s="35"/>
      <c r="CNN23" s="35"/>
      <c r="CNO23" s="35"/>
      <c r="CNP23" s="35"/>
      <c r="CNQ23" s="35"/>
      <c r="CNR23" s="35"/>
      <c r="CNS23" s="35"/>
      <c r="CNT23" s="35"/>
      <c r="CNU23" s="35"/>
      <c r="CNV23" s="35"/>
      <c r="CNW23" s="35"/>
      <c r="CNX23" s="35"/>
      <c r="CNY23" s="35"/>
      <c r="CNZ23" s="35"/>
      <c r="COA23" s="35"/>
      <c r="COB23" s="35"/>
      <c r="COC23" s="35"/>
      <c r="COD23" s="35"/>
      <c r="COE23" s="35"/>
      <c r="COF23" s="35"/>
      <c r="COG23" s="35"/>
      <c r="COH23" s="35"/>
      <c r="COI23" s="35"/>
      <c r="COJ23" s="35"/>
      <c r="COK23" s="35"/>
      <c r="COL23" s="35"/>
      <c r="COM23" s="35"/>
      <c r="CON23" s="35"/>
      <c r="COO23" s="35"/>
      <c r="COP23" s="35"/>
      <c r="COQ23" s="35"/>
      <c r="COR23" s="35"/>
      <c r="COS23" s="35"/>
      <c r="COT23" s="35"/>
      <c r="COU23" s="35"/>
      <c r="COV23" s="35"/>
      <c r="COW23" s="35"/>
      <c r="COX23" s="35"/>
      <c r="COY23" s="35"/>
      <c r="COZ23" s="35"/>
      <c r="CPA23" s="35"/>
      <c r="CPB23" s="35"/>
      <c r="CPC23" s="35"/>
      <c r="CPD23" s="35"/>
      <c r="CPE23" s="35"/>
      <c r="CPF23" s="35"/>
      <c r="CPG23" s="35"/>
      <c r="CPH23" s="35"/>
      <c r="CPI23" s="35"/>
      <c r="CPJ23" s="35"/>
      <c r="CPK23" s="35"/>
      <c r="CPL23" s="35"/>
      <c r="CPM23" s="35"/>
      <c r="CPN23" s="35"/>
      <c r="CPO23" s="35"/>
      <c r="CPP23" s="35"/>
      <c r="CPQ23" s="35"/>
      <c r="CPR23" s="35"/>
      <c r="CPS23" s="35"/>
      <c r="CPT23" s="35"/>
      <c r="CPU23" s="35"/>
      <c r="CPV23" s="35"/>
      <c r="CPW23" s="35"/>
      <c r="CPX23" s="35"/>
      <c r="CPY23" s="35"/>
      <c r="CPZ23" s="35"/>
      <c r="CQA23" s="35"/>
      <c r="CQB23" s="35"/>
      <c r="CQC23" s="35"/>
      <c r="CQD23" s="35"/>
      <c r="CQE23" s="35"/>
      <c r="CQF23" s="35"/>
      <c r="CQG23" s="35"/>
      <c r="CQH23" s="35"/>
      <c r="CQI23" s="35"/>
      <c r="CQJ23" s="35"/>
      <c r="CQK23" s="35"/>
      <c r="CQL23" s="35"/>
      <c r="CQM23" s="35"/>
      <c r="CQN23" s="35"/>
      <c r="CQO23" s="35"/>
      <c r="CQP23" s="35"/>
      <c r="CQQ23" s="35"/>
      <c r="CQR23" s="35"/>
      <c r="CQS23" s="35"/>
      <c r="CQT23" s="35"/>
      <c r="CQU23" s="35"/>
      <c r="CQV23" s="35"/>
      <c r="CQW23" s="35"/>
      <c r="CQX23" s="35"/>
      <c r="CQY23" s="35"/>
      <c r="CQZ23" s="35"/>
      <c r="CRA23" s="35"/>
      <c r="CRB23" s="35"/>
      <c r="CRC23" s="35"/>
      <c r="CRD23" s="35"/>
      <c r="CRE23" s="35"/>
      <c r="CRF23" s="35"/>
      <c r="CRG23" s="35"/>
      <c r="CRH23" s="35"/>
      <c r="CRI23" s="35"/>
      <c r="CRJ23" s="35"/>
      <c r="CRK23" s="35"/>
      <c r="CRL23" s="35"/>
      <c r="CRM23" s="35"/>
      <c r="CRN23" s="35"/>
      <c r="CRO23" s="35"/>
      <c r="CRP23" s="35"/>
      <c r="CRQ23" s="35"/>
      <c r="CRR23" s="35"/>
      <c r="CRS23" s="35"/>
      <c r="CRT23" s="35"/>
      <c r="CRU23" s="35"/>
      <c r="CRV23" s="35"/>
      <c r="CRW23" s="35"/>
      <c r="CRX23" s="35"/>
      <c r="CRY23" s="35"/>
      <c r="CRZ23" s="35"/>
      <c r="CSA23" s="35"/>
      <c r="CSB23" s="35"/>
      <c r="CSC23" s="35"/>
      <c r="CSD23" s="35"/>
      <c r="CSE23" s="35"/>
      <c r="CSF23" s="35"/>
      <c r="CSG23" s="35"/>
      <c r="CSH23" s="35"/>
      <c r="CSI23" s="35"/>
      <c r="CSJ23" s="35"/>
      <c r="CSK23" s="35"/>
      <c r="CSL23" s="35"/>
      <c r="CSM23" s="35"/>
      <c r="CSN23" s="35"/>
      <c r="CSO23" s="35"/>
      <c r="CSP23" s="35"/>
      <c r="CSQ23" s="35"/>
      <c r="CSR23" s="35"/>
      <c r="CSS23" s="35"/>
      <c r="CST23" s="35"/>
      <c r="CSU23" s="35"/>
      <c r="CSV23" s="35"/>
      <c r="CSW23" s="35"/>
      <c r="CSX23" s="35"/>
      <c r="CSY23" s="35"/>
      <c r="CSZ23" s="35"/>
      <c r="CTA23" s="35"/>
      <c r="CTB23" s="35"/>
      <c r="CTC23" s="35"/>
      <c r="CTD23" s="35"/>
      <c r="CTE23" s="35"/>
      <c r="CTF23" s="35"/>
      <c r="CTG23" s="35"/>
      <c r="CTH23" s="35"/>
      <c r="CTI23" s="35"/>
      <c r="CTJ23" s="35"/>
      <c r="CTK23" s="35"/>
      <c r="CTL23" s="35"/>
      <c r="CTM23" s="35"/>
      <c r="CTN23" s="35"/>
      <c r="CTO23" s="35"/>
      <c r="CTP23" s="35"/>
      <c r="CTQ23" s="35"/>
      <c r="CTR23" s="35"/>
      <c r="CTS23" s="35"/>
      <c r="CTT23" s="35"/>
      <c r="CTU23" s="35"/>
      <c r="CTV23" s="35"/>
      <c r="CTW23" s="35"/>
      <c r="CTX23" s="35"/>
      <c r="CTY23" s="35"/>
      <c r="CTZ23" s="35"/>
      <c r="CUA23" s="35"/>
      <c r="CUB23" s="35"/>
      <c r="CUC23" s="35"/>
      <c r="CUD23" s="35"/>
      <c r="CUE23" s="35"/>
      <c r="CUF23" s="35"/>
      <c r="CUG23" s="35"/>
      <c r="CUH23" s="35"/>
      <c r="CUI23" s="35"/>
      <c r="CUJ23" s="35"/>
      <c r="CUK23" s="35"/>
      <c r="CUL23" s="35"/>
      <c r="CUM23" s="35"/>
      <c r="CUN23" s="35"/>
      <c r="CUO23" s="35"/>
      <c r="CUP23" s="35"/>
      <c r="CUQ23" s="35"/>
      <c r="CUR23" s="35"/>
      <c r="CUS23" s="35"/>
      <c r="CUT23" s="35"/>
      <c r="CUU23" s="35"/>
      <c r="CUV23" s="35"/>
      <c r="CUW23" s="35"/>
      <c r="CUX23" s="35"/>
      <c r="CUY23" s="35"/>
      <c r="CUZ23" s="35"/>
      <c r="CVA23" s="35"/>
      <c r="CVB23" s="35"/>
      <c r="CVC23" s="35"/>
      <c r="CVD23" s="35"/>
      <c r="CVE23" s="35"/>
      <c r="CVF23" s="35"/>
      <c r="CVG23" s="35"/>
      <c r="CVH23" s="35"/>
      <c r="CVI23" s="35"/>
      <c r="CVJ23" s="35"/>
      <c r="CVK23" s="35"/>
      <c r="CVL23" s="35"/>
      <c r="CVM23" s="35"/>
      <c r="CVN23" s="35"/>
      <c r="CVO23" s="35"/>
      <c r="CVP23" s="35"/>
      <c r="CVQ23" s="35"/>
      <c r="CVR23" s="35"/>
      <c r="CVS23" s="35"/>
      <c r="CVT23" s="35"/>
      <c r="CVU23" s="35"/>
      <c r="CVV23" s="35"/>
      <c r="CVW23" s="35"/>
      <c r="CVX23" s="35"/>
      <c r="CVY23" s="35"/>
      <c r="CVZ23" s="35"/>
      <c r="CWA23" s="35"/>
      <c r="CWB23" s="35"/>
      <c r="CWC23" s="35"/>
      <c r="CWD23" s="35"/>
      <c r="CWE23" s="35"/>
      <c r="CWF23" s="35"/>
      <c r="CWG23" s="35"/>
      <c r="CWH23" s="35"/>
      <c r="CWI23" s="35"/>
      <c r="CWJ23" s="35"/>
      <c r="CWK23" s="35"/>
      <c r="CWL23" s="35"/>
      <c r="CWM23" s="35"/>
      <c r="CWN23" s="35"/>
      <c r="CWO23" s="35"/>
      <c r="CWP23" s="35"/>
      <c r="CWQ23" s="35"/>
      <c r="CWR23" s="35"/>
      <c r="CWS23" s="35"/>
      <c r="CWT23" s="35"/>
      <c r="CWU23" s="35"/>
      <c r="CWV23" s="35"/>
      <c r="CWW23" s="35"/>
      <c r="CWX23" s="35"/>
      <c r="CWY23" s="35"/>
      <c r="CWZ23" s="35"/>
      <c r="CXA23" s="35"/>
      <c r="CXB23" s="35"/>
      <c r="CXC23" s="35"/>
      <c r="CXD23" s="35"/>
      <c r="CXE23" s="35"/>
      <c r="CXF23" s="35"/>
      <c r="CXG23" s="35"/>
      <c r="CXH23" s="35"/>
      <c r="CXI23" s="35"/>
      <c r="CXJ23" s="35"/>
      <c r="CXK23" s="35"/>
      <c r="CXL23" s="35"/>
      <c r="CXM23" s="35"/>
      <c r="CXN23" s="35"/>
      <c r="CXO23" s="35"/>
      <c r="CXP23" s="35"/>
      <c r="CXQ23" s="35"/>
      <c r="CXR23" s="35"/>
      <c r="CXS23" s="35"/>
      <c r="CXT23" s="35"/>
      <c r="CXU23" s="35"/>
      <c r="CXV23" s="35"/>
      <c r="CXW23" s="35"/>
      <c r="CXX23" s="35"/>
      <c r="CXY23" s="35"/>
      <c r="CXZ23" s="35"/>
      <c r="CYA23" s="35"/>
      <c r="CYB23" s="35"/>
      <c r="CYC23" s="35"/>
      <c r="CYD23" s="35"/>
      <c r="CYE23" s="35"/>
      <c r="CYF23" s="35"/>
      <c r="CYG23" s="35"/>
      <c r="CYH23" s="35"/>
      <c r="CYI23" s="35"/>
      <c r="CYJ23" s="35"/>
      <c r="CYK23" s="35"/>
      <c r="CYL23" s="35"/>
      <c r="CYM23" s="35"/>
      <c r="CYN23" s="35"/>
      <c r="CYO23" s="35"/>
      <c r="CYP23" s="35"/>
      <c r="CYQ23" s="35"/>
      <c r="CYR23" s="35"/>
      <c r="CYS23" s="35"/>
      <c r="CYT23" s="35"/>
      <c r="CYU23" s="35"/>
      <c r="CYV23" s="35"/>
      <c r="CYW23" s="35"/>
      <c r="CYX23" s="35"/>
      <c r="CYY23" s="35"/>
      <c r="CYZ23" s="35"/>
      <c r="CZA23" s="35"/>
      <c r="CZB23" s="35"/>
      <c r="CZC23" s="35"/>
      <c r="CZD23" s="35"/>
      <c r="CZE23" s="35"/>
      <c r="CZF23" s="35"/>
      <c r="CZG23" s="35"/>
      <c r="CZH23" s="35"/>
      <c r="CZI23" s="35"/>
      <c r="CZJ23" s="35"/>
      <c r="CZK23" s="35"/>
      <c r="CZL23" s="35"/>
      <c r="CZM23" s="35"/>
      <c r="CZN23" s="35"/>
      <c r="CZO23" s="35"/>
      <c r="CZP23" s="35"/>
      <c r="CZQ23" s="35"/>
      <c r="CZR23" s="35"/>
      <c r="CZS23" s="35"/>
      <c r="CZT23" s="35"/>
      <c r="CZU23" s="35"/>
      <c r="CZV23" s="35"/>
      <c r="CZW23" s="35"/>
      <c r="CZX23" s="35"/>
      <c r="CZY23" s="35"/>
      <c r="CZZ23" s="35"/>
      <c r="DAA23" s="35"/>
      <c r="DAB23" s="35"/>
      <c r="DAC23" s="35"/>
      <c r="DAD23" s="35"/>
      <c r="DAE23" s="35"/>
      <c r="DAF23" s="35"/>
      <c r="DAG23" s="35"/>
      <c r="DAH23" s="35"/>
      <c r="DAI23" s="35"/>
      <c r="DAJ23" s="35"/>
      <c r="DAK23" s="35"/>
      <c r="DAL23" s="35"/>
      <c r="DAM23" s="35"/>
      <c r="DAN23" s="35"/>
      <c r="DAO23" s="35"/>
      <c r="DAP23" s="35"/>
      <c r="DAQ23" s="35"/>
      <c r="DAR23" s="35"/>
      <c r="DAS23" s="35"/>
      <c r="DAT23" s="35"/>
      <c r="DAU23" s="35"/>
      <c r="DAV23" s="35"/>
      <c r="DAW23" s="35"/>
      <c r="DAX23" s="35"/>
      <c r="DAY23" s="35"/>
      <c r="DAZ23" s="35"/>
      <c r="DBA23" s="35"/>
      <c r="DBB23" s="35"/>
      <c r="DBC23" s="35"/>
      <c r="DBD23" s="35"/>
      <c r="DBE23" s="35"/>
      <c r="DBF23" s="35"/>
      <c r="DBG23" s="35"/>
      <c r="DBH23" s="35"/>
      <c r="DBI23" s="35"/>
      <c r="DBJ23" s="35"/>
      <c r="DBK23" s="35"/>
      <c r="DBL23" s="35"/>
      <c r="DBM23" s="35"/>
      <c r="DBN23" s="35"/>
      <c r="DBO23" s="35"/>
      <c r="DBP23" s="35"/>
      <c r="DBQ23" s="35"/>
      <c r="DBR23" s="35"/>
      <c r="DBS23" s="35"/>
      <c r="DBT23" s="35"/>
      <c r="DBU23" s="35"/>
      <c r="DBV23" s="35"/>
      <c r="DBW23" s="35"/>
      <c r="DBX23" s="35"/>
      <c r="DBY23" s="35"/>
      <c r="DBZ23" s="35"/>
      <c r="DCA23" s="35"/>
      <c r="DCB23" s="35"/>
      <c r="DCC23" s="35"/>
      <c r="DCD23" s="35"/>
      <c r="DCE23" s="35"/>
      <c r="DCF23" s="35"/>
      <c r="DCG23" s="35"/>
      <c r="DCH23" s="35"/>
      <c r="DCI23" s="35"/>
      <c r="DCJ23" s="35"/>
      <c r="DCK23" s="35"/>
      <c r="DCL23" s="35"/>
      <c r="DCM23" s="35"/>
      <c r="DCN23" s="35"/>
      <c r="DCO23" s="35"/>
      <c r="DCP23" s="35"/>
      <c r="DCQ23" s="35"/>
      <c r="DCR23" s="35"/>
      <c r="DCS23" s="35"/>
      <c r="DCT23" s="35"/>
      <c r="DCU23" s="35"/>
      <c r="DCV23" s="35"/>
      <c r="DCW23" s="35"/>
      <c r="DCX23" s="35"/>
      <c r="DCY23" s="35"/>
      <c r="DCZ23" s="35"/>
      <c r="DDA23" s="35"/>
      <c r="DDB23" s="35"/>
      <c r="DDC23" s="35"/>
      <c r="DDD23" s="35"/>
      <c r="DDE23" s="35"/>
      <c r="DDF23" s="35"/>
      <c r="DDG23" s="35"/>
      <c r="DDH23" s="35"/>
      <c r="DDI23" s="35"/>
      <c r="DDJ23" s="35"/>
      <c r="DDK23" s="35"/>
      <c r="DDL23" s="35"/>
      <c r="DDM23" s="35"/>
      <c r="DDN23" s="35"/>
      <c r="DDO23" s="35"/>
      <c r="DDP23" s="35"/>
      <c r="DDQ23" s="35"/>
      <c r="DDR23" s="35"/>
      <c r="DDS23" s="35"/>
      <c r="DDT23" s="35"/>
      <c r="DDU23" s="35"/>
      <c r="DDV23" s="35"/>
      <c r="DDW23" s="35"/>
      <c r="DDX23" s="35"/>
      <c r="DDY23" s="35"/>
      <c r="DDZ23" s="35"/>
      <c r="DEA23" s="35"/>
      <c r="DEB23" s="35"/>
      <c r="DEC23" s="35"/>
      <c r="DED23" s="35"/>
      <c r="DEE23" s="35"/>
      <c r="DEF23" s="35"/>
      <c r="DEG23" s="35"/>
      <c r="DEH23" s="35"/>
      <c r="DEI23" s="35"/>
      <c r="DEJ23" s="35"/>
      <c r="DEK23" s="35"/>
      <c r="DEL23" s="35"/>
      <c r="DEM23" s="35"/>
      <c r="DEN23" s="35"/>
      <c r="DEO23" s="35"/>
      <c r="DEP23" s="35"/>
      <c r="DEQ23" s="35"/>
      <c r="DER23" s="35"/>
      <c r="DES23" s="35"/>
      <c r="DET23" s="35"/>
      <c r="DEU23" s="35"/>
      <c r="DEV23" s="35"/>
      <c r="DEW23" s="35"/>
      <c r="DEX23" s="35"/>
      <c r="DEY23" s="35"/>
      <c r="DEZ23" s="35"/>
      <c r="DFA23" s="35"/>
      <c r="DFB23" s="35"/>
      <c r="DFC23" s="35"/>
      <c r="DFD23" s="35"/>
      <c r="DFE23" s="35"/>
      <c r="DFF23" s="35"/>
      <c r="DFG23" s="35"/>
      <c r="DFH23" s="35"/>
      <c r="DFI23" s="35"/>
      <c r="DFJ23" s="35"/>
      <c r="DFK23" s="35"/>
      <c r="DFL23" s="35"/>
      <c r="DFM23" s="35"/>
      <c r="DFN23" s="35"/>
      <c r="DFO23" s="35"/>
      <c r="DFP23" s="35"/>
      <c r="DFQ23" s="35"/>
      <c r="DFR23" s="35"/>
      <c r="DFS23" s="35"/>
      <c r="DFT23" s="35"/>
      <c r="DFU23" s="35"/>
      <c r="DFV23" s="35"/>
      <c r="DFW23" s="35"/>
      <c r="DFX23" s="35"/>
      <c r="DFY23" s="35"/>
      <c r="DFZ23" s="35"/>
      <c r="DGA23" s="35"/>
      <c r="DGB23" s="35"/>
      <c r="DGC23" s="35"/>
      <c r="DGD23" s="35"/>
      <c r="DGE23" s="35"/>
      <c r="DGF23" s="35"/>
      <c r="DGG23" s="35"/>
      <c r="DGH23" s="35"/>
      <c r="DGI23" s="35"/>
      <c r="DGJ23" s="35"/>
      <c r="DGK23" s="35"/>
      <c r="DGL23" s="35"/>
      <c r="DGM23" s="35"/>
      <c r="DGN23" s="35"/>
      <c r="DGO23" s="35"/>
      <c r="DGP23" s="35"/>
      <c r="DGQ23" s="35"/>
      <c r="DGR23" s="35"/>
      <c r="DGS23" s="35"/>
      <c r="DGT23" s="35"/>
      <c r="DGU23" s="35"/>
      <c r="DGV23" s="35"/>
      <c r="DGW23" s="35"/>
      <c r="DGX23" s="35"/>
      <c r="DGY23" s="35"/>
      <c r="DGZ23" s="35"/>
      <c r="DHA23" s="35"/>
      <c r="DHB23" s="35"/>
      <c r="DHC23" s="35"/>
      <c r="DHD23" s="35"/>
      <c r="DHE23" s="35"/>
      <c r="DHF23" s="35"/>
      <c r="DHG23" s="35"/>
      <c r="DHH23" s="35"/>
      <c r="DHI23" s="35"/>
      <c r="DHJ23" s="35"/>
      <c r="DHK23" s="35"/>
      <c r="DHL23" s="35"/>
      <c r="DHM23" s="35"/>
      <c r="DHN23" s="35"/>
      <c r="DHO23" s="35"/>
      <c r="DHP23" s="35"/>
      <c r="DHQ23" s="35"/>
      <c r="DHR23" s="35"/>
      <c r="DHS23" s="35"/>
      <c r="DHT23" s="35"/>
      <c r="DHU23" s="35"/>
      <c r="DHV23" s="35"/>
      <c r="DHW23" s="35"/>
      <c r="DHX23" s="35"/>
      <c r="DHY23" s="35"/>
      <c r="DHZ23" s="35"/>
      <c r="DIA23" s="35"/>
      <c r="DIB23" s="35"/>
      <c r="DIC23" s="35"/>
      <c r="DID23" s="35"/>
      <c r="DIE23" s="35"/>
      <c r="DIF23" s="35"/>
      <c r="DIG23" s="35"/>
      <c r="DIH23" s="35"/>
      <c r="DII23" s="35"/>
      <c r="DIJ23" s="35"/>
      <c r="DIK23" s="35"/>
      <c r="DIL23" s="35"/>
      <c r="DIM23" s="35"/>
      <c r="DIN23" s="35"/>
      <c r="DIO23" s="35"/>
      <c r="DIP23" s="35"/>
      <c r="DIQ23" s="35"/>
      <c r="DIR23" s="35"/>
      <c r="DIS23" s="35"/>
      <c r="DIT23" s="35"/>
      <c r="DIU23" s="35"/>
      <c r="DIV23" s="35"/>
      <c r="DIW23" s="35"/>
      <c r="DIX23" s="35"/>
      <c r="DIY23" s="35"/>
      <c r="DIZ23" s="35"/>
      <c r="DJA23" s="35"/>
      <c r="DJB23" s="35"/>
      <c r="DJC23" s="35"/>
      <c r="DJD23" s="35"/>
      <c r="DJE23" s="35"/>
      <c r="DJF23" s="35"/>
      <c r="DJG23" s="35"/>
      <c r="DJH23" s="35"/>
      <c r="DJI23" s="35"/>
      <c r="DJJ23" s="35"/>
      <c r="DJK23" s="35"/>
      <c r="DJL23" s="35"/>
      <c r="DJM23" s="35"/>
      <c r="DJN23" s="35"/>
      <c r="DJO23" s="35"/>
      <c r="DJP23" s="35"/>
      <c r="DJQ23" s="35"/>
      <c r="DJR23" s="35"/>
      <c r="DJS23" s="35"/>
      <c r="DJT23" s="35"/>
      <c r="DJU23" s="35"/>
      <c r="DJV23" s="35"/>
      <c r="DJW23" s="35"/>
      <c r="DJX23" s="35"/>
      <c r="DJY23" s="35"/>
      <c r="DJZ23" s="35"/>
      <c r="DKA23" s="35"/>
      <c r="DKB23" s="35"/>
      <c r="DKC23" s="35"/>
      <c r="DKD23" s="35"/>
      <c r="DKE23" s="35"/>
      <c r="DKF23" s="35"/>
      <c r="DKG23" s="35"/>
      <c r="DKH23" s="35"/>
      <c r="DKI23" s="35"/>
      <c r="DKJ23" s="35"/>
      <c r="DKK23" s="35"/>
      <c r="DKL23" s="35"/>
      <c r="DKM23" s="35"/>
      <c r="DKN23" s="35"/>
      <c r="DKO23" s="35"/>
      <c r="DKP23" s="35"/>
      <c r="DKQ23" s="35"/>
      <c r="DKR23" s="35"/>
      <c r="DKS23" s="35"/>
      <c r="DKT23" s="35"/>
      <c r="DKU23" s="35"/>
      <c r="DKV23" s="35"/>
      <c r="DKW23" s="35"/>
      <c r="DKX23" s="35"/>
      <c r="DKY23" s="35"/>
      <c r="DKZ23" s="35"/>
      <c r="DLA23" s="35"/>
      <c r="DLB23" s="35"/>
      <c r="DLC23" s="35"/>
      <c r="DLD23" s="35"/>
      <c r="DLE23" s="35"/>
      <c r="DLF23" s="35"/>
      <c r="DLG23" s="35"/>
      <c r="DLH23" s="35"/>
      <c r="DLI23" s="35"/>
      <c r="DLJ23" s="35"/>
      <c r="DLK23" s="35"/>
      <c r="DLL23" s="35"/>
      <c r="DLM23" s="35"/>
      <c r="DLN23" s="35"/>
      <c r="DLO23" s="35"/>
      <c r="DLP23" s="35"/>
      <c r="DLQ23" s="35"/>
      <c r="DLR23" s="35"/>
      <c r="DLS23" s="35"/>
      <c r="DLT23" s="35"/>
      <c r="DLU23" s="35"/>
      <c r="DLV23" s="35"/>
      <c r="DLW23" s="35"/>
      <c r="DLX23" s="35"/>
      <c r="DLY23" s="35"/>
      <c r="DLZ23" s="35"/>
      <c r="DMA23" s="35"/>
      <c r="DMB23" s="35"/>
      <c r="DMC23" s="35"/>
      <c r="DMD23" s="35"/>
      <c r="DME23" s="35"/>
      <c r="DMF23" s="35"/>
      <c r="DMG23" s="35"/>
      <c r="DMH23" s="35"/>
      <c r="DMI23" s="35"/>
      <c r="DMJ23" s="35"/>
      <c r="DMK23" s="35"/>
      <c r="DML23" s="35"/>
      <c r="DMM23" s="35"/>
      <c r="DMN23" s="35"/>
      <c r="DMO23" s="35"/>
      <c r="DMP23" s="35"/>
      <c r="DMQ23" s="35"/>
      <c r="DMR23" s="35"/>
      <c r="DMS23" s="35"/>
      <c r="DMT23" s="35"/>
      <c r="DMU23" s="35"/>
      <c r="DMV23" s="35"/>
      <c r="DMW23" s="35"/>
      <c r="DMX23" s="35"/>
      <c r="DMY23" s="35"/>
      <c r="DMZ23" s="35"/>
      <c r="DNA23" s="35"/>
      <c r="DNB23" s="35"/>
      <c r="DNC23" s="35"/>
      <c r="DND23" s="35"/>
      <c r="DNE23" s="35"/>
      <c r="DNF23" s="35"/>
      <c r="DNG23" s="35"/>
      <c r="DNH23" s="35"/>
      <c r="DNI23" s="35"/>
      <c r="DNJ23" s="35"/>
      <c r="DNK23" s="35"/>
      <c r="DNL23" s="35"/>
      <c r="DNM23" s="35"/>
      <c r="DNN23" s="35"/>
      <c r="DNO23" s="35"/>
      <c r="DNP23" s="35"/>
      <c r="DNQ23" s="35"/>
      <c r="DNR23" s="35"/>
      <c r="DNS23" s="35"/>
      <c r="DNT23" s="35"/>
      <c r="DNU23" s="35"/>
      <c r="DNV23" s="35"/>
      <c r="DNW23" s="35"/>
      <c r="DNX23" s="35"/>
      <c r="DNY23" s="35"/>
      <c r="DNZ23" s="35"/>
      <c r="DOA23" s="35"/>
      <c r="DOB23" s="35"/>
      <c r="DOC23" s="35"/>
      <c r="DOD23" s="35"/>
      <c r="DOE23" s="35"/>
      <c r="DOF23" s="35"/>
      <c r="DOG23" s="35"/>
      <c r="DOH23" s="35"/>
      <c r="DOI23" s="35"/>
      <c r="DOJ23" s="35"/>
      <c r="DOK23" s="35"/>
      <c r="DOL23" s="35"/>
      <c r="DOM23" s="35"/>
      <c r="DON23" s="35"/>
      <c r="DOO23" s="35"/>
      <c r="DOP23" s="35"/>
      <c r="DOQ23" s="35"/>
      <c r="DOR23" s="35"/>
      <c r="DOS23" s="35"/>
      <c r="DOT23" s="35"/>
      <c r="DOU23" s="35"/>
      <c r="DOV23" s="35"/>
      <c r="DOW23" s="35"/>
      <c r="DOX23" s="35"/>
      <c r="DOY23" s="35"/>
      <c r="DOZ23" s="35"/>
      <c r="DPA23" s="35"/>
      <c r="DPB23" s="35"/>
      <c r="DPC23" s="35"/>
      <c r="DPD23" s="35"/>
      <c r="DPE23" s="35"/>
      <c r="DPF23" s="35"/>
      <c r="DPG23" s="35"/>
      <c r="DPH23" s="35"/>
      <c r="DPI23" s="35"/>
      <c r="DPJ23" s="35"/>
      <c r="DPK23" s="35"/>
      <c r="DPL23" s="35"/>
      <c r="DPM23" s="35"/>
      <c r="DPN23" s="35"/>
      <c r="DPO23" s="35"/>
      <c r="DPP23" s="35"/>
      <c r="DPQ23" s="35"/>
      <c r="DPR23" s="35"/>
      <c r="DPS23" s="35"/>
      <c r="DPT23" s="35"/>
      <c r="DPU23" s="35"/>
      <c r="DPV23" s="35"/>
      <c r="DPW23" s="35"/>
      <c r="DPX23" s="35"/>
      <c r="DPY23" s="35"/>
      <c r="DPZ23" s="35"/>
      <c r="DQA23" s="35"/>
      <c r="DQB23" s="35"/>
      <c r="DQC23" s="35"/>
      <c r="DQD23" s="35"/>
      <c r="DQE23" s="35"/>
      <c r="DQF23" s="35"/>
      <c r="DQG23" s="35"/>
      <c r="DQH23" s="35"/>
      <c r="DQI23" s="35"/>
      <c r="DQJ23" s="35"/>
      <c r="DQK23" s="35"/>
      <c r="DQL23" s="35"/>
      <c r="DQM23" s="35"/>
      <c r="DQN23" s="35"/>
      <c r="DQO23" s="35"/>
      <c r="DQP23" s="35"/>
      <c r="DQQ23" s="35"/>
      <c r="DQR23" s="35"/>
      <c r="DQS23" s="35"/>
      <c r="DQT23" s="35"/>
      <c r="DQU23" s="35"/>
      <c r="DQV23" s="35"/>
      <c r="DQW23" s="35"/>
      <c r="DQX23" s="35"/>
      <c r="DQY23" s="35"/>
      <c r="DQZ23" s="35"/>
      <c r="DRA23" s="35"/>
      <c r="DRB23" s="35"/>
      <c r="DRC23" s="35"/>
      <c r="DRD23" s="35"/>
      <c r="DRE23" s="35"/>
      <c r="DRF23" s="35"/>
      <c r="DRG23" s="35"/>
      <c r="DRH23" s="35"/>
      <c r="DRI23" s="35"/>
      <c r="DRJ23" s="35"/>
      <c r="DRK23" s="35"/>
      <c r="DRL23" s="35"/>
      <c r="DRM23" s="35"/>
      <c r="DRN23" s="35"/>
      <c r="DRO23" s="35"/>
      <c r="DRP23" s="35"/>
      <c r="DRQ23" s="35"/>
      <c r="DRR23" s="35"/>
      <c r="DRS23" s="35"/>
      <c r="DRT23" s="35"/>
      <c r="DRU23" s="35"/>
      <c r="DRV23" s="35"/>
      <c r="DRW23" s="35"/>
      <c r="DRX23" s="35"/>
      <c r="DRY23" s="35"/>
      <c r="DRZ23" s="35"/>
      <c r="DSA23" s="35"/>
      <c r="DSB23" s="35"/>
      <c r="DSC23" s="35"/>
      <c r="DSD23" s="35"/>
      <c r="DSE23" s="35"/>
      <c r="DSF23" s="35"/>
      <c r="DSG23" s="35"/>
      <c r="DSH23" s="35"/>
      <c r="DSI23" s="35"/>
      <c r="DSJ23" s="35"/>
      <c r="DSK23" s="35"/>
      <c r="DSL23" s="35"/>
      <c r="DSM23" s="35"/>
      <c r="DSN23" s="35"/>
      <c r="DSO23" s="35"/>
      <c r="DSP23" s="35"/>
      <c r="DSQ23" s="35"/>
      <c r="DSR23" s="35"/>
      <c r="DSS23" s="35"/>
      <c r="DST23" s="35"/>
      <c r="DSU23" s="35"/>
      <c r="DSV23" s="35"/>
      <c r="DSW23" s="35"/>
      <c r="DSX23" s="35"/>
      <c r="DSY23" s="35"/>
      <c r="DSZ23" s="35"/>
      <c r="DTA23" s="35"/>
      <c r="DTB23" s="35"/>
      <c r="DTC23" s="35"/>
      <c r="DTD23" s="35"/>
      <c r="DTE23" s="35"/>
      <c r="DTF23" s="35"/>
      <c r="DTG23" s="35"/>
      <c r="DTH23" s="35"/>
      <c r="DTI23" s="35"/>
      <c r="DTJ23" s="35"/>
      <c r="DTK23" s="35"/>
      <c r="DTL23" s="35"/>
      <c r="DTM23" s="35"/>
      <c r="DTN23" s="35"/>
      <c r="DTO23" s="35"/>
      <c r="DTP23" s="35"/>
      <c r="DTQ23" s="35"/>
      <c r="DTR23" s="35"/>
      <c r="DTS23" s="35"/>
      <c r="DTT23" s="35"/>
      <c r="DTU23" s="35"/>
      <c r="DTV23" s="35"/>
      <c r="DTW23" s="35"/>
      <c r="DTX23" s="35"/>
      <c r="DTY23" s="35"/>
      <c r="DTZ23" s="35"/>
      <c r="DUA23" s="35"/>
      <c r="DUB23" s="35"/>
      <c r="DUC23" s="35"/>
      <c r="DUD23" s="35"/>
      <c r="DUE23" s="35"/>
      <c r="DUF23" s="35"/>
      <c r="DUG23" s="35"/>
      <c r="DUH23" s="35"/>
      <c r="DUI23" s="35"/>
      <c r="DUJ23" s="35"/>
      <c r="DUK23" s="35"/>
      <c r="DUL23" s="35"/>
      <c r="DUM23" s="35"/>
      <c r="DUN23" s="35"/>
      <c r="DUO23" s="35"/>
      <c r="DUP23" s="35"/>
      <c r="DUQ23" s="35"/>
      <c r="DUR23" s="35"/>
      <c r="DUS23" s="35"/>
      <c r="DUT23" s="35"/>
      <c r="DUU23" s="35"/>
      <c r="DUV23" s="35"/>
      <c r="DUW23" s="35"/>
      <c r="DUX23" s="35"/>
      <c r="DUY23" s="35"/>
      <c r="DUZ23" s="35"/>
      <c r="DVA23" s="35"/>
      <c r="DVB23" s="35"/>
      <c r="DVC23" s="35"/>
      <c r="DVD23" s="35"/>
      <c r="DVE23" s="35"/>
      <c r="DVF23" s="35"/>
      <c r="DVG23" s="35"/>
      <c r="DVH23" s="35"/>
      <c r="DVI23" s="35"/>
      <c r="DVJ23" s="35"/>
      <c r="DVK23" s="35"/>
      <c r="DVL23" s="35"/>
      <c r="DVM23" s="35"/>
      <c r="DVN23" s="35"/>
      <c r="DVO23" s="35"/>
      <c r="DVP23" s="35"/>
      <c r="DVQ23" s="35"/>
      <c r="DVR23" s="35"/>
      <c r="DVS23" s="35"/>
      <c r="DVT23" s="35"/>
      <c r="DVU23" s="35"/>
      <c r="DVV23" s="35"/>
      <c r="DVW23" s="35"/>
      <c r="DVX23" s="35"/>
      <c r="DVY23" s="35"/>
      <c r="DVZ23" s="35"/>
      <c r="DWA23" s="35"/>
      <c r="DWB23" s="35"/>
      <c r="DWC23" s="35"/>
      <c r="DWD23" s="35"/>
      <c r="DWE23" s="35"/>
      <c r="DWF23" s="35"/>
      <c r="DWG23" s="35"/>
      <c r="DWH23" s="35"/>
      <c r="DWI23" s="35"/>
      <c r="DWJ23" s="35"/>
      <c r="DWK23" s="35"/>
      <c r="DWL23" s="35"/>
      <c r="DWM23" s="35"/>
      <c r="DWN23" s="35"/>
      <c r="DWO23" s="35"/>
      <c r="DWP23" s="35"/>
      <c r="DWQ23" s="35"/>
      <c r="DWR23" s="35"/>
      <c r="DWS23" s="35"/>
      <c r="DWT23" s="35"/>
      <c r="DWU23" s="35"/>
      <c r="DWV23" s="35"/>
      <c r="DWW23" s="35"/>
      <c r="DWX23" s="35"/>
      <c r="DWY23" s="35"/>
      <c r="DWZ23" s="35"/>
      <c r="DXA23" s="35"/>
      <c r="DXB23" s="35"/>
      <c r="DXC23" s="35"/>
      <c r="DXD23" s="35"/>
      <c r="DXE23" s="35"/>
      <c r="DXF23" s="35"/>
      <c r="DXG23" s="35"/>
      <c r="DXH23" s="35"/>
      <c r="DXI23" s="35"/>
      <c r="DXJ23" s="35"/>
      <c r="DXK23" s="35"/>
      <c r="DXL23" s="35"/>
      <c r="DXM23" s="35"/>
      <c r="DXN23" s="35"/>
      <c r="DXO23" s="35"/>
      <c r="DXP23" s="35"/>
      <c r="DXQ23" s="35"/>
      <c r="DXR23" s="35"/>
      <c r="DXS23" s="35"/>
      <c r="DXT23" s="35"/>
      <c r="DXU23" s="35"/>
      <c r="DXV23" s="35"/>
      <c r="DXW23" s="35"/>
      <c r="DXX23" s="35"/>
      <c r="DXY23" s="35"/>
      <c r="DXZ23" s="35"/>
      <c r="DYA23" s="35"/>
      <c r="DYB23" s="35"/>
      <c r="DYC23" s="35"/>
      <c r="DYD23" s="35"/>
      <c r="DYE23" s="35"/>
      <c r="DYF23" s="35"/>
      <c r="DYG23" s="35"/>
      <c r="DYH23" s="35"/>
      <c r="DYI23" s="35"/>
      <c r="DYJ23" s="35"/>
      <c r="DYK23" s="35"/>
      <c r="DYL23" s="35"/>
      <c r="DYM23" s="35"/>
      <c r="DYN23" s="35"/>
      <c r="DYO23" s="35"/>
      <c r="DYP23" s="35"/>
      <c r="DYQ23" s="35"/>
      <c r="DYR23" s="35"/>
      <c r="DYS23" s="35"/>
      <c r="DYT23" s="35"/>
      <c r="DYU23" s="35"/>
      <c r="DYV23" s="35"/>
      <c r="DYW23" s="35"/>
      <c r="DYX23" s="35"/>
      <c r="DYY23" s="35"/>
      <c r="DYZ23" s="35"/>
      <c r="DZA23" s="35"/>
      <c r="DZB23" s="35"/>
      <c r="DZC23" s="35"/>
      <c r="DZD23" s="35"/>
      <c r="DZE23" s="35"/>
      <c r="DZF23" s="35"/>
      <c r="DZG23" s="35"/>
      <c r="DZH23" s="35"/>
      <c r="DZI23" s="35"/>
      <c r="DZJ23" s="35"/>
      <c r="DZK23" s="35"/>
      <c r="DZL23" s="35"/>
      <c r="DZM23" s="35"/>
      <c r="DZN23" s="35"/>
      <c r="DZO23" s="35"/>
      <c r="DZP23" s="35"/>
      <c r="DZQ23" s="35"/>
      <c r="DZR23" s="35"/>
      <c r="DZS23" s="35"/>
      <c r="DZT23" s="35"/>
      <c r="DZU23" s="35"/>
      <c r="DZV23" s="35"/>
      <c r="DZW23" s="35"/>
      <c r="DZX23" s="35"/>
      <c r="DZY23" s="35"/>
      <c r="DZZ23" s="35"/>
      <c r="EAA23" s="35"/>
      <c r="EAB23" s="35"/>
      <c r="EAC23" s="35"/>
      <c r="EAD23" s="35"/>
      <c r="EAE23" s="35"/>
      <c r="EAF23" s="35"/>
      <c r="EAG23" s="35"/>
      <c r="EAH23" s="35"/>
      <c r="EAI23" s="35"/>
      <c r="EAJ23" s="35"/>
      <c r="EAK23" s="35"/>
      <c r="EAL23" s="35"/>
      <c r="EAM23" s="35"/>
      <c r="EAN23" s="35"/>
      <c r="EAO23" s="35"/>
      <c r="EAP23" s="35"/>
      <c r="EAQ23" s="35"/>
      <c r="EAR23" s="35"/>
      <c r="EAS23" s="35"/>
      <c r="EAT23" s="35"/>
      <c r="EAU23" s="35"/>
      <c r="EAV23" s="35"/>
      <c r="EAW23" s="35"/>
      <c r="EAX23" s="35"/>
      <c r="EAY23" s="35"/>
      <c r="EAZ23" s="35"/>
      <c r="EBA23" s="35"/>
      <c r="EBB23" s="35"/>
      <c r="EBC23" s="35"/>
      <c r="EBD23" s="35"/>
      <c r="EBE23" s="35"/>
      <c r="EBF23" s="35"/>
      <c r="EBG23" s="35"/>
      <c r="EBH23" s="35"/>
      <c r="EBI23" s="35"/>
      <c r="EBJ23" s="35"/>
      <c r="EBK23" s="35"/>
      <c r="EBL23" s="35"/>
      <c r="EBM23" s="35"/>
      <c r="EBN23" s="35"/>
      <c r="EBO23" s="35"/>
      <c r="EBP23" s="35"/>
      <c r="EBQ23" s="35"/>
      <c r="EBR23" s="35"/>
      <c r="EBS23" s="35"/>
      <c r="EBT23" s="35"/>
      <c r="EBU23" s="35"/>
      <c r="EBV23" s="35"/>
      <c r="EBW23" s="35"/>
      <c r="EBX23" s="35"/>
      <c r="EBY23" s="35"/>
      <c r="EBZ23" s="35"/>
      <c r="ECA23" s="35"/>
      <c r="ECB23" s="35"/>
      <c r="ECC23" s="35"/>
      <c r="ECD23" s="35"/>
      <c r="ECE23" s="35"/>
      <c r="ECF23" s="35"/>
      <c r="ECG23" s="35"/>
      <c r="ECH23" s="35"/>
      <c r="ECI23" s="35"/>
      <c r="ECJ23" s="35"/>
      <c r="ECK23" s="35"/>
      <c r="ECL23" s="35"/>
      <c r="ECM23" s="35"/>
      <c r="ECN23" s="35"/>
      <c r="ECO23" s="35"/>
      <c r="ECP23" s="35"/>
      <c r="ECQ23" s="35"/>
      <c r="ECR23" s="35"/>
      <c r="ECS23" s="35"/>
      <c r="ECT23" s="35"/>
      <c r="ECU23" s="35"/>
      <c r="ECV23" s="35"/>
      <c r="ECW23" s="35"/>
      <c r="ECX23" s="35"/>
      <c r="ECY23" s="35"/>
      <c r="ECZ23" s="35"/>
      <c r="EDA23" s="35"/>
      <c r="EDB23" s="35"/>
      <c r="EDC23" s="35"/>
      <c r="EDD23" s="35"/>
      <c r="EDE23" s="35"/>
      <c r="EDF23" s="35"/>
      <c r="EDG23" s="35"/>
      <c r="EDH23" s="35"/>
      <c r="EDI23" s="35"/>
      <c r="EDJ23" s="35"/>
      <c r="EDK23" s="35"/>
      <c r="EDL23" s="35"/>
      <c r="EDM23" s="35"/>
      <c r="EDN23" s="35"/>
      <c r="EDO23" s="35"/>
      <c r="EDP23" s="35"/>
      <c r="EDQ23" s="35"/>
      <c r="EDR23" s="35"/>
      <c r="EDS23" s="35"/>
      <c r="EDT23" s="35"/>
      <c r="EDU23" s="35"/>
      <c r="EDV23" s="35"/>
      <c r="EDW23" s="35"/>
      <c r="EDX23" s="35"/>
      <c r="EDY23" s="35"/>
      <c r="EDZ23" s="35"/>
      <c r="EEA23" s="35"/>
      <c r="EEB23" s="35"/>
      <c r="EEC23" s="35"/>
      <c r="EED23" s="35"/>
      <c r="EEE23" s="35"/>
      <c r="EEF23" s="35"/>
      <c r="EEG23" s="35"/>
      <c r="EEH23" s="35"/>
      <c r="EEI23" s="35"/>
      <c r="EEJ23" s="35"/>
      <c r="EEK23" s="35"/>
      <c r="EEL23" s="35"/>
      <c r="EEM23" s="35"/>
      <c r="EEN23" s="35"/>
      <c r="EEO23" s="35"/>
      <c r="EEP23" s="35"/>
      <c r="EEQ23" s="35"/>
      <c r="EER23" s="35"/>
      <c r="EES23" s="35"/>
      <c r="EET23" s="35"/>
      <c r="EEU23" s="35"/>
      <c r="EEV23" s="35"/>
      <c r="EEW23" s="35"/>
      <c r="EEX23" s="35"/>
      <c r="EEY23" s="35"/>
      <c r="EEZ23" s="35"/>
      <c r="EFA23" s="35"/>
      <c r="EFB23" s="35"/>
      <c r="EFC23" s="35"/>
      <c r="EFD23" s="35"/>
      <c r="EFE23" s="35"/>
      <c r="EFF23" s="35"/>
      <c r="EFG23" s="35"/>
      <c r="EFH23" s="35"/>
      <c r="EFI23" s="35"/>
      <c r="EFJ23" s="35"/>
      <c r="EFK23" s="35"/>
      <c r="EFL23" s="35"/>
      <c r="EFM23" s="35"/>
      <c r="EFN23" s="35"/>
      <c r="EFO23" s="35"/>
      <c r="EFP23" s="35"/>
      <c r="EFQ23" s="35"/>
      <c r="EFR23" s="35"/>
      <c r="EFS23" s="35"/>
      <c r="EFT23" s="35"/>
      <c r="EFU23" s="35"/>
      <c r="EFV23" s="35"/>
      <c r="EFW23" s="35"/>
      <c r="EFX23" s="35"/>
      <c r="EFY23" s="35"/>
      <c r="EFZ23" s="35"/>
      <c r="EGA23" s="35"/>
      <c r="EGB23" s="35"/>
      <c r="EGC23" s="35"/>
      <c r="EGD23" s="35"/>
      <c r="EGE23" s="35"/>
      <c r="EGF23" s="35"/>
      <c r="EGG23" s="35"/>
      <c r="EGH23" s="35"/>
      <c r="EGI23" s="35"/>
      <c r="EGJ23" s="35"/>
      <c r="EGK23" s="35"/>
      <c r="EGL23" s="35"/>
      <c r="EGM23" s="35"/>
      <c r="EGN23" s="35"/>
      <c r="EGO23" s="35"/>
      <c r="EGP23" s="35"/>
      <c r="EGQ23" s="35"/>
      <c r="EGR23" s="35"/>
      <c r="EGS23" s="35"/>
      <c r="EGT23" s="35"/>
      <c r="EGU23" s="35"/>
      <c r="EGV23" s="35"/>
      <c r="EGW23" s="35"/>
      <c r="EGX23" s="35"/>
      <c r="EGY23" s="35"/>
      <c r="EGZ23" s="35"/>
      <c r="EHA23" s="35"/>
      <c r="EHB23" s="35"/>
      <c r="EHC23" s="35"/>
      <c r="EHD23" s="35"/>
      <c r="EHE23" s="35"/>
      <c r="EHF23" s="35"/>
      <c r="EHG23" s="35"/>
      <c r="EHH23" s="35"/>
      <c r="EHI23" s="35"/>
      <c r="EHJ23" s="35"/>
      <c r="EHK23" s="35"/>
      <c r="EHL23" s="35"/>
      <c r="EHM23" s="35"/>
      <c r="EHN23" s="35"/>
      <c r="EHO23" s="35"/>
      <c r="EHP23" s="35"/>
      <c r="EHQ23" s="35"/>
      <c r="EHR23" s="35"/>
      <c r="EHS23" s="35"/>
      <c r="EHT23" s="35"/>
      <c r="EHU23" s="35"/>
      <c r="EHV23" s="35"/>
      <c r="EHW23" s="35"/>
      <c r="EHX23" s="35"/>
      <c r="EHY23" s="35"/>
      <c r="EHZ23" s="35"/>
      <c r="EIA23" s="35"/>
      <c r="EIB23" s="35"/>
      <c r="EIC23" s="35"/>
      <c r="EID23" s="35"/>
      <c r="EIE23" s="35"/>
      <c r="EIF23" s="35"/>
      <c r="EIG23" s="35"/>
      <c r="EIH23" s="35"/>
      <c r="EII23" s="35"/>
      <c r="EIJ23" s="35"/>
      <c r="EIK23" s="35"/>
      <c r="EIL23" s="35"/>
      <c r="EIM23" s="35"/>
      <c r="EIN23" s="35"/>
      <c r="EIO23" s="35"/>
      <c r="EIP23" s="35"/>
      <c r="EIQ23" s="35"/>
      <c r="EIR23" s="35"/>
      <c r="EIS23" s="35"/>
      <c r="EIT23" s="35"/>
      <c r="EIU23" s="35"/>
      <c r="EIV23" s="35"/>
      <c r="EIW23" s="35"/>
      <c r="EIX23" s="35"/>
      <c r="EIY23" s="35"/>
      <c r="EIZ23" s="35"/>
      <c r="EJA23" s="35"/>
      <c r="EJB23" s="35"/>
      <c r="EJC23" s="35"/>
      <c r="EJD23" s="35"/>
      <c r="EJE23" s="35"/>
      <c r="EJF23" s="35"/>
      <c r="EJG23" s="35"/>
      <c r="EJH23" s="35"/>
      <c r="EJI23" s="35"/>
      <c r="EJJ23" s="35"/>
      <c r="EJK23" s="35"/>
      <c r="EJL23" s="35"/>
      <c r="EJM23" s="35"/>
      <c r="EJN23" s="35"/>
      <c r="EJO23" s="35"/>
      <c r="EJP23" s="35"/>
      <c r="EJQ23" s="35"/>
      <c r="EJR23" s="35"/>
      <c r="EJS23" s="35"/>
      <c r="EJT23" s="35"/>
      <c r="EJU23" s="35"/>
      <c r="EJV23" s="35"/>
      <c r="EJW23" s="35"/>
      <c r="EJX23" s="35"/>
      <c r="EJY23" s="35"/>
      <c r="EJZ23" s="35"/>
      <c r="EKA23" s="35"/>
      <c r="EKB23" s="35"/>
      <c r="EKC23" s="35"/>
      <c r="EKD23" s="35"/>
      <c r="EKE23" s="35"/>
      <c r="EKF23" s="35"/>
      <c r="EKG23" s="35"/>
      <c r="EKH23" s="35"/>
      <c r="EKI23" s="35"/>
      <c r="EKJ23" s="35"/>
      <c r="EKK23" s="35"/>
      <c r="EKL23" s="35"/>
      <c r="EKM23" s="35"/>
      <c r="EKN23" s="35"/>
      <c r="EKO23" s="35"/>
      <c r="EKP23" s="35"/>
      <c r="EKQ23" s="35"/>
      <c r="EKR23" s="35"/>
      <c r="EKS23" s="35"/>
      <c r="EKT23" s="35"/>
      <c r="EKU23" s="35"/>
      <c r="EKV23" s="35"/>
      <c r="EKW23" s="35"/>
      <c r="EKX23" s="35"/>
      <c r="EKY23" s="35"/>
      <c r="EKZ23" s="35"/>
      <c r="ELA23" s="35"/>
      <c r="ELB23" s="35"/>
      <c r="ELC23" s="35"/>
      <c r="ELD23" s="35"/>
      <c r="ELE23" s="35"/>
      <c r="ELF23" s="35"/>
      <c r="ELG23" s="35"/>
      <c r="ELH23" s="35"/>
      <c r="ELI23" s="35"/>
      <c r="ELJ23" s="35"/>
      <c r="ELK23" s="35"/>
      <c r="ELL23" s="35"/>
      <c r="ELM23" s="35"/>
      <c r="ELN23" s="35"/>
      <c r="ELO23" s="35"/>
      <c r="ELP23" s="35"/>
      <c r="ELQ23" s="35"/>
      <c r="ELR23" s="35"/>
      <c r="ELS23" s="35"/>
      <c r="ELT23" s="35"/>
      <c r="ELU23" s="35"/>
      <c r="ELV23" s="35"/>
      <c r="ELW23" s="35"/>
      <c r="ELX23" s="35"/>
      <c r="ELY23" s="35"/>
      <c r="ELZ23" s="35"/>
      <c r="EMA23" s="35"/>
      <c r="EMB23" s="35"/>
      <c r="EMC23" s="35"/>
      <c r="EMD23" s="35"/>
      <c r="EME23" s="35"/>
      <c r="EMF23" s="35"/>
      <c r="EMG23" s="35"/>
      <c r="EMH23" s="35"/>
      <c r="EMI23" s="35"/>
      <c r="EMJ23" s="35"/>
      <c r="EMK23" s="35"/>
      <c r="EML23" s="35"/>
      <c r="EMM23" s="35"/>
      <c r="EMN23" s="35"/>
      <c r="EMO23" s="35"/>
      <c r="EMP23" s="35"/>
      <c r="EMQ23" s="35"/>
      <c r="EMR23" s="35"/>
      <c r="EMS23" s="35"/>
      <c r="EMT23" s="35"/>
      <c r="EMU23" s="35"/>
      <c r="EMV23" s="35"/>
      <c r="EMW23" s="35"/>
      <c r="EMX23" s="35"/>
      <c r="EMY23" s="35"/>
      <c r="EMZ23" s="35"/>
      <c r="ENA23" s="35"/>
      <c r="ENB23" s="35"/>
      <c r="ENC23" s="35"/>
      <c r="END23" s="35"/>
      <c r="ENE23" s="35"/>
      <c r="ENF23" s="35"/>
      <c r="ENG23" s="35"/>
      <c r="ENH23" s="35"/>
      <c r="ENI23" s="35"/>
      <c r="ENJ23" s="35"/>
      <c r="ENK23" s="35"/>
      <c r="ENL23" s="35"/>
      <c r="ENM23" s="35"/>
      <c r="ENN23" s="35"/>
      <c r="ENO23" s="35"/>
      <c r="ENP23" s="35"/>
      <c r="ENQ23" s="35"/>
      <c r="ENR23" s="35"/>
      <c r="ENS23" s="35"/>
      <c r="ENT23" s="35"/>
      <c r="ENU23" s="35"/>
      <c r="ENV23" s="35"/>
      <c r="ENW23" s="35"/>
      <c r="ENX23" s="35"/>
      <c r="ENY23" s="35"/>
      <c r="ENZ23" s="35"/>
      <c r="EOA23" s="35"/>
      <c r="EOB23" s="35"/>
      <c r="EOC23" s="35"/>
      <c r="EOD23" s="35"/>
      <c r="EOE23" s="35"/>
      <c r="EOF23" s="35"/>
      <c r="EOG23" s="35"/>
      <c r="EOH23" s="35"/>
      <c r="EOI23" s="35"/>
      <c r="EOJ23" s="35"/>
      <c r="EOK23" s="35"/>
      <c r="EOL23" s="35"/>
      <c r="EOM23" s="35"/>
      <c r="EON23" s="35"/>
      <c r="EOO23" s="35"/>
      <c r="EOP23" s="35"/>
      <c r="EOQ23" s="35"/>
      <c r="EOR23" s="35"/>
      <c r="EOS23" s="35"/>
      <c r="EOT23" s="35"/>
      <c r="EOU23" s="35"/>
      <c r="EOV23" s="35"/>
      <c r="EOW23" s="35"/>
      <c r="EOX23" s="35"/>
      <c r="EOY23" s="35"/>
      <c r="EOZ23" s="35"/>
      <c r="EPA23" s="35"/>
      <c r="EPB23" s="35"/>
      <c r="EPC23" s="35"/>
      <c r="EPD23" s="35"/>
      <c r="EPE23" s="35"/>
      <c r="EPF23" s="35"/>
      <c r="EPG23" s="35"/>
      <c r="EPH23" s="35"/>
      <c r="EPI23" s="35"/>
      <c r="EPJ23" s="35"/>
      <c r="EPK23" s="35"/>
      <c r="EPL23" s="35"/>
      <c r="EPM23" s="35"/>
      <c r="EPN23" s="35"/>
      <c r="EPO23" s="35"/>
      <c r="EPP23" s="35"/>
      <c r="EPQ23" s="35"/>
      <c r="EPR23" s="35"/>
      <c r="EPS23" s="35"/>
      <c r="EPT23" s="35"/>
      <c r="EPU23" s="35"/>
      <c r="EPV23" s="35"/>
      <c r="EPW23" s="35"/>
      <c r="EPX23" s="35"/>
      <c r="EPY23" s="35"/>
      <c r="EPZ23" s="35"/>
      <c r="EQA23" s="35"/>
      <c r="EQB23" s="35"/>
      <c r="EQC23" s="35"/>
      <c r="EQD23" s="35"/>
      <c r="EQE23" s="35"/>
      <c r="EQF23" s="35"/>
      <c r="EQG23" s="35"/>
      <c r="EQH23" s="35"/>
      <c r="EQI23" s="35"/>
      <c r="EQJ23" s="35"/>
      <c r="EQK23" s="35"/>
      <c r="EQL23" s="35"/>
      <c r="EQM23" s="35"/>
      <c r="EQN23" s="35"/>
      <c r="EQO23" s="35"/>
      <c r="EQP23" s="35"/>
      <c r="EQQ23" s="35"/>
      <c r="EQR23" s="35"/>
      <c r="EQS23" s="35"/>
      <c r="EQT23" s="35"/>
      <c r="EQU23" s="35"/>
      <c r="EQV23" s="35"/>
      <c r="EQW23" s="35"/>
      <c r="EQX23" s="35"/>
      <c r="EQY23" s="35"/>
      <c r="EQZ23" s="35"/>
      <c r="ERA23" s="35"/>
      <c r="ERB23" s="35"/>
      <c r="ERC23" s="35"/>
      <c r="ERD23" s="35"/>
      <c r="ERE23" s="35"/>
      <c r="ERF23" s="35"/>
      <c r="ERG23" s="35"/>
      <c r="ERH23" s="35"/>
      <c r="ERI23" s="35"/>
      <c r="ERJ23" s="35"/>
      <c r="ERK23" s="35"/>
      <c r="ERL23" s="35"/>
      <c r="ERM23" s="35"/>
      <c r="ERN23" s="35"/>
      <c r="ERO23" s="35"/>
      <c r="ERP23" s="35"/>
      <c r="ERQ23" s="35"/>
      <c r="ERR23" s="35"/>
      <c r="ERS23" s="35"/>
      <c r="ERT23" s="35"/>
      <c r="ERU23" s="35"/>
      <c r="ERV23" s="35"/>
      <c r="ERW23" s="35"/>
      <c r="ERX23" s="35"/>
      <c r="ERY23" s="35"/>
      <c r="ERZ23" s="35"/>
      <c r="ESA23" s="35"/>
      <c r="ESB23" s="35"/>
      <c r="ESC23" s="35"/>
      <c r="ESD23" s="35"/>
      <c r="ESE23" s="35"/>
      <c r="ESF23" s="35"/>
      <c r="ESG23" s="35"/>
      <c r="ESH23" s="35"/>
      <c r="ESI23" s="35"/>
      <c r="ESJ23" s="35"/>
      <c r="ESK23" s="35"/>
      <c r="ESL23" s="35"/>
      <c r="ESM23" s="35"/>
      <c r="ESN23" s="35"/>
      <c r="ESO23" s="35"/>
      <c r="ESP23" s="35"/>
      <c r="ESQ23" s="35"/>
      <c r="ESR23" s="35"/>
      <c r="ESS23" s="35"/>
      <c r="EST23" s="35"/>
      <c r="ESU23" s="35"/>
      <c r="ESV23" s="35"/>
      <c r="ESW23" s="35"/>
      <c r="ESX23" s="35"/>
      <c r="ESY23" s="35"/>
      <c r="ESZ23" s="35"/>
      <c r="ETA23" s="35"/>
      <c r="ETB23" s="35"/>
      <c r="ETC23" s="35"/>
      <c r="ETD23" s="35"/>
      <c r="ETE23" s="35"/>
      <c r="ETF23" s="35"/>
      <c r="ETG23" s="35"/>
      <c r="ETH23" s="35"/>
      <c r="ETI23" s="35"/>
      <c r="ETJ23" s="35"/>
      <c r="ETK23" s="35"/>
      <c r="ETL23" s="35"/>
      <c r="ETM23" s="35"/>
      <c r="ETN23" s="35"/>
      <c r="ETO23" s="35"/>
      <c r="ETP23" s="35"/>
      <c r="ETQ23" s="35"/>
      <c r="ETR23" s="35"/>
      <c r="ETS23" s="35"/>
      <c r="ETT23" s="35"/>
      <c r="ETU23" s="35"/>
      <c r="ETV23" s="35"/>
      <c r="ETW23" s="35"/>
      <c r="ETX23" s="35"/>
      <c r="ETY23" s="35"/>
      <c r="ETZ23" s="35"/>
      <c r="EUA23" s="35"/>
      <c r="EUB23" s="35"/>
      <c r="EUC23" s="35"/>
      <c r="EUD23" s="35"/>
      <c r="EUE23" s="35"/>
      <c r="EUF23" s="35"/>
      <c r="EUG23" s="35"/>
      <c r="EUH23" s="35"/>
      <c r="EUI23" s="35"/>
      <c r="EUJ23" s="35"/>
      <c r="EUK23" s="35"/>
      <c r="EUL23" s="35"/>
      <c r="EUM23" s="35"/>
      <c r="EUN23" s="35"/>
      <c r="EUO23" s="35"/>
      <c r="EUP23" s="35"/>
      <c r="EUQ23" s="35"/>
      <c r="EUR23" s="35"/>
      <c r="EUS23" s="35"/>
      <c r="EUT23" s="35"/>
      <c r="EUU23" s="35"/>
      <c r="EUV23" s="35"/>
      <c r="EUW23" s="35"/>
      <c r="EUX23" s="35"/>
      <c r="EUY23" s="35"/>
      <c r="EUZ23" s="35"/>
      <c r="EVA23" s="35"/>
      <c r="EVB23" s="35"/>
      <c r="EVC23" s="35"/>
      <c r="EVD23" s="35"/>
      <c r="EVE23" s="35"/>
      <c r="EVF23" s="35"/>
      <c r="EVG23" s="35"/>
      <c r="EVH23" s="35"/>
      <c r="EVI23" s="35"/>
      <c r="EVJ23" s="35"/>
      <c r="EVK23" s="35"/>
      <c r="EVL23" s="35"/>
      <c r="EVM23" s="35"/>
      <c r="EVN23" s="35"/>
      <c r="EVO23" s="35"/>
      <c r="EVP23" s="35"/>
      <c r="EVQ23" s="35"/>
      <c r="EVR23" s="35"/>
      <c r="EVS23" s="35"/>
      <c r="EVT23" s="35"/>
      <c r="EVU23" s="35"/>
      <c r="EVV23" s="35"/>
      <c r="EVW23" s="35"/>
      <c r="EVX23" s="35"/>
      <c r="EVY23" s="35"/>
      <c r="EVZ23" s="35"/>
      <c r="EWA23" s="35"/>
      <c r="EWB23" s="35"/>
      <c r="EWC23" s="35"/>
      <c r="EWD23" s="35"/>
      <c r="EWE23" s="35"/>
      <c r="EWF23" s="35"/>
      <c r="EWG23" s="35"/>
      <c r="EWH23" s="35"/>
      <c r="EWI23" s="35"/>
      <c r="EWJ23" s="35"/>
      <c r="EWK23" s="35"/>
      <c r="EWL23" s="35"/>
      <c r="EWM23" s="35"/>
      <c r="EWN23" s="35"/>
      <c r="EWO23" s="35"/>
      <c r="EWP23" s="35"/>
      <c r="EWQ23" s="35"/>
      <c r="EWR23" s="35"/>
      <c r="EWS23" s="35"/>
      <c r="EWT23" s="35"/>
      <c r="EWU23" s="35"/>
      <c r="EWV23" s="35"/>
      <c r="EWW23" s="35"/>
      <c r="EWX23" s="35"/>
      <c r="EWY23" s="35"/>
      <c r="EWZ23" s="35"/>
      <c r="EXA23" s="35"/>
      <c r="EXB23" s="35"/>
      <c r="EXC23" s="35"/>
      <c r="EXD23" s="35"/>
      <c r="EXE23" s="35"/>
      <c r="EXF23" s="35"/>
      <c r="EXG23" s="35"/>
      <c r="EXH23" s="35"/>
      <c r="EXI23" s="35"/>
      <c r="EXJ23" s="35"/>
      <c r="EXK23" s="35"/>
      <c r="EXL23" s="35"/>
      <c r="EXM23" s="35"/>
      <c r="EXN23" s="35"/>
      <c r="EXO23" s="35"/>
      <c r="EXP23" s="35"/>
      <c r="EXQ23" s="35"/>
      <c r="EXR23" s="35"/>
      <c r="EXS23" s="35"/>
      <c r="EXT23" s="35"/>
      <c r="EXU23" s="35"/>
      <c r="EXV23" s="35"/>
      <c r="EXW23" s="35"/>
      <c r="EXX23" s="35"/>
      <c r="EXY23" s="35"/>
      <c r="EXZ23" s="35"/>
      <c r="EYA23" s="35"/>
      <c r="EYB23" s="35"/>
      <c r="EYC23" s="35"/>
      <c r="EYD23" s="35"/>
      <c r="EYE23" s="35"/>
      <c r="EYF23" s="35"/>
      <c r="EYG23" s="35"/>
      <c r="EYH23" s="35"/>
      <c r="EYI23" s="35"/>
      <c r="EYJ23" s="35"/>
      <c r="EYK23" s="35"/>
      <c r="EYL23" s="35"/>
      <c r="EYM23" s="35"/>
      <c r="EYN23" s="35"/>
      <c r="EYO23" s="35"/>
      <c r="EYP23" s="35"/>
      <c r="EYQ23" s="35"/>
      <c r="EYR23" s="35"/>
      <c r="EYS23" s="35"/>
      <c r="EYT23" s="35"/>
      <c r="EYU23" s="35"/>
      <c r="EYV23" s="35"/>
      <c r="EYW23" s="35"/>
      <c r="EYX23" s="35"/>
      <c r="EYY23" s="35"/>
      <c r="EYZ23" s="35"/>
      <c r="EZA23" s="35"/>
      <c r="EZB23" s="35"/>
      <c r="EZC23" s="35"/>
      <c r="EZD23" s="35"/>
      <c r="EZE23" s="35"/>
      <c r="EZF23" s="35"/>
      <c r="EZG23" s="35"/>
      <c r="EZH23" s="35"/>
      <c r="EZI23" s="35"/>
      <c r="EZJ23" s="35"/>
      <c r="EZK23" s="35"/>
      <c r="EZL23" s="35"/>
      <c r="EZM23" s="35"/>
      <c r="EZN23" s="35"/>
      <c r="EZO23" s="35"/>
      <c r="EZP23" s="35"/>
      <c r="EZQ23" s="35"/>
      <c r="EZR23" s="35"/>
      <c r="EZS23" s="35"/>
      <c r="EZT23" s="35"/>
      <c r="EZU23" s="35"/>
      <c r="EZV23" s="35"/>
      <c r="EZW23" s="35"/>
      <c r="EZX23" s="35"/>
      <c r="EZY23" s="35"/>
      <c r="EZZ23" s="35"/>
      <c r="FAA23" s="35"/>
      <c r="FAB23" s="35"/>
      <c r="FAC23" s="35"/>
      <c r="FAD23" s="35"/>
      <c r="FAE23" s="35"/>
      <c r="FAF23" s="35"/>
      <c r="FAG23" s="35"/>
      <c r="FAH23" s="35"/>
      <c r="FAI23" s="35"/>
      <c r="FAJ23" s="35"/>
      <c r="FAK23" s="35"/>
      <c r="FAL23" s="35"/>
      <c r="FAM23" s="35"/>
      <c r="FAN23" s="35"/>
      <c r="FAO23" s="35"/>
      <c r="FAP23" s="35"/>
      <c r="FAQ23" s="35"/>
      <c r="FAR23" s="35"/>
      <c r="FAS23" s="35"/>
      <c r="FAT23" s="35"/>
      <c r="FAU23" s="35"/>
      <c r="FAV23" s="35"/>
      <c r="FAW23" s="35"/>
      <c r="FAX23" s="35"/>
      <c r="FAY23" s="35"/>
      <c r="FAZ23" s="35"/>
      <c r="FBA23" s="35"/>
      <c r="FBB23" s="35"/>
      <c r="FBC23" s="35"/>
      <c r="FBD23" s="35"/>
      <c r="FBE23" s="35"/>
      <c r="FBF23" s="35"/>
      <c r="FBG23" s="35"/>
      <c r="FBH23" s="35"/>
      <c r="FBI23" s="35"/>
      <c r="FBJ23" s="35"/>
      <c r="FBK23" s="35"/>
      <c r="FBL23" s="35"/>
      <c r="FBM23" s="35"/>
      <c r="FBN23" s="35"/>
      <c r="FBO23" s="35"/>
      <c r="FBP23" s="35"/>
      <c r="FBQ23" s="35"/>
      <c r="FBR23" s="35"/>
      <c r="FBS23" s="35"/>
      <c r="FBT23" s="35"/>
      <c r="FBU23" s="35"/>
      <c r="FBV23" s="35"/>
      <c r="FBW23" s="35"/>
      <c r="FBX23" s="35"/>
      <c r="FBY23" s="35"/>
      <c r="FBZ23" s="35"/>
      <c r="FCA23" s="35"/>
      <c r="FCB23" s="35"/>
      <c r="FCC23" s="35"/>
      <c r="FCD23" s="35"/>
      <c r="FCE23" s="35"/>
      <c r="FCF23" s="35"/>
      <c r="FCG23" s="35"/>
      <c r="FCH23" s="35"/>
      <c r="FCI23" s="35"/>
      <c r="FCJ23" s="35"/>
      <c r="FCK23" s="35"/>
      <c r="FCL23" s="35"/>
      <c r="FCM23" s="35"/>
      <c r="FCN23" s="35"/>
      <c r="FCO23" s="35"/>
      <c r="FCP23" s="35"/>
      <c r="FCQ23" s="35"/>
      <c r="FCR23" s="35"/>
      <c r="FCS23" s="35"/>
      <c r="FCT23" s="35"/>
      <c r="FCU23" s="35"/>
      <c r="FCV23" s="35"/>
      <c r="FCW23" s="35"/>
      <c r="FCX23" s="35"/>
      <c r="FCY23" s="35"/>
      <c r="FCZ23" s="35"/>
      <c r="FDA23" s="35"/>
      <c r="FDB23" s="35"/>
      <c r="FDC23" s="35"/>
      <c r="FDD23" s="35"/>
      <c r="FDE23" s="35"/>
      <c r="FDF23" s="35"/>
      <c r="FDG23" s="35"/>
      <c r="FDH23" s="35"/>
      <c r="FDI23" s="35"/>
      <c r="FDJ23" s="35"/>
      <c r="FDK23" s="35"/>
      <c r="FDL23" s="35"/>
      <c r="FDM23" s="35"/>
      <c r="FDN23" s="35"/>
      <c r="FDO23" s="35"/>
      <c r="FDP23" s="35"/>
      <c r="FDQ23" s="35"/>
      <c r="FDR23" s="35"/>
      <c r="FDS23" s="35"/>
      <c r="FDT23" s="35"/>
      <c r="FDU23" s="35"/>
      <c r="FDV23" s="35"/>
      <c r="FDW23" s="35"/>
      <c r="FDX23" s="35"/>
      <c r="FDY23" s="35"/>
      <c r="FDZ23" s="35"/>
      <c r="FEA23" s="35"/>
      <c r="FEB23" s="35"/>
      <c r="FEC23" s="35"/>
      <c r="FED23" s="35"/>
      <c r="FEE23" s="35"/>
      <c r="FEF23" s="35"/>
      <c r="FEG23" s="35"/>
      <c r="FEH23" s="35"/>
      <c r="FEI23" s="35"/>
      <c r="FEJ23" s="35"/>
      <c r="FEK23" s="35"/>
      <c r="FEL23" s="35"/>
      <c r="FEM23" s="35"/>
      <c r="FEN23" s="35"/>
      <c r="FEO23" s="35"/>
      <c r="FEP23" s="35"/>
      <c r="FEQ23" s="35"/>
      <c r="FER23" s="35"/>
      <c r="FES23" s="35"/>
      <c r="FET23" s="35"/>
      <c r="FEU23" s="35"/>
      <c r="FEV23" s="35"/>
      <c r="FEW23" s="35"/>
      <c r="FEX23" s="35"/>
      <c r="FEY23" s="35"/>
      <c r="FEZ23" s="35"/>
      <c r="FFA23" s="35"/>
      <c r="FFB23" s="35"/>
      <c r="FFC23" s="35"/>
      <c r="FFD23" s="35"/>
      <c r="FFE23" s="35"/>
      <c r="FFF23" s="35"/>
      <c r="FFG23" s="35"/>
      <c r="FFH23" s="35"/>
      <c r="FFI23" s="35"/>
      <c r="FFJ23" s="35"/>
      <c r="FFK23" s="35"/>
      <c r="FFL23" s="35"/>
      <c r="FFM23" s="35"/>
      <c r="FFN23" s="35"/>
      <c r="FFO23" s="35"/>
      <c r="FFP23" s="35"/>
      <c r="FFQ23" s="35"/>
      <c r="FFR23" s="35"/>
      <c r="FFS23" s="35"/>
      <c r="FFT23" s="35"/>
      <c r="FFU23" s="35"/>
      <c r="FFV23" s="35"/>
      <c r="FFW23" s="35"/>
      <c r="FFX23" s="35"/>
      <c r="FFY23" s="35"/>
      <c r="FFZ23" s="35"/>
      <c r="FGA23" s="35"/>
      <c r="FGB23" s="35"/>
      <c r="FGC23" s="35"/>
      <c r="FGD23" s="35"/>
      <c r="FGE23" s="35"/>
      <c r="FGF23" s="35"/>
      <c r="FGG23" s="35"/>
      <c r="FGH23" s="35"/>
      <c r="FGI23" s="35"/>
      <c r="FGJ23" s="35"/>
      <c r="FGK23" s="35"/>
      <c r="FGL23" s="35"/>
      <c r="FGM23" s="35"/>
      <c r="FGN23" s="35"/>
      <c r="FGO23" s="35"/>
      <c r="FGP23" s="35"/>
      <c r="FGQ23" s="35"/>
      <c r="FGR23" s="35"/>
      <c r="FGS23" s="35"/>
      <c r="FGT23" s="35"/>
      <c r="FGU23" s="35"/>
      <c r="FGV23" s="35"/>
      <c r="FGW23" s="35"/>
      <c r="FGX23" s="35"/>
      <c r="FGY23" s="35"/>
      <c r="FGZ23" s="35"/>
      <c r="FHA23" s="35"/>
      <c r="FHB23" s="35"/>
      <c r="FHC23" s="35"/>
      <c r="FHD23" s="35"/>
      <c r="FHE23" s="35"/>
      <c r="FHF23" s="35"/>
      <c r="FHG23" s="35"/>
      <c r="FHH23" s="35"/>
      <c r="FHI23" s="35"/>
      <c r="FHJ23" s="35"/>
      <c r="FHK23" s="35"/>
      <c r="FHL23" s="35"/>
      <c r="FHM23" s="35"/>
      <c r="FHN23" s="35"/>
      <c r="FHO23" s="35"/>
      <c r="FHP23" s="35"/>
      <c r="FHQ23" s="35"/>
      <c r="FHR23" s="35"/>
      <c r="FHS23" s="35"/>
      <c r="FHT23" s="35"/>
      <c r="FHU23" s="35"/>
      <c r="FHV23" s="35"/>
      <c r="FHW23" s="35"/>
      <c r="FHX23" s="35"/>
      <c r="FHY23" s="35"/>
      <c r="FHZ23" s="35"/>
      <c r="FIA23" s="35"/>
      <c r="FIB23" s="35"/>
      <c r="FIC23" s="35"/>
      <c r="FID23" s="35"/>
      <c r="FIE23" s="35"/>
      <c r="FIF23" s="35"/>
      <c r="FIG23" s="35"/>
      <c r="FIH23" s="35"/>
      <c r="FII23" s="35"/>
      <c r="FIJ23" s="35"/>
      <c r="FIK23" s="35"/>
      <c r="FIL23" s="35"/>
      <c r="FIM23" s="35"/>
      <c r="FIN23" s="35"/>
      <c r="FIO23" s="35"/>
      <c r="FIP23" s="35"/>
      <c r="FIQ23" s="35"/>
      <c r="FIR23" s="35"/>
      <c r="FIS23" s="35"/>
      <c r="FIT23" s="35"/>
      <c r="FIU23" s="35"/>
      <c r="FIV23" s="35"/>
      <c r="FIW23" s="35"/>
      <c r="FIX23" s="35"/>
      <c r="FIY23" s="35"/>
      <c r="FIZ23" s="35"/>
      <c r="FJA23" s="35"/>
      <c r="FJB23" s="35"/>
      <c r="FJC23" s="35"/>
      <c r="FJD23" s="35"/>
      <c r="FJE23" s="35"/>
      <c r="FJF23" s="35"/>
      <c r="FJG23" s="35"/>
      <c r="FJH23" s="35"/>
      <c r="FJI23" s="35"/>
      <c r="FJJ23" s="35"/>
      <c r="FJK23" s="35"/>
      <c r="FJL23" s="35"/>
      <c r="FJM23" s="35"/>
      <c r="FJN23" s="35"/>
      <c r="FJO23" s="35"/>
      <c r="FJP23" s="35"/>
      <c r="FJQ23" s="35"/>
      <c r="FJR23" s="35"/>
      <c r="FJS23" s="35"/>
      <c r="FJT23" s="35"/>
      <c r="FJU23" s="35"/>
      <c r="FJV23" s="35"/>
      <c r="FJW23" s="35"/>
      <c r="FJX23" s="35"/>
      <c r="FJY23" s="35"/>
      <c r="FJZ23" s="35"/>
      <c r="FKA23" s="35"/>
      <c r="FKB23" s="35"/>
      <c r="FKC23" s="35"/>
      <c r="FKD23" s="35"/>
      <c r="FKE23" s="35"/>
      <c r="FKF23" s="35"/>
      <c r="FKG23" s="35"/>
      <c r="FKH23" s="35"/>
      <c r="FKI23" s="35"/>
      <c r="FKJ23" s="35"/>
      <c r="FKK23" s="35"/>
      <c r="FKL23" s="35"/>
      <c r="FKM23" s="35"/>
      <c r="FKN23" s="35"/>
      <c r="FKO23" s="35"/>
      <c r="FKP23" s="35"/>
      <c r="FKQ23" s="35"/>
      <c r="FKR23" s="35"/>
      <c r="FKS23" s="35"/>
      <c r="FKT23" s="35"/>
      <c r="FKU23" s="35"/>
      <c r="FKV23" s="35"/>
      <c r="FKW23" s="35"/>
      <c r="FKX23" s="35"/>
      <c r="FKY23" s="35"/>
      <c r="FKZ23" s="35"/>
      <c r="FLA23" s="35"/>
      <c r="FLB23" s="35"/>
      <c r="FLC23" s="35"/>
      <c r="FLD23" s="35"/>
      <c r="FLE23" s="35"/>
      <c r="FLF23" s="35"/>
      <c r="FLG23" s="35"/>
      <c r="FLH23" s="35"/>
      <c r="FLI23" s="35"/>
      <c r="FLJ23" s="35"/>
      <c r="FLK23" s="35"/>
      <c r="FLL23" s="35"/>
      <c r="FLM23" s="35"/>
      <c r="FLN23" s="35"/>
      <c r="FLO23" s="35"/>
      <c r="FLP23" s="35"/>
      <c r="FLQ23" s="35"/>
      <c r="FLR23" s="35"/>
      <c r="FLS23" s="35"/>
      <c r="FLT23" s="35"/>
      <c r="FLU23" s="35"/>
      <c r="FLV23" s="35"/>
      <c r="FLW23" s="35"/>
      <c r="FLX23" s="35"/>
      <c r="FLY23" s="35"/>
      <c r="FLZ23" s="35"/>
      <c r="FMA23" s="35"/>
      <c r="FMB23" s="35"/>
      <c r="FMC23" s="35"/>
      <c r="FMD23" s="35"/>
      <c r="FME23" s="35"/>
      <c r="FMF23" s="35"/>
      <c r="FMG23" s="35"/>
      <c r="FMH23" s="35"/>
      <c r="FMI23" s="35"/>
      <c r="FMJ23" s="35"/>
      <c r="FMK23" s="35"/>
      <c r="FML23" s="35"/>
      <c r="FMM23" s="35"/>
      <c r="FMN23" s="35"/>
      <c r="FMO23" s="35"/>
      <c r="FMP23" s="35"/>
      <c r="FMQ23" s="35"/>
      <c r="FMR23" s="35"/>
      <c r="FMS23" s="35"/>
      <c r="FMT23" s="35"/>
      <c r="FMU23" s="35"/>
      <c r="FMV23" s="35"/>
      <c r="FMW23" s="35"/>
      <c r="FMX23" s="35"/>
      <c r="FMY23" s="35"/>
      <c r="FMZ23" s="35"/>
      <c r="FNA23" s="35"/>
      <c r="FNB23" s="35"/>
      <c r="FNC23" s="35"/>
      <c r="FND23" s="35"/>
      <c r="FNE23" s="35"/>
      <c r="FNF23" s="35"/>
      <c r="FNG23" s="35"/>
      <c r="FNH23" s="35"/>
      <c r="FNI23" s="35"/>
      <c r="FNJ23" s="35"/>
      <c r="FNK23" s="35"/>
      <c r="FNL23" s="35"/>
      <c r="FNM23" s="35"/>
      <c r="FNN23" s="35"/>
      <c r="FNO23" s="35"/>
      <c r="FNP23" s="35"/>
      <c r="FNQ23" s="35"/>
      <c r="FNR23" s="35"/>
      <c r="FNS23" s="35"/>
      <c r="FNT23" s="35"/>
      <c r="FNU23" s="35"/>
      <c r="FNV23" s="35"/>
      <c r="FNW23" s="35"/>
      <c r="FNX23" s="35"/>
      <c r="FNY23" s="35"/>
      <c r="FNZ23" s="35"/>
      <c r="FOA23" s="35"/>
      <c r="FOB23" s="35"/>
      <c r="FOC23" s="35"/>
      <c r="FOD23" s="35"/>
      <c r="FOE23" s="35"/>
      <c r="FOF23" s="35"/>
      <c r="FOG23" s="35"/>
      <c r="FOH23" s="35"/>
      <c r="FOI23" s="35"/>
      <c r="FOJ23" s="35"/>
      <c r="FOK23" s="35"/>
      <c r="FOL23" s="35"/>
      <c r="FOM23" s="35"/>
      <c r="FON23" s="35"/>
      <c r="FOO23" s="35"/>
      <c r="FOP23" s="35"/>
      <c r="FOQ23" s="35"/>
      <c r="FOR23" s="35"/>
      <c r="FOS23" s="35"/>
      <c r="FOT23" s="35"/>
      <c r="FOU23" s="35"/>
      <c r="FOV23" s="35"/>
      <c r="FOW23" s="35"/>
      <c r="FOX23" s="35"/>
      <c r="FOY23" s="35"/>
      <c r="FOZ23" s="35"/>
      <c r="FPA23" s="35"/>
      <c r="FPB23" s="35"/>
      <c r="FPC23" s="35"/>
      <c r="FPD23" s="35"/>
      <c r="FPE23" s="35"/>
      <c r="FPF23" s="35"/>
      <c r="FPG23" s="35"/>
      <c r="FPH23" s="35"/>
      <c r="FPI23" s="35"/>
      <c r="FPJ23" s="35"/>
      <c r="FPK23" s="35"/>
      <c r="FPL23" s="35"/>
      <c r="FPM23" s="35"/>
      <c r="FPN23" s="35"/>
      <c r="FPO23" s="35"/>
      <c r="FPP23" s="35"/>
      <c r="FPQ23" s="35"/>
      <c r="FPR23" s="35"/>
      <c r="FPS23" s="35"/>
      <c r="FPT23" s="35"/>
      <c r="FPU23" s="35"/>
      <c r="FPV23" s="35"/>
      <c r="FPW23" s="35"/>
      <c r="FPX23" s="35"/>
      <c r="FPY23" s="35"/>
      <c r="FPZ23" s="35"/>
      <c r="FQA23" s="35"/>
      <c r="FQB23" s="35"/>
      <c r="FQC23" s="35"/>
      <c r="FQD23" s="35"/>
      <c r="FQE23" s="35"/>
      <c r="FQF23" s="35"/>
      <c r="FQG23" s="35"/>
      <c r="FQH23" s="35"/>
      <c r="FQI23" s="35"/>
      <c r="FQJ23" s="35"/>
      <c r="FQK23" s="35"/>
      <c r="FQL23" s="35"/>
      <c r="FQM23" s="35"/>
      <c r="FQN23" s="35"/>
      <c r="FQO23" s="35"/>
      <c r="FQP23" s="35"/>
      <c r="FQQ23" s="35"/>
      <c r="FQR23" s="35"/>
      <c r="FQS23" s="35"/>
      <c r="FQT23" s="35"/>
      <c r="FQU23" s="35"/>
      <c r="FQV23" s="35"/>
      <c r="FQW23" s="35"/>
      <c r="FQX23" s="35"/>
      <c r="FQY23" s="35"/>
      <c r="FQZ23" s="35"/>
      <c r="FRA23" s="35"/>
      <c r="FRB23" s="35"/>
      <c r="FRC23" s="35"/>
      <c r="FRD23" s="35"/>
      <c r="FRE23" s="35"/>
      <c r="FRF23" s="35"/>
      <c r="FRG23" s="35"/>
      <c r="FRH23" s="35"/>
      <c r="FRI23" s="35"/>
      <c r="FRJ23" s="35"/>
      <c r="FRK23" s="35"/>
      <c r="FRL23" s="35"/>
      <c r="FRM23" s="35"/>
      <c r="FRN23" s="35"/>
      <c r="FRO23" s="35"/>
      <c r="FRP23" s="35"/>
      <c r="FRQ23" s="35"/>
      <c r="FRR23" s="35"/>
      <c r="FRS23" s="35"/>
      <c r="FRT23" s="35"/>
      <c r="FRU23" s="35"/>
      <c r="FRV23" s="35"/>
      <c r="FRW23" s="35"/>
      <c r="FRX23" s="35"/>
      <c r="FRY23" s="35"/>
      <c r="FRZ23" s="35"/>
      <c r="FSA23" s="35"/>
      <c r="FSB23" s="35"/>
      <c r="FSC23" s="35"/>
      <c r="FSD23" s="35"/>
      <c r="FSE23" s="35"/>
      <c r="FSF23" s="35"/>
      <c r="FSG23" s="35"/>
      <c r="FSH23" s="35"/>
      <c r="FSI23" s="35"/>
      <c r="FSJ23" s="35"/>
      <c r="FSK23" s="35"/>
      <c r="FSL23" s="35"/>
      <c r="FSM23" s="35"/>
      <c r="FSN23" s="35"/>
      <c r="FSO23" s="35"/>
      <c r="FSP23" s="35"/>
      <c r="FSQ23" s="35"/>
      <c r="FSR23" s="35"/>
      <c r="FSS23" s="35"/>
      <c r="FST23" s="35"/>
      <c r="FSU23" s="35"/>
      <c r="FSV23" s="35"/>
      <c r="FSW23" s="35"/>
      <c r="FSX23" s="35"/>
      <c r="FSY23" s="35"/>
      <c r="FSZ23" s="35"/>
      <c r="FTA23" s="35"/>
      <c r="FTB23" s="35"/>
      <c r="FTC23" s="35"/>
      <c r="FTD23" s="35"/>
      <c r="FTE23" s="35"/>
      <c r="FTF23" s="35"/>
      <c r="FTG23" s="35"/>
      <c r="FTH23" s="35"/>
      <c r="FTI23" s="35"/>
      <c r="FTJ23" s="35"/>
      <c r="FTK23" s="35"/>
      <c r="FTL23" s="35"/>
      <c r="FTM23" s="35"/>
      <c r="FTN23" s="35"/>
      <c r="FTO23" s="35"/>
      <c r="FTP23" s="35"/>
      <c r="FTQ23" s="35"/>
      <c r="FTR23" s="35"/>
      <c r="FTS23" s="35"/>
      <c r="FTT23" s="35"/>
      <c r="FTU23" s="35"/>
      <c r="FTV23" s="35"/>
      <c r="FTW23" s="35"/>
      <c r="FTX23" s="35"/>
      <c r="FTY23" s="35"/>
      <c r="FTZ23" s="35"/>
      <c r="FUA23" s="35"/>
      <c r="FUB23" s="35"/>
      <c r="FUC23" s="35"/>
      <c r="FUD23" s="35"/>
      <c r="FUE23" s="35"/>
      <c r="FUF23" s="35"/>
      <c r="FUG23" s="35"/>
      <c r="FUH23" s="35"/>
      <c r="FUI23" s="35"/>
      <c r="FUJ23" s="35"/>
      <c r="FUK23" s="35"/>
      <c r="FUL23" s="35"/>
      <c r="FUM23" s="35"/>
      <c r="FUN23" s="35"/>
      <c r="FUO23" s="35"/>
      <c r="FUP23" s="35"/>
      <c r="FUQ23" s="35"/>
      <c r="FUR23" s="35"/>
      <c r="FUS23" s="35"/>
      <c r="FUT23" s="35"/>
      <c r="FUU23" s="35"/>
      <c r="FUV23" s="35"/>
      <c r="FUW23" s="35"/>
      <c r="FUX23" s="35"/>
      <c r="FUY23" s="35"/>
      <c r="FUZ23" s="35"/>
      <c r="FVA23" s="35"/>
      <c r="FVB23" s="35"/>
      <c r="FVC23" s="35"/>
      <c r="FVD23" s="35"/>
      <c r="FVE23" s="35"/>
      <c r="FVF23" s="35"/>
      <c r="FVG23" s="35"/>
      <c r="FVH23" s="35"/>
      <c r="FVI23" s="35"/>
      <c r="FVJ23" s="35"/>
      <c r="FVK23" s="35"/>
      <c r="FVL23" s="35"/>
      <c r="FVM23" s="35"/>
      <c r="FVN23" s="35"/>
      <c r="FVO23" s="35"/>
      <c r="FVP23" s="35"/>
      <c r="FVQ23" s="35"/>
      <c r="FVR23" s="35"/>
      <c r="FVS23" s="35"/>
      <c r="FVT23" s="35"/>
      <c r="FVU23" s="35"/>
      <c r="FVV23" s="35"/>
      <c r="FVW23" s="35"/>
      <c r="FVX23" s="35"/>
      <c r="FVY23" s="35"/>
      <c r="FVZ23" s="35"/>
      <c r="FWA23" s="35"/>
      <c r="FWB23" s="35"/>
      <c r="FWC23" s="35"/>
      <c r="FWD23" s="35"/>
      <c r="FWE23" s="35"/>
      <c r="FWF23" s="35"/>
      <c r="FWG23" s="35"/>
      <c r="FWH23" s="35"/>
      <c r="FWI23" s="35"/>
      <c r="FWJ23" s="35"/>
      <c r="FWK23" s="35"/>
      <c r="FWL23" s="35"/>
      <c r="FWM23" s="35"/>
      <c r="FWN23" s="35"/>
      <c r="FWO23" s="35"/>
      <c r="FWP23" s="35"/>
      <c r="FWQ23" s="35"/>
      <c r="FWR23" s="35"/>
      <c r="FWS23" s="35"/>
      <c r="FWT23" s="35"/>
      <c r="FWU23" s="35"/>
      <c r="FWV23" s="35"/>
      <c r="FWW23" s="35"/>
      <c r="FWX23" s="35"/>
      <c r="FWY23" s="35"/>
      <c r="FWZ23" s="35"/>
      <c r="FXA23" s="35"/>
      <c r="FXB23" s="35"/>
      <c r="FXC23" s="35"/>
      <c r="FXD23" s="35"/>
      <c r="FXE23" s="35"/>
      <c r="FXF23" s="35"/>
      <c r="FXG23" s="35"/>
      <c r="FXH23" s="35"/>
      <c r="FXI23" s="35"/>
      <c r="FXJ23" s="35"/>
      <c r="FXK23" s="35"/>
      <c r="FXL23" s="35"/>
      <c r="FXM23" s="35"/>
      <c r="FXN23" s="35"/>
      <c r="FXO23" s="35"/>
      <c r="FXP23" s="35"/>
      <c r="FXQ23" s="35"/>
      <c r="FXR23" s="35"/>
      <c r="FXS23" s="35"/>
      <c r="FXT23" s="35"/>
      <c r="FXU23" s="35"/>
      <c r="FXV23" s="35"/>
      <c r="FXW23" s="35"/>
      <c r="FXX23" s="35"/>
      <c r="FXY23" s="35"/>
      <c r="FXZ23" s="35"/>
      <c r="FYA23" s="35"/>
      <c r="FYB23" s="35"/>
      <c r="FYC23" s="35"/>
      <c r="FYD23" s="35"/>
      <c r="FYE23" s="35"/>
      <c r="FYF23" s="35"/>
      <c r="FYG23" s="35"/>
      <c r="FYH23" s="35"/>
      <c r="FYI23" s="35"/>
      <c r="FYJ23" s="35"/>
      <c r="FYK23" s="35"/>
      <c r="FYL23" s="35"/>
      <c r="FYM23" s="35"/>
      <c r="FYN23" s="35"/>
      <c r="FYO23" s="35"/>
      <c r="FYP23" s="35"/>
      <c r="FYQ23" s="35"/>
      <c r="FYR23" s="35"/>
      <c r="FYS23" s="35"/>
      <c r="FYT23" s="35"/>
      <c r="FYU23" s="35"/>
      <c r="FYV23" s="35"/>
      <c r="FYW23" s="35"/>
      <c r="FYX23" s="35"/>
      <c r="FYY23" s="35"/>
      <c r="FYZ23" s="35"/>
      <c r="FZA23" s="35"/>
      <c r="FZB23" s="35"/>
      <c r="FZC23" s="35"/>
      <c r="FZD23" s="35"/>
      <c r="FZE23" s="35"/>
      <c r="FZF23" s="35"/>
      <c r="FZG23" s="35"/>
      <c r="FZH23" s="35"/>
      <c r="FZI23" s="35"/>
      <c r="FZJ23" s="35"/>
      <c r="FZK23" s="35"/>
      <c r="FZL23" s="35"/>
      <c r="FZM23" s="35"/>
      <c r="FZN23" s="35"/>
      <c r="FZO23" s="35"/>
      <c r="FZP23" s="35"/>
      <c r="FZQ23" s="35"/>
      <c r="FZR23" s="35"/>
      <c r="FZS23" s="35"/>
      <c r="FZT23" s="35"/>
      <c r="FZU23" s="35"/>
      <c r="FZV23" s="35"/>
      <c r="FZW23" s="35"/>
      <c r="FZX23" s="35"/>
      <c r="FZY23" s="35"/>
      <c r="FZZ23" s="35"/>
      <c r="GAA23" s="35"/>
      <c r="GAB23" s="35"/>
      <c r="GAC23" s="35"/>
      <c r="GAD23" s="35"/>
      <c r="GAE23" s="35"/>
      <c r="GAF23" s="35"/>
      <c r="GAG23" s="35"/>
      <c r="GAH23" s="35"/>
      <c r="GAI23" s="35"/>
      <c r="GAJ23" s="35"/>
      <c r="GAK23" s="35"/>
      <c r="GAL23" s="35"/>
      <c r="GAM23" s="35"/>
      <c r="GAN23" s="35"/>
      <c r="GAO23" s="35"/>
      <c r="GAP23" s="35"/>
      <c r="GAQ23" s="35"/>
      <c r="GAR23" s="35"/>
      <c r="GAS23" s="35"/>
      <c r="GAT23" s="35"/>
      <c r="GAU23" s="35"/>
      <c r="GAV23" s="35"/>
      <c r="GAW23" s="35"/>
      <c r="GAX23" s="35"/>
      <c r="GAY23" s="35"/>
      <c r="GAZ23" s="35"/>
      <c r="GBA23" s="35"/>
      <c r="GBB23" s="35"/>
      <c r="GBC23" s="35"/>
      <c r="GBD23" s="35"/>
      <c r="GBE23" s="35"/>
      <c r="GBF23" s="35"/>
      <c r="GBG23" s="35"/>
      <c r="GBH23" s="35"/>
      <c r="GBI23" s="35"/>
      <c r="GBJ23" s="35"/>
      <c r="GBK23" s="35"/>
      <c r="GBL23" s="35"/>
      <c r="GBM23" s="35"/>
      <c r="GBN23" s="35"/>
      <c r="GBO23" s="35"/>
      <c r="GBP23" s="35"/>
      <c r="GBQ23" s="35"/>
      <c r="GBR23" s="35"/>
      <c r="GBS23" s="35"/>
      <c r="GBT23" s="35"/>
      <c r="GBU23" s="35"/>
      <c r="GBV23" s="35"/>
      <c r="GBW23" s="35"/>
      <c r="GBX23" s="35"/>
      <c r="GBY23" s="35"/>
      <c r="GBZ23" s="35"/>
      <c r="GCA23" s="35"/>
      <c r="GCB23" s="35"/>
      <c r="GCC23" s="35"/>
      <c r="GCD23" s="35"/>
      <c r="GCE23" s="35"/>
      <c r="GCF23" s="35"/>
      <c r="GCG23" s="35"/>
      <c r="GCH23" s="35"/>
      <c r="GCI23" s="35"/>
      <c r="GCJ23" s="35"/>
      <c r="GCK23" s="35"/>
      <c r="GCL23" s="35"/>
      <c r="GCM23" s="35"/>
      <c r="GCN23" s="35"/>
      <c r="GCO23" s="35"/>
      <c r="GCP23" s="35"/>
      <c r="GCQ23" s="35"/>
      <c r="GCR23" s="35"/>
      <c r="GCS23" s="35"/>
      <c r="GCT23" s="35"/>
      <c r="GCU23" s="35"/>
      <c r="GCV23" s="35"/>
      <c r="GCW23" s="35"/>
      <c r="GCX23" s="35"/>
      <c r="GCY23" s="35"/>
      <c r="GCZ23" s="35"/>
      <c r="GDA23" s="35"/>
      <c r="GDB23" s="35"/>
      <c r="GDC23" s="35"/>
      <c r="GDD23" s="35"/>
      <c r="GDE23" s="35"/>
      <c r="GDF23" s="35"/>
      <c r="GDG23" s="35"/>
      <c r="GDH23" s="35"/>
      <c r="GDI23" s="35"/>
      <c r="GDJ23" s="35"/>
      <c r="GDK23" s="35"/>
      <c r="GDL23" s="35"/>
      <c r="GDM23" s="35"/>
      <c r="GDN23" s="35"/>
      <c r="GDO23" s="35"/>
      <c r="GDP23" s="35"/>
      <c r="GDQ23" s="35"/>
      <c r="GDR23" s="35"/>
      <c r="GDS23" s="35"/>
      <c r="GDT23" s="35"/>
      <c r="GDU23" s="35"/>
      <c r="GDV23" s="35"/>
      <c r="GDW23" s="35"/>
      <c r="GDX23" s="35"/>
      <c r="GDY23" s="35"/>
      <c r="GDZ23" s="35"/>
      <c r="GEA23" s="35"/>
      <c r="GEB23" s="35"/>
      <c r="GEC23" s="35"/>
      <c r="GED23" s="35"/>
      <c r="GEE23" s="35"/>
      <c r="GEF23" s="35"/>
      <c r="GEG23" s="35"/>
      <c r="GEH23" s="35"/>
      <c r="GEI23" s="35"/>
      <c r="GEJ23" s="35"/>
      <c r="GEK23" s="35"/>
      <c r="GEL23" s="35"/>
      <c r="GEM23" s="35"/>
      <c r="GEN23" s="35"/>
      <c r="GEO23" s="35"/>
      <c r="GEP23" s="35"/>
      <c r="GEQ23" s="35"/>
      <c r="GER23" s="35"/>
      <c r="GES23" s="35"/>
      <c r="GET23" s="35"/>
      <c r="GEU23" s="35"/>
      <c r="GEV23" s="35"/>
      <c r="GEW23" s="35"/>
      <c r="GEX23" s="35"/>
      <c r="GEY23" s="35"/>
      <c r="GEZ23" s="35"/>
      <c r="GFA23" s="35"/>
      <c r="GFB23" s="35"/>
      <c r="GFC23" s="35"/>
      <c r="GFD23" s="35"/>
      <c r="GFE23" s="35"/>
      <c r="GFF23" s="35"/>
      <c r="GFG23" s="35"/>
      <c r="GFH23" s="35"/>
      <c r="GFI23" s="35"/>
      <c r="GFJ23" s="35"/>
      <c r="GFK23" s="35"/>
      <c r="GFL23" s="35"/>
      <c r="GFM23" s="35"/>
      <c r="GFN23" s="35"/>
      <c r="GFO23" s="35"/>
      <c r="GFP23" s="35"/>
      <c r="GFQ23" s="35"/>
      <c r="GFR23" s="35"/>
      <c r="GFS23" s="35"/>
      <c r="GFT23" s="35"/>
      <c r="GFU23" s="35"/>
      <c r="GFV23" s="35"/>
      <c r="GFW23" s="35"/>
      <c r="GFX23" s="35"/>
      <c r="GFY23" s="35"/>
      <c r="GFZ23" s="35"/>
      <c r="GGA23" s="35"/>
      <c r="GGB23" s="35"/>
      <c r="GGC23" s="35"/>
      <c r="GGD23" s="35"/>
      <c r="GGE23" s="35"/>
      <c r="GGF23" s="35"/>
      <c r="GGG23" s="35"/>
      <c r="GGH23" s="35"/>
      <c r="GGI23" s="35"/>
      <c r="GGJ23" s="35"/>
      <c r="GGK23" s="35"/>
      <c r="GGL23" s="35"/>
      <c r="GGM23" s="35"/>
      <c r="GGN23" s="35"/>
      <c r="GGO23" s="35"/>
      <c r="GGP23" s="35"/>
      <c r="GGQ23" s="35"/>
      <c r="GGR23" s="35"/>
      <c r="GGS23" s="35"/>
      <c r="GGT23" s="35"/>
      <c r="GGU23" s="35"/>
      <c r="GGV23" s="35"/>
      <c r="GGW23" s="35"/>
      <c r="GGX23" s="35"/>
      <c r="GGY23" s="35"/>
      <c r="GGZ23" s="35"/>
      <c r="GHA23" s="35"/>
      <c r="GHB23" s="35"/>
      <c r="GHC23" s="35"/>
      <c r="GHD23" s="35"/>
      <c r="GHE23" s="35"/>
      <c r="GHF23" s="35"/>
      <c r="GHG23" s="35"/>
      <c r="GHH23" s="35"/>
      <c r="GHI23" s="35"/>
      <c r="GHJ23" s="35"/>
      <c r="GHK23" s="35"/>
      <c r="GHL23" s="35"/>
      <c r="GHM23" s="35"/>
      <c r="GHN23" s="35"/>
      <c r="GHO23" s="35"/>
      <c r="GHP23" s="35"/>
      <c r="GHQ23" s="35"/>
      <c r="GHR23" s="35"/>
      <c r="GHS23" s="35"/>
      <c r="GHT23" s="35"/>
      <c r="GHU23" s="35"/>
      <c r="GHV23" s="35"/>
      <c r="GHW23" s="35"/>
      <c r="GHX23" s="35"/>
      <c r="GHY23" s="35"/>
      <c r="GHZ23" s="35"/>
      <c r="GIA23" s="35"/>
      <c r="GIB23" s="35"/>
      <c r="GIC23" s="35"/>
      <c r="GID23" s="35"/>
      <c r="GIE23" s="35"/>
      <c r="GIF23" s="35"/>
      <c r="GIG23" s="35"/>
      <c r="GIH23" s="35"/>
      <c r="GII23" s="35"/>
      <c r="GIJ23" s="35"/>
      <c r="GIK23" s="35"/>
      <c r="GIL23" s="35"/>
      <c r="GIM23" s="35"/>
      <c r="GIN23" s="35"/>
      <c r="GIO23" s="35"/>
      <c r="GIP23" s="35"/>
      <c r="GIQ23" s="35"/>
      <c r="GIR23" s="35"/>
      <c r="GIS23" s="35"/>
      <c r="GIT23" s="35"/>
      <c r="GIU23" s="35"/>
      <c r="GIV23" s="35"/>
      <c r="GIW23" s="35"/>
      <c r="GIX23" s="35"/>
      <c r="GIY23" s="35"/>
      <c r="GIZ23" s="35"/>
      <c r="GJA23" s="35"/>
      <c r="GJB23" s="35"/>
      <c r="GJC23" s="35"/>
      <c r="GJD23" s="35"/>
      <c r="GJE23" s="35"/>
      <c r="GJF23" s="35"/>
      <c r="GJG23" s="35"/>
      <c r="GJH23" s="35"/>
      <c r="GJI23" s="35"/>
      <c r="GJJ23" s="35"/>
      <c r="GJK23" s="35"/>
      <c r="GJL23" s="35"/>
      <c r="GJM23" s="35"/>
      <c r="GJN23" s="35"/>
      <c r="GJO23" s="35"/>
      <c r="GJP23" s="35"/>
      <c r="GJQ23" s="35"/>
      <c r="GJR23" s="35"/>
      <c r="GJS23" s="35"/>
      <c r="GJT23" s="35"/>
      <c r="GJU23" s="35"/>
      <c r="GJV23" s="35"/>
      <c r="GJW23" s="35"/>
      <c r="GJX23" s="35"/>
      <c r="GJY23" s="35"/>
      <c r="GJZ23" s="35"/>
      <c r="GKA23" s="35"/>
      <c r="GKB23" s="35"/>
      <c r="GKC23" s="35"/>
      <c r="GKD23" s="35"/>
      <c r="GKE23" s="35"/>
      <c r="GKF23" s="35"/>
      <c r="GKG23" s="35"/>
      <c r="GKH23" s="35"/>
      <c r="GKI23" s="35"/>
      <c r="GKJ23" s="35"/>
      <c r="GKK23" s="35"/>
      <c r="GKL23" s="35"/>
      <c r="GKM23" s="35"/>
      <c r="GKN23" s="35"/>
      <c r="GKO23" s="35"/>
      <c r="GKP23" s="35"/>
      <c r="GKQ23" s="35"/>
      <c r="GKR23" s="35"/>
      <c r="GKS23" s="35"/>
      <c r="GKT23" s="35"/>
      <c r="GKU23" s="35"/>
      <c r="GKV23" s="35"/>
      <c r="GKW23" s="35"/>
      <c r="GKX23" s="35"/>
      <c r="GKY23" s="35"/>
      <c r="GKZ23" s="35"/>
      <c r="GLA23" s="35"/>
      <c r="GLB23" s="35"/>
      <c r="GLC23" s="35"/>
      <c r="GLD23" s="35"/>
      <c r="GLE23" s="35"/>
      <c r="GLF23" s="35"/>
      <c r="GLG23" s="35"/>
      <c r="GLH23" s="35"/>
      <c r="GLI23" s="35"/>
      <c r="GLJ23" s="35"/>
      <c r="GLK23" s="35"/>
      <c r="GLL23" s="35"/>
      <c r="GLM23" s="35"/>
      <c r="GLN23" s="35"/>
      <c r="GLO23" s="35"/>
      <c r="GLP23" s="35"/>
      <c r="GLQ23" s="35"/>
      <c r="GLR23" s="35"/>
      <c r="GLS23" s="35"/>
      <c r="GLT23" s="35"/>
      <c r="GLU23" s="35"/>
      <c r="GLV23" s="35"/>
      <c r="GLW23" s="35"/>
      <c r="GLX23" s="35"/>
      <c r="GLY23" s="35"/>
      <c r="GLZ23" s="35"/>
      <c r="GMA23" s="35"/>
      <c r="GMB23" s="35"/>
      <c r="GMC23" s="35"/>
      <c r="GMD23" s="35"/>
      <c r="GME23" s="35"/>
      <c r="GMF23" s="35"/>
      <c r="GMG23" s="35"/>
      <c r="GMH23" s="35"/>
      <c r="GMI23" s="35"/>
      <c r="GMJ23" s="35"/>
      <c r="GMK23" s="35"/>
      <c r="GML23" s="35"/>
      <c r="GMM23" s="35"/>
      <c r="GMN23" s="35"/>
      <c r="GMO23" s="35"/>
      <c r="GMP23" s="35"/>
      <c r="GMQ23" s="35"/>
      <c r="GMR23" s="35"/>
      <c r="GMS23" s="35"/>
      <c r="GMT23" s="35"/>
      <c r="GMU23" s="35"/>
      <c r="GMV23" s="35"/>
      <c r="GMW23" s="35"/>
      <c r="GMX23" s="35"/>
      <c r="GMY23" s="35"/>
      <c r="GMZ23" s="35"/>
      <c r="GNA23" s="35"/>
      <c r="GNB23" s="35"/>
      <c r="GNC23" s="35"/>
      <c r="GND23" s="35"/>
      <c r="GNE23" s="35"/>
      <c r="GNF23" s="35"/>
      <c r="GNG23" s="35"/>
      <c r="GNH23" s="35"/>
      <c r="GNI23" s="35"/>
      <c r="GNJ23" s="35"/>
      <c r="GNK23" s="35"/>
      <c r="GNL23" s="35"/>
      <c r="GNM23" s="35"/>
      <c r="GNN23" s="35"/>
      <c r="GNO23" s="35"/>
      <c r="GNP23" s="35"/>
      <c r="GNQ23" s="35"/>
      <c r="GNR23" s="35"/>
      <c r="GNS23" s="35"/>
      <c r="GNT23" s="35"/>
      <c r="GNU23" s="35"/>
      <c r="GNV23" s="35"/>
      <c r="GNW23" s="35"/>
      <c r="GNX23" s="35"/>
      <c r="GNY23" s="35"/>
      <c r="GNZ23" s="35"/>
      <c r="GOA23" s="35"/>
      <c r="GOB23" s="35"/>
      <c r="GOC23" s="35"/>
      <c r="GOD23" s="35"/>
      <c r="GOE23" s="35"/>
      <c r="GOF23" s="35"/>
      <c r="GOG23" s="35"/>
      <c r="GOH23" s="35"/>
      <c r="GOI23" s="35"/>
      <c r="GOJ23" s="35"/>
      <c r="GOK23" s="35"/>
      <c r="GOL23" s="35"/>
      <c r="GOM23" s="35"/>
      <c r="GON23" s="35"/>
      <c r="GOO23" s="35"/>
      <c r="GOP23" s="35"/>
      <c r="GOQ23" s="35"/>
      <c r="GOR23" s="35"/>
      <c r="GOS23" s="35"/>
      <c r="GOT23" s="35"/>
      <c r="GOU23" s="35"/>
      <c r="GOV23" s="35"/>
      <c r="GOW23" s="35"/>
      <c r="GOX23" s="35"/>
      <c r="GOY23" s="35"/>
      <c r="GOZ23" s="35"/>
      <c r="GPA23" s="35"/>
      <c r="GPB23" s="35"/>
      <c r="GPC23" s="35"/>
      <c r="GPD23" s="35"/>
      <c r="GPE23" s="35"/>
      <c r="GPF23" s="35"/>
      <c r="GPG23" s="35"/>
      <c r="GPH23" s="35"/>
      <c r="GPI23" s="35"/>
      <c r="GPJ23" s="35"/>
      <c r="GPK23" s="35"/>
      <c r="GPL23" s="35"/>
      <c r="GPM23" s="35"/>
      <c r="GPN23" s="35"/>
      <c r="GPO23" s="35"/>
      <c r="GPP23" s="35"/>
      <c r="GPQ23" s="35"/>
      <c r="GPR23" s="35"/>
      <c r="GPS23" s="35"/>
      <c r="GPT23" s="35"/>
      <c r="GPU23" s="35"/>
      <c r="GPV23" s="35"/>
      <c r="GPW23" s="35"/>
      <c r="GPX23" s="35"/>
      <c r="GPY23" s="35"/>
      <c r="GPZ23" s="35"/>
      <c r="GQA23" s="35"/>
      <c r="GQB23" s="35"/>
      <c r="GQC23" s="35"/>
      <c r="GQD23" s="35"/>
      <c r="GQE23" s="35"/>
      <c r="GQF23" s="35"/>
      <c r="GQG23" s="35"/>
      <c r="GQH23" s="35"/>
      <c r="GQI23" s="35"/>
      <c r="GQJ23" s="35"/>
      <c r="GQK23" s="35"/>
      <c r="GQL23" s="35"/>
      <c r="GQM23" s="35"/>
      <c r="GQN23" s="35"/>
      <c r="GQO23" s="35"/>
      <c r="GQP23" s="35"/>
      <c r="GQQ23" s="35"/>
      <c r="GQR23" s="35"/>
      <c r="GQS23" s="35"/>
      <c r="GQT23" s="35"/>
      <c r="GQU23" s="35"/>
      <c r="GQV23" s="35"/>
      <c r="GQW23" s="35"/>
      <c r="GQX23" s="35"/>
      <c r="GQY23" s="35"/>
      <c r="GQZ23" s="35"/>
      <c r="GRA23" s="35"/>
      <c r="GRB23" s="35"/>
      <c r="GRC23" s="35"/>
      <c r="GRD23" s="35"/>
      <c r="GRE23" s="35"/>
      <c r="GRF23" s="35"/>
      <c r="GRG23" s="35"/>
      <c r="GRH23" s="35"/>
      <c r="GRI23" s="35"/>
      <c r="GRJ23" s="35"/>
      <c r="GRK23" s="35"/>
      <c r="GRL23" s="35"/>
      <c r="GRM23" s="35"/>
      <c r="GRN23" s="35"/>
      <c r="GRO23" s="35"/>
      <c r="GRP23" s="35"/>
      <c r="GRQ23" s="35"/>
      <c r="GRR23" s="35"/>
      <c r="GRS23" s="35"/>
      <c r="GRT23" s="35"/>
      <c r="GRU23" s="35"/>
      <c r="GRV23" s="35"/>
      <c r="GRW23" s="35"/>
      <c r="GRX23" s="35"/>
      <c r="GRY23" s="35"/>
      <c r="GRZ23" s="35"/>
      <c r="GSA23" s="35"/>
      <c r="GSB23" s="35"/>
      <c r="GSC23" s="35"/>
      <c r="GSD23" s="35"/>
      <c r="GSE23" s="35"/>
      <c r="GSF23" s="35"/>
      <c r="GSG23" s="35"/>
      <c r="GSH23" s="35"/>
      <c r="GSI23" s="35"/>
      <c r="GSJ23" s="35"/>
      <c r="GSK23" s="35"/>
      <c r="GSL23" s="35"/>
      <c r="GSM23" s="35"/>
      <c r="GSN23" s="35"/>
      <c r="GSO23" s="35"/>
      <c r="GSP23" s="35"/>
      <c r="GSQ23" s="35"/>
      <c r="GSR23" s="35"/>
      <c r="GSS23" s="35"/>
      <c r="GST23" s="35"/>
      <c r="GSU23" s="35"/>
      <c r="GSV23" s="35"/>
      <c r="GSW23" s="35"/>
      <c r="GSX23" s="35"/>
      <c r="GSY23" s="35"/>
      <c r="GSZ23" s="35"/>
      <c r="GTA23" s="35"/>
      <c r="GTB23" s="35"/>
      <c r="GTC23" s="35"/>
      <c r="GTD23" s="35"/>
      <c r="GTE23" s="35"/>
      <c r="GTF23" s="35"/>
      <c r="GTG23" s="35"/>
      <c r="GTH23" s="35"/>
      <c r="GTI23" s="35"/>
      <c r="GTJ23" s="35"/>
      <c r="GTK23" s="35"/>
      <c r="GTL23" s="35"/>
      <c r="GTM23" s="35"/>
      <c r="GTN23" s="35"/>
      <c r="GTO23" s="35"/>
      <c r="GTP23" s="35"/>
      <c r="GTQ23" s="35"/>
      <c r="GTR23" s="35"/>
      <c r="GTS23" s="35"/>
      <c r="GTT23" s="35"/>
      <c r="GTU23" s="35"/>
      <c r="GTV23" s="35"/>
      <c r="GTW23" s="35"/>
      <c r="GTX23" s="35"/>
      <c r="GTY23" s="35"/>
      <c r="GTZ23" s="35"/>
      <c r="GUA23" s="35"/>
      <c r="GUB23" s="35"/>
      <c r="GUC23" s="35"/>
      <c r="GUD23" s="35"/>
      <c r="GUE23" s="35"/>
      <c r="GUF23" s="35"/>
      <c r="GUG23" s="35"/>
      <c r="GUH23" s="35"/>
      <c r="GUI23" s="35"/>
      <c r="GUJ23" s="35"/>
      <c r="GUK23" s="35"/>
      <c r="GUL23" s="35"/>
      <c r="GUM23" s="35"/>
      <c r="GUN23" s="35"/>
      <c r="GUO23" s="35"/>
      <c r="GUP23" s="35"/>
      <c r="GUQ23" s="35"/>
      <c r="GUR23" s="35"/>
      <c r="GUS23" s="35"/>
      <c r="GUT23" s="35"/>
      <c r="GUU23" s="35"/>
      <c r="GUV23" s="35"/>
      <c r="GUW23" s="35"/>
      <c r="GUX23" s="35"/>
      <c r="GUY23" s="35"/>
      <c r="GUZ23" s="35"/>
      <c r="GVA23" s="35"/>
      <c r="GVB23" s="35"/>
      <c r="GVC23" s="35"/>
      <c r="GVD23" s="35"/>
      <c r="GVE23" s="35"/>
      <c r="GVF23" s="35"/>
      <c r="GVG23" s="35"/>
      <c r="GVH23" s="35"/>
      <c r="GVI23" s="35"/>
      <c r="GVJ23" s="35"/>
      <c r="GVK23" s="35"/>
      <c r="GVL23" s="35"/>
      <c r="GVM23" s="35"/>
      <c r="GVN23" s="35"/>
      <c r="GVO23" s="35"/>
      <c r="GVP23" s="35"/>
      <c r="GVQ23" s="35"/>
      <c r="GVR23" s="35"/>
      <c r="GVS23" s="35"/>
      <c r="GVT23" s="35"/>
      <c r="GVU23" s="35"/>
      <c r="GVV23" s="35"/>
      <c r="GVW23" s="35"/>
      <c r="GVX23" s="35"/>
      <c r="GVY23" s="35"/>
      <c r="GVZ23" s="35"/>
      <c r="GWA23" s="35"/>
      <c r="GWB23" s="35"/>
      <c r="GWC23" s="35"/>
      <c r="GWD23" s="35"/>
      <c r="GWE23" s="35"/>
      <c r="GWF23" s="35"/>
      <c r="GWG23" s="35"/>
      <c r="GWH23" s="35"/>
      <c r="GWI23" s="35"/>
      <c r="GWJ23" s="35"/>
      <c r="GWK23" s="35"/>
      <c r="GWL23" s="35"/>
      <c r="GWM23" s="35"/>
      <c r="GWN23" s="35"/>
      <c r="GWO23" s="35"/>
      <c r="GWP23" s="35"/>
      <c r="GWQ23" s="35"/>
      <c r="GWR23" s="35"/>
      <c r="GWS23" s="35"/>
      <c r="GWT23" s="35"/>
      <c r="GWU23" s="35"/>
      <c r="GWV23" s="35"/>
      <c r="GWW23" s="35"/>
      <c r="GWX23" s="35"/>
      <c r="GWY23" s="35"/>
      <c r="GWZ23" s="35"/>
      <c r="GXA23" s="35"/>
      <c r="GXB23" s="35"/>
      <c r="GXC23" s="35"/>
      <c r="GXD23" s="35"/>
      <c r="GXE23" s="35"/>
      <c r="GXF23" s="35"/>
      <c r="GXG23" s="35"/>
      <c r="GXH23" s="35"/>
      <c r="GXI23" s="35"/>
      <c r="GXJ23" s="35"/>
      <c r="GXK23" s="35"/>
      <c r="GXL23" s="35"/>
      <c r="GXM23" s="35"/>
      <c r="GXN23" s="35"/>
      <c r="GXO23" s="35"/>
      <c r="GXP23" s="35"/>
      <c r="GXQ23" s="35"/>
      <c r="GXR23" s="35"/>
      <c r="GXS23" s="35"/>
      <c r="GXT23" s="35"/>
      <c r="GXU23" s="35"/>
      <c r="GXV23" s="35"/>
      <c r="GXW23" s="35"/>
      <c r="GXX23" s="35"/>
      <c r="GXY23" s="35"/>
      <c r="GXZ23" s="35"/>
      <c r="GYA23" s="35"/>
      <c r="GYB23" s="35"/>
      <c r="GYC23" s="35"/>
      <c r="GYD23" s="35"/>
      <c r="GYE23" s="35"/>
      <c r="GYF23" s="35"/>
      <c r="GYG23" s="35"/>
      <c r="GYH23" s="35"/>
      <c r="GYI23" s="35"/>
      <c r="GYJ23" s="35"/>
      <c r="GYK23" s="35"/>
      <c r="GYL23" s="35"/>
      <c r="GYM23" s="35"/>
      <c r="GYN23" s="35"/>
      <c r="GYO23" s="35"/>
      <c r="GYP23" s="35"/>
      <c r="GYQ23" s="35"/>
      <c r="GYR23" s="35"/>
      <c r="GYS23" s="35"/>
      <c r="GYT23" s="35"/>
      <c r="GYU23" s="35"/>
      <c r="GYV23" s="35"/>
      <c r="GYW23" s="35"/>
      <c r="GYX23" s="35"/>
      <c r="GYY23" s="35"/>
      <c r="GYZ23" s="35"/>
      <c r="GZA23" s="35"/>
      <c r="GZB23" s="35"/>
      <c r="GZC23" s="35"/>
      <c r="GZD23" s="35"/>
      <c r="GZE23" s="35"/>
      <c r="GZF23" s="35"/>
      <c r="GZG23" s="35"/>
      <c r="GZH23" s="35"/>
      <c r="GZI23" s="35"/>
      <c r="GZJ23" s="35"/>
      <c r="GZK23" s="35"/>
      <c r="GZL23" s="35"/>
      <c r="GZM23" s="35"/>
      <c r="GZN23" s="35"/>
      <c r="GZO23" s="35"/>
      <c r="GZP23" s="35"/>
      <c r="GZQ23" s="35"/>
      <c r="GZR23" s="35"/>
      <c r="GZS23" s="35"/>
      <c r="GZT23" s="35"/>
      <c r="GZU23" s="35"/>
      <c r="GZV23" s="35"/>
      <c r="GZW23" s="35"/>
      <c r="GZX23" s="35"/>
      <c r="GZY23" s="35"/>
      <c r="GZZ23" s="35"/>
      <c r="HAA23" s="35"/>
      <c r="HAB23" s="35"/>
      <c r="HAC23" s="35"/>
      <c r="HAD23" s="35"/>
      <c r="HAE23" s="35"/>
      <c r="HAF23" s="35"/>
      <c r="HAG23" s="35"/>
      <c r="HAH23" s="35"/>
      <c r="HAI23" s="35"/>
      <c r="HAJ23" s="35"/>
      <c r="HAK23" s="35"/>
      <c r="HAL23" s="35"/>
      <c r="HAM23" s="35"/>
      <c r="HAN23" s="35"/>
      <c r="HAO23" s="35"/>
      <c r="HAP23" s="35"/>
      <c r="HAQ23" s="35"/>
      <c r="HAR23" s="35"/>
      <c r="HAS23" s="35"/>
      <c r="HAT23" s="35"/>
      <c r="HAU23" s="35"/>
      <c r="HAV23" s="35"/>
      <c r="HAW23" s="35"/>
      <c r="HAX23" s="35"/>
      <c r="HAY23" s="35"/>
      <c r="HAZ23" s="35"/>
      <c r="HBA23" s="35"/>
      <c r="HBB23" s="35"/>
      <c r="HBC23" s="35"/>
      <c r="HBD23" s="35"/>
      <c r="HBE23" s="35"/>
      <c r="HBF23" s="35"/>
      <c r="HBG23" s="35"/>
      <c r="HBH23" s="35"/>
      <c r="HBI23" s="35"/>
      <c r="HBJ23" s="35"/>
      <c r="HBK23" s="35"/>
      <c r="HBL23" s="35"/>
      <c r="HBM23" s="35"/>
      <c r="HBN23" s="35"/>
      <c r="HBO23" s="35"/>
      <c r="HBP23" s="35"/>
      <c r="HBQ23" s="35"/>
      <c r="HBR23" s="35"/>
      <c r="HBS23" s="35"/>
      <c r="HBT23" s="35"/>
      <c r="HBU23" s="35"/>
      <c r="HBV23" s="35"/>
      <c r="HBW23" s="35"/>
      <c r="HBX23" s="35"/>
      <c r="HBY23" s="35"/>
      <c r="HBZ23" s="35"/>
      <c r="HCA23" s="35"/>
      <c r="HCB23" s="35"/>
      <c r="HCC23" s="35"/>
      <c r="HCD23" s="35"/>
      <c r="HCE23" s="35"/>
      <c r="HCF23" s="35"/>
      <c r="HCG23" s="35"/>
      <c r="HCH23" s="35"/>
      <c r="HCI23" s="35"/>
      <c r="HCJ23" s="35"/>
      <c r="HCK23" s="35"/>
      <c r="HCL23" s="35"/>
      <c r="HCM23" s="35"/>
      <c r="HCN23" s="35"/>
      <c r="HCO23" s="35"/>
      <c r="HCP23" s="35"/>
      <c r="HCQ23" s="35"/>
      <c r="HCR23" s="35"/>
      <c r="HCS23" s="35"/>
      <c r="HCT23" s="35"/>
      <c r="HCU23" s="35"/>
      <c r="HCV23" s="35"/>
      <c r="HCW23" s="35"/>
      <c r="HCX23" s="35"/>
      <c r="HCY23" s="35"/>
      <c r="HCZ23" s="35"/>
      <c r="HDA23" s="35"/>
      <c r="HDB23" s="35"/>
      <c r="HDC23" s="35"/>
      <c r="HDD23" s="35"/>
      <c r="HDE23" s="35"/>
      <c r="HDF23" s="35"/>
      <c r="HDG23" s="35"/>
      <c r="HDH23" s="35"/>
      <c r="HDI23" s="35"/>
      <c r="HDJ23" s="35"/>
      <c r="HDK23" s="35"/>
      <c r="HDL23" s="35"/>
      <c r="HDM23" s="35"/>
      <c r="HDN23" s="35"/>
      <c r="HDO23" s="35"/>
      <c r="HDP23" s="35"/>
      <c r="HDQ23" s="35"/>
      <c r="HDR23" s="35"/>
      <c r="HDS23" s="35"/>
      <c r="HDT23" s="35"/>
      <c r="HDU23" s="35"/>
      <c r="HDV23" s="35"/>
      <c r="HDW23" s="35"/>
      <c r="HDX23" s="35"/>
      <c r="HDY23" s="35"/>
      <c r="HDZ23" s="35"/>
      <c r="HEA23" s="35"/>
      <c r="HEB23" s="35"/>
      <c r="HEC23" s="35"/>
      <c r="HED23" s="35"/>
      <c r="HEE23" s="35"/>
      <c r="HEF23" s="35"/>
      <c r="HEG23" s="35"/>
      <c r="HEH23" s="35"/>
      <c r="HEI23" s="35"/>
      <c r="HEJ23" s="35"/>
      <c r="HEK23" s="35"/>
      <c r="HEL23" s="35"/>
      <c r="HEM23" s="35"/>
      <c r="HEN23" s="35"/>
      <c r="HEO23" s="35"/>
      <c r="HEP23" s="35"/>
      <c r="HEQ23" s="35"/>
      <c r="HER23" s="35"/>
      <c r="HES23" s="35"/>
      <c r="HET23" s="35"/>
      <c r="HEU23" s="35"/>
      <c r="HEV23" s="35"/>
      <c r="HEW23" s="35"/>
      <c r="HEX23" s="35"/>
      <c r="HEY23" s="35"/>
      <c r="HEZ23" s="35"/>
      <c r="HFA23" s="35"/>
      <c r="HFB23" s="35"/>
      <c r="HFC23" s="35"/>
      <c r="HFD23" s="35"/>
      <c r="HFE23" s="35"/>
      <c r="HFF23" s="35"/>
      <c r="HFG23" s="35"/>
      <c r="HFH23" s="35"/>
      <c r="HFI23" s="35"/>
      <c r="HFJ23" s="35"/>
      <c r="HFK23" s="35"/>
      <c r="HFL23" s="35"/>
      <c r="HFM23" s="35"/>
      <c r="HFN23" s="35"/>
      <c r="HFO23" s="35"/>
      <c r="HFP23" s="35"/>
      <c r="HFQ23" s="35"/>
      <c r="HFR23" s="35"/>
      <c r="HFS23" s="35"/>
      <c r="HFT23" s="35"/>
      <c r="HFU23" s="35"/>
      <c r="HFV23" s="35"/>
      <c r="HFW23" s="35"/>
      <c r="HFX23" s="35"/>
      <c r="HFY23" s="35"/>
      <c r="HFZ23" s="35"/>
      <c r="HGA23" s="35"/>
      <c r="HGB23" s="35"/>
      <c r="HGC23" s="35"/>
      <c r="HGD23" s="35"/>
      <c r="HGE23" s="35"/>
      <c r="HGF23" s="35"/>
      <c r="HGG23" s="35"/>
      <c r="HGH23" s="35"/>
      <c r="HGI23" s="35"/>
      <c r="HGJ23" s="35"/>
      <c r="HGK23" s="35"/>
      <c r="HGL23" s="35"/>
      <c r="HGM23" s="35"/>
      <c r="HGN23" s="35"/>
      <c r="HGO23" s="35"/>
      <c r="HGP23" s="35"/>
      <c r="HGQ23" s="35"/>
      <c r="HGR23" s="35"/>
      <c r="HGS23" s="35"/>
      <c r="HGT23" s="35"/>
      <c r="HGU23" s="35"/>
      <c r="HGV23" s="35"/>
      <c r="HGW23" s="35"/>
      <c r="HGX23" s="35"/>
      <c r="HGY23" s="35"/>
      <c r="HGZ23" s="35"/>
      <c r="HHA23" s="35"/>
      <c r="HHB23" s="35"/>
      <c r="HHC23" s="35"/>
      <c r="HHD23" s="35"/>
      <c r="HHE23" s="35"/>
      <c r="HHF23" s="35"/>
      <c r="HHG23" s="35"/>
      <c r="HHH23" s="35"/>
      <c r="HHI23" s="35"/>
      <c r="HHJ23" s="35"/>
      <c r="HHK23" s="35"/>
      <c r="HHL23" s="35"/>
      <c r="HHM23" s="35"/>
      <c r="HHN23" s="35"/>
      <c r="HHO23" s="35"/>
      <c r="HHP23" s="35"/>
      <c r="HHQ23" s="35"/>
      <c r="HHR23" s="35"/>
      <c r="HHS23" s="35"/>
      <c r="HHT23" s="35"/>
      <c r="HHU23" s="35"/>
      <c r="HHV23" s="35"/>
      <c r="HHW23" s="35"/>
      <c r="HHX23" s="35"/>
      <c r="HHY23" s="35"/>
      <c r="HHZ23" s="35"/>
      <c r="HIA23" s="35"/>
      <c r="HIB23" s="35"/>
      <c r="HIC23" s="35"/>
      <c r="HID23" s="35"/>
      <c r="HIE23" s="35"/>
      <c r="HIF23" s="35"/>
      <c r="HIG23" s="35"/>
      <c r="HIH23" s="35"/>
      <c r="HII23" s="35"/>
      <c r="HIJ23" s="35"/>
      <c r="HIK23" s="35"/>
      <c r="HIL23" s="35"/>
      <c r="HIM23" s="35"/>
      <c r="HIN23" s="35"/>
      <c r="HIO23" s="35"/>
      <c r="HIP23" s="35"/>
      <c r="HIQ23" s="35"/>
      <c r="HIR23" s="35"/>
      <c r="HIS23" s="35"/>
      <c r="HIT23" s="35"/>
      <c r="HIU23" s="35"/>
      <c r="HIV23" s="35"/>
      <c r="HIW23" s="35"/>
      <c r="HIX23" s="35"/>
      <c r="HIY23" s="35"/>
      <c r="HIZ23" s="35"/>
      <c r="HJA23" s="35"/>
      <c r="HJB23" s="35"/>
      <c r="HJC23" s="35"/>
      <c r="HJD23" s="35"/>
      <c r="HJE23" s="35"/>
      <c r="HJF23" s="35"/>
      <c r="HJG23" s="35"/>
      <c r="HJH23" s="35"/>
      <c r="HJI23" s="35"/>
      <c r="HJJ23" s="35"/>
      <c r="HJK23" s="35"/>
      <c r="HJL23" s="35"/>
      <c r="HJM23" s="35"/>
      <c r="HJN23" s="35"/>
      <c r="HJO23" s="35"/>
      <c r="HJP23" s="35"/>
      <c r="HJQ23" s="35"/>
      <c r="HJR23" s="35"/>
      <c r="HJS23" s="35"/>
      <c r="HJT23" s="35"/>
      <c r="HJU23" s="35"/>
      <c r="HJV23" s="35"/>
      <c r="HJW23" s="35"/>
      <c r="HJX23" s="35"/>
      <c r="HJY23" s="35"/>
      <c r="HJZ23" s="35"/>
      <c r="HKA23" s="35"/>
      <c r="HKB23" s="35"/>
      <c r="HKC23" s="35"/>
      <c r="HKD23" s="35"/>
      <c r="HKE23" s="35"/>
      <c r="HKF23" s="35"/>
      <c r="HKG23" s="35"/>
      <c r="HKH23" s="35"/>
      <c r="HKI23" s="35"/>
      <c r="HKJ23" s="35"/>
      <c r="HKK23" s="35"/>
      <c r="HKL23" s="35"/>
      <c r="HKM23" s="35"/>
      <c r="HKN23" s="35"/>
      <c r="HKO23" s="35"/>
      <c r="HKP23" s="35"/>
      <c r="HKQ23" s="35"/>
      <c r="HKR23" s="35"/>
      <c r="HKS23" s="35"/>
      <c r="HKT23" s="35"/>
      <c r="HKU23" s="35"/>
      <c r="HKV23" s="35"/>
      <c r="HKW23" s="35"/>
      <c r="HKX23" s="35"/>
      <c r="HKY23" s="35"/>
      <c r="HKZ23" s="35"/>
      <c r="HLA23" s="35"/>
      <c r="HLB23" s="35"/>
      <c r="HLC23" s="35"/>
      <c r="HLD23" s="35"/>
      <c r="HLE23" s="35"/>
      <c r="HLF23" s="35"/>
      <c r="HLG23" s="35"/>
      <c r="HLH23" s="35"/>
      <c r="HLI23" s="35"/>
      <c r="HLJ23" s="35"/>
      <c r="HLK23" s="35"/>
      <c r="HLL23" s="35"/>
      <c r="HLM23" s="35"/>
      <c r="HLN23" s="35"/>
      <c r="HLO23" s="35"/>
      <c r="HLP23" s="35"/>
      <c r="HLQ23" s="35"/>
      <c r="HLR23" s="35"/>
      <c r="HLS23" s="35"/>
      <c r="HLT23" s="35"/>
      <c r="HLU23" s="35"/>
      <c r="HLV23" s="35"/>
      <c r="HLW23" s="35"/>
      <c r="HLX23" s="35"/>
      <c r="HLY23" s="35"/>
      <c r="HLZ23" s="35"/>
      <c r="HMA23" s="35"/>
      <c r="HMB23" s="35"/>
      <c r="HMC23" s="35"/>
      <c r="HMD23" s="35"/>
      <c r="HME23" s="35"/>
      <c r="HMF23" s="35"/>
      <c r="HMG23" s="35"/>
      <c r="HMH23" s="35"/>
      <c r="HMI23" s="35"/>
      <c r="HMJ23" s="35"/>
      <c r="HMK23" s="35"/>
      <c r="HML23" s="35"/>
      <c r="HMM23" s="35"/>
      <c r="HMN23" s="35"/>
      <c r="HMO23" s="35"/>
      <c r="HMP23" s="35"/>
      <c r="HMQ23" s="35"/>
      <c r="HMR23" s="35"/>
      <c r="HMS23" s="35"/>
      <c r="HMT23" s="35"/>
      <c r="HMU23" s="35"/>
      <c r="HMV23" s="35"/>
      <c r="HMW23" s="35"/>
      <c r="HMX23" s="35"/>
      <c r="HMY23" s="35"/>
      <c r="HMZ23" s="35"/>
      <c r="HNA23" s="35"/>
      <c r="HNB23" s="35"/>
      <c r="HNC23" s="35"/>
      <c r="HND23" s="35"/>
      <c r="HNE23" s="35"/>
      <c r="HNF23" s="35"/>
      <c r="HNG23" s="35"/>
      <c r="HNH23" s="35"/>
      <c r="HNI23" s="35"/>
      <c r="HNJ23" s="35"/>
      <c r="HNK23" s="35"/>
      <c r="HNL23" s="35"/>
      <c r="HNM23" s="35"/>
      <c r="HNN23" s="35"/>
      <c r="HNO23" s="35"/>
      <c r="HNP23" s="35"/>
      <c r="HNQ23" s="35"/>
      <c r="HNR23" s="35"/>
      <c r="HNS23" s="35"/>
      <c r="HNT23" s="35"/>
      <c r="HNU23" s="35"/>
      <c r="HNV23" s="35"/>
      <c r="HNW23" s="35"/>
      <c r="HNX23" s="35"/>
      <c r="HNY23" s="35"/>
      <c r="HNZ23" s="35"/>
      <c r="HOA23" s="35"/>
      <c r="HOB23" s="35"/>
      <c r="HOC23" s="35"/>
      <c r="HOD23" s="35"/>
      <c r="HOE23" s="35"/>
      <c r="HOF23" s="35"/>
      <c r="HOG23" s="35"/>
      <c r="HOH23" s="35"/>
      <c r="HOI23" s="35"/>
      <c r="HOJ23" s="35"/>
      <c r="HOK23" s="35"/>
      <c r="HOL23" s="35"/>
      <c r="HOM23" s="35"/>
      <c r="HON23" s="35"/>
      <c r="HOO23" s="35"/>
      <c r="HOP23" s="35"/>
      <c r="HOQ23" s="35"/>
      <c r="HOR23" s="35"/>
      <c r="HOS23" s="35"/>
      <c r="HOT23" s="35"/>
      <c r="HOU23" s="35"/>
      <c r="HOV23" s="35"/>
      <c r="HOW23" s="35"/>
      <c r="HOX23" s="35"/>
      <c r="HOY23" s="35"/>
      <c r="HOZ23" s="35"/>
      <c r="HPA23" s="35"/>
      <c r="HPB23" s="35"/>
      <c r="HPC23" s="35"/>
      <c r="HPD23" s="35"/>
      <c r="HPE23" s="35"/>
      <c r="HPF23" s="35"/>
      <c r="HPG23" s="35"/>
      <c r="HPH23" s="35"/>
      <c r="HPI23" s="35"/>
      <c r="HPJ23" s="35"/>
      <c r="HPK23" s="35"/>
      <c r="HPL23" s="35"/>
      <c r="HPM23" s="35"/>
      <c r="HPN23" s="35"/>
      <c r="HPO23" s="35"/>
      <c r="HPP23" s="35"/>
      <c r="HPQ23" s="35"/>
      <c r="HPR23" s="35"/>
      <c r="HPS23" s="35"/>
      <c r="HPT23" s="35"/>
      <c r="HPU23" s="35"/>
      <c r="HPV23" s="35"/>
      <c r="HPW23" s="35"/>
      <c r="HPX23" s="35"/>
      <c r="HPY23" s="35"/>
      <c r="HPZ23" s="35"/>
      <c r="HQA23" s="35"/>
      <c r="HQB23" s="35"/>
      <c r="HQC23" s="35"/>
      <c r="HQD23" s="35"/>
      <c r="HQE23" s="35"/>
      <c r="HQF23" s="35"/>
      <c r="HQG23" s="35"/>
      <c r="HQH23" s="35"/>
      <c r="HQI23" s="35"/>
      <c r="HQJ23" s="35"/>
      <c r="HQK23" s="35"/>
      <c r="HQL23" s="35"/>
      <c r="HQM23" s="35"/>
      <c r="HQN23" s="35"/>
      <c r="HQO23" s="35"/>
      <c r="HQP23" s="35"/>
      <c r="HQQ23" s="35"/>
      <c r="HQR23" s="35"/>
      <c r="HQS23" s="35"/>
      <c r="HQT23" s="35"/>
      <c r="HQU23" s="35"/>
      <c r="HQV23" s="35"/>
      <c r="HQW23" s="35"/>
      <c r="HQX23" s="35"/>
      <c r="HQY23" s="35"/>
      <c r="HQZ23" s="35"/>
      <c r="HRA23" s="35"/>
      <c r="HRB23" s="35"/>
      <c r="HRC23" s="35"/>
      <c r="HRD23" s="35"/>
      <c r="HRE23" s="35"/>
      <c r="HRF23" s="35"/>
      <c r="HRG23" s="35"/>
      <c r="HRH23" s="35"/>
      <c r="HRI23" s="35"/>
      <c r="HRJ23" s="35"/>
      <c r="HRK23" s="35"/>
      <c r="HRL23" s="35"/>
      <c r="HRM23" s="35"/>
      <c r="HRN23" s="35"/>
      <c r="HRO23" s="35"/>
      <c r="HRP23" s="35"/>
      <c r="HRQ23" s="35"/>
      <c r="HRR23" s="35"/>
      <c r="HRS23" s="35"/>
      <c r="HRT23" s="35"/>
      <c r="HRU23" s="35"/>
      <c r="HRV23" s="35"/>
      <c r="HRW23" s="35"/>
      <c r="HRX23" s="35"/>
      <c r="HRY23" s="35"/>
      <c r="HRZ23" s="35"/>
      <c r="HSA23" s="35"/>
      <c r="HSB23" s="35"/>
      <c r="HSC23" s="35"/>
      <c r="HSD23" s="35"/>
      <c r="HSE23" s="35"/>
      <c r="HSF23" s="35"/>
      <c r="HSG23" s="35"/>
      <c r="HSH23" s="35"/>
      <c r="HSI23" s="35"/>
      <c r="HSJ23" s="35"/>
      <c r="HSK23" s="35"/>
      <c r="HSL23" s="35"/>
      <c r="HSM23" s="35"/>
      <c r="HSN23" s="35"/>
      <c r="HSO23" s="35"/>
      <c r="HSP23" s="35"/>
      <c r="HSQ23" s="35"/>
      <c r="HSR23" s="35"/>
      <c r="HSS23" s="35"/>
      <c r="HST23" s="35"/>
      <c r="HSU23" s="35"/>
      <c r="HSV23" s="35"/>
      <c r="HSW23" s="35"/>
      <c r="HSX23" s="35"/>
      <c r="HSY23" s="35"/>
      <c r="HSZ23" s="35"/>
      <c r="HTA23" s="35"/>
      <c r="HTB23" s="35"/>
      <c r="HTC23" s="35"/>
      <c r="HTD23" s="35"/>
      <c r="HTE23" s="35"/>
      <c r="HTF23" s="35"/>
      <c r="HTG23" s="35"/>
      <c r="HTH23" s="35"/>
      <c r="HTI23" s="35"/>
      <c r="HTJ23" s="35"/>
      <c r="HTK23" s="35"/>
      <c r="HTL23" s="35"/>
      <c r="HTM23" s="35"/>
      <c r="HTN23" s="35"/>
      <c r="HTO23" s="35"/>
      <c r="HTP23" s="35"/>
      <c r="HTQ23" s="35"/>
      <c r="HTR23" s="35"/>
      <c r="HTS23" s="35"/>
      <c r="HTT23" s="35"/>
      <c r="HTU23" s="35"/>
      <c r="HTV23" s="35"/>
      <c r="HTW23" s="35"/>
      <c r="HTX23" s="35"/>
      <c r="HTY23" s="35"/>
      <c r="HTZ23" s="35"/>
      <c r="HUA23" s="35"/>
      <c r="HUB23" s="35"/>
      <c r="HUC23" s="35"/>
      <c r="HUD23" s="35"/>
      <c r="HUE23" s="35"/>
      <c r="HUF23" s="35"/>
      <c r="HUG23" s="35"/>
      <c r="HUH23" s="35"/>
      <c r="HUI23" s="35"/>
      <c r="HUJ23" s="35"/>
      <c r="HUK23" s="35"/>
      <c r="HUL23" s="35"/>
      <c r="HUM23" s="35"/>
      <c r="HUN23" s="35"/>
      <c r="HUO23" s="35"/>
      <c r="HUP23" s="35"/>
      <c r="HUQ23" s="35"/>
      <c r="HUR23" s="35"/>
      <c r="HUS23" s="35"/>
      <c r="HUT23" s="35"/>
      <c r="HUU23" s="35"/>
      <c r="HUV23" s="35"/>
      <c r="HUW23" s="35"/>
      <c r="HUX23" s="35"/>
      <c r="HUY23" s="35"/>
      <c r="HUZ23" s="35"/>
      <c r="HVA23" s="35"/>
      <c r="HVB23" s="35"/>
      <c r="HVC23" s="35"/>
      <c r="HVD23" s="35"/>
      <c r="HVE23" s="35"/>
      <c r="HVF23" s="35"/>
      <c r="HVG23" s="35"/>
      <c r="HVH23" s="35"/>
      <c r="HVI23" s="35"/>
      <c r="HVJ23" s="35"/>
      <c r="HVK23" s="35"/>
      <c r="HVL23" s="35"/>
      <c r="HVM23" s="35"/>
      <c r="HVN23" s="35"/>
      <c r="HVO23" s="35"/>
      <c r="HVP23" s="35"/>
      <c r="HVQ23" s="35"/>
      <c r="HVR23" s="35"/>
      <c r="HVS23" s="35"/>
      <c r="HVT23" s="35"/>
      <c r="HVU23" s="35"/>
      <c r="HVV23" s="35"/>
      <c r="HVW23" s="35"/>
      <c r="HVX23" s="35"/>
      <c r="HVY23" s="35"/>
      <c r="HVZ23" s="35"/>
      <c r="HWA23" s="35"/>
      <c r="HWB23" s="35"/>
      <c r="HWC23" s="35"/>
      <c r="HWD23" s="35"/>
      <c r="HWE23" s="35"/>
      <c r="HWF23" s="35"/>
      <c r="HWG23" s="35"/>
      <c r="HWH23" s="35"/>
      <c r="HWI23" s="35"/>
      <c r="HWJ23" s="35"/>
      <c r="HWK23" s="35"/>
      <c r="HWL23" s="35"/>
      <c r="HWM23" s="35"/>
      <c r="HWN23" s="35"/>
      <c r="HWO23" s="35"/>
      <c r="HWP23" s="35"/>
      <c r="HWQ23" s="35"/>
      <c r="HWR23" s="35"/>
      <c r="HWS23" s="35"/>
      <c r="HWT23" s="35"/>
      <c r="HWU23" s="35"/>
      <c r="HWV23" s="35"/>
      <c r="HWW23" s="35"/>
      <c r="HWX23" s="35"/>
      <c r="HWY23" s="35"/>
      <c r="HWZ23" s="35"/>
      <c r="HXA23" s="35"/>
      <c r="HXB23" s="35"/>
      <c r="HXC23" s="35"/>
      <c r="HXD23" s="35"/>
      <c r="HXE23" s="35"/>
      <c r="HXF23" s="35"/>
      <c r="HXG23" s="35"/>
      <c r="HXH23" s="35"/>
      <c r="HXI23" s="35"/>
      <c r="HXJ23" s="35"/>
      <c r="HXK23" s="35"/>
      <c r="HXL23" s="35"/>
      <c r="HXM23" s="35"/>
      <c r="HXN23" s="35"/>
      <c r="HXO23" s="35"/>
      <c r="HXP23" s="35"/>
      <c r="HXQ23" s="35"/>
      <c r="HXR23" s="35"/>
      <c r="HXS23" s="35"/>
      <c r="HXT23" s="35"/>
      <c r="HXU23" s="35"/>
      <c r="HXV23" s="35"/>
      <c r="HXW23" s="35"/>
      <c r="HXX23" s="35"/>
      <c r="HXY23" s="35"/>
      <c r="HXZ23" s="35"/>
      <c r="HYA23" s="35"/>
      <c r="HYB23" s="35"/>
      <c r="HYC23" s="35"/>
      <c r="HYD23" s="35"/>
      <c r="HYE23" s="35"/>
      <c r="HYF23" s="35"/>
      <c r="HYG23" s="35"/>
      <c r="HYH23" s="35"/>
      <c r="HYI23" s="35"/>
      <c r="HYJ23" s="35"/>
      <c r="HYK23" s="35"/>
      <c r="HYL23" s="35"/>
      <c r="HYM23" s="35"/>
      <c r="HYN23" s="35"/>
      <c r="HYO23" s="35"/>
      <c r="HYP23" s="35"/>
      <c r="HYQ23" s="35"/>
      <c r="HYR23" s="35"/>
      <c r="HYS23" s="35"/>
      <c r="HYT23" s="35"/>
      <c r="HYU23" s="35"/>
      <c r="HYV23" s="35"/>
      <c r="HYW23" s="35"/>
      <c r="HYX23" s="35"/>
      <c r="HYY23" s="35"/>
      <c r="HYZ23" s="35"/>
      <c r="HZA23" s="35"/>
      <c r="HZB23" s="35"/>
      <c r="HZC23" s="35"/>
      <c r="HZD23" s="35"/>
      <c r="HZE23" s="35"/>
      <c r="HZF23" s="35"/>
      <c r="HZG23" s="35"/>
      <c r="HZH23" s="35"/>
      <c r="HZI23" s="35"/>
      <c r="HZJ23" s="35"/>
      <c r="HZK23" s="35"/>
      <c r="HZL23" s="35"/>
      <c r="HZM23" s="35"/>
      <c r="HZN23" s="35"/>
      <c r="HZO23" s="35"/>
      <c r="HZP23" s="35"/>
      <c r="HZQ23" s="35"/>
      <c r="HZR23" s="35"/>
      <c r="HZS23" s="35"/>
      <c r="HZT23" s="35"/>
      <c r="HZU23" s="35"/>
      <c r="HZV23" s="35"/>
      <c r="HZW23" s="35"/>
      <c r="HZX23" s="35"/>
      <c r="HZY23" s="35"/>
      <c r="HZZ23" s="35"/>
      <c r="IAA23" s="35"/>
      <c r="IAB23" s="35"/>
      <c r="IAC23" s="35"/>
      <c r="IAD23" s="35"/>
      <c r="IAE23" s="35"/>
      <c r="IAF23" s="35"/>
      <c r="IAG23" s="35"/>
      <c r="IAH23" s="35"/>
      <c r="IAI23" s="35"/>
      <c r="IAJ23" s="35"/>
      <c r="IAK23" s="35"/>
      <c r="IAL23" s="35"/>
      <c r="IAM23" s="35"/>
      <c r="IAN23" s="35"/>
      <c r="IAO23" s="35"/>
      <c r="IAP23" s="35"/>
      <c r="IAQ23" s="35"/>
      <c r="IAR23" s="35"/>
      <c r="IAS23" s="35"/>
      <c r="IAT23" s="35"/>
      <c r="IAU23" s="35"/>
      <c r="IAV23" s="35"/>
      <c r="IAW23" s="35"/>
      <c r="IAX23" s="35"/>
      <c r="IAY23" s="35"/>
      <c r="IAZ23" s="35"/>
      <c r="IBA23" s="35"/>
      <c r="IBB23" s="35"/>
      <c r="IBC23" s="35"/>
      <c r="IBD23" s="35"/>
      <c r="IBE23" s="35"/>
      <c r="IBF23" s="35"/>
      <c r="IBG23" s="35"/>
      <c r="IBH23" s="35"/>
      <c r="IBI23" s="35"/>
      <c r="IBJ23" s="35"/>
      <c r="IBK23" s="35"/>
      <c r="IBL23" s="35"/>
      <c r="IBM23" s="35"/>
      <c r="IBN23" s="35"/>
      <c r="IBO23" s="35"/>
      <c r="IBP23" s="35"/>
      <c r="IBQ23" s="35"/>
      <c r="IBR23" s="35"/>
      <c r="IBS23" s="35"/>
      <c r="IBT23" s="35"/>
      <c r="IBU23" s="35"/>
      <c r="IBV23" s="35"/>
      <c r="IBW23" s="35"/>
      <c r="IBX23" s="35"/>
      <c r="IBY23" s="35"/>
      <c r="IBZ23" s="35"/>
      <c r="ICA23" s="35"/>
      <c r="ICB23" s="35"/>
      <c r="ICC23" s="35"/>
      <c r="ICD23" s="35"/>
      <c r="ICE23" s="35"/>
      <c r="ICF23" s="35"/>
      <c r="ICG23" s="35"/>
      <c r="ICH23" s="35"/>
      <c r="ICI23" s="35"/>
      <c r="ICJ23" s="35"/>
      <c r="ICK23" s="35"/>
      <c r="ICL23" s="35"/>
      <c r="ICM23" s="35"/>
      <c r="ICN23" s="35"/>
      <c r="ICO23" s="35"/>
      <c r="ICP23" s="35"/>
      <c r="ICQ23" s="35"/>
      <c r="ICR23" s="35"/>
      <c r="ICS23" s="35"/>
      <c r="ICT23" s="35"/>
      <c r="ICU23" s="35"/>
      <c r="ICV23" s="35"/>
      <c r="ICW23" s="35"/>
      <c r="ICX23" s="35"/>
      <c r="ICY23" s="35"/>
      <c r="ICZ23" s="35"/>
      <c r="IDA23" s="35"/>
      <c r="IDB23" s="35"/>
      <c r="IDC23" s="35"/>
      <c r="IDD23" s="35"/>
      <c r="IDE23" s="35"/>
      <c r="IDF23" s="35"/>
      <c r="IDG23" s="35"/>
      <c r="IDH23" s="35"/>
      <c r="IDI23" s="35"/>
      <c r="IDJ23" s="35"/>
      <c r="IDK23" s="35"/>
      <c r="IDL23" s="35"/>
      <c r="IDM23" s="35"/>
      <c r="IDN23" s="35"/>
      <c r="IDO23" s="35"/>
      <c r="IDP23" s="35"/>
      <c r="IDQ23" s="35"/>
      <c r="IDR23" s="35"/>
      <c r="IDS23" s="35"/>
      <c r="IDT23" s="35"/>
      <c r="IDU23" s="35"/>
      <c r="IDV23" s="35"/>
      <c r="IDW23" s="35"/>
      <c r="IDX23" s="35"/>
      <c r="IDY23" s="35"/>
      <c r="IDZ23" s="35"/>
      <c r="IEA23" s="35"/>
      <c r="IEB23" s="35"/>
      <c r="IEC23" s="35"/>
      <c r="IED23" s="35"/>
      <c r="IEE23" s="35"/>
      <c r="IEF23" s="35"/>
      <c r="IEG23" s="35"/>
      <c r="IEH23" s="35"/>
      <c r="IEI23" s="35"/>
      <c r="IEJ23" s="35"/>
      <c r="IEK23" s="35"/>
      <c r="IEL23" s="35"/>
      <c r="IEM23" s="35"/>
      <c r="IEN23" s="35"/>
      <c r="IEO23" s="35"/>
      <c r="IEP23" s="35"/>
      <c r="IEQ23" s="35"/>
      <c r="IER23" s="35"/>
      <c r="IES23" s="35"/>
      <c r="IET23" s="35"/>
      <c r="IEU23" s="35"/>
      <c r="IEV23" s="35"/>
      <c r="IEW23" s="35"/>
      <c r="IEX23" s="35"/>
      <c r="IEY23" s="35"/>
      <c r="IEZ23" s="35"/>
      <c r="IFA23" s="35"/>
      <c r="IFB23" s="35"/>
      <c r="IFC23" s="35"/>
      <c r="IFD23" s="35"/>
      <c r="IFE23" s="35"/>
      <c r="IFF23" s="35"/>
      <c r="IFG23" s="35"/>
      <c r="IFH23" s="35"/>
      <c r="IFI23" s="35"/>
      <c r="IFJ23" s="35"/>
      <c r="IFK23" s="35"/>
      <c r="IFL23" s="35"/>
      <c r="IFM23" s="35"/>
      <c r="IFN23" s="35"/>
      <c r="IFO23" s="35"/>
      <c r="IFP23" s="35"/>
      <c r="IFQ23" s="35"/>
      <c r="IFR23" s="35"/>
      <c r="IFS23" s="35"/>
      <c r="IFT23" s="35"/>
      <c r="IFU23" s="35"/>
      <c r="IFV23" s="35"/>
      <c r="IFW23" s="35"/>
      <c r="IFX23" s="35"/>
      <c r="IFY23" s="35"/>
      <c r="IFZ23" s="35"/>
      <c r="IGA23" s="35"/>
      <c r="IGB23" s="35"/>
      <c r="IGC23" s="35"/>
      <c r="IGD23" s="35"/>
      <c r="IGE23" s="35"/>
      <c r="IGF23" s="35"/>
      <c r="IGG23" s="35"/>
      <c r="IGH23" s="35"/>
      <c r="IGI23" s="35"/>
      <c r="IGJ23" s="35"/>
      <c r="IGK23" s="35"/>
      <c r="IGL23" s="35"/>
      <c r="IGM23" s="35"/>
      <c r="IGN23" s="35"/>
      <c r="IGO23" s="35"/>
      <c r="IGP23" s="35"/>
      <c r="IGQ23" s="35"/>
      <c r="IGR23" s="35"/>
      <c r="IGS23" s="35"/>
      <c r="IGT23" s="35"/>
      <c r="IGU23" s="35"/>
      <c r="IGV23" s="35"/>
      <c r="IGW23" s="35"/>
      <c r="IGX23" s="35"/>
      <c r="IGY23" s="35"/>
      <c r="IGZ23" s="35"/>
      <c r="IHA23" s="35"/>
      <c r="IHB23" s="35"/>
      <c r="IHC23" s="35"/>
      <c r="IHD23" s="35"/>
      <c r="IHE23" s="35"/>
      <c r="IHF23" s="35"/>
      <c r="IHG23" s="35"/>
      <c r="IHH23" s="35"/>
      <c r="IHI23" s="35"/>
      <c r="IHJ23" s="35"/>
      <c r="IHK23" s="35"/>
      <c r="IHL23" s="35"/>
      <c r="IHM23" s="35"/>
      <c r="IHN23" s="35"/>
      <c r="IHO23" s="35"/>
      <c r="IHP23" s="35"/>
      <c r="IHQ23" s="35"/>
      <c r="IHR23" s="35"/>
      <c r="IHS23" s="35"/>
      <c r="IHT23" s="35"/>
      <c r="IHU23" s="35"/>
      <c r="IHV23" s="35"/>
      <c r="IHW23" s="35"/>
      <c r="IHX23" s="35"/>
      <c r="IHY23" s="35"/>
      <c r="IHZ23" s="35"/>
      <c r="IIA23" s="35"/>
      <c r="IIB23" s="35"/>
      <c r="IIC23" s="35"/>
      <c r="IID23" s="35"/>
      <c r="IIE23" s="35"/>
      <c r="IIF23" s="35"/>
      <c r="IIG23" s="35"/>
      <c r="IIH23" s="35"/>
      <c r="III23" s="35"/>
      <c r="IIJ23" s="35"/>
      <c r="IIK23" s="35"/>
      <c r="IIL23" s="35"/>
      <c r="IIM23" s="35"/>
      <c r="IIN23" s="35"/>
      <c r="IIO23" s="35"/>
      <c r="IIP23" s="35"/>
      <c r="IIQ23" s="35"/>
      <c r="IIR23" s="35"/>
      <c r="IIS23" s="35"/>
      <c r="IIT23" s="35"/>
      <c r="IIU23" s="35"/>
      <c r="IIV23" s="35"/>
      <c r="IIW23" s="35"/>
      <c r="IIX23" s="35"/>
      <c r="IIY23" s="35"/>
      <c r="IIZ23" s="35"/>
      <c r="IJA23" s="35"/>
      <c r="IJB23" s="35"/>
      <c r="IJC23" s="35"/>
      <c r="IJD23" s="35"/>
      <c r="IJE23" s="35"/>
      <c r="IJF23" s="35"/>
      <c r="IJG23" s="35"/>
      <c r="IJH23" s="35"/>
      <c r="IJI23" s="35"/>
      <c r="IJJ23" s="35"/>
      <c r="IJK23" s="35"/>
      <c r="IJL23" s="35"/>
      <c r="IJM23" s="35"/>
      <c r="IJN23" s="35"/>
      <c r="IJO23" s="35"/>
      <c r="IJP23" s="35"/>
      <c r="IJQ23" s="35"/>
      <c r="IJR23" s="35"/>
      <c r="IJS23" s="35"/>
      <c r="IJT23" s="35"/>
      <c r="IJU23" s="35"/>
      <c r="IJV23" s="35"/>
      <c r="IJW23" s="35"/>
      <c r="IJX23" s="35"/>
      <c r="IJY23" s="35"/>
      <c r="IJZ23" s="35"/>
      <c r="IKA23" s="35"/>
      <c r="IKB23" s="35"/>
      <c r="IKC23" s="35"/>
      <c r="IKD23" s="35"/>
      <c r="IKE23" s="35"/>
      <c r="IKF23" s="35"/>
      <c r="IKG23" s="35"/>
      <c r="IKH23" s="35"/>
      <c r="IKI23" s="35"/>
      <c r="IKJ23" s="35"/>
      <c r="IKK23" s="35"/>
      <c r="IKL23" s="35"/>
      <c r="IKM23" s="35"/>
      <c r="IKN23" s="35"/>
      <c r="IKO23" s="35"/>
      <c r="IKP23" s="35"/>
      <c r="IKQ23" s="35"/>
      <c r="IKR23" s="35"/>
      <c r="IKS23" s="35"/>
      <c r="IKT23" s="35"/>
      <c r="IKU23" s="35"/>
      <c r="IKV23" s="35"/>
      <c r="IKW23" s="35"/>
      <c r="IKX23" s="35"/>
      <c r="IKY23" s="35"/>
      <c r="IKZ23" s="35"/>
      <c r="ILA23" s="35"/>
      <c r="ILB23" s="35"/>
      <c r="ILC23" s="35"/>
      <c r="ILD23" s="35"/>
      <c r="ILE23" s="35"/>
      <c r="ILF23" s="35"/>
      <c r="ILG23" s="35"/>
      <c r="ILH23" s="35"/>
      <c r="ILI23" s="35"/>
      <c r="ILJ23" s="35"/>
      <c r="ILK23" s="35"/>
      <c r="ILL23" s="35"/>
      <c r="ILM23" s="35"/>
      <c r="ILN23" s="35"/>
      <c r="ILO23" s="35"/>
      <c r="ILP23" s="35"/>
      <c r="ILQ23" s="35"/>
      <c r="ILR23" s="35"/>
      <c r="ILS23" s="35"/>
      <c r="ILT23" s="35"/>
      <c r="ILU23" s="35"/>
      <c r="ILV23" s="35"/>
      <c r="ILW23" s="35"/>
      <c r="ILX23" s="35"/>
      <c r="ILY23" s="35"/>
      <c r="ILZ23" s="35"/>
      <c r="IMA23" s="35"/>
      <c r="IMB23" s="35"/>
      <c r="IMC23" s="35"/>
      <c r="IMD23" s="35"/>
      <c r="IME23" s="35"/>
      <c r="IMF23" s="35"/>
      <c r="IMG23" s="35"/>
      <c r="IMH23" s="35"/>
      <c r="IMI23" s="35"/>
      <c r="IMJ23" s="35"/>
      <c r="IMK23" s="35"/>
      <c r="IML23" s="35"/>
      <c r="IMM23" s="35"/>
      <c r="IMN23" s="35"/>
      <c r="IMO23" s="35"/>
      <c r="IMP23" s="35"/>
      <c r="IMQ23" s="35"/>
      <c r="IMR23" s="35"/>
      <c r="IMS23" s="35"/>
      <c r="IMT23" s="35"/>
      <c r="IMU23" s="35"/>
      <c r="IMV23" s="35"/>
      <c r="IMW23" s="35"/>
      <c r="IMX23" s="35"/>
      <c r="IMY23" s="35"/>
      <c r="IMZ23" s="35"/>
      <c r="INA23" s="35"/>
      <c r="INB23" s="35"/>
      <c r="INC23" s="35"/>
      <c r="IND23" s="35"/>
      <c r="INE23" s="35"/>
      <c r="INF23" s="35"/>
      <c r="ING23" s="35"/>
      <c r="INH23" s="35"/>
      <c r="INI23" s="35"/>
      <c r="INJ23" s="35"/>
      <c r="INK23" s="35"/>
      <c r="INL23" s="35"/>
      <c r="INM23" s="35"/>
      <c r="INN23" s="35"/>
      <c r="INO23" s="35"/>
      <c r="INP23" s="35"/>
      <c r="INQ23" s="35"/>
      <c r="INR23" s="35"/>
      <c r="INS23" s="35"/>
      <c r="INT23" s="35"/>
      <c r="INU23" s="35"/>
      <c r="INV23" s="35"/>
      <c r="INW23" s="35"/>
      <c r="INX23" s="35"/>
      <c r="INY23" s="35"/>
      <c r="INZ23" s="35"/>
      <c r="IOA23" s="35"/>
      <c r="IOB23" s="35"/>
      <c r="IOC23" s="35"/>
      <c r="IOD23" s="35"/>
      <c r="IOE23" s="35"/>
      <c r="IOF23" s="35"/>
      <c r="IOG23" s="35"/>
      <c r="IOH23" s="35"/>
      <c r="IOI23" s="35"/>
      <c r="IOJ23" s="35"/>
      <c r="IOK23" s="35"/>
      <c r="IOL23" s="35"/>
      <c r="IOM23" s="35"/>
      <c r="ION23" s="35"/>
      <c r="IOO23" s="35"/>
      <c r="IOP23" s="35"/>
      <c r="IOQ23" s="35"/>
      <c r="IOR23" s="35"/>
      <c r="IOS23" s="35"/>
      <c r="IOT23" s="35"/>
      <c r="IOU23" s="35"/>
      <c r="IOV23" s="35"/>
      <c r="IOW23" s="35"/>
      <c r="IOX23" s="35"/>
      <c r="IOY23" s="35"/>
      <c r="IOZ23" s="35"/>
      <c r="IPA23" s="35"/>
      <c r="IPB23" s="35"/>
      <c r="IPC23" s="35"/>
      <c r="IPD23" s="35"/>
      <c r="IPE23" s="35"/>
      <c r="IPF23" s="35"/>
      <c r="IPG23" s="35"/>
      <c r="IPH23" s="35"/>
      <c r="IPI23" s="35"/>
      <c r="IPJ23" s="35"/>
      <c r="IPK23" s="35"/>
      <c r="IPL23" s="35"/>
      <c r="IPM23" s="35"/>
      <c r="IPN23" s="35"/>
      <c r="IPO23" s="35"/>
      <c r="IPP23" s="35"/>
      <c r="IPQ23" s="35"/>
      <c r="IPR23" s="35"/>
      <c r="IPS23" s="35"/>
      <c r="IPT23" s="35"/>
      <c r="IPU23" s="35"/>
      <c r="IPV23" s="35"/>
      <c r="IPW23" s="35"/>
      <c r="IPX23" s="35"/>
      <c r="IPY23" s="35"/>
      <c r="IPZ23" s="35"/>
      <c r="IQA23" s="35"/>
      <c r="IQB23" s="35"/>
      <c r="IQC23" s="35"/>
      <c r="IQD23" s="35"/>
      <c r="IQE23" s="35"/>
      <c r="IQF23" s="35"/>
      <c r="IQG23" s="35"/>
      <c r="IQH23" s="35"/>
      <c r="IQI23" s="35"/>
      <c r="IQJ23" s="35"/>
      <c r="IQK23" s="35"/>
      <c r="IQL23" s="35"/>
      <c r="IQM23" s="35"/>
      <c r="IQN23" s="35"/>
      <c r="IQO23" s="35"/>
      <c r="IQP23" s="35"/>
      <c r="IQQ23" s="35"/>
      <c r="IQR23" s="35"/>
      <c r="IQS23" s="35"/>
      <c r="IQT23" s="35"/>
      <c r="IQU23" s="35"/>
      <c r="IQV23" s="35"/>
      <c r="IQW23" s="35"/>
      <c r="IQX23" s="35"/>
      <c r="IQY23" s="35"/>
      <c r="IQZ23" s="35"/>
      <c r="IRA23" s="35"/>
      <c r="IRB23" s="35"/>
      <c r="IRC23" s="35"/>
      <c r="IRD23" s="35"/>
      <c r="IRE23" s="35"/>
      <c r="IRF23" s="35"/>
      <c r="IRG23" s="35"/>
      <c r="IRH23" s="35"/>
      <c r="IRI23" s="35"/>
      <c r="IRJ23" s="35"/>
      <c r="IRK23" s="35"/>
      <c r="IRL23" s="35"/>
      <c r="IRM23" s="35"/>
      <c r="IRN23" s="35"/>
      <c r="IRO23" s="35"/>
      <c r="IRP23" s="35"/>
      <c r="IRQ23" s="35"/>
      <c r="IRR23" s="35"/>
      <c r="IRS23" s="35"/>
      <c r="IRT23" s="35"/>
      <c r="IRU23" s="35"/>
      <c r="IRV23" s="35"/>
      <c r="IRW23" s="35"/>
      <c r="IRX23" s="35"/>
      <c r="IRY23" s="35"/>
      <c r="IRZ23" s="35"/>
      <c r="ISA23" s="35"/>
      <c r="ISB23" s="35"/>
      <c r="ISC23" s="35"/>
      <c r="ISD23" s="35"/>
      <c r="ISE23" s="35"/>
      <c r="ISF23" s="35"/>
      <c r="ISG23" s="35"/>
      <c r="ISH23" s="35"/>
      <c r="ISI23" s="35"/>
      <c r="ISJ23" s="35"/>
      <c r="ISK23" s="35"/>
      <c r="ISL23" s="35"/>
      <c r="ISM23" s="35"/>
      <c r="ISN23" s="35"/>
      <c r="ISO23" s="35"/>
      <c r="ISP23" s="35"/>
      <c r="ISQ23" s="35"/>
      <c r="ISR23" s="35"/>
      <c r="ISS23" s="35"/>
      <c r="IST23" s="35"/>
      <c r="ISU23" s="35"/>
      <c r="ISV23" s="35"/>
      <c r="ISW23" s="35"/>
      <c r="ISX23" s="35"/>
      <c r="ISY23" s="35"/>
      <c r="ISZ23" s="35"/>
      <c r="ITA23" s="35"/>
      <c r="ITB23" s="35"/>
      <c r="ITC23" s="35"/>
      <c r="ITD23" s="35"/>
      <c r="ITE23" s="35"/>
      <c r="ITF23" s="35"/>
      <c r="ITG23" s="35"/>
      <c r="ITH23" s="35"/>
      <c r="ITI23" s="35"/>
      <c r="ITJ23" s="35"/>
      <c r="ITK23" s="35"/>
      <c r="ITL23" s="35"/>
      <c r="ITM23" s="35"/>
      <c r="ITN23" s="35"/>
      <c r="ITO23" s="35"/>
      <c r="ITP23" s="35"/>
      <c r="ITQ23" s="35"/>
      <c r="ITR23" s="35"/>
      <c r="ITS23" s="35"/>
      <c r="ITT23" s="35"/>
      <c r="ITU23" s="35"/>
      <c r="ITV23" s="35"/>
      <c r="ITW23" s="35"/>
      <c r="ITX23" s="35"/>
      <c r="ITY23" s="35"/>
      <c r="ITZ23" s="35"/>
      <c r="IUA23" s="35"/>
      <c r="IUB23" s="35"/>
      <c r="IUC23" s="35"/>
      <c r="IUD23" s="35"/>
      <c r="IUE23" s="35"/>
      <c r="IUF23" s="35"/>
      <c r="IUG23" s="35"/>
      <c r="IUH23" s="35"/>
      <c r="IUI23" s="35"/>
      <c r="IUJ23" s="35"/>
      <c r="IUK23" s="35"/>
      <c r="IUL23" s="35"/>
      <c r="IUM23" s="35"/>
      <c r="IUN23" s="35"/>
      <c r="IUO23" s="35"/>
      <c r="IUP23" s="35"/>
      <c r="IUQ23" s="35"/>
      <c r="IUR23" s="35"/>
      <c r="IUS23" s="35"/>
      <c r="IUT23" s="35"/>
      <c r="IUU23" s="35"/>
      <c r="IUV23" s="35"/>
      <c r="IUW23" s="35"/>
      <c r="IUX23" s="35"/>
      <c r="IUY23" s="35"/>
      <c r="IUZ23" s="35"/>
      <c r="IVA23" s="35"/>
      <c r="IVB23" s="35"/>
      <c r="IVC23" s="35"/>
      <c r="IVD23" s="35"/>
      <c r="IVE23" s="35"/>
      <c r="IVF23" s="35"/>
      <c r="IVG23" s="35"/>
      <c r="IVH23" s="35"/>
      <c r="IVI23" s="35"/>
      <c r="IVJ23" s="35"/>
      <c r="IVK23" s="35"/>
      <c r="IVL23" s="35"/>
      <c r="IVM23" s="35"/>
      <c r="IVN23" s="35"/>
      <c r="IVO23" s="35"/>
      <c r="IVP23" s="35"/>
      <c r="IVQ23" s="35"/>
      <c r="IVR23" s="35"/>
      <c r="IVS23" s="35"/>
      <c r="IVT23" s="35"/>
      <c r="IVU23" s="35"/>
      <c r="IVV23" s="35"/>
      <c r="IVW23" s="35"/>
      <c r="IVX23" s="35"/>
      <c r="IVY23" s="35"/>
      <c r="IVZ23" s="35"/>
      <c r="IWA23" s="35"/>
      <c r="IWB23" s="35"/>
      <c r="IWC23" s="35"/>
      <c r="IWD23" s="35"/>
      <c r="IWE23" s="35"/>
      <c r="IWF23" s="35"/>
      <c r="IWG23" s="35"/>
      <c r="IWH23" s="35"/>
      <c r="IWI23" s="35"/>
      <c r="IWJ23" s="35"/>
      <c r="IWK23" s="35"/>
      <c r="IWL23" s="35"/>
      <c r="IWM23" s="35"/>
      <c r="IWN23" s="35"/>
      <c r="IWO23" s="35"/>
      <c r="IWP23" s="35"/>
      <c r="IWQ23" s="35"/>
      <c r="IWR23" s="35"/>
      <c r="IWS23" s="35"/>
      <c r="IWT23" s="35"/>
      <c r="IWU23" s="35"/>
      <c r="IWV23" s="35"/>
      <c r="IWW23" s="35"/>
      <c r="IWX23" s="35"/>
      <c r="IWY23" s="35"/>
      <c r="IWZ23" s="35"/>
      <c r="IXA23" s="35"/>
      <c r="IXB23" s="35"/>
      <c r="IXC23" s="35"/>
      <c r="IXD23" s="35"/>
      <c r="IXE23" s="35"/>
      <c r="IXF23" s="35"/>
      <c r="IXG23" s="35"/>
      <c r="IXH23" s="35"/>
      <c r="IXI23" s="35"/>
      <c r="IXJ23" s="35"/>
      <c r="IXK23" s="35"/>
      <c r="IXL23" s="35"/>
      <c r="IXM23" s="35"/>
      <c r="IXN23" s="35"/>
      <c r="IXO23" s="35"/>
      <c r="IXP23" s="35"/>
      <c r="IXQ23" s="35"/>
      <c r="IXR23" s="35"/>
      <c r="IXS23" s="35"/>
      <c r="IXT23" s="35"/>
      <c r="IXU23" s="35"/>
      <c r="IXV23" s="35"/>
      <c r="IXW23" s="35"/>
      <c r="IXX23" s="35"/>
      <c r="IXY23" s="35"/>
      <c r="IXZ23" s="35"/>
      <c r="IYA23" s="35"/>
      <c r="IYB23" s="35"/>
      <c r="IYC23" s="35"/>
      <c r="IYD23" s="35"/>
      <c r="IYE23" s="35"/>
      <c r="IYF23" s="35"/>
      <c r="IYG23" s="35"/>
      <c r="IYH23" s="35"/>
      <c r="IYI23" s="35"/>
      <c r="IYJ23" s="35"/>
      <c r="IYK23" s="35"/>
      <c r="IYL23" s="35"/>
      <c r="IYM23" s="35"/>
      <c r="IYN23" s="35"/>
      <c r="IYO23" s="35"/>
      <c r="IYP23" s="35"/>
      <c r="IYQ23" s="35"/>
      <c r="IYR23" s="35"/>
      <c r="IYS23" s="35"/>
      <c r="IYT23" s="35"/>
      <c r="IYU23" s="35"/>
      <c r="IYV23" s="35"/>
      <c r="IYW23" s="35"/>
      <c r="IYX23" s="35"/>
      <c r="IYY23" s="35"/>
      <c r="IYZ23" s="35"/>
      <c r="IZA23" s="35"/>
      <c r="IZB23" s="35"/>
      <c r="IZC23" s="35"/>
      <c r="IZD23" s="35"/>
      <c r="IZE23" s="35"/>
      <c r="IZF23" s="35"/>
      <c r="IZG23" s="35"/>
      <c r="IZH23" s="35"/>
      <c r="IZI23" s="35"/>
      <c r="IZJ23" s="35"/>
      <c r="IZK23" s="35"/>
      <c r="IZL23" s="35"/>
      <c r="IZM23" s="35"/>
      <c r="IZN23" s="35"/>
      <c r="IZO23" s="35"/>
      <c r="IZP23" s="35"/>
      <c r="IZQ23" s="35"/>
      <c r="IZR23" s="35"/>
      <c r="IZS23" s="35"/>
      <c r="IZT23" s="35"/>
      <c r="IZU23" s="35"/>
      <c r="IZV23" s="35"/>
      <c r="IZW23" s="35"/>
      <c r="IZX23" s="35"/>
      <c r="IZY23" s="35"/>
      <c r="IZZ23" s="35"/>
      <c r="JAA23" s="35"/>
      <c r="JAB23" s="35"/>
      <c r="JAC23" s="35"/>
      <c r="JAD23" s="35"/>
      <c r="JAE23" s="35"/>
      <c r="JAF23" s="35"/>
      <c r="JAG23" s="35"/>
      <c r="JAH23" s="35"/>
      <c r="JAI23" s="35"/>
      <c r="JAJ23" s="35"/>
      <c r="JAK23" s="35"/>
      <c r="JAL23" s="35"/>
      <c r="JAM23" s="35"/>
      <c r="JAN23" s="35"/>
      <c r="JAO23" s="35"/>
      <c r="JAP23" s="35"/>
      <c r="JAQ23" s="35"/>
      <c r="JAR23" s="35"/>
      <c r="JAS23" s="35"/>
      <c r="JAT23" s="35"/>
      <c r="JAU23" s="35"/>
      <c r="JAV23" s="35"/>
      <c r="JAW23" s="35"/>
      <c r="JAX23" s="35"/>
      <c r="JAY23" s="35"/>
      <c r="JAZ23" s="35"/>
      <c r="JBA23" s="35"/>
      <c r="JBB23" s="35"/>
      <c r="JBC23" s="35"/>
      <c r="JBD23" s="35"/>
      <c r="JBE23" s="35"/>
      <c r="JBF23" s="35"/>
      <c r="JBG23" s="35"/>
      <c r="JBH23" s="35"/>
      <c r="JBI23" s="35"/>
      <c r="JBJ23" s="35"/>
      <c r="JBK23" s="35"/>
      <c r="JBL23" s="35"/>
      <c r="JBM23" s="35"/>
      <c r="JBN23" s="35"/>
      <c r="JBO23" s="35"/>
      <c r="JBP23" s="35"/>
      <c r="JBQ23" s="35"/>
      <c r="JBR23" s="35"/>
      <c r="JBS23" s="35"/>
      <c r="JBT23" s="35"/>
      <c r="JBU23" s="35"/>
      <c r="JBV23" s="35"/>
      <c r="JBW23" s="35"/>
      <c r="JBX23" s="35"/>
      <c r="JBY23" s="35"/>
      <c r="JBZ23" s="35"/>
      <c r="JCA23" s="35"/>
      <c r="JCB23" s="35"/>
      <c r="JCC23" s="35"/>
      <c r="JCD23" s="35"/>
      <c r="JCE23" s="35"/>
      <c r="JCF23" s="35"/>
      <c r="JCG23" s="35"/>
      <c r="JCH23" s="35"/>
      <c r="JCI23" s="35"/>
      <c r="JCJ23" s="35"/>
      <c r="JCK23" s="35"/>
      <c r="JCL23" s="35"/>
      <c r="JCM23" s="35"/>
      <c r="JCN23" s="35"/>
      <c r="JCO23" s="35"/>
      <c r="JCP23" s="35"/>
      <c r="JCQ23" s="35"/>
      <c r="JCR23" s="35"/>
      <c r="JCS23" s="35"/>
      <c r="JCT23" s="35"/>
      <c r="JCU23" s="35"/>
      <c r="JCV23" s="35"/>
      <c r="JCW23" s="35"/>
      <c r="JCX23" s="35"/>
      <c r="JCY23" s="35"/>
      <c r="JCZ23" s="35"/>
      <c r="JDA23" s="35"/>
      <c r="JDB23" s="35"/>
      <c r="JDC23" s="35"/>
      <c r="JDD23" s="35"/>
      <c r="JDE23" s="35"/>
      <c r="JDF23" s="35"/>
      <c r="JDG23" s="35"/>
      <c r="JDH23" s="35"/>
      <c r="JDI23" s="35"/>
      <c r="JDJ23" s="35"/>
      <c r="JDK23" s="35"/>
      <c r="JDL23" s="35"/>
      <c r="JDM23" s="35"/>
      <c r="JDN23" s="35"/>
      <c r="JDO23" s="35"/>
      <c r="JDP23" s="35"/>
      <c r="JDQ23" s="35"/>
      <c r="JDR23" s="35"/>
      <c r="JDS23" s="35"/>
      <c r="JDT23" s="35"/>
      <c r="JDU23" s="35"/>
      <c r="JDV23" s="35"/>
      <c r="JDW23" s="35"/>
      <c r="JDX23" s="35"/>
      <c r="JDY23" s="35"/>
      <c r="JDZ23" s="35"/>
      <c r="JEA23" s="35"/>
      <c r="JEB23" s="35"/>
      <c r="JEC23" s="35"/>
      <c r="JED23" s="35"/>
      <c r="JEE23" s="35"/>
      <c r="JEF23" s="35"/>
      <c r="JEG23" s="35"/>
      <c r="JEH23" s="35"/>
      <c r="JEI23" s="35"/>
      <c r="JEJ23" s="35"/>
      <c r="JEK23" s="35"/>
      <c r="JEL23" s="35"/>
      <c r="JEM23" s="35"/>
      <c r="JEN23" s="35"/>
      <c r="JEO23" s="35"/>
      <c r="JEP23" s="35"/>
      <c r="JEQ23" s="35"/>
      <c r="JER23" s="35"/>
      <c r="JES23" s="35"/>
      <c r="JET23" s="35"/>
      <c r="JEU23" s="35"/>
      <c r="JEV23" s="35"/>
      <c r="JEW23" s="35"/>
      <c r="JEX23" s="35"/>
      <c r="JEY23" s="35"/>
      <c r="JEZ23" s="35"/>
      <c r="JFA23" s="35"/>
      <c r="JFB23" s="35"/>
      <c r="JFC23" s="35"/>
      <c r="JFD23" s="35"/>
      <c r="JFE23" s="35"/>
      <c r="JFF23" s="35"/>
      <c r="JFG23" s="35"/>
      <c r="JFH23" s="35"/>
      <c r="JFI23" s="35"/>
      <c r="JFJ23" s="35"/>
      <c r="JFK23" s="35"/>
      <c r="JFL23" s="35"/>
      <c r="JFM23" s="35"/>
      <c r="JFN23" s="35"/>
      <c r="JFO23" s="35"/>
      <c r="JFP23" s="35"/>
      <c r="JFQ23" s="35"/>
      <c r="JFR23" s="35"/>
      <c r="JFS23" s="35"/>
      <c r="JFT23" s="35"/>
      <c r="JFU23" s="35"/>
      <c r="JFV23" s="35"/>
      <c r="JFW23" s="35"/>
      <c r="JFX23" s="35"/>
      <c r="JFY23" s="35"/>
      <c r="JFZ23" s="35"/>
      <c r="JGA23" s="35"/>
      <c r="JGB23" s="35"/>
      <c r="JGC23" s="35"/>
      <c r="JGD23" s="35"/>
      <c r="JGE23" s="35"/>
      <c r="JGF23" s="35"/>
      <c r="JGG23" s="35"/>
      <c r="JGH23" s="35"/>
      <c r="JGI23" s="35"/>
      <c r="JGJ23" s="35"/>
      <c r="JGK23" s="35"/>
      <c r="JGL23" s="35"/>
      <c r="JGM23" s="35"/>
      <c r="JGN23" s="35"/>
      <c r="JGO23" s="35"/>
      <c r="JGP23" s="35"/>
      <c r="JGQ23" s="35"/>
      <c r="JGR23" s="35"/>
      <c r="JGS23" s="35"/>
      <c r="JGT23" s="35"/>
      <c r="JGU23" s="35"/>
      <c r="JGV23" s="35"/>
      <c r="JGW23" s="35"/>
      <c r="JGX23" s="35"/>
      <c r="JGY23" s="35"/>
      <c r="JGZ23" s="35"/>
      <c r="JHA23" s="35"/>
      <c r="JHB23" s="35"/>
      <c r="JHC23" s="35"/>
      <c r="JHD23" s="35"/>
      <c r="JHE23" s="35"/>
      <c r="JHF23" s="35"/>
      <c r="JHG23" s="35"/>
      <c r="JHH23" s="35"/>
      <c r="JHI23" s="35"/>
      <c r="JHJ23" s="35"/>
      <c r="JHK23" s="35"/>
      <c r="JHL23" s="35"/>
      <c r="JHM23" s="35"/>
      <c r="JHN23" s="35"/>
      <c r="JHO23" s="35"/>
      <c r="JHP23" s="35"/>
      <c r="JHQ23" s="35"/>
      <c r="JHR23" s="35"/>
      <c r="JHS23" s="35"/>
      <c r="JHT23" s="35"/>
      <c r="JHU23" s="35"/>
      <c r="JHV23" s="35"/>
      <c r="JHW23" s="35"/>
      <c r="JHX23" s="35"/>
      <c r="JHY23" s="35"/>
      <c r="JHZ23" s="35"/>
      <c r="JIA23" s="35"/>
      <c r="JIB23" s="35"/>
      <c r="JIC23" s="35"/>
      <c r="JID23" s="35"/>
      <c r="JIE23" s="35"/>
      <c r="JIF23" s="35"/>
      <c r="JIG23" s="35"/>
      <c r="JIH23" s="35"/>
      <c r="JII23" s="35"/>
      <c r="JIJ23" s="35"/>
      <c r="JIK23" s="35"/>
      <c r="JIL23" s="35"/>
      <c r="JIM23" s="35"/>
      <c r="JIN23" s="35"/>
      <c r="JIO23" s="35"/>
      <c r="JIP23" s="35"/>
      <c r="JIQ23" s="35"/>
      <c r="JIR23" s="35"/>
      <c r="JIS23" s="35"/>
      <c r="JIT23" s="35"/>
      <c r="JIU23" s="35"/>
      <c r="JIV23" s="35"/>
      <c r="JIW23" s="35"/>
      <c r="JIX23" s="35"/>
      <c r="JIY23" s="35"/>
      <c r="JIZ23" s="35"/>
      <c r="JJA23" s="35"/>
      <c r="JJB23" s="35"/>
      <c r="JJC23" s="35"/>
      <c r="JJD23" s="35"/>
      <c r="JJE23" s="35"/>
      <c r="JJF23" s="35"/>
      <c r="JJG23" s="35"/>
      <c r="JJH23" s="35"/>
      <c r="JJI23" s="35"/>
      <c r="JJJ23" s="35"/>
      <c r="JJK23" s="35"/>
      <c r="JJL23" s="35"/>
      <c r="JJM23" s="35"/>
      <c r="JJN23" s="35"/>
      <c r="JJO23" s="35"/>
      <c r="JJP23" s="35"/>
      <c r="JJQ23" s="35"/>
      <c r="JJR23" s="35"/>
      <c r="JJS23" s="35"/>
      <c r="JJT23" s="35"/>
      <c r="JJU23" s="35"/>
      <c r="JJV23" s="35"/>
      <c r="JJW23" s="35"/>
      <c r="JJX23" s="35"/>
      <c r="JJY23" s="35"/>
      <c r="JJZ23" s="35"/>
      <c r="JKA23" s="35"/>
      <c r="JKB23" s="35"/>
      <c r="JKC23" s="35"/>
      <c r="JKD23" s="35"/>
      <c r="JKE23" s="35"/>
      <c r="JKF23" s="35"/>
      <c r="JKG23" s="35"/>
      <c r="JKH23" s="35"/>
      <c r="JKI23" s="35"/>
      <c r="JKJ23" s="35"/>
      <c r="JKK23" s="35"/>
      <c r="JKL23" s="35"/>
      <c r="JKM23" s="35"/>
      <c r="JKN23" s="35"/>
      <c r="JKO23" s="35"/>
      <c r="JKP23" s="35"/>
      <c r="JKQ23" s="35"/>
      <c r="JKR23" s="35"/>
      <c r="JKS23" s="35"/>
      <c r="JKT23" s="35"/>
      <c r="JKU23" s="35"/>
      <c r="JKV23" s="35"/>
      <c r="JKW23" s="35"/>
      <c r="JKX23" s="35"/>
      <c r="JKY23" s="35"/>
      <c r="JKZ23" s="35"/>
      <c r="JLA23" s="35"/>
      <c r="JLB23" s="35"/>
      <c r="JLC23" s="35"/>
      <c r="JLD23" s="35"/>
      <c r="JLE23" s="35"/>
      <c r="JLF23" s="35"/>
      <c r="JLG23" s="35"/>
      <c r="JLH23" s="35"/>
      <c r="JLI23" s="35"/>
      <c r="JLJ23" s="35"/>
      <c r="JLK23" s="35"/>
      <c r="JLL23" s="35"/>
      <c r="JLM23" s="35"/>
      <c r="JLN23" s="35"/>
      <c r="JLO23" s="35"/>
      <c r="JLP23" s="35"/>
      <c r="JLQ23" s="35"/>
      <c r="JLR23" s="35"/>
      <c r="JLS23" s="35"/>
      <c r="JLT23" s="35"/>
      <c r="JLU23" s="35"/>
      <c r="JLV23" s="35"/>
      <c r="JLW23" s="35"/>
      <c r="JLX23" s="35"/>
      <c r="JLY23" s="35"/>
      <c r="JLZ23" s="35"/>
      <c r="JMA23" s="35"/>
      <c r="JMB23" s="35"/>
      <c r="JMC23" s="35"/>
      <c r="JMD23" s="35"/>
      <c r="JME23" s="35"/>
      <c r="JMF23" s="35"/>
      <c r="JMG23" s="35"/>
      <c r="JMH23" s="35"/>
      <c r="JMI23" s="35"/>
      <c r="JMJ23" s="35"/>
      <c r="JMK23" s="35"/>
      <c r="JML23" s="35"/>
      <c r="JMM23" s="35"/>
      <c r="JMN23" s="35"/>
      <c r="JMO23" s="35"/>
      <c r="JMP23" s="35"/>
      <c r="JMQ23" s="35"/>
      <c r="JMR23" s="35"/>
      <c r="JMS23" s="35"/>
      <c r="JMT23" s="35"/>
      <c r="JMU23" s="35"/>
      <c r="JMV23" s="35"/>
      <c r="JMW23" s="35"/>
      <c r="JMX23" s="35"/>
      <c r="JMY23" s="35"/>
      <c r="JMZ23" s="35"/>
      <c r="JNA23" s="35"/>
      <c r="JNB23" s="35"/>
      <c r="JNC23" s="35"/>
      <c r="JND23" s="35"/>
      <c r="JNE23" s="35"/>
      <c r="JNF23" s="35"/>
      <c r="JNG23" s="35"/>
      <c r="JNH23" s="35"/>
      <c r="JNI23" s="35"/>
      <c r="JNJ23" s="35"/>
      <c r="JNK23" s="35"/>
      <c r="JNL23" s="35"/>
      <c r="JNM23" s="35"/>
      <c r="JNN23" s="35"/>
      <c r="JNO23" s="35"/>
      <c r="JNP23" s="35"/>
      <c r="JNQ23" s="35"/>
      <c r="JNR23" s="35"/>
      <c r="JNS23" s="35"/>
      <c r="JNT23" s="35"/>
      <c r="JNU23" s="35"/>
      <c r="JNV23" s="35"/>
      <c r="JNW23" s="35"/>
      <c r="JNX23" s="35"/>
      <c r="JNY23" s="35"/>
      <c r="JNZ23" s="35"/>
      <c r="JOA23" s="35"/>
      <c r="JOB23" s="35"/>
      <c r="JOC23" s="35"/>
      <c r="JOD23" s="35"/>
      <c r="JOE23" s="35"/>
      <c r="JOF23" s="35"/>
      <c r="JOG23" s="35"/>
      <c r="JOH23" s="35"/>
      <c r="JOI23" s="35"/>
      <c r="JOJ23" s="35"/>
      <c r="JOK23" s="35"/>
      <c r="JOL23" s="35"/>
      <c r="JOM23" s="35"/>
      <c r="JON23" s="35"/>
      <c r="JOO23" s="35"/>
      <c r="JOP23" s="35"/>
      <c r="JOQ23" s="35"/>
      <c r="JOR23" s="35"/>
      <c r="JOS23" s="35"/>
      <c r="JOT23" s="35"/>
      <c r="JOU23" s="35"/>
      <c r="JOV23" s="35"/>
      <c r="JOW23" s="35"/>
      <c r="JOX23" s="35"/>
      <c r="JOY23" s="35"/>
      <c r="JOZ23" s="35"/>
      <c r="JPA23" s="35"/>
      <c r="JPB23" s="35"/>
      <c r="JPC23" s="35"/>
      <c r="JPD23" s="35"/>
      <c r="JPE23" s="35"/>
      <c r="JPF23" s="35"/>
      <c r="JPG23" s="35"/>
      <c r="JPH23" s="35"/>
      <c r="JPI23" s="35"/>
      <c r="JPJ23" s="35"/>
      <c r="JPK23" s="35"/>
      <c r="JPL23" s="35"/>
      <c r="JPM23" s="35"/>
      <c r="JPN23" s="35"/>
      <c r="JPO23" s="35"/>
      <c r="JPP23" s="35"/>
      <c r="JPQ23" s="35"/>
      <c r="JPR23" s="35"/>
      <c r="JPS23" s="35"/>
      <c r="JPT23" s="35"/>
      <c r="JPU23" s="35"/>
      <c r="JPV23" s="35"/>
      <c r="JPW23" s="35"/>
      <c r="JPX23" s="35"/>
      <c r="JPY23" s="35"/>
      <c r="JPZ23" s="35"/>
      <c r="JQA23" s="35"/>
      <c r="JQB23" s="35"/>
      <c r="JQC23" s="35"/>
      <c r="JQD23" s="35"/>
      <c r="JQE23" s="35"/>
      <c r="JQF23" s="35"/>
      <c r="JQG23" s="35"/>
      <c r="JQH23" s="35"/>
      <c r="JQI23" s="35"/>
      <c r="JQJ23" s="35"/>
      <c r="JQK23" s="35"/>
      <c r="JQL23" s="35"/>
      <c r="JQM23" s="35"/>
      <c r="JQN23" s="35"/>
      <c r="JQO23" s="35"/>
      <c r="JQP23" s="35"/>
      <c r="JQQ23" s="35"/>
      <c r="JQR23" s="35"/>
      <c r="JQS23" s="35"/>
      <c r="JQT23" s="35"/>
      <c r="JQU23" s="35"/>
      <c r="JQV23" s="35"/>
      <c r="JQW23" s="35"/>
      <c r="JQX23" s="35"/>
      <c r="JQY23" s="35"/>
      <c r="JQZ23" s="35"/>
      <c r="JRA23" s="35"/>
      <c r="JRB23" s="35"/>
      <c r="JRC23" s="35"/>
      <c r="JRD23" s="35"/>
      <c r="JRE23" s="35"/>
      <c r="JRF23" s="35"/>
      <c r="JRG23" s="35"/>
      <c r="JRH23" s="35"/>
      <c r="JRI23" s="35"/>
      <c r="JRJ23" s="35"/>
      <c r="JRK23" s="35"/>
      <c r="JRL23" s="35"/>
      <c r="JRM23" s="35"/>
      <c r="JRN23" s="35"/>
      <c r="JRO23" s="35"/>
      <c r="JRP23" s="35"/>
      <c r="JRQ23" s="35"/>
      <c r="JRR23" s="35"/>
      <c r="JRS23" s="35"/>
      <c r="JRT23" s="35"/>
      <c r="JRU23" s="35"/>
      <c r="JRV23" s="35"/>
      <c r="JRW23" s="35"/>
      <c r="JRX23" s="35"/>
      <c r="JRY23" s="35"/>
      <c r="JRZ23" s="35"/>
      <c r="JSA23" s="35"/>
      <c r="JSB23" s="35"/>
      <c r="JSC23" s="35"/>
      <c r="JSD23" s="35"/>
      <c r="JSE23" s="35"/>
      <c r="JSF23" s="35"/>
      <c r="JSG23" s="35"/>
      <c r="JSH23" s="35"/>
      <c r="JSI23" s="35"/>
      <c r="JSJ23" s="35"/>
      <c r="JSK23" s="35"/>
      <c r="JSL23" s="35"/>
      <c r="JSM23" s="35"/>
      <c r="JSN23" s="35"/>
      <c r="JSO23" s="35"/>
      <c r="JSP23" s="35"/>
      <c r="JSQ23" s="35"/>
      <c r="JSR23" s="35"/>
      <c r="JSS23" s="35"/>
      <c r="JST23" s="35"/>
      <c r="JSU23" s="35"/>
      <c r="JSV23" s="35"/>
      <c r="JSW23" s="35"/>
      <c r="JSX23" s="35"/>
      <c r="JSY23" s="35"/>
      <c r="JSZ23" s="35"/>
      <c r="JTA23" s="35"/>
      <c r="JTB23" s="35"/>
      <c r="JTC23" s="35"/>
      <c r="JTD23" s="35"/>
      <c r="JTE23" s="35"/>
      <c r="JTF23" s="35"/>
      <c r="JTG23" s="35"/>
      <c r="JTH23" s="35"/>
      <c r="JTI23" s="35"/>
      <c r="JTJ23" s="35"/>
      <c r="JTK23" s="35"/>
      <c r="JTL23" s="35"/>
      <c r="JTM23" s="35"/>
      <c r="JTN23" s="35"/>
      <c r="JTO23" s="35"/>
      <c r="JTP23" s="35"/>
      <c r="JTQ23" s="35"/>
      <c r="JTR23" s="35"/>
      <c r="JTS23" s="35"/>
      <c r="JTT23" s="35"/>
      <c r="JTU23" s="35"/>
      <c r="JTV23" s="35"/>
      <c r="JTW23" s="35"/>
      <c r="JTX23" s="35"/>
      <c r="JTY23" s="35"/>
      <c r="JTZ23" s="35"/>
      <c r="JUA23" s="35"/>
      <c r="JUB23" s="35"/>
      <c r="JUC23" s="35"/>
      <c r="JUD23" s="35"/>
      <c r="JUE23" s="35"/>
      <c r="JUF23" s="35"/>
      <c r="JUG23" s="35"/>
      <c r="JUH23" s="35"/>
      <c r="JUI23" s="35"/>
      <c r="JUJ23" s="35"/>
      <c r="JUK23" s="35"/>
      <c r="JUL23" s="35"/>
      <c r="JUM23" s="35"/>
      <c r="JUN23" s="35"/>
      <c r="JUO23" s="35"/>
      <c r="JUP23" s="35"/>
      <c r="JUQ23" s="35"/>
      <c r="JUR23" s="35"/>
      <c r="JUS23" s="35"/>
      <c r="JUT23" s="35"/>
      <c r="JUU23" s="35"/>
      <c r="JUV23" s="35"/>
      <c r="JUW23" s="35"/>
      <c r="JUX23" s="35"/>
      <c r="JUY23" s="35"/>
      <c r="JUZ23" s="35"/>
      <c r="JVA23" s="35"/>
      <c r="JVB23" s="35"/>
      <c r="JVC23" s="35"/>
      <c r="JVD23" s="35"/>
      <c r="JVE23" s="35"/>
      <c r="JVF23" s="35"/>
      <c r="JVG23" s="35"/>
      <c r="JVH23" s="35"/>
      <c r="JVI23" s="35"/>
      <c r="JVJ23" s="35"/>
      <c r="JVK23" s="35"/>
      <c r="JVL23" s="35"/>
      <c r="JVM23" s="35"/>
      <c r="JVN23" s="35"/>
      <c r="JVO23" s="35"/>
      <c r="JVP23" s="35"/>
      <c r="JVQ23" s="35"/>
      <c r="JVR23" s="35"/>
      <c r="JVS23" s="35"/>
      <c r="JVT23" s="35"/>
      <c r="JVU23" s="35"/>
      <c r="JVV23" s="35"/>
      <c r="JVW23" s="35"/>
      <c r="JVX23" s="35"/>
      <c r="JVY23" s="35"/>
      <c r="JVZ23" s="35"/>
      <c r="JWA23" s="35"/>
      <c r="JWB23" s="35"/>
      <c r="JWC23" s="35"/>
      <c r="JWD23" s="35"/>
      <c r="JWE23" s="35"/>
      <c r="JWF23" s="35"/>
      <c r="JWG23" s="35"/>
      <c r="JWH23" s="35"/>
      <c r="JWI23" s="35"/>
      <c r="JWJ23" s="35"/>
      <c r="JWK23" s="35"/>
      <c r="JWL23" s="35"/>
      <c r="JWM23" s="35"/>
      <c r="JWN23" s="35"/>
      <c r="JWO23" s="35"/>
      <c r="JWP23" s="35"/>
      <c r="JWQ23" s="35"/>
      <c r="JWR23" s="35"/>
      <c r="JWS23" s="35"/>
      <c r="JWT23" s="35"/>
      <c r="JWU23" s="35"/>
      <c r="JWV23" s="35"/>
      <c r="JWW23" s="35"/>
      <c r="JWX23" s="35"/>
      <c r="JWY23" s="35"/>
      <c r="JWZ23" s="35"/>
      <c r="JXA23" s="35"/>
      <c r="JXB23" s="35"/>
      <c r="JXC23" s="35"/>
      <c r="JXD23" s="35"/>
      <c r="JXE23" s="35"/>
      <c r="JXF23" s="35"/>
      <c r="JXG23" s="35"/>
      <c r="JXH23" s="35"/>
      <c r="JXI23" s="35"/>
      <c r="JXJ23" s="35"/>
      <c r="JXK23" s="35"/>
      <c r="JXL23" s="35"/>
      <c r="JXM23" s="35"/>
      <c r="JXN23" s="35"/>
      <c r="JXO23" s="35"/>
      <c r="JXP23" s="35"/>
      <c r="JXQ23" s="35"/>
      <c r="JXR23" s="35"/>
      <c r="JXS23" s="35"/>
      <c r="JXT23" s="35"/>
      <c r="JXU23" s="35"/>
      <c r="JXV23" s="35"/>
      <c r="JXW23" s="35"/>
      <c r="JXX23" s="35"/>
      <c r="JXY23" s="35"/>
      <c r="JXZ23" s="35"/>
      <c r="JYA23" s="35"/>
      <c r="JYB23" s="35"/>
      <c r="JYC23" s="35"/>
      <c r="JYD23" s="35"/>
      <c r="JYE23" s="35"/>
      <c r="JYF23" s="35"/>
      <c r="JYG23" s="35"/>
      <c r="JYH23" s="35"/>
      <c r="JYI23" s="35"/>
      <c r="JYJ23" s="35"/>
      <c r="JYK23" s="35"/>
      <c r="JYL23" s="35"/>
      <c r="JYM23" s="35"/>
      <c r="JYN23" s="35"/>
      <c r="JYO23" s="35"/>
      <c r="JYP23" s="35"/>
      <c r="JYQ23" s="35"/>
      <c r="JYR23" s="35"/>
      <c r="JYS23" s="35"/>
      <c r="JYT23" s="35"/>
      <c r="JYU23" s="35"/>
      <c r="JYV23" s="35"/>
      <c r="JYW23" s="35"/>
      <c r="JYX23" s="35"/>
      <c r="JYY23" s="35"/>
      <c r="JYZ23" s="35"/>
      <c r="JZA23" s="35"/>
      <c r="JZB23" s="35"/>
      <c r="JZC23" s="35"/>
      <c r="JZD23" s="35"/>
      <c r="JZE23" s="35"/>
      <c r="JZF23" s="35"/>
      <c r="JZG23" s="35"/>
      <c r="JZH23" s="35"/>
      <c r="JZI23" s="35"/>
      <c r="JZJ23" s="35"/>
      <c r="JZK23" s="35"/>
      <c r="JZL23" s="35"/>
      <c r="JZM23" s="35"/>
      <c r="JZN23" s="35"/>
      <c r="JZO23" s="35"/>
      <c r="JZP23" s="35"/>
      <c r="JZQ23" s="35"/>
      <c r="JZR23" s="35"/>
      <c r="JZS23" s="35"/>
      <c r="JZT23" s="35"/>
      <c r="JZU23" s="35"/>
      <c r="JZV23" s="35"/>
      <c r="JZW23" s="35"/>
      <c r="JZX23" s="35"/>
      <c r="JZY23" s="35"/>
      <c r="JZZ23" s="35"/>
      <c r="KAA23" s="35"/>
      <c r="KAB23" s="35"/>
      <c r="KAC23" s="35"/>
      <c r="KAD23" s="35"/>
      <c r="KAE23" s="35"/>
      <c r="KAF23" s="35"/>
      <c r="KAG23" s="35"/>
      <c r="KAH23" s="35"/>
      <c r="KAI23" s="35"/>
      <c r="KAJ23" s="35"/>
      <c r="KAK23" s="35"/>
      <c r="KAL23" s="35"/>
      <c r="KAM23" s="35"/>
      <c r="KAN23" s="35"/>
      <c r="KAO23" s="35"/>
      <c r="KAP23" s="35"/>
      <c r="KAQ23" s="35"/>
      <c r="KAR23" s="35"/>
      <c r="KAS23" s="35"/>
      <c r="KAT23" s="35"/>
      <c r="KAU23" s="35"/>
      <c r="KAV23" s="35"/>
      <c r="KAW23" s="35"/>
      <c r="KAX23" s="35"/>
      <c r="KAY23" s="35"/>
      <c r="KAZ23" s="35"/>
      <c r="KBA23" s="35"/>
      <c r="KBB23" s="35"/>
      <c r="KBC23" s="35"/>
      <c r="KBD23" s="35"/>
      <c r="KBE23" s="35"/>
      <c r="KBF23" s="35"/>
      <c r="KBG23" s="35"/>
      <c r="KBH23" s="35"/>
      <c r="KBI23" s="35"/>
      <c r="KBJ23" s="35"/>
      <c r="KBK23" s="35"/>
      <c r="KBL23" s="35"/>
      <c r="KBM23" s="35"/>
      <c r="KBN23" s="35"/>
      <c r="KBO23" s="35"/>
      <c r="KBP23" s="35"/>
      <c r="KBQ23" s="35"/>
      <c r="KBR23" s="35"/>
      <c r="KBS23" s="35"/>
      <c r="KBT23" s="35"/>
      <c r="KBU23" s="35"/>
      <c r="KBV23" s="35"/>
      <c r="KBW23" s="35"/>
      <c r="KBX23" s="35"/>
      <c r="KBY23" s="35"/>
      <c r="KBZ23" s="35"/>
      <c r="KCA23" s="35"/>
      <c r="KCB23" s="35"/>
      <c r="KCC23" s="35"/>
      <c r="KCD23" s="35"/>
      <c r="KCE23" s="35"/>
      <c r="KCF23" s="35"/>
      <c r="KCG23" s="35"/>
      <c r="KCH23" s="35"/>
      <c r="KCI23" s="35"/>
      <c r="KCJ23" s="35"/>
      <c r="KCK23" s="35"/>
      <c r="KCL23" s="35"/>
      <c r="KCM23" s="35"/>
      <c r="KCN23" s="35"/>
      <c r="KCO23" s="35"/>
      <c r="KCP23" s="35"/>
      <c r="KCQ23" s="35"/>
      <c r="KCR23" s="35"/>
      <c r="KCS23" s="35"/>
      <c r="KCT23" s="35"/>
      <c r="KCU23" s="35"/>
      <c r="KCV23" s="35"/>
      <c r="KCW23" s="35"/>
      <c r="KCX23" s="35"/>
      <c r="KCY23" s="35"/>
      <c r="KCZ23" s="35"/>
      <c r="KDA23" s="35"/>
      <c r="KDB23" s="35"/>
      <c r="KDC23" s="35"/>
      <c r="KDD23" s="35"/>
      <c r="KDE23" s="35"/>
      <c r="KDF23" s="35"/>
      <c r="KDG23" s="35"/>
      <c r="KDH23" s="35"/>
      <c r="KDI23" s="35"/>
      <c r="KDJ23" s="35"/>
      <c r="KDK23" s="35"/>
      <c r="KDL23" s="35"/>
      <c r="KDM23" s="35"/>
      <c r="KDN23" s="35"/>
      <c r="KDO23" s="35"/>
      <c r="KDP23" s="35"/>
      <c r="KDQ23" s="35"/>
      <c r="KDR23" s="35"/>
      <c r="KDS23" s="35"/>
      <c r="KDT23" s="35"/>
      <c r="KDU23" s="35"/>
      <c r="KDV23" s="35"/>
      <c r="KDW23" s="35"/>
      <c r="KDX23" s="35"/>
      <c r="KDY23" s="35"/>
      <c r="KDZ23" s="35"/>
      <c r="KEA23" s="35"/>
      <c r="KEB23" s="35"/>
      <c r="KEC23" s="35"/>
      <c r="KED23" s="35"/>
      <c r="KEE23" s="35"/>
      <c r="KEF23" s="35"/>
      <c r="KEG23" s="35"/>
      <c r="KEH23" s="35"/>
      <c r="KEI23" s="35"/>
      <c r="KEJ23" s="35"/>
      <c r="KEK23" s="35"/>
      <c r="KEL23" s="35"/>
      <c r="KEM23" s="35"/>
      <c r="KEN23" s="35"/>
      <c r="KEO23" s="35"/>
      <c r="KEP23" s="35"/>
      <c r="KEQ23" s="35"/>
      <c r="KER23" s="35"/>
      <c r="KES23" s="35"/>
      <c r="KET23" s="35"/>
      <c r="KEU23" s="35"/>
      <c r="KEV23" s="35"/>
      <c r="KEW23" s="35"/>
      <c r="KEX23" s="35"/>
      <c r="KEY23" s="35"/>
      <c r="KEZ23" s="35"/>
      <c r="KFA23" s="35"/>
      <c r="KFB23" s="35"/>
      <c r="KFC23" s="35"/>
      <c r="KFD23" s="35"/>
      <c r="KFE23" s="35"/>
      <c r="KFF23" s="35"/>
      <c r="KFG23" s="35"/>
      <c r="KFH23" s="35"/>
      <c r="KFI23" s="35"/>
      <c r="KFJ23" s="35"/>
      <c r="KFK23" s="35"/>
      <c r="KFL23" s="35"/>
      <c r="KFM23" s="35"/>
      <c r="KFN23" s="35"/>
      <c r="KFO23" s="35"/>
      <c r="KFP23" s="35"/>
      <c r="KFQ23" s="35"/>
      <c r="KFR23" s="35"/>
      <c r="KFS23" s="35"/>
      <c r="KFT23" s="35"/>
      <c r="KFU23" s="35"/>
      <c r="KFV23" s="35"/>
      <c r="KFW23" s="35"/>
      <c r="KFX23" s="35"/>
      <c r="KFY23" s="35"/>
      <c r="KFZ23" s="35"/>
      <c r="KGA23" s="35"/>
      <c r="KGB23" s="35"/>
      <c r="KGC23" s="35"/>
      <c r="KGD23" s="35"/>
      <c r="KGE23" s="35"/>
      <c r="KGF23" s="35"/>
      <c r="KGG23" s="35"/>
      <c r="KGH23" s="35"/>
      <c r="KGI23" s="35"/>
      <c r="KGJ23" s="35"/>
      <c r="KGK23" s="35"/>
      <c r="KGL23" s="35"/>
      <c r="KGM23" s="35"/>
      <c r="KGN23" s="35"/>
      <c r="KGO23" s="35"/>
      <c r="KGP23" s="35"/>
      <c r="KGQ23" s="35"/>
      <c r="KGR23" s="35"/>
      <c r="KGS23" s="35"/>
      <c r="KGT23" s="35"/>
      <c r="KGU23" s="35"/>
      <c r="KGV23" s="35"/>
      <c r="KGW23" s="35"/>
      <c r="KGX23" s="35"/>
      <c r="KGY23" s="35"/>
      <c r="KGZ23" s="35"/>
      <c r="KHA23" s="35"/>
      <c r="KHB23" s="35"/>
      <c r="KHC23" s="35"/>
      <c r="KHD23" s="35"/>
      <c r="KHE23" s="35"/>
      <c r="KHF23" s="35"/>
      <c r="KHG23" s="35"/>
      <c r="KHH23" s="35"/>
      <c r="KHI23" s="35"/>
      <c r="KHJ23" s="35"/>
      <c r="KHK23" s="35"/>
      <c r="KHL23" s="35"/>
      <c r="KHM23" s="35"/>
      <c r="KHN23" s="35"/>
      <c r="KHO23" s="35"/>
      <c r="KHP23" s="35"/>
      <c r="KHQ23" s="35"/>
      <c r="KHR23" s="35"/>
      <c r="KHS23" s="35"/>
      <c r="KHT23" s="35"/>
      <c r="KHU23" s="35"/>
      <c r="KHV23" s="35"/>
      <c r="KHW23" s="35"/>
      <c r="KHX23" s="35"/>
      <c r="KHY23" s="35"/>
      <c r="KHZ23" s="35"/>
      <c r="KIA23" s="35"/>
      <c r="KIB23" s="35"/>
      <c r="KIC23" s="35"/>
      <c r="KID23" s="35"/>
      <c r="KIE23" s="35"/>
      <c r="KIF23" s="35"/>
      <c r="KIG23" s="35"/>
      <c r="KIH23" s="35"/>
      <c r="KII23" s="35"/>
      <c r="KIJ23" s="35"/>
      <c r="KIK23" s="35"/>
      <c r="KIL23" s="35"/>
      <c r="KIM23" s="35"/>
      <c r="KIN23" s="35"/>
      <c r="KIO23" s="35"/>
      <c r="KIP23" s="35"/>
      <c r="KIQ23" s="35"/>
      <c r="KIR23" s="35"/>
      <c r="KIS23" s="35"/>
      <c r="KIT23" s="35"/>
      <c r="KIU23" s="35"/>
      <c r="KIV23" s="35"/>
      <c r="KIW23" s="35"/>
      <c r="KIX23" s="35"/>
      <c r="KIY23" s="35"/>
      <c r="KIZ23" s="35"/>
      <c r="KJA23" s="35"/>
      <c r="KJB23" s="35"/>
      <c r="KJC23" s="35"/>
      <c r="KJD23" s="35"/>
      <c r="KJE23" s="35"/>
      <c r="KJF23" s="35"/>
      <c r="KJG23" s="35"/>
      <c r="KJH23" s="35"/>
      <c r="KJI23" s="35"/>
      <c r="KJJ23" s="35"/>
      <c r="KJK23" s="35"/>
      <c r="KJL23" s="35"/>
      <c r="KJM23" s="35"/>
      <c r="KJN23" s="35"/>
      <c r="KJO23" s="35"/>
      <c r="KJP23" s="35"/>
      <c r="KJQ23" s="35"/>
      <c r="KJR23" s="35"/>
      <c r="KJS23" s="35"/>
      <c r="KJT23" s="35"/>
      <c r="KJU23" s="35"/>
      <c r="KJV23" s="35"/>
      <c r="KJW23" s="35"/>
      <c r="KJX23" s="35"/>
      <c r="KJY23" s="35"/>
      <c r="KJZ23" s="35"/>
      <c r="KKA23" s="35"/>
      <c r="KKB23" s="35"/>
      <c r="KKC23" s="35"/>
      <c r="KKD23" s="35"/>
      <c r="KKE23" s="35"/>
      <c r="KKF23" s="35"/>
      <c r="KKG23" s="35"/>
      <c r="KKH23" s="35"/>
      <c r="KKI23" s="35"/>
      <c r="KKJ23" s="35"/>
      <c r="KKK23" s="35"/>
      <c r="KKL23" s="35"/>
      <c r="KKM23" s="35"/>
      <c r="KKN23" s="35"/>
      <c r="KKO23" s="35"/>
      <c r="KKP23" s="35"/>
      <c r="KKQ23" s="35"/>
      <c r="KKR23" s="35"/>
      <c r="KKS23" s="35"/>
      <c r="KKT23" s="35"/>
      <c r="KKU23" s="35"/>
      <c r="KKV23" s="35"/>
      <c r="KKW23" s="35"/>
      <c r="KKX23" s="35"/>
      <c r="KKY23" s="35"/>
      <c r="KKZ23" s="35"/>
      <c r="KLA23" s="35"/>
      <c r="KLB23" s="35"/>
      <c r="KLC23" s="35"/>
      <c r="KLD23" s="35"/>
      <c r="KLE23" s="35"/>
      <c r="KLF23" s="35"/>
      <c r="KLG23" s="35"/>
      <c r="KLH23" s="35"/>
      <c r="KLI23" s="35"/>
      <c r="KLJ23" s="35"/>
      <c r="KLK23" s="35"/>
      <c r="KLL23" s="35"/>
      <c r="KLM23" s="35"/>
      <c r="KLN23" s="35"/>
      <c r="KLO23" s="35"/>
      <c r="KLP23" s="35"/>
      <c r="KLQ23" s="35"/>
      <c r="KLR23" s="35"/>
      <c r="KLS23" s="35"/>
      <c r="KLT23" s="35"/>
      <c r="KLU23" s="35"/>
      <c r="KLV23" s="35"/>
      <c r="KLW23" s="35"/>
      <c r="KLX23" s="35"/>
      <c r="KLY23" s="35"/>
      <c r="KLZ23" s="35"/>
      <c r="KMA23" s="35"/>
      <c r="KMB23" s="35"/>
      <c r="KMC23" s="35"/>
      <c r="KMD23" s="35"/>
      <c r="KME23" s="35"/>
      <c r="KMF23" s="35"/>
      <c r="KMG23" s="35"/>
      <c r="KMH23" s="35"/>
      <c r="KMI23" s="35"/>
      <c r="KMJ23" s="35"/>
      <c r="KMK23" s="35"/>
      <c r="KML23" s="35"/>
      <c r="KMM23" s="35"/>
      <c r="KMN23" s="35"/>
      <c r="KMO23" s="35"/>
      <c r="KMP23" s="35"/>
      <c r="KMQ23" s="35"/>
      <c r="KMR23" s="35"/>
      <c r="KMS23" s="35"/>
      <c r="KMT23" s="35"/>
      <c r="KMU23" s="35"/>
      <c r="KMV23" s="35"/>
      <c r="KMW23" s="35"/>
      <c r="KMX23" s="35"/>
      <c r="KMY23" s="35"/>
      <c r="KMZ23" s="35"/>
      <c r="KNA23" s="35"/>
      <c r="KNB23" s="35"/>
      <c r="KNC23" s="35"/>
      <c r="KND23" s="35"/>
      <c r="KNE23" s="35"/>
      <c r="KNF23" s="35"/>
      <c r="KNG23" s="35"/>
      <c r="KNH23" s="35"/>
      <c r="KNI23" s="35"/>
      <c r="KNJ23" s="35"/>
      <c r="KNK23" s="35"/>
      <c r="KNL23" s="35"/>
      <c r="KNM23" s="35"/>
      <c r="KNN23" s="35"/>
      <c r="KNO23" s="35"/>
      <c r="KNP23" s="35"/>
      <c r="KNQ23" s="35"/>
      <c r="KNR23" s="35"/>
      <c r="KNS23" s="35"/>
      <c r="KNT23" s="35"/>
      <c r="KNU23" s="35"/>
      <c r="KNV23" s="35"/>
      <c r="KNW23" s="35"/>
      <c r="KNX23" s="35"/>
      <c r="KNY23" s="35"/>
      <c r="KNZ23" s="35"/>
      <c r="KOA23" s="35"/>
      <c r="KOB23" s="35"/>
      <c r="KOC23" s="35"/>
      <c r="KOD23" s="35"/>
      <c r="KOE23" s="35"/>
      <c r="KOF23" s="35"/>
      <c r="KOG23" s="35"/>
      <c r="KOH23" s="35"/>
      <c r="KOI23" s="35"/>
      <c r="KOJ23" s="35"/>
      <c r="KOK23" s="35"/>
      <c r="KOL23" s="35"/>
      <c r="KOM23" s="35"/>
      <c r="KON23" s="35"/>
      <c r="KOO23" s="35"/>
      <c r="KOP23" s="35"/>
      <c r="KOQ23" s="35"/>
      <c r="KOR23" s="35"/>
      <c r="KOS23" s="35"/>
      <c r="KOT23" s="35"/>
      <c r="KOU23" s="35"/>
      <c r="KOV23" s="35"/>
      <c r="KOW23" s="35"/>
      <c r="KOX23" s="35"/>
      <c r="KOY23" s="35"/>
      <c r="KOZ23" s="35"/>
      <c r="KPA23" s="35"/>
      <c r="KPB23" s="35"/>
      <c r="KPC23" s="35"/>
      <c r="KPD23" s="35"/>
      <c r="KPE23" s="35"/>
      <c r="KPF23" s="35"/>
      <c r="KPG23" s="35"/>
      <c r="KPH23" s="35"/>
      <c r="KPI23" s="35"/>
      <c r="KPJ23" s="35"/>
      <c r="KPK23" s="35"/>
      <c r="KPL23" s="35"/>
      <c r="KPM23" s="35"/>
      <c r="KPN23" s="35"/>
      <c r="KPO23" s="35"/>
      <c r="KPP23" s="35"/>
      <c r="KPQ23" s="35"/>
      <c r="KPR23" s="35"/>
      <c r="KPS23" s="35"/>
      <c r="KPT23" s="35"/>
      <c r="KPU23" s="35"/>
      <c r="KPV23" s="35"/>
      <c r="KPW23" s="35"/>
      <c r="KPX23" s="35"/>
      <c r="KPY23" s="35"/>
      <c r="KPZ23" s="35"/>
      <c r="KQA23" s="35"/>
      <c r="KQB23" s="35"/>
      <c r="KQC23" s="35"/>
      <c r="KQD23" s="35"/>
      <c r="KQE23" s="35"/>
      <c r="KQF23" s="35"/>
      <c r="KQG23" s="35"/>
      <c r="KQH23" s="35"/>
      <c r="KQI23" s="35"/>
      <c r="KQJ23" s="35"/>
      <c r="KQK23" s="35"/>
      <c r="KQL23" s="35"/>
      <c r="KQM23" s="35"/>
      <c r="KQN23" s="35"/>
      <c r="KQO23" s="35"/>
      <c r="KQP23" s="35"/>
      <c r="KQQ23" s="35"/>
      <c r="KQR23" s="35"/>
      <c r="KQS23" s="35"/>
      <c r="KQT23" s="35"/>
      <c r="KQU23" s="35"/>
      <c r="KQV23" s="35"/>
      <c r="KQW23" s="35"/>
      <c r="KQX23" s="35"/>
      <c r="KQY23" s="35"/>
      <c r="KQZ23" s="35"/>
      <c r="KRA23" s="35"/>
      <c r="KRB23" s="35"/>
      <c r="KRC23" s="35"/>
      <c r="KRD23" s="35"/>
      <c r="KRE23" s="35"/>
      <c r="KRF23" s="35"/>
      <c r="KRG23" s="35"/>
      <c r="KRH23" s="35"/>
      <c r="KRI23" s="35"/>
      <c r="KRJ23" s="35"/>
      <c r="KRK23" s="35"/>
      <c r="KRL23" s="35"/>
      <c r="KRM23" s="35"/>
      <c r="KRN23" s="35"/>
      <c r="KRO23" s="35"/>
      <c r="KRP23" s="35"/>
      <c r="KRQ23" s="35"/>
      <c r="KRR23" s="35"/>
      <c r="KRS23" s="35"/>
      <c r="KRT23" s="35"/>
      <c r="KRU23" s="35"/>
      <c r="KRV23" s="35"/>
      <c r="KRW23" s="35"/>
      <c r="KRX23" s="35"/>
      <c r="KRY23" s="35"/>
      <c r="KRZ23" s="35"/>
      <c r="KSA23" s="35"/>
      <c r="KSB23" s="35"/>
      <c r="KSC23" s="35"/>
      <c r="KSD23" s="35"/>
      <c r="KSE23" s="35"/>
      <c r="KSF23" s="35"/>
      <c r="KSG23" s="35"/>
      <c r="KSH23" s="35"/>
      <c r="KSI23" s="35"/>
      <c r="KSJ23" s="35"/>
      <c r="KSK23" s="35"/>
      <c r="KSL23" s="35"/>
      <c r="KSM23" s="35"/>
      <c r="KSN23" s="35"/>
      <c r="KSO23" s="35"/>
      <c r="KSP23" s="35"/>
      <c r="KSQ23" s="35"/>
      <c r="KSR23" s="35"/>
      <c r="KSS23" s="35"/>
      <c r="KST23" s="35"/>
      <c r="KSU23" s="35"/>
      <c r="KSV23" s="35"/>
      <c r="KSW23" s="35"/>
      <c r="KSX23" s="35"/>
      <c r="KSY23" s="35"/>
      <c r="KSZ23" s="35"/>
      <c r="KTA23" s="35"/>
      <c r="KTB23" s="35"/>
      <c r="KTC23" s="35"/>
      <c r="KTD23" s="35"/>
      <c r="KTE23" s="35"/>
      <c r="KTF23" s="35"/>
      <c r="KTG23" s="35"/>
      <c r="KTH23" s="35"/>
      <c r="KTI23" s="35"/>
      <c r="KTJ23" s="35"/>
      <c r="KTK23" s="35"/>
      <c r="KTL23" s="35"/>
      <c r="KTM23" s="35"/>
      <c r="KTN23" s="35"/>
      <c r="KTO23" s="35"/>
      <c r="KTP23" s="35"/>
      <c r="KTQ23" s="35"/>
      <c r="KTR23" s="35"/>
      <c r="KTS23" s="35"/>
      <c r="KTT23" s="35"/>
      <c r="KTU23" s="35"/>
      <c r="KTV23" s="35"/>
      <c r="KTW23" s="35"/>
      <c r="KTX23" s="35"/>
      <c r="KTY23" s="35"/>
      <c r="KTZ23" s="35"/>
      <c r="KUA23" s="35"/>
      <c r="KUB23" s="35"/>
      <c r="KUC23" s="35"/>
      <c r="KUD23" s="35"/>
      <c r="KUE23" s="35"/>
      <c r="KUF23" s="35"/>
      <c r="KUG23" s="35"/>
      <c r="KUH23" s="35"/>
      <c r="KUI23" s="35"/>
      <c r="KUJ23" s="35"/>
      <c r="KUK23" s="35"/>
      <c r="KUL23" s="35"/>
      <c r="KUM23" s="35"/>
      <c r="KUN23" s="35"/>
      <c r="KUO23" s="35"/>
      <c r="KUP23" s="35"/>
      <c r="KUQ23" s="35"/>
      <c r="KUR23" s="35"/>
      <c r="KUS23" s="35"/>
      <c r="KUT23" s="35"/>
      <c r="KUU23" s="35"/>
      <c r="KUV23" s="35"/>
      <c r="KUW23" s="35"/>
      <c r="KUX23" s="35"/>
      <c r="KUY23" s="35"/>
      <c r="KUZ23" s="35"/>
      <c r="KVA23" s="35"/>
      <c r="KVB23" s="35"/>
      <c r="KVC23" s="35"/>
      <c r="KVD23" s="35"/>
      <c r="KVE23" s="35"/>
      <c r="KVF23" s="35"/>
      <c r="KVG23" s="35"/>
      <c r="KVH23" s="35"/>
      <c r="KVI23" s="35"/>
      <c r="KVJ23" s="35"/>
      <c r="KVK23" s="35"/>
      <c r="KVL23" s="35"/>
      <c r="KVM23" s="35"/>
      <c r="KVN23" s="35"/>
      <c r="KVO23" s="35"/>
      <c r="KVP23" s="35"/>
      <c r="KVQ23" s="35"/>
      <c r="KVR23" s="35"/>
      <c r="KVS23" s="35"/>
      <c r="KVT23" s="35"/>
      <c r="KVU23" s="35"/>
      <c r="KVV23" s="35"/>
      <c r="KVW23" s="35"/>
      <c r="KVX23" s="35"/>
      <c r="KVY23" s="35"/>
      <c r="KVZ23" s="35"/>
      <c r="KWA23" s="35"/>
      <c r="KWB23" s="35"/>
      <c r="KWC23" s="35"/>
      <c r="KWD23" s="35"/>
      <c r="KWE23" s="35"/>
      <c r="KWF23" s="35"/>
      <c r="KWG23" s="35"/>
      <c r="KWH23" s="35"/>
      <c r="KWI23" s="35"/>
      <c r="KWJ23" s="35"/>
      <c r="KWK23" s="35"/>
      <c r="KWL23" s="35"/>
      <c r="KWM23" s="35"/>
      <c r="KWN23" s="35"/>
      <c r="KWO23" s="35"/>
      <c r="KWP23" s="35"/>
      <c r="KWQ23" s="35"/>
      <c r="KWR23" s="35"/>
      <c r="KWS23" s="35"/>
      <c r="KWT23" s="35"/>
      <c r="KWU23" s="35"/>
      <c r="KWV23" s="35"/>
      <c r="KWW23" s="35"/>
      <c r="KWX23" s="35"/>
      <c r="KWY23" s="35"/>
      <c r="KWZ23" s="35"/>
      <c r="KXA23" s="35"/>
      <c r="KXB23" s="35"/>
      <c r="KXC23" s="35"/>
      <c r="KXD23" s="35"/>
      <c r="KXE23" s="35"/>
      <c r="KXF23" s="35"/>
      <c r="KXG23" s="35"/>
      <c r="KXH23" s="35"/>
      <c r="KXI23" s="35"/>
      <c r="KXJ23" s="35"/>
      <c r="KXK23" s="35"/>
      <c r="KXL23" s="35"/>
      <c r="KXM23" s="35"/>
      <c r="KXN23" s="35"/>
      <c r="KXO23" s="35"/>
      <c r="KXP23" s="35"/>
      <c r="KXQ23" s="35"/>
      <c r="KXR23" s="35"/>
      <c r="KXS23" s="35"/>
      <c r="KXT23" s="35"/>
      <c r="KXU23" s="35"/>
      <c r="KXV23" s="35"/>
      <c r="KXW23" s="35"/>
      <c r="KXX23" s="35"/>
      <c r="KXY23" s="35"/>
      <c r="KXZ23" s="35"/>
      <c r="KYA23" s="35"/>
      <c r="KYB23" s="35"/>
      <c r="KYC23" s="35"/>
      <c r="KYD23" s="35"/>
      <c r="KYE23" s="35"/>
      <c r="KYF23" s="35"/>
      <c r="KYG23" s="35"/>
      <c r="KYH23" s="35"/>
      <c r="KYI23" s="35"/>
      <c r="KYJ23" s="35"/>
      <c r="KYK23" s="35"/>
      <c r="KYL23" s="35"/>
      <c r="KYM23" s="35"/>
      <c r="KYN23" s="35"/>
      <c r="KYO23" s="35"/>
      <c r="KYP23" s="35"/>
      <c r="KYQ23" s="35"/>
      <c r="KYR23" s="35"/>
      <c r="KYS23" s="35"/>
      <c r="KYT23" s="35"/>
      <c r="KYU23" s="35"/>
      <c r="KYV23" s="35"/>
      <c r="KYW23" s="35"/>
      <c r="KYX23" s="35"/>
      <c r="KYY23" s="35"/>
      <c r="KYZ23" s="35"/>
      <c r="KZA23" s="35"/>
      <c r="KZB23" s="35"/>
      <c r="KZC23" s="35"/>
      <c r="KZD23" s="35"/>
      <c r="KZE23" s="35"/>
      <c r="KZF23" s="35"/>
      <c r="KZG23" s="35"/>
      <c r="KZH23" s="35"/>
      <c r="KZI23" s="35"/>
      <c r="KZJ23" s="35"/>
      <c r="KZK23" s="35"/>
      <c r="KZL23" s="35"/>
      <c r="KZM23" s="35"/>
      <c r="KZN23" s="35"/>
      <c r="KZO23" s="35"/>
      <c r="KZP23" s="35"/>
      <c r="KZQ23" s="35"/>
      <c r="KZR23" s="35"/>
      <c r="KZS23" s="35"/>
      <c r="KZT23" s="35"/>
      <c r="KZU23" s="35"/>
      <c r="KZV23" s="35"/>
      <c r="KZW23" s="35"/>
      <c r="KZX23" s="35"/>
      <c r="KZY23" s="35"/>
      <c r="KZZ23" s="35"/>
      <c r="LAA23" s="35"/>
      <c r="LAB23" s="35"/>
      <c r="LAC23" s="35"/>
      <c r="LAD23" s="35"/>
      <c r="LAE23" s="35"/>
      <c r="LAF23" s="35"/>
      <c r="LAG23" s="35"/>
      <c r="LAH23" s="35"/>
      <c r="LAI23" s="35"/>
      <c r="LAJ23" s="35"/>
      <c r="LAK23" s="35"/>
      <c r="LAL23" s="35"/>
      <c r="LAM23" s="35"/>
      <c r="LAN23" s="35"/>
      <c r="LAO23" s="35"/>
      <c r="LAP23" s="35"/>
      <c r="LAQ23" s="35"/>
      <c r="LAR23" s="35"/>
      <c r="LAS23" s="35"/>
      <c r="LAT23" s="35"/>
      <c r="LAU23" s="35"/>
      <c r="LAV23" s="35"/>
      <c r="LAW23" s="35"/>
      <c r="LAX23" s="35"/>
      <c r="LAY23" s="35"/>
      <c r="LAZ23" s="35"/>
      <c r="LBA23" s="35"/>
      <c r="LBB23" s="35"/>
      <c r="LBC23" s="35"/>
      <c r="LBD23" s="35"/>
      <c r="LBE23" s="35"/>
      <c r="LBF23" s="35"/>
      <c r="LBG23" s="35"/>
      <c r="LBH23" s="35"/>
      <c r="LBI23" s="35"/>
      <c r="LBJ23" s="35"/>
      <c r="LBK23" s="35"/>
      <c r="LBL23" s="35"/>
      <c r="LBM23" s="35"/>
      <c r="LBN23" s="35"/>
      <c r="LBO23" s="35"/>
      <c r="LBP23" s="35"/>
      <c r="LBQ23" s="35"/>
      <c r="LBR23" s="35"/>
      <c r="LBS23" s="35"/>
      <c r="LBT23" s="35"/>
      <c r="LBU23" s="35"/>
      <c r="LBV23" s="35"/>
      <c r="LBW23" s="35"/>
      <c r="LBX23" s="35"/>
      <c r="LBY23" s="35"/>
      <c r="LBZ23" s="35"/>
      <c r="LCA23" s="35"/>
      <c r="LCB23" s="35"/>
      <c r="LCC23" s="35"/>
      <c r="LCD23" s="35"/>
      <c r="LCE23" s="35"/>
      <c r="LCF23" s="35"/>
      <c r="LCG23" s="35"/>
      <c r="LCH23" s="35"/>
      <c r="LCI23" s="35"/>
      <c r="LCJ23" s="35"/>
      <c r="LCK23" s="35"/>
      <c r="LCL23" s="35"/>
      <c r="LCM23" s="35"/>
      <c r="LCN23" s="35"/>
      <c r="LCO23" s="35"/>
      <c r="LCP23" s="35"/>
      <c r="LCQ23" s="35"/>
      <c r="LCR23" s="35"/>
      <c r="LCS23" s="35"/>
      <c r="LCT23" s="35"/>
      <c r="LCU23" s="35"/>
      <c r="LCV23" s="35"/>
      <c r="LCW23" s="35"/>
      <c r="LCX23" s="35"/>
      <c r="LCY23" s="35"/>
      <c r="LCZ23" s="35"/>
      <c r="LDA23" s="35"/>
      <c r="LDB23" s="35"/>
      <c r="LDC23" s="35"/>
      <c r="LDD23" s="35"/>
      <c r="LDE23" s="35"/>
      <c r="LDF23" s="35"/>
      <c r="LDG23" s="35"/>
      <c r="LDH23" s="35"/>
      <c r="LDI23" s="35"/>
      <c r="LDJ23" s="35"/>
      <c r="LDK23" s="35"/>
      <c r="LDL23" s="35"/>
      <c r="LDM23" s="35"/>
      <c r="LDN23" s="35"/>
      <c r="LDO23" s="35"/>
      <c r="LDP23" s="35"/>
      <c r="LDQ23" s="35"/>
      <c r="LDR23" s="35"/>
      <c r="LDS23" s="35"/>
      <c r="LDT23" s="35"/>
      <c r="LDU23" s="35"/>
      <c r="LDV23" s="35"/>
      <c r="LDW23" s="35"/>
      <c r="LDX23" s="35"/>
      <c r="LDY23" s="35"/>
      <c r="LDZ23" s="35"/>
      <c r="LEA23" s="35"/>
      <c r="LEB23" s="35"/>
      <c r="LEC23" s="35"/>
      <c r="LED23" s="35"/>
      <c r="LEE23" s="35"/>
      <c r="LEF23" s="35"/>
      <c r="LEG23" s="35"/>
      <c r="LEH23" s="35"/>
      <c r="LEI23" s="35"/>
      <c r="LEJ23" s="35"/>
      <c r="LEK23" s="35"/>
      <c r="LEL23" s="35"/>
      <c r="LEM23" s="35"/>
      <c r="LEN23" s="35"/>
      <c r="LEO23" s="35"/>
      <c r="LEP23" s="35"/>
      <c r="LEQ23" s="35"/>
      <c r="LER23" s="35"/>
      <c r="LES23" s="35"/>
      <c r="LET23" s="35"/>
      <c r="LEU23" s="35"/>
      <c r="LEV23" s="35"/>
      <c r="LEW23" s="35"/>
      <c r="LEX23" s="35"/>
      <c r="LEY23" s="35"/>
      <c r="LEZ23" s="35"/>
      <c r="LFA23" s="35"/>
      <c r="LFB23" s="35"/>
      <c r="LFC23" s="35"/>
      <c r="LFD23" s="35"/>
      <c r="LFE23" s="35"/>
      <c r="LFF23" s="35"/>
      <c r="LFG23" s="35"/>
      <c r="LFH23" s="35"/>
      <c r="LFI23" s="35"/>
      <c r="LFJ23" s="35"/>
      <c r="LFK23" s="35"/>
      <c r="LFL23" s="35"/>
      <c r="LFM23" s="35"/>
      <c r="LFN23" s="35"/>
      <c r="LFO23" s="35"/>
      <c r="LFP23" s="35"/>
      <c r="LFQ23" s="35"/>
      <c r="LFR23" s="35"/>
      <c r="LFS23" s="35"/>
      <c r="LFT23" s="35"/>
      <c r="LFU23" s="35"/>
      <c r="LFV23" s="35"/>
      <c r="LFW23" s="35"/>
      <c r="LFX23" s="35"/>
      <c r="LFY23" s="35"/>
      <c r="LFZ23" s="35"/>
      <c r="LGA23" s="35"/>
      <c r="LGB23" s="35"/>
      <c r="LGC23" s="35"/>
      <c r="LGD23" s="35"/>
      <c r="LGE23" s="35"/>
      <c r="LGF23" s="35"/>
      <c r="LGG23" s="35"/>
      <c r="LGH23" s="35"/>
      <c r="LGI23" s="35"/>
      <c r="LGJ23" s="35"/>
      <c r="LGK23" s="35"/>
      <c r="LGL23" s="35"/>
      <c r="LGM23" s="35"/>
      <c r="LGN23" s="35"/>
      <c r="LGO23" s="35"/>
      <c r="LGP23" s="35"/>
      <c r="LGQ23" s="35"/>
      <c r="LGR23" s="35"/>
      <c r="LGS23" s="35"/>
      <c r="LGT23" s="35"/>
      <c r="LGU23" s="35"/>
      <c r="LGV23" s="35"/>
      <c r="LGW23" s="35"/>
      <c r="LGX23" s="35"/>
      <c r="LGY23" s="35"/>
      <c r="LGZ23" s="35"/>
      <c r="LHA23" s="35"/>
      <c r="LHB23" s="35"/>
      <c r="LHC23" s="35"/>
      <c r="LHD23" s="35"/>
      <c r="LHE23" s="35"/>
      <c r="LHF23" s="35"/>
      <c r="LHG23" s="35"/>
      <c r="LHH23" s="35"/>
      <c r="LHI23" s="35"/>
      <c r="LHJ23" s="35"/>
      <c r="LHK23" s="35"/>
      <c r="LHL23" s="35"/>
      <c r="LHM23" s="35"/>
      <c r="LHN23" s="35"/>
      <c r="LHO23" s="35"/>
      <c r="LHP23" s="35"/>
      <c r="LHQ23" s="35"/>
      <c r="LHR23" s="35"/>
      <c r="LHS23" s="35"/>
      <c r="LHT23" s="35"/>
      <c r="LHU23" s="35"/>
      <c r="LHV23" s="35"/>
      <c r="LHW23" s="35"/>
      <c r="LHX23" s="35"/>
      <c r="LHY23" s="35"/>
      <c r="LHZ23" s="35"/>
      <c r="LIA23" s="35"/>
      <c r="LIB23" s="35"/>
      <c r="LIC23" s="35"/>
      <c r="LID23" s="35"/>
      <c r="LIE23" s="35"/>
      <c r="LIF23" s="35"/>
      <c r="LIG23" s="35"/>
      <c r="LIH23" s="35"/>
      <c r="LII23" s="35"/>
      <c r="LIJ23" s="35"/>
      <c r="LIK23" s="35"/>
      <c r="LIL23" s="35"/>
      <c r="LIM23" s="35"/>
      <c r="LIN23" s="35"/>
      <c r="LIO23" s="35"/>
      <c r="LIP23" s="35"/>
      <c r="LIQ23" s="35"/>
      <c r="LIR23" s="35"/>
      <c r="LIS23" s="35"/>
      <c r="LIT23" s="35"/>
      <c r="LIU23" s="35"/>
      <c r="LIV23" s="35"/>
      <c r="LIW23" s="35"/>
      <c r="LIX23" s="35"/>
      <c r="LIY23" s="35"/>
      <c r="LIZ23" s="35"/>
      <c r="LJA23" s="35"/>
      <c r="LJB23" s="35"/>
      <c r="LJC23" s="35"/>
      <c r="LJD23" s="35"/>
      <c r="LJE23" s="35"/>
      <c r="LJF23" s="35"/>
      <c r="LJG23" s="35"/>
      <c r="LJH23" s="35"/>
      <c r="LJI23" s="35"/>
      <c r="LJJ23" s="35"/>
      <c r="LJK23" s="35"/>
      <c r="LJL23" s="35"/>
      <c r="LJM23" s="35"/>
      <c r="LJN23" s="35"/>
      <c r="LJO23" s="35"/>
      <c r="LJP23" s="35"/>
      <c r="LJQ23" s="35"/>
      <c r="LJR23" s="35"/>
      <c r="LJS23" s="35"/>
      <c r="LJT23" s="35"/>
      <c r="LJU23" s="35"/>
      <c r="LJV23" s="35"/>
      <c r="LJW23" s="35"/>
      <c r="LJX23" s="35"/>
      <c r="LJY23" s="35"/>
      <c r="LJZ23" s="35"/>
      <c r="LKA23" s="35"/>
      <c r="LKB23" s="35"/>
      <c r="LKC23" s="35"/>
      <c r="LKD23" s="35"/>
      <c r="LKE23" s="35"/>
      <c r="LKF23" s="35"/>
      <c r="LKG23" s="35"/>
      <c r="LKH23" s="35"/>
      <c r="LKI23" s="35"/>
      <c r="LKJ23" s="35"/>
      <c r="LKK23" s="35"/>
      <c r="LKL23" s="35"/>
      <c r="LKM23" s="35"/>
      <c r="LKN23" s="35"/>
      <c r="LKO23" s="35"/>
      <c r="LKP23" s="35"/>
      <c r="LKQ23" s="35"/>
      <c r="LKR23" s="35"/>
      <c r="LKS23" s="35"/>
      <c r="LKT23" s="35"/>
      <c r="LKU23" s="35"/>
      <c r="LKV23" s="35"/>
      <c r="LKW23" s="35"/>
      <c r="LKX23" s="35"/>
      <c r="LKY23" s="35"/>
      <c r="LKZ23" s="35"/>
      <c r="LLA23" s="35"/>
      <c r="LLB23" s="35"/>
      <c r="LLC23" s="35"/>
      <c r="LLD23" s="35"/>
      <c r="LLE23" s="35"/>
      <c r="LLF23" s="35"/>
      <c r="LLG23" s="35"/>
      <c r="LLH23" s="35"/>
      <c r="LLI23" s="35"/>
      <c r="LLJ23" s="35"/>
      <c r="LLK23" s="35"/>
      <c r="LLL23" s="35"/>
      <c r="LLM23" s="35"/>
      <c r="LLN23" s="35"/>
      <c r="LLO23" s="35"/>
      <c r="LLP23" s="35"/>
      <c r="LLQ23" s="35"/>
      <c r="LLR23" s="35"/>
      <c r="LLS23" s="35"/>
      <c r="LLT23" s="35"/>
      <c r="LLU23" s="35"/>
      <c r="LLV23" s="35"/>
      <c r="LLW23" s="35"/>
      <c r="LLX23" s="35"/>
      <c r="LLY23" s="35"/>
      <c r="LLZ23" s="35"/>
      <c r="LMA23" s="35"/>
      <c r="LMB23" s="35"/>
      <c r="LMC23" s="35"/>
      <c r="LMD23" s="35"/>
      <c r="LME23" s="35"/>
      <c r="LMF23" s="35"/>
      <c r="LMG23" s="35"/>
      <c r="LMH23" s="35"/>
      <c r="LMI23" s="35"/>
      <c r="LMJ23" s="35"/>
      <c r="LMK23" s="35"/>
      <c r="LML23" s="35"/>
      <c r="LMM23" s="35"/>
      <c r="LMN23" s="35"/>
      <c r="LMO23" s="35"/>
      <c r="LMP23" s="35"/>
      <c r="LMQ23" s="35"/>
      <c r="LMR23" s="35"/>
      <c r="LMS23" s="35"/>
      <c r="LMT23" s="35"/>
      <c r="LMU23" s="35"/>
      <c r="LMV23" s="35"/>
      <c r="LMW23" s="35"/>
      <c r="LMX23" s="35"/>
      <c r="LMY23" s="35"/>
      <c r="LMZ23" s="35"/>
      <c r="LNA23" s="35"/>
      <c r="LNB23" s="35"/>
      <c r="LNC23" s="35"/>
      <c r="LND23" s="35"/>
      <c r="LNE23" s="35"/>
      <c r="LNF23" s="35"/>
      <c r="LNG23" s="35"/>
      <c r="LNH23" s="35"/>
      <c r="LNI23" s="35"/>
      <c r="LNJ23" s="35"/>
      <c r="LNK23" s="35"/>
      <c r="LNL23" s="35"/>
      <c r="LNM23" s="35"/>
      <c r="LNN23" s="35"/>
      <c r="LNO23" s="35"/>
      <c r="LNP23" s="35"/>
      <c r="LNQ23" s="35"/>
      <c r="LNR23" s="35"/>
      <c r="LNS23" s="35"/>
      <c r="LNT23" s="35"/>
      <c r="LNU23" s="35"/>
      <c r="LNV23" s="35"/>
      <c r="LNW23" s="35"/>
      <c r="LNX23" s="35"/>
      <c r="LNY23" s="35"/>
      <c r="LNZ23" s="35"/>
      <c r="LOA23" s="35"/>
      <c r="LOB23" s="35"/>
      <c r="LOC23" s="35"/>
      <c r="LOD23" s="35"/>
      <c r="LOE23" s="35"/>
      <c r="LOF23" s="35"/>
      <c r="LOG23" s="35"/>
      <c r="LOH23" s="35"/>
      <c r="LOI23" s="35"/>
      <c r="LOJ23" s="35"/>
      <c r="LOK23" s="35"/>
      <c r="LOL23" s="35"/>
      <c r="LOM23" s="35"/>
      <c r="LON23" s="35"/>
      <c r="LOO23" s="35"/>
      <c r="LOP23" s="35"/>
      <c r="LOQ23" s="35"/>
      <c r="LOR23" s="35"/>
      <c r="LOS23" s="35"/>
      <c r="LOT23" s="35"/>
      <c r="LOU23" s="35"/>
      <c r="LOV23" s="35"/>
      <c r="LOW23" s="35"/>
      <c r="LOX23" s="35"/>
      <c r="LOY23" s="35"/>
      <c r="LOZ23" s="35"/>
      <c r="LPA23" s="35"/>
      <c r="LPB23" s="35"/>
      <c r="LPC23" s="35"/>
      <c r="LPD23" s="35"/>
      <c r="LPE23" s="35"/>
      <c r="LPF23" s="35"/>
      <c r="LPG23" s="35"/>
      <c r="LPH23" s="35"/>
      <c r="LPI23" s="35"/>
      <c r="LPJ23" s="35"/>
      <c r="LPK23" s="35"/>
      <c r="LPL23" s="35"/>
      <c r="LPM23" s="35"/>
      <c r="LPN23" s="35"/>
      <c r="LPO23" s="35"/>
      <c r="LPP23" s="35"/>
      <c r="LPQ23" s="35"/>
      <c r="LPR23" s="35"/>
      <c r="LPS23" s="35"/>
      <c r="LPT23" s="35"/>
      <c r="LPU23" s="35"/>
      <c r="LPV23" s="35"/>
      <c r="LPW23" s="35"/>
      <c r="LPX23" s="35"/>
      <c r="LPY23" s="35"/>
      <c r="LPZ23" s="35"/>
      <c r="LQA23" s="35"/>
      <c r="LQB23" s="35"/>
      <c r="LQC23" s="35"/>
      <c r="LQD23" s="35"/>
      <c r="LQE23" s="35"/>
      <c r="LQF23" s="35"/>
      <c r="LQG23" s="35"/>
      <c r="LQH23" s="35"/>
      <c r="LQI23" s="35"/>
      <c r="LQJ23" s="35"/>
      <c r="LQK23" s="35"/>
      <c r="LQL23" s="35"/>
      <c r="LQM23" s="35"/>
      <c r="LQN23" s="35"/>
      <c r="LQO23" s="35"/>
      <c r="LQP23" s="35"/>
      <c r="LQQ23" s="35"/>
      <c r="LQR23" s="35"/>
      <c r="LQS23" s="35"/>
      <c r="LQT23" s="35"/>
      <c r="LQU23" s="35"/>
      <c r="LQV23" s="35"/>
      <c r="LQW23" s="35"/>
      <c r="LQX23" s="35"/>
      <c r="LQY23" s="35"/>
      <c r="LQZ23" s="35"/>
      <c r="LRA23" s="35"/>
      <c r="LRB23" s="35"/>
      <c r="LRC23" s="35"/>
      <c r="LRD23" s="35"/>
      <c r="LRE23" s="35"/>
      <c r="LRF23" s="35"/>
      <c r="LRG23" s="35"/>
      <c r="LRH23" s="35"/>
      <c r="LRI23" s="35"/>
      <c r="LRJ23" s="35"/>
      <c r="LRK23" s="35"/>
      <c r="LRL23" s="35"/>
      <c r="LRM23" s="35"/>
      <c r="LRN23" s="35"/>
      <c r="LRO23" s="35"/>
      <c r="LRP23" s="35"/>
      <c r="LRQ23" s="35"/>
      <c r="LRR23" s="35"/>
      <c r="LRS23" s="35"/>
      <c r="LRT23" s="35"/>
      <c r="LRU23" s="35"/>
      <c r="LRV23" s="35"/>
      <c r="LRW23" s="35"/>
      <c r="LRX23" s="35"/>
      <c r="LRY23" s="35"/>
      <c r="LRZ23" s="35"/>
      <c r="LSA23" s="35"/>
      <c r="LSB23" s="35"/>
      <c r="LSC23" s="35"/>
      <c r="LSD23" s="35"/>
      <c r="LSE23" s="35"/>
      <c r="LSF23" s="35"/>
      <c r="LSG23" s="35"/>
      <c r="LSH23" s="35"/>
      <c r="LSI23" s="35"/>
      <c r="LSJ23" s="35"/>
      <c r="LSK23" s="35"/>
      <c r="LSL23" s="35"/>
      <c r="LSM23" s="35"/>
      <c r="LSN23" s="35"/>
      <c r="LSO23" s="35"/>
      <c r="LSP23" s="35"/>
      <c r="LSQ23" s="35"/>
      <c r="LSR23" s="35"/>
      <c r="LSS23" s="35"/>
      <c r="LST23" s="35"/>
      <c r="LSU23" s="35"/>
      <c r="LSV23" s="35"/>
      <c r="LSW23" s="35"/>
      <c r="LSX23" s="35"/>
      <c r="LSY23" s="35"/>
      <c r="LSZ23" s="35"/>
      <c r="LTA23" s="35"/>
      <c r="LTB23" s="35"/>
      <c r="LTC23" s="35"/>
      <c r="LTD23" s="35"/>
      <c r="LTE23" s="35"/>
      <c r="LTF23" s="35"/>
      <c r="LTG23" s="35"/>
      <c r="LTH23" s="35"/>
      <c r="LTI23" s="35"/>
      <c r="LTJ23" s="35"/>
      <c r="LTK23" s="35"/>
      <c r="LTL23" s="35"/>
      <c r="LTM23" s="35"/>
      <c r="LTN23" s="35"/>
      <c r="LTO23" s="35"/>
      <c r="LTP23" s="35"/>
      <c r="LTQ23" s="35"/>
      <c r="LTR23" s="35"/>
      <c r="LTS23" s="35"/>
      <c r="LTT23" s="35"/>
      <c r="LTU23" s="35"/>
      <c r="LTV23" s="35"/>
      <c r="LTW23" s="35"/>
      <c r="LTX23" s="35"/>
      <c r="LTY23" s="35"/>
      <c r="LTZ23" s="35"/>
      <c r="LUA23" s="35"/>
      <c r="LUB23" s="35"/>
      <c r="LUC23" s="35"/>
      <c r="LUD23" s="35"/>
      <c r="LUE23" s="35"/>
      <c r="LUF23" s="35"/>
      <c r="LUG23" s="35"/>
      <c r="LUH23" s="35"/>
      <c r="LUI23" s="35"/>
      <c r="LUJ23" s="35"/>
      <c r="LUK23" s="35"/>
      <c r="LUL23" s="35"/>
      <c r="LUM23" s="35"/>
      <c r="LUN23" s="35"/>
      <c r="LUO23" s="35"/>
      <c r="LUP23" s="35"/>
      <c r="LUQ23" s="35"/>
      <c r="LUR23" s="35"/>
      <c r="LUS23" s="35"/>
      <c r="LUT23" s="35"/>
      <c r="LUU23" s="35"/>
      <c r="LUV23" s="35"/>
      <c r="LUW23" s="35"/>
      <c r="LUX23" s="35"/>
      <c r="LUY23" s="35"/>
      <c r="LUZ23" s="35"/>
      <c r="LVA23" s="35"/>
      <c r="LVB23" s="35"/>
      <c r="LVC23" s="35"/>
      <c r="LVD23" s="35"/>
      <c r="LVE23" s="35"/>
      <c r="LVF23" s="35"/>
      <c r="LVG23" s="35"/>
      <c r="LVH23" s="35"/>
      <c r="LVI23" s="35"/>
      <c r="LVJ23" s="35"/>
      <c r="LVK23" s="35"/>
      <c r="LVL23" s="35"/>
      <c r="LVM23" s="35"/>
      <c r="LVN23" s="35"/>
      <c r="LVO23" s="35"/>
      <c r="LVP23" s="35"/>
      <c r="LVQ23" s="35"/>
      <c r="LVR23" s="35"/>
      <c r="LVS23" s="35"/>
      <c r="LVT23" s="35"/>
      <c r="LVU23" s="35"/>
      <c r="LVV23" s="35"/>
      <c r="LVW23" s="35"/>
      <c r="LVX23" s="35"/>
      <c r="LVY23" s="35"/>
      <c r="LVZ23" s="35"/>
      <c r="LWA23" s="35"/>
      <c r="LWB23" s="35"/>
      <c r="LWC23" s="35"/>
      <c r="LWD23" s="35"/>
      <c r="LWE23" s="35"/>
      <c r="LWF23" s="35"/>
      <c r="LWG23" s="35"/>
      <c r="LWH23" s="35"/>
      <c r="LWI23" s="35"/>
      <c r="LWJ23" s="35"/>
      <c r="LWK23" s="35"/>
      <c r="LWL23" s="35"/>
      <c r="LWM23" s="35"/>
      <c r="LWN23" s="35"/>
      <c r="LWO23" s="35"/>
      <c r="LWP23" s="35"/>
      <c r="LWQ23" s="35"/>
      <c r="LWR23" s="35"/>
      <c r="LWS23" s="35"/>
      <c r="LWT23" s="35"/>
      <c r="LWU23" s="35"/>
      <c r="LWV23" s="35"/>
      <c r="LWW23" s="35"/>
      <c r="LWX23" s="35"/>
      <c r="LWY23" s="35"/>
      <c r="LWZ23" s="35"/>
      <c r="LXA23" s="35"/>
      <c r="LXB23" s="35"/>
      <c r="LXC23" s="35"/>
      <c r="LXD23" s="35"/>
      <c r="LXE23" s="35"/>
      <c r="LXF23" s="35"/>
      <c r="LXG23" s="35"/>
      <c r="LXH23" s="35"/>
      <c r="LXI23" s="35"/>
      <c r="LXJ23" s="35"/>
      <c r="LXK23" s="35"/>
      <c r="LXL23" s="35"/>
      <c r="LXM23" s="35"/>
      <c r="LXN23" s="35"/>
      <c r="LXO23" s="35"/>
      <c r="LXP23" s="35"/>
      <c r="LXQ23" s="35"/>
      <c r="LXR23" s="35"/>
      <c r="LXS23" s="35"/>
      <c r="LXT23" s="35"/>
      <c r="LXU23" s="35"/>
      <c r="LXV23" s="35"/>
      <c r="LXW23" s="35"/>
      <c r="LXX23" s="35"/>
      <c r="LXY23" s="35"/>
      <c r="LXZ23" s="35"/>
      <c r="LYA23" s="35"/>
      <c r="LYB23" s="35"/>
      <c r="LYC23" s="35"/>
      <c r="LYD23" s="35"/>
      <c r="LYE23" s="35"/>
      <c r="LYF23" s="35"/>
      <c r="LYG23" s="35"/>
      <c r="LYH23" s="35"/>
      <c r="LYI23" s="35"/>
      <c r="LYJ23" s="35"/>
      <c r="LYK23" s="35"/>
      <c r="LYL23" s="35"/>
      <c r="LYM23" s="35"/>
      <c r="LYN23" s="35"/>
      <c r="LYO23" s="35"/>
      <c r="LYP23" s="35"/>
      <c r="LYQ23" s="35"/>
      <c r="LYR23" s="35"/>
      <c r="LYS23" s="35"/>
      <c r="LYT23" s="35"/>
      <c r="LYU23" s="35"/>
      <c r="LYV23" s="35"/>
      <c r="LYW23" s="35"/>
      <c r="LYX23" s="35"/>
      <c r="LYY23" s="35"/>
      <c r="LYZ23" s="35"/>
      <c r="LZA23" s="35"/>
      <c r="LZB23" s="35"/>
      <c r="LZC23" s="35"/>
      <c r="LZD23" s="35"/>
      <c r="LZE23" s="35"/>
      <c r="LZF23" s="35"/>
      <c r="LZG23" s="35"/>
      <c r="LZH23" s="35"/>
      <c r="LZI23" s="35"/>
      <c r="LZJ23" s="35"/>
      <c r="LZK23" s="35"/>
      <c r="LZL23" s="35"/>
      <c r="LZM23" s="35"/>
      <c r="LZN23" s="35"/>
      <c r="LZO23" s="35"/>
      <c r="LZP23" s="35"/>
      <c r="LZQ23" s="35"/>
      <c r="LZR23" s="35"/>
      <c r="LZS23" s="35"/>
      <c r="LZT23" s="35"/>
      <c r="LZU23" s="35"/>
      <c r="LZV23" s="35"/>
      <c r="LZW23" s="35"/>
      <c r="LZX23" s="35"/>
      <c r="LZY23" s="35"/>
      <c r="LZZ23" s="35"/>
      <c r="MAA23" s="35"/>
      <c r="MAB23" s="35"/>
      <c r="MAC23" s="35"/>
      <c r="MAD23" s="35"/>
      <c r="MAE23" s="35"/>
      <c r="MAF23" s="35"/>
      <c r="MAG23" s="35"/>
      <c r="MAH23" s="35"/>
      <c r="MAI23" s="35"/>
      <c r="MAJ23" s="35"/>
      <c r="MAK23" s="35"/>
      <c r="MAL23" s="35"/>
      <c r="MAM23" s="35"/>
      <c r="MAN23" s="35"/>
      <c r="MAO23" s="35"/>
      <c r="MAP23" s="35"/>
      <c r="MAQ23" s="35"/>
      <c r="MAR23" s="35"/>
      <c r="MAS23" s="35"/>
      <c r="MAT23" s="35"/>
      <c r="MAU23" s="35"/>
      <c r="MAV23" s="35"/>
      <c r="MAW23" s="35"/>
      <c r="MAX23" s="35"/>
      <c r="MAY23" s="35"/>
      <c r="MAZ23" s="35"/>
      <c r="MBA23" s="35"/>
      <c r="MBB23" s="35"/>
      <c r="MBC23" s="35"/>
      <c r="MBD23" s="35"/>
      <c r="MBE23" s="35"/>
      <c r="MBF23" s="35"/>
      <c r="MBG23" s="35"/>
      <c r="MBH23" s="35"/>
      <c r="MBI23" s="35"/>
      <c r="MBJ23" s="35"/>
      <c r="MBK23" s="35"/>
      <c r="MBL23" s="35"/>
      <c r="MBM23" s="35"/>
      <c r="MBN23" s="35"/>
      <c r="MBO23" s="35"/>
      <c r="MBP23" s="35"/>
      <c r="MBQ23" s="35"/>
      <c r="MBR23" s="35"/>
      <c r="MBS23" s="35"/>
      <c r="MBT23" s="35"/>
      <c r="MBU23" s="35"/>
      <c r="MBV23" s="35"/>
      <c r="MBW23" s="35"/>
      <c r="MBX23" s="35"/>
      <c r="MBY23" s="35"/>
      <c r="MBZ23" s="35"/>
      <c r="MCA23" s="35"/>
      <c r="MCB23" s="35"/>
      <c r="MCC23" s="35"/>
      <c r="MCD23" s="35"/>
      <c r="MCE23" s="35"/>
      <c r="MCF23" s="35"/>
      <c r="MCG23" s="35"/>
      <c r="MCH23" s="35"/>
      <c r="MCI23" s="35"/>
      <c r="MCJ23" s="35"/>
      <c r="MCK23" s="35"/>
      <c r="MCL23" s="35"/>
      <c r="MCM23" s="35"/>
      <c r="MCN23" s="35"/>
      <c r="MCO23" s="35"/>
      <c r="MCP23" s="35"/>
      <c r="MCQ23" s="35"/>
      <c r="MCR23" s="35"/>
      <c r="MCS23" s="35"/>
      <c r="MCT23" s="35"/>
      <c r="MCU23" s="35"/>
      <c r="MCV23" s="35"/>
      <c r="MCW23" s="35"/>
      <c r="MCX23" s="35"/>
      <c r="MCY23" s="35"/>
      <c r="MCZ23" s="35"/>
      <c r="MDA23" s="35"/>
      <c r="MDB23" s="35"/>
      <c r="MDC23" s="35"/>
      <c r="MDD23" s="35"/>
      <c r="MDE23" s="35"/>
      <c r="MDF23" s="35"/>
      <c r="MDG23" s="35"/>
      <c r="MDH23" s="35"/>
      <c r="MDI23" s="35"/>
      <c r="MDJ23" s="35"/>
      <c r="MDK23" s="35"/>
      <c r="MDL23" s="35"/>
      <c r="MDM23" s="35"/>
      <c r="MDN23" s="35"/>
      <c r="MDO23" s="35"/>
      <c r="MDP23" s="35"/>
      <c r="MDQ23" s="35"/>
      <c r="MDR23" s="35"/>
      <c r="MDS23" s="35"/>
      <c r="MDT23" s="35"/>
      <c r="MDU23" s="35"/>
      <c r="MDV23" s="35"/>
      <c r="MDW23" s="35"/>
      <c r="MDX23" s="35"/>
      <c r="MDY23" s="35"/>
      <c r="MDZ23" s="35"/>
      <c r="MEA23" s="35"/>
      <c r="MEB23" s="35"/>
      <c r="MEC23" s="35"/>
      <c r="MED23" s="35"/>
      <c r="MEE23" s="35"/>
      <c r="MEF23" s="35"/>
      <c r="MEG23" s="35"/>
      <c r="MEH23" s="35"/>
      <c r="MEI23" s="35"/>
      <c r="MEJ23" s="35"/>
      <c r="MEK23" s="35"/>
      <c r="MEL23" s="35"/>
      <c r="MEM23" s="35"/>
      <c r="MEN23" s="35"/>
      <c r="MEO23" s="35"/>
      <c r="MEP23" s="35"/>
      <c r="MEQ23" s="35"/>
      <c r="MER23" s="35"/>
      <c r="MES23" s="35"/>
      <c r="MET23" s="35"/>
      <c r="MEU23" s="35"/>
      <c r="MEV23" s="35"/>
      <c r="MEW23" s="35"/>
      <c r="MEX23" s="35"/>
      <c r="MEY23" s="35"/>
      <c r="MEZ23" s="35"/>
      <c r="MFA23" s="35"/>
      <c r="MFB23" s="35"/>
      <c r="MFC23" s="35"/>
      <c r="MFD23" s="35"/>
      <c r="MFE23" s="35"/>
      <c r="MFF23" s="35"/>
      <c r="MFG23" s="35"/>
      <c r="MFH23" s="35"/>
      <c r="MFI23" s="35"/>
      <c r="MFJ23" s="35"/>
      <c r="MFK23" s="35"/>
      <c r="MFL23" s="35"/>
      <c r="MFM23" s="35"/>
      <c r="MFN23" s="35"/>
      <c r="MFO23" s="35"/>
      <c r="MFP23" s="35"/>
      <c r="MFQ23" s="35"/>
      <c r="MFR23" s="35"/>
      <c r="MFS23" s="35"/>
      <c r="MFT23" s="35"/>
      <c r="MFU23" s="35"/>
      <c r="MFV23" s="35"/>
      <c r="MFW23" s="35"/>
      <c r="MFX23" s="35"/>
      <c r="MFY23" s="35"/>
      <c r="MFZ23" s="35"/>
      <c r="MGA23" s="35"/>
      <c r="MGB23" s="35"/>
      <c r="MGC23" s="35"/>
      <c r="MGD23" s="35"/>
      <c r="MGE23" s="35"/>
      <c r="MGF23" s="35"/>
      <c r="MGG23" s="35"/>
      <c r="MGH23" s="35"/>
      <c r="MGI23" s="35"/>
      <c r="MGJ23" s="35"/>
      <c r="MGK23" s="35"/>
      <c r="MGL23" s="35"/>
      <c r="MGM23" s="35"/>
      <c r="MGN23" s="35"/>
      <c r="MGO23" s="35"/>
      <c r="MGP23" s="35"/>
      <c r="MGQ23" s="35"/>
      <c r="MGR23" s="35"/>
      <c r="MGS23" s="35"/>
      <c r="MGT23" s="35"/>
      <c r="MGU23" s="35"/>
      <c r="MGV23" s="35"/>
      <c r="MGW23" s="35"/>
      <c r="MGX23" s="35"/>
      <c r="MGY23" s="35"/>
      <c r="MGZ23" s="35"/>
      <c r="MHA23" s="35"/>
      <c r="MHB23" s="35"/>
      <c r="MHC23" s="35"/>
      <c r="MHD23" s="35"/>
      <c r="MHE23" s="35"/>
      <c r="MHF23" s="35"/>
      <c r="MHG23" s="35"/>
      <c r="MHH23" s="35"/>
      <c r="MHI23" s="35"/>
      <c r="MHJ23" s="35"/>
      <c r="MHK23" s="35"/>
      <c r="MHL23" s="35"/>
      <c r="MHM23" s="35"/>
      <c r="MHN23" s="35"/>
      <c r="MHO23" s="35"/>
      <c r="MHP23" s="35"/>
      <c r="MHQ23" s="35"/>
      <c r="MHR23" s="35"/>
      <c r="MHS23" s="35"/>
      <c r="MHT23" s="35"/>
      <c r="MHU23" s="35"/>
      <c r="MHV23" s="35"/>
      <c r="MHW23" s="35"/>
      <c r="MHX23" s="35"/>
      <c r="MHY23" s="35"/>
      <c r="MHZ23" s="35"/>
      <c r="MIA23" s="35"/>
      <c r="MIB23" s="35"/>
      <c r="MIC23" s="35"/>
      <c r="MID23" s="35"/>
      <c r="MIE23" s="35"/>
      <c r="MIF23" s="35"/>
      <c r="MIG23" s="35"/>
      <c r="MIH23" s="35"/>
      <c r="MII23" s="35"/>
      <c r="MIJ23" s="35"/>
      <c r="MIK23" s="35"/>
      <c r="MIL23" s="35"/>
      <c r="MIM23" s="35"/>
      <c r="MIN23" s="35"/>
      <c r="MIO23" s="35"/>
      <c r="MIP23" s="35"/>
      <c r="MIQ23" s="35"/>
      <c r="MIR23" s="35"/>
      <c r="MIS23" s="35"/>
      <c r="MIT23" s="35"/>
      <c r="MIU23" s="35"/>
      <c r="MIV23" s="35"/>
      <c r="MIW23" s="35"/>
      <c r="MIX23" s="35"/>
      <c r="MIY23" s="35"/>
      <c r="MIZ23" s="35"/>
      <c r="MJA23" s="35"/>
      <c r="MJB23" s="35"/>
      <c r="MJC23" s="35"/>
      <c r="MJD23" s="35"/>
      <c r="MJE23" s="35"/>
      <c r="MJF23" s="35"/>
      <c r="MJG23" s="35"/>
      <c r="MJH23" s="35"/>
      <c r="MJI23" s="35"/>
      <c r="MJJ23" s="35"/>
      <c r="MJK23" s="35"/>
      <c r="MJL23" s="35"/>
      <c r="MJM23" s="35"/>
      <c r="MJN23" s="35"/>
      <c r="MJO23" s="35"/>
      <c r="MJP23" s="35"/>
      <c r="MJQ23" s="35"/>
      <c r="MJR23" s="35"/>
      <c r="MJS23" s="35"/>
      <c r="MJT23" s="35"/>
      <c r="MJU23" s="35"/>
      <c r="MJV23" s="35"/>
      <c r="MJW23" s="35"/>
      <c r="MJX23" s="35"/>
      <c r="MJY23" s="35"/>
      <c r="MJZ23" s="35"/>
      <c r="MKA23" s="35"/>
      <c r="MKB23" s="35"/>
      <c r="MKC23" s="35"/>
      <c r="MKD23" s="35"/>
      <c r="MKE23" s="35"/>
      <c r="MKF23" s="35"/>
      <c r="MKG23" s="35"/>
      <c r="MKH23" s="35"/>
      <c r="MKI23" s="35"/>
      <c r="MKJ23" s="35"/>
      <c r="MKK23" s="35"/>
      <c r="MKL23" s="35"/>
      <c r="MKM23" s="35"/>
      <c r="MKN23" s="35"/>
      <c r="MKO23" s="35"/>
      <c r="MKP23" s="35"/>
      <c r="MKQ23" s="35"/>
      <c r="MKR23" s="35"/>
      <c r="MKS23" s="35"/>
      <c r="MKT23" s="35"/>
      <c r="MKU23" s="35"/>
      <c r="MKV23" s="35"/>
      <c r="MKW23" s="35"/>
      <c r="MKX23" s="35"/>
      <c r="MKY23" s="35"/>
      <c r="MKZ23" s="35"/>
      <c r="MLA23" s="35"/>
      <c r="MLB23" s="35"/>
      <c r="MLC23" s="35"/>
      <c r="MLD23" s="35"/>
      <c r="MLE23" s="35"/>
      <c r="MLF23" s="35"/>
      <c r="MLG23" s="35"/>
      <c r="MLH23" s="35"/>
      <c r="MLI23" s="35"/>
      <c r="MLJ23" s="35"/>
      <c r="MLK23" s="35"/>
      <c r="MLL23" s="35"/>
      <c r="MLM23" s="35"/>
      <c r="MLN23" s="35"/>
      <c r="MLO23" s="35"/>
      <c r="MLP23" s="35"/>
      <c r="MLQ23" s="35"/>
      <c r="MLR23" s="35"/>
      <c r="MLS23" s="35"/>
      <c r="MLT23" s="35"/>
      <c r="MLU23" s="35"/>
      <c r="MLV23" s="35"/>
      <c r="MLW23" s="35"/>
      <c r="MLX23" s="35"/>
      <c r="MLY23" s="35"/>
      <c r="MLZ23" s="35"/>
      <c r="MMA23" s="35"/>
      <c r="MMB23" s="35"/>
      <c r="MMC23" s="35"/>
      <c r="MMD23" s="35"/>
      <c r="MME23" s="35"/>
      <c r="MMF23" s="35"/>
      <c r="MMG23" s="35"/>
      <c r="MMH23" s="35"/>
      <c r="MMI23" s="35"/>
      <c r="MMJ23" s="35"/>
      <c r="MMK23" s="35"/>
      <c r="MML23" s="35"/>
      <c r="MMM23" s="35"/>
      <c r="MMN23" s="35"/>
      <c r="MMO23" s="35"/>
      <c r="MMP23" s="35"/>
      <c r="MMQ23" s="35"/>
      <c r="MMR23" s="35"/>
      <c r="MMS23" s="35"/>
      <c r="MMT23" s="35"/>
      <c r="MMU23" s="35"/>
      <c r="MMV23" s="35"/>
      <c r="MMW23" s="35"/>
      <c r="MMX23" s="35"/>
      <c r="MMY23" s="35"/>
      <c r="MMZ23" s="35"/>
      <c r="MNA23" s="35"/>
      <c r="MNB23" s="35"/>
      <c r="MNC23" s="35"/>
      <c r="MND23" s="35"/>
      <c r="MNE23" s="35"/>
      <c r="MNF23" s="35"/>
      <c r="MNG23" s="35"/>
      <c r="MNH23" s="35"/>
      <c r="MNI23" s="35"/>
      <c r="MNJ23" s="35"/>
      <c r="MNK23" s="35"/>
      <c r="MNL23" s="35"/>
      <c r="MNM23" s="35"/>
      <c r="MNN23" s="35"/>
      <c r="MNO23" s="35"/>
      <c r="MNP23" s="35"/>
      <c r="MNQ23" s="35"/>
      <c r="MNR23" s="35"/>
      <c r="MNS23" s="35"/>
      <c r="MNT23" s="35"/>
      <c r="MNU23" s="35"/>
      <c r="MNV23" s="35"/>
      <c r="MNW23" s="35"/>
      <c r="MNX23" s="35"/>
      <c r="MNY23" s="35"/>
      <c r="MNZ23" s="35"/>
      <c r="MOA23" s="35"/>
      <c r="MOB23" s="35"/>
      <c r="MOC23" s="35"/>
      <c r="MOD23" s="35"/>
      <c r="MOE23" s="35"/>
      <c r="MOF23" s="35"/>
      <c r="MOG23" s="35"/>
      <c r="MOH23" s="35"/>
      <c r="MOI23" s="35"/>
      <c r="MOJ23" s="35"/>
      <c r="MOK23" s="35"/>
      <c r="MOL23" s="35"/>
      <c r="MOM23" s="35"/>
      <c r="MON23" s="35"/>
      <c r="MOO23" s="35"/>
      <c r="MOP23" s="35"/>
      <c r="MOQ23" s="35"/>
      <c r="MOR23" s="35"/>
      <c r="MOS23" s="35"/>
      <c r="MOT23" s="35"/>
      <c r="MOU23" s="35"/>
      <c r="MOV23" s="35"/>
      <c r="MOW23" s="35"/>
      <c r="MOX23" s="35"/>
      <c r="MOY23" s="35"/>
      <c r="MOZ23" s="35"/>
      <c r="MPA23" s="35"/>
      <c r="MPB23" s="35"/>
      <c r="MPC23" s="35"/>
      <c r="MPD23" s="35"/>
      <c r="MPE23" s="35"/>
      <c r="MPF23" s="35"/>
      <c r="MPG23" s="35"/>
      <c r="MPH23" s="35"/>
      <c r="MPI23" s="35"/>
      <c r="MPJ23" s="35"/>
      <c r="MPK23" s="35"/>
      <c r="MPL23" s="35"/>
      <c r="MPM23" s="35"/>
      <c r="MPN23" s="35"/>
      <c r="MPO23" s="35"/>
      <c r="MPP23" s="35"/>
      <c r="MPQ23" s="35"/>
      <c r="MPR23" s="35"/>
      <c r="MPS23" s="35"/>
      <c r="MPT23" s="35"/>
      <c r="MPU23" s="35"/>
      <c r="MPV23" s="35"/>
      <c r="MPW23" s="35"/>
      <c r="MPX23" s="35"/>
      <c r="MPY23" s="35"/>
      <c r="MPZ23" s="35"/>
      <c r="MQA23" s="35"/>
      <c r="MQB23" s="35"/>
      <c r="MQC23" s="35"/>
      <c r="MQD23" s="35"/>
      <c r="MQE23" s="35"/>
      <c r="MQF23" s="35"/>
      <c r="MQG23" s="35"/>
      <c r="MQH23" s="35"/>
      <c r="MQI23" s="35"/>
      <c r="MQJ23" s="35"/>
      <c r="MQK23" s="35"/>
      <c r="MQL23" s="35"/>
      <c r="MQM23" s="35"/>
      <c r="MQN23" s="35"/>
      <c r="MQO23" s="35"/>
      <c r="MQP23" s="35"/>
      <c r="MQQ23" s="35"/>
      <c r="MQR23" s="35"/>
      <c r="MQS23" s="35"/>
      <c r="MQT23" s="35"/>
      <c r="MQU23" s="35"/>
      <c r="MQV23" s="35"/>
      <c r="MQW23" s="35"/>
      <c r="MQX23" s="35"/>
      <c r="MQY23" s="35"/>
      <c r="MQZ23" s="35"/>
      <c r="MRA23" s="35"/>
      <c r="MRB23" s="35"/>
      <c r="MRC23" s="35"/>
      <c r="MRD23" s="35"/>
      <c r="MRE23" s="35"/>
      <c r="MRF23" s="35"/>
      <c r="MRG23" s="35"/>
      <c r="MRH23" s="35"/>
      <c r="MRI23" s="35"/>
      <c r="MRJ23" s="35"/>
      <c r="MRK23" s="35"/>
      <c r="MRL23" s="35"/>
      <c r="MRM23" s="35"/>
      <c r="MRN23" s="35"/>
      <c r="MRO23" s="35"/>
      <c r="MRP23" s="35"/>
      <c r="MRQ23" s="35"/>
      <c r="MRR23" s="35"/>
      <c r="MRS23" s="35"/>
      <c r="MRT23" s="35"/>
      <c r="MRU23" s="35"/>
      <c r="MRV23" s="35"/>
      <c r="MRW23" s="35"/>
      <c r="MRX23" s="35"/>
      <c r="MRY23" s="35"/>
      <c r="MRZ23" s="35"/>
      <c r="MSA23" s="35"/>
      <c r="MSB23" s="35"/>
      <c r="MSC23" s="35"/>
      <c r="MSD23" s="35"/>
      <c r="MSE23" s="35"/>
      <c r="MSF23" s="35"/>
      <c r="MSG23" s="35"/>
      <c r="MSH23" s="35"/>
      <c r="MSI23" s="35"/>
      <c r="MSJ23" s="35"/>
      <c r="MSK23" s="35"/>
      <c r="MSL23" s="35"/>
      <c r="MSM23" s="35"/>
      <c r="MSN23" s="35"/>
      <c r="MSO23" s="35"/>
      <c r="MSP23" s="35"/>
      <c r="MSQ23" s="35"/>
      <c r="MSR23" s="35"/>
      <c r="MSS23" s="35"/>
      <c r="MST23" s="35"/>
      <c r="MSU23" s="35"/>
      <c r="MSV23" s="35"/>
      <c r="MSW23" s="35"/>
      <c r="MSX23" s="35"/>
      <c r="MSY23" s="35"/>
      <c r="MSZ23" s="35"/>
      <c r="MTA23" s="35"/>
      <c r="MTB23" s="35"/>
      <c r="MTC23" s="35"/>
      <c r="MTD23" s="35"/>
      <c r="MTE23" s="35"/>
      <c r="MTF23" s="35"/>
      <c r="MTG23" s="35"/>
      <c r="MTH23" s="35"/>
      <c r="MTI23" s="35"/>
      <c r="MTJ23" s="35"/>
      <c r="MTK23" s="35"/>
      <c r="MTL23" s="35"/>
      <c r="MTM23" s="35"/>
      <c r="MTN23" s="35"/>
      <c r="MTO23" s="35"/>
      <c r="MTP23" s="35"/>
      <c r="MTQ23" s="35"/>
      <c r="MTR23" s="35"/>
      <c r="MTS23" s="35"/>
      <c r="MTT23" s="35"/>
      <c r="MTU23" s="35"/>
      <c r="MTV23" s="35"/>
      <c r="MTW23" s="35"/>
      <c r="MTX23" s="35"/>
      <c r="MTY23" s="35"/>
      <c r="MTZ23" s="35"/>
      <c r="MUA23" s="35"/>
      <c r="MUB23" s="35"/>
      <c r="MUC23" s="35"/>
      <c r="MUD23" s="35"/>
      <c r="MUE23" s="35"/>
      <c r="MUF23" s="35"/>
      <c r="MUG23" s="35"/>
      <c r="MUH23" s="35"/>
      <c r="MUI23" s="35"/>
      <c r="MUJ23" s="35"/>
      <c r="MUK23" s="35"/>
      <c r="MUL23" s="35"/>
      <c r="MUM23" s="35"/>
      <c r="MUN23" s="35"/>
      <c r="MUO23" s="35"/>
      <c r="MUP23" s="35"/>
      <c r="MUQ23" s="35"/>
      <c r="MUR23" s="35"/>
      <c r="MUS23" s="35"/>
      <c r="MUT23" s="35"/>
      <c r="MUU23" s="35"/>
      <c r="MUV23" s="35"/>
      <c r="MUW23" s="35"/>
      <c r="MUX23" s="35"/>
      <c r="MUY23" s="35"/>
      <c r="MUZ23" s="35"/>
      <c r="MVA23" s="35"/>
      <c r="MVB23" s="35"/>
      <c r="MVC23" s="35"/>
      <c r="MVD23" s="35"/>
      <c r="MVE23" s="35"/>
      <c r="MVF23" s="35"/>
      <c r="MVG23" s="35"/>
      <c r="MVH23" s="35"/>
      <c r="MVI23" s="35"/>
      <c r="MVJ23" s="35"/>
      <c r="MVK23" s="35"/>
      <c r="MVL23" s="35"/>
      <c r="MVM23" s="35"/>
      <c r="MVN23" s="35"/>
      <c r="MVO23" s="35"/>
      <c r="MVP23" s="35"/>
      <c r="MVQ23" s="35"/>
      <c r="MVR23" s="35"/>
      <c r="MVS23" s="35"/>
      <c r="MVT23" s="35"/>
      <c r="MVU23" s="35"/>
      <c r="MVV23" s="35"/>
      <c r="MVW23" s="35"/>
      <c r="MVX23" s="35"/>
      <c r="MVY23" s="35"/>
      <c r="MVZ23" s="35"/>
      <c r="MWA23" s="35"/>
      <c r="MWB23" s="35"/>
      <c r="MWC23" s="35"/>
      <c r="MWD23" s="35"/>
      <c r="MWE23" s="35"/>
      <c r="MWF23" s="35"/>
      <c r="MWG23" s="35"/>
      <c r="MWH23" s="35"/>
      <c r="MWI23" s="35"/>
      <c r="MWJ23" s="35"/>
      <c r="MWK23" s="35"/>
      <c r="MWL23" s="35"/>
      <c r="MWM23" s="35"/>
      <c r="MWN23" s="35"/>
      <c r="MWO23" s="35"/>
      <c r="MWP23" s="35"/>
      <c r="MWQ23" s="35"/>
      <c r="MWR23" s="35"/>
      <c r="MWS23" s="35"/>
      <c r="MWT23" s="35"/>
      <c r="MWU23" s="35"/>
      <c r="MWV23" s="35"/>
      <c r="MWW23" s="35"/>
      <c r="MWX23" s="35"/>
      <c r="MWY23" s="35"/>
      <c r="MWZ23" s="35"/>
      <c r="MXA23" s="35"/>
      <c r="MXB23" s="35"/>
      <c r="MXC23" s="35"/>
      <c r="MXD23" s="35"/>
      <c r="MXE23" s="35"/>
      <c r="MXF23" s="35"/>
      <c r="MXG23" s="35"/>
      <c r="MXH23" s="35"/>
      <c r="MXI23" s="35"/>
      <c r="MXJ23" s="35"/>
      <c r="MXK23" s="35"/>
      <c r="MXL23" s="35"/>
      <c r="MXM23" s="35"/>
      <c r="MXN23" s="35"/>
      <c r="MXO23" s="35"/>
      <c r="MXP23" s="35"/>
      <c r="MXQ23" s="35"/>
      <c r="MXR23" s="35"/>
      <c r="MXS23" s="35"/>
      <c r="MXT23" s="35"/>
      <c r="MXU23" s="35"/>
      <c r="MXV23" s="35"/>
      <c r="MXW23" s="35"/>
      <c r="MXX23" s="35"/>
      <c r="MXY23" s="35"/>
      <c r="MXZ23" s="35"/>
      <c r="MYA23" s="35"/>
      <c r="MYB23" s="35"/>
      <c r="MYC23" s="35"/>
      <c r="MYD23" s="35"/>
      <c r="MYE23" s="35"/>
      <c r="MYF23" s="35"/>
      <c r="MYG23" s="35"/>
      <c r="MYH23" s="35"/>
      <c r="MYI23" s="35"/>
      <c r="MYJ23" s="35"/>
      <c r="MYK23" s="35"/>
      <c r="MYL23" s="35"/>
      <c r="MYM23" s="35"/>
      <c r="MYN23" s="35"/>
      <c r="MYO23" s="35"/>
      <c r="MYP23" s="35"/>
      <c r="MYQ23" s="35"/>
      <c r="MYR23" s="35"/>
      <c r="MYS23" s="35"/>
      <c r="MYT23" s="35"/>
      <c r="MYU23" s="35"/>
      <c r="MYV23" s="35"/>
      <c r="MYW23" s="35"/>
      <c r="MYX23" s="35"/>
      <c r="MYY23" s="35"/>
      <c r="MYZ23" s="35"/>
      <c r="MZA23" s="35"/>
      <c r="MZB23" s="35"/>
      <c r="MZC23" s="35"/>
      <c r="MZD23" s="35"/>
      <c r="MZE23" s="35"/>
      <c r="MZF23" s="35"/>
      <c r="MZG23" s="35"/>
      <c r="MZH23" s="35"/>
      <c r="MZI23" s="35"/>
      <c r="MZJ23" s="35"/>
      <c r="MZK23" s="35"/>
      <c r="MZL23" s="35"/>
      <c r="MZM23" s="35"/>
      <c r="MZN23" s="35"/>
      <c r="MZO23" s="35"/>
      <c r="MZP23" s="35"/>
      <c r="MZQ23" s="35"/>
      <c r="MZR23" s="35"/>
      <c r="MZS23" s="35"/>
      <c r="MZT23" s="35"/>
      <c r="MZU23" s="35"/>
      <c r="MZV23" s="35"/>
      <c r="MZW23" s="35"/>
      <c r="MZX23" s="35"/>
      <c r="MZY23" s="35"/>
      <c r="MZZ23" s="35"/>
      <c r="NAA23" s="35"/>
      <c r="NAB23" s="35"/>
      <c r="NAC23" s="35"/>
      <c r="NAD23" s="35"/>
      <c r="NAE23" s="35"/>
      <c r="NAF23" s="35"/>
      <c r="NAG23" s="35"/>
      <c r="NAH23" s="35"/>
      <c r="NAI23" s="35"/>
      <c r="NAJ23" s="35"/>
      <c r="NAK23" s="35"/>
      <c r="NAL23" s="35"/>
      <c r="NAM23" s="35"/>
      <c r="NAN23" s="35"/>
      <c r="NAO23" s="35"/>
      <c r="NAP23" s="35"/>
      <c r="NAQ23" s="35"/>
      <c r="NAR23" s="35"/>
      <c r="NAS23" s="35"/>
      <c r="NAT23" s="35"/>
      <c r="NAU23" s="35"/>
      <c r="NAV23" s="35"/>
      <c r="NAW23" s="35"/>
      <c r="NAX23" s="35"/>
      <c r="NAY23" s="35"/>
      <c r="NAZ23" s="35"/>
      <c r="NBA23" s="35"/>
      <c r="NBB23" s="35"/>
      <c r="NBC23" s="35"/>
      <c r="NBD23" s="35"/>
      <c r="NBE23" s="35"/>
      <c r="NBF23" s="35"/>
      <c r="NBG23" s="35"/>
      <c r="NBH23" s="35"/>
      <c r="NBI23" s="35"/>
      <c r="NBJ23" s="35"/>
      <c r="NBK23" s="35"/>
      <c r="NBL23" s="35"/>
      <c r="NBM23" s="35"/>
      <c r="NBN23" s="35"/>
      <c r="NBO23" s="35"/>
      <c r="NBP23" s="35"/>
      <c r="NBQ23" s="35"/>
      <c r="NBR23" s="35"/>
      <c r="NBS23" s="35"/>
      <c r="NBT23" s="35"/>
      <c r="NBU23" s="35"/>
      <c r="NBV23" s="35"/>
      <c r="NBW23" s="35"/>
      <c r="NBX23" s="35"/>
      <c r="NBY23" s="35"/>
      <c r="NBZ23" s="35"/>
      <c r="NCA23" s="35"/>
      <c r="NCB23" s="35"/>
      <c r="NCC23" s="35"/>
      <c r="NCD23" s="35"/>
      <c r="NCE23" s="35"/>
      <c r="NCF23" s="35"/>
      <c r="NCG23" s="35"/>
      <c r="NCH23" s="35"/>
      <c r="NCI23" s="35"/>
      <c r="NCJ23" s="35"/>
      <c r="NCK23" s="35"/>
      <c r="NCL23" s="35"/>
      <c r="NCM23" s="35"/>
      <c r="NCN23" s="35"/>
      <c r="NCO23" s="35"/>
      <c r="NCP23" s="35"/>
      <c r="NCQ23" s="35"/>
      <c r="NCR23" s="35"/>
      <c r="NCS23" s="35"/>
      <c r="NCT23" s="35"/>
      <c r="NCU23" s="35"/>
      <c r="NCV23" s="35"/>
      <c r="NCW23" s="35"/>
      <c r="NCX23" s="35"/>
      <c r="NCY23" s="35"/>
      <c r="NCZ23" s="35"/>
      <c r="NDA23" s="35"/>
      <c r="NDB23" s="35"/>
      <c r="NDC23" s="35"/>
      <c r="NDD23" s="35"/>
      <c r="NDE23" s="35"/>
      <c r="NDF23" s="35"/>
      <c r="NDG23" s="35"/>
      <c r="NDH23" s="35"/>
      <c r="NDI23" s="35"/>
      <c r="NDJ23" s="35"/>
      <c r="NDK23" s="35"/>
      <c r="NDL23" s="35"/>
      <c r="NDM23" s="35"/>
      <c r="NDN23" s="35"/>
      <c r="NDO23" s="35"/>
      <c r="NDP23" s="35"/>
      <c r="NDQ23" s="35"/>
      <c r="NDR23" s="35"/>
      <c r="NDS23" s="35"/>
      <c r="NDT23" s="35"/>
      <c r="NDU23" s="35"/>
      <c r="NDV23" s="35"/>
      <c r="NDW23" s="35"/>
      <c r="NDX23" s="35"/>
      <c r="NDY23" s="35"/>
      <c r="NDZ23" s="35"/>
      <c r="NEA23" s="35"/>
      <c r="NEB23" s="35"/>
      <c r="NEC23" s="35"/>
      <c r="NED23" s="35"/>
      <c r="NEE23" s="35"/>
      <c r="NEF23" s="35"/>
      <c r="NEG23" s="35"/>
      <c r="NEH23" s="35"/>
      <c r="NEI23" s="35"/>
      <c r="NEJ23" s="35"/>
      <c r="NEK23" s="35"/>
      <c r="NEL23" s="35"/>
      <c r="NEM23" s="35"/>
      <c r="NEN23" s="35"/>
      <c r="NEO23" s="35"/>
      <c r="NEP23" s="35"/>
      <c r="NEQ23" s="35"/>
      <c r="NER23" s="35"/>
      <c r="NES23" s="35"/>
      <c r="NET23" s="35"/>
      <c r="NEU23" s="35"/>
      <c r="NEV23" s="35"/>
      <c r="NEW23" s="35"/>
      <c r="NEX23" s="35"/>
      <c r="NEY23" s="35"/>
      <c r="NEZ23" s="35"/>
      <c r="NFA23" s="35"/>
      <c r="NFB23" s="35"/>
      <c r="NFC23" s="35"/>
      <c r="NFD23" s="35"/>
      <c r="NFE23" s="35"/>
      <c r="NFF23" s="35"/>
      <c r="NFG23" s="35"/>
      <c r="NFH23" s="35"/>
      <c r="NFI23" s="35"/>
      <c r="NFJ23" s="35"/>
      <c r="NFK23" s="35"/>
      <c r="NFL23" s="35"/>
      <c r="NFM23" s="35"/>
      <c r="NFN23" s="35"/>
      <c r="NFO23" s="35"/>
      <c r="NFP23" s="35"/>
      <c r="NFQ23" s="35"/>
      <c r="NFR23" s="35"/>
      <c r="NFS23" s="35"/>
      <c r="NFT23" s="35"/>
      <c r="NFU23" s="35"/>
      <c r="NFV23" s="35"/>
      <c r="NFW23" s="35"/>
      <c r="NFX23" s="35"/>
      <c r="NFY23" s="35"/>
      <c r="NFZ23" s="35"/>
      <c r="NGA23" s="35"/>
      <c r="NGB23" s="35"/>
      <c r="NGC23" s="35"/>
      <c r="NGD23" s="35"/>
      <c r="NGE23" s="35"/>
      <c r="NGF23" s="35"/>
      <c r="NGG23" s="35"/>
      <c r="NGH23" s="35"/>
      <c r="NGI23" s="35"/>
      <c r="NGJ23" s="35"/>
      <c r="NGK23" s="35"/>
      <c r="NGL23" s="35"/>
      <c r="NGM23" s="35"/>
      <c r="NGN23" s="35"/>
      <c r="NGO23" s="35"/>
      <c r="NGP23" s="35"/>
      <c r="NGQ23" s="35"/>
      <c r="NGR23" s="35"/>
      <c r="NGS23" s="35"/>
      <c r="NGT23" s="35"/>
      <c r="NGU23" s="35"/>
      <c r="NGV23" s="35"/>
      <c r="NGW23" s="35"/>
      <c r="NGX23" s="35"/>
      <c r="NGY23" s="35"/>
      <c r="NGZ23" s="35"/>
      <c r="NHA23" s="35"/>
      <c r="NHB23" s="35"/>
      <c r="NHC23" s="35"/>
      <c r="NHD23" s="35"/>
      <c r="NHE23" s="35"/>
      <c r="NHF23" s="35"/>
      <c r="NHG23" s="35"/>
      <c r="NHH23" s="35"/>
      <c r="NHI23" s="35"/>
      <c r="NHJ23" s="35"/>
      <c r="NHK23" s="35"/>
      <c r="NHL23" s="35"/>
      <c r="NHM23" s="35"/>
      <c r="NHN23" s="35"/>
      <c r="NHO23" s="35"/>
      <c r="NHP23" s="35"/>
      <c r="NHQ23" s="35"/>
      <c r="NHR23" s="35"/>
      <c r="NHS23" s="35"/>
      <c r="NHT23" s="35"/>
      <c r="NHU23" s="35"/>
      <c r="NHV23" s="35"/>
      <c r="NHW23" s="35"/>
      <c r="NHX23" s="35"/>
      <c r="NHY23" s="35"/>
      <c r="NHZ23" s="35"/>
      <c r="NIA23" s="35"/>
      <c r="NIB23" s="35"/>
      <c r="NIC23" s="35"/>
      <c r="NID23" s="35"/>
      <c r="NIE23" s="35"/>
      <c r="NIF23" s="35"/>
      <c r="NIG23" s="35"/>
      <c r="NIH23" s="35"/>
      <c r="NII23" s="35"/>
      <c r="NIJ23" s="35"/>
      <c r="NIK23" s="35"/>
      <c r="NIL23" s="35"/>
      <c r="NIM23" s="35"/>
      <c r="NIN23" s="35"/>
      <c r="NIO23" s="35"/>
      <c r="NIP23" s="35"/>
      <c r="NIQ23" s="35"/>
      <c r="NIR23" s="35"/>
      <c r="NIS23" s="35"/>
      <c r="NIT23" s="35"/>
      <c r="NIU23" s="35"/>
      <c r="NIV23" s="35"/>
      <c r="NIW23" s="35"/>
      <c r="NIX23" s="35"/>
      <c r="NIY23" s="35"/>
      <c r="NIZ23" s="35"/>
      <c r="NJA23" s="35"/>
      <c r="NJB23" s="35"/>
      <c r="NJC23" s="35"/>
      <c r="NJD23" s="35"/>
      <c r="NJE23" s="35"/>
      <c r="NJF23" s="35"/>
      <c r="NJG23" s="35"/>
      <c r="NJH23" s="35"/>
      <c r="NJI23" s="35"/>
      <c r="NJJ23" s="35"/>
      <c r="NJK23" s="35"/>
      <c r="NJL23" s="35"/>
      <c r="NJM23" s="35"/>
      <c r="NJN23" s="35"/>
      <c r="NJO23" s="35"/>
      <c r="NJP23" s="35"/>
      <c r="NJQ23" s="35"/>
      <c r="NJR23" s="35"/>
      <c r="NJS23" s="35"/>
      <c r="NJT23" s="35"/>
      <c r="NJU23" s="35"/>
      <c r="NJV23" s="35"/>
      <c r="NJW23" s="35"/>
      <c r="NJX23" s="35"/>
      <c r="NJY23" s="35"/>
      <c r="NJZ23" s="35"/>
      <c r="NKA23" s="35"/>
      <c r="NKB23" s="35"/>
      <c r="NKC23" s="35"/>
      <c r="NKD23" s="35"/>
      <c r="NKE23" s="35"/>
      <c r="NKF23" s="35"/>
      <c r="NKG23" s="35"/>
      <c r="NKH23" s="35"/>
      <c r="NKI23" s="35"/>
      <c r="NKJ23" s="35"/>
      <c r="NKK23" s="35"/>
      <c r="NKL23" s="35"/>
      <c r="NKM23" s="35"/>
      <c r="NKN23" s="35"/>
      <c r="NKO23" s="35"/>
      <c r="NKP23" s="35"/>
      <c r="NKQ23" s="35"/>
      <c r="NKR23" s="35"/>
      <c r="NKS23" s="35"/>
      <c r="NKT23" s="35"/>
      <c r="NKU23" s="35"/>
      <c r="NKV23" s="35"/>
      <c r="NKW23" s="35"/>
      <c r="NKX23" s="35"/>
      <c r="NKY23" s="35"/>
      <c r="NKZ23" s="35"/>
      <c r="NLA23" s="35"/>
      <c r="NLB23" s="35"/>
      <c r="NLC23" s="35"/>
      <c r="NLD23" s="35"/>
      <c r="NLE23" s="35"/>
      <c r="NLF23" s="35"/>
      <c r="NLG23" s="35"/>
      <c r="NLH23" s="35"/>
      <c r="NLI23" s="35"/>
      <c r="NLJ23" s="35"/>
      <c r="NLK23" s="35"/>
      <c r="NLL23" s="35"/>
      <c r="NLM23" s="35"/>
      <c r="NLN23" s="35"/>
      <c r="NLO23" s="35"/>
      <c r="NLP23" s="35"/>
      <c r="NLQ23" s="35"/>
      <c r="NLR23" s="35"/>
      <c r="NLS23" s="35"/>
      <c r="NLT23" s="35"/>
      <c r="NLU23" s="35"/>
      <c r="NLV23" s="35"/>
      <c r="NLW23" s="35"/>
      <c r="NLX23" s="35"/>
      <c r="NLY23" s="35"/>
      <c r="NLZ23" s="35"/>
      <c r="NMA23" s="35"/>
      <c r="NMB23" s="35"/>
      <c r="NMC23" s="35"/>
      <c r="NMD23" s="35"/>
      <c r="NME23" s="35"/>
      <c r="NMF23" s="35"/>
      <c r="NMG23" s="35"/>
      <c r="NMH23" s="35"/>
      <c r="NMI23" s="35"/>
      <c r="NMJ23" s="35"/>
      <c r="NMK23" s="35"/>
      <c r="NML23" s="35"/>
      <c r="NMM23" s="35"/>
      <c r="NMN23" s="35"/>
      <c r="NMO23" s="35"/>
      <c r="NMP23" s="35"/>
      <c r="NMQ23" s="35"/>
      <c r="NMR23" s="35"/>
      <c r="NMS23" s="35"/>
      <c r="NMT23" s="35"/>
      <c r="NMU23" s="35"/>
      <c r="NMV23" s="35"/>
      <c r="NMW23" s="35"/>
      <c r="NMX23" s="35"/>
      <c r="NMY23" s="35"/>
      <c r="NMZ23" s="35"/>
      <c r="NNA23" s="35"/>
      <c r="NNB23" s="35"/>
      <c r="NNC23" s="35"/>
      <c r="NND23" s="35"/>
      <c r="NNE23" s="35"/>
      <c r="NNF23" s="35"/>
      <c r="NNG23" s="35"/>
      <c r="NNH23" s="35"/>
      <c r="NNI23" s="35"/>
      <c r="NNJ23" s="35"/>
      <c r="NNK23" s="35"/>
      <c r="NNL23" s="35"/>
      <c r="NNM23" s="35"/>
      <c r="NNN23" s="35"/>
      <c r="NNO23" s="35"/>
      <c r="NNP23" s="35"/>
      <c r="NNQ23" s="35"/>
      <c r="NNR23" s="35"/>
      <c r="NNS23" s="35"/>
      <c r="NNT23" s="35"/>
      <c r="NNU23" s="35"/>
      <c r="NNV23" s="35"/>
      <c r="NNW23" s="35"/>
      <c r="NNX23" s="35"/>
      <c r="NNY23" s="35"/>
      <c r="NNZ23" s="35"/>
      <c r="NOA23" s="35"/>
      <c r="NOB23" s="35"/>
      <c r="NOC23" s="35"/>
      <c r="NOD23" s="35"/>
      <c r="NOE23" s="35"/>
      <c r="NOF23" s="35"/>
      <c r="NOG23" s="35"/>
      <c r="NOH23" s="35"/>
      <c r="NOI23" s="35"/>
      <c r="NOJ23" s="35"/>
      <c r="NOK23" s="35"/>
      <c r="NOL23" s="35"/>
      <c r="NOM23" s="35"/>
      <c r="NON23" s="35"/>
      <c r="NOO23" s="35"/>
      <c r="NOP23" s="35"/>
      <c r="NOQ23" s="35"/>
      <c r="NOR23" s="35"/>
      <c r="NOS23" s="35"/>
      <c r="NOT23" s="35"/>
      <c r="NOU23" s="35"/>
      <c r="NOV23" s="35"/>
      <c r="NOW23" s="35"/>
      <c r="NOX23" s="35"/>
      <c r="NOY23" s="35"/>
      <c r="NOZ23" s="35"/>
      <c r="NPA23" s="35"/>
      <c r="NPB23" s="35"/>
      <c r="NPC23" s="35"/>
      <c r="NPD23" s="35"/>
      <c r="NPE23" s="35"/>
      <c r="NPF23" s="35"/>
      <c r="NPG23" s="35"/>
      <c r="NPH23" s="35"/>
      <c r="NPI23" s="35"/>
      <c r="NPJ23" s="35"/>
      <c r="NPK23" s="35"/>
      <c r="NPL23" s="35"/>
      <c r="NPM23" s="35"/>
      <c r="NPN23" s="35"/>
      <c r="NPO23" s="35"/>
      <c r="NPP23" s="35"/>
      <c r="NPQ23" s="35"/>
      <c r="NPR23" s="35"/>
      <c r="NPS23" s="35"/>
      <c r="NPT23" s="35"/>
      <c r="NPU23" s="35"/>
      <c r="NPV23" s="35"/>
      <c r="NPW23" s="35"/>
      <c r="NPX23" s="35"/>
      <c r="NPY23" s="35"/>
      <c r="NPZ23" s="35"/>
      <c r="NQA23" s="35"/>
      <c r="NQB23" s="35"/>
      <c r="NQC23" s="35"/>
      <c r="NQD23" s="35"/>
      <c r="NQE23" s="35"/>
      <c r="NQF23" s="35"/>
      <c r="NQG23" s="35"/>
      <c r="NQH23" s="35"/>
      <c r="NQI23" s="35"/>
      <c r="NQJ23" s="35"/>
      <c r="NQK23" s="35"/>
      <c r="NQL23" s="35"/>
      <c r="NQM23" s="35"/>
      <c r="NQN23" s="35"/>
      <c r="NQO23" s="35"/>
      <c r="NQP23" s="35"/>
      <c r="NQQ23" s="35"/>
      <c r="NQR23" s="35"/>
      <c r="NQS23" s="35"/>
      <c r="NQT23" s="35"/>
      <c r="NQU23" s="35"/>
      <c r="NQV23" s="35"/>
      <c r="NQW23" s="35"/>
      <c r="NQX23" s="35"/>
      <c r="NQY23" s="35"/>
      <c r="NQZ23" s="35"/>
      <c r="NRA23" s="35"/>
      <c r="NRB23" s="35"/>
      <c r="NRC23" s="35"/>
      <c r="NRD23" s="35"/>
      <c r="NRE23" s="35"/>
      <c r="NRF23" s="35"/>
      <c r="NRG23" s="35"/>
      <c r="NRH23" s="35"/>
      <c r="NRI23" s="35"/>
      <c r="NRJ23" s="35"/>
      <c r="NRK23" s="35"/>
      <c r="NRL23" s="35"/>
      <c r="NRM23" s="35"/>
      <c r="NRN23" s="35"/>
      <c r="NRO23" s="35"/>
      <c r="NRP23" s="35"/>
      <c r="NRQ23" s="35"/>
      <c r="NRR23" s="35"/>
      <c r="NRS23" s="35"/>
      <c r="NRT23" s="35"/>
      <c r="NRU23" s="35"/>
      <c r="NRV23" s="35"/>
      <c r="NRW23" s="35"/>
      <c r="NRX23" s="35"/>
      <c r="NRY23" s="35"/>
      <c r="NRZ23" s="35"/>
      <c r="NSA23" s="35"/>
      <c r="NSB23" s="35"/>
      <c r="NSC23" s="35"/>
      <c r="NSD23" s="35"/>
      <c r="NSE23" s="35"/>
      <c r="NSF23" s="35"/>
      <c r="NSG23" s="35"/>
      <c r="NSH23" s="35"/>
      <c r="NSI23" s="35"/>
      <c r="NSJ23" s="35"/>
      <c r="NSK23" s="35"/>
      <c r="NSL23" s="35"/>
      <c r="NSM23" s="35"/>
      <c r="NSN23" s="35"/>
      <c r="NSO23" s="35"/>
      <c r="NSP23" s="35"/>
      <c r="NSQ23" s="35"/>
      <c r="NSR23" s="35"/>
      <c r="NSS23" s="35"/>
      <c r="NST23" s="35"/>
      <c r="NSU23" s="35"/>
      <c r="NSV23" s="35"/>
      <c r="NSW23" s="35"/>
      <c r="NSX23" s="35"/>
      <c r="NSY23" s="35"/>
      <c r="NSZ23" s="35"/>
      <c r="NTA23" s="35"/>
      <c r="NTB23" s="35"/>
      <c r="NTC23" s="35"/>
      <c r="NTD23" s="35"/>
      <c r="NTE23" s="35"/>
      <c r="NTF23" s="35"/>
      <c r="NTG23" s="35"/>
    </row>
    <row r="24" spans="1:9991">
      <c r="A24" t="str">
        <f t="shared" si="7"/>
        <v>Patrick Cantlay</v>
      </c>
      <c r="B24">
        <f t="shared" si="0"/>
        <v>23</v>
      </c>
      <c r="C24">
        <f t="shared" si="1"/>
        <v>26</v>
      </c>
      <c r="D24">
        <f t="shared" si="2"/>
        <v>8</v>
      </c>
      <c r="E24">
        <f t="shared" si="3"/>
        <v>716</v>
      </c>
      <c r="F24">
        <f t="shared" si="4"/>
        <v>2499</v>
      </c>
      <c r="G24">
        <f t="shared" si="5"/>
        <v>0</v>
      </c>
      <c r="H24">
        <f t="shared" si="6"/>
        <v>0</v>
      </c>
      <c r="K24">
        <v>23</v>
      </c>
      <c r="L24">
        <v>26</v>
      </c>
      <c r="M24" t="s">
        <v>40</v>
      </c>
      <c r="N24">
        <v>8</v>
      </c>
      <c r="O24">
        <v>716</v>
      </c>
      <c r="P24" s="3">
        <v>2499</v>
      </c>
      <c r="Q24" s="3"/>
    </row>
    <row r="25" spans="1:9991">
      <c r="A25" t="str">
        <f t="shared" si="7"/>
        <v>Jason Day</v>
      </c>
      <c r="B25">
        <f t="shared" si="0"/>
        <v>24</v>
      </c>
      <c r="C25">
        <f t="shared" si="1"/>
        <v>20</v>
      </c>
      <c r="D25">
        <f t="shared" si="2"/>
        <v>9</v>
      </c>
      <c r="E25">
        <f t="shared" si="3"/>
        <v>710</v>
      </c>
      <c r="F25">
        <f t="shared" si="4"/>
        <v>2505</v>
      </c>
      <c r="G25">
        <f t="shared" si="5"/>
        <v>0</v>
      </c>
      <c r="H25">
        <f t="shared" si="6"/>
        <v>0</v>
      </c>
      <c r="K25">
        <v>24</v>
      </c>
      <c r="L25">
        <v>20</v>
      </c>
      <c r="M25" t="s">
        <v>68</v>
      </c>
      <c r="N25">
        <v>9</v>
      </c>
      <c r="O25">
        <v>710</v>
      </c>
      <c r="P25" s="3">
        <v>2505</v>
      </c>
      <c r="Q25" s="3"/>
    </row>
    <row r="26" spans="1:9991">
      <c r="A26" t="str">
        <f t="shared" si="7"/>
        <v>Peter Malnati</v>
      </c>
      <c r="B26">
        <f t="shared" si="0"/>
        <v>25</v>
      </c>
      <c r="C26">
        <f t="shared" si="1"/>
        <v>18</v>
      </c>
      <c r="D26">
        <f t="shared" si="2"/>
        <v>10</v>
      </c>
      <c r="E26">
        <f t="shared" si="3"/>
        <v>706</v>
      </c>
      <c r="F26">
        <f t="shared" si="4"/>
        <v>2509</v>
      </c>
      <c r="G26">
        <f t="shared" si="5"/>
        <v>0</v>
      </c>
      <c r="H26">
        <f t="shared" si="6"/>
        <v>0</v>
      </c>
      <c r="K26">
        <v>25</v>
      </c>
      <c r="L26">
        <v>18</v>
      </c>
      <c r="M26" t="s">
        <v>142</v>
      </c>
      <c r="N26">
        <v>10</v>
      </c>
      <c r="O26">
        <v>706</v>
      </c>
      <c r="P26" s="3">
        <v>2509</v>
      </c>
      <c r="Q26" s="3"/>
    </row>
    <row r="27" spans="1:9991">
      <c r="A27" t="str">
        <f t="shared" si="7"/>
        <v>Si Woo Kim</v>
      </c>
      <c r="B27">
        <f t="shared" si="0"/>
        <v>26</v>
      </c>
      <c r="C27">
        <f t="shared" si="1"/>
        <v>25</v>
      </c>
      <c r="D27">
        <f t="shared" si="2"/>
        <v>10</v>
      </c>
      <c r="E27">
        <f t="shared" si="3"/>
        <v>690</v>
      </c>
      <c r="F27">
        <f t="shared" si="4"/>
        <v>2525</v>
      </c>
      <c r="G27">
        <f t="shared" si="5"/>
        <v>0</v>
      </c>
      <c r="H27">
        <f t="shared" si="6"/>
        <v>0</v>
      </c>
      <c r="K27">
        <v>26</v>
      </c>
      <c r="L27">
        <v>25</v>
      </c>
      <c r="M27" t="s">
        <v>128</v>
      </c>
      <c r="N27">
        <v>10</v>
      </c>
      <c r="O27">
        <v>690</v>
      </c>
      <c r="P27" s="3">
        <v>2525</v>
      </c>
      <c r="Q27" s="3"/>
    </row>
    <row r="28" spans="1:9991">
      <c r="A28" t="str">
        <f t="shared" si="7"/>
        <v>Russell Henley</v>
      </c>
      <c r="B28">
        <f t="shared" si="0"/>
        <v>27</v>
      </c>
      <c r="C28">
        <f t="shared" si="1"/>
        <v>21</v>
      </c>
      <c r="D28">
        <f t="shared" si="2"/>
        <v>9</v>
      </c>
      <c r="E28">
        <f t="shared" si="3"/>
        <v>687</v>
      </c>
      <c r="F28">
        <f t="shared" si="4"/>
        <v>2528</v>
      </c>
      <c r="G28">
        <f t="shared" si="5"/>
        <v>0</v>
      </c>
      <c r="H28">
        <f t="shared" si="6"/>
        <v>0</v>
      </c>
      <c r="K28">
        <v>27</v>
      </c>
      <c r="L28">
        <v>21</v>
      </c>
      <c r="M28" t="s">
        <v>166</v>
      </c>
      <c r="N28">
        <v>9</v>
      </c>
      <c r="O28">
        <v>687</v>
      </c>
      <c r="P28" s="3">
        <v>2528</v>
      </c>
      <c r="Q28" s="3"/>
    </row>
    <row r="29" spans="1:9991">
      <c r="A29" t="str">
        <f t="shared" si="7"/>
        <v>Sam Burns</v>
      </c>
      <c r="B29">
        <f t="shared" si="0"/>
        <v>28</v>
      </c>
      <c r="C29">
        <f t="shared" si="1"/>
        <v>24</v>
      </c>
      <c r="D29">
        <f t="shared" si="2"/>
        <v>9</v>
      </c>
      <c r="E29">
        <f t="shared" si="3"/>
        <v>658</v>
      </c>
      <c r="F29">
        <f t="shared" si="4"/>
        <v>2557</v>
      </c>
      <c r="G29">
        <f t="shared" si="5"/>
        <v>0</v>
      </c>
      <c r="H29">
        <f t="shared" si="6"/>
        <v>0</v>
      </c>
      <c r="K29">
        <v>28</v>
      </c>
      <c r="L29">
        <v>24</v>
      </c>
      <c r="M29" t="s">
        <v>27</v>
      </c>
      <c r="N29">
        <v>9</v>
      </c>
      <c r="O29">
        <v>658</v>
      </c>
      <c r="P29" s="3">
        <v>2557</v>
      </c>
      <c r="Q29" s="3"/>
    </row>
    <row r="30" spans="1:9991">
      <c r="A30" t="str">
        <f t="shared" si="7"/>
        <v>Matt Fitzpatrick</v>
      </c>
      <c r="B30">
        <f t="shared" si="0"/>
        <v>29</v>
      </c>
      <c r="C30">
        <f t="shared" si="1"/>
        <v>33</v>
      </c>
      <c r="D30">
        <f t="shared" si="2"/>
        <v>10</v>
      </c>
      <c r="E30">
        <f t="shared" si="3"/>
        <v>652</v>
      </c>
      <c r="F30">
        <f t="shared" si="4"/>
        <v>2563</v>
      </c>
      <c r="G30">
        <f t="shared" si="5"/>
        <v>0</v>
      </c>
      <c r="H30">
        <f t="shared" si="6"/>
        <v>0</v>
      </c>
      <c r="K30">
        <v>29</v>
      </c>
      <c r="L30">
        <v>33</v>
      </c>
      <c r="M30" t="s">
        <v>72</v>
      </c>
      <c r="N30">
        <v>10</v>
      </c>
      <c r="O30">
        <v>652</v>
      </c>
      <c r="P30" s="3">
        <v>2563</v>
      </c>
      <c r="Q30" s="3"/>
    </row>
    <row r="31" spans="1:9991">
      <c r="A31" t="str">
        <f t="shared" si="7"/>
        <v>Adam Hadwin</v>
      </c>
      <c r="B31">
        <f t="shared" si="0"/>
        <v>30</v>
      </c>
      <c r="C31">
        <f t="shared" si="1"/>
        <v>27</v>
      </c>
      <c r="D31">
        <f t="shared" si="2"/>
        <v>10</v>
      </c>
      <c r="E31">
        <f t="shared" si="3"/>
        <v>642</v>
      </c>
      <c r="F31">
        <f t="shared" si="4"/>
        <v>2573</v>
      </c>
      <c r="G31">
        <f t="shared" si="5"/>
        <v>0</v>
      </c>
      <c r="H31">
        <f t="shared" si="6"/>
        <v>0</v>
      </c>
      <c r="K31">
        <v>30</v>
      </c>
      <c r="L31">
        <v>27</v>
      </c>
      <c r="M31" t="s">
        <v>141</v>
      </c>
      <c r="N31">
        <v>10</v>
      </c>
      <c r="O31">
        <v>642</v>
      </c>
      <c r="P31" s="3">
        <v>2573</v>
      </c>
      <c r="Q31" s="3"/>
    </row>
    <row r="32" spans="1:9991">
      <c r="A32" t="str">
        <f t="shared" si="7"/>
        <v>Tommy Fleetwood</v>
      </c>
      <c r="B32">
        <f t="shared" si="0"/>
        <v>31</v>
      </c>
      <c r="C32">
        <f t="shared" si="1"/>
        <v>70</v>
      </c>
      <c r="D32">
        <f t="shared" si="2"/>
        <v>7</v>
      </c>
      <c r="E32">
        <f t="shared" si="3"/>
        <v>627</v>
      </c>
      <c r="F32">
        <f t="shared" si="4"/>
        <v>2588</v>
      </c>
      <c r="G32">
        <f t="shared" si="5"/>
        <v>0</v>
      </c>
      <c r="H32">
        <f t="shared" si="6"/>
        <v>0</v>
      </c>
      <c r="K32">
        <v>31</v>
      </c>
      <c r="L32">
        <v>70</v>
      </c>
      <c r="M32" t="s">
        <v>85</v>
      </c>
      <c r="N32">
        <v>7</v>
      </c>
      <c r="O32">
        <v>627</v>
      </c>
      <c r="P32" s="3">
        <v>2588</v>
      </c>
      <c r="Q32" s="3"/>
    </row>
    <row r="33" spans="1:17">
      <c r="A33" t="str">
        <f t="shared" si="7"/>
        <v>Austin Eckroat</v>
      </c>
      <c r="B33">
        <f t="shared" si="0"/>
        <v>32</v>
      </c>
      <c r="C33">
        <f t="shared" si="1"/>
        <v>28</v>
      </c>
      <c r="D33">
        <f t="shared" si="2"/>
        <v>10</v>
      </c>
      <c r="E33">
        <f t="shared" si="3"/>
        <v>627</v>
      </c>
      <c r="F33">
        <f t="shared" si="4"/>
        <v>2588</v>
      </c>
      <c r="G33">
        <f t="shared" si="5"/>
        <v>0</v>
      </c>
      <c r="H33">
        <f t="shared" si="6"/>
        <v>0</v>
      </c>
      <c r="K33">
        <v>32</v>
      </c>
      <c r="L33">
        <v>28</v>
      </c>
      <c r="M33" t="s">
        <v>88</v>
      </c>
      <c r="N33">
        <v>10</v>
      </c>
      <c r="O33">
        <v>627</v>
      </c>
      <c r="P33" s="3">
        <v>2588</v>
      </c>
      <c r="Q33" s="3"/>
    </row>
    <row r="34" spans="1:17">
      <c r="A34" t="str">
        <f t="shared" si="7"/>
        <v>Erik van Rooyen</v>
      </c>
      <c r="B34">
        <f t="shared" si="0"/>
        <v>33</v>
      </c>
      <c r="C34">
        <f t="shared" si="1"/>
        <v>30</v>
      </c>
      <c r="D34">
        <f t="shared" si="2"/>
        <v>11</v>
      </c>
      <c r="E34">
        <f t="shared" si="3"/>
        <v>604</v>
      </c>
      <c r="F34">
        <f t="shared" si="4"/>
        <v>2611</v>
      </c>
      <c r="G34">
        <f t="shared" si="5"/>
        <v>0</v>
      </c>
      <c r="H34">
        <f t="shared" si="6"/>
        <v>0</v>
      </c>
      <c r="K34">
        <v>33</v>
      </c>
      <c r="L34">
        <v>30</v>
      </c>
      <c r="M34" t="s">
        <v>65</v>
      </c>
      <c r="N34">
        <v>11</v>
      </c>
      <c r="O34">
        <v>604</v>
      </c>
      <c r="P34" s="3">
        <v>2611</v>
      </c>
      <c r="Q34" s="3"/>
    </row>
    <row r="35" spans="1:17">
      <c r="A35" t="str">
        <f t="shared" si="7"/>
        <v>Eric Cole</v>
      </c>
      <c r="B35">
        <f t="shared" si="0"/>
        <v>34</v>
      </c>
      <c r="C35">
        <f t="shared" si="1"/>
        <v>31</v>
      </c>
      <c r="D35">
        <f t="shared" si="2"/>
        <v>13</v>
      </c>
      <c r="E35">
        <f t="shared" si="3"/>
        <v>602</v>
      </c>
      <c r="F35">
        <f t="shared" si="4"/>
        <v>2613</v>
      </c>
      <c r="G35">
        <f t="shared" si="5"/>
        <v>0</v>
      </c>
      <c r="H35">
        <f t="shared" si="6"/>
        <v>0</v>
      </c>
      <c r="K35">
        <v>34</v>
      </c>
      <c r="L35">
        <v>31</v>
      </c>
      <c r="M35" t="s">
        <v>114</v>
      </c>
      <c r="N35">
        <v>13</v>
      </c>
      <c r="O35">
        <v>602</v>
      </c>
      <c r="P35" s="3">
        <v>2613</v>
      </c>
      <c r="Q35" s="3"/>
    </row>
    <row r="36" spans="1:17">
      <c r="A36" t="str">
        <f t="shared" si="7"/>
        <v>Grayson Murray</v>
      </c>
      <c r="B36">
        <f t="shared" si="0"/>
        <v>35</v>
      </c>
      <c r="C36">
        <f t="shared" si="1"/>
        <v>32</v>
      </c>
      <c r="D36">
        <f t="shared" si="2"/>
        <v>9</v>
      </c>
      <c r="E36">
        <f t="shared" si="3"/>
        <v>602</v>
      </c>
      <c r="F36">
        <f t="shared" si="4"/>
        <v>2613</v>
      </c>
      <c r="G36">
        <f t="shared" si="5"/>
        <v>0</v>
      </c>
      <c r="H36">
        <f t="shared" si="6"/>
        <v>0</v>
      </c>
      <c r="K36">
        <v>35</v>
      </c>
      <c r="L36">
        <v>32</v>
      </c>
      <c r="M36" t="s">
        <v>372</v>
      </c>
      <c r="N36">
        <v>9</v>
      </c>
      <c r="O36">
        <v>602</v>
      </c>
      <c r="P36" s="3">
        <v>2613</v>
      </c>
      <c r="Q36" s="3"/>
    </row>
    <row r="37" spans="1:17">
      <c r="A37" t="str">
        <f t="shared" si="7"/>
        <v>Shane Lowry</v>
      </c>
      <c r="B37">
        <f t="shared" si="0"/>
        <v>36</v>
      </c>
      <c r="C37">
        <f t="shared" si="1"/>
        <v>35</v>
      </c>
      <c r="D37">
        <f t="shared" si="2"/>
        <v>7</v>
      </c>
      <c r="E37">
        <f t="shared" si="3"/>
        <v>596</v>
      </c>
      <c r="F37">
        <f t="shared" si="4"/>
        <v>2619</v>
      </c>
      <c r="G37">
        <f t="shared" si="5"/>
        <v>0</v>
      </c>
      <c r="H37">
        <f t="shared" si="6"/>
        <v>0</v>
      </c>
      <c r="K37">
        <v>36</v>
      </c>
      <c r="L37">
        <v>35</v>
      </c>
      <c r="M37" t="s">
        <v>74</v>
      </c>
      <c r="N37">
        <v>7</v>
      </c>
      <c r="O37">
        <v>596</v>
      </c>
      <c r="P37" s="3">
        <v>2619</v>
      </c>
      <c r="Q37" s="3"/>
    </row>
    <row r="38" spans="1:17">
      <c r="A38" t="str">
        <f t="shared" si="7"/>
        <v>Thomas Detry</v>
      </c>
      <c r="B38">
        <f t="shared" si="0"/>
        <v>37</v>
      </c>
      <c r="C38">
        <f t="shared" si="1"/>
        <v>29</v>
      </c>
      <c r="D38">
        <f t="shared" si="2"/>
        <v>9</v>
      </c>
      <c r="E38">
        <f t="shared" si="3"/>
        <v>595</v>
      </c>
      <c r="F38">
        <f t="shared" si="4"/>
        <v>2620</v>
      </c>
      <c r="G38">
        <f t="shared" si="5"/>
        <v>0</v>
      </c>
      <c r="H38">
        <f t="shared" si="6"/>
        <v>0</v>
      </c>
      <c r="K38">
        <v>37</v>
      </c>
      <c r="L38">
        <v>29</v>
      </c>
      <c r="M38" t="s">
        <v>46</v>
      </c>
      <c r="N38">
        <v>9</v>
      </c>
      <c r="O38">
        <v>595</v>
      </c>
      <c r="P38" s="3">
        <v>2620</v>
      </c>
      <c r="Q38" s="3"/>
    </row>
    <row r="39" spans="1:17">
      <c r="A39" t="str">
        <f t="shared" si="7"/>
        <v>Justin Thomas</v>
      </c>
      <c r="B39">
        <f t="shared" si="0"/>
        <v>38</v>
      </c>
      <c r="C39">
        <f t="shared" si="1"/>
        <v>34</v>
      </c>
      <c r="D39">
        <f t="shared" si="2"/>
        <v>8</v>
      </c>
      <c r="E39">
        <f t="shared" si="3"/>
        <v>580</v>
      </c>
      <c r="F39">
        <f t="shared" si="4"/>
        <v>2635</v>
      </c>
      <c r="G39">
        <f t="shared" si="5"/>
        <v>0</v>
      </c>
      <c r="H39">
        <f t="shared" si="6"/>
        <v>0</v>
      </c>
      <c r="K39">
        <v>38</v>
      </c>
      <c r="L39">
        <v>34</v>
      </c>
      <c r="M39" t="s">
        <v>42</v>
      </c>
      <c r="N39">
        <v>8</v>
      </c>
      <c r="O39">
        <v>580</v>
      </c>
      <c r="P39" s="3">
        <v>2635</v>
      </c>
      <c r="Q39" s="3"/>
    </row>
    <row r="40" spans="1:17">
      <c r="A40" t="str">
        <f t="shared" si="7"/>
        <v>Jordan Spieth</v>
      </c>
      <c r="B40">
        <f t="shared" si="0"/>
        <v>39</v>
      </c>
      <c r="C40">
        <f t="shared" si="1"/>
        <v>36</v>
      </c>
      <c r="D40">
        <f t="shared" si="2"/>
        <v>9</v>
      </c>
      <c r="E40">
        <f t="shared" si="3"/>
        <v>568</v>
      </c>
      <c r="F40">
        <f t="shared" si="4"/>
        <v>2647</v>
      </c>
      <c r="G40">
        <f t="shared" si="5"/>
        <v>0</v>
      </c>
      <c r="H40">
        <f t="shared" si="6"/>
        <v>0</v>
      </c>
      <c r="K40">
        <v>39</v>
      </c>
      <c r="L40">
        <v>36</v>
      </c>
      <c r="M40" t="s">
        <v>76</v>
      </c>
      <c r="N40">
        <v>9</v>
      </c>
      <c r="O40">
        <v>568</v>
      </c>
      <c r="P40" s="3">
        <v>2647</v>
      </c>
      <c r="Q40" s="3"/>
    </row>
    <row r="41" spans="1:17">
      <c r="A41" t="str">
        <f t="shared" si="7"/>
        <v>Luke List</v>
      </c>
      <c r="B41">
        <f t="shared" si="0"/>
        <v>40</v>
      </c>
      <c r="C41">
        <f t="shared" si="1"/>
        <v>37</v>
      </c>
      <c r="D41">
        <f t="shared" si="2"/>
        <v>11</v>
      </c>
      <c r="E41">
        <f t="shared" si="3"/>
        <v>561</v>
      </c>
      <c r="F41">
        <f t="shared" si="4"/>
        <v>2654</v>
      </c>
      <c r="G41">
        <f t="shared" si="5"/>
        <v>0</v>
      </c>
      <c r="H41">
        <f t="shared" si="6"/>
        <v>0</v>
      </c>
      <c r="K41">
        <v>40</v>
      </c>
      <c r="L41">
        <v>37</v>
      </c>
      <c r="M41" t="s">
        <v>23</v>
      </c>
      <c r="N41">
        <v>11</v>
      </c>
      <c r="O41">
        <v>561</v>
      </c>
      <c r="P41" s="3">
        <v>2654</v>
      </c>
      <c r="Q41" s="3"/>
    </row>
    <row r="42" spans="1:17">
      <c r="A42" t="str">
        <f t="shared" si="7"/>
        <v>Rory McIlroy</v>
      </c>
      <c r="B42">
        <f t="shared" si="0"/>
        <v>41</v>
      </c>
      <c r="C42">
        <f t="shared" si="1"/>
        <v>45</v>
      </c>
      <c r="D42">
        <f t="shared" si="2"/>
        <v>7</v>
      </c>
      <c r="E42">
        <f t="shared" si="3"/>
        <v>549</v>
      </c>
      <c r="F42">
        <f t="shared" si="4"/>
        <v>2666</v>
      </c>
      <c r="G42">
        <f t="shared" si="5"/>
        <v>0</v>
      </c>
      <c r="H42">
        <f t="shared" si="6"/>
        <v>0</v>
      </c>
      <c r="K42">
        <v>41</v>
      </c>
      <c r="L42">
        <v>45</v>
      </c>
      <c r="M42" t="s">
        <v>6</v>
      </c>
      <c r="N42">
        <v>7</v>
      </c>
      <c r="O42">
        <v>549</v>
      </c>
      <c r="P42" s="3">
        <v>2666</v>
      </c>
      <c r="Q42" s="3"/>
    </row>
    <row r="43" spans="1:17">
      <c r="A43" t="str">
        <f t="shared" si="7"/>
        <v>Emiliano Grillo</v>
      </c>
      <c r="B43">
        <f t="shared" si="0"/>
        <v>42</v>
      </c>
      <c r="C43">
        <f t="shared" si="1"/>
        <v>38</v>
      </c>
      <c r="D43">
        <f t="shared" si="2"/>
        <v>10</v>
      </c>
      <c r="E43">
        <f t="shared" si="3"/>
        <v>536</v>
      </c>
      <c r="F43">
        <f t="shared" si="4"/>
        <v>2679</v>
      </c>
      <c r="G43">
        <f t="shared" si="5"/>
        <v>0</v>
      </c>
      <c r="H43">
        <f t="shared" si="6"/>
        <v>0</v>
      </c>
      <c r="K43">
        <v>42</v>
      </c>
      <c r="L43">
        <v>38</v>
      </c>
      <c r="M43" t="s">
        <v>90</v>
      </c>
      <c r="N43">
        <v>10</v>
      </c>
      <c r="O43">
        <v>536</v>
      </c>
      <c r="P43" s="3">
        <v>2679</v>
      </c>
      <c r="Q43" s="3"/>
    </row>
    <row r="44" spans="1:17">
      <c r="A44" t="str">
        <f t="shared" si="7"/>
        <v>Keegan Bradley</v>
      </c>
      <c r="B44">
        <f t="shared" si="0"/>
        <v>43</v>
      </c>
      <c r="C44">
        <f t="shared" si="1"/>
        <v>46</v>
      </c>
      <c r="D44">
        <f t="shared" si="2"/>
        <v>9</v>
      </c>
      <c r="E44">
        <f t="shared" si="3"/>
        <v>520</v>
      </c>
      <c r="F44">
        <f t="shared" si="4"/>
        <v>2695</v>
      </c>
      <c r="G44">
        <f t="shared" si="5"/>
        <v>0</v>
      </c>
      <c r="H44">
        <f t="shared" si="6"/>
        <v>0</v>
      </c>
      <c r="K44">
        <v>43</v>
      </c>
      <c r="L44">
        <v>46</v>
      </c>
      <c r="M44" t="s">
        <v>58</v>
      </c>
      <c r="N44">
        <v>9</v>
      </c>
      <c r="O44">
        <v>520</v>
      </c>
      <c r="P44" s="3">
        <v>2695</v>
      </c>
      <c r="Q44" s="3"/>
    </row>
    <row r="45" spans="1:17">
      <c r="A45" t="str">
        <f t="shared" si="7"/>
        <v>Denny McCarthy</v>
      </c>
      <c r="B45">
        <f t="shared" si="0"/>
        <v>44</v>
      </c>
      <c r="C45">
        <f t="shared" si="1"/>
        <v>41</v>
      </c>
      <c r="D45">
        <f t="shared" si="2"/>
        <v>10</v>
      </c>
      <c r="E45">
        <f t="shared" si="3"/>
        <v>517</v>
      </c>
      <c r="F45">
        <f t="shared" si="4"/>
        <v>2698</v>
      </c>
      <c r="G45">
        <f t="shared" si="5"/>
        <v>0</v>
      </c>
      <c r="H45">
        <f t="shared" si="6"/>
        <v>0</v>
      </c>
      <c r="K45">
        <v>44</v>
      </c>
      <c r="L45">
        <v>41</v>
      </c>
      <c r="M45" t="s">
        <v>140</v>
      </c>
      <c r="N45">
        <v>10</v>
      </c>
      <c r="O45">
        <v>517</v>
      </c>
      <c r="P45" s="3">
        <v>2698</v>
      </c>
      <c r="Q45" s="3"/>
    </row>
    <row r="46" spans="1:17">
      <c r="A46" t="str">
        <f t="shared" si="7"/>
        <v>Brendon Todd</v>
      </c>
      <c r="B46">
        <f t="shared" si="0"/>
        <v>45</v>
      </c>
      <c r="C46">
        <f t="shared" si="1"/>
        <v>40</v>
      </c>
      <c r="D46">
        <f t="shared" si="2"/>
        <v>10</v>
      </c>
      <c r="E46">
        <f t="shared" si="3"/>
        <v>515</v>
      </c>
      <c r="F46">
        <f t="shared" si="4"/>
        <v>2700</v>
      </c>
      <c r="G46">
        <f t="shared" si="5"/>
        <v>0</v>
      </c>
      <c r="H46">
        <f t="shared" si="6"/>
        <v>0</v>
      </c>
      <c r="K46">
        <v>45</v>
      </c>
      <c r="L46">
        <v>40</v>
      </c>
      <c r="M46" t="s">
        <v>188</v>
      </c>
      <c r="N46">
        <v>10</v>
      </c>
      <c r="O46">
        <v>515</v>
      </c>
      <c r="P46" s="3">
        <v>2700</v>
      </c>
      <c r="Q46" s="3"/>
    </row>
    <row r="47" spans="1:17">
      <c r="A47" t="str">
        <f t="shared" si="7"/>
        <v>Taylor Moore</v>
      </c>
      <c r="B47">
        <f t="shared" si="0"/>
        <v>46</v>
      </c>
      <c r="C47">
        <f t="shared" si="1"/>
        <v>50</v>
      </c>
      <c r="D47">
        <f t="shared" si="2"/>
        <v>10</v>
      </c>
      <c r="E47">
        <f t="shared" si="3"/>
        <v>511</v>
      </c>
      <c r="F47">
        <f t="shared" si="4"/>
        <v>2704</v>
      </c>
      <c r="G47">
        <f t="shared" si="5"/>
        <v>0</v>
      </c>
      <c r="H47">
        <f t="shared" si="6"/>
        <v>0</v>
      </c>
      <c r="K47">
        <v>46</v>
      </c>
      <c r="L47">
        <v>50</v>
      </c>
      <c r="M47" t="s">
        <v>49</v>
      </c>
      <c r="N47">
        <v>10</v>
      </c>
      <c r="O47">
        <v>511</v>
      </c>
      <c r="P47" s="3">
        <v>2704</v>
      </c>
      <c r="Q47" s="3"/>
    </row>
    <row r="48" spans="1:17">
      <c r="A48" t="str">
        <f t="shared" si="7"/>
        <v>Tony Finau</v>
      </c>
      <c r="B48">
        <f t="shared" si="0"/>
        <v>47</v>
      </c>
      <c r="C48">
        <f t="shared" si="1"/>
        <v>42</v>
      </c>
      <c r="D48">
        <f t="shared" si="2"/>
        <v>10</v>
      </c>
      <c r="E48">
        <f t="shared" si="3"/>
        <v>496</v>
      </c>
      <c r="F48">
        <f t="shared" si="4"/>
        <v>2719</v>
      </c>
      <c r="G48">
        <f t="shared" si="5"/>
        <v>0</v>
      </c>
      <c r="H48">
        <f t="shared" si="6"/>
        <v>0</v>
      </c>
      <c r="K48">
        <v>47</v>
      </c>
      <c r="L48">
        <v>42</v>
      </c>
      <c r="M48" t="s">
        <v>69</v>
      </c>
      <c r="N48">
        <v>10</v>
      </c>
      <c r="O48">
        <v>496</v>
      </c>
      <c r="P48" s="3">
        <v>2719</v>
      </c>
      <c r="Q48" s="3"/>
    </row>
    <row r="49" spans="1:17">
      <c r="A49" t="str">
        <f t="shared" si="7"/>
        <v>Adam Schenk</v>
      </c>
      <c r="B49">
        <f t="shared" si="0"/>
        <v>48</v>
      </c>
      <c r="C49">
        <f t="shared" si="1"/>
        <v>58</v>
      </c>
      <c r="D49">
        <f t="shared" si="2"/>
        <v>12</v>
      </c>
      <c r="E49">
        <f t="shared" si="3"/>
        <v>496</v>
      </c>
      <c r="F49">
        <f t="shared" si="4"/>
        <v>2719</v>
      </c>
      <c r="G49">
        <f t="shared" si="5"/>
        <v>0</v>
      </c>
      <c r="H49">
        <f t="shared" si="6"/>
        <v>0</v>
      </c>
      <c r="K49">
        <v>48</v>
      </c>
      <c r="L49">
        <v>58</v>
      </c>
      <c r="M49" t="s">
        <v>56</v>
      </c>
      <c r="N49">
        <v>12</v>
      </c>
      <c r="O49">
        <v>496</v>
      </c>
      <c r="P49" s="3">
        <v>2719</v>
      </c>
      <c r="Q49" s="3"/>
    </row>
    <row r="50" spans="1:17">
      <c r="A50" t="str">
        <f t="shared" si="7"/>
        <v>Mark Hubbard</v>
      </c>
      <c r="B50">
        <f t="shared" si="0"/>
        <v>49</v>
      </c>
      <c r="C50">
        <f t="shared" si="1"/>
        <v>44</v>
      </c>
      <c r="D50">
        <f t="shared" si="2"/>
        <v>10</v>
      </c>
      <c r="E50">
        <f t="shared" si="3"/>
        <v>478</v>
      </c>
      <c r="F50">
        <f t="shared" si="4"/>
        <v>2737</v>
      </c>
      <c r="G50">
        <f t="shared" si="5"/>
        <v>0</v>
      </c>
      <c r="H50">
        <f t="shared" si="6"/>
        <v>0</v>
      </c>
      <c r="K50">
        <v>49</v>
      </c>
      <c r="L50">
        <v>44</v>
      </c>
      <c r="M50" t="s">
        <v>162</v>
      </c>
      <c r="N50">
        <v>10</v>
      </c>
      <c r="O50">
        <v>478</v>
      </c>
      <c r="P50" s="3">
        <v>2737</v>
      </c>
      <c r="Q50" s="3"/>
    </row>
    <row r="51" spans="1:17">
      <c r="A51" t="str">
        <f t="shared" si="7"/>
        <v>Nicolai Højgaard</v>
      </c>
      <c r="B51">
        <f t="shared" si="0"/>
        <v>50</v>
      </c>
      <c r="C51">
        <f t="shared" si="1"/>
        <v>56</v>
      </c>
      <c r="D51">
        <f t="shared" si="2"/>
        <v>8</v>
      </c>
      <c r="E51">
        <f t="shared" si="3"/>
        <v>471</v>
      </c>
      <c r="F51">
        <f t="shared" si="4"/>
        <v>2744</v>
      </c>
      <c r="G51">
        <f t="shared" si="5"/>
        <v>0</v>
      </c>
      <c r="H51">
        <f t="shared" si="6"/>
        <v>0</v>
      </c>
      <c r="K51">
        <v>50</v>
      </c>
      <c r="L51">
        <v>56</v>
      </c>
      <c r="M51" t="s">
        <v>595</v>
      </c>
      <c r="N51">
        <v>8</v>
      </c>
      <c r="O51">
        <v>471</v>
      </c>
      <c r="P51" s="3">
        <v>2744</v>
      </c>
      <c r="Q51" s="3"/>
    </row>
    <row r="52" spans="1:17">
      <c r="A52" t="str">
        <f t="shared" si="7"/>
        <v>Corey Conners</v>
      </c>
      <c r="B52">
        <f t="shared" si="0"/>
        <v>51</v>
      </c>
      <c r="C52">
        <f t="shared" si="1"/>
        <v>48</v>
      </c>
      <c r="D52">
        <f t="shared" si="2"/>
        <v>10</v>
      </c>
      <c r="E52">
        <f t="shared" si="3"/>
        <v>455</v>
      </c>
      <c r="F52">
        <f t="shared" si="4"/>
        <v>2760</v>
      </c>
      <c r="G52">
        <f t="shared" si="5"/>
        <v>0</v>
      </c>
      <c r="H52">
        <f t="shared" si="6"/>
        <v>0</v>
      </c>
      <c r="K52">
        <v>51</v>
      </c>
      <c r="L52">
        <v>48</v>
      </c>
      <c r="M52" t="s">
        <v>93</v>
      </c>
      <c r="N52">
        <v>10</v>
      </c>
      <c r="O52">
        <v>455</v>
      </c>
      <c r="P52" s="3">
        <v>2760</v>
      </c>
      <c r="Q52" s="3"/>
    </row>
    <row r="53" spans="1:17">
      <c r="A53" t="str">
        <f t="shared" si="7"/>
        <v>Sungjae Im</v>
      </c>
      <c r="B53">
        <f t="shared" si="0"/>
        <v>52</v>
      </c>
      <c r="C53">
        <f t="shared" si="1"/>
        <v>47</v>
      </c>
      <c r="D53">
        <f t="shared" si="2"/>
        <v>11</v>
      </c>
      <c r="E53">
        <f t="shared" si="3"/>
        <v>448</v>
      </c>
      <c r="F53">
        <f t="shared" si="4"/>
        <v>2767</v>
      </c>
      <c r="G53">
        <f t="shared" si="5"/>
        <v>0</v>
      </c>
      <c r="H53">
        <f t="shared" si="6"/>
        <v>0</v>
      </c>
      <c r="K53">
        <v>52</v>
      </c>
      <c r="L53">
        <v>47</v>
      </c>
      <c r="M53" t="s">
        <v>113</v>
      </c>
      <c r="N53">
        <v>11</v>
      </c>
      <c r="O53">
        <v>448</v>
      </c>
      <c r="P53" s="3">
        <v>2767</v>
      </c>
      <c r="Q53" s="3"/>
    </row>
    <row r="54" spans="1:17">
      <c r="A54" t="str">
        <f t="shared" si="7"/>
        <v>Sepp Straka</v>
      </c>
      <c r="B54">
        <f t="shared" si="0"/>
        <v>53</v>
      </c>
      <c r="C54">
        <f t="shared" si="1"/>
        <v>60</v>
      </c>
      <c r="D54">
        <f t="shared" si="2"/>
        <v>9</v>
      </c>
      <c r="E54">
        <f t="shared" si="3"/>
        <v>447</v>
      </c>
      <c r="F54">
        <f t="shared" si="4"/>
        <v>2768</v>
      </c>
      <c r="G54">
        <f t="shared" si="5"/>
        <v>0</v>
      </c>
      <c r="H54">
        <f t="shared" si="6"/>
        <v>0</v>
      </c>
      <c r="K54">
        <v>53</v>
      </c>
      <c r="L54">
        <v>60</v>
      </c>
      <c r="M54" t="s">
        <v>110</v>
      </c>
      <c r="N54">
        <v>9</v>
      </c>
      <c r="O54">
        <v>447</v>
      </c>
      <c r="P54" s="3">
        <v>2768</v>
      </c>
      <c r="Q54" s="3"/>
    </row>
    <row r="55" spans="1:17">
      <c r="A55" t="str">
        <f t="shared" si="7"/>
        <v>Mackenzie Hughes</v>
      </c>
      <c r="B55">
        <f t="shared" si="0"/>
        <v>54</v>
      </c>
      <c r="C55">
        <f t="shared" si="1"/>
        <v>49</v>
      </c>
      <c r="D55">
        <f t="shared" si="2"/>
        <v>9</v>
      </c>
      <c r="E55">
        <f t="shared" si="3"/>
        <v>429</v>
      </c>
      <c r="F55">
        <f t="shared" si="4"/>
        <v>2786</v>
      </c>
      <c r="G55">
        <f t="shared" si="5"/>
        <v>0</v>
      </c>
      <c r="H55">
        <f t="shared" si="6"/>
        <v>0</v>
      </c>
      <c r="K55">
        <v>54</v>
      </c>
      <c r="L55">
        <v>49</v>
      </c>
      <c r="M55" t="s">
        <v>104</v>
      </c>
      <c r="N55">
        <v>9</v>
      </c>
      <c r="O55">
        <v>429</v>
      </c>
      <c r="P55" s="3">
        <v>2786</v>
      </c>
      <c r="Q55" s="3"/>
    </row>
    <row r="56" spans="1:17">
      <c r="A56" t="str">
        <f t="shared" si="7"/>
        <v>Cam Davis</v>
      </c>
      <c r="B56">
        <f t="shared" si="0"/>
        <v>55</v>
      </c>
      <c r="C56">
        <f t="shared" si="1"/>
        <v>71</v>
      </c>
      <c r="D56">
        <f t="shared" si="2"/>
        <v>9</v>
      </c>
      <c r="E56">
        <f t="shared" si="3"/>
        <v>416</v>
      </c>
      <c r="F56">
        <f t="shared" si="4"/>
        <v>2799</v>
      </c>
      <c r="G56">
        <f t="shared" si="5"/>
        <v>0</v>
      </c>
      <c r="H56">
        <f t="shared" si="6"/>
        <v>0</v>
      </c>
      <c r="K56">
        <v>55</v>
      </c>
      <c r="L56">
        <v>71</v>
      </c>
      <c r="M56" t="s">
        <v>29</v>
      </c>
      <c r="N56">
        <v>9</v>
      </c>
      <c r="O56">
        <v>416</v>
      </c>
      <c r="P56" s="3">
        <v>2799</v>
      </c>
      <c r="Q56" s="3"/>
    </row>
    <row r="57" spans="1:17">
      <c r="A57" t="str">
        <f t="shared" si="7"/>
        <v>Maverick McNealy</v>
      </c>
      <c r="B57">
        <f t="shared" si="0"/>
        <v>56</v>
      </c>
      <c r="C57">
        <f t="shared" si="1"/>
        <v>51</v>
      </c>
      <c r="D57">
        <f t="shared" si="2"/>
        <v>10</v>
      </c>
      <c r="E57">
        <f t="shared" si="3"/>
        <v>404</v>
      </c>
      <c r="F57">
        <f t="shared" si="4"/>
        <v>2811</v>
      </c>
      <c r="G57">
        <f t="shared" si="5"/>
        <v>0</v>
      </c>
      <c r="H57">
        <f t="shared" si="6"/>
        <v>0</v>
      </c>
      <c r="K57">
        <v>56</v>
      </c>
      <c r="L57">
        <v>51</v>
      </c>
      <c r="M57" t="s">
        <v>98</v>
      </c>
      <c r="N57">
        <v>10</v>
      </c>
      <c r="O57">
        <v>404</v>
      </c>
      <c r="P57" s="3">
        <v>2811</v>
      </c>
      <c r="Q57" s="3"/>
    </row>
    <row r="58" spans="1:17">
      <c r="A58" t="str">
        <f t="shared" si="7"/>
        <v>Min Woo Lee</v>
      </c>
      <c r="B58">
        <f t="shared" si="0"/>
        <v>57</v>
      </c>
      <c r="C58">
        <f t="shared" si="1"/>
        <v>65</v>
      </c>
      <c r="D58">
        <f t="shared" si="2"/>
        <v>8</v>
      </c>
      <c r="E58">
        <f t="shared" si="3"/>
        <v>397</v>
      </c>
      <c r="F58">
        <f t="shared" si="4"/>
        <v>2818</v>
      </c>
      <c r="G58">
        <f t="shared" si="5"/>
        <v>0</v>
      </c>
      <c r="H58">
        <f t="shared" si="6"/>
        <v>0</v>
      </c>
      <c r="K58">
        <v>57</v>
      </c>
      <c r="L58">
        <v>65</v>
      </c>
      <c r="M58" t="s">
        <v>544</v>
      </c>
      <c r="N58">
        <v>8</v>
      </c>
      <c r="O58">
        <v>397</v>
      </c>
      <c r="P58" s="3">
        <v>2818</v>
      </c>
      <c r="Q58" s="3"/>
    </row>
    <row r="59" spans="1:17">
      <c r="A59" t="str">
        <f t="shared" si="7"/>
        <v>Adam Scott</v>
      </c>
      <c r="B59">
        <f t="shared" si="0"/>
        <v>58</v>
      </c>
      <c r="C59">
        <f t="shared" si="1"/>
        <v>67</v>
      </c>
      <c r="D59">
        <f t="shared" si="2"/>
        <v>7</v>
      </c>
      <c r="E59">
        <f t="shared" si="3"/>
        <v>394</v>
      </c>
      <c r="F59">
        <f t="shared" si="4"/>
        <v>2821</v>
      </c>
      <c r="G59">
        <f t="shared" si="5"/>
        <v>0</v>
      </c>
      <c r="H59">
        <f t="shared" si="6"/>
        <v>0</v>
      </c>
      <c r="K59">
        <v>58</v>
      </c>
      <c r="L59">
        <v>67</v>
      </c>
      <c r="M59" t="s">
        <v>19</v>
      </c>
      <c r="N59">
        <v>7</v>
      </c>
      <c r="O59">
        <v>394</v>
      </c>
      <c r="P59" s="3">
        <v>2821</v>
      </c>
      <c r="Q59" s="3"/>
    </row>
    <row r="60" spans="1:17">
      <c r="A60" t="str">
        <f t="shared" si="7"/>
        <v>Patrick Rodgers</v>
      </c>
      <c r="B60">
        <f t="shared" si="0"/>
        <v>59</v>
      </c>
      <c r="C60">
        <f t="shared" si="1"/>
        <v>52</v>
      </c>
      <c r="D60">
        <f t="shared" si="2"/>
        <v>11</v>
      </c>
      <c r="E60">
        <f t="shared" si="3"/>
        <v>386</v>
      </c>
      <c r="F60">
        <f t="shared" si="4"/>
        <v>2829</v>
      </c>
      <c r="G60">
        <f t="shared" si="5"/>
        <v>0</v>
      </c>
      <c r="H60">
        <f t="shared" si="6"/>
        <v>0</v>
      </c>
      <c r="K60">
        <v>59</v>
      </c>
      <c r="L60">
        <v>52</v>
      </c>
      <c r="M60" t="s">
        <v>38</v>
      </c>
      <c r="N60">
        <v>11</v>
      </c>
      <c r="O60">
        <v>386</v>
      </c>
      <c r="P60" s="3">
        <v>2829</v>
      </c>
      <c r="Q60" s="3"/>
    </row>
    <row r="61" spans="1:17">
      <c r="A61" t="str">
        <f t="shared" si="7"/>
        <v>Andrew Putnam</v>
      </c>
      <c r="B61">
        <f t="shared" si="0"/>
        <v>60</v>
      </c>
      <c r="C61">
        <f t="shared" si="1"/>
        <v>53</v>
      </c>
      <c r="D61">
        <f t="shared" si="2"/>
        <v>10</v>
      </c>
      <c r="E61">
        <f t="shared" si="3"/>
        <v>382</v>
      </c>
      <c r="F61">
        <f t="shared" si="4"/>
        <v>2833</v>
      </c>
      <c r="G61">
        <f t="shared" si="5"/>
        <v>0</v>
      </c>
      <c r="H61">
        <f t="shared" si="6"/>
        <v>0</v>
      </c>
      <c r="K61">
        <v>60</v>
      </c>
      <c r="L61">
        <v>53</v>
      </c>
      <c r="M61" t="s">
        <v>183</v>
      </c>
      <c r="N61">
        <v>10</v>
      </c>
      <c r="O61">
        <v>382</v>
      </c>
      <c r="P61" s="3">
        <v>2833</v>
      </c>
      <c r="Q61" s="3"/>
    </row>
    <row r="62" spans="1:17">
      <c r="A62" t="str">
        <f t="shared" si="7"/>
        <v>Alex Noren</v>
      </c>
      <c r="B62">
        <f t="shared" si="0"/>
        <v>61</v>
      </c>
      <c r="C62">
        <f t="shared" si="1"/>
        <v>54</v>
      </c>
      <c r="D62">
        <f t="shared" si="2"/>
        <v>8</v>
      </c>
      <c r="E62">
        <f t="shared" si="3"/>
        <v>374</v>
      </c>
      <c r="F62">
        <f t="shared" si="4"/>
        <v>2841</v>
      </c>
      <c r="G62">
        <f t="shared" si="5"/>
        <v>0</v>
      </c>
      <c r="H62">
        <f t="shared" si="6"/>
        <v>0</v>
      </c>
      <c r="K62">
        <v>61</v>
      </c>
      <c r="L62">
        <v>54</v>
      </c>
      <c r="M62" t="s">
        <v>95</v>
      </c>
      <c r="N62">
        <v>8</v>
      </c>
      <c r="O62">
        <v>374</v>
      </c>
      <c r="P62" s="3">
        <v>2841</v>
      </c>
      <c r="Q62" s="3"/>
    </row>
    <row r="63" spans="1:17">
      <c r="A63" t="str">
        <f t="shared" si="7"/>
        <v>Keith Mitchell</v>
      </c>
      <c r="B63">
        <f t="shared" si="0"/>
        <v>62</v>
      </c>
      <c r="C63">
        <f t="shared" si="1"/>
        <v>55</v>
      </c>
      <c r="D63">
        <f t="shared" si="2"/>
        <v>11</v>
      </c>
      <c r="E63">
        <f t="shared" si="3"/>
        <v>360</v>
      </c>
      <c r="F63">
        <f t="shared" si="4"/>
        <v>2855</v>
      </c>
      <c r="G63">
        <f t="shared" si="5"/>
        <v>0</v>
      </c>
      <c r="H63">
        <f t="shared" si="6"/>
        <v>0</v>
      </c>
      <c r="K63">
        <v>62</v>
      </c>
      <c r="L63">
        <v>55</v>
      </c>
      <c r="M63" t="s">
        <v>14</v>
      </c>
      <c r="N63">
        <v>11</v>
      </c>
      <c r="O63">
        <v>360</v>
      </c>
      <c r="P63" s="3">
        <v>2855</v>
      </c>
      <c r="Q63" s="3"/>
    </row>
    <row r="64" spans="1:17">
      <c r="A64" t="str">
        <f t="shared" si="7"/>
        <v>Doug Ghim</v>
      </c>
      <c r="B64">
        <f t="shared" si="0"/>
        <v>63</v>
      </c>
      <c r="C64">
        <f t="shared" si="1"/>
        <v>57</v>
      </c>
      <c r="D64">
        <f t="shared" si="2"/>
        <v>10</v>
      </c>
      <c r="E64">
        <f t="shared" si="3"/>
        <v>356</v>
      </c>
      <c r="F64">
        <f t="shared" si="4"/>
        <v>2859</v>
      </c>
      <c r="G64">
        <f t="shared" si="5"/>
        <v>0</v>
      </c>
      <c r="H64">
        <f t="shared" si="6"/>
        <v>0</v>
      </c>
      <c r="K64">
        <v>63</v>
      </c>
      <c r="L64">
        <v>57</v>
      </c>
      <c r="M64" t="s">
        <v>121</v>
      </c>
      <c r="N64">
        <v>10</v>
      </c>
      <c r="O64">
        <v>356</v>
      </c>
      <c r="P64" s="3">
        <v>2859</v>
      </c>
      <c r="Q64" s="3"/>
    </row>
    <row r="65" spans="1:17">
      <c r="A65" t="str">
        <f t="shared" si="7"/>
        <v>Tyrrell Hatton</v>
      </c>
      <c r="B65">
        <f t="shared" si="0"/>
        <v>64</v>
      </c>
      <c r="C65">
        <f t="shared" si="1"/>
        <v>101</v>
      </c>
      <c r="D65">
        <f t="shared" si="2"/>
        <v>3</v>
      </c>
      <c r="E65">
        <f t="shared" si="3"/>
        <v>348</v>
      </c>
      <c r="F65">
        <f t="shared" si="4"/>
        <v>2867</v>
      </c>
      <c r="G65">
        <f t="shared" si="5"/>
        <v>0</v>
      </c>
      <c r="H65">
        <f t="shared" si="6"/>
        <v>0</v>
      </c>
      <c r="K65">
        <v>64</v>
      </c>
      <c r="L65">
        <v>101</v>
      </c>
      <c r="M65" t="s">
        <v>51</v>
      </c>
      <c r="N65">
        <v>3</v>
      </c>
      <c r="O65">
        <v>348</v>
      </c>
      <c r="P65" s="3">
        <v>2867</v>
      </c>
      <c r="Q65" s="3"/>
    </row>
    <row r="66" spans="1:17">
      <c r="A66" t="str">
        <f t="shared" si="7"/>
        <v>Sami Valimaki</v>
      </c>
      <c r="B66">
        <f t="shared" si="0"/>
        <v>65</v>
      </c>
      <c r="C66">
        <f t="shared" si="1"/>
        <v>59</v>
      </c>
      <c r="D66">
        <f t="shared" si="2"/>
        <v>9</v>
      </c>
      <c r="E66">
        <f t="shared" si="3"/>
        <v>342</v>
      </c>
      <c r="F66">
        <f t="shared" si="4"/>
        <v>2873</v>
      </c>
      <c r="G66">
        <f t="shared" si="5"/>
        <v>0</v>
      </c>
      <c r="H66">
        <f t="shared" si="6"/>
        <v>0</v>
      </c>
      <c r="K66">
        <v>65</v>
      </c>
      <c r="L66">
        <v>59</v>
      </c>
      <c r="M66" t="s">
        <v>488</v>
      </c>
      <c r="N66">
        <v>9</v>
      </c>
      <c r="O66">
        <v>342</v>
      </c>
      <c r="P66" s="3">
        <v>2873</v>
      </c>
      <c r="Q66" s="3"/>
    </row>
    <row r="67" spans="1:17">
      <c r="A67" t="str">
        <f t="shared" ref="A67:A130" si="8">M67</f>
        <v>Lucas Glover</v>
      </c>
      <c r="B67">
        <f t="shared" ref="B67:B130" si="9">K67</f>
        <v>66</v>
      </c>
      <c r="C67">
        <f t="shared" ref="C67:C130" si="10">L67</f>
        <v>78</v>
      </c>
      <c r="D67">
        <f t="shared" ref="D67:D130" si="11">N67</f>
        <v>10</v>
      </c>
      <c r="E67">
        <f t="shared" ref="E67:E130" si="12">O67</f>
        <v>334</v>
      </c>
      <c r="F67">
        <f t="shared" ref="F67:F130" si="13">P67</f>
        <v>2881</v>
      </c>
      <c r="G67">
        <f t="shared" ref="G67:G130" si="14">Q67</f>
        <v>0</v>
      </c>
      <c r="H67">
        <f t="shared" ref="H67:H130" si="15">R67</f>
        <v>0</v>
      </c>
      <c r="K67">
        <v>66</v>
      </c>
      <c r="L67">
        <v>78</v>
      </c>
      <c r="M67" t="s">
        <v>145</v>
      </c>
      <c r="N67">
        <v>10</v>
      </c>
      <c r="O67">
        <v>334</v>
      </c>
      <c r="P67" s="3">
        <v>2881</v>
      </c>
      <c r="Q67" s="3"/>
    </row>
    <row r="68" spans="1:17">
      <c r="A68" t="str">
        <f t="shared" si="8"/>
        <v>Nate Lashley</v>
      </c>
      <c r="B68">
        <f t="shared" si="9"/>
        <v>67</v>
      </c>
      <c r="C68">
        <f t="shared" si="10"/>
        <v>61</v>
      </c>
      <c r="D68">
        <f t="shared" si="11"/>
        <v>10</v>
      </c>
      <c r="E68">
        <f t="shared" si="12"/>
        <v>332</v>
      </c>
      <c r="F68">
        <f t="shared" si="13"/>
        <v>2883</v>
      </c>
      <c r="G68">
        <f t="shared" si="14"/>
        <v>0</v>
      </c>
      <c r="H68">
        <f t="shared" si="15"/>
        <v>0</v>
      </c>
      <c r="K68">
        <v>67</v>
      </c>
      <c r="L68">
        <v>61</v>
      </c>
      <c r="M68" t="s">
        <v>122</v>
      </c>
      <c r="N68">
        <v>10</v>
      </c>
      <c r="O68">
        <v>332</v>
      </c>
      <c r="P68" s="3">
        <v>2883</v>
      </c>
      <c r="Q68" s="3"/>
    </row>
    <row r="69" spans="1:17">
      <c r="A69" t="str">
        <f t="shared" si="8"/>
        <v>Charley Hoffman</v>
      </c>
      <c r="B69">
        <f t="shared" si="9"/>
        <v>68</v>
      </c>
      <c r="C69">
        <f t="shared" si="10"/>
        <v>62</v>
      </c>
      <c r="D69">
        <f t="shared" si="11"/>
        <v>9</v>
      </c>
      <c r="E69">
        <f t="shared" si="12"/>
        <v>332</v>
      </c>
      <c r="F69">
        <f t="shared" si="13"/>
        <v>2883</v>
      </c>
      <c r="G69">
        <f t="shared" si="14"/>
        <v>0</v>
      </c>
      <c r="H69">
        <f t="shared" si="15"/>
        <v>0</v>
      </c>
      <c r="K69">
        <v>68</v>
      </c>
      <c r="L69">
        <v>62</v>
      </c>
      <c r="M69" t="s">
        <v>50</v>
      </c>
      <c r="N69">
        <v>9</v>
      </c>
      <c r="O69">
        <v>332</v>
      </c>
      <c r="P69" s="3">
        <v>2883</v>
      </c>
      <c r="Q69" s="3"/>
    </row>
    <row r="70" spans="1:17">
      <c r="A70" t="str">
        <f t="shared" si="8"/>
        <v>Beau Hossler</v>
      </c>
      <c r="B70">
        <f t="shared" si="9"/>
        <v>69</v>
      </c>
      <c r="C70">
        <f t="shared" si="10"/>
        <v>63</v>
      </c>
      <c r="D70">
        <f t="shared" si="11"/>
        <v>10</v>
      </c>
      <c r="E70">
        <f t="shared" si="12"/>
        <v>329</v>
      </c>
      <c r="F70">
        <f t="shared" si="13"/>
        <v>2886</v>
      </c>
      <c r="G70">
        <f t="shared" si="14"/>
        <v>0</v>
      </c>
      <c r="H70">
        <f t="shared" si="15"/>
        <v>0</v>
      </c>
      <c r="K70">
        <v>69</v>
      </c>
      <c r="L70">
        <v>63</v>
      </c>
      <c r="M70" t="s">
        <v>59</v>
      </c>
      <c r="N70">
        <v>10</v>
      </c>
      <c r="O70">
        <v>329</v>
      </c>
      <c r="P70" s="3">
        <v>2886</v>
      </c>
      <c r="Q70" s="3"/>
    </row>
    <row r="71" spans="1:17">
      <c r="A71" t="str">
        <f t="shared" si="8"/>
        <v>Kurt Kitayama</v>
      </c>
      <c r="B71">
        <f t="shared" si="9"/>
        <v>70</v>
      </c>
      <c r="C71">
        <f t="shared" si="10"/>
        <v>69</v>
      </c>
      <c r="D71">
        <f t="shared" si="11"/>
        <v>9</v>
      </c>
      <c r="E71">
        <f t="shared" si="12"/>
        <v>326</v>
      </c>
      <c r="F71">
        <f t="shared" si="13"/>
        <v>2889</v>
      </c>
      <c r="G71">
        <f t="shared" si="14"/>
        <v>0</v>
      </c>
      <c r="H71">
        <f t="shared" si="15"/>
        <v>0</v>
      </c>
      <c r="K71">
        <v>70</v>
      </c>
      <c r="L71">
        <v>69</v>
      </c>
      <c r="M71" t="s">
        <v>54</v>
      </c>
      <c r="N71">
        <v>9</v>
      </c>
      <c r="O71">
        <v>326</v>
      </c>
      <c r="P71" s="3">
        <v>2889</v>
      </c>
      <c r="Q71" s="3"/>
    </row>
    <row r="72" spans="1:17">
      <c r="A72" t="str">
        <f t="shared" si="8"/>
        <v>Kevin Yu</v>
      </c>
      <c r="B72">
        <f t="shared" si="9"/>
        <v>71</v>
      </c>
      <c r="C72">
        <f t="shared" si="10"/>
        <v>64</v>
      </c>
      <c r="D72">
        <f t="shared" si="11"/>
        <v>10</v>
      </c>
      <c r="E72">
        <f t="shared" si="12"/>
        <v>325</v>
      </c>
      <c r="F72">
        <f t="shared" si="13"/>
        <v>2890</v>
      </c>
      <c r="G72">
        <f t="shared" si="14"/>
        <v>0</v>
      </c>
      <c r="H72">
        <f t="shared" si="15"/>
        <v>0</v>
      </c>
      <c r="K72">
        <v>71</v>
      </c>
      <c r="L72">
        <v>64</v>
      </c>
      <c r="M72" t="s">
        <v>26</v>
      </c>
      <c r="N72">
        <v>10</v>
      </c>
      <c r="O72">
        <v>325</v>
      </c>
      <c r="P72" s="3">
        <v>2890</v>
      </c>
      <c r="Q72" s="3"/>
    </row>
    <row r="73" spans="1:17">
      <c r="A73" t="str">
        <f t="shared" si="8"/>
        <v>Brice Garnett</v>
      </c>
      <c r="B73">
        <f t="shared" si="9"/>
        <v>72</v>
      </c>
      <c r="C73">
        <f t="shared" si="10"/>
        <v>66</v>
      </c>
      <c r="D73">
        <f t="shared" si="11"/>
        <v>3</v>
      </c>
      <c r="E73">
        <f t="shared" si="12"/>
        <v>322</v>
      </c>
      <c r="F73">
        <f t="shared" si="13"/>
        <v>2893</v>
      </c>
      <c r="G73">
        <f t="shared" si="14"/>
        <v>0</v>
      </c>
      <c r="H73">
        <f t="shared" si="15"/>
        <v>0</v>
      </c>
      <c r="K73">
        <v>72</v>
      </c>
      <c r="L73">
        <v>66</v>
      </c>
      <c r="M73" t="s">
        <v>175</v>
      </c>
      <c r="N73">
        <v>3</v>
      </c>
      <c r="O73">
        <v>322</v>
      </c>
      <c r="P73" s="3">
        <v>2893</v>
      </c>
      <c r="Q73" s="3"/>
    </row>
    <row r="74" spans="1:17">
      <c r="A74" t="str">
        <f t="shared" si="8"/>
        <v>Taylor Montgomery</v>
      </c>
      <c r="B74">
        <f t="shared" si="9"/>
        <v>73</v>
      </c>
      <c r="C74">
        <f t="shared" si="10"/>
        <v>68</v>
      </c>
      <c r="D74">
        <f t="shared" si="11"/>
        <v>11</v>
      </c>
      <c r="E74">
        <f t="shared" si="12"/>
        <v>313</v>
      </c>
      <c r="F74">
        <f t="shared" si="13"/>
        <v>2902</v>
      </c>
      <c r="G74">
        <f t="shared" si="14"/>
        <v>0</v>
      </c>
      <c r="H74">
        <f t="shared" si="15"/>
        <v>0</v>
      </c>
      <c r="K74">
        <v>73</v>
      </c>
      <c r="L74">
        <v>68</v>
      </c>
      <c r="M74" t="s">
        <v>63</v>
      </c>
      <c r="N74">
        <v>11</v>
      </c>
      <c r="O74">
        <v>313</v>
      </c>
      <c r="P74" s="3">
        <v>2902</v>
      </c>
      <c r="Q74" s="3"/>
    </row>
    <row r="75" spans="1:17">
      <c r="A75" t="str">
        <f t="shared" si="8"/>
        <v>Andrew Novak</v>
      </c>
      <c r="B75">
        <f t="shared" si="9"/>
        <v>74</v>
      </c>
      <c r="C75">
        <f t="shared" si="10"/>
        <v>72</v>
      </c>
      <c r="D75">
        <f t="shared" si="11"/>
        <v>10</v>
      </c>
      <c r="E75">
        <f t="shared" si="12"/>
        <v>272</v>
      </c>
      <c r="F75">
        <f t="shared" si="13"/>
        <v>2943</v>
      </c>
      <c r="G75">
        <f t="shared" si="14"/>
        <v>0</v>
      </c>
      <c r="H75">
        <f t="shared" si="15"/>
        <v>0</v>
      </c>
      <c r="K75">
        <v>74</v>
      </c>
      <c r="L75">
        <v>72</v>
      </c>
      <c r="M75" t="s">
        <v>100</v>
      </c>
      <c r="N75">
        <v>10</v>
      </c>
      <c r="O75">
        <v>272</v>
      </c>
      <c r="P75" s="3">
        <v>2943</v>
      </c>
      <c r="Q75" s="3"/>
    </row>
    <row r="76" spans="1:17">
      <c r="A76" t="str">
        <f t="shared" si="8"/>
        <v>Lee Hodges</v>
      </c>
      <c r="B76">
        <f t="shared" si="9"/>
        <v>75</v>
      </c>
      <c r="C76">
        <f t="shared" si="10"/>
        <v>73</v>
      </c>
      <c r="D76">
        <f t="shared" si="11"/>
        <v>12</v>
      </c>
      <c r="E76">
        <f t="shared" si="12"/>
        <v>267</v>
      </c>
      <c r="F76">
        <f t="shared" si="13"/>
        <v>2948</v>
      </c>
      <c r="G76">
        <f t="shared" si="14"/>
        <v>0</v>
      </c>
      <c r="H76">
        <f t="shared" si="15"/>
        <v>0</v>
      </c>
      <c r="K76">
        <v>75</v>
      </c>
      <c r="L76">
        <v>73</v>
      </c>
      <c r="M76" t="s">
        <v>101</v>
      </c>
      <c r="N76">
        <v>12</v>
      </c>
      <c r="O76">
        <v>267</v>
      </c>
      <c r="P76" s="3">
        <v>2948</v>
      </c>
      <c r="Q76" s="3"/>
    </row>
    <row r="77" spans="1:17">
      <c r="A77" t="str">
        <f t="shared" si="8"/>
        <v>Billy Horschel</v>
      </c>
      <c r="B77">
        <f t="shared" si="9"/>
        <v>76</v>
      </c>
      <c r="C77">
        <f t="shared" si="10"/>
        <v>74</v>
      </c>
      <c r="D77">
        <f t="shared" si="11"/>
        <v>9</v>
      </c>
      <c r="E77">
        <f t="shared" si="12"/>
        <v>262</v>
      </c>
      <c r="F77">
        <f t="shared" si="13"/>
        <v>2953</v>
      </c>
      <c r="G77">
        <f t="shared" si="14"/>
        <v>0</v>
      </c>
      <c r="H77">
        <f t="shared" si="15"/>
        <v>0</v>
      </c>
      <c r="K77">
        <v>76</v>
      </c>
      <c r="L77">
        <v>74</v>
      </c>
      <c r="M77" t="s">
        <v>115</v>
      </c>
      <c r="N77">
        <v>9</v>
      </c>
      <c r="O77">
        <v>262</v>
      </c>
      <c r="P77" s="3">
        <v>2953</v>
      </c>
      <c r="Q77" s="3"/>
    </row>
    <row r="78" spans="1:17">
      <c r="A78" t="str">
        <f t="shared" si="8"/>
        <v>Justin Lower</v>
      </c>
      <c r="B78">
        <f t="shared" si="9"/>
        <v>77</v>
      </c>
      <c r="C78">
        <f t="shared" si="10"/>
        <v>75</v>
      </c>
      <c r="D78">
        <f t="shared" si="11"/>
        <v>11</v>
      </c>
      <c r="E78">
        <f t="shared" si="12"/>
        <v>258</v>
      </c>
      <c r="F78">
        <f t="shared" si="13"/>
        <v>2957</v>
      </c>
      <c r="G78">
        <f t="shared" si="14"/>
        <v>0</v>
      </c>
      <c r="H78">
        <f t="shared" si="15"/>
        <v>0</v>
      </c>
      <c r="K78">
        <v>77</v>
      </c>
      <c r="L78">
        <v>75</v>
      </c>
      <c r="M78" t="s">
        <v>147</v>
      </c>
      <c r="N78">
        <v>11</v>
      </c>
      <c r="O78">
        <v>258</v>
      </c>
      <c r="P78" s="3">
        <v>2957</v>
      </c>
      <c r="Q78" s="3"/>
    </row>
    <row r="79" spans="1:17">
      <c r="A79" t="str">
        <f t="shared" si="8"/>
        <v>K.H. Lee</v>
      </c>
      <c r="B79">
        <f t="shared" si="9"/>
        <v>78</v>
      </c>
      <c r="C79">
        <f t="shared" si="10"/>
        <v>76</v>
      </c>
      <c r="D79">
        <f t="shared" si="11"/>
        <v>10</v>
      </c>
      <c r="E79">
        <f t="shared" si="12"/>
        <v>256</v>
      </c>
      <c r="F79">
        <f t="shared" si="13"/>
        <v>2959</v>
      </c>
      <c r="G79">
        <f t="shared" si="14"/>
        <v>0</v>
      </c>
      <c r="H79">
        <f t="shared" si="15"/>
        <v>0</v>
      </c>
      <c r="K79">
        <v>78</v>
      </c>
      <c r="L79">
        <v>76</v>
      </c>
      <c r="M79" t="s">
        <v>92</v>
      </c>
      <c r="N79">
        <v>10</v>
      </c>
      <c r="O79">
        <v>256</v>
      </c>
      <c r="P79" s="3">
        <v>2959</v>
      </c>
      <c r="Q79" s="3"/>
    </row>
    <row r="80" spans="1:17">
      <c r="A80" t="str">
        <f t="shared" si="8"/>
        <v>Chandler Phillips</v>
      </c>
      <c r="B80">
        <f t="shared" si="9"/>
        <v>79</v>
      </c>
      <c r="C80">
        <f t="shared" si="10"/>
        <v>77</v>
      </c>
      <c r="D80">
        <f t="shared" si="11"/>
        <v>9</v>
      </c>
      <c r="E80">
        <f t="shared" si="12"/>
        <v>240</v>
      </c>
      <c r="F80">
        <f t="shared" si="13"/>
        <v>2975</v>
      </c>
      <c r="G80">
        <f t="shared" si="14"/>
        <v>0</v>
      </c>
      <c r="H80">
        <f t="shared" si="15"/>
        <v>0</v>
      </c>
      <c r="K80">
        <v>79</v>
      </c>
      <c r="L80">
        <v>77</v>
      </c>
      <c r="M80" t="s">
        <v>489</v>
      </c>
      <c r="N80">
        <v>9</v>
      </c>
      <c r="O80">
        <v>240</v>
      </c>
      <c r="P80" s="3">
        <v>2975</v>
      </c>
      <c r="Q80" s="3"/>
    </row>
    <row r="81" spans="1:17">
      <c r="A81" t="str">
        <f t="shared" si="8"/>
        <v>Erik Barnes</v>
      </c>
      <c r="B81">
        <f t="shared" si="9"/>
        <v>80</v>
      </c>
      <c r="C81">
        <f t="shared" si="10"/>
        <v>79</v>
      </c>
      <c r="D81">
        <f t="shared" si="11"/>
        <v>7</v>
      </c>
      <c r="E81">
        <f t="shared" si="12"/>
        <v>236</v>
      </c>
      <c r="F81">
        <f t="shared" si="13"/>
        <v>2979</v>
      </c>
      <c r="G81">
        <f t="shared" si="14"/>
        <v>0</v>
      </c>
      <c r="H81">
        <f t="shared" si="15"/>
        <v>0</v>
      </c>
      <c r="K81">
        <v>80</v>
      </c>
      <c r="L81">
        <v>79</v>
      </c>
      <c r="M81" t="s">
        <v>235</v>
      </c>
      <c r="N81">
        <v>7</v>
      </c>
      <c r="O81">
        <v>236</v>
      </c>
      <c r="P81" s="3">
        <v>2979</v>
      </c>
      <c r="Q81" s="3"/>
    </row>
    <row r="82" spans="1:17">
      <c r="A82" t="str">
        <f t="shared" si="8"/>
        <v>Adam Svensson</v>
      </c>
      <c r="B82">
        <f t="shared" si="9"/>
        <v>81</v>
      </c>
      <c r="C82">
        <f t="shared" si="10"/>
        <v>80</v>
      </c>
      <c r="D82">
        <f t="shared" si="11"/>
        <v>12</v>
      </c>
      <c r="E82">
        <f t="shared" si="12"/>
        <v>231</v>
      </c>
      <c r="F82">
        <f t="shared" si="13"/>
        <v>2984</v>
      </c>
      <c r="G82">
        <f t="shared" si="14"/>
        <v>0</v>
      </c>
      <c r="H82">
        <f t="shared" si="15"/>
        <v>0</v>
      </c>
      <c r="K82">
        <v>81</v>
      </c>
      <c r="L82">
        <v>80</v>
      </c>
      <c r="M82" t="s">
        <v>130</v>
      </c>
      <c r="N82">
        <v>12</v>
      </c>
      <c r="O82">
        <v>231</v>
      </c>
      <c r="P82" s="3">
        <v>2984</v>
      </c>
      <c r="Q82" s="3"/>
    </row>
    <row r="83" spans="1:17">
      <c r="A83" t="str">
        <f t="shared" si="8"/>
        <v>Ben Griffin</v>
      </c>
      <c r="B83">
        <f t="shared" si="9"/>
        <v>82</v>
      </c>
      <c r="C83">
        <f t="shared" si="10"/>
        <v>81</v>
      </c>
      <c r="D83">
        <f t="shared" si="11"/>
        <v>12</v>
      </c>
      <c r="E83">
        <f t="shared" si="12"/>
        <v>230</v>
      </c>
      <c r="F83">
        <f t="shared" si="13"/>
        <v>2985</v>
      </c>
      <c r="G83">
        <f t="shared" si="14"/>
        <v>0</v>
      </c>
      <c r="H83">
        <f t="shared" si="15"/>
        <v>0</v>
      </c>
      <c r="K83">
        <v>82</v>
      </c>
      <c r="L83">
        <v>81</v>
      </c>
      <c r="M83" t="s">
        <v>97</v>
      </c>
      <c r="N83">
        <v>12</v>
      </c>
      <c r="O83">
        <v>230</v>
      </c>
      <c r="P83" s="3">
        <v>2985</v>
      </c>
      <c r="Q83" s="3"/>
    </row>
    <row r="84" spans="1:17">
      <c r="A84" t="str">
        <f t="shared" si="8"/>
        <v>Carl Yuan</v>
      </c>
      <c r="B84">
        <f t="shared" si="9"/>
        <v>83</v>
      </c>
      <c r="C84">
        <f t="shared" si="10"/>
        <v>82</v>
      </c>
      <c r="D84">
        <f t="shared" si="11"/>
        <v>10</v>
      </c>
      <c r="E84">
        <f t="shared" si="12"/>
        <v>230</v>
      </c>
      <c r="F84">
        <f t="shared" si="13"/>
        <v>2985</v>
      </c>
      <c r="G84">
        <f t="shared" si="14"/>
        <v>0</v>
      </c>
      <c r="H84">
        <f t="shared" si="15"/>
        <v>0</v>
      </c>
      <c r="K84">
        <v>83</v>
      </c>
      <c r="L84">
        <v>82</v>
      </c>
      <c r="M84" t="s">
        <v>48</v>
      </c>
      <c r="N84">
        <v>10</v>
      </c>
      <c r="O84">
        <v>230</v>
      </c>
      <c r="P84" s="3">
        <v>2985</v>
      </c>
      <c r="Q84" s="3"/>
    </row>
    <row r="85" spans="1:17">
      <c r="A85" t="str">
        <f t="shared" si="8"/>
        <v>Chan Kim</v>
      </c>
      <c r="B85">
        <f t="shared" si="9"/>
        <v>84</v>
      </c>
      <c r="C85">
        <f t="shared" si="10"/>
        <v>83</v>
      </c>
      <c r="D85">
        <f t="shared" si="11"/>
        <v>10</v>
      </c>
      <c r="E85">
        <f t="shared" si="12"/>
        <v>222</v>
      </c>
      <c r="F85">
        <f t="shared" si="13"/>
        <v>2993</v>
      </c>
      <c r="G85">
        <f t="shared" si="14"/>
        <v>0</v>
      </c>
      <c r="H85">
        <f t="shared" si="15"/>
        <v>0</v>
      </c>
      <c r="K85">
        <v>84</v>
      </c>
      <c r="L85">
        <v>83</v>
      </c>
      <c r="M85" t="s">
        <v>424</v>
      </c>
      <c r="N85">
        <v>10</v>
      </c>
      <c r="O85">
        <v>222</v>
      </c>
      <c r="P85" s="3">
        <v>2993</v>
      </c>
      <c r="Q85" s="3"/>
    </row>
    <row r="86" spans="1:17">
      <c r="A86" t="str">
        <f t="shared" si="8"/>
        <v>Viktor Hovland</v>
      </c>
      <c r="B86">
        <f t="shared" si="9"/>
        <v>85</v>
      </c>
      <c r="C86">
        <f t="shared" si="10"/>
        <v>84</v>
      </c>
      <c r="D86">
        <f t="shared" si="11"/>
        <v>6</v>
      </c>
      <c r="E86">
        <f t="shared" si="12"/>
        <v>216</v>
      </c>
      <c r="F86">
        <f t="shared" si="13"/>
        <v>2999</v>
      </c>
      <c r="G86">
        <f t="shared" si="14"/>
        <v>0</v>
      </c>
      <c r="H86">
        <f t="shared" si="15"/>
        <v>0</v>
      </c>
      <c r="K86">
        <v>85</v>
      </c>
      <c r="L86">
        <v>84</v>
      </c>
      <c r="M86" t="s">
        <v>47</v>
      </c>
      <c r="N86">
        <v>6</v>
      </c>
      <c r="O86">
        <v>216</v>
      </c>
      <c r="P86" s="3">
        <v>2999</v>
      </c>
      <c r="Q86" s="3"/>
    </row>
    <row r="87" spans="1:17">
      <c r="A87" t="str">
        <f t="shared" si="8"/>
        <v>Tom Kim</v>
      </c>
      <c r="B87">
        <f t="shared" si="9"/>
        <v>86</v>
      </c>
      <c r="C87">
        <f t="shared" si="10"/>
        <v>99</v>
      </c>
      <c r="D87">
        <f t="shared" si="11"/>
        <v>10</v>
      </c>
      <c r="E87">
        <f t="shared" si="12"/>
        <v>215</v>
      </c>
      <c r="F87">
        <f t="shared" si="13"/>
        <v>3000</v>
      </c>
      <c r="G87">
        <f t="shared" si="14"/>
        <v>0</v>
      </c>
      <c r="H87">
        <f t="shared" si="15"/>
        <v>0</v>
      </c>
      <c r="K87">
        <v>86</v>
      </c>
      <c r="L87">
        <v>99</v>
      </c>
      <c r="M87" t="s">
        <v>124</v>
      </c>
      <c r="N87">
        <v>10</v>
      </c>
      <c r="O87">
        <v>215</v>
      </c>
      <c r="P87" s="3">
        <v>3000</v>
      </c>
      <c r="Q87" s="3"/>
    </row>
    <row r="88" spans="1:17">
      <c r="A88" t="str">
        <f t="shared" si="8"/>
        <v>Seamus Power</v>
      </c>
      <c r="B88">
        <f t="shared" si="9"/>
        <v>87</v>
      </c>
      <c r="C88">
        <f t="shared" si="10"/>
        <v>85</v>
      </c>
      <c r="D88">
        <f t="shared" si="11"/>
        <v>10</v>
      </c>
      <c r="E88">
        <f t="shared" si="12"/>
        <v>210</v>
      </c>
      <c r="F88">
        <f t="shared" si="13"/>
        <v>3005</v>
      </c>
      <c r="G88">
        <f t="shared" si="14"/>
        <v>0</v>
      </c>
      <c r="H88">
        <f t="shared" si="15"/>
        <v>0</v>
      </c>
      <c r="K88">
        <v>87</v>
      </c>
      <c r="L88">
        <v>85</v>
      </c>
      <c r="M88" t="s">
        <v>105</v>
      </c>
      <c r="N88">
        <v>10</v>
      </c>
      <c r="O88">
        <v>210</v>
      </c>
      <c r="P88" s="3">
        <v>3005</v>
      </c>
      <c r="Q88" s="3"/>
    </row>
    <row r="89" spans="1:17">
      <c r="A89" t="str">
        <f t="shared" si="8"/>
        <v>Sam Ryder</v>
      </c>
      <c r="B89">
        <f t="shared" si="9"/>
        <v>88</v>
      </c>
      <c r="C89">
        <f t="shared" si="10"/>
        <v>86</v>
      </c>
      <c r="D89">
        <f t="shared" si="11"/>
        <v>10</v>
      </c>
      <c r="E89">
        <f t="shared" si="12"/>
        <v>209</v>
      </c>
      <c r="F89">
        <f t="shared" si="13"/>
        <v>3006</v>
      </c>
      <c r="G89">
        <f t="shared" si="14"/>
        <v>0</v>
      </c>
      <c r="H89">
        <f t="shared" si="15"/>
        <v>0</v>
      </c>
      <c r="K89">
        <v>88</v>
      </c>
      <c r="L89">
        <v>86</v>
      </c>
      <c r="M89" t="s">
        <v>146</v>
      </c>
      <c r="N89">
        <v>10</v>
      </c>
      <c r="O89">
        <v>209</v>
      </c>
      <c r="P89" s="3">
        <v>3006</v>
      </c>
      <c r="Q89" s="3"/>
    </row>
    <row r="90" spans="1:17">
      <c r="A90" t="str">
        <f t="shared" si="8"/>
        <v>C.T. Pan</v>
      </c>
      <c r="B90">
        <f t="shared" si="9"/>
        <v>89</v>
      </c>
      <c r="C90">
        <f t="shared" si="10"/>
        <v>87</v>
      </c>
      <c r="D90">
        <f t="shared" si="11"/>
        <v>7</v>
      </c>
      <c r="E90">
        <f t="shared" si="12"/>
        <v>209</v>
      </c>
      <c r="F90">
        <f t="shared" si="13"/>
        <v>3006</v>
      </c>
      <c r="G90">
        <f t="shared" si="14"/>
        <v>0</v>
      </c>
      <c r="H90">
        <f t="shared" si="15"/>
        <v>0</v>
      </c>
      <c r="K90">
        <v>89</v>
      </c>
      <c r="L90">
        <v>87</v>
      </c>
      <c r="M90" t="s">
        <v>131</v>
      </c>
      <c r="N90">
        <v>7</v>
      </c>
      <c r="O90">
        <v>209</v>
      </c>
      <c r="P90" s="3">
        <v>3006</v>
      </c>
      <c r="Q90" s="3"/>
    </row>
    <row r="91" spans="1:17">
      <c r="A91" t="str">
        <f t="shared" si="8"/>
        <v>Aaron Rai</v>
      </c>
      <c r="B91">
        <f t="shared" si="9"/>
        <v>90</v>
      </c>
      <c r="C91">
        <f t="shared" si="10"/>
        <v>88</v>
      </c>
      <c r="D91">
        <f t="shared" si="11"/>
        <v>10</v>
      </c>
      <c r="E91">
        <f t="shared" si="12"/>
        <v>199</v>
      </c>
      <c r="F91">
        <f t="shared" si="13"/>
        <v>3016</v>
      </c>
      <c r="G91">
        <f t="shared" si="14"/>
        <v>0</v>
      </c>
      <c r="H91">
        <f t="shared" si="15"/>
        <v>0</v>
      </c>
      <c r="K91">
        <v>90</v>
      </c>
      <c r="L91">
        <v>88</v>
      </c>
      <c r="M91" t="s">
        <v>152</v>
      </c>
      <c r="N91">
        <v>10</v>
      </c>
      <c r="O91">
        <v>199</v>
      </c>
      <c r="P91" s="3">
        <v>3016</v>
      </c>
      <c r="Q91" s="3"/>
    </row>
    <row r="92" spans="1:17">
      <c r="A92" t="str">
        <f t="shared" si="8"/>
        <v>Victor Perez</v>
      </c>
      <c r="B92">
        <f t="shared" si="9"/>
        <v>91</v>
      </c>
      <c r="C92">
        <f t="shared" si="10"/>
        <v>89</v>
      </c>
      <c r="D92">
        <f t="shared" si="11"/>
        <v>8</v>
      </c>
      <c r="E92">
        <f t="shared" si="12"/>
        <v>196</v>
      </c>
      <c r="F92">
        <f t="shared" si="13"/>
        <v>3019</v>
      </c>
      <c r="G92">
        <f t="shared" si="14"/>
        <v>0</v>
      </c>
      <c r="H92">
        <f t="shared" si="15"/>
        <v>0</v>
      </c>
      <c r="K92">
        <v>91</v>
      </c>
      <c r="L92">
        <v>89</v>
      </c>
      <c r="M92" t="s">
        <v>632</v>
      </c>
      <c r="N92">
        <v>8</v>
      </c>
      <c r="O92">
        <v>196</v>
      </c>
      <c r="P92" s="3">
        <v>3019</v>
      </c>
      <c r="Q92" s="3"/>
    </row>
    <row r="93" spans="1:17">
      <c r="A93" t="str">
        <f t="shared" si="8"/>
        <v>Jimmy Stanger</v>
      </c>
      <c r="B93">
        <f t="shared" si="9"/>
        <v>92</v>
      </c>
      <c r="C93">
        <f t="shared" si="10"/>
        <v>90</v>
      </c>
      <c r="D93">
        <f t="shared" si="11"/>
        <v>9</v>
      </c>
      <c r="E93">
        <f t="shared" si="12"/>
        <v>193</v>
      </c>
      <c r="F93">
        <f t="shared" si="13"/>
        <v>3022</v>
      </c>
      <c r="G93">
        <f t="shared" si="14"/>
        <v>0</v>
      </c>
      <c r="H93">
        <f t="shared" si="15"/>
        <v>0</v>
      </c>
      <c r="K93">
        <v>92</v>
      </c>
      <c r="L93">
        <v>90</v>
      </c>
      <c r="M93" t="s">
        <v>495</v>
      </c>
      <c r="N93">
        <v>9</v>
      </c>
      <c r="O93">
        <v>193</v>
      </c>
      <c r="P93" s="3">
        <v>3022</v>
      </c>
      <c r="Q93" s="3"/>
    </row>
    <row r="94" spans="1:17">
      <c r="A94" t="str">
        <f t="shared" si="8"/>
        <v>David Skinns</v>
      </c>
      <c r="B94">
        <f t="shared" si="9"/>
        <v>93</v>
      </c>
      <c r="C94">
        <f t="shared" si="10"/>
        <v>91</v>
      </c>
      <c r="D94">
        <f t="shared" si="11"/>
        <v>10</v>
      </c>
      <c r="E94">
        <f t="shared" si="12"/>
        <v>191</v>
      </c>
      <c r="F94">
        <f t="shared" si="13"/>
        <v>3024</v>
      </c>
      <c r="G94">
        <f t="shared" si="14"/>
        <v>0</v>
      </c>
      <c r="H94">
        <f t="shared" si="15"/>
        <v>0</v>
      </c>
      <c r="K94">
        <v>93</v>
      </c>
      <c r="L94">
        <v>91</v>
      </c>
      <c r="M94" t="s">
        <v>410</v>
      </c>
      <c r="N94">
        <v>10</v>
      </c>
      <c r="O94">
        <v>191</v>
      </c>
      <c r="P94" s="3">
        <v>3024</v>
      </c>
      <c r="Q94" s="3"/>
    </row>
    <row r="95" spans="1:17">
      <c r="A95" t="str">
        <f t="shared" si="8"/>
        <v>Justin Rose</v>
      </c>
      <c r="B95">
        <f t="shared" si="9"/>
        <v>94</v>
      </c>
      <c r="C95">
        <f t="shared" si="10"/>
        <v>92</v>
      </c>
      <c r="D95">
        <f t="shared" si="11"/>
        <v>8</v>
      </c>
      <c r="E95">
        <f t="shared" si="12"/>
        <v>189</v>
      </c>
      <c r="F95">
        <f t="shared" si="13"/>
        <v>3026</v>
      </c>
      <c r="G95">
        <f t="shared" si="14"/>
        <v>0</v>
      </c>
      <c r="H95">
        <f t="shared" si="15"/>
        <v>0</v>
      </c>
      <c r="K95">
        <v>94</v>
      </c>
      <c r="L95">
        <v>92</v>
      </c>
      <c r="M95" t="s">
        <v>143</v>
      </c>
      <c r="N95">
        <v>8</v>
      </c>
      <c r="O95">
        <v>189</v>
      </c>
      <c r="P95" s="3">
        <v>3026</v>
      </c>
      <c r="Q95" s="3"/>
    </row>
    <row r="96" spans="1:17">
      <c r="A96" t="str">
        <f t="shared" si="8"/>
        <v>Joel Dahmen</v>
      </c>
      <c r="B96">
        <f t="shared" si="9"/>
        <v>95</v>
      </c>
      <c r="C96">
        <f t="shared" si="10"/>
        <v>93</v>
      </c>
      <c r="D96">
        <f t="shared" si="11"/>
        <v>10</v>
      </c>
      <c r="E96">
        <f t="shared" si="12"/>
        <v>187</v>
      </c>
      <c r="F96">
        <f t="shared" si="13"/>
        <v>3028</v>
      </c>
      <c r="G96">
        <f t="shared" si="14"/>
        <v>0</v>
      </c>
      <c r="H96">
        <f t="shared" si="15"/>
        <v>0</v>
      </c>
      <c r="K96">
        <v>95</v>
      </c>
      <c r="L96">
        <v>93</v>
      </c>
      <c r="M96" t="s">
        <v>137</v>
      </c>
      <c r="N96">
        <v>10</v>
      </c>
      <c r="O96">
        <v>187</v>
      </c>
      <c r="P96" s="3">
        <v>3028</v>
      </c>
      <c r="Q96" s="3"/>
    </row>
    <row r="97" spans="1:17">
      <c r="A97" t="str">
        <f t="shared" si="8"/>
        <v>Davis Thompson</v>
      </c>
      <c r="B97">
        <f t="shared" si="9"/>
        <v>96</v>
      </c>
      <c r="C97">
        <f t="shared" si="10"/>
        <v>94</v>
      </c>
      <c r="D97">
        <f t="shared" si="11"/>
        <v>10</v>
      </c>
      <c r="E97">
        <f t="shared" si="12"/>
        <v>186</v>
      </c>
      <c r="F97">
        <f t="shared" si="13"/>
        <v>3029</v>
      </c>
      <c r="G97">
        <f t="shared" si="14"/>
        <v>0</v>
      </c>
      <c r="H97">
        <f t="shared" si="15"/>
        <v>0</v>
      </c>
      <c r="K97">
        <v>96</v>
      </c>
      <c r="L97">
        <v>94</v>
      </c>
      <c r="M97" t="s">
        <v>28</v>
      </c>
      <c r="N97">
        <v>10</v>
      </c>
      <c r="O97">
        <v>186</v>
      </c>
      <c r="P97" s="3">
        <v>3029</v>
      </c>
      <c r="Q97" s="3"/>
    </row>
    <row r="98" spans="1:17">
      <c r="A98" t="str">
        <f t="shared" si="8"/>
        <v>Alejandro Tosti</v>
      </c>
      <c r="B98">
        <f t="shared" si="9"/>
        <v>97</v>
      </c>
      <c r="C98">
        <f t="shared" si="10"/>
        <v>95</v>
      </c>
      <c r="D98">
        <f t="shared" si="11"/>
        <v>9</v>
      </c>
      <c r="E98">
        <f t="shared" si="12"/>
        <v>183</v>
      </c>
      <c r="F98">
        <f t="shared" si="13"/>
        <v>3032</v>
      </c>
      <c r="G98">
        <f t="shared" si="14"/>
        <v>0</v>
      </c>
      <c r="H98">
        <f t="shared" si="15"/>
        <v>0</v>
      </c>
      <c r="K98">
        <v>97</v>
      </c>
      <c r="L98">
        <v>95</v>
      </c>
      <c r="M98" t="s">
        <v>445</v>
      </c>
      <c r="N98">
        <v>9</v>
      </c>
      <c r="O98">
        <v>183</v>
      </c>
      <c r="P98" s="3">
        <v>3032</v>
      </c>
      <c r="Q98" s="3"/>
    </row>
    <row r="99" spans="1:17">
      <c r="A99" t="str">
        <f t="shared" si="8"/>
        <v>Matti Schmid</v>
      </c>
      <c r="B99">
        <f t="shared" si="9"/>
        <v>98</v>
      </c>
      <c r="C99">
        <f t="shared" si="10"/>
        <v>96</v>
      </c>
      <c r="D99">
        <f t="shared" si="11"/>
        <v>11</v>
      </c>
      <c r="E99">
        <f t="shared" si="12"/>
        <v>179</v>
      </c>
      <c r="F99">
        <f t="shared" si="13"/>
        <v>3036</v>
      </c>
      <c r="G99">
        <f t="shared" si="14"/>
        <v>0</v>
      </c>
      <c r="H99">
        <f t="shared" si="15"/>
        <v>0</v>
      </c>
      <c r="K99">
        <v>98</v>
      </c>
      <c r="L99">
        <v>96</v>
      </c>
      <c r="M99" t="s">
        <v>11</v>
      </c>
      <c r="N99">
        <v>11</v>
      </c>
      <c r="O99">
        <v>179</v>
      </c>
      <c r="P99" s="3">
        <v>3036</v>
      </c>
      <c r="Q99" s="3"/>
    </row>
    <row r="100" spans="1:17">
      <c r="A100" t="str">
        <f t="shared" si="8"/>
        <v>Ben Silverman</v>
      </c>
      <c r="B100">
        <f t="shared" si="9"/>
        <v>99</v>
      </c>
      <c r="C100">
        <f t="shared" si="10"/>
        <v>97</v>
      </c>
      <c r="D100">
        <f t="shared" si="11"/>
        <v>10</v>
      </c>
      <c r="E100">
        <f t="shared" si="12"/>
        <v>177</v>
      </c>
      <c r="F100">
        <f t="shared" si="13"/>
        <v>3038</v>
      </c>
      <c r="G100">
        <f t="shared" si="14"/>
        <v>0</v>
      </c>
      <c r="H100">
        <f t="shared" si="15"/>
        <v>0</v>
      </c>
      <c r="K100">
        <v>99</v>
      </c>
      <c r="L100">
        <v>97</v>
      </c>
      <c r="M100" t="s">
        <v>433</v>
      </c>
      <c r="N100">
        <v>10</v>
      </c>
      <c r="O100">
        <v>177</v>
      </c>
      <c r="P100" s="3">
        <v>3038</v>
      </c>
      <c r="Q100" s="3"/>
    </row>
    <row r="101" spans="1:17">
      <c r="A101" t="str">
        <f t="shared" si="8"/>
        <v>Dylan Wu</v>
      </c>
      <c r="B101">
        <f t="shared" si="9"/>
        <v>100</v>
      </c>
      <c r="C101">
        <f t="shared" si="10"/>
        <v>98</v>
      </c>
      <c r="D101">
        <f t="shared" si="11"/>
        <v>10</v>
      </c>
      <c r="E101">
        <f t="shared" si="12"/>
        <v>175</v>
      </c>
      <c r="F101">
        <f t="shared" si="13"/>
        <v>3040</v>
      </c>
      <c r="G101">
        <f t="shared" si="14"/>
        <v>0</v>
      </c>
      <c r="H101">
        <f t="shared" si="15"/>
        <v>0</v>
      </c>
      <c r="K101">
        <v>100</v>
      </c>
      <c r="L101">
        <v>98</v>
      </c>
      <c r="M101" t="s">
        <v>118</v>
      </c>
      <c r="N101">
        <v>10</v>
      </c>
      <c r="O101">
        <v>175</v>
      </c>
      <c r="P101" s="3">
        <v>3040</v>
      </c>
      <c r="Q101" s="3"/>
    </row>
    <row r="102" spans="1:17">
      <c r="A102" t="str">
        <f t="shared" si="8"/>
        <v>Nico Echavarria</v>
      </c>
      <c r="B102">
        <f t="shared" si="9"/>
        <v>101</v>
      </c>
      <c r="C102">
        <f t="shared" si="10"/>
        <v>100</v>
      </c>
      <c r="D102">
        <f t="shared" si="11"/>
        <v>11</v>
      </c>
      <c r="E102">
        <f t="shared" si="12"/>
        <v>173</v>
      </c>
      <c r="F102">
        <f t="shared" si="13"/>
        <v>3042</v>
      </c>
      <c r="G102">
        <f t="shared" si="14"/>
        <v>0</v>
      </c>
      <c r="H102">
        <f t="shared" si="15"/>
        <v>0</v>
      </c>
      <c r="K102">
        <v>101</v>
      </c>
      <c r="L102">
        <v>100</v>
      </c>
      <c r="M102" t="s">
        <v>103</v>
      </c>
      <c r="N102">
        <v>11</v>
      </c>
      <c r="O102">
        <v>173</v>
      </c>
      <c r="P102" s="3">
        <v>3042</v>
      </c>
      <c r="Q102" s="3"/>
    </row>
    <row r="103" spans="1:17">
      <c r="A103" t="str">
        <f t="shared" si="8"/>
        <v>Ryo Hisatsune</v>
      </c>
      <c r="B103">
        <f t="shared" si="9"/>
        <v>102</v>
      </c>
      <c r="C103">
        <f t="shared" si="10"/>
        <v>102</v>
      </c>
      <c r="D103">
        <f t="shared" si="11"/>
        <v>11</v>
      </c>
      <c r="E103">
        <f t="shared" si="12"/>
        <v>163</v>
      </c>
      <c r="F103">
        <f t="shared" si="13"/>
        <v>3052</v>
      </c>
      <c r="G103">
        <f t="shared" si="14"/>
        <v>0</v>
      </c>
      <c r="H103">
        <f t="shared" si="15"/>
        <v>0</v>
      </c>
      <c r="K103">
        <v>102</v>
      </c>
      <c r="L103">
        <v>102</v>
      </c>
      <c r="M103" t="s">
        <v>427</v>
      </c>
      <c r="N103">
        <v>11</v>
      </c>
      <c r="O103">
        <v>163</v>
      </c>
      <c r="P103" s="3">
        <v>3052</v>
      </c>
      <c r="Q103" s="3"/>
    </row>
    <row r="104" spans="1:17">
      <c r="A104" t="str">
        <f t="shared" si="8"/>
        <v>Michael Kim</v>
      </c>
      <c r="B104">
        <f t="shared" si="9"/>
        <v>103</v>
      </c>
      <c r="C104">
        <f t="shared" si="10"/>
        <v>103</v>
      </c>
      <c r="D104">
        <f t="shared" si="11"/>
        <v>11</v>
      </c>
      <c r="E104">
        <f t="shared" si="12"/>
        <v>160</v>
      </c>
      <c r="F104">
        <f t="shared" si="13"/>
        <v>3055</v>
      </c>
      <c r="G104">
        <f t="shared" si="14"/>
        <v>0</v>
      </c>
      <c r="H104">
        <f t="shared" si="15"/>
        <v>0</v>
      </c>
      <c r="K104">
        <v>103</v>
      </c>
      <c r="L104">
        <v>103</v>
      </c>
      <c r="M104" t="s">
        <v>62</v>
      </c>
      <c r="N104">
        <v>11</v>
      </c>
      <c r="O104">
        <v>160</v>
      </c>
      <c r="P104" s="3">
        <v>3055</v>
      </c>
      <c r="Q104" s="3"/>
    </row>
    <row r="105" spans="1:17">
      <c r="A105" t="str">
        <f t="shared" si="8"/>
        <v>Taylor Pendrith</v>
      </c>
      <c r="B105">
        <f t="shared" si="9"/>
        <v>104</v>
      </c>
      <c r="C105">
        <f t="shared" si="10"/>
        <v>104</v>
      </c>
      <c r="D105">
        <f t="shared" si="11"/>
        <v>9</v>
      </c>
      <c r="E105">
        <f t="shared" si="12"/>
        <v>159</v>
      </c>
      <c r="F105">
        <f t="shared" si="13"/>
        <v>3056</v>
      </c>
      <c r="G105">
        <f t="shared" si="14"/>
        <v>0</v>
      </c>
      <c r="H105">
        <f t="shared" si="15"/>
        <v>0</v>
      </c>
      <c r="K105">
        <v>104</v>
      </c>
      <c r="L105">
        <v>104</v>
      </c>
      <c r="M105" t="s">
        <v>33</v>
      </c>
      <c r="N105">
        <v>9</v>
      </c>
      <c r="O105">
        <v>159</v>
      </c>
      <c r="P105" s="3">
        <v>3056</v>
      </c>
      <c r="Q105" s="3"/>
    </row>
    <row r="106" spans="1:17">
      <c r="A106" t="str">
        <f t="shared" si="8"/>
        <v>Sam Stevens</v>
      </c>
      <c r="B106">
        <f t="shared" si="9"/>
        <v>105</v>
      </c>
      <c r="C106">
        <f t="shared" si="10"/>
        <v>105</v>
      </c>
      <c r="D106">
        <f t="shared" si="11"/>
        <v>11</v>
      </c>
      <c r="E106">
        <f t="shared" si="12"/>
        <v>155</v>
      </c>
      <c r="F106">
        <f t="shared" si="13"/>
        <v>3060</v>
      </c>
      <c r="G106">
        <f t="shared" si="14"/>
        <v>0</v>
      </c>
      <c r="H106">
        <f t="shared" si="15"/>
        <v>0</v>
      </c>
      <c r="K106">
        <v>105</v>
      </c>
      <c r="L106">
        <v>105</v>
      </c>
      <c r="M106" t="s">
        <v>30</v>
      </c>
      <c r="N106">
        <v>11</v>
      </c>
      <c r="O106">
        <v>155</v>
      </c>
      <c r="P106" s="3">
        <v>3060</v>
      </c>
      <c r="Q106" s="3"/>
    </row>
    <row r="107" spans="1:17">
      <c r="A107" t="str">
        <f t="shared" si="8"/>
        <v>Ben Martin</v>
      </c>
      <c r="B107">
        <f t="shared" si="9"/>
        <v>106</v>
      </c>
      <c r="C107">
        <f t="shared" si="10"/>
        <v>106</v>
      </c>
      <c r="D107">
        <f t="shared" si="11"/>
        <v>9</v>
      </c>
      <c r="E107">
        <f t="shared" si="12"/>
        <v>155</v>
      </c>
      <c r="F107">
        <f t="shared" si="13"/>
        <v>3060</v>
      </c>
      <c r="G107">
        <f t="shared" si="14"/>
        <v>0</v>
      </c>
      <c r="H107">
        <f t="shared" si="15"/>
        <v>0</v>
      </c>
      <c r="K107">
        <v>106</v>
      </c>
      <c r="L107">
        <v>106</v>
      </c>
      <c r="M107" t="s">
        <v>151</v>
      </c>
      <c r="N107">
        <v>9</v>
      </c>
      <c r="O107">
        <v>155</v>
      </c>
      <c r="P107" s="3">
        <v>3060</v>
      </c>
      <c r="Q107" s="3"/>
    </row>
    <row r="108" spans="1:17">
      <c r="A108" t="str">
        <f t="shared" si="8"/>
        <v>Carson Young</v>
      </c>
      <c r="B108">
        <f t="shared" si="9"/>
        <v>107</v>
      </c>
      <c r="C108">
        <f t="shared" si="10"/>
        <v>107</v>
      </c>
      <c r="D108">
        <f t="shared" si="11"/>
        <v>10</v>
      </c>
      <c r="E108">
        <f t="shared" si="12"/>
        <v>151</v>
      </c>
      <c r="F108">
        <f t="shared" si="13"/>
        <v>3064</v>
      </c>
      <c r="G108">
        <f t="shared" si="14"/>
        <v>0</v>
      </c>
      <c r="H108">
        <f t="shared" si="15"/>
        <v>0</v>
      </c>
      <c r="K108">
        <v>107</v>
      </c>
      <c r="L108">
        <v>107</v>
      </c>
      <c r="M108" t="s">
        <v>136</v>
      </c>
      <c r="N108">
        <v>10</v>
      </c>
      <c r="O108">
        <v>151</v>
      </c>
      <c r="P108" s="3">
        <v>3064</v>
      </c>
      <c r="Q108" s="3"/>
    </row>
    <row r="109" spans="1:17">
      <c r="A109" t="str">
        <f t="shared" si="8"/>
        <v>Aaron Baddeley</v>
      </c>
      <c r="B109">
        <f t="shared" si="9"/>
        <v>108</v>
      </c>
      <c r="C109">
        <f t="shared" si="10"/>
        <v>108</v>
      </c>
      <c r="D109">
        <f t="shared" si="11"/>
        <v>10</v>
      </c>
      <c r="E109">
        <f t="shared" si="12"/>
        <v>151</v>
      </c>
      <c r="F109">
        <f t="shared" si="13"/>
        <v>3064</v>
      </c>
      <c r="G109">
        <f t="shared" si="14"/>
        <v>0</v>
      </c>
      <c r="H109">
        <f t="shared" si="15"/>
        <v>0</v>
      </c>
      <c r="K109">
        <v>108</v>
      </c>
      <c r="L109">
        <v>108</v>
      </c>
      <c r="M109" t="s">
        <v>182</v>
      </c>
      <c r="N109">
        <v>10</v>
      </c>
      <c r="O109">
        <v>151</v>
      </c>
      <c r="P109" s="3">
        <v>3064</v>
      </c>
      <c r="Q109" s="3"/>
    </row>
    <row r="110" spans="1:17">
      <c r="A110" t="str">
        <f t="shared" si="8"/>
        <v>Ryan Moore</v>
      </c>
      <c r="B110">
        <f t="shared" si="9"/>
        <v>109</v>
      </c>
      <c r="C110">
        <f t="shared" si="10"/>
        <v>109</v>
      </c>
      <c r="D110">
        <f t="shared" si="11"/>
        <v>10</v>
      </c>
      <c r="E110">
        <f t="shared" si="12"/>
        <v>148</v>
      </c>
      <c r="F110">
        <f t="shared" si="13"/>
        <v>3067</v>
      </c>
      <c r="G110">
        <f t="shared" si="14"/>
        <v>0</v>
      </c>
      <c r="H110">
        <f t="shared" si="15"/>
        <v>0</v>
      </c>
      <c r="K110">
        <v>109</v>
      </c>
      <c r="L110">
        <v>109</v>
      </c>
      <c r="M110" t="s">
        <v>179</v>
      </c>
      <c r="N110">
        <v>10</v>
      </c>
      <c r="O110">
        <v>148</v>
      </c>
      <c r="P110" s="3">
        <v>3067</v>
      </c>
      <c r="Q110" s="3"/>
    </row>
    <row r="111" spans="1:17">
      <c r="A111" t="str">
        <f t="shared" si="8"/>
        <v>S.H. Kim</v>
      </c>
      <c r="B111">
        <f t="shared" si="9"/>
        <v>110</v>
      </c>
      <c r="C111">
        <f t="shared" si="10"/>
        <v>110</v>
      </c>
      <c r="D111">
        <f t="shared" si="11"/>
        <v>12</v>
      </c>
      <c r="E111">
        <f t="shared" si="12"/>
        <v>147</v>
      </c>
      <c r="F111">
        <f t="shared" si="13"/>
        <v>3068</v>
      </c>
      <c r="G111">
        <f t="shared" si="14"/>
        <v>0</v>
      </c>
      <c r="H111">
        <f t="shared" si="15"/>
        <v>0</v>
      </c>
      <c r="K111">
        <v>110</v>
      </c>
      <c r="L111">
        <v>110</v>
      </c>
      <c r="M111" t="s">
        <v>39</v>
      </c>
      <c r="N111">
        <v>12</v>
      </c>
      <c r="O111">
        <v>147</v>
      </c>
      <c r="P111" s="3">
        <v>3068</v>
      </c>
      <c r="Q111" s="3"/>
    </row>
    <row r="112" spans="1:17">
      <c r="A112" t="str">
        <f t="shared" si="8"/>
        <v>Martin Laird</v>
      </c>
      <c r="B112">
        <f t="shared" si="9"/>
        <v>111</v>
      </c>
      <c r="C112">
        <f t="shared" si="10"/>
        <v>111</v>
      </c>
      <c r="D112">
        <f t="shared" si="11"/>
        <v>9</v>
      </c>
      <c r="E112">
        <f t="shared" si="12"/>
        <v>147</v>
      </c>
      <c r="F112">
        <f t="shared" si="13"/>
        <v>3068</v>
      </c>
      <c r="G112">
        <f t="shared" si="14"/>
        <v>0</v>
      </c>
      <c r="H112">
        <f t="shared" si="15"/>
        <v>0</v>
      </c>
      <c r="K112">
        <v>111</v>
      </c>
      <c r="L112">
        <v>111</v>
      </c>
      <c r="M112" t="s">
        <v>161</v>
      </c>
      <c r="N112">
        <v>9</v>
      </c>
      <c r="O112">
        <v>147</v>
      </c>
      <c r="P112" s="3">
        <v>3068</v>
      </c>
      <c r="Q112" s="3"/>
    </row>
    <row r="113" spans="1:17">
      <c r="A113" t="str">
        <f t="shared" si="8"/>
        <v>Max Greyserman</v>
      </c>
      <c r="B113">
        <f t="shared" si="9"/>
        <v>112</v>
      </c>
      <c r="C113">
        <f t="shared" si="10"/>
        <v>112</v>
      </c>
      <c r="D113">
        <f t="shared" si="11"/>
        <v>9</v>
      </c>
      <c r="E113">
        <f t="shared" si="12"/>
        <v>144</v>
      </c>
      <c r="F113">
        <f t="shared" si="13"/>
        <v>3071</v>
      </c>
      <c r="G113">
        <f t="shared" si="14"/>
        <v>0</v>
      </c>
      <c r="H113">
        <f t="shared" si="15"/>
        <v>0</v>
      </c>
      <c r="K113">
        <v>112</v>
      </c>
      <c r="L113">
        <v>112</v>
      </c>
      <c r="M113" t="s">
        <v>493</v>
      </c>
      <c r="N113">
        <v>9</v>
      </c>
      <c r="O113">
        <v>144</v>
      </c>
      <c r="P113" s="3">
        <v>3071</v>
      </c>
      <c r="Q113" s="3"/>
    </row>
    <row r="114" spans="1:17">
      <c r="A114" t="str">
        <f t="shared" si="8"/>
        <v>Joe Highsmith</v>
      </c>
      <c r="B114">
        <f t="shared" si="9"/>
        <v>113</v>
      </c>
      <c r="C114">
        <f t="shared" si="10"/>
        <v>113</v>
      </c>
      <c r="D114">
        <f t="shared" si="11"/>
        <v>9</v>
      </c>
      <c r="E114">
        <f t="shared" si="12"/>
        <v>141</v>
      </c>
      <c r="F114">
        <f t="shared" si="13"/>
        <v>3074</v>
      </c>
      <c r="G114">
        <f t="shared" si="14"/>
        <v>0</v>
      </c>
      <c r="H114">
        <f t="shared" si="15"/>
        <v>0</v>
      </c>
      <c r="K114">
        <v>113</v>
      </c>
      <c r="L114">
        <v>113</v>
      </c>
      <c r="M114" t="s">
        <v>522</v>
      </c>
      <c r="N114">
        <v>9</v>
      </c>
      <c r="O114">
        <v>141</v>
      </c>
      <c r="P114" s="3">
        <v>3074</v>
      </c>
      <c r="Q114" s="3"/>
    </row>
    <row r="115" spans="1:17">
      <c r="A115" t="str">
        <f t="shared" si="8"/>
        <v>Robert MacIntyre</v>
      </c>
      <c r="B115">
        <f t="shared" si="9"/>
        <v>114</v>
      </c>
      <c r="C115">
        <f t="shared" si="10"/>
        <v>114</v>
      </c>
      <c r="D115">
        <f t="shared" si="11"/>
        <v>10</v>
      </c>
      <c r="E115">
        <f t="shared" si="12"/>
        <v>136</v>
      </c>
      <c r="F115">
        <f t="shared" si="13"/>
        <v>3079</v>
      </c>
      <c r="G115">
        <f t="shared" si="14"/>
        <v>0</v>
      </c>
      <c r="H115">
        <f t="shared" si="15"/>
        <v>0</v>
      </c>
      <c r="K115">
        <v>114</v>
      </c>
      <c r="L115">
        <v>114</v>
      </c>
      <c r="M115" t="s">
        <v>434</v>
      </c>
      <c r="N115">
        <v>10</v>
      </c>
      <c r="O115">
        <v>136</v>
      </c>
      <c r="P115" s="3">
        <v>3079</v>
      </c>
      <c r="Q115" s="3"/>
    </row>
    <row r="116" spans="1:17">
      <c r="A116" t="str">
        <f t="shared" si="8"/>
        <v>Rickie Fowler</v>
      </c>
      <c r="B116">
        <f t="shared" si="9"/>
        <v>115</v>
      </c>
      <c r="C116">
        <f t="shared" si="10"/>
        <v>129</v>
      </c>
      <c r="D116">
        <f t="shared" si="11"/>
        <v>10</v>
      </c>
      <c r="E116">
        <f t="shared" si="12"/>
        <v>127</v>
      </c>
      <c r="F116">
        <f t="shared" si="13"/>
        <v>3088</v>
      </c>
      <c r="G116">
        <f t="shared" si="14"/>
        <v>0</v>
      </c>
      <c r="H116">
        <f t="shared" si="15"/>
        <v>0</v>
      </c>
      <c r="K116">
        <v>115</v>
      </c>
      <c r="L116">
        <v>129</v>
      </c>
      <c r="M116" t="s">
        <v>44</v>
      </c>
      <c r="N116">
        <v>10</v>
      </c>
      <c r="O116">
        <v>127</v>
      </c>
      <c r="P116" s="3">
        <v>3088</v>
      </c>
      <c r="Q116" s="3"/>
    </row>
    <row r="117" spans="1:17">
      <c r="A117" t="str">
        <f t="shared" si="8"/>
        <v>Hayden Springer</v>
      </c>
      <c r="B117">
        <f t="shared" si="9"/>
        <v>116</v>
      </c>
      <c r="C117">
        <f t="shared" si="10"/>
        <v>115</v>
      </c>
      <c r="D117">
        <f t="shared" si="11"/>
        <v>7</v>
      </c>
      <c r="E117">
        <f t="shared" si="12"/>
        <v>127</v>
      </c>
      <c r="F117">
        <f t="shared" si="13"/>
        <v>3088</v>
      </c>
      <c r="G117">
        <f t="shared" si="14"/>
        <v>0</v>
      </c>
      <c r="H117">
        <f t="shared" si="15"/>
        <v>0</v>
      </c>
      <c r="K117">
        <v>116</v>
      </c>
      <c r="L117">
        <v>115</v>
      </c>
      <c r="M117" t="s">
        <v>557</v>
      </c>
      <c r="N117">
        <v>7</v>
      </c>
      <c r="O117">
        <v>127</v>
      </c>
      <c r="P117" s="3">
        <v>3088</v>
      </c>
      <c r="Q117" s="3"/>
    </row>
    <row r="118" spans="1:17">
      <c r="A118" t="str">
        <f t="shared" si="8"/>
        <v>Mac Meissner</v>
      </c>
      <c r="B118">
        <f t="shared" si="9"/>
        <v>117</v>
      </c>
      <c r="C118">
        <f t="shared" si="10"/>
        <v>116</v>
      </c>
      <c r="D118">
        <f t="shared" si="11"/>
        <v>8</v>
      </c>
      <c r="E118">
        <f t="shared" si="12"/>
        <v>124</v>
      </c>
      <c r="F118">
        <f t="shared" si="13"/>
        <v>3091</v>
      </c>
      <c r="G118">
        <f t="shared" si="14"/>
        <v>0</v>
      </c>
      <c r="H118">
        <f t="shared" si="15"/>
        <v>0</v>
      </c>
      <c r="K118">
        <v>117</v>
      </c>
      <c r="L118">
        <v>116</v>
      </c>
      <c r="M118" t="s">
        <v>560</v>
      </c>
      <c r="N118">
        <v>8</v>
      </c>
      <c r="O118">
        <v>124</v>
      </c>
      <c r="P118" s="3">
        <v>3091</v>
      </c>
      <c r="Q118" s="3"/>
    </row>
    <row r="119" spans="1:17">
      <c r="A119" t="str">
        <f t="shared" si="8"/>
        <v>Joseph Bramlett</v>
      </c>
      <c r="B119">
        <f t="shared" si="9"/>
        <v>118</v>
      </c>
      <c r="C119">
        <f t="shared" si="10"/>
        <v>117</v>
      </c>
      <c r="D119">
        <f t="shared" si="11"/>
        <v>10</v>
      </c>
      <c r="E119">
        <f t="shared" si="12"/>
        <v>123</v>
      </c>
      <c r="F119">
        <f t="shared" si="13"/>
        <v>3092</v>
      </c>
      <c r="G119">
        <f t="shared" si="14"/>
        <v>0</v>
      </c>
      <c r="H119">
        <f t="shared" si="15"/>
        <v>0</v>
      </c>
      <c r="K119">
        <v>118</v>
      </c>
      <c r="L119">
        <v>117</v>
      </c>
      <c r="M119" t="s">
        <v>20</v>
      </c>
      <c r="N119">
        <v>10</v>
      </c>
      <c r="O119">
        <v>123</v>
      </c>
      <c r="P119" s="3">
        <v>3092</v>
      </c>
      <c r="Q119" s="3"/>
    </row>
    <row r="120" spans="1:17">
      <c r="A120" t="str">
        <f t="shared" si="8"/>
        <v>Greyson Sigg</v>
      </c>
      <c r="B120">
        <f t="shared" si="9"/>
        <v>119</v>
      </c>
      <c r="C120">
        <f t="shared" si="10"/>
        <v>118</v>
      </c>
      <c r="D120">
        <f t="shared" si="11"/>
        <v>10</v>
      </c>
      <c r="E120">
        <f t="shared" si="12"/>
        <v>120</v>
      </c>
      <c r="F120">
        <f t="shared" si="13"/>
        <v>3095</v>
      </c>
      <c r="G120">
        <f t="shared" si="14"/>
        <v>0</v>
      </c>
      <c r="H120">
        <f t="shared" si="15"/>
        <v>0</v>
      </c>
      <c r="K120">
        <v>119</v>
      </c>
      <c r="L120">
        <v>118</v>
      </c>
      <c r="M120" t="s">
        <v>134</v>
      </c>
      <c r="N120">
        <v>10</v>
      </c>
      <c r="O120">
        <v>120</v>
      </c>
      <c r="P120" s="3">
        <v>3095</v>
      </c>
      <c r="Q120" s="3"/>
    </row>
    <row r="121" spans="1:17">
      <c r="A121" t="str">
        <f t="shared" si="8"/>
        <v>Brandon Wu</v>
      </c>
      <c r="B121">
        <f t="shared" si="9"/>
        <v>120</v>
      </c>
      <c r="C121">
        <f t="shared" si="10"/>
        <v>119</v>
      </c>
      <c r="D121">
        <f t="shared" si="11"/>
        <v>10</v>
      </c>
      <c r="E121">
        <f t="shared" si="12"/>
        <v>118</v>
      </c>
      <c r="F121">
        <f t="shared" si="13"/>
        <v>3097</v>
      </c>
      <c r="G121">
        <f t="shared" si="14"/>
        <v>0</v>
      </c>
      <c r="H121">
        <f t="shared" si="15"/>
        <v>0</v>
      </c>
      <c r="K121">
        <v>120</v>
      </c>
      <c r="L121">
        <v>119</v>
      </c>
      <c r="M121" t="s">
        <v>133</v>
      </c>
      <c r="N121">
        <v>10</v>
      </c>
      <c r="O121">
        <v>118</v>
      </c>
      <c r="P121" s="3">
        <v>3097</v>
      </c>
      <c r="Q121" s="3"/>
    </row>
    <row r="122" spans="1:17">
      <c r="A122" t="str">
        <f t="shared" si="8"/>
        <v>Tyson Alexander</v>
      </c>
      <c r="B122">
        <f t="shared" si="9"/>
        <v>121</v>
      </c>
      <c r="C122">
        <f t="shared" si="10"/>
        <v>120</v>
      </c>
      <c r="D122">
        <f t="shared" si="11"/>
        <v>10</v>
      </c>
      <c r="E122">
        <f t="shared" si="12"/>
        <v>111</v>
      </c>
      <c r="F122">
        <f t="shared" si="13"/>
        <v>3104</v>
      </c>
      <c r="G122">
        <f t="shared" si="14"/>
        <v>0</v>
      </c>
      <c r="H122">
        <f t="shared" si="15"/>
        <v>0</v>
      </c>
      <c r="K122">
        <v>121</v>
      </c>
      <c r="L122">
        <v>120</v>
      </c>
      <c r="M122" t="s">
        <v>107</v>
      </c>
      <c r="N122">
        <v>10</v>
      </c>
      <c r="O122">
        <v>111</v>
      </c>
      <c r="P122" s="3">
        <v>3104</v>
      </c>
      <c r="Q122" s="3"/>
    </row>
    <row r="123" spans="1:17">
      <c r="A123" t="str">
        <f t="shared" si="8"/>
        <v>Alexander Björk</v>
      </c>
      <c r="B123">
        <f t="shared" si="9"/>
        <v>122</v>
      </c>
      <c r="C123">
        <f t="shared" si="10"/>
        <v>121</v>
      </c>
      <c r="D123">
        <f t="shared" si="11"/>
        <v>9</v>
      </c>
      <c r="E123">
        <f t="shared" si="12"/>
        <v>103</v>
      </c>
      <c r="F123">
        <f t="shared" si="13"/>
        <v>3112</v>
      </c>
      <c r="G123">
        <f t="shared" si="14"/>
        <v>0</v>
      </c>
      <c r="H123">
        <f t="shared" si="15"/>
        <v>0</v>
      </c>
      <c r="K123">
        <v>122</v>
      </c>
      <c r="L123">
        <v>121</v>
      </c>
      <c r="M123" t="s">
        <v>491</v>
      </c>
      <c r="N123">
        <v>9</v>
      </c>
      <c r="O123">
        <v>103</v>
      </c>
      <c r="P123" s="3">
        <v>3112</v>
      </c>
      <c r="Q123" s="3"/>
    </row>
    <row r="124" spans="1:17">
      <c r="A124" t="str">
        <f t="shared" si="8"/>
        <v>Jacob Bridgeman</v>
      </c>
      <c r="B124">
        <f t="shared" si="9"/>
        <v>123</v>
      </c>
      <c r="C124">
        <f t="shared" si="10"/>
        <v>122</v>
      </c>
      <c r="D124">
        <f t="shared" si="11"/>
        <v>9</v>
      </c>
      <c r="E124">
        <f t="shared" si="12"/>
        <v>101</v>
      </c>
      <c r="F124">
        <f t="shared" si="13"/>
        <v>3114</v>
      </c>
      <c r="G124">
        <f t="shared" si="14"/>
        <v>0</v>
      </c>
      <c r="H124">
        <f t="shared" si="15"/>
        <v>0</v>
      </c>
      <c r="K124">
        <v>123</v>
      </c>
      <c r="L124">
        <v>122</v>
      </c>
      <c r="M124" t="s">
        <v>496</v>
      </c>
      <c r="N124">
        <v>9</v>
      </c>
      <c r="O124">
        <v>101</v>
      </c>
      <c r="P124" s="3">
        <v>3114</v>
      </c>
      <c r="Q124" s="3"/>
    </row>
    <row r="125" spans="1:17">
      <c r="A125" t="str">
        <f t="shared" si="8"/>
        <v>Garrick Higgo</v>
      </c>
      <c r="B125">
        <f t="shared" si="9"/>
        <v>124</v>
      </c>
      <c r="C125">
        <f t="shared" si="10"/>
        <v>123</v>
      </c>
      <c r="D125">
        <f t="shared" si="11"/>
        <v>10</v>
      </c>
      <c r="E125">
        <f t="shared" si="12"/>
        <v>100</v>
      </c>
      <c r="F125">
        <f t="shared" si="13"/>
        <v>3115</v>
      </c>
      <c r="G125">
        <f t="shared" si="14"/>
        <v>0</v>
      </c>
      <c r="H125">
        <f t="shared" si="15"/>
        <v>0</v>
      </c>
      <c r="K125">
        <v>124</v>
      </c>
      <c r="L125">
        <v>123</v>
      </c>
      <c r="M125" t="s">
        <v>32</v>
      </c>
      <c r="N125">
        <v>10</v>
      </c>
      <c r="O125">
        <v>100</v>
      </c>
      <c r="P125" s="3">
        <v>3115</v>
      </c>
      <c r="Q125" s="3"/>
    </row>
    <row r="126" spans="1:17">
      <c r="A126" t="str">
        <f t="shared" si="8"/>
        <v>Scott Stallings</v>
      </c>
      <c r="B126">
        <f t="shared" si="9"/>
        <v>125</v>
      </c>
      <c r="C126">
        <f t="shared" si="10"/>
        <v>124</v>
      </c>
      <c r="D126">
        <f t="shared" si="11"/>
        <v>9</v>
      </c>
      <c r="E126">
        <f t="shared" si="12"/>
        <v>99</v>
      </c>
      <c r="F126">
        <f t="shared" si="13"/>
        <v>3116</v>
      </c>
      <c r="G126">
        <f t="shared" si="14"/>
        <v>0</v>
      </c>
      <c r="H126">
        <f t="shared" si="15"/>
        <v>0</v>
      </c>
      <c r="K126">
        <v>125</v>
      </c>
      <c r="L126">
        <v>124</v>
      </c>
      <c r="M126" t="s">
        <v>89</v>
      </c>
      <c r="N126">
        <v>9</v>
      </c>
      <c r="O126">
        <v>99</v>
      </c>
      <c r="P126" s="3">
        <v>3116</v>
      </c>
      <c r="Q126" s="3"/>
    </row>
    <row r="127" spans="1:17">
      <c r="A127" t="str">
        <f t="shared" si="8"/>
        <v>Matt Wallace</v>
      </c>
      <c r="B127">
        <f t="shared" si="9"/>
        <v>126</v>
      </c>
      <c r="C127">
        <f t="shared" si="10"/>
        <v>125</v>
      </c>
      <c r="D127">
        <f t="shared" si="11"/>
        <v>10</v>
      </c>
      <c r="E127">
        <f t="shared" si="12"/>
        <v>96</v>
      </c>
      <c r="F127">
        <f t="shared" si="13"/>
        <v>3119</v>
      </c>
      <c r="G127">
        <f t="shared" si="14"/>
        <v>0</v>
      </c>
      <c r="H127">
        <f t="shared" si="15"/>
        <v>0</v>
      </c>
      <c r="K127">
        <v>126</v>
      </c>
      <c r="L127">
        <v>125</v>
      </c>
      <c r="M127" t="s">
        <v>82</v>
      </c>
      <c r="N127">
        <v>10</v>
      </c>
      <c r="O127">
        <v>96</v>
      </c>
      <c r="P127" s="3">
        <v>3119</v>
      </c>
      <c r="Q127" s="3"/>
    </row>
    <row r="128" spans="1:17">
      <c r="A128" t="str">
        <f t="shared" si="8"/>
        <v>Nick Hardy</v>
      </c>
      <c r="B128">
        <f t="shared" si="9"/>
        <v>127</v>
      </c>
      <c r="C128">
        <f t="shared" si="10"/>
        <v>126</v>
      </c>
      <c r="D128">
        <f t="shared" si="11"/>
        <v>11</v>
      </c>
      <c r="E128">
        <f t="shared" si="12"/>
        <v>93</v>
      </c>
      <c r="F128">
        <f t="shared" si="13"/>
        <v>3122</v>
      </c>
      <c r="G128">
        <f t="shared" si="14"/>
        <v>0</v>
      </c>
      <c r="H128">
        <f t="shared" si="15"/>
        <v>0</v>
      </c>
      <c r="K128">
        <v>127</v>
      </c>
      <c r="L128">
        <v>126</v>
      </c>
      <c r="M128" t="s">
        <v>36</v>
      </c>
      <c r="N128">
        <v>11</v>
      </c>
      <c r="O128">
        <v>93</v>
      </c>
      <c r="P128" s="3">
        <v>3122</v>
      </c>
      <c r="Q128" s="3"/>
    </row>
    <row r="129" spans="1:17">
      <c r="A129" t="str">
        <f t="shared" si="8"/>
        <v>Chad Ramey</v>
      </c>
      <c r="B129">
        <f t="shared" si="9"/>
        <v>128</v>
      </c>
      <c r="C129">
        <f t="shared" si="10"/>
        <v>127</v>
      </c>
      <c r="D129">
        <f t="shared" si="11"/>
        <v>10</v>
      </c>
      <c r="E129">
        <f t="shared" si="12"/>
        <v>90</v>
      </c>
      <c r="F129">
        <f t="shared" si="13"/>
        <v>3125</v>
      </c>
      <c r="G129">
        <f t="shared" si="14"/>
        <v>0</v>
      </c>
      <c r="H129">
        <f t="shared" si="15"/>
        <v>0</v>
      </c>
      <c r="K129">
        <v>128</v>
      </c>
      <c r="L129">
        <v>127</v>
      </c>
      <c r="M129" t="s">
        <v>148</v>
      </c>
      <c r="N129">
        <v>10</v>
      </c>
      <c r="O129">
        <v>90</v>
      </c>
      <c r="P129" s="3">
        <v>3125</v>
      </c>
      <c r="Q129" s="3"/>
    </row>
    <row r="130" spans="1:17">
      <c r="A130" t="str">
        <f t="shared" si="8"/>
        <v>Nick Dunlap</v>
      </c>
      <c r="B130">
        <f t="shared" si="9"/>
        <v>129</v>
      </c>
      <c r="C130">
        <f t="shared" si="10"/>
        <v>128</v>
      </c>
      <c r="D130">
        <f t="shared" si="11"/>
        <v>1</v>
      </c>
      <c r="E130">
        <f t="shared" si="12"/>
        <v>89</v>
      </c>
      <c r="F130">
        <f t="shared" si="13"/>
        <v>3126</v>
      </c>
      <c r="G130">
        <f t="shared" si="14"/>
        <v>0</v>
      </c>
      <c r="H130">
        <f t="shared" si="15"/>
        <v>0</v>
      </c>
      <c r="K130">
        <v>129</v>
      </c>
      <c r="L130">
        <v>128</v>
      </c>
      <c r="M130" t="s">
        <v>539</v>
      </c>
      <c r="N130">
        <v>1</v>
      </c>
      <c r="O130">
        <v>89</v>
      </c>
      <c r="P130" s="3">
        <v>3126</v>
      </c>
      <c r="Q130" s="3"/>
    </row>
    <row r="131" spans="1:17">
      <c r="A131" t="str">
        <f t="shared" ref="A131:A194" si="16">M131</f>
        <v>Harry Hall</v>
      </c>
      <c r="B131">
        <f t="shared" ref="B131:B194" si="17">K131</f>
        <v>130</v>
      </c>
      <c r="C131">
        <f t="shared" ref="C131:C194" si="18">L131</f>
        <v>130</v>
      </c>
      <c r="D131">
        <f t="shared" ref="D131:D194" si="19">N131</f>
        <v>11</v>
      </c>
      <c r="E131">
        <f t="shared" ref="E131:E194" si="20">O131</f>
        <v>85</v>
      </c>
      <c r="F131">
        <f t="shared" ref="F131:F194" si="21">P131</f>
        <v>3130</v>
      </c>
      <c r="G131">
        <f t="shared" ref="G131:G194" si="22">Q131</f>
        <v>0</v>
      </c>
      <c r="H131">
        <f t="shared" ref="H131:H194" si="23">R131</f>
        <v>0</v>
      </c>
      <c r="K131">
        <v>130</v>
      </c>
      <c r="L131">
        <v>130</v>
      </c>
      <c r="M131" t="s">
        <v>108</v>
      </c>
      <c r="N131">
        <v>11</v>
      </c>
      <c r="O131">
        <v>85</v>
      </c>
      <c r="P131" s="3">
        <v>3130</v>
      </c>
      <c r="Q131" s="3"/>
    </row>
    <row r="132" spans="1:17">
      <c r="A132" t="str">
        <f t="shared" si="16"/>
        <v>Chez Reavie</v>
      </c>
      <c r="B132">
        <f t="shared" si="17"/>
        <v>131</v>
      </c>
      <c r="C132">
        <f t="shared" si="18"/>
        <v>131</v>
      </c>
      <c r="D132">
        <f t="shared" si="19"/>
        <v>9</v>
      </c>
      <c r="E132">
        <f t="shared" si="20"/>
        <v>85</v>
      </c>
      <c r="F132">
        <f t="shared" si="21"/>
        <v>3130</v>
      </c>
      <c r="G132">
        <f t="shared" si="22"/>
        <v>0</v>
      </c>
      <c r="H132">
        <f t="shared" si="23"/>
        <v>0</v>
      </c>
      <c r="K132">
        <v>131</v>
      </c>
      <c r="L132">
        <v>131</v>
      </c>
      <c r="M132" t="s">
        <v>177</v>
      </c>
      <c r="N132">
        <v>9</v>
      </c>
      <c r="O132">
        <v>85</v>
      </c>
      <c r="P132" s="3">
        <v>3130</v>
      </c>
      <c r="Q132" s="3"/>
    </row>
    <row r="133" spans="1:17">
      <c r="A133" t="str">
        <f t="shared" si="16"/>
        <v>Chesson Hadley</v>
      </c>
      <c r="B133">
        <f t="shared" si="17"/>
        <v>132</v>
      </c>
      <c r="C133">
        <f t="shared" si="18"/>
        <v>132</v>
      </c>
      <c r="D133">
        <f t="shared" si="19"/>
        <v>9</v>
      </c>
      <c r="E133">
        <f t="shared" si="20"/>
        <v>85</v>
      </c>
      <c r="F133">
        <f t="shared" si="21"/>
        <v>3130</v>
      </c>
      <c r="G133">
        <f t="shared" si="22"/>
        <v>0</v>
      </c>
      <c r="H133">
        <f t="shared" si="23"/>
        <v>0</v>
      </c>
      <c r="K133">
        <v>132</v>
      </c>
      <c r="L133">
        <v>132</v>
      </c>
      <c r="M133" t="s">
        <v>106</v>
      </c>
      <c r="N133">
        <v>9</v>
      </c>
      <c r="O133">
        <v>85</v>
      </c>
      <c r="P133" s="3">
        <v>3130</v>
      </c>
      <c r="Q133" s="3"/>
    </row>
    <row r="134" spans="1:17">
      <c r="A134" t="str">
        <f t="shared" si="16"/>
        <v>Henrik Norlander</v>
      </c>
      <c r="B134">
        <f t="shared" si="17"/>
        <v>133</v>
      </c>
      <c r="C134">
        <f t="shared" si="18"/>
        <v>133</v>
      </c>
      <c r="D134">
        <f t="shared" si="19"/>
        <v>3</v>
      </c>
      <c r="E134">
        <f t="shared" si="20"/>
        <v>84</v>
      </c>
      <c r="F134">
        <f t="shared" si="21"/>
        <v>3131</v>
      </c>
      <c r="G134">
        <f t="shared" si="22"/>
        <v>0</v>
      </c>
      <c r="H134">
        <f t="shared" si="23"/>
        <v>0</v>
      </c>
      <c r="K134">
        <v>133</v>
      </c>
      <c r="L134">
        <v>133</v>
      </c>
      <c r="M134" t="s">
        <v>157</v>
      </c>
      <c r="N134">
        <v>3</v>
      </c>
      <c r="O134">
        <v>84</v>
      </c>
      <c r="P134" s="3">
        <v>3131</v>
      </c>
      <c r="Q134" s="3"/>
    </row>
    <row r="135" spans="1:17">
      <c r="A135" t="str">
        <f t="shared" si="16"/>
        <v>Rafael Campos</v>
      </c>
      <c r="B135">
        <f t="shared" si="17"/>
        <v>134</v>
      </c>
      <c r="C135">
        <f t="shared" si="18"/>
        <v>134</v>
      </c>
      <c r="D135">
        <f t="shared" si="19"/>
        <v>6</v>
      </c>
      <c r="E135">
        <f t="shared" si="20"/>
        <v>83</v>
      </c>
      <c r="F135">
        <f t="shared" si="21"/>
        <v>3132</v>
      </c>
      <c r="G135">
        <f t="shared" si="22"/>
        <v>0</v>
      </c>
      <c r="H135">
        <f t="shared" si="23"/>
        <v>0</v>
      </c>
      <c r="K135">
        <v>134</v>
      </c>
      <c r="L135">
        <v>134</v>
      </c>
      <c r="M135" t="s">
        <v>558</v>
      </c>
      <c r="N135">
        <v>6</v>
      </c>
      <c r="O135">
        <v>83</v>
      </c>
      <c r="P135" s="3">
        <v>3132</v>
      </c>
      <c r="Q135" s="3"/>
    </row>
    <row r="136" spans="1:17">
      <c r="A136" t="str">
        <f t="shared" si="16"/>
        <v>Robby Shelton</v>
      </c>
      <c r="B136">
        <f t="shared" si="17"/>
        <v>135</v>
      </c>
      <c r="C136">
        <f t="shared" si="18"/>
        <v>135</v>
      </c>
      <c r="D136">
        <f t="shared" si="19"/>
        <v>10</v>
      </c>
      <c r="E136">
        <f t="shared" si="20"/>
        <v>82</v>
      </c>
      <c r="F136">
        <f t="shared" si="21"/>
        <v>3133</v>
      </c>
      <c r="G136">
        <f t="shared" si="22"/>
        <v>0</v>
      </c>
      <c r="H136">
        <f t="shared" si="23"/>
        <v>0</v>
      </c>
      <c r="K136">
        <v>135</v>
      </c>
      <c r="L136">
        <v>135</v>
      </c>
      <c r="M136" t="s">
        <v>149</v>
      </c>
      <c r="N136">
        <v>10</v>
      </c>
      <c r="O136">
        <v>82</v>
      </c>
      <c r="P136" s="3">
        <v>3133</v>
      </c>
      <c r="Q136" s="3"/>
    </row>
    <row r="137" spans="1:17">
      <c r="A137" t="str">
        <f t="shared" si="16"/>
        <v>Parker Coody</v>
      </c>
      <c r="B137">
        <f t="shared" si="17"/>
        <v>136</v>
      </c>
      <c r="C137">
        <f t="shared" si="18"/>
        <v>136</v>
      </c>
      <c r="D137">
        <f t="shared" si="19"/>
        <v>9</v>
      </c>
      <c r="E137">
        <f t="shared" si="20"/>
        <v>80</v>
      </c>
      <c r="F137">
        <f t="shared" si="21"/>
        <v>3135</v>
      </c>
      <c r="G137">
        <f t="shared" si="22"/>
        <v>0</v>
      </c>
      <c r="H137">
        <f t="shared" si="23"/>
        <v>0</v>
      </c>
      <c r="K137">
        <v>136</v>
      </c>
      <c r="L137">
        <v>136</v>
      </c>
      <c r="M137" t="s">
        <v>497</v>
      </c>
      <c r="N137">
        <v>9</v>
      </c>
      <c r="O137">
        <v>80</v>
      </c>
      <c r="P137" s="3">
        <v>3135</v>
      </c>
      <c r="Q137" s="3"/>
    </row>
    <row r="138" spans="1:17">
      <c r="A138" t="str">
        <f t="shared" si="16"/>
        <v>Tom Whitney</v>
      </c>
      <c r="B138">
        <f t="shared" si="17"/>
        <v>137</v>
      </c>
      <c r="C138">
        <f t="shared" si="18"/>
        <v>137</v>
      </c>
      <c r="D138">
        <f t="shared" si="19"/>
        <v>8</v>
      </c>
      <c r="E138">
        <f t="shared" si="20"/>
        <v>76</v>
      </c>
      <c r="F138">
        <f t="shared" si="21"/>
        <v>3139</v>
      </c>
      <c r="G138">
        <f t="shared" si="22"/>
        <v>0</v>
      </c>
      <c r="H138">
        <f t="shared" si="23"/>
        <v>0</v>
      </c>
      <c r="K138">
        <v>137</v>
      </c>
      <c r="L138">
        <v>137</v>
      </c>
      <c r="M138" t="s">
        <v>563</v>
      </c>
      <c r="N138">
        <v>8</v>
      </c>
      <c r="O138">
        <v>76</v>
      </c>
      <c r="P138" s="3">
        <v>3139</v>
      </c>
      <c r="Q138" s="3"/>
    </row>
    <row r="139" spans="1:17">
      <c r="A139" t="str">
        <f t="shared" si="16"/>
        <v>Davis Riley</v>
      </c>
      <c r="B139">
        <f t="shared" si="17"/>
        <v>138</v>
      </c>
      <c r="C139">
        <f t="shared" si="18"/>
        <v>138</v>
      </c>
      <c r="D139">
        <f t="shared" si="19"/>
        <v>11</v>
      </c>
      <c r="E139">
        <f t="shared" si="20"/>
        <v>75</v>
      </c>
      <c r="F139">
        <f t="shared" si="21"/>
        <v>3140</v>
      </c>
      <c r="G139">
        <f t="shared" si="22"/>
        <v>0</v>
      </c>
      <c r="H139">
        <f t="shared" si="23"/>
        <v>0</v>
      </c>
      <c r="K139">
        <v>138</v>
      </c>
      <c r="L139">
        <v>138</v>
      </c>
      <c r="M139" t="s">
        <v>55</v>
      </c>
      <c r="N139">
        <v>11</v>
      </c>
      <c r="O139">
        <v>75</v>
      </c>
      <c r="P139" s="3">
        <v>3140</v>
      </c>
      <c r="Q139" s="3"/>
    </row>
    <row r="140" spans="1:17">
      <c r="A140" t="str">
        <f t="shared" si="16"/>
        <v>Webb Simpson</v>
      </c>
      <c r="B140">
        <f t="shared" si="17"/>
        <v>139</v>
      </c>
      <c r="C140">
        <f t="shared" si="18"/>
        <v>139</v>
      </c>
      <c r="D140">
        <f t="shared" si="19"/>
        <v>6</v>
      </c>
      <c r="E140">
        <f t="shared" si="20"/>
        <v>75</v>
      </c>
      <c r="F140">
        <f t="shared" si="21"/>
        <v>3140</v>
      </c>
      <c r="G140">
        <f t="shared" si="22"/>
        <v>0</v>
      </c>
      <c r="H140">
        <f t="shared" si="23"/>
        <v>0</v>
      </c>
      <c r="K140">
        <v>139</v>
      </c>
      <c r="L140">
        <v>139</v>
      </c>
      <c r="M140" t="s">
        <v>102</v>
      </c>
      <c r="N140">
        <v>6</v>
      </c>
      <c r="O140">
        <v>75</v>
      </c>
      <c r="P140" s="3">
        <v>3140</v>
      </c>
      <c r="Q140" s="3"/>
    </row>
    <row r="141" spans="1:17">
      <c r="A141" t="str">
        <f t="shared" si="16"/>
        <v>Ben Kohles</v>
      </c>
      <c r="B141">
        <f t="shared" si="17"/>
        <v>140</v>
      </c>
      <c r="C141">
        <f t="shared" si="18"/>
        <v>140</v>
      </c>
      <c r="D141">
        <f t="shared" si="19"/>
        <v>10</v>
      </c>
      <c r="E141">
        <f t="shared" si="20"/>
        <v>73</v>
      </c>
      <c r="F141">
        <f t="shared" si="21"/>
        <v>3142</v>
      </c>
      <c r="G141">
        <f t="shared" si="22"/>
        <v>0</v>
      </c>
      <c r="H141">
        <f t="shared" si="23"/>
        <v>0</v>
      </c>
      <c r="K141">
        <v>140</v>
      </c>
      <c r="L141">
        <v>140</v>
      </c>
      <c r="M141" t="s">
        <v>419</v>
      </c>
      <c r="N141">
        <v>10</v>
      </c>
      <c r="O141">
        <v>73</v>
      </c>
      <c r="P141" s="3">
        <v>3142</v>
      </c>
      <c r="Q141" s="3"/>
    </row>
    <row r="142" spans="1:17">
      <c r="A142" t="str">
        <f t="shared" si="16"/>
        <v>Zach Johnson</v>
      </c>
      <c r="B142">
        <f t="shared" si="17"/>
        <v>141</v>
      </c>
      <c r="C142">
        <f t="shared" si="18"/>
        <v>141</v>
      </c>
      <c r="D142">
        <f t="shared" si="19"/>
        <v>7</v>
      </c>
      <c r="E142">
        <f t="shared" si="20"/>
        <v>72</v>
      </c>
      <c r="F142">
        <f t="shared" si="21"/>
        <v>3143</v>
      </c>
      <c r="G142">
        <f t="shared" si="22"/>
        <v>0</v>
      </c>
      <c r="H142">
        <f t="shared" si="23"/>
        <v>0</v>
      </c>
      <c r="K142">
        <v>141</v>
      </c>
      <c r="L142">
        <v>141</v>
      </c>
      <c r="M142" t="s">
        <v>170</v>
      </c>
      <c r="N142">
        <v>7</v>
      </c>
      <c r="O142">
        <v>72</v>
      </c>
      <c r="P142" s="3">
        <v>3143</v>
      </c>
      <c r="Q142" s="3"/>
    </row>
    <row r="143" spans="1:17">
      <c r="A143" t="str">
        <f t="shared" si="16"/>
        <v>Rico Hoey</v>
      </c>
      <c r="B143">
        <f t="shared" si="17"/>
        <v>142</v>
      </c>
      <c r="C143">
        <f t="shared" si="18"/>
        <v>142</v>
      </c>
      <c r="D143">
        <f t="shared" si="19"/>
        <v>9</v>
      </c>
      <c r="E143">
        <f t="shared" si="20"/>
        <v>70</v>
      </c>
      <c r="F143">
        <f t="shared" si="21"/>
        <v>3145</v>
      </c>
      <c r="G143">
        <f t="shared" si="22"/>
        <v>0</v>
      </c>
      <c r="H143">
        <f t="shared" si="23"/>
        <v>0</v>
      </c>
      <c r="K143">
        <v>142</v>
      </c>
      <c r="L143">
        <v>142</v>
      </c>
      <c r="M143" t="s">
        <v>485</v>
      </c>
      <c r="N143">
        <v>9</v>
      </c>
      <c r="O143">
        <v>70</v>
      </c>
      <c r="P143" s="3">
        <v>3145</v>
      </c>
      <c r="Q143" s="3"/>
    </row>
    <row r="144" spans="1:17">
      <c r="A144" t="str">
        <f t="shared" si="16"/>
        <v>Matt NeSmith</v>
      </c>
      <c r="B144">
        <f t="shared" si="17"/>
        <v>143</v>
      </c>
      <c r="C144">
        <f t="shared" si="18"/>
        <v>143</v>
      </c>
      <c r="D144">
        <f t="shared" si="19"/>
        <v>10</v>
      </c>
      <c r="E144">
        <f t="shared" si="20"/>
        <v>70</v>
      </c>
      <c r="F144">
        <f t="shared" si="21"/>
        <v>3145</v>
      </c>
      <c r="G144">
        <f t="shared" si="22"/>
        <v>0</v>
      </c>
      <c r="H144">
        <f t="shared" si="23"/>
        <v>0</v>
      </c>
      <c r="K144">
        <v>143</v>
      </c>
      <c r="L144">
        <v>143</v>
      </c>
      <c r="M144" t="s">
        <v>443</v>
      </c>
      <c r="N144">
        <v>10</v>
      </c>
      <c r="O144">
        <v>70</v>
      </c>
      <c r="P144" s="3">
        <v>3145</v>
      </c>
      <c r="Q144" s="3"/>
    </row>
    <row r="145" spans="1:17">
      <c r="A145" t="str">
        <f t="shared" si="16"/>
        <v>Cameron Champ</v>
      </c>
      <c r="B145">
        <f t="shared" si="17"/>
        <v>144</v>
      </c>
      <c r="C145">
        <f t="shared" si="18"/>
        <v>144</v>
      </c>
      <c r="D145">
        <f t="shared" si="19"/>
        <v>10</v>
      </c>
      <c r="E145">
        <f t="shared" si="20"/>
        <v>70</v>
      </c>
      <c r="F145">
        <f t="shared" si="21"/>
        <v>3145</v>
      </c>
      <c r="G145">
        <f t="shared" si="22"/>
        <v>0</v>
      </c>
      <c r="H145">
        <f t="shared" si="23"/>
        <v>0</v>
      </c>
      <c r="K145">
        <v>144</v>
      </c>
      <c r="L145">
        <v>144</v>
      </c>
      <c r="M145" t="s">
        <v>8</v>
      </c>
      <c r="N145">
        <v>10</v>
      </c>
      <c r="O145">
        <v>70</v>
      </c>
      <c r="P145" s="3">
        <v>3145</v>
      </c>
      <c r="Q145" s="3"/>
    </row>
    <row r="146" spans="1:17">
      <c r="A146" t="str">
        <f t="shared" si="16"/>
        <v>Bronson Burgoon</v>
      </c>
      <c r="B146">
        <f t="shared" si="17"/>
        <v>145</v>
      </c>
      <c r="C146">
        <f t="shared" si="18"/>
        <v>145</v>
      </c>
      <c r="D146">
        <f t="shared" si="19"/>
        <v>6</v>
      </c>
      <c r="E146">
        <f t="shared" si="20"/>
        <v>69</v>
      </c>
      <c r="F146">
        <f t="shared" si="21"/>
        <v>3146</v>
      </c>
      <c r="G146">
        <f t="shared" si="22"/>
        <v>0</v>
      </c>
      <c r="H146">
        <f t="shared" si="23"/>
        <v>0</v>
      </c>
      <c r="K146">
        <v>145</v>
      </c>
      <c r="L146">
        <v>145</v>
      </c>
      <c r="M146" t="s">
        <v>412</v>
      </c>
      <c r="N146">
        <v>6</v>
      </c>
      <c r="O146">
        <v>69</v>
      </c>
      <c r="P146" s="3">
        <v>3146</v>
      </c>
      <c r="Q146" s="3"/>
    </row>
    <row r="147" spans="1:17">
      <c r="A147" t="str">
        <f t="shared" si="16"/>
        <v>Troy Merritt</v>
      </c>
      <c r="B147">
        <f t="shared" si="17"/>
        <v>146</v>
      </c>
      <c r="C147">
        <f t="shared" si="18"/>
        <v>146</v>
      </c>
      <c r="D147">
        <f t="shared" si="19"/>
        <v>10</v>
      </c>
      <c r="E147">
        <f t="shared" si="20"/>
        <v>68</v>
      </c>
      <c r="F147">
        <f t="shared" si="21"/>
        <v>3147</v>
      </c>
      <c r="G147">
        <f t="shared" si="22"/>
        <v>0</v>
      </c>
      <c r="H147">
        <f t="shared" si="23"/>
        <v>0</v>
      </c>
      <c r="K147">
        <v>146</v>
      </c>
      <c r="L147">
        <v>146</v>
      </c>
      <c r="M147" t="s">
        <v>156</v>
      </c>
      <c r="N147">
        <v>10</v>
      </c>
      <c r="O147">
        <v>68</v>
      </c>
      <c r="P147" s="3">
        <v>3147</v>
      </c>
      <c r="Q147" s="3"/>
    </row>
    <row r="148" spans="1:17">
      <c r="A148" t="str">
        <f t="shared" si="16"/>
        <v>Thorbjørn Olesen</v>
      </c>
      <c r="B148">
        <f t="shared" si="17"/>
        <v>147</v>
      </c>
      <c r="C148">
        <f t="shared" si="18"/>
        <v>153</v>
      </c>
      <c r="D148">
        <f t="shared" si="19"/>
        <v>6</v>
      </c>
      <c r="E148">
        <f t="shared" si="20"/>
        <v>66</v>
      </c>
      <c r="F148">
        <f t="shared" si="21"/>
        <v>3149</v>
      </c>
      <c r="G148">
        <f t="shared" si="22"/>
        <v>0</v>
      </c>
      <c r="H148">
        <f t="shared" si="23"/>
        <v>0</v>
      </c>
      <c r="K148">
        <v>147</v>
      </c>
      <c r="L148">
        <v>153</v>
      </c>
      <c r="M148" t="s">
        <v>795</v>
      </c>
      <c r="N148">
        <v>6</v>
      </c>
      <c r="O148">
        <v>66</v>
      </c>
      <c r="P148" s="3">
        <v>3149</v>
      </c>
      <c r="Q148" s="3"/>
    </row>
    <row r="149" spans="1:17">
      <c r="A149" t="str">
        <f t="shared" si="16"/>
        <v>Stewart Cink</v>
      </c>
      <c r="B149">
        <f t="shared" si="17"/>
        <v>148</v>
      </c>
      <c r="C149">
        <f t="shared" si="18"/>
        <v>147</v>
      </c>
      <c r="D149">
        <f t="shared" si="19"/>
        <v>6</v>
      </c>
      <c r="E149">
        <f t="shared" si="20"/>
        <v>65</v>
      </c>
      <c r="F149">
        <f t="shared" si="21"/>
        <v>3150</v>
      </c>
      <c r="G149">
        <f t="shared" si="22"/>
        <v>0</v>
      </c>
      <c r="H149">
        <f t="shared" si="23"/>
        <v>0</v>
      </c>
      <c r="K149">
        <v>148</v>
      </c>
      <c r="L149">
        <v>147</v>
      </c>
      <c r="M149" t="s">
        <v>53</v>
      </c>
      <c r="N149">
        <v>6</v>
      </c>
      <c r="O149">
        <v>65</v>
      </c>
      <c r="P149" s="3">
        <v>3150</v>
      </c>
      <c r="Q149" s="3"/>
    </row>
    <row r="150" spans="1:17">
      <c r="A150" t="str">
        <f t="shared" si="16"/>
        <v>Bud Cauley</v>
      </c>
      <c r="B150">
        <f t="shared" si="17"/>
        <v>149</v>
      </c>
      <c r="C150">
        <f t="shared" si="18"/>
        <v>148</v>
      </c>
      <c r="D150">
        <f t="shared" si="19"/>
        <v>5</v>
      </c>
      <c r="E150">
        <f t="shared" si="20"/>
        <v>65</v>
      </c>
      <c r="F150">
        <f t="shared" si="21"/>
        <v>3150</v>
      </c>
      <c r="G150">
        <f t="shared" si="22"/>
        <v>0</v>
      </c>
      <c r="H150">
        <f t="shared" si="23"/>
        <v>0</v>
      </c>
      <c r="K150">
        <v>149</v>
      </c>
      <c r="L150">
        <v>148</v>
      </c>
      <c r="M150" t="s">
        <v>633</v>
      </c>
      <c r="N150">
        <v>5</v>
      </c>
      <c r="O150">
        <v>65</v>
      </c>
      <c r="P150" s="3">
        <v>3150</v>
      </c>
      <c r="Q150" s="3"/>
    </row>
    <row r="151" spans="1:17">
      <c r="A151" t="str">
        <f t="shared" si="16"/>
        <v>Adrien Dumont de Chassart</v>
      </c>
      <c r="B151">
        <f t="shared" si="17"/>
        <v>150</v>
      </c>
      <c r="C151">
        <f t="shared" si="18"/>
        <v>149</v>
      </c>
      <c r="D151">
        <f t="shared" si="19"/>
        <v>10</v>
      </c>
      <c r="E151">
        <f t="shared" si="20"/>
        <v>64</v>
      </c>
      <c r="F151">
        <f t="shared" si="21"/>
        <v>3151</v>
      </c>
      <c r="G151">
        <f t="shared" si="22"/>
        <v>0</v>
      </c>
      <c r="H151">
        <f t="shared" si="23"/>
        <v>0</v>
      </c>
      <c r="K151">
        <v>150</v>
      </c>
      <c r="L151">
        <v>149</v>
      </c>
      <c r="M151" t="s">
        <v>486</v>
      </c>
      <c r="N151">
        <v>10</v>
      </c>
      <c r="O151">
        <v>64</v>
      </c>
      <c r="P151" s="3">
        <v>3151</v>
      </c>
      <c r="Q151" s="3"/>
    </row>
    <row r="152" spans="1:17">
      <c r="A152" t="str">
        <f t="shared" si="16"/>
        <v>Tyler Duncan</v>
      </c>
      <c r="B152">
        <f t="shared" si="17"/>
        <v>151</v>
      </c>
      <c r="C152">
        <f t="shared" si="18"/>
        <v>150</v>
      </c>
      <c r="D152">
        <f t="shared" si="19"/>
        <v>10</v>
      </c>
      <c r="E152">
        <f t="shared" si="20"/>
        <v>64</v>
      </c>
      <c r="F152">
        <f t="shared" si="21"/>
        <v>3151</v>
      </c>
      <c r="G152">
        <f t="shared" si="22"/>
        <v>0</v>
      </c>
      <c r="H152">
        <f t="shared" si="23"/>
        <v>0</v>
      </c>
      <c r="K152">
        <v>151</v>
      </c>
      <c r="L152">
        <v>150</v>
      </c>
      <c r="M152" t="s">
        <v>116</v>
      </c>
      <c r="N152">
        <v>10</v>
      </c>
      <c r="O152">
        <v>64</v>
      </c>
      <c r="P152" s="3">
        <v>3151</v>
      </c>
      <c r="Q152" s="3"/>
    </row>
    <row r="153" spans="1:17">
      <c r="A153" t="str">
        <f t="shared" si="16"/>
        <v>Gary Woodland</v>
      </c>
      <c r="B153">
        <f t="shared" si="17"/>
        <v>152</v>
      </c>
      <c r="C153">
        <f t="shared" si="18"/>
        <v>151</v>
      </c>
      <c r="D153">
        <f t="shared" si="19"/>
        <v>9</v>
      </c>
      <c r="E153">
        <f t="shared" si="20"/>
        <v>62</v>
      </c>
      <c r="F153">
        <f t="shared" si="21"/>
        <v>3153</v>
      </c>
      <c r="G153">
        <f t="shared" si="22"/>
        <v>0</v>
      </c>
      <c r="H153">
        <f t="shared" si="23"/>
        <v>0</v>
      </c>
      <c r="K153">
        <v>152</v>
      </c>
      <c r="L153">
        <v>151</v>
      </c>
      <c r="M153" t="s">
        <v>17</v>
      </c>
      <c r="N153">
        <v>9</v>
      </c>
      <c r="O153">
        <v>62</v>
      </c>
      <c r="P153" s="3">
        <v>3153</v>
      </c>
      <c r="Q153" s="3"/>
    </row>
    <row r="154" spans="1:17">
      <c r="A154" t="str">
        <f t="shared" si="16"/>
        <v>Jorge Campillo</v>
      </c>
      <c r="B154">
        <f t="shared" si="17"/>
        <v>153</v>
      </c>
      <c r="C154">
        <f t="shared" si="18"/>
        <v>152</v>
      </c>
      <c r="D154">
        <f t="shared" si="19"/>
        <v>6</v>
      </c>
      <c r="E154">
        <f t="shared" si="20"/>
        <v>58</v>
      </c>
      <c r="F154">
        <f t="shared" si="21"/>
        <v>3157</v>
      </c>
      <c r="G154">
        <f t="shared" si="22"/>
        <v>0</v>
      </c>
      <c r="H154">
        <f t="shared" si="23"/>
        <v>0</v>
      </c>
      <c r="K154">
        <v>153</v>
      </c>
      <c r="L154">
        <v>152</v>
      </c>
      <c r="M154" t="s">
        <v>693</v>
      </c>
      <c r="N154">
        <v>6</v>
      </c>
      <c r="O154">
        <v>58</v>
      </c>
      <c r="P154" s="3">
        <v>3157</v>
      </c>
      <c r="Q154" s="3"/>
    </row>
    <row r="155" spans="1:17">
      <c r="A155" t="str">
        <f t="shared" si="16"/>
        <v>Jhonattan Vegas</v>
      </c>
      <c r="B155">
        <f t="shared" si="17"/>
        <v>154</v>
      </c>
      <c r="C155">
        <f t="shared" si="18"/>
        <v>154</v>
      </c>
      <c r="D155">
        <f t="shared" si="19"/>
        <v>8</v>
      </c>
      <c r="E155">
        <f t="shared" si="20"/>
        <v>57</v>
      </c>
      <c r="F155">
        <f t="shared" si="21"/>
        <v>3158</v>
      </c>
      <c r="G155">
        <f t="shared" si="22"/>
        <v>0</v>
      </c>
      <c r="H155">
        <f t="shared" si="23"/>
        <v>0</v>
      </c>
      <c r="K155">
        <v>154</v>
      </c>
      <c r="L155">
        <v>154</v>
      </c>
      <c r="M155" t="s">
        <v>241</v>
      </c>
      <c r="N155">
        <v>8</v>
      </c>
      <c r="O155">
        <v>57</v>
      </c>
      <c r="P155" s="3">
        <v>3158</v>
      </c>
      <c r="Q155" s="3"/>
    </row>
    <row r="156" spans="1:17">
      <c r="A156" t="str">
        <f t="shared" si="16"/>
        <v>Justin Suh</v>
      </c>
      <c r="B156">
        <f t="shared" si="17"/>
        <v>155</v>
      </c>
      <c r="C156">
        <f t="shared" si="18"/>
        <v>155</v>
      </c>
      <c r="D156">
        <f t="shared" si="19"/>
        <v>10</v>
      </c>
      <c r="E156">
        <f t="shared" si="20"/>
        <v>56</v>
      </c>
      <c r="F156">
        <f t="shared" si="21"/>
        <v>3159</v>
      </c>
      <c r="G156">
        <f t="shared" si="22"/>
        <v>0</v>
      </c>
      <c r="H156">
        <f t="shared" si="23"/>
        <v>0</v>
      </c>
      <c r="K156">
        <v>155</v>
      </c>
      <c r="L156">
        <v>155</v>
      </c>
      <c r="M156" t="s">
        <v>109</v>
      </c>
      <c r="N156">
        <v>10</v>
      </c>
      <c r="O156">
        <v>56</v>
      </c>
      <c r="P156" s="3">
        <v>3159</v>
      </c>
      <c r="Q156" s="3"/>
    </row>
    <row r="157" spans="1:17">
      <c r="A157" t="str">
        <f t="shared" si="16"/>
        <v>Vince Whaley</v>
      </c>
      <c r="B157">
        <f t="shared" si="17"/>
        <v>156</v>
      </c>
      <c r="C157">
        <f t="shared" si="18"/>
        <v>156</v>
      </c>
      <c r="D157">
        <f t="shared" si="19"/>
        <v>9</v>
      </c>
      <c r="E157">
        <f t="shared" si="20"/>
        <v>56</v>
      </c>
      <c r="F157">
        <f t="shared" si="21"/>
        <v>3159</v>
      </c>
      <c r="G157">
        <f t="shared" si="22"/>
        <v>0</v>
      </c>
      <c r="H157">
        <f t="shared" si="23"/>
        <v>0</v>
      </c>
      <c r="K157">
        <v>156</v>
      </c>
      <c r="L157">
        <v>156</v>
      </c>
      <c r="M157" t="s">
        <v>223</v>
      </c>
      <c r="N157">
        <v>9</v>
      </c>
      <c r="O157">
        <v>56</v>
      </c>
      <c r="P157" s="3">
        <v>3159</v>
      </c>
      <c r="Q157" s="3"/>
    </row>
    <row r="158" spans="1:17">
      <c r="A158" t="str">
        <f t="shared" si="16"/>
        <v>Patton Kizzire</v>
      </c>
      <c r="B158">
        <f t="shared" si="17"/>
        <v>157</v>
      </c>
      <c r="C158">
        <f t="shared" si="18"/>
        <v>157</v>
      </c>
      <c r="D158">
        <f t="shared" si="19"/>
        <v>7</v>
      </c>
      <c r="E158">
        <f t="shared" si="20"/>
        <v>55</v>
      </c>
      <c r="F158">
        <f t="shared" si="21"/>
        <v>3160</v>
      </c>
      <c r="G158">
        <f t="shared" si="22"/>
        <v>0</v>
      </c>
      <c r="H158">
        <f t="shared" si="23"/>
        <v>0</v>
      </c>
      <c r="K158">
        <v>157</v>
      </c>
      <c r="L158">
        <v>157</v>
      </c>
      <c r="M158" t="s">
        <v>91</v>
      </c>
      <c r="N158">
        <v>7</v>
      </c>
      <c r="O158">
        <v>55</v>
      </c>
      <c r="P158" s="3">
        <v>3160</v>
      </c>
      <c r="Q158" s="3"/>
    </row>
    <row r="159" spans="1:17">
      <c r="A159" t="str">
        <f t="shared" si="16"/>
        <v>Ryan Brehm</v>
      </c>
      <c r="B159">
        <f t="shared" si="17"/>
        <v>158</v>
      </c>
      <c r="C159">
        <f t="shared" si="18"/>
        <v>158</v>
      </c>
      <c r="D159">
        <f t="shared" si="19"/>
        <v>10</v>
      </c>
      <c r="E159">
        <f t="shared" si="20"/>
        <v>54</v>
      </c>
      <c r="F159">
        <f t="shared" si="21"/>
        <v>3161</v>
      </c>
      <c r="G159">
        <f t="shared" si="22"/>
        <v>0</v>
      </c>
      <c r="H159">
        <f t="shared" si="23"/>
        <v>0</v>
      </c>
      <c r="K159">
        <v>158</v>
      </c>
      <c r="L159">
        <v>158</v>
      </c>
      <c r="M159" t="s">
        <v>37</v>
      </c>
      <c r="N159">
        <v>10</v>
      </c>
      <c r="O159">
        <v>54</v>
      </c>
      <c r="P159" s="3">
        <v>3161</v>
      </c>
      <c r="Q159" s="3"/>
    </row>
    <row r="160" spans="1:17">
      <c r="A160" t="str">
        <f t="shared" si="16"/>
        <v>Ryan Fox</v>
      </c>
      <c r="B160">
        <f t="shared" si="17"/>
        <v>159</v>
      </c>
      <c r="C160">
        <f t="shared" si="18"/>
        <v>175</v>
      </c>
      <c r="D160">
        <f t="shared" si="19"/>
        <v>9</v>
      </c>
      <c r="E160">
        <f t="shared" si="20"/>
        <v>53</v>
      </c>
      <c r="F160">
        <f t="shared" si="21"/>
        <v>3162</v>
      </c>
      <c r="G160">
        <f t="shared" si="22"/>
        <v>0</v>
      </c>
      <c r="H160">
        <f t="shared" si="23"/>
        <v>0</v>
      </c>
      <c r="K160">
        <v>159</v>
      </c>
      <c r="L160">
        <v>175</v>
      </c>
      <c r="M160" t="s">
        <v>549</v>
      </c>
      <c r="N160">
        <v>9</v>
      </c>
      <c r="O160">
        <v>53</v>
      </c>
      <c r="P160" s="3">
        <v>3162</v>
      </c>
      <c r="Q160" s="3"/>
    </row>
    <row r="161" spans="1:17">
      <c r="A161" t="str">
        <f t="shared" si="16"/>
        <v>Norman Xiong</v>
      </c>
      <c r="B161">
        <f t="shared" si="17"/>
        <v>160</v>
      </c>
      <c r="C161">
        <f t="shared" si="18"/>
        <v>159</v>
      </c>
      <c r="D161">
        <f t="shared" si="19"/>
        <v>9</v>
      </c>
      <c r="E161">
        <f t="shared" si="20"/>
        <v>53</v>
      </c>
      <c r="F161">
        <f t="shared" si="21"/>
        <v>3162</v>
      </c>
      <c r="G161">
        <f t="shared" si="22"/>
        <v>0</v>
      </c>
      <c r="H161">
        <f t="shared" si="23"/>
        <v>0</v>
      </c>
      <c r="K161">
        <v>160</v>
      </c>
      <c r="L161">
        <v>159</v>
      </c>
      <c r="M161" t="s">
        <v>494</v>
      </c>
      <c r="N161">
        <v>9</v>
      </c>
      <c r="O161">
        <v>53</v>
      </c>
      <c r="P161" s="3">
        <v>3162</v>
      </c>
      <c r="Q161" s="3"/>
    </row>
    <row r="162" spans="1:17">
      <c r="A162" t="str">
        <f t="shared" si="16"/>
        <v>Kevin Streelman</v>
      </c>
      <c r="B162">
        <f t="shared" si="17"/>
        <v>161</v>
      </c>
      <c r="C162">
        <f t="shared" si="18"/>
        <v>160</v>
      </c>
      <c r="D162">
        <f t="shared" si="19"/>
        <v>8</v>
      </c>
      <c r="E162">
        <f t="shared" si="20"/>
        <v>51</v>
      </c>
      <c r="F162">
        <f t="shared" si="21"/>
        <v>3164</v>
      </c>
      <c r="G162">
        <f t="shared" si="22"/>
        <v>0</v>
      </c>
      <c r="H162">
        <f t="shared" si="23"/>
        <v>0</v>
      </c>
      <c r="K162">
        <v>161</v>
      </c>
      <c r="L162">
        <v>160</v>
      </c>
      <c r="M162" t="s">
        <v>123</v>
      </c>
      <c r="N162">
        <v>8</v>
      </c>
      <c r="O162">
        <v>51</v>
      </c>
      <c r="P162" s="3">
        <v>3164</v>
      </c>
      <c r="Q162" s="3"/>
    </row>
    <row r="163" spans="1:17">
      <c r="A163" t="str">
        <f t="shared" si="16"/>
        <v>Kevin Chappell</v>
      </c>
      <c r="B163">
        <f t="shared" si="17"/>
        <v>162</v>
      </c>
      <c r="C163">
        <f t="shared" si="18"/>
        <v>161</v>
      </c>
      <c r="D163">
        <f t="shared" si="19"/>
        <v>5</v>
      </c>
      <c r="E163">
        <f t="shared" si="20"/>
        <v>49</v>
      </c>
      <c r="F163">
        <f t="shared" si="21"/>
        <v>3166</v>
      </c>
      <c r="G163">
        <f t="shared" si="22"/>
        <v>0</v>
      </c>
      <c r="H163">
        <f t="shared" si="23"/>
        <v>0</v>
      </c>
      <c r="K163">
        <v>162</v>
      </c>
      <c r="L163">
        <v>161</v>
      </c>
      <c r="M163" t="s">
        <v>84</v>
      </c>
      <c r="N163">
        <v>5</v>
      </c>
      <c r="O163">
        <v>49</v>
      </c>
      <c r="P163" s="3">
        <v>3166</v>
      </c>
      <c r="Q163" s="3"/>
    </row>
    <row r="164" spans="1:17">
      <c r="A164" t="str">
        <f t="shared" si="16"/>
        <v>Daniel Berger</v>
      </c>
      <c r="B164">
        <f t="shared" si="17"/>
        <v>163</v>
      </c>
      <c r="C164">
        <f t="shared" si="18"/>
        <v>162</v>
      </c>
      <c r="D164">
        <f t="shared" si="19"/>
        <v>7</v>
      </c>
      <c r="E164">
        <f t="shared" si="20"/>
        <v>47</v>
      </c>
      <c r="F164">
        <f t="shared" si="21"/>
        <v>3168</v>
      </c>
      <c r="G164">
        <f t="shared" si="22"/>
        <v>0</v>
      </c>
      <c r="H164">
        <f t="shared" si="23"/>
        <v>0</v>
      </c>
      <c r="K164">
        <v>163</v>
      </c>
      <c r="L164">
        <v>162</v>
      </c>
      <c r="M164" t="s">
        <v>384</v>
      </c>
      <c r="N164">
        <v>7</v>
      </c>
      <c r="O164">
        <v>47</v>
      </c>
      <c r="P164" s="3">
        <v>3168</v>
      </c>
      <c r="Q164" s="3"/>
    </row>
    <row r="165" spans="1:17">
      <c r="A165" t="str">
        <f t="shared" si="16"/>
        <v>Zac Blair</v>
      </c>
      <c r="B165">
        <f t="shared" si="17"/>
        <v>164</v>
      </c>
      <c r="C165">
        <f t="shared" si="18"/>
        <v>163</v>
      </c>
      <c r="D165">
        <f t="shared" si="19"/>
        <v>9</v>
      </c>
      <c r="E165">
        <f t="shared" si="20"/>
        <v>46</v>
      </c>
      <c r="F165">
        <f t="shared" si="21"/>
        <v>3169</v>
      </c>
      <c r="G165">
        <f t="shared" si="22"/>
        <v>0</v>
      </c>
      <c r="H165">
        <f t="shared" si="23"/>
        <v>0</v>
      </c>
      <c r="K165">
        <v>164</v>
      </c>
      <c r="L165">
        <v>163</v>
      </c>
      <c r="M165" t="s">
        <v>187</v>
      </c>
      <c r="N165">
        <v>9</v>
      </c>
      <c r="O165">
        <v>46</v>
      </c>
      <c r="P165" s="3">
        <v>3169</v>
      </c>
      <c r="Q165" s="3"/>
    </row>
    <row r="166" spans="1:17">
      <c r="A166" t="str">
        <f t="shared" si="16"/>
        <v>Martin Trainer</v>
      </c>
      <c r="B166">
        <f t="shared" si="17"/>
        <v>165</v>
      </c>
      <c r="C166">
        <f t="shared" si="18"/>
        <v>164</v>
      </c>
      <c r="D166">
        <f t="shared" si="19"/>
        <v>4</v>
      </c>
      <c r="E166">
        <f t="shared" si="20"/>
        <v>45</v>
      </c>
      <c r="F166">
        <f t="shared" si="21"/>
        <v>3170</v>
      </c>
      <c r="G166">
        <f t="shared" si="22"/>
        <v>0</v>
      </c>
      <c r="H166">
        <f t="shared" si="23"/>
        <v>0</v>
      </c>
      <c r="K166">
        <v>165</v>
      </c>
      <c r="L166">
        <v>164</v>
      </c>
      <c r="M166" t="s">
        <v>83</v>
      </c>
      <c r="N166">
        <v>4</v>
      </c>
      <c r="O166">
        <v>45</v>
      </c>
      <c r="P166" s="3">
        <v>3170</v>
      </c>
      <c r="Q166" s="3"/>
    </row>
    <row r="167" spans="1:17">
      <c r="A167" t="str">
        <f t="shared" si="16"/>
        <v>Alex Smalley</v>
      </c>
      <c r="B167">
        <f t="shared" si="17"/>
        <v>166</v>
      </c>
      <c r="C167">
        <f t="shared" si="18"/>
        <v>165</v>
      </c>
      <c r="D167">
        <f t="shared" si="19"/>
        <v>11</v>
      </c>
      <c r="E167">
        <f t="shared" si="20"/>
        <v>45</v>
      </c>
      <c r="F167">
        <f t="shared" si="21"/>
        <v>3170</v>
      </c>
      <c r="G167">
        <f t="shared" si="22"/>
        <v>0</v>
      </c>
      <c r="H167">
        <f t="shared" si="23"/>
        <v>0</v>
      </c>
      <c r="K167">
        <v>166</v>
      </c>
      <c r="L167">
        <v>165</v>
      </c>
      <c r="M167" t="s">
        <v>79</v>
      </c>
      <c r="N167">
        <v>11</v>
      </c>
      <c r="O167">
        <v>45</v>
      </c>
      <c r="P167" s="3">
        <v>3170</v>
      </c>
      <c r="Q167" s="3"/>
    </row>
    <row r="168" spans="1:17">
      <c r="A168" t="str">
        <f t="shared" si="16"/>
        <v>Camilo Villegas</v>
      </c>
      <c r="B168">
        <f t="shared" si="17"/>
        <v>167</v>
      </c>
      <c r="C168">
        <f t="shared" si="18"/>
        <v>182</v>
      </c>
      <c r="D168">
        <f t="shared" si="19"/>
        <v>10</v>
      </c>
      <c r="E168">
        <f t="shared" si="20"/>
        <v>45</v>
      </c>
      <c r="F168">
        <f t="shared" si="21"/>
        <v>3170</v>
      </c>
      <c r="G168">
        <f t="shared" si="22"/>
        <v>0</v>
      </c>
      <c r="H168">
        <f t="shared" si="23"/>
        <v>0</v>
      </c>
      <c r="K168">
        <v>167</v>
      </c>
      <c r="L168">
        <v>182</v>
      </c>
      <c r="M168" t="s">
        <v>222</v>
      </c>
      <c r="N168">
        <v>10</v>
      </c>
      <c r="O168">
        <v>45</v>
      </c>
      <c r="P168" s="3">
        <v>3170</v>
      </c>
      <c r="Q168" s="3"/>
    </row>
    <row r="169" spans="1:17">
      <c r="A169" t="str">
        <f t="shared" si="16"/>
        <v>Austin Cook</v>
      </c>
      <c r="B169">
        <f t="shared" si="17"/>
        <v>168</v>
      </c>
      <c r="C169">
        <f t="shared" si="18"/>
        <v>166</v>
      </c>
      <c r="D169">
        <f t="shared" si="19"/>
        <v>3</v>
      </c>
      <c r="E169">
        <f t="shared" si="20"/>
        <v>42</v>
      </c>
      <c r="F169">
        <f t="shared" si="21"/>
        <v>3173</v>
      </c>
      <c r="G169">
        <f t="shared" si="22"/>
        <v>0</v>
      </c>
      <c r="H169">
        <f t="shared" si="23"/>
        <v>0</v>
      </c>
      <c r="K169">
        <v>168</v>
      </c>
      <c r="L169">
        <v>166</v>
      </c>
      <c r="M169" t="s">
        <v>186</v>
      </c>
      <c r="N169">
        <v>3</v>
      </c>
      <c r="O169">
        <v>42</v>
      </c>
      <c r="P169" s="3">
        <v>3173</v>
      </c>
      <c r="Q169" s="3"/>
    </row>
    <row r="170" spans="1:17">
      <c r="A170" t="str">
        <f t="shared" si="16"/>
        <v>Kevin Dougherty</v>
      </c>
      <c r="B170">
        <f t="shared" si="17"/>
        <v>169</v>
      </c>
      <c r="C170">
        <f t="shared" si="18"/>
        <v>167</v>
      </c>
      <c r="D170">
        <f t="shared" si="19"/>
        <v>8</v>
      </c>
      <c r="E170">
        <f t="shared" si="20"/>
        <v>41</v>
      </c>
      <c r="F170">
        <f t="shared" si="21"/>
        <v>3174</v>
      </c>
      <c r="G170">
        <f t="shared" si="22"/>
        <v>0</v>
      </c>
      <c r="H170">
        <f t="shared" si="23"/>
        <v>0</v>
      </c>
      <c r="K170">
        <v>169</v>
      </c>
      <c r="L170">
        <v>167</v>
      </c>
      <c r="M170" t="s">
        <v>562</v>
      </c>
      <c r="N170">
        <v>8</v>
      </c>
      <c r="O170">
        <v>41</v>
      </c>
      <c r="P170" s="3">
        <v>3174</v>
      </c>
      <c r="Q170" s="3"/>
    </row>
    <row r="171" spans="1:17">
      <c r="A171" t="str">
        <f t="shared" si="16"/>
        <v>Lanto Griffin</v>
      </c>
      <c r="B171">
        <f t="shared" si="17"/>
        <v>170</v>
      </c>
      <c r="C171">
        <f t="shared" si="18"/>
        <v>168</v>
      </c>
      <c r="D171">
        <f t="shared" si="19"/>
        <v>7</v>
      </c>
      <c r="E171">
        <f t="shared" si="20"/>
        <v>40</v>
      </c>
      <c r="F171">
        <f t="shared" si="21"/>
        <v>3175</v>
      </c>
      <c r="G171">
        <f t="shared" si="22"/>
        <v>0</v>
      </c>
      <c r="H171">
        <f t="shared" si="23"/>
        <v>0</v>
      </c>
      <c r="K171">
        <v>170</v>
      </c>
      <c r="L171">
        <v>168</v>
      </c>
      <c r="M171" t="s">
        <v>80</v>
      </c>
      <c r="N171">
        <v>7</v>
      </c>
      <c r="O171">
        <v>40</v>
      </c>
      <c r="P171" s="3">
        <v>3175</v>
      </c>
      <c r="Q171" s="3"/>
    </row>
    <row r="172" spans="1:17">
      <c r="A172" t="str">
        <f t="shared" si="16"/>
        <v>J.J. Spaun</v>
      </c>
      <c r="B172">
        <f t="shared" si="17"/>
        <v>171</v>
      </c>
      <c r="C172">
        <f t="shared" si="18"/>
        <v>169</v>
      </c>
      <c r="D172">
        <f t="shared" si="19"/>
        <v>10</v>
      </c>
      <c r="E172">
        <f t="shared" si="20"/>
        <v>40</v>
      </c>
      <c r="F172">
        <f t="shared" si="21"/>
        <v>3175</v>
      </c>
      <c r="G172">
        <f t="shared" si="22"/>
        <v>0</v>
      </c>
      <c r="H172">
        <f t="shared" si="23"/>
        <v>0</v>
      </c>
      <c r="K172">
        <v>171</v>
      </c>
      <c r="L172">
        <v>169</v>
      </c>
      <c r="M172" t="s">
        <v>112</v>
      </c>
      <c r="N172">
        <v>10</v>
      </c>
      <c r="O172">
        <v>40</v>
      </c>
      <c r="P172" s="3">
        <v>3175</v>
      </c>
      <c r="Q172" s="3"/>
    </row>
    <row r="173" spans="1:17">
      <c r="A173" t="str">
        <f t="shared" si="16"/>
        <v>Chris Gotterup</v>
      </c>
      <c r="B173">
        <f t="shared" si="17"/>
        <v>172</v>
      </c>
      <c r="C173">
        <f t="shared" si="18"/>
        <v>170</v>
      </c>
      <c r="D173">
        <f t="shared" si="19"/>
        <v>9</v>
      </c>
      <c r="E173">
        <f t="shared" si="20"/>
        <v>35</v>
      </c>
      <c r="F173">
        <f t="shared" si="21"/>
        <v>3180</v>
      </c>
      <c r="G173">
        <f t="shared" si="22"/>
        <v>0</v>
      </c>
      <c r="H173">
        <f t="shared" si="23"/>
        <v>0</v>
      </c>
      <c r="K173">
        <v>172</v>
      </c>
      <c r="L173">
        <v>170</v>
      </c>
      <c r="M173" t="s">
        <v>596</v>
      </c>
      <c r="N173">
        <v>9</v>
      </c>
      <c r="O173">
        <v>35</v>
      </c>
      <c r="P173" s="3">
        <v>3180</v>
      </c>
      <c r="Q173" s="3"/>
    </row>
    <row r="174" spans="1:17">
      <c r="A174" t="str">
        <f t="shared" si="16"/>
        <v>David Lipsky</v>
      </c>
      <c r="B174">
        <f t="shared" si="17"/>
        <v>173</v>
      </c>
      <c r="C174">
        <f t="shared" si="18"/>
        <v>171</v>
      </c>
      <c r="D174">
        <f t="shared" si="19"/>
        <v>10</v>
      </c>
      <c r="E174">
        <f t="shared" si="20"/>
        <v>35</v>
      </c>
      <c r="F174">
        <f t="shared" si="21"/>
        <v>3180</v>
      </c>
      <c r="G174">
        <f t="shared" si="22"/>
        <v>0</v>
      </c>
      <c r="H174">
        <f t="shared" si="23"/>
        <v>0</v>
      </c>
      <c r="K174">
        <v>173</v>
      </c>
      <c r="L174">
        <v>171</v>
      </c>
      <c r="M174" t="s">
        <v>163</v>
      </c>
      <c r="N174">
        <v>10</v>
      </c>
      <c r="O174">
        <v>35</v>
      </c>
      <c r="P174" s="3">
        <v>3180</v>
      </c>
      <c r="Q174" s="3"/>
    </row>
    <row r="175" spans="1:17">
      <c r="A175" t="str">
        <f t="shared" si="16"/>
        <v>Trace Crowe</v>
      </c>
      <c r="B175">
        <f t="shared" si="17"/>
        <v>174</v>
      </c>
      <c r="C175">
        <f t="shared" si="18"/>
        <v>172</v>
      </c>
      <c r="D175">
        <f t="shared" si="19"/>
        <v>7</v>
      </c>
      <c r="E175">
        <f t="shared" si="20"/>
        <v>35</v>
      </c>
      <c r="F175">
        <f t="shared" si="21"/>
        <v>3180</v>
      </c>
      <c r="G175">
        <f t="shared" si="22"/>
        <v>0</v>
      </c>
      <c r="H175">
        <f t="shared" si="23"/>
        <v>0</v>
      </c>
      <c r="K175">
        <v>174</v>
      </c>
      <c r="L175">
        <v>172</v>
      </c>
      <c r="M175" t="s">
        <v>559</v>
      </c>
      <c r="N175">
        <v>7</v>
      </c>
      <c r="O175">
        <v>35</v>
      </c>
      <c r="P175" s="3">
        <v>3180</v>
      </c>
      <c r="Q175" s="3"/>
    </row>
    <row r="176" spans="1:17">
      <c r="A176" t="str">
        <f t="shared" si="16"/>
        <v>Vincent Norrman</v>
      </c>
      <c r="B176">
        <f t="shared" si="17"/>
        <v>175</v>
      </c>
      <c r="C176">
        <f t="shared" si="18"/>
        <v>173</v>
      </c>
      <c r="D176">
        <f t="shared" si="19"/>
        <v>9</v>
      </c>
      <c r="E176">
        <f t="shared" si="20"/>
        <v>34</v>
      </c>
      <c r="F176">
        <f t="shared" si="21"/>
        <v>3181</v>
      </c>
      <c r="G176">
        <f t="shared" si="22"/>
        <v>0</v>
      </c>
      <c r="H176">
        <f t="shared" si="23"/>
        <v>0</v>
      </c>
      <c r="K176">
        <v>175</v>
      </c>
      <c r="L176">
        <v>173</v>
      </c>
      <c r="M176" t="s">
        <v>13</v>
      </c>
      <c r="N176">
        <v>9</v>
      </c>
      <c r="O176">
        <v>34</v>
      </c>
      <c r="P176" s="3">
        <v>3181</v>
      </c>
      <c r="Q176" s="3"/>
    </row>
    <row r="177" spans="1:17">
      <c r="A177" t="str">
        <f t="shared" si="16"/>
        <v>Hayden Buckley</v>
      </c>
      <c r="B177">
        <f t="shared" si="17"/>
        <v>176</v>
      </c>
      <c r="C177">
        <f t="shared" si="18"/>
        <v>174</v>
      </c>
      <c r="D177">
        <f t="shared" si="19"/>
        <v>10</v>
      </c>
      <c r="E177">
        <f t="shared" si="20"/>
        <v>33</v>
      </c>
      <c r="F177">
        <f t="shared" si="21"/>
        <v>3182</v>
      </c>
      <c r="G177">
        <f t="shared" si="22"/>
        <v>0</v>
      </c>
      <c r="H177">
        <f t="shared" si="23"/>
        <v>0</v>
      </c>
      <c r="K177">
        <v>176</v>
      </c>
      <c r="L177">
        <v>174</v>
      </c>
      <c r="M177" t="s">
        <v>60</v>
      </c>
      <c r="N177">
        <v>10</v>
      </c>
      <c r="O177">
        <v>33</v>
      </c>
      <c r="P177" s="3">
        <v>3182</v>
      </c>
      <c r="Q177" s="3"/>
    </row>
    <row r="178" spans="1:17">
      <c r="A178" t="str">
        <f t="shared" si="16"/>
        <v>Wilson Furr</v>
      </c>
      <c r="B178">
        <f t="shared" si="17"/>
        <v>177</v>
      </c>
      <c r="C178">
        <f t="shared" si="18"/>
        <v>176</v>
      </c>
      <c r="D178">
        <f t="shared" si="19"/>
        <v>7</v>
      </c>
      <c r="E178">
        <f t="shared" si="20"/>
        <v>31</v>
      </c>
      <c r="F178">
        <f t="shared" si="21"/>
        <v>3184</v>
      </c>
      <c r="G178">
        <f t="shared" si="22"/>
        <v>0</v>
      </c>
      <c r="H178">
        <f t="shared" si="23"/>
        <v>0</v>
      </c>
      <c r="K178">
        <v>177</v>
      </c>
      <c r="L178">
        <v>176</v>
      </c>
      <c r="M178" t="s">
        <v>692</v>
      </c>
      <c r="N178">
        <v>7</v>
      </c>
      <c r="O178">
        <v>31</v>
      </c>
      <c r="P178" s="3">
        <v>3184</v>
      </c>
      <c r="Q178" s="3"/>
    </row>
    <row r="179" spans="1:17">
      <c r="A179" t="str">
        <f t="shared" si="16"/>
        <v>Richy Werenski</v>
      </c>
      <c r="B179">
        <f t="shared" si="17"/>
        <v>178</v>
      </c>
      <c r="C179">
        <f t="shared" si="18"/>
        <v>177</v>
      </c>
      <c r="D179">
        <f t="shared" si="19"/>
        <v>3</v>
      </c>
      <c r="E179">
        <f t="shared" si="20"/>
        <v>28</v>
      </c>
      <c r="F179">
        <f t="shared" si="21"/>
        <v>3187</v>
      </c>
      <c r="G179">
        <f t="shared" si="22"/>
        <v>0</v>
      </c>
      <c r="H179">
        <f t="shared" si="23"/>
        <v>0</v>
      </c>
      <c r="K179">
        <v>178</v>
      </c>
      <c r="L179">
        <v>177</v>
      </c>
      <c r="M179" t="s">
        <v>94</v>
      </c>
      <c r="N179">
        <v>3</v>
      </c>
      <c r="O179">
        <v>28</v>
      </c>
      <c r="P179" s="3">
        <v>3187</v>
      </c>
      <c r="Q179" s="3"/>
    </row>
    <row r="180" spans="1:17">
      <c r="A180" t="str">
        <f t="shared" si="16"/>
        <v>Matt Kuchar</v>
      </c>
      <c r="B180">
        <f t="shared" si="17"/>
        <v>179</v>
      </c>
      <c r="C180">
        <f t="shared" si="18"/>
        <v>178</v>
      </c>
      <c r="D180">
        <f t="shared" si="19"/>
        <v>9</v>
      </c>
      <c r="E180">
        <f t="shared" si="20"/>
        <v>26</v>
      </c>
      <c r="F180">
        <f t="shared" si="21"/>
        <v>3189</v>
      </c>
      <c r="G180">
        <f t="shared" si="22"/>
        <v>0</v>
      </c>
      <c r="H180">
        <f t="shared" si="23"/>
        <v>0</v>
      </c>
      <c r="K180">
        <v>179</v>
      </c>
      <c r="L180">
        <v>178</v>
      </c>
      <c r="M180" t="s">
        <v>144</v>
      </c>
      <c r="N180">
        <v>9</v>
      </c>
      <c r="O180">
        <v>26</v>
      </c>
      <c r="P180" s="3">
        <v>3189</v>
      </c>
      <c r="Q180" s="3"/>
    </row>
    <row r="181" spans="1:17">
      <c r="A181" t="str">
        <f t="shared" si="16"/>
        <v>Harrison Endycott</v>
      </c>
      <c r="B181">
        <f t="shared" si="17"/>
        <v>180</v>
      </c>
      <c r="C181">
        <f t="shared" si="18"/>
        <v>179</v>
      </c>
      <c r="D181">
        <f t="shared" si="19"/>
        <v>7</v>
      </c>
      <c r="E181">
        <f t="shared" si="20"/>
        <v>24</v>
      </c>
      <c r="F181">
        <f t="shared" si="21"/>
        <v>3191</v>
      </c>
      <c r="G181">
        <f t="shared" si="22"/>
        <v>0</v>
      </c>
      <c r="H181">
        <f t="shared" si="23"/>
        <v>0</v>
      </c>
      <c r="K181">
        <v>180</v>
      </c>
      <c r="L181">
        <v>179</v>
      </c>
      <c r="M181" t="s">
        <v>160</v>
      </c>
      <c r="N181">
        <v>7</v>
      </c>
      <c r="O181">
        <v>24</v>
      </c>
      <c r="P181" s="3">
        <v>3191</v>
      </c>
      <c r="Q181" s="3"/>
    </row>
    <row r="182" spans="1:17">
      <c r="A182" t="str">
        <f t="shared" si="16"/>
        <v>James Hahn</v>
      </c>
      <c r="B182">
        <f t="shared" si="17"/>
        <v>181</v>
      </c>
      <c r="C182">
        <f t="shared" si="18"/>
        <v>180</v>
      </c>
      <c r="D182">
        <f t="shared" si="19"/>
        <v>4</v>
      </c>
      <c r="E182">
        <f t="shared" si="20"/>
        <v>24</v>
      </c>
      <c r="F182">
        <f t="shared" si="21"/>
        <v>3191</v>
      </c>
      <c r="G182">
        <f t="shared" si="22"/>
        <v>0</v>
      </c>
      <c r="H182">
        <f t="shared" si="23"/>
        <v>0</v>
      </c>
      <c r="K182">
        <v>181</v>
      </c>
      <c r="L182">
        <v>180</v>
      </c>
      <c r="M182" t="s">
        <v>117</v>
      </c>
      <c r="N182">
        <v>4</v>
      </c>
      <c r="O182">
        <v>24</v>
      </c>
      <c r="P182" s="3">
        <v>3191</v>
      </c>
      <c r="Q182" s="3"/>
    </row>
    <row r="183" spans="1:17">
      <c r="A183" t="str">
        <f t="shared" si="16"/>
        <v>Roger Sloan</v>
      </c>
      <c r="B183">
        <f t="shared" si="17"/>
        <v>182</v>
      </c>
      <c r="C183">
        <f t="shared" si="18"/>
        <v>181</v>
      </c>
      <c r="D183">
        <f t="shared" si="19"/>
        <v>7</v>
      </c>
      <c r="E183">
        <f t="shared" si="20"/>
        <v>21</v>
      </c>
      <c r="F183">
        <f t="shared" si="21"/>
        <v>3194</v>
      </c>
      <c r="G183">
        <f t="shared" si="22"/>
        <v>0</v>
      </c>
      <c r="H183">
        <f t="shared" si="23"/>
        <v>0</v>
      </c>
      <c r="K183">
        <v>182</v>
      </c>
      <c r="L183">
        <v>181</v>
      </c>
      <c r="M183" t="s">
        <v>393</v>
      </c>
      <c r="N183">
        <v>7</v>
      </c>
      <c r="O183">
        <v>21</v>
      </c>
      <c r="P183" s="3">
        <v>3194</v>
      </c>
      <c r="Q183" s="3"/>
    </row>
    <row r="184" spans="1:17">
      <c r="A184" t="str">
        <f t="shared" si="16"/>
        <v>Cody Gribble</v>
      </c>
      <c r="B184">
        <f t="shared" si="17"/>
        <v>183</v>
      </c>
      <c r="C184">
        <f t="shared" si="18"/>
        <v>183</v>
      </c>
      <c r="D184">
        <f t="shared" si="19"/>
        <v>2</v>
      </c>
      <c r="E184">
        <f t="shared" si="20"/>
        <v>20</v>
      </c>
      <c r="F184">
        <f t="shared" si="21"/>
        <v>3195</v>
      </c>
      <c r="G184">
        <f t="shared" si="22"/>
        <v>0</v>
      </c>
      <c r="H184">
        <f t="shared" si="23"/>
        <v>0</v>
      </c>
      <c r="K184">
        <v>183</v>
      </c>
      <c r="L184">
        <v>183</v>
      </c>
      <c r="M184" t="s">
        <v>96</v>
      </c>
      <c r="N184">
        <v>2</v>
      </c>
      <c r="O184">
        <v>20</v>
      </c>
      <c r="P184" s="3">
        <v>3195</v>
      </c>
      <c r="Q184" s="3"/>
    </row>
    <row r="185" spans="1:17">
      <c r="A185" t="str">
        <f t="shared" si="16"/>
        <v>Pierceson Coody</v>
      </c>
      <c r="B185">
        <f t="shared" si="17"/>
        <v>184</v>
      </c>
      <c r="C185">
        <f t="shared" si="18"/>
        <v>184</v>
      </c>
      <c r="D185">
        <f t="shared" si="19"/>
        <v>9</v>
      </c>
      <c r="E185">
        <f t="shared" si="20"/>
        <v>20</v>
      </c>
      <c r="F185">
        <f t="shared" si="21"/>
        <v>3195</v>
      </c>
      <c r="G185">
        <f t="shared" si="22"/>
        <v>0</v>
      </c>
      <c r="H185">
        <f t="shared" si="23"/>
        <v>0</v>
      </c>
      <c r="K185">
        <v>184</v>
      </c>
      <c r="L185">
        <v>184</v>
      </c>
      <c r="M185" t="s">
        <v>490</v>
      </c>
      <c r="N185">
        <v>9</v>
      </c>
      <c r="O185">
        <v>20</v>
      </c>
      <c r="P185" s="3">
        <v>3195</v>
      </c>
      <c r="Q185" s="3"/>
    </row>
    <row r="186" spans="1:17">
      <c r="A186" t="str">
        <f t="shared" si="16"/>
        <v>Ryan McCormick</v>
      </c>
      <c r="B186">
        <f t="shared" si="17"/>
        <v>185</v>
      </c>
      <c r="C186">
        <f t="shared" si="18"/>
        <v>185</v>
      </c>
      <c r="D186">
        <f t="shared" si="19"/>
        <v>7</v>
      </c>
      <c r="E186">
        <f t="shared" si="20"/>
        <v>20</v>
      </c>
      <c r="F186">
        <f t="shared" si="21"/>
        <v>3195</v>
      </c>
      <c r="G186">
        <f t="shared" si="22"/>
        <v>0</v>
      </c>
      <c r="H186">
        <f t="shared" si="23"/>
        <v>0</v>
      </c>
      <c r="K186">
        <v>185</v>
      </c>
      <c r="L186">
        <v>185</v>
      </c>
      <c r="M186" t="s">
        <v>561</v>
      </c>
      <c r="N186">
        <v>7</v>
      </c>
      <c r="O186">
        <v>20</v>
      </c>
      <c r="P186" s="3">
        <v>3195</v>
      </c>
      <c r="Q186" s="3"/>
    </row>
    <row r="187" spans="1:17">
      <c r="A187" t="str">
        <f t="shared" si="16"/>
        <v>José María Olazábal</v>
      </c>
      <c r="B187">
        <f t="shared" si="17"/>
        <v>186</v>
      </c>
      <c r="C187">
        <f t="shared" si="18"/>
        <v>0</v>
      </c>
      <c r="D187">
        <f t="shared" si="19"/>
        <v>1</v>
      </c>
      <c r="E187">
        <f t="shared" si="20"/>
        <v>15</v>
      </c>
      <c r="F187">
        <f t="shared" si="21"/>
        <v>3200</v>
      </c>
      <c r="G187">
        <f t="shared" si="22"/>
        <v>0</v>
      </c>
      <c r="H187">
        <f t="shared" si="23"/>
        <v>0</v>
      </c>
      <c r="K187">
        <v>186</v>
      </c>
      <c r="M187" t="s">
        <v>1124</v>
      </c>
      <c r="N187">
        <v>1</v>
      </c>
      <c r="O187">
        <v>15</v>
      </c>
      <c r="P187" s="3">
        <v>3200</v>
      </c>
      <c r="Q187" s="3"/>
    </row>
    <row r="188" spans="1:17">
      <c r="A188" t="str">
        <f t="shared" si="16"/>
        <v>Danny Willett</v>
      </c>
      <c r="B188">
        <f t="shared" si="17"/>
        <v>186</v>
      </c>
      <c r="C188">
        <f t="shared" si="18"/>
        <v>0</v>
      </c>
      <c r="D188">
        <f t="shared" si="19"/>
        <v>1</v>
      </c>
      <c r="E188">
        <f t="shared" si="20"/>
        <v>15</v>
      </c>
      <c r="F188">
        <f t="shared" si="21"/>
        <v>3200</v>
      </c>
      <c r="G188">
        <f t="shared" si="22"/>
        <v>0</v>
      </c>
      <c r="H188">
        <f t="shared" si="23"/>
        <v>0</v>
      </c>
      <c r="K188">
        <v>186</v>
      </c>
      <c r="M188" t="s">
        <v>164</v>
      </c>
      <c r="N188">
        <v>1</v>
      </c>
      <c r="O188">
        <v>15</v>
      </c>
      <c r="P188" s="3">
        <v>3200</v>
      </c>
      <c r="Q188" s="3"/>
    </row>
    <row r="189" spans="1:17">
      <c r="A189" t="str">
        <f t="shared" si="16"/>
        <v>Ryan Palmer</v>
      </c>
      <c r="B189">
        <f t="shared" si="17"/>
        <v>188</v>
      </c>
      <c r="C189">
        <f t="shared" si="18"/>
        <v>186</v>
      </c>
      <c r="D189">
        <f t="shared" si="19"/>
        <v>7</v>
      </c>
      <c r="E189">
        <f t="shared" si="20"/>
        <v>14</v>
      </c>
      <c r="F189">
        <f t="shared" si="21"/>
        <v>3201</v>
      </c>
      <c r="G189">
        <f t="shared" si="22"/>
        <v>0</v>
      </c>
      <c r="H189">
        <f t="shared" si="23"/>
        <v>0</v>
      </c>
      <c r="K189">
        <v>188</v>
      </c>
      <c r="L189">
        <v>186</v>
      </c>
      <c r="M189" t="s">
        <v>87</v>
      </c>
      <c r="N189">
        <v>7</v>
      </c>
      <c r="O189">
        <v>14</v>
      </c>
      <c r="P189" s="3">
        <v>3201</v>
      </c>
      <c r="Q189" s="3"/>
    </row>
    <row r="190" spans="1:17">
      <c r="A190" t="str">
        <f t="shared" si="16"/>
        <v>Will Gordon</v>
      </c>
      <c r="B190">
        <f t="shared" si="17"/>
        <v>189</v>
      </c>
      <c r="C190">
        <f t="shared" si="18"/>
        <v>187</v>
      </c>
      <c r="D190">
        <f t="shared" si="19"/>
        <v>4</v>
      </c>
      <c r="E190">
        <f t="shared" si="20"/>
        <v>14</v>
      </c>
      <c r="F190">
        <f t="shared" si="21"/>
        <v>3201</v>
      </c>
      <c r="G190">
        <f t="shared" si="22"/>
        <v>0</v>
      </c>
      <c r="H190">
        <f t="shared" si="23"/>
        <v>0</v>
      </c>
      <c r="K190">
        <v>189</v>
      </c>
      <c r="L190">
        <v>187</v>
      </c>
      <c r="M190" t="s">
        <v>22</v>
      </c>
      <c r="N190">
        <v>4</v>
      </c>
      <c r="O190">
        <v>14</v>
      </c>
      <c r="P190" s="3">
        <v>3201</v>
      </c>
      <c r="Q190" s="3"/>
    </row>
    <row r="191" spans="1:17">
      <c r="A191" t="str">
        <f t="shared" si="16"/>
        <v>Paul Barjon</v>
      </c>
      <c r="B191">
        <f t="shared" si="17"/>
        <v>190</v>
      </c>
      <c r="C191">
        <f t="shared" si="18"/>
        <v>188</v>
      </c>
      <c r="D191">
        <f t="shared" si="19"/>
        <v>9</v>
      </c>
      <c r="E191">
        <f t="shared" si="20"/>
        <v>14</v>
      </c>
      <c r="F191">
        <f t="shared" si="21"/>
        <v>3201</v>
      </c>
      <c r="G191">
        <f t="shared" si="22"/>
        <v>0</v>
      </c>
      <c r="H191">
        <f t="shared" si="23"/>
        <v>0</v>
      </c>
      <c r="K191">
        <v>190</v>
      </c>
      <c r="L191">
        <v>188</v>
      </c>
      <c r="M191" t="s">
        <v>401</v>
      </c>
      <c r="N191">
        <v>9</v>
      </c>
      <c r="O191">
        <v>14</v>
      </c>
      <c r="P191" s="3">
        <v>3201</v>
      </c>
      <c r="Q191" s="3"/>
    </row>
    <row r="192" spans="1:17">
      <c r="A192" t="str">
        <f t="shared" si="16"/>
        <v>Zecheng Dou</v>
      </c>
      <c r="B192">
        <f t="shared" si="17"/>
        <v>191</v>
      </c>
      <c r="C192">
        <f t="shared" si="18"/>
        <v>189</v>
      </c>
      <c r="D192">
        <f t="shared" si="19"/>
        <v>2</v>
      </c>
      <c r="E192">
        <f t="shared" si="20"/>
        <v>12</v>
      </c>
      <c r="F192">
        <f t="shared" si="21"/>
        <v>3203</v>
      </c>
      <c r="G192">
        <f t="shared" si="22"/>
        <v>0</v>
      </c>
      <c r="H192">
        <f t="shared" si="23"/>
        <v>0</v>
      </c>
      <c r="K192">
        <v>191</v>
      </c>
      <c r="L192">
        <v>189</v>
      </c>
      <c r="M192" t="s">
        <v>81</v>
      </c>
      <c r="N192">
        <v>2</v>
      </c>
      <c r="O192">
        <v>12</v>
      </c>
      <c r="P192" s="3">
        <v>3203</v>
      </c>
      <c r="Q192" s="3"/>
    </row>
    <row r="193" spans="1:17">
      <c r="A193" t="str">
        <f t="shared" si="16"/>
        <v>Tommy Gainey</v>
      </c>
      <c r="B193">
        <f t="shared" si="17"/>
        <v>191</v>
      </c>
      <c r="C193">
        <f t="shared" si="18"/>
        <v>189</v>
      </c>
      <c r="D193">
        <f t="shared" si="19"/>
        <v>1</v>
      </c>
      <c r="E193">
        <f t="shared" si="20"/>
        <v>12</v>
      </c>
      <c r="F193">
        <f t="shared" si="21"/>
        <v>3203</v>
      </c>
      <c r="G193">
        <f t="shared" si="22"/>
        <v>0</v>
      </c>
      <c r="H193">
        <f t="shared" si="23"/>
        <v>0</v>
      </c>
      <c r="K193">
        <v>191</v>
      </c>
      <c r="L193">
        <v>189</v>
      </c>
      <c r="M193" t="s">
        <v>861</v>
      </c>
      <c r="N193">
        <v>1</v>
      </c>
      <c r="O193">
        <v>12</v>
      </c>
      <c r="P193" s="3">
        <v>3203</v>
      </c>
      <c r="Q193" s="3"/>
    </row>
    <row r="194" spans="1:17">
      <c r="A194" t="str">
        <f t="shared" si="16"/>
        <v>S.Y. Noh</v>
      </c>
      <c r="B194">
        <f t="shared" si="17"/>
        <v>191</v>
      </c>
      <c r="C194">
        <f t="shared" si="18"/>
        <v>189</v>
      </c>
      <c r="D194">
        <f t="shared" si="19"/>
        <v>1</v>
      </c>
      <c r="E194">
        <f t="shared" si="20"/>
        <v>12</v>
      </c>
      <c r="F194">
        <f t="shared" si="21"/>
        <v>3203</v>
      </c>
      <c r="G194">
        <f t="shared" si="22"/>
        <v>0</v>
      </c>
      <c r="H194">
        <f t="shared" si="23"/>
        <v>0</v>
      </c>
      <c r="K194">
        <v>191</v>
      </c>
      <c r="L194">
        <v>189</v>
      </c>
      <c r="M194" t="s">
        <v>70</v>
      </c>
      <c r="N194">
        <v>1</v>
      </c>
      <c r="O194">
        <v>12</v>
      </c>
      <c r="P194" s="3">
        <v>3203</v>
      </c>
      <c r="Q194" s="3"/>
    </row>
    <row r="195" spans="1:17">
      <c r="A195" t="str">
        <f t="shared" ref="A195:A205" si="24">M195</f>
        <v>Kevin Tway</v>
      </c>
      <c r="B195">
        <f t="shared" ref="B195:B205" si="25">K195</f>
        <v>191</v>
      </c>
      <c r="C195">
        <f t="shared" ref="C195:C205" si="26">L195</f>
        <v>189</v>
      </c>
      <c r="D195">
        <f t="shared" ref="D195:D205" si="27">N195</f>
        <v>2</v>
      </c>
      <c r="E195">
        <f t="shared" ref="E195:E205" si="28">O195</f>
        <v>12</v>
      </c>
      <c r="F195">
        <f t="shared" ref="F195:F205" si="29">P195</f>
        <v>3203</v>
      </c>
      <c r="G195">
        <f t="shared" ref="G195:G205" si="30">Q195</f>
        <v>0</v>
      </c>
      <c r="H195">
        <f t="shared" ref="H195:H205" si="31">R195</f>
        <v>0</v>
      </c>
      <c r="K195">
        <v>191</v>
      </c>
      <c r="L195">
        <v>189</v>
      </c>
      <c r="M195" t="s">
        <v>41</v>
      </c>
      <c r="N195">
        <v>2</v>
      </c>
      <c r="O195">
        <v>12</v>
      </c>
      <c r="P195" s="3">
        <v>3203</v>
      </c>
      <c r="Q195" s="3"/>
    </row>
    <row r="196" spans="1:17">
      <c r="A196" t="str">
        <f t="shared" si="24"/>
        <v>Francesco Molinari</v>
      </c>
      <c r="B196">
        <f t="shared" si="25"/>
        <v>195</v>
      </c>
      <c r="C196">
        <f t="shared" si="26"/>
        <v>193</v>
      </c>
      <c r="D196">
        <f t="shared" si="27"/>
        <v>5</v>
      </c>
      <c r="E196">
        <f t="shared" si="28"/>
        <v>12</v>
      </c>
      <c r="F196">
        <f t="shared" si="29"/>
        <v>3203</v>
      </c>
      <c r="G196">
        <f t="shared" si="30"/>
        <v>0</v>
      </c>
      <c r="H196">
        <f t="shared" si="31"/>
        <v>0</v>
      </c>
      <c r="K196">
        <v>195</v>
      </c>
      <c r="L196">
        <v>193</v>
      </c>
      <c r="M196" t="s">
        <v>239</v>
      </c>
      <c r="N196">
        <v>5</v>
      </c>
      <c r="O196">
        <v>12</v>
      </c>
      <c r="P196" s="3">
        <v>3203</v>
      </c>
      <c r="Q196" s="3"/>
    </row>
    <row r="197" spans="1:17">
      <c r="A197" t="str">
        <f t="shared" si="24"/>
        <v>Raul Pereda</v>
      </c>
      <c r="B197">
        <f t="shared" si="25"/>
        <v>196</v>
      </c>
      <c r="C197">
        <f t="shared" si="26"/>
        <v>194</v>
      </c>
      <c r="D197">
        <f t="shared" si="27"/>
        <v>7</v>
      </c>
      <c r="E197">
        <f t="shared" si="28"/>
        <v>9</v>
      </c>
      <c r="F197">
        <f t="shared" si="29"/>
        <v>3206</v>
      </c>
      <c r="G197">
        <f t="shared" si="30"/>
        <v>0</v>
      </c>
      <c r="H197">
        <f t="shared" si="31"/>
        <v>0</v>
      </c>
      <c r="K197">
        <v>196</v>
      </c>
      <c r="L197">
        <v>194</v>
      </c>
      <c r="M197" t="s">
        <v>564</v>
      </c>
      <c r="N197">
        <v>7</v>
      </c>
      <c r="O197">
        <v>9</v>
      </c>
      <c r="P197" s="3">
        <v>3206</v>
      </c>
      <c r="Q197" s="3"/>
    </row>
    <row r="198" spans="1:17">
      <c r="A198" t="str">
        <f t="shared" si="24"/>
        <v>Vijay Singh</v>
      </c>
      <c r="B198">
        <f t="shared" si="25"/>
        <v>197</v>
      </c>
      <c r="C198">
        <f t="shared" si="26"/>
        <v>0</v>
      </c>
      <c r="D198">
        <f t="shared" si="27"/>
        <v>1</v>
      </c>
      <c r="E198">
        <f t="shared" si="28"/>
        <v>9</v>
      </c>
      <c r="F198">
        <f t="shared" si="29"/>
        <v>3206</v>
      </c>
      <c r="G198">
        <f t="shared" si="30"/>
        <v>0</v>
      </c>
      <c r="H198">
        <f t="shared" si="31"/>
        <v>0</v>
      </c>
      <c r="K198">
        <v>197</v>
      </c>
      <c r="M198" t="s">
        <v>1125</v>
      </c>
      <c r="N198">
        <v>1</v>
      </c>
      <c r="O198">
        <v>9</v>
      </c>
      <c r="P198" s="3">
        <v>3206</v>
      </c>
      <c r="Q198" s="3"/>
    </row>
    <row r="199" spans="1:17">
      <c r="A199" t="str">
        <f t="shared" si="24"/>
        <v>Austin Smotherman</v>
      </c>
      <c r="B199">
        <f t="shared" si="25"/>
        <v>198</v>
      </c>
      <c r="C199">
        <f t="shared" si="26"/>
        <v>195</v>
      </c>
      <c r="D199">
        <f t="shared" si="27"/>
        <v>2</v>
      </c>
      <c r="E199">
        <f t="shared" si="28"/>
        <v>8</v>
      </c>
      <c r="F199">
        <f t="shared" si="29"/>
        <v>3207</v>
      </c>
      <c r="G199">
        <f t="shared" si="30"/>
        <v>0</v>
      </c>
      <c r="H199">
        <f t="shared" si="31"/>
        <v>0</v>
      </c>
      <c r="K199">
        <v>198</v>
      </c>
      <c r="L199">
        <v>195</v>
      </c>
      <c r="M199" t="s">
        <v>99</v>
      </c>
      <c r="N199">
        <v>2</v>
      </c>
      <c r="O199">
        <v>8</v>
      </c>
      <c r="P199" s="3">
        <v>3207</v>
      </c>
      <c r="Q199" s="3"/>
    </row>
    <row r="200" spans="1:17">
      <c r="A200" t="str">
        <f t="shared" si="24"/>
        <v>Tiger Woods</v>
      </c>
      <c r="B200">
        <f t="shared" si="25"/>
        <v>199</v>
      </c>
      <c r="C200">
        <f t="shared" si="26"/>
        <v>0</v>
      </c>
      <c r="D200">
        <f t="shared" si="27"/>
        <v>2</v>
      </c>
      <c r="E200">
        <f t="shared" si="28"/>
        <v>8</v>
      </c>
      <c r="F200">
        <f t="shared" si="29"/>
        <v>3207</v>
      </c>
      <c r="G200">
        <f t="shared" si="30"/>
        <v>0</v>
      </c>
      <c r="H200">
        <f t="shared" si="31"/>
        <v>0</v>
      </c>
      <c r="K200">
        <v>199</v>
      </c>
      <c r="M200" t="s">
        <v>1126</v>
      </c>
      <c r="N200">
        <v>2</v>
      </c>
      <c r="O200">
        <v>8</v>
      </c>
      <c r="P200" s="3">
        <v>3207</v>
      </c>
      <c r="Q200" s="3"/>
    </row>
    <row r="201" spans="1:17">
      <c r="A201" t="str">
        <f t="shared" si="24"/>
        <v>Patrick Fishburn</v>
      </c>
      <c r="B201">
        <f t="shared" si="25"/>
        <v>200</v>
      </c>
      <c r="C201">
        <f t="shared" si="26"/>
        <v>196</v>
      </c>
      <c r="D201">
        <f t="shared" si="27"/>
        <v>8</v>
      </c>
      <c r="E201">
        <f t="shared" si="28"/>
        <v>7</v>
      </c>
      <c r="F201">
        <f t="shared" si="29"/>
        <v>3208</v>
      </c>
      <c r="G201">
        <f t="shared" si="30"/>
        <v>0</v>
      </c>
      <c r="H201">
        <f t="shared" si="31"/>
        <v>0</v>
      </c>
      <c r="K201">
        <v>200</v>
      </c>
      <c r="L201">
        <v>196</v>
      </c>
      <c r="M201" t="s">
        <v>556</v>
      </c>
      <c r="N201">
        <v>8</v>
      </c>
      <c r="O201">
        <v>7</v>
      </c>
      <c r="P201" s="3">
        <v>3208</v>
      </c>
      <c r="Q201" s="3"/>
    </row>
    <row r="202" spans="1:17">
      <c r="A202" t="str">
        <f t="shared" si="24"/>
        <v>Scott Piercy</v>
      </c>
      <c r="B202">
        <f t="shared" si="25"/>
        <v>200</v>
      </c>
      <c r="C202">
        <f t="shared" si="26"/>
        <v>196</v>
      </c>
      <c r="D202">
        <f t="shared" si="27"/>
        <v>2</v>
      </c>
      <c r="E202">
        <f t="shared" si="28"/>
        <v>7</v>
      </c>
      <c r="F202">
        <f t="shared" si="29"/>
        <v>3208</v>
      </c>
      <c r="G202">
        <f t="shared" si="30"/>
        <v>0</v>
      </c>
      <c r="H202">
        <f t="shared" si="31"/>
        <v>0</v>
      </c>
      <c r="K202">
        <v>200</v>
      </c>
      <c r="L202">
        <v>196</v>
      </c>
      <c r="M202" t="s">
        <v>155</v>
      </c>
      <c r="N202">
        <v>2</v>
      </c>
      <c r="O202">
        <v>7</v>
      </c>
      <c r="P202" s="3">
        <v>3208</v>
      </c>
      <c r="Q202" s="3"/>
    </row>
    <row r="203" spans="1:17">
      <c r="A203" t="str">
        <f t="shared" si="24"/>
        <v>Josh Teater</v>
      </c>
      <c r="B203">
        <f t="shared" si="25"/>
        <v>202</v>
      </c>
      <c r="C203">
        <f t="shared" si="26"/>
        <v>198</v>
      </c>
      <c r="D203">
        <f t="shared" si="27"/>
        <v>8</v>
      </c>
      <c r="E203">
        <f t="shared" si="28"/>
        <v>7</v>
      </c>
      <c r="F203">
        <f t="shared" si="29"/>
        <v>3208</v>
      </c>
      <c r="G203">
        <f t="shared" si="30"/>
        <v>0</v>
      </c>
      <c r="H203">
        <f t="shared" si="31"/>
        <v>0</v>
      </c>
      <c r="K203">
        <v>202</v>
      </c>
      <c r="L203">
        <v>198</v>
      </c>
      <c r="M203" t="s">
        <v>444</v>
      </c>
      <c r="N203">
        <v>8</v>
      </c>
      <c r="O203">
        <v>7</v>
      </c>
      <c r="P203" s="3">
        <v>3208</v>
      </c>
      <c r="Q203" s="3"/>
    </row>
    <row r="204" spans="1:17">
      <c r="A204" t="str">
        <f t="shared" si="24"/>
        <v>Padraig Harrington</v>
      </c>
      <c r="B204">
        <f t="shared" si="25"/>
        <v>203</v>
      </c>
      <c r="C204">
        <f t="shared" si="26"/>
        <v>199</v>
      </c>
      <c r="D204">
        <f t="shared" si="27"/>
        <v>4</v>
      </c>
      <c r="E204">
        <f t="shared" si="28"/>
        <v>6</v>
      </c>
      <c r="F204">
        <f t="shared" si="29"/>
        <v>3209</v>
      </c>
      <c r="G204">
        <f t="shared" si="30"/>
        <v>0</v>
      </c>
      <c r="H204">
        <f t="shared" si="31"/>
        <v>0</v>
      </c>
      <c r="K204">
        <v>203</v>
      </c>
      <c r="L204">
        <v>199</v>
      </c>
      <c r="M204" t="s">
        <v>691</v>
      </c>
      <c r="N204">
        <v>4</v>
      </c>
      <c r="O204">
        <v>6</v>
      </c>
      <c r="P204" s="3">
        <v>3209</v>
      </c>
      <c r="Q204" s="3"/>
    </row>
    <row r="205" spans="1:17">
      <c r="A205" t="str">
        <f t="shared" si="24"/>
        <v>Callum Tarren</v>
      </c>
      <c r="B205">
        <f t="shared" si="25"/>
        <v>204</v>
      </c>
      <c r="C205">
        <f t="shared" si="26"/>
        <v>200</v>
      </c>
      <c r="D205">
        <f t="shared" si="27"/>
        <v>10</v>
      </c>
      <c r="E205">
        <f t="shared" si="28"/>
        <v>6</v>
      </c>
      <c r="F205">
        <f t="shared" si="29"/>
        <v>3209</v>
      </c>
      <c r="G205">
        <f t="shared" si="30"/>
        <v>0</v>
      </c>
      <c r="H205">
        <f t="shared" si="31"/>
        <v>0</v>
      </c>
      <c r="K205">
        <v>204</v>
      </c>
      <c r="L205">
        <v>200</v>
      </c>
      <c r="M205" t="s">
        <v>21</v>
      </c>
      <c r="N205">
        <v>10</v>
      </c>
      <c r="O205">
        <v>6</v>
      </c>
      <c r="P205" s="3">
        <v>3209</v>
      </c>
      <c r="Q205" s="3"/>
    </row>
    <row r="206" spans="1:17">
      <c r="A206" t="str">
        <f>M206</f>
        <v>Brandt Snedeker</v>
      </c>
      <c r="B206">
        <f>K206</f>
        <v>205</v>
      </c>
      <c r="C206">
        <f>L206</f>
        <v>201</v>
      </c>
      <c r="D206">
        <f t="shared" ref="D206:H207" si="32">N206</f>
        <v>10</v>
      </c>
      <c r="E206">
        <f t="shared" si="32"/>
        <v>5</v>
      </c>
      <c r="F206">
        <f t="shared" si="32"/>
        <v>3210</v>
      </c>
      <c r="G206">
        <f t="shared" si="32"/>
        <v>0</v>
      </c>
      <c r="H206">
        <f t="shared" si="32"/>
        <v>0</v>
      </c>
      <c r="K206">
        <v>205</v>
      </c>
      <c r="L206">
        <v>201</v>
      </c>
      <c r="M206" t="s">
        <v>247</v>
      </c>
      <c r="N206">
        <v>10</v>
      </c>
      <c r="O206">
        <v>5</v>
      </c>
      <c r="P206" s="3">
        <v>3210</v>
      </c>
      <c r="Q206" s="3"/>
    </row>
    <row r="207" spans="1:17">
      <c r="A207" t="str">
        <f>M207</f>
        <v>Jim Herman</v>
      </c>
      <c r="B207">
        <f>K207</f>
        <v>206</v>
      </c>
      <c r="C207">
        <f>L207</f>
        <v>202</v>
      </c>
      <c r="D207">
        <f t="shared" si="32"/>
        <v>1</v>
      </c>
      <c r="E207">
        <f t="shared" si="32"/>
        <v>5</v>
      </c>
      <c r="F207">
        <f t="shared" si="32"/>
        <v>3210</v>
      </c>
      <c r="G207">
        <f t="shared" si="32"/>
        <v>0</v>
      </c>
      <c r="H207">
        <f t="shared" si="32"/>
        <v>0</v>
      </c>
      <c r="K207">
        <v>206</v>
      </c>
      <c r="L207">
        <v>202</v>
      </c>
      <c r="M207" t="s">
        <v>168</v>
      </c>
      <c r="N207">
        <v>1</v>
      </c>
      <c r="O207">
        <v>5</v>
      </c>
      <c r="P207" s="3">
        <v>3210</v>
      </c>
      <c r="Q207" s="3"/>
    </row>
    <row r="208" spans="1:17">
      <c r="A208" t="str">
        <f t="shared" ref="A208:A250" si="33">M208</f>
        <v>MJ Daffue</v>
      </c>
      <c r="B208">
        <f t="shared" ref="B208:B250" si="34">K208</f>
        <v>207</v>
      </c>
      <c r="C208">
        <f t="shared" ref="C208:C250" si="35">L208</f>
        <v>203</v>
      </c>
      <c r="D208">
        <f t="shared" ref="D208:D250" si="36">N208</f>
        <v>2</v>
      </c>
      <c r="E208">
        <f t="shared" ref="E208:E250" si="37">O208</f>
        <v>4</v>
      </c>
      <c r="F208">
        <f t="shared" ref="F208:F250" si="38">P208</f>
        <v>3211</v>
      </c>
      <c r="G208">
        <f t="shared" ref="G208:G250" si="39">Q208</f>
        <v>0</v>
      </c>
      <c r="H208">
        <f t="shared" ref="H208:H270" si="40">R208</f>
        <v>0</v>
      </c>
      <c r="K208">
        <v>207</v>
      </c>
      <c r="L208">
        <v>203</v>
      </c>
      <c r="M208" t="s">
        <v>31</v>
      </c>
      <c r="N208">
        <v>2</v>
      </c>
      <c r="O208">
        <v>4</v>
      </c>
      <c r="P208" s="3">
        <v>3211</v>
      </c>
      <c r="Q208" s="3"/>
    </row>
    <row r="209" spans="1:17">
      <c r="A209" t="str">
        <f t="shared" si="33"/>
        <v>Adam Long</v>
      </c>
      <c r="B209">
        <f t="shared" si="34"/>
        <v>208</v>
      </c>
      <c r="C209">
        <f t="shared" si="35"/>
        <v>204</v>
      </c>
      <c r="D209">
        <f t="shared" si="36"/>
        <v>5</v>
      </c>
      <c r="E209">
        <f t="shared" si="37"/>
        <v>4</v>
      </c>
      <c r="F209">
        <f t="shared" si="38"/>
        <v>3211</v>
      </c>
      <c r="G209">
        <f t="shared" si="39"/>
        <v>0</v>
      </c>
      <c r="H209">
        <f t="shared" si="40"/>
        <v>0</v>
      </c>
      <c r="K209">
        <v>208</v>
      </c>
      <c r="L209">
        <v>204</v>
      </c>
      <c r="M209" t="s">
        <v>167</v>
      </c>
      <c r="N209">
        <v>5</v>
      </c>
      <c r="O209">
        <v>4</v>
      </c>
      <c r="P209" s="3">
        <v>3211</v>
      </c>
      <c r="Q209" s="3"/>
    </row>
    <row r="210" spans="1:17">
      <c r="A210" t="str">
        <f t="shared" si="33"/>
        <v>Ben Taylor</v>
      </c>
      <c r="B210">
        <f t="shared" si="34"/>
        <v>209</v>
      </c>
      <c r="C210">
        <f t="shared" si="35"/>
        <v>205</v>
      </c>
      <c r="D210">
        <f t="shared" si="36"/>
        <v>10</v>
      </c>
      <c r="E210">
        <f t="shared" si="37"/>
        <v>4</v>
      </c>
      <c r="F210">
        <f t="shared" si="38"/>
        <v>3211</v>
      </c>
      <c r="G210">
        <f t="shared" si="39"/>
        <v>0</v>
      </c>
      <c r="H210">
        <f t="shared" si="40"/>
        <v>0</v>
      </c>
      <c r="K210">
        <v>209</v>
      </c>
      <c r="L210">
        <v>205</v>
      </c>
      <c r="M210" t="s">
        <v>71</v>
      </c>
      <c r="N210">
        <v>10</v>
      </c>
      <c r="O210">
        <v>4</v>
      </c>
      <c r="P210" s="3">
        <v>3211</v>
      </c>
      <c r="Q210" s="3"/>
    </row>
    <row r="211" spans="1:17">
      <c r="A211" t="str">
        <f t="shared" si="33"/>
        <v>Paul Haley II</v>
      </c>
      <c r="B211">
        <f t="shared" si="34"/>
        <v>210</v>
      </c>
      <c r="C211">
        <f t="shared" si="35"/>
        <v>206</v>
      </c>
      <c r="D211">
        <f t="shared" si="36"/>
        <v>1</v>
      </c>
      <c r="E211">
        <f t="shared" si="37"/>
        <v>3</v>
      </c>
      <c r="F211">
        <f t="shared" si="38"/>
        <v>3212</v>
      </c>
      <c r="G211">
        <f t="shared" si="39"/>
        <v>0</v>
      </c>
      <c r="H211">
        <f t="shared" si="40"/>
        <v>0</v>
      </c>
      <c r="K211">
        <v>210</v>
      </c>
      <c r="L211">
        <v>206</v>
      </c>
      <c r="M211" t="s">
        <v>184</v>
      </c>
      <c r="N211">
        <v>1</v>
      </c>
      <c r="O211">
        <v>3</v>
      </c>
      <c r="P211" s="3">
        <v>3212</v>
      </c>
      <c r="Q211" s="3"/>
    </row>
    <row r="212" spans="1:17">
      <c r="A212" t="str">
        <f t="shared" si="33"/>
        <v>Scott Gutschewski</v>
      </c>
      <c r="B212">
        <f t="shared" si="34"/>
        <v>211</v>
      </c>
      <c r="C212">
        <f t="shared" si="35"/>
        <v>207</v>
      </c>
      <c r="D212">
        <f t="shared" si="36"/>
        <v>7</v>
      </c>
      <c r="E212">
        <f t="shared" si="37"/>
        <v>3</v>
      </c>
      <c r="F212">
        <f t="shared" si="38"/>
        <v>3212</v>
      </c>
      <c r="G212">
        <f t="shared" si="39"/>
        <v>0</v>
      </c>
      <c r="H212">
        <f t="shared" si="40"/>
        <v>0</v>
      </c>
      <c r="K212">
        <v>211</v>
      </c>
      <c r="L212">
        <v>207</v>
      </c>
      <c r="M212" t="s">
        <v>413</v>
      </c>
      <c r="N212">
        <v>7</v>
      </c>
      <c r="O212">
        <v>3</v>
      </c>
      <c r="P212" s="3">
        <v>3212</v>
      </c>
      <c r="Q212" s="3"/>
    </row>
    <row r="213" spans="1:17">
      <c r="A213" t="str">
        <f t="shared" si="33"/>
        <v>Kevin Kisner</v>
      </c>
      <c r="B213">
        <f t="shared" si="34"/>
        <v>212</v>
      </c>
      <c r="C213">
        <f t="shared" si="35"/>
        <v>208</v>
      </c>
      <c r="D213">
        <f t="shared" si="36"/>
        <v>7</v>
      </c>
      <c r="E213">
        <f t="shared" si="37"/>
        <v>3</v>
      </c>
      <c r="F213">
        <f t="shared" si="38"/>
        <v>3212</v>
      </c>
      <c r="G213">
        <f t="shared" si="39"/>
        <v>0</v>
      </c>
      <c r="H213">
        <f t="shared" si="40"/>
        <v>0</v>
      </c>
      <c r="K213">
        <v>212</v>
      </c>
      <c r="L213">
        <v>208</v>
      </c>
      <c r="M213" t="s">
        <v>242</v>
      </c>
      <c r="N213">
        <v>7</v>
      </c>
      <c r="O213">
        <v>3</v>
      </c>
      <c r="P213" s="3">
        <v>3212</v>
      </c>
      <c r="Q213" s="3"/>
    </row>
    <row r="214" spans="1:17">
      <c r="A214" t="str">
        <f t="shared" si="33"/>
        <v>Sangmoon Bae</v>
      </c>
      <c r="B214">
        <f t="shared" si="34"/>
        <v>213</v>
      </c>
      <c r="C214">
        <f t="shared" si="35"/>
        <v>209</v>
      </c>
      <c r="D214">
        <f t="shared" si="36"/>
        <v>1</v>
      </c>
      <c r="E214">
        <f t="shared" si="37"/>
        <v>3</v>
      </c>
      <c r="F214">
        <f t="shared" si="38"/>
        <v>3212</v>
      </c>
      <c r="G214">
        <f t="shared" si="39"/>
        <v>0</v>
      </c>
      <c r="H214">
        <f t="shared" si="40"/>
        <v>0</v>
      </c>
      <c r="K214">
        <v>213</v>
      </c>
      <c r="L214">
        <v>209</v>
      </c>
      <c r="M214" t="s">
        <v>880</v>
      </c>
      <c r="N214">
        <v>1</v>
      </c>
      <c r="O214">
        <v>3</v>
      </c>
      <c r="P214" s="3">
        <v>3212</v>
      </c>
      <c r="Q214" s="3"/>
    </row>
    <row r="215" spans="1:17">
      <c r="A215" t="str">
        <f t="shared" si="33"/>
        <v>Sean O'Hair</v>
      </c>
      <c r="B215">
        <f t="shared" si="34"/>
        <v>213</v>
      </c>
      <c r="C215">
        <f t="shared" si="35"/>
        <v>209</v>
      </c>
      <c r="D215">
        <f t="shared" si="36"/>
        <v>1</v>
      </c>
      <c r="E215">
        <f t="shared" si="37"/>
        <v>3</v>
      </c>
      <c r="F215">
        <f t="shared" si="38"/>
        <v>3212</v>
      </c>
      <c r="G215">
        <f t="shared" si="39"/>
        <v>0</v>
      </c>
      <c r="H215">
        <f t="shared" si="40"/>
        <v>0</v>
      </c>
      <c r="K215">
        <v>213</v>
      </c>
      <c r="L215">
        <v>209</v>
      </c>
      <c r="M215" t="s">
        <v>159</v>
      </c>
      <c r="N215">
        <v>1</v>
      </c>
      <c r="O215">
        <v>3</v>
      </c>
      <c r="P215" s="3">
        <v>3212</v>
      </c>
      <c r="Q215" s="3"/>
    </row>
    <row r="216" spans="1:17">
      <c r="A216" t="str">
        <f t="shared" si="33"/>
        <v>Kyle Stanley</v>
      </c>
      <c r="B216">
        <f t="shared" si="34"/>
        <v>213</v>
      </c>
      <c r="C216">
        <f t="shared" si="35"/>
        <v>209</v>
      </c>
      <c r="D216">
        <f t="shared" si="36"/>
        <v>1</v>
      </c>
      <c r="E216">
        <f t="shared" si="37"/>
        <v>3</v>
      </c>
      <c r="F216">
        <f t="shared" si="38"/>
        <v>3212</v>
      </c>
      <c r="G216">
        <f t="shared" si="39"/>
        <v>0</v>
      </c>
      <c r="H216">
        <f t="shared" si="40"/>
        <v>0</v>
      </c>
      <c r="K216">
        <v>213</v>
      </c>
      <c r="L216">
        <v>209</v>
      </c>
      <c r="M216" t="s">
        <v>221</v>
      </c>
      <c r="N216">
        <v>1</v>
      </c>
      <c r="O216">
        <v>3</v>
      </c>
      <c r="P216" s="3">
        <v>3212</v>
      </c>
      <c r="Q216" s="3"/>
    </row>
    <row r="217" spans="1:17">
      <c r="A217" t="str">
        <f t="shared" si="33"/>
        <v>Brian Stuard</v>
      </c>
      <c r="B217">
        <f t="shared" si="34"/>
        <v>216</v>
      </c>
      <c r="C217">
        <f t="shared" si="35"/>
        <v>212</v>
      </c>
      <c r="D217">
        <f t="shared" si="36"/>
        <v>1</v>
      </c>
      <c r="E217">
        <f t="shared" si="37"/>
        <v>2</v>
      </c>
      <c r="F217">
        <f t="shared" si="38"/>
        <v>3213</v>
      </c>
      <c r="G217">
        <f t="shared" si="39"/>
        <v>0</v>
      </c>
      <c r="H217">
        <f t="shared" si="40"/>
        <v>0</v>
      </c>
      <c r="K217">
        <v>216</v>
      </c>
      <c r="L217">
        <v>212</v>
      </c>
      <c r="M217" t="s">
        <v>191</v>
      </c>
      <c r="N217">
        <v>1</v>
      </c>
      <c r="O217">
        <v>2</v>
      </c>
      <c r="P217" s="3">
        <v>3213</v>
      </c>
      <c r="Q217" s="3"/>
    </row>
    <row r="218" spans="1:17">
      <c r="A218" t="str">
        <f t="shared" si="33"/>
        <v>Chris Stroud</v>
      </c>
      <c r="B218">
        <f t="shared" si="34"/>
        <v>217</v>
      </c>
      <c r="C218">
        <f t="shared" si="35"/>
        <v>213</v>
      </c>
      <c r="D218">
        <f t="shared" si="36"/>
        <v>1</v>
      </c>
      <c r="E218">
        <f t="shared" si="37"/>
        <v>2</v>
      </c>
      <c r="F218">
        <f t="shared" si="38"/>
        <v>3213</v>
      </c>
      <c r="G218">
        <f t="shared" si="39"/>
        <v>0</v>
      </c>
      <c r="H218">
        <f t="shared" si="40"/>
        <v>0</v>
      </c>
      <c r="K218">
        <v>217</v>
      </c>
      <c r="L218">
        <v>213</v>
      </c>
      <c r="M218" t="s">
        <v>172</v>
      </c>
      <c r="N218">
        <v>1</v>
      </c>
      <c r="O218">
        <v>2</v>
      </c>
      <c r="P218" s="3">
        <v>3213</v>
      </c>
      <c r="Q218" s="3"/>
    </row>
    <row r="219" spans="1:17">
      <c r="A219">
        <f t="shared" si="33"/>
        <v>0</v>
      </c>
      <c r="B219">
        <f t="shared" si="34"/>
        <v>0</v>
      </c>
      <c r="C219">
        <f t="shared" si="35"/>
        <v>0</v>
      </c>
      <c r="D219">
        <f t="shared" si="36"/>
        <v>0</v>
      </c>
      <c r="E219">
        <f t="shared" si="37"/>
        <v>0</v>
      </c>
      <c r="F219">
        <f t="shared" si="38"/>
        <v>0</v>
      </c>
      <c r="G219">
        <f t="shared" si="39"/>
        <v>0</v>
      </c>
      <c r="H219">
        <f t="shared" si="40"/>
        <v>0</v>
      </c>
      <c r="P219" s="3"/>
      <c r="Q219" s="3"/>
    </row>
    <row r="220" spans="1:17">
      <c r="A220">
        <f t="shared" si="33"/>
        <v>0</v>
      </c>
      <c r="B220">
        <f t="shared" si="34"/>
        <v>0</v>
      </c>
      <c r="C220">
        <f t="shared" si="35"/>
        <v>0</v>
      </c>
      <c r="D220">
        <f t="shared" si="36"/>
        <v>0</v>
      </c>
      <c r="E220">
        <f t="shared" si="37"/>
        <v>0</v>
      </c>
      <c r="F220">
        <f t="shared" si="38"/>
        <v>0</v>
      </c>
      <c r="G220">
        <f t="shared" si="39"/>
        <v>0</v>
      </c>
      <c r="H220">
        <f t="shared" si="40"/>
        <v>0</v>
      </c>
      <c r="P220" s="3"/>
      <c r="Q220" s="3"/>
    </row>
    <row r="221" spans="1:17">
      <c r="A221">
        <f t="shared" si="33"/>
        <v>0</v>
      </c>
      <c r="B221">
        <f t="shared" si="34"/>
        <v>0</v>
      </c>
      <c r="C221">
        <f t="shared" si="35"/>
        <v>0</v>
      </c>
      <c r="D221">
        <f t="shared" si="36"/>
        <v>0</v>
      </c>
      <c r="E221">
        <f t="shared" si="37"/>
        <v>0</v>
      </c>
      <c r="F221">
        <f t="shared" si="38"/>
        <v>0</v>
      </c>
      <c r="G221">
        <f t="shared" si="39"/>
        <v>0</v>
      </c>
      <c r="H221">
        <f t="shared" si="40"/>
        <v>0</v>
      </c>
      <c r="P221" s="3"/>
      <c r="Q221" s="3"/>
    </row>
    <row r="222" spans="1:17">
      <c r="A222">
        <f t="shared" si="33"/>
        <v>0</v>
      </c>
      <c r="B222">
        <f t="shared" si="34"/>
        <v>0</v>
      </c>
      <c r="C222">
        <f t="shared" si="35"/>
        <v>0</v>
      </c>
      <c r="D222">
        <f t="shared" si="36"/>
        <v>0</v>
      </c>
      <c r="E222">
        <f t="shared" si="37"/>
        <v>0</v>
      </c>
      <c r="F222">
        <f t="shared" si="38"/>
        <v>0</v>
      </c>
      <c r="G222">
        <f t="shared" si="39"/>
        <v>0</v>
      </c>
      <c r="H222">
        <f t="shared" si="40"/>
        <v>0</v>
      </c>
      <c r="P222" s="3"/>
      <c r="Q222" s="3"/>
    </row>
    <row r="223" spans="1:17">
      <c r="A223">
        <f t="shared" si="33"/>
        <v>0</v>
      </c>
      <c r="B223">
        <f t="shared" si="34"/>
        <v>0</v>
      </c>
      <c r="C223">
        <f t="shared" si="35"/>
        <v>0</v>
      </c>
      <c r="D223">
        <f t="shared" si="36"/>
        <v>0</v>
      </c>
      <c r="E223">
        <f t="shared" si="37"/>
        <v>0</v>
      </c>
      <c r="F223">
        <f t="shared" si="38"/>
        <v>0</v>
      </c>
      <c r="G223">
        <f t="shared" si="39"/>
        <v>0</v>
      </c>
      <c r="H223">
        <f t="shared" si="40"/>
        <v>0</v>
      </c>
      <c r="P223" s="3"/>
      <c r="Q223" s="3"/>
    </row>
    <row r="224" spans="1:17">
      <c r="A224">
        <f t="shared" si="33"/>
        <v>0</v>
      </c>
      <c r="B224">
        <f t="shared" si="34"/>
        <v>0</v>
      </c>
      <c r="C224">
        <f t="shared" si="35"/>
        <v>0</v>
      </c>
      <c r="D224">
        <f t="shared" si="36"/>
        <v>0</v>
      </c>
      <c r="E224">
        <f t="shared" si="37"/>
        <v>0</v>
      </c>
      <c r="F224">
        <f t="shared" si="38"/>
        <v>0</v>
      </c>
      <c r="G224">
        <f t="shared" si="39"/>
        <v>0</v>
      </c>
      <c r="H224">
        <f t="shared" si="40"/>
        <v>0</v>
      </c>
      <c r="P224" s="3"/>
      <c r="Q224" s="3"/>
    </row>
    <row r="225" spans="1:17">
      <c r="A225">
        <f t="shared" si="33"/>
        <v>0</v>
      </c>
      <c r="B225">
        <f t="shared" si="34"/>
        <v>0</v>
      </c>
      <c r="C225">
        <f t="shared" si="35"/>
        <v>0</v>
      </c>
      <c r="D225">
        <f t="shared" si="36"/>
        <v>0</v>
      </c>
      <c r="E225">
        <f t="shared" si="37"/>
        <v>0</v>
      </c>
      <c r="F225">
        <f t="shared" si="38"/>
        <v>0</v>
      </c>
      <c r="G225">
        <f t="shared" si="39"/>
        <v>0</v>
      </c>
      <c r="H225">
        <f t="shared" si="40"/>
        <v>0</v>
      </c>
      <c r="P225" s="3"/>
      <c r="Q225" s="3"/>
    </row>
    <row r="226" spans="1:17">
      <c r="A226">
        <f t="shared" si="33"/>
        <v>0</v>
      </c>
      <c r="B226">
        <f t="shared" si="34"/>
        <v>0</v>
      </c>
      <c r="C226">
        <f t="shared" si="35"/>
        <v>0</v>
      </c>
      <c r="D226">
        <f t="shared" si="36"/>
        <v>0</v>
      </c>
      <c r="E226">
        <f t="shared" si="37"/>
        <v>0</v>
      </c>
      <c r="F226">
        <f t="shared" si="38"/>
        <v>0</v>
      </c>
      <c r="G226">
        <f t="shared" si="39"/>
        <v>0</v>
      </c>
      <c r="H226">
        <f t="shared" si="40"/>
        <v>0</v>
      </c>
      <c r="P226" s="3"/>
      <c r="Q226" s="3"/>
    </row>
    <row r="227" spans="1:17">
      <c r="A227">
        <f t="shared" si="33"/>
        <v>0</v>
      </c>
      <c r="B227">
        <f t="shared" si="34"/>
        <v>0</v>
      </c>
      <c r="C227">
        <f t="shared" si="35"/>
        <v>0</v>
      </c>
      <c r="D227">
        <f t="shared" si="36"/>
        <v>0</v>
      </c>
      <c r="E227">
        <f t="shared" si="37"/>
        <v>0</v>
      </c>
      <c r="F227">
        <f t="shared" si="38"/>
        <v>0</v>
      </c>
      <c r="G227">
        <f t="shared" si="39"/>
        <v>0</v>
      </c>
      <c r="H227">
        <f t="shared" si="40"/>
        <v>0</v>
      </c>
      <c r="P227" s="3"/>
      <c r="Q227" s="3"/>
    </row>
    <row r="228" spans="1:17">
      <c r="A228">
        <f t="shared" si="33"/>
        <v>0</v>
      </c>
      <c r="B228">
        <f t="shared" si="34"/>
        <v>0</v>
      </c>
      <c r="C228">
        <f t="shared" si="35"/>
        <v>0</v>
      </c>
      <c r="D228">
        <f t="shared" si="36"/>
        <v>0</v>
      </c>
      <c r="E228">
        <f t="shared" si="37"/>
        <v>0</v>
      </c>
      <c r="F228">
        <f t="shared" si="38"/>
        <v>0</v>
      </c>
      <c r="G228">
        <f t="shared" si="39"/>
        <v>0</v>
      </c>
      <c r="H228">
        <f t="shared" si="40"/>
        <v>0</v>
      </c>
      <c r="P228" s="3"/>
      <c r="Q228" s="3"/>
    </row>
    <row r="229" spans="1:17">
      <c r="A229">
        <f t="shared" si="33"/>
        <v>0</v>
      </c>
      <c r="B229">
        <f t="shared" si="34"/>
        <v>0</v>
      </c>
      <c r="C229">
        <f t="shared" si="35"/>
        <v>0</v>
      </c>
      <c r="D229">
        <f t="shared" si="36"/>
        <v>0</v>
      </c>
      <c r="E229">
        <f t="shared" si="37"/>
        <v>0</v>
      </c>
      <c r="F229">
        <f t="shared" si="38"/>
        <v>0</v>
      </c>
      <c r="G229">
        <f t="shared" si="39"/>
        <v>0</v>
      </c>
      <c r="H229">
        <f t="shared" si="40"/>
        <v>0</v>
      </c>
      <c r="P229" s="3"/>
      <c r="Q229" s="3"/>
    </row>
    <row r="230" spans="1:17">
      <c r="A230">
        <f t="shared" si="33"/>
        <v>0</v>
      </c>
      <c r="B230">
        <f t="shared" si="34"/>
        <v>0</v>
      </c>
      <c r="C230">
        <f t="shared" si="35"/>
        <v>0</v>
      </c>
      <c r="D230">
        <f t="shared" si="36"/>
        <v>0</v>
      </c>
      <c r="E230">
        <f t="shared" si="37"/>
        <v>0</v>
      </c>
      <c r="F230">
        <f t="shared" si="38"/>
        <v>0</v>
      </c>
      <c r="G230">
        <f t="shared" si="39"/>
        <v>0</v>
      </c>
      <c r="H230">
        <f t="shared" si="40"/>
        <v>0</v>
      </c>
      <c r="P230" s="3"/>
      <c r="Q230" s="3"/>
    </row>
    <row r="231" spans="1:17">
      <c r="A231">
        <f t="shared" si="33"/>
        <v>0</v>
      </c>
      <c r="B231">
        <f t="shared" si="34"/>
        <v>0</v>
      </c>
      <c r="C231">
        <f t="shared" si="35"/>
        <v>0</v>
      </c>
      <c r="D231">
        <f t="shared" si="36"/>
        <v>0</v>
      </c>
      <c r="E231">
        <f t="shared" si="37"/>
        <v>0</v>
      </c>
      <c r="F231">
        <f t="shared" si="38"/>
        <v>0</v>
      </c>
      <c r="G231">
        <f t="shared" si="39"/>
        <v>0</v>
      </c>
      <c r="H231">
        <f t="shared" si="40"/>
        <v>0</v>
      </c>
      <c r="P231" s="3"/>
      <c r="Q231" s="3"/>
    </row>
    <row r="232" spans="1:17">
      <c r="A232">
        <f t="shared" si="33"/>
        <v>0</v>
      </c>
      <c r="B232">
        <f t="shared" si="34"/>
        <v>0</v>
      </c>
      <c r="C232">
        <f t="shared" si="35"/>
        <v>0</v>
      </c>
      <c r="D232">
        <f t="shared" si="36"/>
        <v>0</v>
      </c>
      <c r="E232">
        <f t="shared" si="37"/>
        <v>0</v>
      </c>
      <c r="F232">
        <f t="shared" si="38"/>
        <v>0</v>
      </c>
      <c r="G232">
        <f t="shared" si="39"/>
        <v>0</v>
      </c>
      <c r="H232">
        <f t="shared" si="40"/>
        <v>0</v>
      </c>
      <c r="Q232" s="3"/>
    </row>
    <row r="233" spans="1:17">
      <c r="A233">
        <f t="shared" si="33"/>
        <v>0</v>
      </c>
      <c r="B233">
        <f t="shared" si="34"/>
        <v>0</v>
      </c>
      <c r="C233">
        <f t="shared" si="35"/>
        <v>0</v>
      </c>
      <c r="D233">
        <f t="shared" si="36"/>
        <v>0</v>
      </c>
      <c r="E233">
        <f t="shared" si="37"/>
        <v>0</v>
      </c>
      <c r="F233">
        <f t="shared" si="38"/>
        <v>0</v>
      </c>
      <c r="G233">
        <f t="shared" si="39"/>
        <v>0</v>
      </c>
      <c r="H233">
        <f t="shared" si="40"/>
        <v>0</v>
      </c>
      <c r="Q233" s="3"/>
    </row>
    <row r="234" spans="1:17">
      <c r="A234">
        <f t="shared" si="33"/>
        <v>0</v>
      </c>
      <c r="B234">
        <f t="shared" si="34"/>
        <v>0</v>
      </c>
      <c r="C234">
        <f t="shared" si="35"/>
        <v>0</v>
      </c>
      <c r="D234">
        <f t="shared" si="36"/>
        <v>0</v>
      </c>
      <c r="E234">
        <f t="shared" si="37"/>
        <v>0</v>
      </c>
      <c r="F234">
        <f t="shared" si="38"/>
        <v>0</v>
      </c>
      <c r="G234">
        <f t="shared" si="39"/>
        <v>0</v>
      </c>
      <c r="H234">
        <f t="shared" si="40"/>
        <v>0</v>
      </c>
      <c r="Q234" s="3"/>
    </row>
    <row r="235" spans="1:17">
      <c r="A235">
        <f t="shared" si="33"/>
        <v>0</v>
      </c>
      <c r="B235">
        <f t="shared" si="34"/>
        <v>0</v>
      </c>
      <c r="C235">
        <f t="shared" si="35"/>
        <v>0</v>
      </c>
      <c r="D235">
        <f t="shared" si="36"/>
        <v>0</v>
      </c>
      <c r="E235">
        <f t="shared" si="37"/>
        <v>0</v>
      </c>
      <c r="F235">
        <f t="shared" si="38"/>
        <v>0</v>
      </c>
      <c r="G235">
        <f t="shared" si="39"/>
        <v>0</v>
      </c>
      <c r="H235">
        <f t="shared" si="40"/>
        <v>0</v>
      </c>
      <c r="Q235" s="3"/>
    </row>
    <row r="236" spans="1:17">
      <c r="A236">
        <f t="shared" si="33"/>
        <v>0</v>
      </c>
      <c r="B236">
        <f t="shared" si="34"/>
        <v>0</v>
      </c>
      <c r="C236">
        <f t="shared" si="35"/>
        <v>0</v>
      </c>
      <c r="D236">
        <f t="shared" si="36"/>
        <v>0</v>
      </c>
      <c r="E236">
        <f t="shared" si="37"/>
        <v>0</v>
      </c>
      <c r="F236">
        <f t="shared" si="38"/>
        <v>0</v>
      </c>
      <c r="G236">
        <f t="shared" si="39"/>
        <v>0</v>
      </c>
      <c r="H236">
        <f t="shared" si="40"/>
        <v>0</v>
      </c>
      <c r="Q236" s="3"/>
    </row>
    <row r="237" spans="1:17">
      <c r="A237">
        <f t="shared" si="33"/>
        <v>0</v>
      </c>
      <c r="B237">
        <f t="shared" si="34"/>
        <v>0</v>
      </c>
      <c r="C237">
        <f t="shared" si="35"/>
        <v>0</v>
      </c>
      <c r="D237">
        <f t="shared" si="36"/>
        <v>0</v>
      </c>
      <c r="E237">
        <f t="shared" si="37"/>
        <v>0</v>
      </c>
      <c r="F237">
        <f t="shared" si="38"/>
        <v>0</v>
      </c>
      <c r="G237">
        <f t="shared" si="39"/>
        <v>0</v>
      </c>
      <c r="H237">
        <f t="shared" si="40"/>
        <v>0</v>
      </c>
      <c r="Q237" s="3"/>
    </row>
    <row r="238" spans="1:17">
      <c r="A238">
        <f t="shared" si="33"/>
        <v>0</v>
      </c>
      <c r="B238">
        <f t="shared" si="34"/>
        <v>0</v>
      </c>
      <c r="C238">
        <f t="shared" si="35"/>
        <v>0</v>
      </c>
      <c r="D238">
        <f t="shared" si="36"/>
        <v>0</v>
      </c>
      <c r="E238">
        <f t="shared" si="37"/>
        <v>0</v>
      </c>
      <c r="F238">
        <f t="shared" si="38"/>
        <v>0</v>
      </c>
      <c r="G238">
        <f t="shared" si="39"/>
        <v>0</v>
      </c>
      <c r="H238">
        <f t="shared" si="40"/>
        <v>0</v>
      </c>
      <c r="Q238" s="3"/>
    </row>
    <row r="239" spans="1:17">
      <c r="A239">
        <f t="shared" si="33"/>
        <v>0</v>
      </c>
      <c r="B239">
        <f t="shared" si="34"/>
        <v>0</v>
      </c>
      <c r="C239">
        <f t="shared" si="35"/>
        <v>0</v>
      </c>
      <c r="D239">
        <f t="shared" si="36"/>
        <v>0</v>
      </c>
      <c r="E239">
        <f t="shared" si="37"/>
        <v>0</v>
      </c>
      <c r="F239">
        <f t="shared" si="38"/>
        <v>0</v>
      </c>
      <c r="G239">
        <f t="shared" si="39"/>
        <v>0</v>
      </c>
      <c r="H239">
        <f t="shared" si="40"/>
        <v>0</v>
      </c>
      <c r="Q239" s="3"/>
    </row>
    <row r="240" spans="1:17">
      <c r="A240">
        <f t="shared" si="33"/>
        <v>0</v>
      </c>
      <c r="B240">
        <f t="shared" si="34"/>
        <v>0</v>
      </c>
      <c r="C240">
        <f t="shared" si="35"/>
        <v>0</v>
      </c>
      <c r="D240">
        <f t="shared" si="36"/>
        <v>0</v>
      </c>
      <c r="E240">
        <f t="shared" si="37"/>
        <v>0</v>
      </c>
      <c r="F240">
        <f t="shared" si="38"/>
        <v>0</v>
      </c>
      <c r="G240">
        <f t="shared" si="39"/>
        <v>0</v>
      </c>
      <c r="H240">
        <f t="shared" si="40"/>
        <v>0</v>
      </c>
      <c r="Q240" s="3"/>
    </row>
    <row r="241" spans="1:17">
      <c r="A241">
        <f t="shared" si="33"/>
        <v>0</v>
      </c>
      <c r="B241">
        <f t="shared" si="34"/>
        <v>0</v>
      </c>
      <c r="C241">
        <f t="shared" si="35"/>
        <v>0</v>
      </c>
      <c r="D241">
        <f t="shared" si="36"/>
        <v>0</v>
      </c>
      <c r="E241">
        <f t="shared" si="37"/>
        <v>0</v>
      </c>
      <c r="F241">
        <f t="shared" si="38"/>
        <v>0</v>
      </c>
      <c r="G241">
        <f t="shared" si="39"/>
        <v>0</v>
      </c>
      <c r="H241">
        <f t="shared" si="40"/>
        <v>0</v>
      </c>
      <c r="Q241" s="3"/>
    </row>
    <row r="242" spans="1:17">
      <c r="A242">
        <f t="shared" si="33"/>
        <v>0</v>
      </c>
      <c r="B242">
        <f t="shared" si="34"/>
        <v>0</v>
      </c>
      <c r="C242">
        <f t="shared" si="35"/>
        <v>0</v>
      </c>
      <c r="D242">
        <f t="shared" si="36"/>
        <v>0</v>
      </c>
      <c r="E242">
        <f t="shared" si="37"/>
        <v>0</v>
      </c>
      <c r="F242">
        <f t="shared" si="38"/>
        <v>0</v>
      </c>
      <c r="G242">
        <f t="shared" si="39"/>
        <v>0</v>
      </c>
      <c r="H242">
        <f t="shared" si="40"/>
        <v>0</v>
      </c>
      <c r="Q242" s="3"/>
    </row>
    <row r="243" spans="1:17" ht="15.75" customHeight="1">
      <c r="A243">
        <f t="shared" si="33"/>
        <v>0</v>
      </c>
      <c r="B243">
        <f t="shared" si="34"/>
        <v>0</v>
      </c>
      <c r="C243">
        <f t="shared" si="35"/>
        <v>0</v>
      </c>
      <c r="D243">
        <f t="shared" si="36"/>
        <v>0</v>
      </c>
      <c r="E243">
        <f t="shared" si="37"/>
        <v>0</v>
      </c>
      <c r="F243">
        <f t="shared" si="38"/>
        <v>0</v>
      </c>
      <c r="G243">
        <f t="shared" si="39"/>
        <v>0</v>
      </c>
      <c r="H243">
        <f t="shared" si="40"/>
        <v>0</v>
      </c>
      <c r="Q243" s="3"/>
    </row>
    <row r="244" spans="1:17">
      <c r="A244">
        <f t="shared" si="33"/>
        <v>0</v>
      </c>
      <c r="B244">
        <f t="shared" si="34"/>
        <v>0</v>
      </c>
      <c r="C244">
        <f t="shared" si="35"/>
        <v>0</v>
      </c>
      <c r="D244">
        <f t="shared" si="36"/>
        <v>0</v>
      </c>
      <c r="E244">
        <f t="shared" si="37"/>
        <v>0</v>
      </c>
      <c r="F244">
        <f t="shared" si="38"/>
        <v>0</v>
      </c>
      <c r="G244">
        <f t="shared" si="39"/>
        <v>0</v>
      </c>
      <c r="H244">
        <f t="shared" si="40"/>
        <v>0</v>
      </c>
      <c r="Q244" s="3"/>
    </row>
    <row r="245" spans="1:17">
      <c r="A245">
        <f t="shared" si="33"/>
        <v>0</v>
      </c>
      <c r="B245">
        <f t="shared" si="34"/>
        <v>0</v>
      </c>
      <c r="C245">
        <f t="shared" si="35"/>
        <v>0</v>
      </c>
      <c r="D245">
        <f t="shared" si="36"/>
        <v>0</v>
      </c>
      <c r="E245">
        <f t="shared" si="37"/>
        <v>0</v>
      </c>
      <c r="F245">
        <f t="shared" si="38"/>
        <v>0</v>
      </c>
      <c r="G245">
        <f t="shared" si="39"/>
        <v>0</v>
      </c>
      <c r="H245">
        <f t="shared" si="40"/>
        <v>0</v>
      </c>
      <c r="Q245" s="3"/>
    </row>
    <row r="246" spans="1:17">
      <c r="A246">
        <f t="shared" si="33"/>
        <v>0</v>
      </c>
      <c r="B246">
        <f t="shared" si="34"/>
        <v>0</v>
      </c>
      <c r="C246">
        <f t="shared" si="35"/>
        <v>0</v>
      </c>
      <c r="D246">
        <f t="shared" si="36"/>
        <v>0</v>
      </c>
      <c r="E246">
        <f t="shared" si="37"/>
        <v>0</v>
      </c>
      <c r="F246">
        <f t="shared" si="38"/>
        <v>0</v>
      </c>
      <c r="G246">
        <f t="shared" si="39"/>
        <v>0</v>
      </c>
      <c r="H246">
        <f t="shared" si="40"/>
        <v>0</v>
      </c>
      <c r="Q246" s="3"/>
    </row>
    <row r="247" spans="1:17">
      <c r="A247">
        <f t="shared" si="33"/>
        <v>0</v>
      </c>
      <c r="B247">
        <f t="shared" si="34"/>
        <v>0</v>
      </c>
      <c r="C247">
        <f t="shared" si="35"/>
        <v>0</v>
      </c>
      <c r="D247">
        <f t="shared" si="36"/>
        <v>0</v>
      </c>
      <c r="E247">
        <f t="shared" si="37"/>
        <v>0</v>
      </c>
      <c r="F247">
        <f t="shared" si="38"/>
        <v>0</v>
      </c>
      <c r="G247">
        <f t="shared" si="39"/>
        <v>0</v>
      </c>
      <c r="H247">
        <f t="shared" si="40"/>
        <v>0</v>
      </c>
      <c r="Q247" s="3"/>
    </row>
    <row r="248" spans="1:17">
      <c r="A248">
        <f t="shared" si="33"/>
        <v>0</v>
      </c>
      <c r="B248">
        <f t="shared" si="34"/>
        <v>0</v>
      </c>
      <c r="C248">
        <f t="shared" si="35"/>
        <v>0</v>
      </c>
      <c r="D248">
        <f t="shared" si="36"/>
        <v>0</v>
      </c>
      <c r="E248">
        <f t="shared" si="37"/>
        <v>0</v>
      </c>
      <c r="F248">
        <f t="shared" si="38"/>
        <v>0</v>
      </c>
      <c r="G248">
        <f t="shared" si="39"/>
        <v>0</v>
      </c>
      <c r="H248">
        <f t="shared" si="40"/>
        <v>0</v>
      </c>
      <c r="Q248" s="3"/>
    </row>
    <row r="249" spans="1:17">
      <c r="A249">
        <f t="shared" si="33"/>
        <v>0</v>
      </c>
      <c r="B249">
        <f t="shared" si="34"/>
        <v>0</v>
      </c>
      <c r="C249">
        <f t="shared" si="35"/>
        <v>0</v>
      </c>
      <c r="D249">
        <f t="shared" si="36"/>
        <v>0</v>
      </c>
      <c r="E249">
        <f t="shared" si="37"/>
        <v>0</v>
      </c>
      <c r="F249">
        <f t="shared" si="38"/>
        <v>0</v>
      </c>
      <c r="G249">
        <f t="shared" si="39"/>
        <v>0</v>
      </c>
      <c r="H249">
        <f t="shared" si="40"/>
        <v>0</v>
      </c>
      <c r="Q249" s="3"/>
    </row>
    <row r="250" spans="1:17">
      <c r="A250">
        <f t="shared" si="33"/>
        <v>0</v>
      </c>
      <c r="B250">
        <f t="shared" si="34"/>
        <v>0</v>
      </c>
      <c r="C250">
        <f t="shared" si="35"/>
        <v>0</v>
      </c>
      <c r="D250">
        <f t="shared" si="36"/>
        <v>0</v>
      </c>
      <c r="E250">
        <f t="shared" si="37"/>
        <v>0</v>
      </c>
      <c r="F250">
        <f t="shared" si="38"/>
        <v>0</v>
      </c>
      <c r="G250">
        <f t="shared" si="39"/>
        <v>0</v>
      </c>
      <c r="H250">
        <f t="shared" si="40"/>
        <v>0</v>
      </c>
      <c r="Q250" s="3"/>
    </row>
    <row r="251" spans="1:17">
      <c r="A251">
        <f>M251</f>
        <v>0</v>
      </c>
      <c r="B251">
        <f t="shared" ref="B251:C253" si="41">K251</f>
        <v>0</v>
      </c>
      <c r="C251">
        <f t="shared" si="41"/>
        <v>0</v>
      </c>
      <c r="D251">
        <f t="shared" ref="D251:G253" si="42">N251</f>
        <v>0</v>
      </c>
      <c r="E251">
        <f t="shared" si="42"/>
        <v>0</v>
      </c>
      <c r="F251">
        <f t="shared" si="42"/>
        <v>0</v>
      </c>
      <c r="G251">
        <f t="shared" si="42"/>
        <v>0</v>
      </c>
      <c r="H251">
        <f t="shared" si="40"/>
        <v>0</v>
      </c>
      <c r="Q251" s="3"/>
    </row>
    <row r="252" spans="1:17">
      <c r="A252">
        <f>M252</f>
        <v>0</v>
      </c>
      <c r="B252">
        <f t="shared" si="41"/>
        <v>0</v>
      </c>
      <c r="C252">
        <f t="shared" si="41"/>
        <v>0</v>
      </c>
      <c r="D252">
        <f t="shared" si="42"/>
        <v>0</v>
      </c>
      <c r="E252">
        <f t="shared" si="42"/>
        <v>0</v>
      </c>
      <c r="F252">
        <f t="shared" si="42"/>
        <v>0</v>
      </c>
      <c r="G252">
        <f t="shared" si="42"/>
        <v>0</v>
      </c>
      <c r="H252">
        <f t="shared" si="40"/>
        <v>0</v>
      </c>
      <c r="Q252" s="3"/>
    </row>
    <row r="253" spans="1:17">
      <c r="A253">
        <f>M253</f>
        <v>0</v>
      </c>
      <c r="B253">
        <f t="shared" si="41"/>
        <v>0</v>
      </c>
      <c r="C253">
        <f t="shared" si="41"/>
        <v>0</v>
      </c>
      <c r="D253">
        <f t="shared" si="42"/>
        <v>0</v>
      </c>
      <c r="E253">
        <f t="shared" si="42"/>
        <v>0</v>
      </c>
      <c r="F253">
        <f t="shared" si="42"/>
        <v>0</v>
      </c>
      <c r="G253">
        <f t="shared" si="42"/>
        <v>0</v>
      </c>
      <c r="H253">
        <f t="shared" si="40"/>
        <v>0</v>
      </c>
      <c r="Q253" s="3"/>
    </row>
    <row r="254" spans="1:17">
      <c r="A254">
        <f t="shared" ref="A254:A270" si="43">M254</f>
        <v>0</v>
      </c>
      <c r="B254">
        <f t="shared" ref="B254:B270" si="44">K254</f>
        <v>0</v>
      </c>
      <c r="C254">
        <f t="shared" ref="C254:C270" si="45">L254</f>
        <v>0</v>
      </c>
      <c r="D254">
        <f t="shared" ref="D254:D270" si="46">N254</f>
        <v>0</v>
      </c>
      <c r="E254">
        <f t="shared" ref="E254:E270" si="47">O254</f>
        <v>0</v>
      </c>
      <c r="F254">
        <f t="shared" ref="F254:F270" si="48">P254</f>
        <v>0</v>
      </c>
      <c r="G254">
        <f t="shared" ref="G254:G270" si="49">Q254</f>
        <v>0</v>
      </c>
      <c r="H254">
        <f t="shared" si="40"/>
        <v>0</v>
      </c>
    </row>
    <row r="255" spans="1:17">
      <c r="A255">
        <f t="shared" si="43"/>
        <v>0</v>
      </c>
      <c r="B255">
        <f t="shared" si="44"/>
        <v>0</v>
      </c>
      <c r="C255">
        <f t="shared" si="45"/>
        <v>0</v>
      </c>
      <c r="D255">
        <f t="shared" si="46"/>
        <v>0</v>
      </c>
      <c r="E255">
        <f t="shared" si="47"/>
        <v>0</v>
      </c>
      <c r="F255">
        <f t="shared" si="48"/>
        <v>0</v>
      </c>
      <c r="G255">
        <f t="shared" si="49"/>
        <v>0</v>
      </c>
      <c r="H255">
        <f t="shared" si="40"/>
        <v>0</v>
      </c>
    </row>
    <row r="256" spans="1:17">
      <c r="A256">
        <f t="shared" si="43"/>
        <v>0</v>
      </c>
      <c r="B256">
        <f t="shared" si="44"/>
        <v>0</v>
      </c>
      <c r="C256">
        <f t="shared" si="45"/>
        <v>0</v>
      </c>
      <c r="D256">
        <f t="shared" si="46"/>
        <v>0</v>
      </c>
      <c r="E256">
        <f t="shared" si="47"/>
        <v>0</v>
      </c>
      <c r="F256">
        <f t="shared" si="48"/>
        <v>0</v>
      </c>
      <c r="G256">
        <f t="shared" si="49"/>
        <v>0</v>
      </c>
      <c r="H256">
        <f t="shared" si="40"/>
        <v>0</v>
      </c>
    </row>
    <row r="257" spans="1:8">
      <c r="A257">
        <f t="shared" si="43"/>
        <v>0</v>
      </c>
      <c r="B257">
        <f t="shared" si="44"/>
        <v>0</v>
      </c>
      <c r="C257">
        <f t="shared" si="45"/>
        <v>0</v>
      </c>
      <c r="D257">
        <f t="shared" si="46"/>
        <v>0</v>
      </c>
      <c r="E257">
        <f t="shared" si="47"/>
        <v>0</v>
      </c>
      <c r="F257">
        <f t="shared" si="48"/>
        <v>0</v>
      </c>
      <c r="G257">
        <f t="shared" si="49"/>
        <v>0</v>
      </c>
      <c r="H257">
        <f t="shared" si="40"/>
        <v>0</v>
      </c>
    </row>
    <row r="258" spans="1:8">
      <c r="A258">
        <f t="shared" si="43"/>
        <v>0</v>
      </c>
      <c r="B258">
        <f t="shared" si="44"/>
        <v>0</v>
      </c>
      <c r="C258">
        <f t="shared" si="45"/>
        <v>0</v>
      </c>
      <c r="D258">
        <f t="shared" si="46"/>
        <v>0</v>
      </c>
      <c r="E258">
        <f t="shared" si="47"/>
        <v>0</v>
      </c>
      <c r="F258">
        <f t="shared" si="48"/>
        <v>0</v>
      </c>
      <c r="G258">
        <f t="shared" si="49"/>
        <v>0</v>
      </c>
      <c r="H258">
        <f t="shared" si="40"/>
        <v>0</v>
      </c>
    </row>
    <row r="259" spans="1:8">
      <c r="A259">
        <f t="shared" si="43"/>
        <v>0</v>
      </c>
      <c r="B259">
        <f t="shared" si="44"/>
        <v>0</v>
      </c>
      <c r="C259">
        <f t="shared" si="45"/>
        <v>0</v>
      </c>
      <c r="D259">
        <f t="shared" si="46"/>
        <v>0</v>
      </c>
      <c r="E259">
        <f t="shared" si="47"/>
        <v>0</v>
      </c>
      <c r="F259">
        <f t="shared" si="48"/>
        <v>0</v>
      </c>
      <c r="G259">
        <f t="shared" si="49"/>
        <v>0</v>
      </c>
      <c r="H259">
        <f t="shared" si="40"/>
        <v>0</v>
      </c>
    </row>
    <row r="260" spans="1:8">
      <c r="A260">
        <f t="shared" si="43"/>
        <v>0</v>
      </c>
      <c r="B260">
        <f t="shared" si="44"/>
        <v>0</v>
      </c>
      <c r="C260">
        <f t="shared" si="45"/>
        <v>0</v>
      </c>
      <c r="D260">
        <f t="shared" si="46"/>
        <v>0</v>
      </c>
      <c r="E260">
        <f t="shared" si="47"/>
        <v>0</v>
      </c>
      <c r="F260">
        <f t="shared" si="48"/>
        <v>0</v>
      </c>
      <c r="G260">
        <f t="shared" si="49"/>
        <v>0</v>
      </c>
      <c r="H260">
        <f t="shared" si="40"/>
        <v>0</v>
      </c>
    </row>
    <row r="261" spans="1:8">
      <c r="A261">
        <f t="shared" si="43"/>
        <v>0</v>
      </c>
      <c r="B261">
        <f t="shared" si="44"/>
        <v>0</v>
      </c>
      <c r="C261">
        <f t="shared" si="45"/>
        <v>0</v>
      </c>
      <c r="D261">
        <f t="shared" si="46"/>
        <v>0</v>
      </c>
      <c r="E261">
        <f t="shared" si="47"/>
        <v>0</v>
      </c>
      <c r="F261">
        <f t="shared" si="48"/>
        <v>0</v>
      </c>
      <c r="G261">
        <f t="shared" si="49"/>
        <v>0</v>
      </c>
      <c r="H261">
        <f t="shared" si="40"/>
        <v>0</v>
      </c>
    </row>
    <row r="262" spans="1:8">
      <c r="A262">
        <f t="shared" si="43"/>
        <v>0</v>
      </c>
      <c r="B262">
        <f t="shared" si="44"/>
        <v>0</v>
      </c>
      <c r="C262">
        <f t="shared" si="45"/>
        <v>0</v>
      </c>
      <c r="D262">
        <f t="shared" si="46"/>
        <v>0</v>
      </c>
      <c r="E262">
        <f t="shared" si="47"/>
        <v>0</v>
      </c>
      <c r="F262">
        <f t="shared" si="48"/>
        <v>0</v>
      </c>
      <c r="G262">
        <f t="shared" si="49"/>
        <v>0</v>
      </c>
      <c r="H262">
        <f t="shared" si="40"/>
        <v>0</v>
      </c>
    </row>
    <row r="263" spans="1:8">
      <c r="A263">
        <f t="shared" si="43"/>
        <v>0</v>
      </c>
      <c r="B263">
        <f t="shared" si="44"/>
        <v>0</v>
      </c>
      <c r="C263">
        <f t="shared" si="45"/>
        <v>0</v>
      </c>
      <c r="D263">
        <f t="shared" si="46"/>
        <v>0</v>
      </c>
      <c r="E263">
        <f t="shared" si="47"/>
        <v>0</v>
      </c>
      <c r="F263">
        <f t="shared" si="48"/>
        <v>0</v>
      </c>
      <c r="G263">
        <f t="shared" si="49"/>
        <v>0</v>
      </c>
      <c r="H263">
        <f t="shared" si="40"/>
        <v>0</v>
      </c>
    </row>
    <row r="264" spans="1:8">
      <c r="A264">
        <f t="shared" si="43"/>
        <v>0</v>
      </c>
      <c r="B264">
        <f t="shared" si="44"/>
        <v>0</v>
      </c>
      <c r="C264">
        <f t="shared" si="45"/>
        <v>0</v>
      </c>
      <c r="D264">
        <f t="shared" si="46"/>
        <v>0</v>
      </c>
      <c r="E264">
        <f t="shared" si="47"/>
        <v>0</v>
      </c>
      <c r="F264">
        <f t="shared" si="48"/>
        <v>0</v>
      </c>
      <c r="G264">
        <f t="shared" si="49"/>
        <v>0</v>
      </c>
      <c r="H264">
        <f t="shared" si="40"/>
        <v>0</v>
      </c>
    </row>
    <row r="265" spans="1:8">
      <c r="A265">
        <f t="shared" si="43"/>
        <v>0</v>
      </c>
      <c r="B265">
        <f t="shared" si="44"/>
        <v>0</v>
      </c>
      <c r="C265">
        <f t="shared" si="45"/>
        <v>0</v>
      </c>
      <c r="D265">
        <f t="shared" si="46"/>
        <v>0</v>
      </c>
      <c r="E265">
        <f t="shared" si="47"/>
        <v>0</v>
      </c>
      <c r="F265">
        <f t="shared" si="48"/>
        <v>0</v>
      </c>
      <c r="G265">
        <f t="shared" si="49"/>
        <v>0</v>
      </c>
      <c r="H265">
        <f t="shared" si="40"/>
        <v>0</v>
      </c>
    </row>
    <row r="266" spans="1:8">
      <c r="A266">
        <f t="shared" si="43"/>
        <v>0</v>
      </c>
      <c r="B266">
        <f t="shared" si="44"/>
        <v>0</v>
      </c>
      <c r="C266">
        <f t="shared" si="45"/>
        <v>0</v>
      </c>
      <c r="D266">
        <f t="shared" si="46"/>
        <v>0</v>
      </c>
      <c r="E266">
        <f t="shared" si="47"/>
        <v>0</v>
      </c>
      <c r="F266">
        <f t="shared" si="48"/>
        <v>0</v>
      </c>
      <c r="G266">
        <f t="shared" si="49"/>
        <v>0</v>
      </c>
      <c r="H266">
        <f t="shared" si="40"/>
        <v>0</v>
      </c>
    </row>
    <row r="267" spans="1:8" ht="15.75" customHeight="1">
      <c r="A267">
        <f t="shared" si="43"/>
        <v>0</v>
      </c>
      <c r="B267">
        <f t="shared" si="44"/>
        <v>0</v>
      </c>
      <c r="C267">
        <f t="shared" si="45"/>
        <v>0</v>
      </c>
      <c r="D267">
        <f t="shared" si="46"/>
        <v>0</v>
      </c>
      <c r="E267">
        <f t="shared" si="47"/>
        <v>0</v>
      </c>
      <c r="F267">
        <f t="shared" si="48"/>
        <v>0</v>
      </c>
      <c r="G267">
        <f t="shared" si="49"/>
        <v>0</v>
      </c>
      <c r="H267">
        <f t="shared" si="40"/>
        <v>0</v>
      </c>
    </row>
    <row r="268" spans="1:8">
      <c r="A268">
        <f t="shared" si="43"/>
        <v>0</v>
      </c>
      <c r="B268">
        <f t="shared" si="44"/>
        <v>0</v>
      </c>
      <c r="C268">
        <f t="shared" si="45"/>
        <v>0</v>
      </c>
      <c r="D268">
        <f t="shared" si="46"/>
        <v>0</v>
      </c>
      <c r="E268">
        <f t="shared" si="47"/>
        <v>0</v>
      </c>
      <c r="F268">
        <f t="shared" si="48"/>
        <v>0</v>
      </c>
      <c r="G268">
        <f t="shared" si="49"/>
        <v>0</v>
      </c>
      <c r="H268">
        <f t="shared" si="40"/>
        <v>0</v>
      </c>
    </row>
    <row r="269" spans="1:8">
      <c r="A269">
        <f t="shared" si="43"/>
        <v>0</v>
      </c>
      <c r="B269">
        <f t="shared" si="44"/>
        <v>0</v>
      </c>
      <c r="C269">
        <f t="shared" si="45"/>
        <v>0</v>
      </c>
      <c r="D269">
        <f t="shared" si="46"/>
        <v>0</v>
      </c>
      <c r="E269">
        <f t="shared" si="47"/>
        <v>0</v>
      </c>
      <c r="F269">
        <f t="shared" si="48"/>
        <v>0</v>
      </c>
      <c r="G269">
        <f t="shared" si="49"/>
        <v>0</v>
      </c>
      <c r="H269">
        <f t="shared" si="40"/>
        <v>0</v>
      </c>
    </row>
    <row r="270" spans="1:8">
      <c r="A270">
        <f t="shared" si="43"/>
        <v>0</v>
      </c>
      <c r="B270">
        <f t="shared" si="44"/>
        <v>0</v>
      </c>
      <c r="C270">
        <f t="shared" si="45"/>
        <v>0</v>
      </c>
      <c r="D270">
        <f t="shared" si="46"/>
        <v>0</v>
      </c>
      <c r="E270">
        <f t="shared" si="47"/>
        <v>0</v>
      </c>
      <c r="F270">
        <f t="shared" si="48"/>
        <v>0</v>
      </c>
      <c r="G270">
        <f t="shared" si="49"/>
        <v>0</v>
      </c>
      <c r="H270">
        <f t="shared" si="40"/>
        <v>0</v>
      </c>
    </row>
    <row r="299" ht="15.75" customHeight="1"/>
    <row r="357" ht="15.75" customHeight="1"/>
    <row r="383" ht="15.75" customHeight="1"/>
  </sheetData>
  <autoFilter ref="A1:H1" xr:uid="{5EB6F13B-E0C8-47CA-9F59-96347F59EBCF}">
    <sortState xmlns:xlrd2="http://schemas.microsoft.com/office/spreadsheetml/2017/richdata2" ref="A2:H238">
      <sortCondition ref="C1"/>
    </sortState>
  </autoFilter>
  <mergeCells count="1">
    <mergeCell ref="K1:Q1"/>
  </mergeCells>
  <pageMargins left="0.7" right="0.7" top="0.75" bottom="0.75" header="0.3" footer="0.3"/>
  <pageSetup paperSize="9" orientation="portrait" r:id="rId1"/>
  <headerFooter>
    <oddHeader>&amp;C&amp;G</oddHeader>
    <oddFooter>&amp;C&amp;1#&amp;"Calibri"&amp;10&amp;KA80000CONFIDENTIAL</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9802-5844-40A5-946F-A1709E3760FA}">
  <sheetPr codeName="Sheet2">
    <tabColor theme="0"/>
  </sheetPr>
  <dimension ref="A1:H139"/>
  <sheetViews>
    <sheetView workbookViewId="0">
      <selection activeCell="J33" sqref="J33"/>
    </sheetView>
  </sheetViews>
  <sheetFormatPr defaultRowHeight="15"/>
  <cols>
    <col min="1" max="1" width="23.28515625" bestFit="1" customWidth="1"/>
    <col min="7" max="7" width="13.42578125" bestFit="1" customWidth="1"/>
    <col min="8" max="8" width="12.5703125" bestFit="1" customWidth="1"/>
  </cols>
  <sheetData>
    <row r="1" spans="1:8">
      <c r="A1" s="218" t="s">
        <v>0</v>
      </c>
      <c r="B1" s="218">
        <v>2022</v>
      </c>
      <c r="C1" s="218">
        <v>2023</v>
      </c>
      <c r="D1" t="s">
        <v>254</v>
      </c>
      <c r="G1" t="s">
        <v>523</v>
      </c>
      <c r="H1" t="s">
        <v>534</v>
      </c>
    </row>
    <row r="2" spans="1:8">
      <c r="A2" t="s">
        <v>6</v>
      </c>
      <c r="B2">
        <v>1</v>
      </c>
      <c r="C2">
        <v>2</v>
      </c>
      <c r="D2">
        <f t="shared" ref="D2:D33" si="0">B2-C2</f>
        <v>-1</v>
      </c>
      <c r="G2" s="38">
        <f>AVERAGE(D2:D139)</f>
        <v>-0.79710144927536231</v>
      </c>
      <c r="H2" s="243">
        <f>CORREL(B2:B139,C2:C139)</f>
        <v>0.68644255807645715</v>
      </c>
    </row>
    <row r="3" spans="1:8">
      <c r="A3" t="s">
        <v>72</v>
      </c>
      <c r="B3">
        <v>2</v>
      </c>
      <c r="C3">
        <v>21</v>
      </c>
      <c r="D3">
        <f t="shared" si="0"/>
        <v>-19</v>
      </c>
    </row>
    <row r="4" spans="1:8">
      <c r="A4" t="s">
        <v>42</v>
      </c>
      <c r="B4">
        <v>4</v>
      </c>
      <c r="C4">
        <v>27</v>
      </c>
      <c r="D4">
        <f t="shared" si="0"/>
        <v>-23</v>
      </c>
    </row>
    <row r="5" spans="1:8">
      <c r="A5" t="s">
        <v>35</v>
      </c>
      <c r="B5">
        <v>5</v>
      </c>
      <c r="C5">
        <v>1</v>
      </c>
      <c r="D5">
        <f t="shared" si="0"/>
        <v>4</v>
      </c>
    </row>
    <row r="6" spans="1:8">
      <c r="A6" t="s">
        <v>113</v>
      </c>
      <c r="B6">
        <v>6</v>
      </c>
      <c r="C6">
        <v>17</v>
      </c>
      <c r="D6">
        <f t="shared" si="0"/>
        <v>-11</v>
      </c>
    </row>
    <row r="7" spans="1:8">
      <c r="A7" t="s">
        <v>15</v>
      </c>
      <c r="B7">
        <v>7</v>
      </c>
      <c r="C7">
        <v>6</v>
      </c>
      <c r="D7">
        <f t="shared" si="0"/>
        <v>1</v>
      </c>
    </row>
    <row r="8" spans="1:8">
      <c r="A8" t="s">
        <v>73</v>
      </c>
      <c r="B8">
        <v>8</v>
      </c>
      <c r="C8">
        <v>3</v>
      </c>
      <c r="D8">
        <f t="shared" si="0"/>
        <v>5</v>
      </c>
    </row>
    <row r="9" spans="1:8">
      <c r="A9" t="s">
        <v>40</v>
      </c>
      <c r="B9">
        <v>9</v>
      </c>
      <c r="C9">
        <v>3</v>
      </c>
      <c r="D9">
        <f t="shared" si="0"/>
        <v>6</v>
      </c>
    </row>
    <row r="10" spans="1:8">
      <c r="A10" t="s">
        <v>69</v>
      </c>
      <c r="B10">
        <v>10</v>
      </c>
      <c r="C10">
        <v>15</v>
      </c>
      <c r="D10">
        <f t="shared" si="0"/>
        <v>-5</v>
      </c>
    </row>
    <row r="11" spans="1:8">
      <c r="A11" t="s">
        <v>27</v>
      </c>
      <c r="B11">
        <v>12</v>
      </c>
      <c r="C11">
        <v>31</v>
      </c>
      <c r="D11">
        <f t="shared" si="0"/>
        <v>-19</v>
      </c>
    </row>
    <row r="12" spans="1:8">
      <c r="A12" t="s">
        <v>66</v>
      </c>
      <c r="B12">
        <v>13</v>
      </c>
      <c r="C12">
        <v>9</v>
      </c>
      <c r="D12">
        <f t="shared" si="0"/>
        <v>4</v>
      </c>
    </row>
    <row r="13" spans="1:8">
      <c r="A13" t="s">
        <v>9</v>
      </c>
      <c r="B13">
        <v>15</v>
      </c>
      <c r="C13">
        <v>74</v>
      </c>
      <c r="D13">
        <f t="shared" si="0"/>
        <v>-59</v>
      </c>
    </row>
    <row r="14" spans="1:8">
      <c r="A14" t="s">
        <v>166</v>
      </c>
      <c r="B14">
        <v>16</v>
      </c>
      <c r="C14">
        <v>25</v>
      </c>
      <c r="D14">
        <f t="shared" si="0"/>
        <v>-9</v>
      </c>
    </row>
    <row r="15" spans="1:8">
      <c r="A15" t="s">
        <v>74</v>
      </c>
      <c r="B15">
        <v>17</v>
      </c>
      <c r="C15">
        <v>29</v>
      </c>
      <c r="D15">
        <f t="shared" si="0"/>
        <v>-12</v>
      </c>
    </row>
    <row r="16" spans="1:8">
      <c r="A16" t="s">
        <v>93</v>
      </c>
      <c r="B16">
        <v>18</v>
      </c>
      <c r="C16">
        <v>22</v>
      </c>
      <c r="D16">
        <f t="shared" si="0"/>
        <v>-4</v>
      </c>
    </row>
    <row r="17" spans="1:4">
      <c r="A17" t="s">
        <v>14</v>
      </c>
      <c r="B17">
        <v>20</v>
      </c>
      <c r="C17">
        <v>57</v>
      </c>
      <c r="D17">
        <f t="shared" si="0"/>
        <v>-37</v>
      </c>
    </row>
    <row r="18" spans="1:4">
      <c r="A18" t="s">
        <v>58</v>
      </c>
      <c r="B18">
        <v>21</v>
      </c>
      <c r="C18">
        <v>24</v>
      </c>
      <c r="D18">
        <f t="shared" si="0"/>
        <v>-3</v>
      </c>
    </row>
    <row r="19" spans="1:4">
      <c r="A19" t="s">
        <v>85</v>
      </c>
      <c r="B19">
        <v>23</v>
      </c>
      <c r="C19">
        <v>5</v>
      </c>
      <c r="D19">
        <f t="shared" si="0"/>
        <v>18</v>
      </c>
    </row>
    <row r="20" spans="1:4">
      <c r="A20" t="s">
        <v>51</v>
      </c>
      <c r="B20">
        <v>24</v>
      </c>
      <c r="C20">
        <v>7</v>
      </c>
      <c r="D20">
        <f t="shared" si="0"/>
        <v>17</v>
      </c>
    </row>
    <row r="21" spans="1:4">
      <c r="A21" t="s">
        <v>115</v>
      </c>
      <c r="B21">
        <v>25</v>
      </c>
      <c r="C21">
        <v>102</v>
      </c>
      <c r="D21">
        <f t="shared" si="0"/>
        <v>-77</v>
      </c>
    </row>
    <row r="22" spans="1:4">
      <c r="A22" t="s">
        <v>129</v>
      </c>
      <c r="B22">
        <v>27</v>
      </c>
      <c r="C22">
        <v>23</v>
      </c>
      <c r="D22">
        <f t="shared" si="0"/>
        <v>4</v>
      </c>
    </row>
    <row r="23" spans="1:4">
      <c r="A23" t="s">
        <v>132</v>
      </c>
      <c r="B23">
        <v>28</v>
      </c>
      <c r="C23">
        <v>30</v>
      </c>
      <c r="D23">
        <f t="shared" si="0"/>
        <v>-2</v>
      </c>
    </row>
    <row r="24" spans="1:4">
      <c r="A24" t="s">
        <v>135</v>
      </c>
      <c r="B24">
        <v>29</v>
      </c>
      <c r="C24">
        <v>11</v>
      </c>
      <c r="D24">
        <f t="shared" si="0"/>
        <v>18</v>
      </c>
    </row>
    <row r="25" spans="1:4">
      <c r="A25" t="s">
        <v>76</v>
      </c>
      <c r="B25">
        <v>30</v>
      </c>
      <c r="C25">
        <v>38</v>
      </c>
      <c r="D25">
        <f t="shared" si="0"/>
        <v>-8</v>
      </c>
    </row>
    <row r="26" spans="1:4">
      <c r="A26" t="s">
        <v>140</v>
      </c>
      <c r="B26">
        <v>31</v>
      </c>
      <c r="C26">
        <v>18</v>
      </c>
      <c r="D26">
        <f t="shared" si="0"/>
        <v>13</v>
      </c>
    </row>
    <row r="27" spans="1:4">
      <c r="A27" t="s">
        <v>17</v>
      </c>
      <c r="B27">
        <v>32</v>
      </c>
      <c r="C27">
        <v>69</v>
      </c>
      <c r="D27">
        <f t="shared" si="0"/>
        <v>-37</v>
      </c>
    </row>
    <row r="28" spans="1:4">
      <c r="A28" t="s">
        <v>47</v>
      </c>
      <c r="B28">
        <v>34</v>
      </c>
      <c r="C28">
        <v>8</v>
      </c>
      <c r="D28">
        <f t="shared" si="0"/>
        <v>26</v>
      </c>
    </row>
    <row r="29" spans="1:4">
      <c r="A29" t="s">
        <v>139</v>
      </c>
      <c r="B29">
        <v>34</v>
      </c>
      <c r="C29">
        <v>58</v>
      </c>
      <c r="D29">
        <f t="shared" si="0"/>
        <v>-24</v>
      </c>
    </row>
    <row r="30" spans="1:4">
      <c r="A30" t="s">
        <v>144</v>
      </c>
      <c r="B30">
        <v>36</v>
      </c>
      <c r="C30">
        <v>53</v>
      </c>
      <c r="D30">
        <f t="shared" si="0"/>
        <v>-17</v>
      </c>
    </row>
    <row r="31" spans="1:4">
      <c r="A31" t="s">
        <v>165</v>
      </c>
      <c r="B31">
        <v>37</v>
      </c>
      <c r="C31">
        <v>85</v>
      </c>
      <c r="D31">
        <f t="shared" si="0"/>
        <v>-48</v>
      </c>
    </row>
    <row r="32" spans="1:4">
      <c r="A32" t="s">
        <v>126</v>
      </c>
      <c r="B32">
        <v>38</v>
      </c>
      <c r="C32">
        <v>47</v>
      </c>
      <c r="D32">
        <f t="shared" si="0"/>
        <v>-9</v>
      </c>
    </row>
    <row r="33" spans="1:4">
      <c r="A33" t="s">
        <v>98</v>
      </c>
      <c r="B33">
        <v>39</v>
      </c>
      <c r="C33">
        <v>82</v>
      </c>
      <c r="D33">
        <f t="shared" si="0"/>
        <v>-43</v>
      </c>
    </row>
    <row r="34" spans="1:4">
      <c r="A34" t="s">
        <v>141</v>
      </c>
      <c r="B34">
        <v>41</v>
      </c>
      <c r="C34">
        <v>39</v>
      </c>
      <c r="D34">
        <f t="shared" ref="D34:D65" si="1">B34-C34</f>
        <v>2</v>
      </c>
    </row>
    <row r="35" spans="1:4">
      <c r="A35" t="s">
        <v>19</v>
      </c>
      <c r="B35">
        <v>42</v>
      </c>
      <c r="C35">
        <v>20</v>
      </c>
      <c r="D35">
        <f t="shared" si="1"/>
        <v>22</v>
      </c>
    </row>
    <row r="36" spans="1:4">
      <c r="A36" t="s">
        <v>33</v>
      </c>
      <c r="B36">
        <v>42</v>
      </c>
      <c r="C36">
        <v>87</v>
      </c>
      <c r="D36">
        <f t="shared" si="1"/>
        <v>-45</v>
      </c>
    </row>
    <row r="37" spans="1:4">
      <c r="A37" t="s">
        <v>154</v>
      </c>
      <c r="B37">
        <v>44</v>
      </c>
      <c r="C37">
        <v>44</v>
      </c>
      <c r="D37">
        <f t="shared" si="1"/>
        <v>0</v>
      </c>
    </row>
    <row r="38" spans="1:4">
      <c r="A38" t="s">
        <v>162</v>
      </c>
      <c r="B38">
        <v>45</v>
      </c>
      <c r="C38">
        <v>49</v>
      </c>
      <c r="D38">
        <f t="shared" si="1"/>
        <v>-4</v>
      </c>
    </row>
    <row r="39" spans="1:4">
      <c r="A39" t="s">
        <v>55</v>
      </c>
      <c r="B39">
        <v>46</v>
      </c>
      <c r="C39">
        <v>118</v>
      </c>
      <c r="D39">
        <f t="shared" si="1"/>
        <v>-72</v>
      </c>
    </row>
    <row r="40" spans="1:4">
      <c r="A40" t="s">
        <v>38</v>
      </c>
      <c r="B40">
        <v>47</v>
      </c>
      <c r="C40">
        <v>56</v>
      </c>
      <c r="D40">
        <f t="shared" si="1"/>
        <v>-9</v>
      </c>
    </row>
    <row r="41" spans="1:4">
      <c r="A41" t="s">
        <v>89</v>
      </c>
      <c r="B41">
        <v>48</v>
      </c>
      <c r="C41">
        <v>141</v>
      </c>
      <c r="D41">
        <f t="shared" si="1"/>
        <v>-93</v>
      </c>
    </row>
    <row r="42" spans="1:4">
      <c r="A42" t="s">
        <v>167</v>
      </c>
      <c r="B42">
        <v>50</v>
      </c>
      <c r="C42">
        <v>117</v>
      </c>
      <c r="D42">
        <f t="shared" si="1"/>
        <v>-67</v>
      </c>
    </row>
    <row r="43" spans="1:4">
      <c r="A43" t="s">
        <v>105</v>
      </c>
      <c r="B43">
        <v>51</v>
      </c>
      <c r="C43">
        <v>108</v>
      </c>
      <c r="D43">
        <f t="shared" si="1"/>
        <v>-57</v>
      </c>
    </row>
    <row r="44" spans="1:4">
      <c r="A44" t="s">
        <v>29</v>
      </c>
      <c r="B44">
        <v>52</v>
      </c>
      <c r="C44">
        <v>35</v>
      </c>
      <c r="D44">
        <f t="shared" si="1"/>
        <v>17</v>
      </c>
    </row>
    <row r="45" spans="1:4">
      <c r="A45" t="s">
        <v>188</v>
      </c>
      <c r="B45">
        <v>53</v>
      </c>
      <c r="C45">
        <v>36</v>
      </c>
      <c r="D45">
        <f t="shared" si="1"/>
        <v>17</v>
      </c>
    </row>
    <row r="46" spans="1:4">
      <c r="A46" t="s">
        <v>156</v>
      </c>
      <c r="B46">
        <v>54</v>
      </c>
      <c r="C46">
        <v>145</v>
      </c>
      <c r="D46">
        <f t="shared" si="1"/>
        <v>-91</v>
      </c>
    </row>
    <row r="47" spans="1:4">
      <c r="A47" t="s">
        <v>143</v>
      </c>
      <c r="B47">
        <v>55</v>
      </c>
      <c r="C47">
        <v>14</v>
      </c>
      <c r="D47">
        <f t="shared" si="1"/>
        <v>41</v>
      </c>
    </row>
    <row r="48" spans="1:4">
      <c r="A48" t="s">
        <v>95</v>
      </c>
      <c r="B48">
        <v>56</v>
      </c>
      <c r="C48">
        <v>50</v>
      </c>
      <c r="D48">
        <f t="shared" si="1"/>
        <v>6</v>
      </c>
    </row>
    <row r="49" spans="1:4">
      <c r="A49" t="s">
        <v>23</v>
      </c>
      <c r="B49">
        <v>57</v>
      </c>
      <c r="C49">
        <v>91</v>
      </c>
      <c r="D49">
        <f t="shared" si="1"/>
        <v>-34</v>
      </c>
    </row>
    <row r="50" spans="1:4">
      <c r="A50" t="s">
        <v>90</v>
      </c>
      <c r="B50">
        <v>59</v>
      </c>
      <c r="C50">
        <v>78</v>
      </c>
      <c r="D50">
        <f t="shared" si="1"/>
        <v>-19</v>
      </c>
    </row>
    <row r="51" spans="1:4">
      <c r="A51" t="s">
        <v>183</v>
      </c>
      <c r="B51">
        <v>60</v>
      </c>
      <c r="C51">
        <v>43</v>
      </c>
      <c r="D51">
        <f t="shared" si="1"/>
        <v>17</v>
      </c>
    </row>
    <row r="52" spans="1:4">
      <c r="A52" t="s">
        <v>92</v>
      </c>
      <c r="B52">
        <v>61</v>
      </c>
      <c r="C52">
        <v>73</v>
      </c>
      <c r="D52">
        <f t="shared" si="1"/>
        <v>-12</v>
      </c>
    </row>
    <row r="53" spans="1:4">
      <c r="A53" t="s">
        <v>116</v>
      </c>
      <c r="B53">
        <v>63</v>
      </c>
      <c r="C53">
        <v>115</v>
      </c>
      <c r="D53">
        <f t="shared" si="1"/>
        <v>-52</v>
      </c>
    </row>
    <row r="54" spans="1:4">
      <c r="A54" t="s">
        <v>123</v>
      </c>
      <c r="B54">
        <v>65</v>
      </c>
      <c r="C54">
        <v>90</v>
      </c>
      <c r="D54">
        <f t="shared" si="1"/>
        <v>-25</v>
      </c>
    </row>
    <row r="55" spans="1:4">
      <c r="A55" t="s">
        <v>161</v>
      </c>
      <c r="B55">
        <v>67</v>
      </c>
      <c r="C55">
        <v>136</v>
      </c>
      <c r="D55">
        <f t="shared" si="1"/>
        <v>-69</v>
      </c>
    </row>
    <row r="56" spans="1:4">
      <c r="A56" t="s">
        <v>152</v>
      </c>
      <c r="B56">
        <v>69</v>
      </c>
      <c r="C56">
        <v>48</v>
      </c>
      <c r="D56">
        <f t="shared" si="1"/>
        <v>21</v>
      </c>
    </row>
    <row r="57" spans="1:4">
      <c r="A57" t="s">
        <v>102</v>
      </c>
      <c r="B57">
        <v>71</v>
      </c>
      <c r="C57">
        <v>144</v>
      </c>
      <c r="D57">
        <f t="shared" si="1"/>
        <v>-73</v>
      </c>
    </row>
    <row r="58" spans="1:4">
      <c r="A58" t="s">
        <v>163</v>
      </c>
      <c r="B58">
        <v>72</v>
      </c>
      <c r="C58">
        <v>129</v>
      </c>
      <c r="D58">
        <f t="shared" si="1"/>
        <v>-57</v>
      </c>
    </row>
    <row r="59" spans="1:4">
      <c r="A59" t="s">
        <v>64</v>
      </c>
      <c r="B59">
        <v>74</v>
      </c>
      <c r="C59">
        <v>32</v>
      </c>
      <c r="D59">
        <f t="shared" si="1"/>
        <v>42</v>
      </c>
    </row>
    <row r="60" spans="1:4">
      <c r="A60" t="s">
        <v>112</v>
      </c>
      <c r="B60">
        <v>76</v>
      </c>
      <c r="C60">
        <v>52</v>
      </c>
      <c r="D60">
        <f t="shared" si="1"/>
        <v>24</v>
      </c>
    </row>
    <row r="61" spans="1:4">
      <c r="A61" t="s">
        <v>104</v>
      </c>
      <c r="B61">
        <v>77</v>
      </c>
      <c r="C61">
        <v>86</v>
      </c>
      <c r="D61">
        <f t="shared" si="1"/>
        <v>-9</v>
      </c>
    </row>
    <row r="62" spans="1:4">
      <c r="A62" t="s">
        <v>80</v>
      </c>
      <c r="B62">
        <v>78</v>
      </c>
      <c r="C62">
        <v>143</v>
      </c>
      <c r="D62">
        <f t="shared" si="1"/>
        <v>-65</v>
      </c>
    </row>
    <row r="63" spans="1:4">
      <c r="A63" t="s">
        <v>122</v>
      </c>
      <c r="B63">
        <v>79</v>
      </c>
      <c r="C63">
        <v>70</v>
      </c>
      <c r="D63">
        <f t="shared" si="1"/>
        <v>9</v>
      </c>
    </row>
    <row r="64" spans="1:4">
      <c r="A64" t="s">
        <v>54</v>
      </c>
      <c r="B64">
        <v>79</v>
      </c>
      <c r="C64">
        <v>96</v>
      </c>
      <c r="D64">
        <f t="shared" si="1"/>
        <v>-17</v>
      </c>
    </row>
    <row r="65" spans="1:4">
      <c r="A65" t="s">
        <v>131</v>
      </c>
      <c r="B65">
        <v>82</v>
      </c>
      <c r="C65">
        <v>104</v>
      </c>
      <c r="D65">
        <f t="shared" si="1"/>
        <v>-22</v>
      </c>
    </row>
    <row r="66" spans="1:4">
      <c r="A66" t="s">
        <v>150</v>
      </c>
      <c r="B66">
        <v>86</v>
      </c>
      <c r="C66">
        <v>178</v>
      </c>
      <c r="D66">
        <f t="shared" ref="D66:D97" si="2">B66-C66</f>
        <v>-92</v>
      </c>
    </row>
    <row r="67" spans="1:4">
      <c r="A67" t="s">
        <v>185</v>
      </c>
      <c r="B67">
        <v>87</v>
      </c>
      <c r="C67">
        <v>162</v>
      </c>
      <c r="D67">
        <f t="shared" si="2"/>
        <v>-75</v>
      </c>
    </row>
    <row r="68" spans="1:4">
      <c r="A68" t="s">
        <v>18</v>
      </c>
      <c r="B68">
        <v>88</v>
      </c>
      <c r="C68">
        <v>13</v>
      </c>
      <c r="D68">
        <f t="shared" si="2"/>
        <v>75</v>
      </c>
    </row>
    <row r="69" spans="1:4">
      <c r="A69" t="s">
        <v>128</v>
      </c>
      <c r="B69">
        <v>90</v>
      </c>
      <c r="C69">
        <v>45</v>
      </c>
      <c r="D69">
        <f t="shared" si="2"/>
        <v>45</v>
      </c>
    </row>
    <row r="70" spans="1:4">
      <c r="A70" t="s">
        <v>99</v>
      </c>
      <c r="B70">
        <v>91</v>
      </c>
      <c r="C70">
        <v>147</v>
      </c>
      <c r="D70">
        <f t="shared" si="2"/>
        <v>-56</v>
      </c>
    </row>
    <row r="71" spans="1:4">
      <c r="A71" t="s">
        <v>21</v>
      </c>
      <c r="B71">
        <v>92</v>
      </c>
      <c r="C71">
        <v>111</v>
      </c>
      <c r="D71">
        <f t="shared" si="2"/>
        <v>-19</v>
      </c>
    </row>
    <row r="72" spans="1:4">
      <c r="A72" t="s">
        <v>68</v>
      </c>
      <c r="B72">
        <v>93</v>
      </c>
      <c r="C72">
        <v>26</v>
      </c>
      <c r="D72">
        <f t="shared" si="2"/>
        <v>67</v>
      </c>
    </row>
    <row r="73" spans="1:4">
      <c r="A73" t="s">
        <v>24</v>
      </c>
      <c r="B73">
        <v>94</v>
      </c>
      <c r="C73">
        <v>163</v>
      </c>
      <c r="D73">
        <f t="shared" si="2"/>
        <v>-69</v>
      </c>
    </row>
    <row r="74" spans="1:4">
      <c r="A74" t="s">
        <v>130</v>
      </c>
      <c r="B74">
        <v>95</v>
      </c>
      <c r="C74">
        <v>34</v>
      </c>
      <c r="D74">
        <f t="shared" si="2"/>
        <v>61</v>
      </c>
    </row>
    <row r="75" spans="1:4">
      <c r="A75" t="s">
        <v>181</v>
      </c>
      <c r="B75">
        <v>96</v>
      </c>
      <c r="C75">
        <v>142</v>
      </c>
      <c r="D75">
        <f t="shared" si="2"/>
        <v>-46</v>
      </c>
    </row>
    <row r="76" spans="1:4">
      <c r="A76" t="s">
        <v>87</v>
      </c>
      <c r="B76">
        <v>97</v>
      </c>
      <c r="C76">
        <v>112</v>
      </c>
      <c r="D76">
        <f t="shared" si="2"/>
        <v>-15</v>
      </c>
    </row>
    <row r="77" spans="1:4">
      <c r="A77" t="s">
        <v>60</v>
      </c>
      <c r="B77">
        <v>98</v>
      </c>
      <c r="C77">
        <v>103</v>
      </c>
      <c r="D77">
        <f t="shared" si="2"/>
        <v>-5</v>
      </c>
    </row>
    <row r="78" spans="1:4">
      <c r="A78" t="s">
        <v>101</v>
      </c>
      <c r="B78">
        <v>100</v>
      </c>
      <c r="C78">
        <v>66</v>
      </c>
      <c r="D78">
        <f t="shared" si="2"/>
        <v>34</v>
      </c>
    </row>
    <row r="79" spans="1:4">
      <c r="A79" t="s">
        <v>49</v>
      </c>
      <c r="B79">
        <v>102</v>
      </c>
      <c r="C79">
        <v>72</v>
      </c>
      <c r="D79">
        <f t="shared" si="2"/>
        <v>30</v>
      </c>
    </row>
    <row r="80" spans="1:4">
      <c r="A80" t="s">
        <v>79</v>
      </c>
      <c r="B80">
        <v>103</v>
      </c>
      <c r="C80">
        <v>67</v>
      </c>
      <c r="D80">
        <f t="shared" si="2"/>
        <v>36</v>
      </c>
    </row>
    <row r="81" spans="1:4">
      <c r="A81" t="s">
        <v>36</v>
      </c>
      <c r="B81">
        <v>104</v>
      </c>
      <c r="C81">
        <v>95</v>
      </c>
      <c r="D81">
        <f t="shared" si="2"/>
        <v>9</v>
      </c>
    </row>
    <row r="82" spans="1:4">
      <c r="A82" t="s">
        <v>52</v>
      </c>
      <c r="B82">
        <v>105</v>
      </c>
      <c r="C82">
        <v>28</v>
      </c>
      <c r="D82">
        <f t="shared" si="2"/>
        <v>77</v>
      </c>
    </row>
    <row r="83" spans="1:4">
      <c r="A83" t="s">
        <v>142</v>
      </c>
      <c r="B83">
        <v>106</v>
      </c>
      <c r="C83">
        <v>126</v>
      </c>
      <c r="D83">
        <f t="shared" si="2"/>
        <v>-20</v>
      </c>
    </row>
    <row r="84" spans="1:4">
      <c r="A84" t="s">
        <v>59</v>
      </c>
      <c r="B84">
        <v>107</v>
      </c>
      <c r="C84">
        <v>63</v>
      </c>
      <c r="D84">
        <f t="shared" si="2"/>
        <v>44</v>
      </c>
    </row>
    <row r="85" spans="1:4">
      <c r="A85" t="s">
        <v>120</v>
      </c>
      <c r="B85">
        <v>108</v>
      </c>
      <c r="C85">
        <v>177</v>
      </c>
      <c r="D85">
        <f t="shared" si="2"/>
        <v>-69</v>
      </c>
    </row>
    <row r="86" spans="1:4">
      <c r="A86" t="s">
        <v>119</v>
      </c>
      <c r="B86">
        <v>111</v>
      </c>
      <c r="C86">
        <v>168</v>
      </c>
      <c r="D86">
        <f t="shared" si="2"/>
        <v>-57</v>
      </c>
    </row>
    <row r="87" spans="1:4">
      <c r="A87" t="s">
        <v>178</v>
      </c>
      <c r="B87">
        <v>112</v>
      </c>
      <c r="C87">
        <v>137</v>
      </c>
      <c r="D87">
        <f t="shared" si="2"/>
        <v>-25</v>
      </c>
    </row>
    <row r="88" spans="1:4">
      <c r="A88" t="s">
        <v>155</v>
      </c>
      <c r="B88">
        <v>113</v>
      </c>
      <c r="C88">
        <v>122</v>
      </c>
      <c r="D88">
        <f t="shared" si="2"/>
        <v>-9</v>
      </c>
    </row>
    <row r="89" spans="1:4">
      <c r="A89" t="s">
        <v>164</v>
      </c>
      <c r="B89">
        <v>114</v>
      </c>
      <c r="C89">
        <v>121</v>
      </c>
      <c r="D89">
        <f t="shared" si="2"/>
        <v>-7</v>
      </c>
    </row>
    <row r="90" spans="1:4">
      <c r="A90" t="s">
        <v>137</v>
      </c>
      <c r="B90">
        <v>115</v>
      </c>
      <c r="C90">
        <v>127</v>
      </c>
      <c r="D90">
        <f t="shared" si="2"/>
        <v>-12</v>
      </c>
    </row>
    <row r="91" spans="1:4">
      <c r="A91" t="s">
        <v>146</v>
      </c>
      <c r="B91">
        <v>116</v>
      </c>
      <c r="C91">
        <v>54</v>
      </c>
      <c r="D91">
        <f t="shared" si="2"/>
        <v>62</v>
      </c>
    </row>
    <row r="92" spans="1:4">
      <c r="A92" t="s">
        <v>110</v>
      </c>
      <c r="B92">
        <v>117</v>
      </c>
      <c r="C92">
        <v>60</v>
      </c>
      <c r="D92">
        <f t="shared" si="2"/>
        <v>57</v>
      </c>
    </row>
    <row r="93" spans="1:4">
      <c r="A93" t="s">
        <v>77</v>
      </c>
      <c r="B93">
        <v>118</v>
      </c>
      <c r="C93">
        <v>186</v>
      </c>
      <c r="D93">
        <f t="shared" si="2"/>
        <v>-68</v>
      </c>
    </row>
    <row r="94" spans="1:4">
      <c r="A94" t="s">
        <v>134</v>
      </c>
      <c r="B94">
        <v>119</v>
      </c>
      <c r="C94">
        <v>67</v>
      </c>
      <c r="D94">
        <f t="shared" si="2"/>
        <v>52</v>
      </c>
    </row>
    <row r="95" spans="1:4">
      <c r="A95" t="s">
        <v>117</v>
      </c>
      <c r="B95">
        <v>121</v>
      </c>
      <c r="C95">
        <v>146</v>
      </c>
      <c r="D95">
        <f t="shared" si="2"/>
        <v>-25</v>
      </c>
    </row>
    <row r="96" spans="1:4">
      <c r="A96" t="s">
        <v>171</v>
      </c>
      <c r="B96">
        <v>122</v>
      </c>
      <c r="C96">
        <v>116</v>
      </c>
      <c r="D96">
        <f t="shared" si="2"/>
        <v>6</v>
      </c>
    </row>
    <row r="97" spans="1:4">
      <c r="A97" t="s">
        <v>158</v>
      </c>
      <c r="B97">
        <v>123</v>
      </c>
      <c r="C97">
        <v>46</v>
      </c>
      <c r="D97">
        <f t="shared" si="2"/>
        <v>77</v>
      </c>
    </row>
    <row r="98" spans="1:4">
      <c r="A98" t="s">
        <v>8</v>
      </c>
      <c r="B98">
        <v>125</v>
      </c>
      <c r="C98">
        <v>161</v>
      </c>
      <c r="D98">
        <f t="shared" ref="D98:D129" si="3">B98-C98</f>
        <v>-36</v>
      </c>
    </row>
    <row r="99" spans="1:4">
      <c r="A99" t="s">
        <v>61</v>
      </c>
      <c r="B99">
        <v>126</v>
      </c>
      <c r="C99">
        <v>188</v>
      </c>
      <c r="D99">
        <f t="shared" si="3"/>
        <v>-62</v>
      </c>
    </row>
    <row r="100" spans="1:4">
      <c r="A100" t="s">
        <v>175</v>
      </c>
      <c r="B100">
        <v>127</v>
      </c>
      <c r="C100">
        <v>105</v>
      </c>
      <c r="D100">
        <f t="shared" si="3"/>
        <v>22</v>
      </c>
    </row>
    <row r="101" spans="1:4">
      <c r="A101" t="s">
        <v>173</v>
      </c>
      <c r="B101">
        <v>129</v>
      </c>
      <c r="C101">
        <v>169</v>
      </c>
      <c r="D101">
        <f t="shared" si="3"/>
        <v>-40</v>
      </c>
    </row>
    <row r="102" spans="1:4">
      <c r="A102" t="s">
        <v>180</v>
      </c>
      <c r="B102">
        <v>130</v>
      </c>
      <c r="C102">
        <v>158</v>
      </c>
      <c r="D102">
        <f t="shared" si="3"/>
        <v>-28</v>
      </c>
    </row>
    <row r="103" spans="1:4">
      <c r="A103" t="s">
        <v>91</v>
      </c>
      <c r="B103">
        <v>131</v>
      </c>
      <c r="C103">
        <v>153</v>
      </c>
      <c r="D103">
        <f t="shared" si="3"/>
        <v>-22</v>
      </c>
    </row>
    <row r="104" spans="1:4">
      <c r="A104" t="s">
        <v>121</v>
      </c>
      <c r="B104">
        <v>132</v>
      </c>
      <c r="C104">
        <v>77</v>
      </c>
      <c r="D104">
        <f t="shared" si="3"/>
        <v>55</v>
      </c>
    </row>
    <row r="105" spans="1:4">
      <c r="A105" t="s">
        <v>44</v>
      </c>
      <c r="B105">
        <v>133</v>
      </c>
      <c r="C105">
        <v>12</v>
      </c>
      <c r="D105">
        <f t="shared" si="3"/>
        <v>121</v>
      </c>
    </row>
    <row r="106" spans="1:4">
      <c r="A106" t="s">
        <v>106</v>
      </c>
      <c r="B106">
        <v>134</v>
      </c>
      <c r="C106">
        <v>88</v>
      </c>
      <c r="D106">
        <f t="shared" si="3"/>
        <v>46</v>
      </c>
    </row>
    <row r="107" spans="1:4">
      <c r="A107" t="s">
        <v>177</v>
      </c>
      <c r="B107">
        <v>135</v>
      </c>
      <c r="C107">
        <v>128</v>
      </c>
      <c r="D107">
        <f t="shared" si="3"/>
        <v>7</v>
      </c>
    </row>
    <row r="108" spans="1:4">
      <c r="A108" t="s">
        <v>145</v>
      </c>
      <c r="B108">
        <v>136</v>
      </c>
      <c r="C108">
        <v>64</v>
      </c>
      <c r="D108">
        <f t="shared" si="3"/>
        <v>72</v>
      </c>
    </row>
    <row r="109" spans="1:4">
      <c r="A109" t="s">
        <v>133</v>
      </c>
      <c r="B109">
        <v>136</v>
      </c>
      <c r="C109">
        <v>98</v>
      </c>
      <c r="D109">
        <f t="shared" si="3"/>
        <v>38</v>
      </c>
    </row>
    <row r="110" spans="1:4">
      <c r="A110" t="s">
        <v>170</v>
      </c>
      <c r="B110">
        <v>138</v>
      </c>
      <c r="C110">
        <v>159</v>
      </c>
      <c r="D110">
        <f t="shared" si="3"/>
        <v>-21</v>
      </c>
    </row>
    <row r="111" spans="1:4">
      <c r="A111" t="s">
        <v>56</v>
      </c>
      <c r="B111">
        <v>139</v>
      </c>
      <c r="C111">
        <v>41</v>
      </c>
      <c r="D111">
        <f t="shared" si="3"/>
        <v>98</v>
      </c>
    </row>
    <row r="112" spans="1:4">
      <c r="A112" t="s">
        <v>53</v>
      </c>
      <c r="B112">
        <v>140</v>
      </c>
      <c r="C112">
        <v>155</v>
      </c>
      <c r="D112">
        <f t="shared" si="3"/>
        <v>-15</v>
      </c>
    </row>
    <row r="113" spans="1:4">
      <c r="A113" t="s">
        <v>147</v>
      </c>
      <c r="B113">
        <v>143</v>
      </c>
      <c r="C113">
        <v>107</v>
      </c>
      <c r="D113">
        <f t="shared" si="3"/>
        <v>36</v>
      </c>
    </row>
    <row r="114" spans="1:4">
      <c r="A114" t="s">
        <v>153</v>
      </c>
      <c r="B114">
        <v>144</v>
      </c>
      <c r="C114">
        <v>160</v>
      </c>
      <c r="D114">
        <f t="shared" si="3"/>
        <v>-16</v>
      </c>
    </row>
    <row r="115" spans="1:4">
      <c r="A115" t="s">
        <v>67</v>
      </c>
      <c r="B115">
        <v>145</v>
      </c>
      <c r="C115">
        <v>138</v>
      </c>
      <c r="D115">
        <f t="shared" si="3"/>
        <v>7</v>
      </c>
    </row>
    <row r="116" spans="1:4">
      <c r="A116" t="s">
        <v>186</v>
      </c>
      <c r="B116">
        <v>146</v>
      </c>
      <c r="C116">
        <v>171</v>
      </c>
      <c r="D116">
        <f t="shared" si="3"/>
        <v>-25</v>
      </c>
    </row>
    <row r="117" spans="1:4">
      <c r="A117" t="s">
        <v>127</v>
      </c>
      <c r="B117">
        <v>147</v>
      </c>
      <c r="C117">
        <v>151</v>
      </c>
      <c r="D117">
        <f t="shared" si="3"/>
        <v>-4</v>
      </c>
    </row>
    <row r="118" spans="1:4">
      <c r="A118" t="s">
        <v>65</v>
      </c>
      <c r="B118">
        <v>150</v>
      </c>
      <c r="C118">
        <v>156</v>
      </c>
      <c r="D118">
        <f t="shared" si="3"/>
        <v>-6</v>
      </c>
    </row>
    <row r="119" spans="1:4">
      <c r="A119" t="s">
        <v>100</v>
      </c>
      <c r="B119">
        <v>154</v>
      </c>
      <c r="C119">
        <v>76</v>
      </c>
      <c r="D119">
        <f t="shared" si="3"/>
        <v>78</v>
      </c>
    </row>
    <row r="120" spans="1:4">
      <c r="A120" t="s">
        <v>70</v>
      </c>
      <c r="B120">
        <v>155</v>
      </c>
      <c r="C120">
        <v>170</v>
      </c>
      <c r="D120">
        <f t="shared" si="3"/>
        <v>-15</v>
      </c>
    </row>
    <row r="121" spans="1:4">
      <c r="A121" t="s">
        <v>157</v>
      </c>
      <c r="B121">
        <v>156</v>
      </c>
      <c r="C121">
        <v>157</v>
      </c>
      <c r="D121">
        <f t="shared" si="3"/>
        <v>-1</v>
      </c>
    </row>
    <row r="122" spans="1:4">
      <c r="A122" t="s">
        <v>148</v>
      </c>
      <c r="B122">
        <v>157</v>
      </c>
      <c r="C122">
        <v>106</v>
      </c>
      <c r="D122">
        <f t="shared" si="3"/>
        <v>51</v>
      </c>
    </row>
    <row r="123" spans="1:4">
      <c r="A123" t="s">
        <v>20</v>
      </c>
      <c r="B123">
        <v>159</v>
      </c>
      <c r="C123">
        <v>62</v>
      </c>
      <c r="D123">
        <f t="shared" si="3"/>
        <v>97</v>
      </c>
    </row>
    <row r="124" spans="1:4">
      <c r="A124" t="s">
        <v>41</v>
      </c>
      <c r="B124">
        <v>161</v>
      </c>
      <c r="C124">
        <v>135</v>
      </c>
      <c r="D124">
        <f t="shared" si="3"/>
        <v>26</v>
      </c>
    </row>
    <row r="125" spans="1:4">
      <c r="A125" t="s">
        <v>50</v>
      </c>
      <c r="B125">
        <v>162</v>
      </c>
      <c r="C125">
        <v>119</v>
      </c>
      <c r="D125">
        <f t="shared" si="3"/>
        <v>43</v>
      </c>
    </row>
    <row r="126" spans="1:4">
      <c r="A126" t="s">
        <v>118</v>
      </c>
      <c r="B126">
        <v>167</v>
      </c>
      <c r="C126">
        <v>51</v>
      </c>
      <c r="D126">
        <f t="shared" si="3"/>
        <v>116</v>
      </c>
    </row>
    <row r="127" spans="1:4">
      <c r="A127" t="s">
        <v>191</v>
      </c>
      <c r="B127">
        <v>170</v>
      </c>
      <c r="C127">
        <v>182</v>
      </c>
      <c r="D127">
        <f t="shared" si="3"/>
        <v>-12</v>
      </c>
    </row>
    <row r="128" spans="1:4">
      <c r="A128" t="s">
        <v>169</v>
      </c>
      <c r="B128">
        <v>171</v>
      </c>
      <c r="C128">
        <v>191</v>
      </c>
      <c r="D128">
        <f t="shared" si="3"/>
        <v>-20</v>
      </c>
    </row>
    <row r="129" spans="1:4">
      <c r="A129" t="s">
        <v>82</v>
      </c>
      <c r="B129">
        <v>173</v>
      </c>
      <c r="C129">
        <v>109</v>
      </c>
      <c r="D129">
        <f t="shared" si="3"/>
        <v>64</v>
      </c>
    </row>
    <row r="130" spans="1:4">
      <c r="A130" t="s">
        <v>86</v>
      </c>
      <c r="B130">
        <v>176</v>
      </c>
      <c r="C130">
        <v>185</v>
      </c>
      <c r="D130">
        <f t="shared" ref="D130:D139" si="4">B130-C130</f>
        <v>-9</v>
      </c>
    </row>
    <row r="131" spans="1:4">
      <c r="A131" t="s">
        <v>84</v>
      </c>
      <c r="B131">
        <v>178</v>
      </c>
      <c r="C131">
        <v>124</v>
      </c>
      <c r="D131">
        <f t="shared" si="4"/>
        <v>54</v>
      </c>
    </row>
    <row r="132" spans="1:4">
      <c r="A132" t="s">
        <v>174</v>
      </c>
      <c r="B132">
        <v>181</v>
      </c>
      <c r="C132">
        <v>173</v>
      </c>
      <c r="D132">
        <f t="shared" si="4"/>
        <v>8</v>
      </c>
    </row>
    <row r="133" spans="1:4">
      <c r="A133" t="s">
        <v>83</v>
      </c>
      <c r="B133">
        <v>183</v>
      </c>
      <c r="C133">
        <v>183</v>
      </c>
      <c r="D133">
        <f t="shared" si="4"/>
        <v>0</v>
      </c>
    </row>
    <row r="134" spans="1:4">
      <c r="A134" t="s">
        <v>138</v>
      </c>
      <c r="B134">
        <v>184</v>
      </c>
      <c r="C134">
        <v>192</v>
      </c>
      <c r="D134">
        <f t="shared" si="4"/>
        <v>-8</v>
      </c>
    </row>
    <row r="135" spans="1:4">
      <c r="A135" t="s">
        <v>32</v>
      </c>
      <c r="B135">
        <v>186</v>
      </c>
      <c r="C135">
        <v>83</v>
      </c>
      <c r="D135">
        <f t="shared" si="4"/>
        <v>103</v>
      </c>
    </row>
    <row r="136" spans="1:4">
      <c r="A136" t="s">
        <v>168</v>
      </c>
      <c r="B136">
        <v>187</v>
      </c>
      <c r="C136">
        <v>189</v>
      </c>
      <c r="D136">
        <f t="shared" si="4"/>
        <v>-2</v>
      </c>
    </row>
    <row r="137" spans="1:4">
      <c r="A137" t="s">
        <v>111</v>
      </c>
      <c r="B137">
        <v>189</v>
      </c>
      <c r="C137">
        <v>165</v>
      </c>
      <c r="D137">
        <f t="shared" si="4"/>
        <v>24</v>
      </c>
    </row>
    <row r="138" spans="1:4">
      <c r="A138" t="s">
        <v>94</v>
      </c>
      <c r="B138">
        <v>190</v>
      </c>
      <c r="C138">
        <v>172</v>
      </c>
      <c r="D138">
        <f t="shared" si="4"/>
        <v>18</v>
      </c>
    </row>
    <row r="139" spans="1:4">
      <c r="A139" t="s">
        <v>373</v>
      </c>
      <c r="B139">
        <v>191</v>
      </c>
      <c r="C139">
        <v>181</v>
      </c>
      <c r="D139">
        <f t="shared" si="4"/>
        <v>10</v>
      </c>
    </row>
  </sheetData>
  <autoFilter ref="A1:D1" xr:uid="{AD7D9802-5844-40A5-946F-A1709E3760FA}">
    <sortState xmlns:xlrd2="http://schemas.microsoft.com/office/spreadsheetml/2017/richdata2" ref="A2:D139">
      <sortCondition ref="B1"/>
    </sortState>
  </autoFilter>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18343-D217-4979-AD59-25E878D5911E}">
  <sheetPr codeName="Sheet14">
    <tabColor theme="0"/>
  </sheetPr>
  <dimension ref="A1:F105"/>
  <sheetViews>
    <sheetView workbookViewId="0">
      <selection activeCell="E9" sqref="E9"/>
    </sheetView>
  </sheetViews>
  <sheetFormatPr defaultRowHeight="15"/>
  <cols>
    <col min="1" max="1" width="23.28515625" bestFit="1" customWidth="1"/>
  </cols>
  <sheetData>
    <row r="1" spans="1:6">
      <c r="A1" t="s">
        <v>0</v>
      </c>
      <c r="B1" s="218">
        <v>2021</v>
      </c>
      <c r="C1" s="218">
        <v>2022</v>
      </c>
      <c r="F1" t="s">
        <v>524</v>
      </c>
    </row>
    <row r="2" spans="1:6">
      <c r="A2" t="s">
        <v>6</v>
      </c>
      <c r="B2">
        <v>7</v>
      </c>
      <c r="C2">
        <v>1</v>
      </c>
      <c r="F2">
        <f>CORREL(B2:B105,C2:C105)</f>
        <v>0.52812488774965416</v>
      </c>
    </row>
    <row r="3" spans="1:6">
      <c r="A3" t="s">
        <v>72</v>
      </c>
      <c r="B3">
        <v>29</v>
      </c>
      <c r="C3">
        <v>2</v>
      </c>
    </row>
    <row r="4" spans="1:6">
      <c r="A4" t="s">
        <v>42</v>
      </c>
      <c r="B4">
        <v>6</v>
      </c>
      <c r="C4">
        <v>4</v>
      </c>
    </row>
    <row r="5" spans="1:6">
      <c r="A5" t="s">
        <v>35</v>
      </c>
      <c r="B5">
        <v>33</v>
      </c>
      <c r="C5">
        <v>5</v>
      </c>
    </row>
    <row r="6" spans="1:6">
      <c r="A6" t="s">
        <v>113</v>
      </c>
      <c r="B6">
        <v>31</v>
      </c>
      <c r="C6">
        <v>6</v>
      </c>
    </row>
    <row r="7" spans="1:6">
      <c r="A7" t="s">
        <v>15</v>
      </c>
      <c r="B7">
        <v>1</v>
      </c>
      <c r="C7">
        <v>7</v>
      </c>
    </row>
    <row r="8" spans="1:6">
      <c r="A8" t="s">
        <v>73</v>
      </c>
      <c r="B8">
        <v>5</v>
      </c>
      <c r="C8">
        <v>8</v>
      </c>
    </row>
    <row r="9" spans="1:6">
      <c r="A9" t="s">
        <v>40</v>
      </c>
      <c r="B9">
        <v>3</v>
      </c>
      <c r="C9">
        <v>9</v>
      </c>
    </row>
    <row r="10" spans="1:6">
      <c r="A10" t="s">
        <v>69</v>
      </c>
      <c r="B10">
        <v>20</v>
      </c>
      <c r="C10">
        <v>10</v>
      </c>
    </row>
    <row r="11" spans="1:6">
      <c r="A11" t="s">
        <v>27</v>
      </c>
      <c r="B11">
        <v>14</v>
      </c>
      <c r="C11">
        <v>12</v>
      </c>
    </row>
    <row r="12" spans="1:6">
      <c r="A12" t="s">
        <v>66</v>
      </c>
      <c r="B12">
        <v>73</v>
      </c>
      <c r="C12">
        <v>13</v>
      </c>
    </row>
    <row r="13" spans="1:6">
      <c r="A13" t="s">
        <v>166</v>
      </c>
      <c r="B13">
        <v>32</v>
      </c>
      <c r="C13">
        <v>16</v>
      </c>
    </row>
    <row r="14" spans="1:6">
      <c r="A14" t="s">
        <v>74</v>
      </c>
      <c r="B14">
        <v>36</v>
      </c>
      <c r="C14">
        <v>17</v>
      </c>
    </row>
    <row r="15" spans="1:6">
      <c r="A15" t="s">
        <v>93</v>
      </c>
      <c r="B15">
        <v>18</v>
      </c>
      <c r="C15">
        <v>18</v>
      </c>
    </row>
    <row r="16" spans="1:6">
      <c r="A16" t="s">
        <v>14</v>
      </c>
      <c r="B16">
        <v>134</v>
      </c>
      <c r="C16">
        <v>20</v>
      </c>
    </row>
    <row r="17" spans="1:3">
      <c r="A17" t="s">
        <v>58</v>
      </c>
      <c r="B17">
        <v>39</v>
      </c>
      <c r="C17">
        <v>21</v>
      </c>
    </row>
    <row r="18" spans="1:3">
      <c r="A18" t="s">
        <v>85</v>
      </c>
      <c r="B18">
        <v>105</v>
      </c>
      <c r="C18">
        <v>23</v>
      </c>
    </row>
    <row r="19" spans="1:3">
      <c r="A19" t="s">
        <v>51</v>
      </c>
      <c r="B19">
        <v>19</v>
      </c>
      <c r="C19">
        <v>24</v>
      </c>
    </row>
    <row r="20" spans="1:3">
      <c r="A20" t="s">
        <v>115</v>
      </c>
      <c r="B20">
        <v>76</v>
      </c>
      <c r="C20">
        <v>25</v>
      </c>
    </row>
    <row r="21" spans="1:3">
      <c r="A21" t="s">
        <v>129</v>
      </c>
      <c r="B21">
        <v>48</v>
      </c>
      <c r="C21">
        <v>27</v>
      </c>
    </row>
    <row r="22" spans="1:3">
      <c r="A22" t="s">
        <v>132</v>
      </c>
      <c r="B22">
        <v>41</v>
      </c>
      <c r="C22">
        <v>28</v>
      </c>
    </row>
    <row r="23" spans="1:3">
      <c r="A23" t="s">
        <v>135</v>
      </c>
      <c r="B23">
        <v>25</v>
      </c>
      <c r="C23">
        <v>29</v>
      </c>
    </row>
    <row r="24" spans="1:3">
      <c r="A24" t="s">
        <v>76</v>
      </c>
      <c r="B24">
        <v>26</v>
      </c>
      <c r="C24">
        <v>30</v>
      </c>
    </row>
    <row r="25" spans="1:3">
      <c r="A25" t="s">
        <v>140</v>
      </c>
      <c r="B25">
        <v>108</v>
      </c>
      <c r="C25">
        <v>31</v>
      </c>
    </row>
    <row r="26" spans="1:3">
      <c r="A26" t="s">
        <v>17</v>
      </c>
      <c r="B26">
        <v>100</v>
      </c>
      <c r="C26">
        <v>32</v>
      </c>
    </row>
    <row r="27" spans="1:3">
      <c r="A27" t="s">
        <v>47</v>
      </c>
      <c r="B27">
        <v>9</v>
      </c>
      <c r="C27">
        <v>34</v>
      </c>
    </row>
    <row r="28" spans="1:3">
      <c r="A28" t="s">
        <v>139</v>
      </c>
      <c r="B28">
        <v>101</v>
      </c>
      <c r="C28">
        <v>34</v>
      </c>
    </row>
    <row r="29" spans="1:3">
      <c r="A29" t="s">
        <v>144</v>
      </c>
      <c r="B29">
        <v>113</v>
      </c>
      <c r="C29">
        <v>36</v>
      </c>
    </row>
    <row r="30" spans="1:3">
      <c r="A30" t="s">
        <v>126</v>
      </c>
      <c r="B30">
        <v>111</v>
      </c>
      <c r="C30">
        <v>38</v>
      </c>
    </row>
    <row r="31" spans="1:3">
      <c r="A31" t="s">
        <v>98</v>
      </c>
      <c r="B31">
        <v>83</v>
      </c>
      <c r="C31">
        <v>39</v>
      </c>
    </row>
    <row r="32" spans="1:3">
      <c r="A32" t="s">
        <v>141</v>
      </c>
      <c r="B32">
        <v>74</v>
      </c>
      <c r="C32">
        <v>41</v>
      </c>
    </row>
    <row r="33" spans="1:3">
      <c r="A33" t="s">
        <v>19</v>
      </c>
      <c r="B33">
        <v>42</v>
      </c>
      <c r="C33">
        <v>42</v>
      </c>
    </row>
    <row r="34" spans="1:3">
      <c r="A34" t="s">
        <v>154</v>
      </c>
      <c r="B34">
        <v>38</v>
      </c>
      <c r="C34">
        <v>44</v>
      </c>
    </row>
    <row r="35" spans="1:3">
      <c r="A35" t="s">
        <v>162</v>
      </c>
      <c r="B35">
        <v>90</v>
      </c>
      <c r="C35">
        <v>45</v>
      </c>
    </row>
    <row r="36" spans="1:3">
      <c r="A36" t="s">
        <v>38</v>
      </c>
      <c r="B36">
        <v>109</v>
      </c>
      <c r="C36">
        <v>47</v>
      </c>
    </row>
    <row r="37" spans="1:3">
      <c r="A37" t="s">
        <v>89</v>
      </c>
      <c r="B37">
        <v>95</v>
      </c>
      <c r="C37">
        <v>48</v>
      </c>
    </row>
    <row r="38" spans="1:3">
      <c r="A38" t="s">
        <v>167</v>
      </c>
      <c r="B38">
        <v>160</v>
      </c>
      <c r="C38">
        <v>50</v>
      </c>
    </row>
    <row r="39" spans="1:3">
      <c r="A39" t="s">
        <v>105</v>
      </c>
      <c r="B39">
        <v>28</v>
      </c>
      <c r="C39">
        <v>51</v>
      </c>
    </row>
    <row r="40" spans="1:3">
      <c r="A40" t="s">
        <v>29</v>
      </c>
      <c r="B40">
        <v>60</v>
      </c>
      <c r="C40">
        <v>52</v>
      </c>
    </row>
    <row r="41" spans="1:3">
      <c r="A41" t="s">
        <v>188</v>
      </c>
      <c r="B41">
        <v>63</v>
      </c>
      <c r="C41">
        <v>53</v>
      </c>
    </row>
    <row r="42" spans="1:3">
      <c r="A42" t="s">
        <v>156</v>
      </c>
      <c r="B42">
        <v>89</v>
      </c>
      <c r="C42">
        <v>54</v>
      </c>
    </row>
    <row r="43" spans="1:3">
      <c r="A43" t="s">
        <v>143</v>
      </c>
      <c r="B43">
        <v>99</v>
      </c>
      <c r="C43">
        <v>55</v>
      </c>
    </row>
    <row r="44" spans="1:3">
      <c r="A44" t="s">
        <v>95</v>
      </c>
      <c r="B44">
        <v>50</v>
      </c>
      <c r="C44">
        <v>56</v>
      </c>
    </row>
    <row r="45" spans="1:3">
      <c r="A45" t="s">
        <v>23</v>
      </c>
      <c r="B45">
        <v>81</v>
      </c>
      <c r="C45">
        <v>57</v>
      </c>
    </row>
    <row r="46" spans="1:3">
      <c r="A46" t="s">
        <v>90</v>
      </c>
      <c r="B46">
        <v>55</v>
      </c>
      <c r="C46">
        <v>59</v>
      </c>
    </row>
    <row r="47" spans="1:3">
      <c r="A47" t="s">
        <v>183</v>
      </c>
      <c r="B47">
        <v>110</v>
      </c>
      <c r="C47">
        <v>60</v>
      </c>
    </row>
    <row r="48" spans="1:3">
      <c r="A48" t="s">
        <v>92</v>
      </c>
      <c r="B48">
        <v>104</v>
      </c>
      <c r="C48">
        <v>61</v>
      </c>
    </row>
    <row r="49" spans="1:3">
      <c r="A49" t="s">
        <v>116</v>
      </c>
      <c r="B49">
        <v>167</v>
      </c>
      <c r="C49">
        <v>63</v>
      </c>
    </row>
    <row r="50" spans="1:3">
      <c r="A50" t="s">
        <v>123</v>
      </c>
      <c r="B50">
        <v>46</v>
      </c>
      <c r="C50">
        <v>65</v>
      </c>
    </row>
    <row r="51" spans="1:3">
      <c r="A51" t="s">
        <v>161</v>
      </c>
      <c r="B51">
        <v>119</v>
      </c>
      <c r="C51">
        <v>67</v>
      </c>
    </row>
    <row r="52" spans="1:3">
      <c r="A52" t="s">
        <v>102</v>
      </c>
      <c r="B52">
        <v>12</v>
      </c>
      <c r="C52">
        <v>71</v>
      </c>
    </row>
    <row r="53" spans="1:3">
      <c r="A53" t="s">
        <v>112</v>
      </c>
      <c r="B53">
        <v>153</v>
      </c>
      <c r="C53">
        <v>76</v>
      </c>
    </row>
    <row r="54" spans="1:3">
      <c r="A54" t="s">
        <v>104</v>
      </c>
      <c r="B54">
        <v>128</v>
      </c>
      <c r="C54">
        <v>77</v>
      </c>
    </row>
    <row r="55" spans="1:3">
      <c r="A55" t="s">
        <v>80</v>
      </c>
      <c r="B55">
        <v>53</v>
      </c>
      <c r="C55">
        <v>78</v>
      </c>
    </row>
    <row r="56" spans="1:3">
      <c r="A56" t="s">
        <v>122</v>
      </c>
      <c r="B56">
        <v>157</v>
      </c>
      <c r="C56">
        <v>79</v>
      </c>
    </row>
    <row r="57" spans="1:3">
      <c r="A57" t="s">
        <v>131</v>
      </c>
      <c r="B57">
        <v>79</v>
      </c>
      <c r="C57">
        <v>82</v>
      </c>
    </row>
    <row r="58" spans="1:3">
      <c r="A58" t="s">
        <v>185</v>
      </c>
      <c r="B58">
        <v>84</v>
      </c>
      <c r="C58">
        <v>87</v>
      </c>
    </row>
    <row r="59" spans="1:3">
      <c r="A59" t="s">
        <v>18</v>
      </c>
      <c r="B59">
        <v>154</v>
      </c>
      <c r="C59">
        <v>88</v>
      </c>
    </row>
    <row r="60" spans="1:3">
      <c r="A60" t="s">
        <v>128</v>
      </c>
      <c r="B60">
        <v>61</v>
      </c>
      <c r="C60">
        <v>90</v>
      </c>
    </row>
    <row r="61" spans="1:3">
      <c r="A61" t="s">
        <v>68</v>
      </c>
      <c r="B61">
        <v>40</v>
      </c>
      <c r="C61">
        <v>93</v>
      </c>
    </row>
    <row r="62" spans="1:3">
      <c r="A62" t="s">
        <v>181</v>
      </c>
      <c r="B62">
        <v>85</v>
      </c>
      <c r="C62">
        <v>96</v>
      </c>
    </row>
    <row r="63" spans="1:3">
      <c r="A63" t="s">
        <v>87</v>
      </c>
      <c r="B63">
        <v>59</v>
      </c>
      <c r="C63">
        <v>97</v>
      </c>
    </row>
    <row r="64" spans="1:3">
      <c r="A64" t="s">
        <v>142</v>
      </c>
      <c r="B64">
        <v>125</v>
      </c>
      <c r="C64">
        <v>106</v>
      </c>
    </row>
    <row r="65" spans="1:3">
      <c r="A65" t="s">
        <v>59</v>
      </c>
      <c r="B65">
        <v>135</v>
      </c>
      <c r="C65">
        <v>107</v>
      </c>
    </row>
    <row r="66" spans="1:3">
      <c r="A66" t="s">
        <v>120</v>
      </c>
      <c r="B66">
        <v>44</v>
      </c>
      <c r="C66">
        <v>108</v>
      </c>
    </row>
    <row r="67" spans="1:3">
      <c r="A67" t="s">
        <v>119</v>
      </c>
      <c r="B67">
        <v>149</v>
      </c>
      <c r="C67">
        <v>111</v>
      </c>
    </row>
    <row r="68" spans="1:3">
      <c r="A68" t="s">
        <v>178</v>
      </c>
      <c r="B68">
        <v>136</v>
      </c>
      <c r="C68">
        <v>112</v>
      </c>
    </row>
    <row r="69" spans="1:3">
      <c r="A69" t="s">
        <v>155</v>
      </c>
      <c r="B69">
        <v>143</v>
      </c>
      <c r="C69">
        <v>113</v>
      </c>
    </row>
    <row r="70" spans="1:3">
      <c r="A70" t="s">
        <v>164</v>
      </c>
      <c r="B70">
        <v>92</v>
      </c>
      <c r="C70">
        <v>114</v>
      </c>
    </row>
    <row r="71" spans="1:3">
      <c r="A71" t="s">
        <v>137</v>
      </c>
      <c r="B71">
        <v>120</v>
      </c>
      <c r="C71">
        <v>115</v>
      </c>
    </row>
    <row r="72" spans="1:3">
      <c r="A72" t="s">
        <v>146</v>
      </c>
      <c r="B72">
        <v>140</v>
      </c>
      <c r="C72">
        <v>116</v>
      </c>
    </row>
    <row r="73" spans="1:3">
      <c r="A73" t="s">
        <v>110</v>
      </c>
      <c r="B73">
        <v>93</v>
      </c>
      <c r="C73">
        <v>117</v>
      </c>
    </row>
    <row r="74" spans="1:3">
      <c r="A74" t="s">
        <v>77</v>
      </c>
      <c r="B74">
        <v>161</v>
      </c>
      <c r="C74">
        <v>118</v>
      </c>
    </row>
    <row r="75" spans="1:3">
      <c r="A75" t="s">
        <v>117</v>
      </c>
      <c r="B75">
        <v>86</v>
      </c>
      <c r="C75">
        <v>121</v>
      </c>
    </row>
    <row r="76" spans="1:3">
      <c r="A76" t="s">
        <v>171</v>
      </c>
      <c r="B76">
        <v>97</v>
      </c>
      <c r="C76">
        <v>122</v>
      </c>
    </row>
    <row r="77" spans="1:3">
      <c r="A77" t="s">
        <v>158</v>
      </c>
      <c r="B77">
        <v>121</v>
      </c>
      <c r="C77">
        <v>123</v>
      </c>
    </row>
    <row r="78" spans="1:3">
      <c r="A78" t="s">
        <v>8</v>
      </c>
      <c r="B78">
        <v>169</v>
      </c>
      <c r="C78">
        <v>125</v>
      </c>
    </row>
    <row r="79" spans="1:3">
      <c r="A79" t="s">
        <v>61</v>
      </c>
      <c r="B79">
        <v>152</v>
      </c>
      <c r="C79">
        <v>126</v>
      </c>
    </row>
    <row r="80" spans="1:3">
      <c r="A80" t="s">
        <v>175</v>
      </c>
      <c r="B80">
        <v>103</v>
      </c>
      <c r="C80">
        <v>127</v>
      </c>
    </row>
    <row r="81" spans="1:3">
      <c r="A81" t="s">
        <v>91</v>
      </c>
      <c r="B81">
        <v>52</v>
      </c>
      <c r="C81">
        <v>131</v>
      </c>
    </row>
    <row r="82" spans="1:3">
      <c r="A82" t="s">
        <v>121</v>
      </c>
      <c r="B82">
        <v>49</v>
      </c>
      <c r="C82">
        <v>132</v>
      </c>
    </row>
    <row r="83" spans="1:3">
      <c r="A83" t="s">
        <v>44</v>
      </c>
      <c r="B83">
        <v>98</v>
      </c>
      <c r="C83">
        <v>133</v>
      </c>
    </row>
    <row r="84" spans="1:3">
      <c r="A84" t="s">
        <v>106</v>
      </c>
      <c r="B84">
        <v>116</v>
      </c>
      <c r="C84">
        <v>134</v>
      </c>
    </row>
    <row r="85" spans="1:3">
      <c r="A85" t="s">
        <v>177</v>
      </c>
      <c r="B85">
        <v>88</v>
      </c>
      <c r="C85">
        <v>135</v>
      </c>
    </row>
    <row r="86" spans="1:3">
      <c r="A86" t="s">
        <v>145</v>
      </c>
      <c r="B86">
        <v>71</v>
      </c>
      <c r="C86">
        <v>136</v>
      </c>
    </row>
    <row r="87" spans="1:3">
      <c r="A87" t="s">
        <v>170</v>
      </c>
      <c r="B87">
        <v>47</v>
      </c>
      <c r="C87">
        <v>138</v>
      </c>
    </row>
    <row r="88" spans="1:3">
      <c r="A88" t="s">
        <v>56</v>
      </c>
      <c r="B88">
        <v>87</v>
      </c>
      <c r="C88">
        <v>139</v>
      </c>
    </row>
    <row r="89" spans="1:3">
      <c r="A89" t="s">
        <v>53</v>
      </c>
      <c r="B89">
        <v>62</v>
      </c>
      <c r="C89">
        <v>140</v>
      </c>
    </row>
    <row r="90" spans="1:3">
      <c r="A90" t="s">
        <v>153</v>
      </c>
      <c r="B90">
        <v>118</v>
      </c>
      <c r="C90">
        <v>144</v>
      </c>
    </row>
    <row r="91" spans="1:3">
      <c r="A91" t="s">
        <v>186</v>
      </c>
      <c r="B91">
        <v>156</v>
      </c>
      <c r="C91">
        <v>146</v>
      </c>
    </row>
    <row r="92" spans="1:3">
      <c r="A92" t="s">
        <v>127</v>
      </c>
      <c r="B92">
        <v>129</v>
      </c>
      <c r="C92">
        <v>147</v>
      </c>
    </row>
    <row r="93" spans="1:3">
      <c r="A93" t="s">
        <v>65</v>
      </c>
      <c r="B93">
        <v>58</v>
      </c>
      <c r="C93">
        <v>150</v>
      </c>
    </row>
    <row r="94" spans="1:3">
      <c r="A94" t="s">
        <v>157</v>
      </c>
      <c r="B94">
        <v>112</v>
      </c>
      <c r="C94">
        <v>156</v>
      </c>
    </row>
    <row r="95" spans="1:3">
      <c r="A95" t="s">
        <v>20</v>
      </c>
      <c r="B95">
        <v>132</v>
      </c>
      <c r="C95">
        <v>159</v>
      </c>
    </row>
    <row r="96" spans="1:3">
      <c r="A96" t="s">
        <v>41</v>
      </c>
      <c r="B96">
        <v>130</v>
      </c>
      <c r="C96">
        <v>161</v>
      </c>
    </row>
    <row r="97" spans="1:3">
      <c r="A97" t="s">
        <v>50</v>
      </c>
      <c r="B97">
        <v>17</v>
      </c>
      <c r="C97">
        <v>162</v>
      </c>
    </row>
    <row r="98" spans="1:3">
      <c r="A98" t="s">
        <v>191</v>
      </c>
      <c r="B98">
        <v>75</v>
      </c>
      <c r="C98">
        <v>170</v>
      </c>
    </row>
    <row r="99" spans="1:3">
      <c r="A99" t="s">
        <v>82</v>
      </c>
      <c r="B99">
        <v>34</v>
      </c>
      <c r="C99">
        <v>173</v>
      </c>
    </row>
    <row r="100" spans="1:3">
      <c r="A100" t="s">
        <v>86</v>
      </c>
      <c r="B100">
        <v>90</v>
      </c>
      <c r="C100">
        <v>176</v>
      </c>
    </row>
    <row r="101" spans="1:3">
      <c r="A101" t="s">
        <v>174</v>
      </c>
      <c r="B101">
        <v>193</v>
      </c>
      <c r="C101">
        <v>181</v>
      </c>
    </row>
    <row r="102" spans="1:3">
      <c r="A102" t="s">
        <v>83</v>
      </c>
      <c r="B102">
        <v>194</v>
      </c>
      <c r="C102">
        <v>183</v>
      </c>
    </row>
    <row r="103" spans="1:3">
      <c r="A103" t="s">
        <v>138</v>
      </c>
      <c r="B103">
        <v>191</v>
      </c>
      <c r="C103">
        <v>184</v>
      </c>
    </row>
    <row r="104" spans="1:3">
      <c r="A104" t="s">
        <v>168</v>
      </c>
      <c r="B104">
        <v>159</v>
      </c>
      <c r="C104">
        <v>187</v>
      </c>
    </row>
    <row r="105" spans="1:3">
      <c r="A105" t="s">
        <v>111</v>
      </c>
      <c r="B105">
        <v>114</v>
      </c>
      <c r="C105">
        <v>189</v>
      </c>
    </row>
  </sheetData>
  <autoFilter ref="A1:C105" xr:uid="{22918343-D217-4979-AD59-25E878D5911E}">
    <sortState xmlns:xlrd2="http://schemas.microsoft.com/office/spreadsheetml/2017/richdata2" ref="A2:C105">
      <sortCondition ref="C1:C105"/>
    </sortState>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EAF7-3794-42B8-B9EE-1C41AC394D79}">
  <sheetPr codeName="Sheet7">
    <tabColor rgb="FF92D050"/>
  </sheetPr>
  <dimension ref="A1:Z278"/>
  <sheetViews>
    <sheetView zoomScaleNormal="100" workbookViewId="0">
      <selection activeCell="A90" sqref="A90:XFD90"/>
    </sheetView>
  </sheetViews>
  <sheetFormatPr defaultRowHeight="15"/>
  <cols>
    <col min="1" max="1" width="23.28515625" bestFit="1" customWidth="1"/>
    <col min="8" max="8" width="12.42578125" customWidth="1"/>
    <col min="9" max="9" width="15.85546875" customWidth="1"/>
    <col min="10" max="10" width="11.140625" bestFit="1" customWidth="1"/>
    <col min="11" max="11" width="15.42578125" customWidth="1"/>
    <col min="18" max="18" width="13.42578125" bestFit="1" customWidth="1"/>
    <col min="23" max="23" width="11.42578125" customWidth="1"/>
    <col min="24" max="24" width="7.5703125" bestFit="1" customWidth="1"/>
  </cols>
  <sheetData>
    <row r="1" spans="1:18">
      <c r="A1" s="1" t="s">
        <v>0</v>
      </c>
      <c r="B1" s="1" t="s">
        <v>263</v>
      </c>
      <c r="C1" s="1" t="s">
        <v>264</v>
      </c>
      <c r="D1" s="1" t="s">
        <v>265</v>
      </c>
      <c r="E1" s="1" t="s">
        <v>266</v>
      </c>
      <c r="F1" s="1" t="s">
        <v>267</v>
      </c>
      <c r="G1" s="1" t="s">
        <v>200</v>
      </c>
      <c r="H1" s="1" t="s">
        <v>201</v>
      </c>
      <c r="I1" s="1" t="s">
        <v>202</v>
      </c>
      <c r="J1" s="1" t="s">
        <v>806</v>
      </c>
      <c r="K1" s="1" t="s">
        <v>808</v>
      </c>
      <c r="M1" s="404" t="s">
        <v>335</v>
      </c>
      <c r="N1" s="404"/>
      <c r="O1" s="404"/>
      <c r="P1" s="404"/>
      <c r="Q1" s="404"/>
    </row>
    <row r="2" spans="1:18">
      <c r="A2" t="s">
        <v>40</v>
      </c>
      <c r="B2">
        <v>37</v>
      </c>
      <c r="C2">
        <v>26</v>
      </c>
      <c r="D2">
        <v>16</v>
      </c>
      <c r="E2">
        <v>57</v>
      </c>
      <c r="F2">
        <v>47</v>
      </c>
      <c r="G2">
        <v>3</v>
      </c>
      <c r="H2" s="14">
        <f t="shared" ref="H2:H65" si="0">$M$2*B2+$N$2*C2+$O$2*D2+$P$2*E2+$Q$2*F2</f>
        <v>103.8</v>
      </c>
      <c r="I2" s="14">
        <f t="shared" ref="I2:I65" si="1">$M$5*B2+$N$5*C2+$O$5*D2+$P$5*E2+$Q$5*F2+$R$5*G2</f>
        <v>111.47802113056511</v>
      </c>
      <c r="J2">
        <v>1</v>
      </c>
      <c r="K2">
        <v>1</v>
      </c>
      <c r="M2" s="103">
        <v>0.9</v>
      </c>
      <c r="N2" s="103">
        <v>0.5</v>
      </c>
      <c r="O2" s="103">
        <v>0.7</v>
      </c>
      <c r="P2" s="103">
        <v>0.4</v>
      </c>
      <c r="Q2" s="103">
        <v>0.5</v>
      </c>
    </row>
    <row r="3" spans="1:18">
      <c r="A3" t="s">
        <v>85</v>
      </c>
      <c r="B3">
        <v>81</v>
      </c>
      <c r="C3">
        <v>67</v>
      </c>
      <c r="D3">
        <v>27</v>
      </c>
      <c r="E3">
        <v>10</v>
      </c>
      <c r="F3">
        <v>14</v>
      </c>
      <c r="G3">
        <v>5</v>
      </c>
      <c r="H3" s="14">
        <f t="shared" si="0"/>
        <v>136.30000000000001</v>
      </c>
      <c r="I3" s="14">
        <f t="shared" si="1"/>
        <v>125.15281337363724</v>
      </c>
      <c r="J3">
        <v>6</v>
      </c>
      <c r="K3">
        <v>2</v>
      </c>
      <c r="M3" t="s">
        <v>807</v>
      </c>
    </row>
    <row r="4" spans="1:18">
      <c r="A4" t="s">
        <v>6</v>
      </c>
      <c r="B4">
        <v>1</v>
      </c>
      <c r="C4">
        <v>171</v>
      </c>
      <c r="D4">
        <v>8</v>
      </c>
      <c r="E4">
        <v>14</v>
      </c>
      <c r="F4">
        <v>65</v>
      </c>
      <c r="G4">
        <v>2</v>
      </c>
      <c r="H4" s="14">
        <f t="shared" si="0"/>
        <v>130.1</v>
      </c>
      <c r="I4" s="14">
        <f t="shared" si="1"/>
        <v>137.06867451877301</v>
      </c>
      <c r="J4">
        <v>4</v>
      </c>
      <c r="K4">
        <v>3</v>
      </c>
      <c r="M4" s="157" t="s">
        <v>334</v>
      </c>
      <c r="N4" s="157"/>
      <c r="O4" s="157"/>
      <c r="P4" s="157"/>
      <c r="Q4" s="157"/>
    </row>
    <row r="5" spans="1:18">
      <c r="A5" t="s">
        <v>44</v>
      </c>
      <c r="B5">
        <v>39</v>
      </c>
      <c r="C5">
        <v>113</v>
      </c>
      <c r="D5">
        <v>7</v>
      </c>
      <c r="E5">
        <v>21</v>
      </c>
      <c r="F5">
        <v>48</v>
      </c>
      <c r="G5">
        <v>12</v>
      </c>
      <c r="H5" s="14">
        <f t="shared" si="0"/>
        <v>128.9</v>
      </c>
      <c r="I5" s="14">
        <f t="shared" si="1"/>
        <v>136.37953661451044</v>
      </c>
      <c r="J5">
        <v>2</v>
      </c>
      <c r="K5">
        <v>4</v>
      </c>
      <c r="M5" s="38">
        <f>'Radar Model Fit'!D103</f>
        <v>0.62495103969918797</v>
      </c>
      <c r="N5" s="38">
        <f>'Radar Model Fit'!E103</f>
        <v>0.49926986996731798</v>
      </c>
      <c r="O5" s="38">
        <f>'Radar Model Fit'!F103</f>
        <v>0.84256477656778062</v>
      </c>
      <c r="P5" s="38">
        <f>'Radar Model Fit'!G103</f>
        <v>0.60341712259116387</v>
      </c>
      <c r="Q5" s="38">
        <f>'Radar Model Fit'!H103</f>
        <v>0.52123411978221412</v>
      </c>
      <c r="R5" s="38">
        <f>'Radar Model Fit'!I103</f>
        <v>1</v>
      </c>
    </row>
    <row r="6" spans="1:18">
      <c r="A6" t="s">
        <v>66</v>
      </c>
      <c r="B6">
        <v>62</v>
      </c>
      <c r="C6">
        <v>93</v>
      </c>
      <c r="D6">
        <v>26</v>
      </c>
      <c r="E6">
        <v>33</v>
      </c>
      <c r="F6">
        <v>6</v>
      </c>
      <c r="G6">
        <v>9</v>
      </c>
      <c r="H6" s="14">
        <f t="shared" si="0"/>
        <v>136.70000000000002</v>
      </c>
      <c r="I6" s="14">
        <f t="shared" si="1"/>
        <v>139.12591632327423</v>
      </c>
      <c r="J6">
        <v>7</v>
      </c>
      <c r="K6">
        <v>5</v>
      </c>
      <c r="M6" s="38"/>
    </row>
    <row r="7" spans="1:18">
      <c r="A7" t="s">
        <v>15</v>
      </c>
      <c r="B7">
        <v>11</v>
      </c>
      <c r="C7">
        <v>129</v>
      </c>
      <c r="D7">
        <v>4</v>
      </c>
      <c r="E7">
        <v>71</v>
      </c>
      <c r="F7">
        <v>37</v>
      </c>
      <c r="G7">
        <v>6</v>
      </c>
      <c r="H7" s="14">
        <f t="shared" si="0"/>
        <v>124.10000000000001</v>
      </c>
      <c r="I7" s="14">
        <f t="shared" si="1"/>
        <v>142.77881190466076</v>
      </c>
      <c r="J7">
        <v>3</v>
      </c>
      <c r="K7">
        <v>6</v>
      </c>
      <c r="M7" s="1" t="s">
        <v>527</v>
      </c>
    </row>
    <row r="8" spans="1:18">
      <c r="A8" t="s">
        <v>35</v>
      </c>
      <c r="B8">
        <v>31</v>
      </c>
      <c r="C8">
        <v>64</v>
      </c>
      <c r="D8">
        <v>1</v>
      </c>
      <c r="E8">
        <v>5</v>
      </c>
      <c r="F8">
        <v>162</v>
      </c>
      <c r="G8">
        <v>1</v>
      </c>
      <c r="H8" s="14">
        <f t="shared" si="0"/>
        <v>143.60000000000002</v>
      </c>
      <c r="I8" s="14">
        <f t="shared" si="1"/>
        <v>140.62633170282547</v>
      </c>
      <c r="J8">
        <v>8</v>
      </c>
      <c r="K8">
        <v>7</v>
      </c>
      <c r="M8" s="38">
        <f>'CORR Y-1'!H2</f>
        <v>0.68644255807645715</v>
      </c>
    </row>
    <row r="9" spans="1:18">
      <c r="A9" t="s">
        <v>47</v>
      </c>
      <c r="B9">
        <v>44</v>
      </c>
      <c r="C9">
        <v>40</v>
      </c>
      <c r="D9">
        <v>11</v>
      </c>
      <c r="E9">
        <v>86</v>
      </c>
      <c r="F9">
        <v>54</v>
      </c>
      <c r="G9">
        <v>8</v>
      </c>
      <c r="H9" s="14">
        <f t="shared" si="0"/>
        <v>128.69999999999999</v>
      </c>
      <c r="I9" s="14">
        <f t="shared" si="1"/>
        <v>144.77736809878223</v>
      </c>
      <c r="J9">
        <v>5</v>
      </c>
      <c r="K9">
        <v>8</v>
      </c>
      <c r="M9" s="1">
        <v>2024</v>
      </c>
    </row>
    <row r="10" spans="1:18">
      <c r="A10" t="s">
        <v>51</v>
      </c>
      <c r="B10">
        <v>48</v>
      </c>
      <c r="C10">
        <v>101</v>
      </c>
      <c r="D10">
        <v>30</v>
      </c>
      <c r="E10">
        <v>63</v>
      </c>
      <c r="F10">
        <v>7</v>
      </c>
      <c r="G10">
        <v>7</v>
      </c>
      <c r="H10" s="14">
        <f t="shared" si="0"/>
        <v>143.4</v>
      </c>
      <c r="I10" s="14">
        <f t="shared" si="1"/>
        <v>154.3647676310124</v>
      </c>
      <c r="J10">
        <v>11</v>
      </c>
      <c r="K10">
        <v>9</v>
      </c>
      <c r="M10" s="38">
        <f>1-M8</f>
        <v>0.31355744192354285</v>
      </c>
    </row>
    <row r="11" spans="1:18">
      <c r="A11" t="s">
        <v>18</v>
      </c>
      <c r="B11">
        <v>15</v>
      </c>
      <c r="C11">
        <v>156</v>
      </c>
      <c r="D11">
        <v>29</v>
      </c>
      <c r="E11">
        <v>27</v>
      </c>
      <c r="F11">
        <v>33</v>
      </c>
      <c r="G11">
        <v>13</v>
      </c>
      <c r="H11" s="14">
        <f t="shared" si="0"/>
        <v>139.1</v>
      </c>
      <c r="I11" s="14">
        <f t="shared" si="1"/>
        <v>158.18773209362956</v>
      </c>
      <c r="J11">
        <v>9</v>
      </c>
      <c r="K11">
        <v>10</v>
      </c>
    </row>
    <row r="12" spans="1:18">
      <c r="A12" t="s">
        <v>439</v>
      </c>
      <c r="B12">
        <v>6</v>
      </c>
      <c r="C12">
        <v>27</v>
      </c>
      <c r="D12">
        <v>107</v>
      </c>
      <c r="E12">
        <v>39</v>
      </c>
      <c r="F12">
        <v>42</v>
      </c>
      <c r="G12">
        <v>10</v>
      </c>
      <c r="H12" s="14">
        <f t="shared" si="0"/>
        <v>130.39999999999998</v>
      </c>
      <c r="I12" s="14">
        <f t="shared" si="1"/>
        <v>162.80952463197366</v>
      </c>
      <c r="J12">
        <v>10</v>
      </c>
      <c r="K12">
        <v>11</v>
      </c>
    </row>
    <row r="13" spans="1:18">
      <c r="A13" t="s">
        <v>73</v>
      </c>
      <c r="B13">
        <v>68</v>
      </c>
      <c r="C13">
        <v>131</v>
      </c>
      <c r="D13">
        <v>3</v>
      </c>
      <c r="E13">
        <v>90</v>
      </c>
      <c r="F13">
        <v>5</v>
      </c>
      <c r="G13">
        <v>3</v>
      </c>
      <c r="H13" s="14">
        <f t="shared" si="0"/>
        <v>167.3</v>
      </c>
      <c r="I13" s="14">
        <f t="shared" si="1"/>
        <v>170.34242962708259</v>
      </c>
      <c r="J13">
        <v>12</v>
      </c>
      <c r="K13">
        <v>12</v>
      </c>
    </row>
    <row r="14" spans="1:18">
      <c r="A14" t="s">
        <v>143</v>
      </c>
      <c r="B14">
        <v>144</v>
      </c>
      <c r="C14">
        <v>54</v>
      </c>
      <c r="D14">
        <v>17</v>
      </c>
      <c r="E14">
        <v>20</v>
      </c>
      <c r="F14">
        <v>26</v>
      </c>
      <c r="G14">
        <v>14</v>
      </c>
      <c r="H14" s="14">
        <f t="shared" si="0"/>
        <v>189.5</v>
      </c>
      <c r="I14" s="14">
        <f t="shared" si="1"/>
        <v>170.89755346273137</v>
      </c>
      <c r="J14">
        <v>13</v>
      </c>
      <c r="K14">
        <v>13</v>
      </c>
    </row>
    <row r="15" spans="1:18">
      <c r="A15" t="s">
        <v>69</v>
      </c>
      <c r="B15">
        <v>66</v>
      </c>
      <c r="C15">
        <v>86</v>
      </c>
      <c r="D15">
        <v>5</v>
      </c>
      <c r="E15">
        <v>49</v>
      </c>
      <c r="F15">
        <v>125</v>
      </c>
      <c r="G15">
        <v>15</v>
      </c>
      <c r="H15" s="14">
        <f t="shared" si="0"/>
        <v>188</v>
      </c>
      <c r="I15" s="14">
        <f t="shared" si="1"/>
        <v>198.11850529991844</v>
      </c>
      <c r="J15">
        <v>14</v>
      </c>
      <c r="K15">
        <v>14</v>
      </c>
    </row>
    <row r="16" spans="1:18">
      <c r="A16" t="s">
        <v>114</v>
      </c>
      <c r="B16">
        <v>113</v>
      </c>
      <c r="C16">
        <v>163</v>
      </c>
      <c r="D16">
        <v>19</v>
      </c>
      <c r="E16">
        <v>16</v>
      </c>
      <c r="F16">
        <v>13</v>
      </c>
      <c r="G16">
        <v>16</v>
      </c>
      <c r="H16" s="14">
        <f t="shared" si="0"/>
        <v>209.4</v>
      </c>
      <c r="I16" s="14">
        <f t="shared" si="1"/>
        <v>200.43990456409631</v>
      </c>
      <c r="J16">
        <v>18</v>
      </c>
      <c r="K16">
        <v>15</v>
      </c>
    </row>
    <row r="17" spans="1:11">
      <c r="A17" t="s">
        <v>124</v>
      </c>
      <c r="B17">
        <v>121</v>
      </c>
      <c r="C17">
        <v>12</v>
      </c>
      <c r="D17">
        <v>10</v>
      </c>
      <c r="E17">
        <v>93</v>
      </c>
      <c r="F17">
        <v>73</v>
      </c>
      <c r="G17">
        <v>19</v>
      </c>
      <c r="H17" s="14">
        <f t="shared" si="0"/>
        <v>195.60000000000002</v>
      </c>
      <c r="I17" s="14">
        <f t="shared" si="1"/>
        <v>203.20384515396722</v>
      </c>
      <c r="J17">
        <v>16</v>
      </c>
      <c r="K17">
        <v>16</v>
      </c>
    </row>
    <row r="18" spans="1:11">
      <c r="A18" t="s">
        <v>135</v>
      </c>
      <c r="B18">
        <v>134</v>
      </c>
      <c r="C18">
        <v>8</v>
      </c>
      <c r="D18">
        <v>2</v>
      </c>
      <c r="E18">
        <v>96</v>
      </c>
      <c r="F18">
        <v>114</v>
      </c>
      <c r="G18">
        <v>11</v>
      </c>
      <c r="H18" s="14">
        <f t="shared" si="0"/>
        <v>221.40000000000003</v>
      </c>
      <c r="I18" s="14">
        <f t="shared" si="1"/>
        <v>217.77146125648943</v>
      </c>
      <c r="J18">
        <v>25</v>
      </c>
      <c r="K18">
        <v>17</v>
      </c>
    </row>
    <row r="19" spans="1:11">
      <c r="A19" t="s">
        <v>491</v>
      </c>
      <c r="B19">
        <v>193</v>
      </c>
      <c r="C19">
        <v>5</v>
      </c>
      <c r="D19">
        <v>11</v>
      </c>
      <c r="E19">
        <v>69</v>
      </c>
      <c r="F19">
        <v>5</v>
      </c>
      <c r="G19">
        <v>39</v>
      </c>
      <c r="H19" s="14">
        <f t="shared" si="0"/>
        <v>214</v>
      </c>
      <c r="I19" s="14">
        <f t="shared" si="1"/>
        <v>215.62206461172681</v>
      </c>
      <c r="J19">
        <v>21</v>
      </c>
      <c r="K19">
        <v>18</v>
      </c>
    </row>
    <row r="20" spans="1:11">
      <c r="A20" t="s">
        <v>74</v>
      </c>
      <c r="B20">
        <v>71</v>
      </c>
      <c r="C20">
        <v>37</v>
      </c>
      <c r="D20">
        <v>28</v>
      </c>
      <c r="E20">
        <v>82</v>
      </c>
      <c r="F20">
        <v>116</v>
      </c>
      <c r="G20">
        <v>29</v>
      </c>
      <c r="H20" s="14">
        <f t="shared" si="0"/>
        <v>192.8</v>
      </c>
      <c r="I20" s="14">
        <f t="shared" si="1"/>
        <v>225.37968469854326</v>
      </c>
      <c r="J20">
        <v>17</v>
      </c>
      <c r="K20">
        <v>19</v>
      </c>
    </row>
    <row r="21" spans="1:11">
      <c r="A21" t="s">
        <v>132</v>
      </c>
      <c r="B21">
        <v>133</v>
      </c>
      <c r="C21">
        <v>79</v>
      </c>
      <c r="D21">
        <v>34</v>
      </c>
      <c r="E21">
        <v>15</v>
      </c>
      <c r="F21">
        <v>70</v>
      </c>
      <c r="G21">
        <v>30</v>
      </c>
      <c r="H21" s="14">
        <f t="shared" si="0"/>
        <v>224</v>
      </c>
      <c r="I21" s="14">
        <f t="shared" si="1"/>
        <v>226.74565563433708</v>
      </c>
      <c r="J21">
        <v>26</v>
      </c>
      <c r="K21">
        <v>20</v>
      </c>
    </row>
    <row r="22" spans="1:11">
      <c r="A22" t="s">
        <v>113</v>
      </c>
      <c r="B22">
        <v>110</v>
      </c>
      <c r="C22">
        <v>52</v>
      </c>
      <c r="D22">
        <v>87</v>
      </c>
      <c r="E22">
        <v>17</v>
      </c>
      <c r="F22">
        <v>62</v>
      </c>
      <c r="G22">
        <v>17</v>
      </c>
      <c r="H22" s="14">
        <f t="shared" si="0"/>
        <v>223.70000000000002</v>
      </c>
      <c r="I22" s="14">
        <f t="shared" si="1"/>
        <v>227.58438967715523</v>
      </c>
      <c r="J22">
        <v>30</v>
      </c>
      <c r="K22">
        <v>21</v>
      </c>
    </row>
    <row r="23" spans="1:11">
      <c r="A23" t="s">
        <v>166</v>
      </c>
      <c r="B23">
        <v>168</v>
      </c>
      <c r="C23">
        <v>1</v>
      </c>
      <c r="D23">
        <v>18</v>
      </c>
      <c r="E23">
        <v>29</v>
      </c>
      <c r="F23">
        <v>120</v>
      </c>
      <c r="G23">
        <v>25</v>
      </c>
      <c r="H23" s="14">
        <f t="shared" si="0"/>
        <v>235.9</v>
      </c>
      <c r="I23" s="14">
        <f t="shared" si="1"/>
        <v>225.7044014466604</v>
      </c>
      <c r="J23">
        <v>29</v>
      </c>
      <c r="K23">
        <v>22</v>
      </c>
    </row>
    <row r="24" spans="1:11">
      <c r="A24" t="s">
        <v>42</v>
      </c>
      <c r="B24">
        <v>38</v>
      </c>
      <c r="C24">
        <v>154</v>
      </c>
      <c r="D24">
        <v>39</v>
      </c>
      <c r="E24">
        <v>4</v>
      </c>
      <c r="F24">
        <v>135</v>
      </c>
      <c r="G24">
        <v>27</v>
      </c>
      <c r="H24" s="14">
        <f t="shared" si="0"/>
        <v>207.6</v>
      </c>
      <c r="I24" s="14">
        <f t="shared" si="1"/>
        <v>233.27600043064311</v>
      </c>
      <c r="J24">
        <v>19</v>
      </c>
      <c r="K24">
        <v>23</v>
      </c>
    </row>
    <row r="25" spans="1:11">
      <c r="A25" t="s">
        <v>64</v>
      </c>
      <c r="B25">
        <v>59</v>
      </c>
      <c r="C25">
        <v>172</v>
      </c>
      <c r="D25">
        <v>69</v>
      </c>
      <c r="E25">
        <v>22</v>
      </c>
      <c r="F25">
        <v>17</v>
      </c>
      <c r="G25">
        <v>32</v>
      </c>
      <c r="H25" s="14">
        <f t="shared" si="0"/>
        <v>204.7</v>
      </c>
      <c r="I25" s="14">
        <f t="shared" si="1"/>
        <v>235.01965529311087</v>
      </c>
      <c r="J25">
        <v>20</v>
      </c>
      <c r="K25">
        <v>24</v>
      </c>
    </row>
    <row r="26" spans="1:11">
      <c r="A26" t="s">
        <v>188</v>
      </c>
      <c r="B26">
        <v>189</v>
      </c>
      <c r="C26">
        <v>9</v>
      </c>
      <c r="D26">
        <v>67</v>
      </c>
      <c r="E26">
        <v>3</v>
      </c>
      <c r="F26">
        <v>22</v>
      </c>
      <c r="G26">
        <v>36</v>
      </c>
      <c r="H26" s="14">
        <f t="shared" si="0"/>
        <v>233.7</v>
      </c>
      <c r="I26" s="14">
        <f t="shared" si="1"/>
        <v>228.3384173658759</v>
      </c>
      <c r="J26">
        <v>33</v>
      </c>
      <c r="K26">
        <v>25</v>
      </c>
    </row>
    <row r="27" spans="1:11">
      <c r="A27" t="s">
        <v>129</v>
      </c>
      <c r="B27">
        <v>127</v>
      </c>
      <c r="C27">
        <v>100</v>
      </c>
      <c r="D27">
        <v>12</v>
      </c>
      <c r="E27">
        <v>13</v>
      </c>
      <c r="F27">
        <v>119</v>
      </c>
      <c r="G27">
        <v>23</v>
      </c>
      <c r="H27" s="14">
        <f t="shared" si="0"/>
        <v>237.4</v>
      </c>
      <c r="I27" s="14">
        <f t="shared" si="1"/>
        <v>232.27782920511066</v>
      </c>
      <c r="J27">
        <v>28</v>
      </c>
      <c r="K27">
        <v>26</v>
      </c>
    </row>
    <row r="28" spans="1:11">
      <c r="A28" t="s">
        <v>52</v>
      </c>
      <c r="B28">
        <v>50</v>
      </c>
      <c r="C28">
        <v>126</v>
      </c>
      <c r="D28">
        <v>62</v>
      </c>
      <c r="E28">
        <v>7</v>
      </c>
      <c r="F28">
        <v>110</v>
      </c>
      <c r="G28">
        <v>28</v>
      </c>
      <c r="H28" s="14">
        <f t="shared" si="0"/>
        <v>209.20000000000002</v>
      </c>
      <c r="I28" s="14">
        <f t="shared" si="1"/>
        <v>235.95424478222554</v>
      </c>
      <c r="J28">
        <v>23</v>
      </c>
      <c r="K28">
        <v>27</v>
      </c>
    </row>
    <row r="29" spans="1:11">
      <c r="A29" t="s">
        <v>58</v>
      </c>
      <c r="B29">
        <v>54</v>
      </c>
      <c r="C29">
        <v>114</v>
      </c>
      <c r="D29">
        <v>57</v>
      </c>
      <c r="E29">
        <v>113</v>
      </c>
      <c r="F29">
        <v>20</v>
      </c>
      <c r="G29">
        <v>24</v>
      </c>
      <c r="H29" s="14">
        <f t="shared" si="0"/>
        <v>200.7</v>
      </c>
      <c r="I29" s="14">
        <f t="shared" si="1"/>
        <v>241.30113083283968</v>
      </c>
      <c r="J29">
        <v>24</v>
      </c>
      <c r="K29">
        <v>28</v>
      </c>
    </row>
    <row r="30" spans="1:11">
      <c r="A30" t="s">
        <v>68</v>
      </c>
      <c r="B30">
        <v>66</v>
      </c>
      <c r="C30">
        <v>68</v>
      </c>
      <c r="D30">
        <v>110</v>
      </c>
      <c r="E30">
        <v>45</v>
      </c>
      <c r="F30">
        <v>37</v>
      </c>
      <c r="G30">
        <v>26</v>
      </c>
      <c r="H30" s="14">
        <f t="shared" si="0"/>
        <v>206.9</v>
      </c>
      <c r="I30" s="14">
        <f t="shared" si="1"/>
        <v>240.31867814892419</v>
      </c>
      <c r="J30">
        <v>27</v>
      </c>
      <c r="K30">
        <v>29</v>
      </c>
    </row>
    <row r="31" spans="1:11">
      <c r="A31" t="s">
        <v>595</v>
      </c>
      <c r="B31">
        <v>5</v>
      </c>
      <c r="C31">
        <v>187</v>
      </c>
      <c r="D31">
        <v>41</v>
      </c>
      <c r="E31">
        <v>108</v>
      </c>
      <c r="F31">
        <v>24</v>
      </c>
      <c r="G31">
        <v>37</v>
      </c>
      <c r="H31" s="14">
        <f t="shared" si="0"/>
        <v>181.9</v>
      </c>
      <c r="I31" s="14">
        <f t="shared" si="1"/>
        <v>245.71204483628225</v>
      </c>
      <c r="J31">
        <v>15</v>
      </c>
      <c r="K31">
        <v>30</v>
      </c>
    </row>
    <row r="32" spans="1:11">
      <c r="A32" t="s">
        <v>183</v>
      </c>
      <c r="B32">
        <v>184</v>
      </c>
      <c r="C32">
        <v>34</v>
      </c>
      <c r="D32">
        <v>25</v>
      </c>
      <c r="E32">
        <v>73</v>
      </c>
      <c r="F32">
        <v>12</v>
      </c>
      <c r="G32">
        <v>43</v>
      </c>
      <c r="H32" s="14">
        <f t="shared" si="0"/>
        <v>235.3</v>
      </c>
      <c r="I32" s="14">
        <f t="shared" si="1"/>
        <v>246.33454568427547</v>
      </c>
      <c r="J32">
        <v>35</v>
      </c>
      <c r="K32">
        <v>31</v>
      </c>
    </row>
    <row r="33" spans="1:11">
      <c r="A33" t="s">
        <v>72</v>
      </c>
      <c r="B33">
        <v>68</v>
      </c>
      <c r="C33">
        <v>138</v>
      </c>
      <c r="D33">
        <v>116</v>
      </c>
      <c r="E33">
        <v>31</v>
      </c>
      <c r="F33">
        <v>11</v>
      </c>
      <c r="G33">
        <v>21</v>
      </c>
      <c r="H33" s="14">
        <f t="shared" si="0"/>
        <v>229.29999999999998</v>
      </c>
      <c r="I33" s="14">
        <f t="shared" si="1"/>
        <v>254.57293295482768</v>
      </c>
      <c r="J33">
        <v>41</v>
      </c>
      <c r="K33">
        <v>32</v>
      </c>
    </row>
    <row r="34" spans="1:11">
      <c r="A34" t="s">
        <v>140</v>
      </c>
      <c r="B34">
        <v>143</v>
      </c>
      <c r="C34">
        <v>73</v>
      </c>
      <c r="D34">
        <v>85</v>
      </c>
      <c r="E34">
        <v>58</v>
      </c>
      <c r="F34">
        <v>3</v>
      </c>
      <c r="G34">
        <v>18</v>
      </c>
      <c r="H34" s="14">
        <f t="shared" si="0"/>
        <v>249.40000000000003</v>
      </c>
      <c r="I34" s="14">
        <f t="shared" si="1"/>
        <v>251.99460066249358</v>
      </c>
      <c r="J34">
        <v>58</v>
      </c>
      <c r="K34">
        <v>33</v>
      </c>
    </row>
    <row r="35" spans="1:11">
      <c r="A35" t="s">
        <v>440</v>
      </c>
      <c r="B35">
        <v>2</v>
      </c>
      <c r="C35">
        <v>82</v>
      </c>
      <c r="D35">
        <v>96</v>
      </c>
      <c r="E35">
        <v>176</v>
      </c>
      <c r="F35">
        <v>9</v>
      </c>
      <c r="G35">
        <v>33</v>
      </c>
      <c r="H35" s="14">
        <f t="shared" si="0"/>
        <v>184.89999999999998</v>
      </c>
      <c r="I35" s="14">
        <f t="shared" si="1"/>
        <v>266.96877062131011</v>
      </c>
      <c r="J35">
        <v>22</v>
      </c>
      <c r="K35">
        <v>34</v>
      </c>
    </row>
    <row r="36" spans="1:11">
      <c r="A36" t="s">
        <v>130</v>
      </c>
      <c r="B36">
        <v>134</v>
      </c>
      <c r="C36">
        <v>39</v>
      </c>
      <c r="D36">
        <v>50</v>
      </c>
      <c r="E36">
        <v>85</v>
      </c>
      <c r="F36">
        <v>59</v>
      </c>
      <c r="G36">
        <v>34</v>
      </c>
      <c r="H36" s="14">
        <f t="shared" si="0"/>
        <v>238.60000000000002</v>
      </c>
      <c r="I36" s="14">
        <f t="shared" si="1"/>
        <v>261.38647156420518</v>
      </c>
      <c r="J36">
        <v>43</v>
      </c>
      <c r="K36">
        <v>35</v>
      </c>
    </row>
    <row r="37" spans="1:11">
      <c r="A37" t="s">
        <v>19</v>
      </c>
      <c r="B37">
        <v>17</v>
      </c>
      <c r="C37">
        <v>170</v>
      </c>
      <c r="D37">
        <v>143</v>
      </c>
      <c r="E37">
        <v>37</v>
      </c>
      <c r="F37">
        <v>19</v>
      </c>
      <c r="G37">
        <v>20</v>
      </c>
      <c r="H37" s="14">
        <f t="shared" si="0"/>
        <v>224.7</v>
      </c>
      <c r="I37" s="14">
        <f t="shared" si="1"/>
        <v>268.21669043025804</v>
      </c>
      <c r="J37">
        <v>45</v>
      </c>
      <c r="K37">
        <v>36</v>
      </c>
    </row>
    <row r="38" spans="1:11">
      <c r="A38" t="s">
        <v>95</v>
      </c>
      <c r="B38">
        <v>96</v>
      </c>
      <c r="C38">
        <v>155</v>
      </c>
      <c r="D38">
        <v>74</v>
      </c>
      <c r="E38">
        <v>11</v>
      </c>
      <c r="F38">
        <v>18</v>
      </c>
      <c r="G38">
        <v>50</v>
      </c>
      <c r="H38" s="14">
        <f t="shared" si="0"/>
        <v>229.1</v>
      </c>
      <c r="I38" s="14">
        <f t="shared" si="1"/>
        <v>265.75172562665472</v>
      </c>
      <c r="J38">
        <v>32</v>
      </c>
      <c r="K38">
        <v>37</v>
      </c>
    </row>
    <row r="39" spans="1:11">
      <c r="A39" t="s">
        <v>141</v>
      </c>
      <c r="B39">
        <v>140</v>
      </c>
      <c r="C39">
        <v>46</v>
      </c>
      <c r="D39">
        <v>64</v>
      </c>
      <c r="E39">
        <v>83</v>
      </c>
      <c r="F39">
        <v>21</v>
      </c>
      <c r="G39">
        <v>39</v>
      </c>
      <c r="H39" s="14">
        <f t="shared" si="0"/>
        <v>237.5</v>
      </c>
      <c r="I39" s="14">
        <f t="shared" si="1"/>
        <v>264.41324296721405</v>
      </c>
      <c r="J39">
        <v>46</v>
      </c>
      <c r="K39">
        <v>38</v>
      </c>
    </row>
    <row r="40" spans="1:11">
      <c r="A40" t="s">
        <v>76</v>
      </c>
      <c r="B40">
        <v>74</v>
      </c>
      <c r="C40">
        <v>137</v>
      </c>
      <c r="D40">
        <v>71</v>
      </c>
      <c r="E40">
        <v>28</v>
      </c>
      <c r="F40">
        <v>79</v>
      </c>
      <c r="G40">
        <v>38</v>
      </c>
      <c r="H40" s="14">
        <f t="shared" si="0"/>
        <v>235.5</v>
      </c>
      <c r="I40" s="14">
        <f t="shared" si="1"/>
        <v>270.54162315492238</v>
      </c>
      <c r="J40">
        <v>40</v>
      </c>
      <c r="K40">
        <v>39</v>
      </c>
    </row>
    <row r="41" spans="1:11">
      <c r="A41" t="s">
        <v>125</v>
      </c>
      <c r="B41">
        <v>125</v>
      </c>
      <c r="C41">
        <v>65</v>
      </c>
      <c r="D41">
        <v>79</v>
      </c>
      <c r="E41">
        <v>49</v>
      </c>
      <c r="F41">
        <v>16</v>
      </c>
      <c r="G41">
        <v>55</v>
      </c>
      <c r="H41" s="14">
        <f t="shared" si="0"/>
        <v>227.9</v>
      </c>
      <c r="I41" s="14">
        <f t="shared" si="1"/>
        <v>270.04122378261127</v>
      </c>
      <c r="J41">
        <v>36</v>
      </c>
      <c r="K41">
        <v>40</v>
      </c>
    </row>
    <row r="42" spans="1:11">
      <c r="A42" t="s">
        <v>56</v>
      </c>
      <c r="B42">
        <v>54</v>
      </c>
      <c r="C42">
        <v>153</v>
      </c>
      <c r="D42">
        <v>48</v>
      </c>
      <c r="E42">
        <v>112</v>
      </c>
      <c r="F42">
        <v>36</v>
      </c>
      <c r="G42">
        <v>41</v>
      </c>
      <c r="H42" s="14">
        <f t="shared" si="0"/>
        <v>221.5</v>
      </c>
      <c r="I42" s="14">
        <f t="shared" si="1"/>
        <v>277.92590156637937</v>
      </c>
      <c r="J42">
        <v>31</v>
      </c>
      <c r="K42">
        <v>41</v>
      </c>
    </row>
    <row r="43" spans="1:11">
      <c r="A43" t="s">
        <v>544</v>
      </c>
      <c r="B43">
        <v>4</v>
      </c>
      <c r="C43">
        <v>185</v>
      </c>
      <c r="D43">
        <v>168</v>
      </c>
      <c r="E43">
        <v>14</v>
      </c>
      <c r="F43">
        <v>7</v>
      </c>
      <c r="G43">
        <v>30</v>
      </c>
      <c r="H43" s="14">
        <f t="shared" si="0"/>
        <v>222.79999999999998</v>
      </c>
      <c r="I43" s="14">
        <f t="shared" si="1"/>
        <v>278.51209112088952</v>
      </c>
      <c r="J43">
        <v>47</v>
      </c>
      <c r="K43">
        <v>42</v>
      </c>
    </row>
    <row r="44" spans="1:11">
      <c r="A44" t="s">
        <v>97</v>
      </c>
      <c r="B44">
        <v>97</v>
      </c>
      <c r="C44">
        <v>144</v>
      </c>
      <c r="D44">
        <v>89</v>
      </c>
      <c r="E44">
        <v>12</v>
      </c>
      <c r="F44">
        <v>39</v>
      </c>
      <c r="G44">
        <v>42</v>
      </c>
      <c r="H44" s="14">
        <f t="shared" si="0"/>
        <v>245.90000000000003</v>
      </c>
      <c r="I44" s="14">
        <f t="shared" si="1"/>
        <v>277.07251338324784</v>
      </c>
      <c r="J44">
        <v>52</v>
      </c>
      <c r="K44">
        <v>43</v>
      </c>
    </row>
    <row r="45" spans="1:11">
      <c r="A45" t="s">
        <v>29</v>
      </c>
      <c r="B45">
        <v>26</v>
      </c>
      <c r="C45">
        <v>151</v>
      </c>
      <c r="D45">
        <v>75</v>
      </c>
      <c r="E45">
        <v>46</v>
      </c>
      <c r="F45">
        <v>123</v>
      </c>
      <c r="G45">
        <v>35</v>
      </c>
      <c r="H45" s="14">
        <f t="shared" si="0"/>
        <v>231.3</v>
      </c>
      <c r="I45" s="14">
        <f t="shared" si="1"/>
        <v>281.69982001223332</v>
      </c>
      <c r="J45">
        <v>39</v>
      </c>
      <c r="K45">
        <v>44</v>
      </c>
    </row>
    <row r="46" spans="1:11">
      <c r="A46" t="s">
        <v>27</v>
      </c>
      <c r="B46">
        <v>21</v>
      </c>
      <c r="C46">
        <v>138</v>
      </c>
      <c r="D46">
        <v>129</v>
      </c>
      <c r="E46">
        <v>97</v>
      </c>
      <c r="F46">
        <v>8</v>
      </c>
      <c r="G46">
        <v>31</v>
      </c>
      <c r="H46" s="14">
        <f t="shared" si="0"/>
        <v>221</v>
      </c>
      <c r="I46" s="14">
        <f t="shared" si="1"/>
        <v>284.41540391601711</v>
      </c>
      <c r="J46">
        <v>44</v>
      </c>
      <c r="K46">
        <v>45</v>
      </c>
    </row>
    <row r="47" spans="1:11">
      <c r="A47" t="s">
        <v>162</v>
      </c>
      <c r="B47">
        <v>163</v>
      </c>
      <c r="C47">
        <v>83</v>
      </c>
      <c r="D47">
        <v>14</v>
      </c>
      <c r="E47">
        <v>43</v>
      </c>
      <c r="F47">
        <v>93</v>
      </c>
      <c r="G47">
        <v>49</v>
      </c>
      <c r="H47" s="14">
        <f t="shared" si="0"/>
        <v>261.70000000000005</v>
      </c>
      <c r="I47" s="14">
        <f t="shared" si="1"/>
        <v>278.52403496136992</v>
      </c>
      <c r="J47">
        <v>57</v>
      </c>
      <c r="K47">
        <v>46</v>
      </c>
    </row>
    <row r="48" spans="1:11">
      <c r="A48" t="s">
        <v>569</v>
      </c>
      <c r="B48">
        <v>40</v>
      </c>
      <c r="C48">
        <v>185</v>
      </c>
      <c r="D48">
        <v>75</v>
      </c>
      <c r="E48">
        <v>47</v>
      </c>
      <c r="F48">
        <v>69</v>
      </c>
      <c r="G48">
        <v>40</v>
      </c>
      <c r="H48" s="14">
        <f t="shared" si="0"/>
        <v>234.3</v>
      </c>
      <c r="I48" s="14">
        <f t="shared" si="1"/>
        <v>284.88108480126238</v>
      </c>
      <c r="J48">
        <v>42</v>
      </c>
      <c r="K48">
        <v>47</v>
      </c>
    </row>
    <row r="49" spans="1:11">
      <c r="A49" t="s">
        <v>128</v>
      </c>
      <c r="B49">
        <v>130</v>
      </c>
      <c r="C49">
        <v>11</v>
      </c>
      <c r="D49">
        <v>44</v>
      </c>
      <c r="E49">
        <v>44</v>
      </c>
      <c r="F49">
        <v>163</v>
      </c>
      <c r="G49">
        <v>45</v>
      </c>
      <c r="H49" s="14">
        <f t="shared" si="0"/>
        <v>252.4</v>
      </c>
      <c r="I49" s="14">
        <f t="shared" si="1"/>
        <v>280.31996881802939</v>
      </c>
      <c r="J49">
        <v>54</v>
      </c>
      <c r="K49">
        <v>48</v>
      </c>
    </row>
    <row r="50" spans="1:11">
      <c r="A50" t="s">
        <v>93</v>
      </c>
      <c r="B50">
        <v>92</v>
      </c>
      <c r="C50">
        <v>78</v>
      </c>
      <c r="D50">
        <v>21</v>
      </c>
      <c r="E50">
        <v>135</v>
      </c>
      <c r="F50">
        <v>128</v>
      </c>
      <c r="G50">
        <v>22</v>
      </c>
      <c r="H50" s="14">
        <f t="shared" si="0"/>
        <v>254.5</v>
      </c>
      <c r="I50" s="14">
        <f t="shared" si="1"/>
        <v>284.31168469963001</v>
      </c>
      <c r="J50">
        <v>60</v>
      </c>
      <c r="K50">
        <v>49</v>
      </c>
    </row>
    <row r="51" spans="1:11">
      <c r="A51" t="s">
        <v>112</v>
      </c>
      <c r="B51">
        <v>115</v>
      </c>
      <c r="C51">
        <v>41</v>
      </c>
      <c r="D51">
        <v>51</v>
      </c>
      <c r="E51">
        <v>32</v>
      </c>
      <c r="F51">
        <v>149</v>
      </c>
      <c r="G51">
        <v>52</v>
      </c>
      <c r="H51" s="14">
        <f t="shared" si="0"/>
        <v>247</v>
      </c>
      <c r="I51" s="14">
        <f t="shared" si="1"/>
        <v>284.28346960949062</v>
      </c>
      <c r="J51">
        <v>49</v>
      </c>
      <c r="K51">
        <v>50</v>
      </c>
    </row>
    <row r="52" spans="1:11">
      <c r="A52" t="s">
        <v>126</v>
      </c>
      <c r="B52">
        <v>129</v>
      </c>
      <c r="C52">
        <v>88</v>
      </c>
      <c r="D52">
        <v>47</v>
      </c>
      <c r="E52">
        <v>99</v>
      </c>
      <c r="F52">
        <v>29</v>
      </c>
      <c r="G52">
        <v>47</v>
      </c>
      <c r="H52" s="14">
        <f t="shared" si="0"/>
        <v>247.10000000000002</v>
      </c>
      <c r="I52" s="14">
        <f t="shared" si="1"/>
        <v>286.00906178721436</v>
      </c>
      <c r="J52">
        <v>56</v>
      </c>
      <c r="K52">
        <v>51</v>
      </c>
    </row>
    <row r="53" spans="1:11">
      <c r="A53" t="s">
        <v>158</v>
      </c>
      <c r="B53">
        <v>155</v>
      </c>
      <c r="C53">
        <v>114</v>
      </c>
      <c r="D53">
        <v>36</v>
      </c>
      <c r="E53">
        <v>48</v>
      </c>
      <c r="F53">
        <v>52</v>
      </c>
      <c r="G53">
        <v>46</v>
      </c>
      <c r="H53" s="14">
        <f t="shared" si="0"/>
        <v>266.89999999999998</v>
      </c>
      <c r="I53" s="14">
        <f t="shared" si="1"/>
        <v>286.18470439913949</v>
      </c>
      <c r="J53">
        <v>67</v>
      </c>
      <c r="K53">
        <v>52</v>
      </c>
    </row>
    <row r="54" spans="1:11">
      <c r="A54" t="s">
        <v>152</v>
      </c>
      <c r="B54">
        <v>151</v>
      </c>
      <c r="C54">
        <v>6</v>
      </c>
      <c r="D54">
        <v>35</v>
      </c>
      <c r="E54">
        <v>56</v>
      </c>
      <c r="F54">
        <v>152</v>
      </c>
      <c r="G54">
        <v>48</v>
      </c>
      <c r="H54" s="14">
        <f t="shared" si="0"/>
        <v>261.8</v>
      </c>
      <c r="I54" s="14">
        <f t="shared" si="1"/>
        <v>287.8719384662553</v>
      </c>
      <c r="J54">
        <v>62</v>
      </c>
      <c r="K54">
        <v>53</v>
      </c>
    </row>
    <row r="55" spans="1:11">
      <c r="A55" t="s">
        <v>110</v>
      </c>
      <c r="B55">
        <v>105</v>
      </c>
      <c r="C55">
        <v>33</v>
      </c>
      <c r="D55">
        <v>23</v>
      </c>
      <c r="E55">
        <v>167</v>
      </c>
      <c r="F55">
        <v>60</v>
      </c>
      <c r="G55">
        <v>60</v>
      </c>
      <c r="H55" s="14">
        <f t="shared" si="0"/>
        <v>223.89999999999998</v>
      </c>
      <c r="I55" s="14">
        <f t="shared" si="1"/>
        <v>293.51946139805239</v>
      </c>
      <c r="J55">
        <v>34</v>
      </c>
      <c r="K55">
        <v>54</v>
      </c>
    </row>
    <row r="56" spans="1:11">
      <c r="A56" t="s">
        <v>10</v>
      </c>
      <c r="B56">
        <v>8</v>
      </c>
      <c r="C56">
        <v>179</v>
      </c>
      <c r="D56">
        <v>98</v>
      </c>
      <c r="E56">
        <v>6</v>
      </c>
      <c r="F56">
        <v>144</v>
      </c>
      <c r="G56">
        <v>40</v>
      </c>
      <c r="H56" s="14">
        <f t="shared" si="0"/>
        <v>239.70000000000002</v>
      </c>
      <c r="I56" s="14">
        <f t="shared" si="1"/>
        <v>295.61847912957171</v>
      </c>
      <c r="J56">
        <v>50</v>
      </c>
      <c r="K56">
        <v>55</v>
      </c>
    </row>
    <row r="57" spans="1:11">
      <c r="A57" t="s">
        <v>144</v>
      </c>
      <c r="B57">
        <v>147</v>
      </c>
      <c r="C57">
        <v>49</v>
      </c>
      <c r="D57">
        <v>100</v>
      </c>
      <c r="E57">
        <v>9</v>
      </c>
      <c r="F57">
        <v>68</v>
      </c>
      <c r="G57">
        <v>53</v>
      </c>
      <c r="H57" s="14">
        <f t="shared" si="0"/>
        <v>264.39999999999998</v>
      </c>
      <c r="I57" s="14">
        <f t="shared" si="1"/>
        <v>294.46317836946832</v>
      </c>
      <c r="J57">
        <v>74</v>
      </c>
      <c r="K57">
        <v>56</v>
      </c>
    </row>
    <row r="58" spans="1:11">
      <c r="A58" t="s">
        <v>118</v>
      </c>
      <c r="B58">
        <v>118</v>
      </c>
      <c r="C58">
        <v>89</v>
      </c>
      <c r="D58">
        <v>53</v>
      </c>
      <c r="E58">
        <v>111</v>
      </c>
      <c r="F58">
        <v>40</v>
      </c>
      <c r="G58">
        <v>51</v>
      </c>
      <c r="H58" s="14">
        <f t="shared" si="0"/>
        <v>252.2</v>
      </c>
      <c r="I58" s="14">
        <f t="shared" si="1"/>
        <v>301.66383966859564</v>
      </c>
      <c r="J58">
        <v>61</v>
      </c>
      <c r="K58">
        <v>57</v>
      </c>
    </row>
    <row r="59" spans="1:11">
      <c r="A59" t="s">
        <v>20</v>
      </c>
      <c r="B59">
        <v>18</v>
      </c>
      <c r="C59">
        <v>181</v>
      </c>
      <c r="D59">
        <v>37</v>
      </c>
      <c r="E59">
        <v>54</v>
      </c>
      <c r="F59">
        <v>160</v>
      </c>
      <c r="G59">
        <v>62</v>
      </c>
      <c r="H59" s="14">
        <f t="shared" si="0"/>
        <v>234.2</v>
      </c>
      <c r="I59" s="14">
        <f t="shared" si="1"/>
        <v>310.7738456967549</v>
      </c>
      <c r="J59">
        <v>38</v>
      </c>
      <c r="K59">
        <v>58</v>
      </c>
    </row>
    <row r="60" spans="1:11">
      <c r="A60" t="s">
        <v>62</v>
      </c>
      <c r="B60">
        <v>58</v>
      </c>
      <c r="C60">
        <v>112</v>
      </c>
      <c r="D60">
        <v>59</v>
      </c>
      <c r="E60">
        <v>93</v>
      </c>
      <c r="F60">
        <v>78</v>
      </c>
      <c r="G60">
        <v>71</v>
      </c>
      <c r="H60" s="14">
        <f t="shared" si="0"/>
        <v>225.7</v>
      </c>
      <c r="I60" s="14">
        <f t="shared" si="1"/>
        <v>309.6507613003825</v>
      </c>
      <c r="J60">
        <v>37</v>
      </c>
      <c r="K60">
        <v>59</v>
      </c>
    </row>
    <row r="61" spans="1:11">
      <c r="A61" t="s">
        <v>795</v>
      </c>
      <c r="B61">
        <v>99</v>
      </c>
      <c r="C61">
        <v>113</v>
      </c>
      <c r="D61">
        <v>41</v>
      </c>
      <c r="E61">
        <v>98</v>
      </c>
      <c r="F61">
        <v>87</v>
      </c>
      <c r="G61">
        <v>56</v>
      </c>
      <c r="H61" s="14">
        <f t="shared" si="0"/>
        <v>257</v>
      </c>
      <c r="I61" s="14">
        <f t="shared" si="1"/>
        <v>313.31505051079222</v>
      </c>
      <c r="J61">
        <v>64</v>
      </c>
      <c r="K61">
        <v>60</v>
      </c>
    </row>
    <row r="62" spans="1:11">
      <c r="A62" t="s">
        <v>146</v>
      </c>
      <c r="B62">
        <v>148</v>
      </c>
      <c r="C62">
        <v>135</v>
      </c>
      <c r="D62">
        <v>24</v>
      </c>
      <c r="E62">
        <v>127</v>
      </c>
      <c r="F62">
        <v>14</v>
      </c>
      <c r="G62">
        <v>54</v>
      </c>
      <c r="H62" s="14">
        <f t="shared" si="0"/>
        <v>275.3</v>
      </c>
      <c r="I62" s="14">
        <f t="shared" si="1"/>
        <v>318.04699320472332</v>
      </c>
      <c r="J62">
        <v>84</v>
      </c>
      <c r="K62">
        <v>61</v>
      </c>
    </row>
    <row r="63" spans="1:11">
      <c r="A63" t="s">
        <v>154</v>
      </c>
      <c r="B63">
        <v>156</v>
      </c>
      <c r="C63">
        <v>16</v>
      </c>
      <c r="D63">
        <v>105</v>
      </c>
      <c r="E63">
        <v>107</v>
      </c>
      <c r="F63">
        <v>27</v>
      </c>
      <c r="G63">
        <v>44</v>
      </c>
      <c r="H63" s="14">
        <f t="shared" si="0"/>
        <v>278.2</v>
      </c>
      <c r="I63" s="14">
        <f t="shared" si="1"/>
        <v>316.58893500354168</v>
      </c>
      <c r="J63">
        <v>97</v>
      </c>
      <c r="K63">
        <v>62</v>
      </c>
    </row>
    <row r="64" spans="1:11">
      <c r="A64" t="s">
        <v>122</v>
      </c>
      <c r="B64">
        <v>124</v>
      </c>
      <c r="C64">
        <v>85</v>
      </c>
      <c r="D64">
        <v>45</v>
      </c>
      <c r="E64">
        <v>84</v>
      </c>
      <c r="F64">
        <v>81</v>
      </c>
      <c r="G64">
        <v>70</v>
      </c>
      <c r="H64" s="14">
        <f t="shared" si="0"/>
        <v>259.70000000000005</v>
      </c>
      <c r="I64" s="14">
        <f t="shared" si="1"/>
        <v>320.75428481548857</v>
      </c>
      <c r="J64">
        <v>66</v>
      </c>
      <c r="K64">
        <v>63</v>
      </c>
    </row>
    <row r="65" spans="1:11">
      <c r="A65" t="s">
        <v>38</v>
      </c>
      <c r="B65">
        <v>35</v>
      </c>
      <c r="C65">
        <v>164</v>
      </c>
      <c r="D65">
        <v>120</v>
      </c>
      <c r="E65">
        <v>47</v>
      </c>
      <c r="F65">
        <v>67</v>
      </c>
      <c r="G65">
        <v>56</v>
      </c>
      <c r="H65" s="14">
        <f t="shared" si="0"/>
        <v>249.8</v>
      </c>
      <c r="I65" s="14">
        <f t="shared" si="1"/>
        <v>324.14460903943848</v>
      </c>
      <c r="J65">
        <v>69</v>
      </c>
      <c r="K65">
        <v>64</v>
      </c>
    </row>
    <row r="66" spans="1:11">
      <c r="A66" t="s">
        <v>92</v>
      </c>
      <c r="B66">
        <v>91</v>
      </c>
      <c r="C66">
        <v>99</v>
      </c>
      <c r="D66">
        <v>94</v>
      </c>
      <c r="E66">
        <v>26</v>
      </c>
      <c r="F66">
        <v>101</v>
      </c>
      <c r="G66">
        <v>73</v>
      </c>
      <c r="H66" s="14">
        <f t="shared" ref="H66:H129" si="2">$M$2*B66+$N$2*C66+$O$2*D66+$P$2*E66+$Q$2*F66</f>
        <v>258.10000000000002</v>
      </c>
      <c r="I66" s="14">
        <f t="shared" ref="I66:I129" si="3">$M$5*B66+$N$5*C66+$O$5*D66+$P$5*E66+$Q$5*F66+$R$5*G66</f>
        <v>326.83284202213582</v>
      </c>
      <c r="J66">
        <v>70</v>
      </c>
      <c r="K66">
        <v>65</v>
      </c>
    </row>
    <row r="67" spans="1:11">
      <c r="A67" t="s">
        <v>139</v>
      </c>
      <c r="B67">
        <v>137</v>
      </c>
      <c r="C67">
        <v>103</v>
      </c>
      <c r="D67">
        <v>9</v>
      </c>
      <c r="E67">
        <v>151</v>
      </c>
      <c r="F67">
        <v>66</v>
      </c>
      <c r="G67">
        <v>58</v>
      </c>
      <c r="H67" s="14">
        <f t="shared" si="2"/>
        <v>274.5</v>
      </c>
      <c r="I67" s="14">
        <f t="shared" si="3"/>
        <v>328.14360945142442</v>
      </c>
      <c r="J67">
        <v>83</v>
      </c>
      <c r="K67">
        <v>66</v>
      </c>
    </row>
    <row r="68" spans="1:11">
      <c r="A68" t="s">
        <v>549</v>
      </c>
      <c r="B68">
        <v>16</v>
      </c>
      <c r="C68">
        <v>188</v>
      </c>
      <c r="D68">
        <v>91</v>
      </c>
      <c r="E68">
        <v>104</v>
      </c>
      <c r="F68">
        <v>64</v>
      </c>
      <c r="G68">
        <v>56</v>
      </c>
      <c r="H68" s="14">
        <f t="shared" si="2"/>
        <v>245.7</v>
      </c>
      <c r="I68" s="14">
        <f t="shared" si="3"/>
        <v>332.64971127225357</v>
      </c>
      <c r="J68">
        <v>65</v>
      </c>
      <c r="K68">
        <v>67</v>
      </c>
    </row>
    <row r="69" spans="1:11">
      <c r="A69" t="s">
        <v>370</v>
      </c>
      <c r="B69">
        <v>59</v>
      </c>
      <c r="C69">
        <v>38</v>
      </c>
      <c r="D69">
        <v>33</v>
      </c>
      <c r="E69">
        <v>128</v>
      </c>
      <c r="F69">
        <v>183</v>
      </c>
      <c r="G69">
        <v>79</v>
      </c>
      <c r="H69" s="14">
        <f t="shared" si="2"/>
        <v>237.89999999999998</v>
      </c>
      <c r="I69" s="14">
        <f t="shared" si="3"/>
        <v>335.27223963956112</v>
      </c>
      <c r="J69">
        <v>48</v>
      </c>
      <c r="K69">
        <v>68</v>
      </c>
    </row>
    <row r="70" spans="1:11">
      <c r="A70" t="s">
        <v>46</v>
      </c>
      <c r="B70">
        <v>43</v>
      </c>
      <c r="C70">
        <v>128</v>
      </c>
      <c r="D70">
        <v>118</v>
      </c>
      <c r="E70">
        <v>78</v>
      </c>
      <c r="F70">
        <v>50</v>
      </c>
      <c r="G70">
        <v>75</v>
      </c>
      <c r="H70" s="14">
        <f t="shared" si="2"/>
        <v>241.5</v>
      </c>
      <c r="I70" s="14">
        <f t="shared" si="3"/>
        <v>338.33032324910135</v>
      </c>
      <c r="J70">
        <v>59</v>
      </c>
      <c r="K70">
        <v>69</v>
      </c>
    </row>
    <row r="71" spans="1:11">
      <c r="A71" t="s">
        <v>14</v>
      </c>
      <c r="B71">
        <v>14</v>
      </c>
      <c r="C71">
        <v>48</v>
      </c>
      <c r="D71">
        <v>160</v>
      </c>
      <c r="E71">
        <v>121</v>
      </c>
      <c r="F71">
        <v>85</v>
      </c>
      <c r="G71">
        <v>57</v>
      </c>
      <c r="H71" s="14">
        <f t="shared" si="2"/>
        <v>239.5</v>
      </c>
      <c r="I71" s="14">
        <f t="shared" si="3"/>
        <v>341.84300458008386</v>
      </c>
      <c r="J71">
        <v>75</v>
      </c>
      <c r="K71">
        <v>70</v>
      </c>
    </row>
    <row r="72" spans="1:11">
      <c r="A72" t="s">
        <v>145</v>
      </c>
      <c r="B72">
        <v>146</v>
      </c>
      <c r="C72">
        <v>5</v>
      </c>
      <c r="D72">
        <v>15</v>
      </c>
      <c r="E72">
        <v>133</v>
      </c>
      <c r="F72">
        <v>169</v>
      </c>
      <c r="G72">
        <v>64</v>
      </c>
      <c r="H72" s="14">
        <f t="shared" si="2"/>
        <v>282.10000000000002</v>
      </c>
      <c r="I72" s="14">
        <f t="shared" si="3"/>
        <v>338.7207163422537</v>
      </c>
      <c r="J72">
        <v>89</v>
      </c>
      <c r="K72">
        <v>71</v>
      </c>
    </row>
    <row r="73" spans="1:11">
      <c r="A73" t="s">
        <v>59</v>
      </c>
      <c r="B73">
        <v>57</v>
      </c>
      <c r="C73">
        <v>130</v>
      </c>
      <c r="D73">
        <v>158</v>
      </c>
      <c r="E73">
        <v>25</v>
      </c>
      <c r="F73">
        <v>56</v>
      </c>
      <c r="G73">
        <v>63</v>
      </c>
      <c r="H73" s="14">
        <f t="shared" si="2"/>
        <v>264.89999999999998</v>
      </c>
      <c r="I73" s="14">
        <f t="shared" si="3"/>
        <v>340.92706582889753</v>
      </c>
      <c r="J73">
        <v>88</v>
      </c>
      <c r="K73">
        <v>72</v>
      </c>
    </row>
    <row r="74" spans="1:11">
      <c r="A74" t="s">
        <v>17</v>
      </c>
      <c r="B74">
        <v>13</v>
      </c>
      <c r="C74">
        <v>121</v>
      </c>
      <c r="D74">
        <v>6</v>
      </c>
      <c r="E74">
        <v>178</v>
      </c>
      <c r="F74">
        <v>186</v>
      </c>
      <c r="G74">
        <v>69</v>
      </c>
      <c r="H74" s="14">
        <f t="shared" si="2"/>
        <v>240.60000000000002</v>
      </c>
      <c r="I74" s="14">
        <f t="shared" si="3"/>
        <v>346.9492005422606</v>
      </c>
      <c r="J74">
        <v>51</v>
      </c>
      <c r="K74">
        <v>73</v>
      </c>
    </row>
    <row r="75" spans="1:11">
      <c r="A75" t="s">
        <v>88</v>
      </c>
      <c r="B75">
        <v>88</v>
      </c>
      <c r="C75">
        <v>35</v>
      </c>
      <c r="D75">
        <v>102</v>
      </c>
      <c r="E75">
        <v>131</v>
      </c>
      <c r="F75">
        <v>76</v>
      </c>
      <c r="G75">
        <v>65</v>
      </c>
      <c r="H75" s="14">
        <f t="shared" si="2"/>
        <v>258.5</v>
      </c>
      <c r="I75" s="14">
        <f t="shared" si="3"/>
        <v>342.07318031518901</v>
      </c>
      <c r="J75">
        <v>82</v>
      </c>
      <c r="K75">
        <v>74</v>
      </c>
    </row>
    <row r="76" spans="1:11">
      <c r="A76" t="s">
        <v>121</v>
      </c>
      <c r="B76">
        <v>119</v>
      </c>
      <c r="C76">
        <v>10</v>
      </c>
      <c r="D76">
        <v>70</v>
      </c>
      <c r="E76">
        <v>79</v>
      </c>
      <c r="F76">
        <v>150</v>
      </c>
      <c r="G76">
        <v>77</v>
      </c>
      <c r="H76" s="14">
        <f t="shared" si="2"/>
        <v>267.70000000000005</v>
      </c>
      <c r="I76" s="14">
        <f t="shared" si="3"/>
        <v>341.19647743565525</v>
      </c>
      <c r="J76">
        <v>80</v>
      </c>
      <c r="K76">
        <v>75</v>
      </c>
    </row>
    <row r="77" spans="1:11">
      <c r="A77" t="s">
        <v>79</v>
      </c>
      <c r="B77">
        <v>78</v>
      </c>
      <c r="C77">
        <v>109</v>
      </c>
      <c r="D77">
        <v>32</v>
      </c>
      <c r="E77">
        <v>106</v>
      </c>
      <c r="F77">
        <v>161</v>
      </c>
      <c r="G77">
        <v>67</v>
      </c>
      <c r="H77" s="14">
        <f t="shared" si="2"/>
        <v>270</v>
      </c>
      <c r="I77" s="14">
        <f t="shared" si="3"/>
        <v>345.00957805274317</v>
      </c>
      <c r="J77">
        <v>79</v>
      </c>
      <c r="K77">
        <v>76</v>
      </c>
    </row>
    <row r="78" spans="1:11">
      <c r="A78" t="s">
        <v>49</v>
      </c>
      <c r="B78">
        <v>46</v>
      </c>
      <c r="C78">
        <v>145</v>
      </c>
      <c r="D78">
        <v>112</v>
      </c>
      <c r="E78">
        <v>110</v>
      </c>
      <c r="F78">
        <v>25</v>
      </c>
      <c r="G78">
        <v>72</v>
      </c>
      <c r="H78" s="14">
        <f t="shared" si="2"/>
        <v>248.8</v>
      </c>
      <c r="I78" s="14">
        <f t="shared" si="3"/>
        <v>346.91587042659859</v>
      </c>
      <c r="J78">
        <v>72</v>
      </c>
      <c r="K78">
        <v>77</v>
      </c>
    </row>
    <row r="79" spans="1:11">
      <c r="A79" t="s">
        <v>26</v>
      </c>
      <c r="B79">
        <v>23</v>
      </c>
      <c r="C79">
        <v>73</v>
      </c>
      <c r="D79">
        <v>66</v>
      </c>
      <c r="E79">
        <v>101</v>
      </c>
      <c r="F79">
        <v>191</v>
      </c>
      <c r="G79">
        <v>81</v>
      </c>
      <c r="H79" s="14">
        <f t="shared" si="2"/>
        <v>239.3</v>
      </c>
      <c r="I79" s="14">
        <f t="shared" si="3"/>
        <v>347.93069593427947</v>
      </c>
      <c r="J79">
        <v>53</v>
      </c>
      <c r="K79">
        <v>78</v>
      </c>
    </row>
    <row r="80" spans="1:11">
      <c r="A80" t="s">
        <v>134</v>
      </c>
      <c r="B80">
        <v>138</v>
      </c>
      <c r="C80">
        <v>77</v>
      </c>
      <c r="D80">
        <v>65</v>
      </c>
      <c r="E80">
        <v>77</v>
      </c>
      <c r="F80">
        <v>96</v>
      </c>
      <c r="G80">
        <v>67</v>
      </c>
      <c r="H80" s="14">
        <f t="shared" si="2"/>
        <v>287</v>
      </c>
      <c r="I80" s="14">
        <f t="shared" si="3"/>
        <v>342.95532788148938</v>
      </c>
      <c r="J80">
        <v>96</v>
      </c>
      <c r="K80">
        <v>79</v>
      </c>
    </row>
    <row r="81" spans="1:11">
      <c r="A81" t="s">
        <v>487</v>
      </c>
      <c r="B81">
        <v>29</v>
      </c>
      <c r="C81">
        <v>101</v>
      </c>
      <c r="D81">
        <v>132</v>
      </c>
      <c r="E81">
        <v>107</v>
      </c>
      <c r="F81">
        <v>33</v>
      </c>
      <c r="G81">
        <v>88</v>
      </c>
      <c r="H81" s="14">
        <f t="shared" si="2"/>
        <v>228.3</v>
      </c>
      <c r="I81" s="14">
        <f t="shared" si="3"/>
        <v>349.53474559499023</v>
      </c>
      <c r="J81">
        <v>55</v>
      </c>
      <c r="K81">
        <v>80</v>
      </c>
    </row>
    <row r="82" spans="1:11">
      <c r="A82" t="s">
        <v>39</v>
      </c>
      <c r="B82">
        <v>36</v>
      </c>
      <c r="C82">
        <v>140</v>
      </c>
      <c r="D82">
        <v>174</v>
      </c>
      <c r="E82">
        <v>38</v>
      </c>
      <c r="F82">
        <v>49</v>
      </c>
      <c r="G82">
        <v>61</v>
      </c>
      <c r="H82" s="14">
        <f t="shared" si="2"/>
        <v>263.89999999999998</v>
      </c>
      <c r="I82" s="14">
        <f t="shared" si="3"/>
        <v>348.47261287518182</v>
      </c>
      <c r="J82">
        <v>91</v>
      </c>
      <c r="K82">
        <v>81</v>
      </c>
    </row>
    <row r="83" spans="1:11">
      <c r="A83" t="s">
        <v>165</v>
      </c>
      <c r="B83">
        <v>167</v>
      </c>
      <c r="C83">
        <v>75</v>
      </c>
      <c r="D83">
        <v>77</v>
      </c>
      <c r="E83">
        <v>42</v>
      </c>
      <c r="F83">
        <v>53</v>
      </c>
      <c r="G83">
        <v>85</v>
      </c>
      <c r="H83" s="14">
        <f t="shared" si="2"/>
        <v>285</v>
      </c>
      <c r="I83" s="14">
        <f t="shared" si="3"/>
        <v>344.65847917031857</v>
      </c>
      <c r="J83">
        <v>92</v>
      </c>
      <c r="K83">
        <v>82</v>
      </c>
    </row>
    <row r="84" spans="1:11">
      <c r="A84" t="s">
        <v>63</v>
      </c>
      <c r="B84">
        <v>71</v>
      </c>
      <c r="C84">
        <v>161</v>
      </c>
      <c r="D84">
        <v>181</v>
      </c>
      <c r="E84">
        <v>18</v>
      </c>
      <c r="F84">
        <v>2</v>
      </c>
      <c r="G84">
        <v>59</v>
      </c>
      <c r="H84" s="14">
        <f t="shared" si="2"/>
        <v>279.3</v>
      </c>
      <c r="I84" s="14">
        <f t="shared" si="3"/>
        <v>348.16217388835423</v>
      </c>
      <c r="J84">
        <v>99</v>
      </c>
      <c r="K84">
        <v>83</v>
      </c>
    </row>
    <row r="85" spans="1:11">
      <c r="A85" t="s">
        <v>100</v>
      </c>
      <c r="B85">
        <v>102</v>
      </c>
      <c r="C85">
        <v>117</v>
      </c>
      <c r="D85">
        <v>99</v>
      </c>
      <c r="E85">
        <v>51</v>
      </c>
      <c r="F85">
        <v>72</v>
      </c>
      <c r="G85">
        <v>76</v>
      </c>
      <c r="H85" s="14">
        <f t="shared" si="2"/>
        <v>276</v>
      </c>
      <c r="I85" s="14">
        <f t="shared" si="3"/>
        <v>349.87662359217245</v>
      </c>
      <c r="J85">
        <v>90</v>
      </c>
      <c r="K85">
        <v>84</v>
      </c>
    </row>
    <row r="86" spans="1:11">
      <c r="A86" t="s">
        <v>101</v>
      </c>
      <c r="B86">
        <v>95</v>
      </c>
      <c r="C86">
        <v>94</v>
      </c>
      <c r="D86">
        <v>68</v>
      </c>
      <c r="E86">
        <v>155</v>
      </c>
      <c r="F86">
        <v>64</v>
      </c>
      <c r="G86">
        <v>66</v>
      </c>
      <c r="H86" s="14">
        <f t="shared" si="2"/>
        <v>274.10000000000002</v>
      </c>
      <c r="I86" s="14">
        <f t="shared" si="3"/>
        <v>356.48475902265193</v>
      </c>
      <c r="J86">
        <v>94</v>
      </c>
      <c r="K86">
        <v>85</v>
      </c>
    </row>
    <row r="87" spans="1:11">
      <c r="A87" t="s">
        <v>9</v>
      </c>
      <c r="B87">
        <v>7</v>
      </c>
      <c r="C87">
        <v>106</v>
      </c>
      <c r="D87">
        <v>92</v>
      </c>
      <c r="E87">
        <v>119</v>
      </c>
      <c r="F87">
        <v>158</v>
      </c>
      <c r="G87">
        <v>74</v>
      </c>
      <c r="H87" s="14">
        <f t="shared" si="2"/>
        <v>250.29999999999998</v>
      </c>
      <c r="I87" s="14">
        <f t="shared" si="3"/>
        <v>362.97485145260418</v>
      </c>
      <c r="J87">
        <v>71</v>
      </c>
      <c r="K87">
        <v>86</v>
      </c>
    </row>
    <row r="88" spans="1:11">
      <c r="A88" t="s">
        <v>90</v>
      </c>
      <c r="B88">
        <v>86</v>
      </c>
      <c r="C88">
        <v>79</v>
      </c>
      <c r="D88">
        <v>62</v>
      </c>
      <c r="E88">
        <v>158</v>
      </c>
      <c r="F88">
        <v>84</v>
      </c>
      <c r="G88">
        <v>78</v>
      </c>
      <c r="H88" s="14">
        <f t="shared" si="2"/>
        <v>265.5</v>
      </c>
      <c r="I88" s="14">
        <f t="shared" si="3"/>
        <v>362.55069671986053</v>
      </c>
      <c r="J88">
        <v>85</v>
      </c>
      <c r="K88">
        <v>87</v>
      </c>
    </row>
    <row r="89" spans="1:11">
      <c r="A89" t="s">
        <v>54</v>
      </c>
      <c r="B89">
        <v>49</v>
      </c>
      <c r="C89">
        <v>183</v>
      </c>
      <c r="D89">
        <v>49</v>
      </c>
      <c r="E89">
        <v>70</v>
      </c>
      <c r="F89">
        <v>133</v>
      </c>
      <c r="G89">
        <v>96</v>
      </c>
      <c r="H89" s="14">
        <f t="shared" si="2"/>
        <v>264.39999999999998</v>
      </c>
      <c r="I89" s="14">
        <f t="shared" si="3"/>
        <v>370.83799771351664</v>
      </c>
      <c r="J89">
        <v>73</v>
      </c>
      <c r="K89">
        <v>88</v>
      </c>
    </row>
    <row r="90" spans="1:11">
      <c r="A90" t="s">
        <v>799</v>
      </c>
      <c r="B90">
        <v>17</v>
      </c>
      <c r="C90">
        <v>187</v>
      </c>
      <c r="D90">
        <v>99</v>
      </c>
      <c r="E90">
        <v>132</v>
      </c>
      <c r="F90">
        <v>19</v>
      </c>
      <c r="G90">
        <v>99</v>
      </c>
      <c r="H90" s="14">
        <f t="shared" si="2"/>
        <v>240.4</v>
      </c>
      <c r="I90" s="14">
        <f t="shared" si="3"/>
        <v>375.95605469688064</v>
      </c>
      <c r="J90">
        <v>63</v>
      </c>
      <c r="K90">
        <v>89</v>
      </c>
    </row>
    <row r="91" spans="1:11">
      <c r="A91" t="s">
        <v>82</v>
      </c>
      <c r="B91">
        <v>79</v>
      </c>
      <c r="C91">
        <v>157</v>
      </c>
      <c r="D91">
        <v>72</v>
      </c>
      <c r="E91">
        <v>34</v>
      </c>
      <c r="F91">
        <v>104</v>
      </c>
      <c r="G91">
        <v>109</v>
      </c>
      <c r="H91" s="14">
        <f t="shared" si="2"/>
        <v>265.60000000000002</v>
      </c>
      <c r="I91" s="14">
        <f t="shared" si="3"/>
        <v>372.14569625943477</v>
      </c>
      <c r="J91">
        <v>76</v>
      </c>
      <c r="K91">
        <v>90</v>
      </c>
    </row>
    <row r="92" spans="1:11">
      <c r="A92" t="s">
        <v>36</v>
      </c>
      <c r="B92">
        <v>34</v>
      </c>
      <c r="C92">
        <v>132</v>
      </c>
      <c r="D92">
        <v>61</v>
      </c>
      <c r="E92">
        <v>164</v>
      </c>
      <c r="F92">
        <v>87</v>
      </c>
      <c r="G92">
        <v>95</v>
      </c>
      <c r="H92" s="14">
        <f t="shared" si="2"/>
        <v>248.39999999999998</v>
      </c>
      <c r="I92" s="14">
        <f t="shared" si="3"/>
        <v>377.85618608209649</v>
      </c>
      <c r="J92">
        <v>68</v>
      </c>
      <c r="K92">
        <v>91</v>
      </c>
    </row>
    <row r="93" spans="1:11">
      <c r="A93" t="s">
        <v>187</v>
      </c>
      <c r="B93">
        <v>190</v>
      </c>
      <c r="C93">
        <v>7</v>
      </c>
      <c r="D93">
        <v>88</v>
      </c>
      <c r="E93">
        <v>36</v>
      </c>
      <c r="F93">
        <v>97</v>
      </c>
      <c r="G93">
        <v>101</v>
      </c>
      <c r="H93" s="14">
        <f t="shared" si="2"/>
        <v>299</v>
      </c>
      <c r="I93" s="14">
        <f t="shared" si="3"/>
        <v>369.66401300273833</v>
      </c>
      <c r="J93">
        <v>101</v>
      </c>
      <c r="K93">
        <v>92</v>
      </c>
    </row>
    <row r="94" spans="1:11">
      <c r="A94" t="s">
        <v>106</v>
      </c>
      <c r="B94">
        <v>110</v>
      </c>
      <c r="C94">
        <v>120</v>
      </c>
      <c r="D94">
        <v>42</v>
      </c>
      <c r="E94">
        <v>181</v>
      </c>
      <c r="F94">
        <v>30</v>
      </c>
      <c r="G94">
        <v>88</v>
      </c>
      <c r="H94" s="14">
        <f t="shared" si="2"/>
        <v>275.8</v>
      </c>
      <c r="I94" s="14">
        <f t="shared" si="3"/>
        <v>376.90024216130274</v>
      </c>
      <c r="J94">
        <v>93</v>
      </c>
      <c r="K94">
        <v>93</v>
      </c>
    </row>
    <row r="95" spans="1:11">
      <c r="A95" t="s">
        <v>179</v>
      </c>
      <c r="B95">
        <v>182</v>
      </c>
      <c r="C95">
        <v>4</v>
      </c>
      <c r="D95">
        <v>22</v>
      </c>
      <c r="E95">
        <v>160</v>
      </c>
      <c r="F95">
        <v>103</v>
      </c>
      <c r="G95">
        <v>89</v>
      </c>
      <c r="H95" s="14">
        <f t="shared" si="2"/>
        <v>296.70000000000005</v>
      </c>
      <c r="I95" s="14">
        <f t="shared" si="3"/>
        <v>373.50844774176693</v>
      </c>
      <c r="J95">
        <v>100</v>
      </c>
      <c r="K95">
        <v>94</v>
      </c>
    </row>
    <row r="96" spans="1:11">
      <c r="A96" t="s">
        <v>13</v>
      </c>
      <c r="B96">
        <v>9</v>
      </c>
      <c r="C96">
        <v>127</v>
      </c>
      <c r="D96">
        <v>90</v>
      </c>
      <c r="E96">
        <v>124</v>
      </c>
      <c r="F96">
        <v>157</v>
      </c>
      <c r="G96">
        <v>80</v>
      </c>
      <c r="H96" s="14">
        <f t="shared" si="2"/>
        <v>262.7</v>
      </c>
      <c r="I96" s="14">
        <f t="shared" si="3"/>
        <v>381.52014274135422</v>
      </c>
      <c r="J96">
        <v>86</v>
      </c>
      <c r="K96">
        <v>95</v>
      </c>
    </row>
    <row r="97" spans="1:11">
      <c r="A97" t="s">
        <v>104</v>
      </c>
      <c r="B97">
        <v>105</v>
      </c>
      <c r="C97">
        <v>152</v>
      </c>
      <c r="D97">
        <v>154</v>
      </c>
      <c r="E97">
        <v>8</v>
      </c>
      <c r="F97">
        <v>34</v>
      </c>
      <c r="G97">
        <v>86</v>
      </c>
      <c r="H97" s="14">
        <f t="shared" si="2"/>
        <v>298.5</v>
      </c>
      <c r="I97" s="14">
        <f t="shared" si="3"/>
        <v>379.81315204820982</v>
      </c>
      <c r="J97">
        <v>112</v>
      </c>
      <c r="K97">
        <v>96</v>
      </c>
    </row>
    <row r="98" spans="1:11">
      <c r="A98" t="s">
        <v>123</v>
      </c>
      <c r="B98">
        <v>125</v>
      </c>
      <c r="C98">
        <v>97</v>
      </c>
      <c r="D98">
        <v>78</v>
      </c>
      <c r="E98">
        <v>61</v>
      </c>
      <c r="F98">
        <v>118</v>
      </c>
      <c r="G98">
        <v>90</v>
      </c>
      <c r="H98" s="14">
        <f t="shared" si="2"/>
        <v>299</v>
      </c>
      <c r="I98" s="14">
        <f t="shared" si="3"/>
        <v>380.58218053387753</v>
      </c>
      <c r="J98">
        <v>108</v>
      </c>
      <c r="K98">
        <v>97</v>
      </c>
    </row>
    <row r="99" spans="1:11">
      <c r="A99" t="s">
        <v>131</v>
      </c>
      <c r="B99">
        <v>132</v>
      </c>
      <c r="C99">
        <v>75</v>
      </c>
      <c r="D99">
        <v>55</v>
      </c>
      <c r="E99">
        <v>91</v>
      </c>
      <c r="F99">
        <v>110</v>
      </c>
      <c r="G99">
        <v>104</v>
      </c>
      <c r="H99" s="14">
        <f t="shared" si="2"/>
        <v>286.20000000000005</v>
      </c>
      <c r="I99" s="14">
        <f t="shared" si="3"/>
        <v>382.5265515309091</v>
      </c>
      <c r="J99">
        <v>95</v>
      </c>
      <c r="K99">
        <v>98</v>
      </c>
    </row>
    <row r="100" spans="1:11">
      <c r="A100" t="s">
        <v>182</v>
      </c>
      <c r="B100">
        <v>185</v>
      </c>
      <c r="C100">
        <v>134</v>
      </c>
      <c r="D100">
        <v>117</v>
      </c>
      <c r="E100">
        <v>2</v>
      </c>
      <c r="F100">
        <v>31</v>
      </c>
      <c r="G100">
        <v>83</v>
      </c>
      <c r="H100" s="14">
        <f t="shared" si="2"/>
        <v>331.7</v>
      </c>
      <c r="I100" s="14">
        <f t="shared" si="3"/>
        <v>381.46327573683169</v>
      </c>
      <c r="J100">
        <v>136</v>
      </c>
      <c r="K100">
        <v>99</v>
      </c>
    </row>
    <row r="101" spans="1:11">
      <c r="A101" t="s">
        <v>98</v>
      </c>
      <c r="B101">
        <v>99</v>
      </c>
      <c r="C101">
        <v>158</v>
      </c>
      <c r="D101">
        <v>159</v>
      </c>
      <c r="E101">
        <v>59</v>
      </c>
      <c r="F101">
        <v>1</v>
      </c>
      <c r="G101">
        <v>82</v>
      </c>
      <c r="H101" s="14">
        <f t="shared" si="2"/>
        <v>303.50000000000006</v>
      </c>
      <c r="I101" s="14">
        <f t="shared" si="3"/>
        <v>392.84543621199384</v>
      </c>
      <c r="J101">
        <v>121</v>
      </c>
      <c r="K101">
        <v>100</v>
      </c>
    </row>
    <row r="102" spans="1:11">
      <c r="A102" t="s">
        <v>115</v>
      </c>
      <c r="B102">
        <v>117</v>
      </c>
      <c r="C102">
        <v>55</v>
      </c>
      <c r="D102">
        <v>133</v>
      </c>
      <c r="E102">
        <v>95</v>
      </c>
      <c r="F102">
        <v>41</v>
      </c>
      <c r="G102">
        <v>102</v>
      </c>
      <c r="H102" s="14">
        <f t="shared" si="2"/>
        <v>284.39999999999998</v>
      </c>
      <c r="I102" s="14">
        <f t="shared" si="3"/>
        <v>393.3354553337536</v>
      </c>
      <c r="J102">
        <v>105</v>
      </c>
      <c r="K102">
        <v>101</v>
      </c>
    </row>
    <row r="103" spans="1:11">
      <c r="A103" t="s">
        <v>443</v>
      </c>
      <c r="B103">
        <v>128</v>
      </c>
      <c r="C103">
        <v>60</v>
      </c>
      <c r="D103">
        <v>56</v>
      </c>
      <c r="E103">
        <v>124</v>
      </c>
      <c r="F103">
        <v>124</v>
      </c>
      <c r="G103">
        <v>99</v>
      </c>
      <c r="H103" s="14">
        <f t="shared" si="2"/>
        <v>296</v>
      </c>
      <c r="I103" s="14">
        <f t="shared" si="3"/>
        <v>395.59030682162972</v>
      </c>
      <c r="J103">
        <v>107</v>
      </c>
      <c r="K103">
        <v>102</v>
      </c>
    </row>
    <row r="104" spans="1:11">
      <c r="A104" t="s">
        <v>28</v>
      </c>
      <c r="B104">
        <v>31</v>
      </c>
      <c r="C104">
        <v>90</v>
      </c>
      <c r="D104">
        <v>149</v>
      </c>
      <c r="E104">
        <v>88</v>
      </c>
      <c r="F104">
        <v>134</v>
      </c>
      <c r="G104">
        <v>92</v>
      </c>
      <c r="H104" s="14">
        <f t="shared" si="2"/>
        <v>279.39999999999998</v>
      </c>
      <c r="I104" s="14">
        <f t="shared" si="3"/>
        <v>404.79600107517189</v>
      </c>
      <c r="J104">
        <v>102</v>
      </c>
      <c r="K104">
        <v>103</v>
      </c>
    </row>
    <row r="105" spans="1:11">
      <c r="A105" t="s">
        <v>33</v>
      </c>
      <c r="B105">
        <v>30</v>
      </c>
      <c r="C105">
        <v>149</v>
      </c>
      <c r="D105">
        <v>103</v>
      </c>
      <c r="E105">
        <v>144</v>
      </c>
      <c r="F105">
        <v>102</v>
      </c>
      <c r="G105">
        <v>87</v>
      </c>
      <c r="H105" s="14">
        <f t="shared" si="2"/>
        <v>282.2</v>
      </c>
      <c r="I105" s="14">
        <f t="shared" si="3"/>
        <v>406.98185967350088</v>
      </c>
      <c r="J105">
        <v>104</v>
      </c>
      <c r="K105">
        <v>104</v>
      </c>
    </row>
    <row r="106" spans="1:11">
      <c r="A106" t="s">
        <v>22</v>
      </c>
      <c r="B106">
        <v>21</v>
      </c>
      <c r="C106">
        <v>70</v>
      </c>
      <c r="D106">
        <v>76</v>
      </c>
      <c r="E106">
        <v>184</v>
      </c>
      <c r="F106">
        <v>139</v>
      </c>
      <c r="G106">
        <v>113</v>
      </c>
      <c r="H106" s="14">
        <f t="shared" si="2"/>
        <v>250.2</v>
      </c>
      <c r="I106" s="14">
        <f t="shared" si="3"/>
        <v>408.58807895704842</v>
      </c>
      <c r="J106">
        <v>77</v>
      </c>
      <c r="K106">
        <v>105</v>
      </c>
    </row>
    <row r="107" spans="1:11">
      <c r="A107" t="s">
        <v>55</v>
      </c>
      <c r="B107">
        <v>52</v>
      </c>
      <c r="C107">
        <v>108</v>
      </c>
      <c r="D107">
        <v>40</v>
      </c>
      <c r="E107">
        <v>173</v>
      </c>
      <c r="F107">
        <v>125</v>
      </c>
      <c r="G107">
        <v>118</v>
      </c>
      <c r="H107" s="14">
        <f t="shared" si="2"/>
        <v>260.5</v>
      </c>
      <c r="I107" s="14">
        <f t="shared" si="3"/>
        <v>407.66661826458744</v>
      </c>
      <c r="J107">
        <v>78</v>
      </c>
      <c r="K107">
        <v>106</v>
      </c>
    </row>
    <row r="108" spans="1:11">
      <c r="A108" t="s">
        <v>30</v>
      </c>
      <c r="B108">
        <v>28</v>
      </c>
      <c r="C108">
        <v>147</v>
      </c>
      <c r="D108">
        <v>115</v>
      </c>
      <c r="E108">
        <v>66</v>
      </c>
      <c r="F108">
        <v>166</v>
      </c>
      <c r="G108">
        <v>93</v>
      </c>
      <c r="H108" s="14">
        <f t="shared" si="2"/>
        <v>288.60000000000002</v>
      </c>
      <c r="I108" s="14">
        <f t="shared" si="3"/>
        <v>407.13664327693215</v>
      </c>
      <c r="J108">
        <v>106</v>
      </c>
      <c r="K108">
        <v>107</v>
      </c>
    </row>
    <row r="109" spans="1:11">
      <c r="A109" t="s">
        <v>632</v>
      </c>
      <c r="B109">
        <v>85</v>
      </c>
      <c r="C109">
        <v>144</v>
      </c>
      <c r="D109">
        <v>95</v>
      </c>
      <c r="E109">
        <v>168</v>
      </c>
      <c r="F109">
        <v>20</v>
      </c>
      <c r="G109">
        <v>92</v>
      </c>
      <c r="H109" s="14">
        <f t="shared" si="2"/>
        <v>292.2</v>
      </c>
      <c r="I109" s="14">
        <f t="shared" si="3"/>
        <v>408.85811241462375</v>
      </c>
      <c r="J109">
        <v>110</v>
      </c>
      <c r="K109">
        <v>108</v>
      </c>
    </row>
    <row r="110" spans="1:11">
      <c r="A110" t="s">
        <v>109</v>
      </c>
      <c r="B110">
        <v>108</v>
      </c>
      <c r="C110">
        <v>47</v>
      </c>
      <c r="D110">
        <v>125</v>
      </c>
      <c r="E110">
        <v>183</v>
      </c>
      <c r="F110">
        <v>10</v>
      </c>
      <c r="G110">
        <v>97</v>
      </c>
      <c r="H110" s="14">
        <f t="shared" si="2"/>
        <v>286.39999999999998</v>
      </c>
      <c r="I110" s="14">
        <f t="shared" si="3"/>
        <v>408.91866787895395</v>
      </c>
      <c r="J110">
        <v>113</v>
      </c>
      <c r="K110">
        <v>109</v>
      </c>
    </row>
    <row r="111" spans="1:11">
      <c r="A111" t="s">
        <v>50</v>
      </c>
      <c r="B111">
        <v>50</v>
      </c>
      <c r="C111">
        <v>148</v>
      </c>
      <c r="D111">
        <v>31</v>
      </c>
      <c r="E111">
        <v>116</v>
      </c>
      <c r="F111">
        <v>181</v>
      </c>
      <c r="G111">
        <v>119</v>
      </c>
      <c r="H111" s="14">
        <f t="shared" si="2"/>
        <v>277.60000000000002</v>
      </c>
      <c r="I111" s="14">
        <f t="shared" si="3"/>
        <v>414.5987627148794</v>
      </c>
      <c r="J111">
        <v>87</v>
      </c>
      <c r="K111">
        <v>110</v>
      </c>
    </row>
    <row r="112" spans="1:11">
      <c r="A112" t="s">
        <v>23</v>
      </c>
      <c r="B112">
        <v>23</v>
      </c>
      <c r="C112">
        <v>160</v>
      </c>
      <c r="D112">
        <v>52</v>
      </c>
      <c r="E112">
        <v>147</v>
      </c>
      <c r="F112">
        <v>189</v>
      </c>
      <c r="G112">
        <v>91</v>
      </c>
      <c r="H112" s="14">
        <f t="shared" si="2"/>
        <v>290.39999999999998</v>
      </c>
      <c r="I112" s="14">
        <f t="shared" si="3"/>
        <v>416.28598714911635</v>
      </c>
      <c r="J112">
        <v>103</v>
      </c>
      <c r="K112">
        <v>111</v>
      </c>
    </row>
    <row r="113" spans="1:11">
      <c r="A113" t="s">
        <v>108</v>
      </c>
      <c r="B113">
        <v>101</v>
      </c>
      <c r="C113">
        <v>165</v>
      </c>
      <c r="D113">
        <v>163</v>
      </c>
      <c r="E113">
        <v>53</v>
      </c>
      <c r="F113">
        <v>4</v>
      </c>
      <c r="G113">
        <v>94</v>
      </c>
      <c r="H113" s="14">
        <f t="shared" si="2"/>
        <v>310.7</v>
      </c>
      <c r="I113" s="14">
        <f t="shared" si="3"/>
        <v>410.90368611123426</v>
      </c>
      <c r="J113">
        <v>129</v>
      </c>
      <c r="K113">
        <v>112</v>
      </c>
    </row>
    <row r="114" spans="1:11">
      <c r="A114" t="s">
        <v>189</v>
      </c>
      <c r="B114">
        <v>191</v>
      </c>
      <c r="C114">
        <v>24</v>
      </c>
      <c r="D114">
        <v>118</v>
      </c>
      <c r="E114">
        <v>73</v>
      </c>
      <c r="F114">
        <v>51</v>
      </c>
      <c r="G114">
        <v>109</v>
      </c>
      <c r="H114" s="14">
        <f t="shared" si="2"/>
        <v>321.2</v>
      </c>
      <c r="I114" s="14">
        <f t="shared" si="3"/>
        <v>410.40315915480653</v>
      </c>
      <c r="J114">
        <v>133</v>
      </c>
      <c r="K114">
        <v>113</v>
      </c>
    </row>
    <row r="115" spans="1:11">
      <c r="A115" t="s">
        <v>149</v>
      </c>
      <c r="B115">
        <v>151</v>
      </c>
      <c r="C115">
        <v>105</v>
      </c>
      <c r="D115">
        <v>80</v>
      </c>
      <c r="E115">
        <v>35</v>
      </c>
      <c r="F115">
        <v>121</v>
      </c>
      <c r="G115">
        <v>114</v>
      </c>
      <c r="H115" s="14">
        <f t="shared" si="2"/>
        <v>318.89999999999998</v>
      </c>
      <c r="I115" s="14">
        <f t="shared" si="3"/>
        <v>412.38505325090688</v>
      </c>
      <c r="J115">
        <v>119</v>
      </c>
      <c r="K115">
        <v>114</v>
      </c>
    </row>
    <row r="116" spans="1:11">
      <c r="A116" t="s">
        <v>427</v>
      </c>
      <c r="B116">
        <v>147</v>
      </c>
      <c r="C116">
        <v>33</v>
      </c>
      <c r="D116">
        <v>158</v>
      </c>
      <c r="E116">
        <v>60</v>
      </c>
      <c r="F116">
        <v>49</v>
      </c>
      <c r="G116">
        <v>109</v>
      </c>
      <c r="H116" s="14">
        <f t="shared" si="2"/>
        <v>307.89999999999998</v>
      </c>
      <c r="I116" s="14">
        <f t="shared" si="3"/>
        <v>412.21444246720978</v>
      </c>
      <c r="J116">
        <v>125</v>
      </c>
      <c r="K116">
        <v>115</v>
      </c>
    </row>
    <row r="117" spans="1:11">
      <c r="A117" t="s">
        <v>151</v>
      </c>
      <c r="B117">
        <v>154</v>
      </c>
      <c r="C117">
        <v>57</v>
      </c>
      <c r="D117">
        <v>45</v>
      </c>
      <c r="E117">
        <v>174</v>
      </c>
      <c r="F117">
        <v>91</v>
      </c>
      <c r="G117">
        <v>100</v>
      </c>
      <c r="H117" s="14">
        <f t="shared" si="2"/>
        <v>313.7</v>
      </c>
      <c r="I117" s="14">
        <f t="shared" si="3"/>
        <v>415.04314187840617</v>
      </c>
      <c r="J117">
        <v>122</v>
      </c>
      <c r="K117">
        <v>116</v>
      </c>
    </row>
    <row r="118" spans="1:11">
      <c r="A118" t="s">
        <v>11</v>
      </c>
      <c r="B118">
        <v>10</v>
      </c>
      <c r="C118">
        <v>95</v>
      </c>
      <c r="D118">
        <v>108</v>
      </c>
      <c r="E118">
        <v>187</v>
      </c>
      <c r="F118">
        <v>82</v>
      </c>
      <c r="G118">
        <v>125</v>
      </c>
      <c r="H118" s="14">
        <f t="shared" si="2"/>
        <v>247.89999999999998</v>
      </c>
      <c r="I118" s="14">
        <f t="shared" si="3"/>
        <v>425.25734365989655</v>
      </c>
      <c r="J118">
        <v>81</v>
      </c>
      <c r="K118">
        <v>117</v>
      </c>
    </row>
    <row r="119" spans="1:11">
      <c r="A119" t="s">
        <v>233</v>
      </c>
      <c r="B119">
        <v>17</v>
      </c>
      <c r="C119">
        <v>132</v>
      </c>
      <c r="D119">
        <v>75</v>
      </c>
      <c r="E119">
        <v>168</v>
      </c>
      <c r="F119">
        <v>173</v>
      </c>
      <c r="G119">
        <v>96</v>
      </c>
      <c r="H119" s="14">
        <f t="shared" si="2"/>
        <v>287.5</v>
      </c>
      <c r="I119" s="14">
        <f t="shared" si="3"/>
        <v>427.26772807079431</v>
      </c>
      <c r="J119">
        <v>207</v>
      </c>
      <c r="K119">
        <v>118</v>
      </c>
    </row>
    <row r="120" spans="1:11">
      <c r="A120" t="s">
        <v>32</v>
      </c>
      <c r="B120">
        <v>27</v>
      </c>
      <c r="C120">
        <v>133</v>
      </c>
      <c r="D120">
        <v>161</v>
      </c>
      <c r="E120">
        <v>143</v>
      </c>
      <c r="F120">
        <v>77</v>
      </c>
      <c r="G120">
        <v>83</v>
      </c>
      <c r="H120" s="14">
        <f t="shared" si="2"/>
        <v>299.2</v>
      </c>
      <c r="I120" s="14">
        <f t="shared" si="3"/>
        <v>428.35317555871097</v>
      </c>
      <c r="J120">
        <v>127</v>
      </c>
      <c r="K120">
        <v>119</v>
      </c>
    </row>
    <row r="121" spans="1:11">
      <c r="A121" t="s">
        <v>60</v>
      </c>
      <c r="B121">
        <v>65</v>
      </c>
      <c r="C121">
        <v>29</v>
      </c>
      <c r="D121">
        <v>130</v>
      </c>
      <c r="E121">
        <v>191</v>
      </c>
      <c r="F121">
        <v>86</v>
      </c>
      <c r="G121">
        <v>103</v>
      </c>
      <c r="H121" s="14">
        <f t="shared" si="2"/>
        <v>283.39999999999998</v>
      </c>
      <c r="I121" s="14">
        <f t="shared" si="3"/>
        <v>427.71286947949369</v>
      </c>
      <c r="J121">
        <v>111</v>
      </c>
      <c r="K121">
        <v>120</v>
      </c>
    </row>
    <row r="122" spans="1:11">
      <c r="A122" t="s">
        <v>87</v>
      </c>
      <c r="B122">
        <v>87</v>
      </c>
      <c r="C122">
        <v>66</v>
      </c>
      <c r="D122">
        <v>60</v>
      </c>
      <c r="E122">
        <v>154</v>
      </c>
      <c r="F122">
        <v>168</v>
      </c>
      <c r="G122">
        <v>112</v>
      </c>
      <c r="H122" s="14">
        <f t="shared" si="2"/>
        <v>298.89999999999998</v>
      </c>
      <c r="I122" s="14">
        <f t="shared" si="3"/>
        <v>430.37000746819035</v>
      </c>
      <c r="J122">
        <v>109</v>
      </c>
      <c r="K122">
        <v>121</v>
      </c>
    </row>
    <row r="123" spans="1:11">
      <c r="A123" t="s">
        <v>167</v>
      </c>
      <c r="B123">
        <v>168</v>
      </c>
      <c r="C123">
        <v>14</v>
      </c>
      <c r="D123">
        <v>178</v>
      </c>
      <c r="E123">
        <v>39</v>
      </c>
      <c r="F123">
        <v>43</v>
      </c>
      <c r="G123">
        <v>117</v>
      </c>
      <c r="H123" s="14">
        <f t="shared" si="2"/>
        <v>319.90000000000003</v>
      </c>
      <c r="I123" s="14">
        <f t="shared" si="3"/>
        <v>424.90441800976157</v>
      </c>
      <c r="J123">
        <v>140</v>
      </c>
      <c r="K123">
        <v>122</v>
      </c>
    </row>
    <row r="124" spans="1:11">
      <c r="A124" t="s">
        <v>175</v>
      </c>
      <c r="B124">
        <v>177</v>
      </c>
      <c r="C124">
        <v>32</v>
      </c>
      <c r="D124">
        <v>137</v>
      </c>
      <c r="E124">
        <v>71</v>
      </c>
      <c r="F124">
        <v>69</v>
      </c>
      <c r="G124">
        <v>105</v>
      </c>
      <c r="H124" s="14">
        <f t="shared" si="2"/>
        <v>334.09999999999997</v>
      </c>
      <c r="I124" s="14">
        <f t="shared" si="3"/>
        <v>425.83211422444185</v>
      </c>
      <c r="J124">
        <v>149</v>
      </c>
      <c r="K124">
        <v>123</v>
      </c>
    </row>
    <row r="125" spans="1:11">
      <c r="A125" t="s">
        <v>133</v>
      </c>
      <c r="B125">
        <v>140</v>
      </c>
      <c r="C125">
        <v>69</v>
      </c>
      <c r="D125">
        <v>84</v>
      </c>
      <c r="E125">
        <v>115</v>
      </c>
      <c r="F125">
        <v>135</v>
      </c>
      <c r="G125">
        <v>98</v>
      </c>
      <c r="H125" s="14">
        <f t="shared" si="2"/>
        <v>332.8</v>
      </c>
      <c r="I125" s="14">
        <f t="shared" si="3"/>
        <v>430.47778308590762</v>
      </c>
      <c r="J125">
        <v>145</v>
      </c>
      <c r="K125">
        <v>124</v>
      </c>
    </row>
    <row r="126" spans="1:11">
      <c r="A126" t="s">
        <v>442</v>
      </c>
      <c r="B126">
        <v>119</v>
      </c>
      <c r="C126">
        <v>107</v>
      </c>
      <c r="D126">
        <v>54</v>
      </c>
      <c r="E126">
        <v>62</v>
      </c>
      <c r="F126">
        <v>177</v>
      </c>
      <c r="G126">
        <v>129</v>
      </c>
      <c r="H126" s="14">
        <f t="shared" si="2"/>
        <v>311.70000000000005</v>
      </c>
      <c r="I126" s="14">
        <f t="shared" si="3"/>
        <v>431.95984854747059</v>
      </c>
      <c r="J126">
        <v>114</v>
      </c>
      <c r="K126">
        <v>125</v>
      </c>
    </row>
    <row r="127" spans="1:11">
      <c r="A127" t="s">
        <v>105</v>
      </c>
      <c r="B127">
        <v>98</v>
      </c>
      <c r="C127">
        <v>110</v>
      </c>
      <c r="D127">
        <v>169</v>
      </c>
      <c r="E127">
        <v>60</v>
      </c>
      <c r="F127">
        <v>63</v>
      </c>
      <c r="G127">
        <v>108</v>
      </c>
      <c r="H127" s="14">
        <f t="shared" si="2"/>
        <v>317</v>
      </c>
      <c r="I127" s="14">
        <f t="shared" si="3"/>
        <v>435.60111172862969</v>
      </c>
      <c r="J127">
        <v>139</v>
      </c>
      <c r="K127">
        <v>126</v>
      </c>
    </row>
    <row r="128" spans="1:11">
      <c r="A128" t="s">
        <v>71</v>
      </c>
      <c r="B128">
        <v>68</v>
      </c>
      <c r="C128">
        <v>186</v>
      </c>
      <c r="D128">
        <v>127</v>
      </c>
      <c r="E128">
        <v>101</v>
      </c>
      <c r="F128">
        <v>32</v>
      </c>
      <c r="G128">
        <v>120</v>
      </c>
      <c r="H128" s="14">
        <f t="shared" si="2"/>
        <v>299.5</v>
      </c>
      <c r="I128" s="14">
        <f t="shared" si="3"/>
        <v>439.99121435231245</v>
      </c>
      <c r="J128">
        <v>118</v>
      </c>
      <c r="K128">
        <v>127</v>
      </c>
    </row>
    <row r="129" spans="1:11">
      <c r="A129" t="s">
        <v>163</v>
      </c>
      <c r="B129">
        <v>162</v>
      </c>
      <c r="C129">
        <v>50</v>
      </c>
      <c r="D129">
        <v>43</v>
      </c>
      <c r="E129">
        <v>87</v>
      </c>
      <c r="F129">
        <v>179</v>
      </c>
      <c r="G129">
        <v>129</v>
      </c>
      <c r="H129" s="14">
        <f t="shared" si="2"/>
        <v>325.20000000000005</v>
      </c>
      <c r="I129" s="14">
        <f t="shared" si="3"/>
        <v>437.23404442849653</v>
      </c>
      <c r="J129">
        <v>124</v>
      </c>
      <c r="K129">
        <v>128</v>
      </c>
    </row>
    <row r="130" spans="1:11">
      <c r="A130" t="s">
        <v>75</v>
      </c>
      <c r="B130">
        <v>75</v>
      </c>
      <c r="C130">
        <v>119</v>
      </c>
      <c r="D130">
        <v>13</v>
      </c>
      <c r="E130">
        <v>149</v>
      </c>
      <c r="F130">
        <v>187</v>
      </c>
      <c r="G130">
        <v>139</v>
      </c>
      <c r="H130" s="14">
        <f t="shared" ref="H130:H193" si="4">$M$2*B130+$N$2*C130+$O$2*D130+$P$2*E130+$Q$2*F130</f>
        <v>289.2</v>
      </c>
      <c r="I130" s="14">
        <f t="shared" ref="I130:I193" si="5">$M$5*B130+$N$5*C130+$O$5*D130+$P$5*E130+$Q$5*F130+$R$5*G130</f>
        <v>443.61771626428856</v>
      </c>
      <c r="J130">
        <v>98</v>
      </c>
      <c r="K130">
        <v>129</v>
      </c>
    </row>
    <row r="131" spans="1:11">
      <c r="A131" t="s">
        <v>238</v>
      </c>
      <c r="B131">
        <v>193</v>
      </c>
      <c r="C131">
        <v>105</v>
      </c>
      <c r="D131">
        <v>78</v>
      </c>
      <c r="E131">
        <v>53</v>
      </c>
      <c r="F131">
        <v>37</v>
      </c>
      <c r="G131">
        <v>149</v>
      </c>
      <c r="H131" s="14">
        <f t="shared" si="4"/>
        <v>320.5</v>
      </c>
      <c r="I131" s="14">
        <f t="shared" si="5"/>
        <v>439.02570951007215</v>
      </c>
      <c r="J131">
        <v>120</v>
      </c>
      <c r="K131">
        <v>130</v>
      </c>
    </row>
    <row r="132" spans="1:11">
      <c r="A132" t="s">
        <v>21</v>
      </c>
      <c r="B132">
        <v>19</v>
      </c>
      <c r="C132">
        <v>185</v>
      </c>
      <c r="D132">
        <v>73</v>
      </c>
      <c r="E132">
        <v>165</v>
      </c>
      <c r="F132">
        <v>141</v>
      </c>
      <c r="G132">
        <v>111</v>
      </c>
      <c r="H132" s="14">
        <f t="shared" si="4"/>
        <v>297.2</v>
      </c>
      <c r="I132" s="14">
        <f t="shared" si="5"/>
        <v>449.80406050452063</v>
      </c>
      <c r="J132">
        <v>115</v>
      </c>
      <c r="K132">
        <v>131</v>
      </c>
    </row>
    <row r="133" spans="1:11">
      <c r="A133" t="s">
        <v>147</v>
      </c>
      <c r="B133">
        <v>150</v>
      </c>
      <c r="C133">
        <v>102</v>
      </c>
      <c r="D133">
        <v>91</v>
      </c>
      <c r="E133">
        <v>161</v>
      </c>
      <c r="F133">
        <v>35</v>
      </c>
      <c r="G133">
        <v>107</v>
      </c>
      <c r="H133" s="14">
        <f t="shared" si="4"/>
        <v>331.6</v>
      </c>
      <c r="I133" s="14">
        <f t="shared" si="5"/>
        <v>443.73492828876755</v>
      </c>
      <c r="J133">
        <v>148</v>
      </c>
      <c r="K133">
        <v>132</v>
      </c>
    </row>
    <row r="134" spans="1:11">
      <c r="A134" t="s">
        <v>178</v>
      </c>
      <c r="B134">
        <v>181</v>
      </c>
      <c r="C134">
        <v>3</v>
      </c>
      <c r="D134">
        <v>82</v>
      </c>
      <c r="E134">
        <v>51</v>
      </c>
      <c r="F134">
        <v>171</v>
      </c>
      <c r="G134">
        <v>137</v>
      </c>
      <c r="H134" s="14">
        <f t="shared" si="4"/>
        <v>327.70000000000005</v>
      </c>
      <c r="I134" s="14">
        <f t="shared" si="5"/>
        <v>440.60956720892096</v>
      </c>
      <c r="J134">
        <v>130</v>
      </c>
      <c r="K134">
        <v>133</v>
      </c>
    </row>
    <row r="135" spans="1:11">
      <c r="A135" t="s">
        <v>177</v>
      </c>
      <c r="B135">
        <v>178</v>
      </c>
      <c r="C135">
        <v>21</v>
      </c>
      <c r="D135">
        <v>38</v>
      </c>
      <c r="E135">
        <v>163</v>
      </c>
      <c r="F135">
        <v>122</v>
      </c>
      <c r="G135">
        <v>128</v>
      </c>
      <c r="H135" s="14">
        <f t="shared" si="4"/>
        <v>323.5</v>
      </c>
      <c r="I135" s="14">
        <f t="shared" si="5"/>
        <v>443.6909674411346</v>
      </c>
      <c r="J135">
        <v>128</v>
      </c>
      <c r="K135">
        <v>134</v>
      </c>
    </row>
    <row r="136" spans="1:11">
      <c r="A136" t="s">
        <v>137</v>
      </c>
      <c r="B136">
        <v>136</v>
      </c>
      <c r="C136">
        <v>51</v>
      </c>
      <c r="D136">
        <v>83</v>
      </c>
      <c r="E136">
        <v>65</v>
      </c>
      <c r="F136">
        <v>188</v>
      </c>
      <c r="G136">
        <v>127</v>
      </c>
      <c r="H136" s="14">
        <f t="shared" si="4"/>
        <v>326</v>
      </c>
      <c r="I136" s="14">
        <f t="shared" si="5"/>
        <v>444.60310871003048</v>
      </c>
      <c r="J136">
        <v>132</v>
      </c>
      <c r="K136">
        <v>135</v>
      </c>
    </row>
    <row r="137" spans="1:11">
      <c r="A137" t="s">
        <v>136</v>
      </c>
      <c r="B137">
        <v>142</v>
      </c>
      <c r="C137">
        <v>25</v>
      </c>
      <c r="D137">
        <v>93</v>
      </c>
      <c r="E137">
        <v>185</v>
      </c>
      <c r="F137">
        <v>71</v>
      </c>
      <c r="G137">
        <v>123</v>
      </c>
      <c r="H137" s="14">
        <f t="shared" si="4"/>
        <v>314.89999999999998</v>
      </c>
      <c r="I137" s="14">
        <f t="shared" si="5"/>
        <v>451.22310879117373</v>
      </c>
      <c r="J137">
        <v>134</v>
      </c>
      <c r="K137">
        <v>136</v>
      </c>
    </row>
    <row r="138" spans="1:11">
      <c r="A138" t="s">
        <v>45</v>
      </c>
      <c r="B138">
        <v>45</v>
      </c>
      <c r="C138">
        <v>178</v>
      </c>
      <c r="D138">
        <v>132</v>
      </c>
      <c r="E138">
        <v>75</v>
      </c>
      <c r="F138">
        <v>92</v>
      </c>
      <c r="G138">
        <v>134</v>
      </c>
      <c r="H138" s="14">
        <f t="shared" si="4"/>
        <v>297.89999999999998</v>
      </c>
      <c r="I138" s="14">
        <f t="shared" si="5"/>
        <v>455.42120736189406</v>
      </c>
      <c r="J138">
        <v>116</v>
      </c>
      <c r="K138">
        <v>137</v>
      </c>
    </row>
    <row r="139" spans="1:11">
      <c r="A139" t="s">
        <v>84</v>
      </c>
      <c r="B139">
        <v>84</v>
      </c>
      <c r="C139">
        <v>150</v>
      </c>
      <c r="D139">
        <v>81</v>
      </c>
      <c r="E139">
        <v>137</v>
      </c>
      <c r="F139">
        <v>106</v>
      </c>
      <c r="G139">
        <v>124</v>
      </c>
      <c r="H139" s="14">
        <f t="shared" si="4"/>
        <v>315.10000000000002</v>
      </c>
      <c r="I139" s="14">
        <f t="shared" si="5"/>
        <v>457.55307722372385</v>
      </c>
      <c r="J139">
        <v>126</v>
      </c>
      <c r="K139">
        <v>138</v>
      </c>
    </row>
    <row r="140" spans="1:11">
      <c r="A140" t="s">
        <v>161</v>
      </c>
      <c r="B140">
        <v>164</v>
      </c>
      <c r="C140">
        <v>22</v>
      </c>
      <c r="D140">
        <v>113</v>
      </c>
      <c r="E140">
        <v>92</v>
      </c>
      <c r="F140">
        <v>107</v>
      </c>
      <c r="G140">
        <v>136</v>
      </c>
      <c r="H140" s="14">
        <f t="shared" si="4"/>
        <v>328</v>
      </c>
      <c r="I140" s="14">
        <f t="shared" si="5"/>
        <v>455.97215349719102</v>
      </c>
      <c r="J140">
        <v>142</v>
      </c>
      <c r="K140">
        <v>139</v>
      </c>
    </row>
    <row r="141" spans="1:11">
      <c r="A141" t="s">
        <v>102</v>
      </c>
      <c r="B141">
        <v>103</v>
      </c>
      <c r="C141">
        <v>62</v>
      </c>
      <c r="D141">
        <v>97</v>
      </c>
      <c r="E141">
        <v>142</v>
      </c>
      <c r="F141">
        <v>105</v>
      </c>
      <c r="G141">
        <v>144</v>
      </c>
      <c r="H141" s="14">
        <f t="shared" si="4"/>
        <v>300.89999999999998</v>
      </c>
      <c r="I141" s="14">
        <f t="shared" si="5"/>
        <v>461.46828633914254</v>
      </c>
      <c r="J141">
        <v>117</v>
      </c>
      <c r="K141">
        <v>140</v>
      </c>
    </row>
    <row r="142" spans="1:11">
      <c r="A142" t="s">
        <v>181</v>
      </c>
      <c r="B142">
        <v>183</v>
      </c>
      <c r="C142">
        <v>53</v>
      </c>
      <c r="D142">
        <v>20</v>
      </c>
      <c r="E142">
        <v>130</v>
      </c>
      <c r="F142">
        <v>154</v>
      </c>
      <c r="G142">
        <v>142</v>
      </c>
      <c r="H142" s="14">
        <f t="shared" si="4"/>
        <v>334.20000000000005</v>
      </c>
      <c r="I142" s="14">
        <f t="shared" si="5"/>
        <v>458.39291928788714</v>
      </c>
      <c r="J142">
        <v>135</v>
      </c>
      <c r="K142">
        <v>141</v>
      </c>
    </row>
    <row r="143" spans="1:11">
      <c r="A143" t="s">
        <v>172</v>
      </c>
      <c r="B143">
        <v>175</v>
      </c>
      <c r="C143">
        <v>92</v>
      </c>
      <c r="D143">
        <v>58</v>
      </c>
      <c r="E143">
        <v>139</v>
      </c>
      <c r="F143">
        <v>87</v>
      </c>
      <c r="G143">
        <v>133</v>
      </c>
      <c r="H143" s="14">
        <f t="shared" si="4"/>
        <v>343.2</v>
      </c>
      <c r="I143" s="14">
        <f t="shared" si="5"/>
        <v>466.39036548650682</v>
      </c>
      <c r="J143">
        <v>151</v>
      </c>
      <c r="K143">
        <v>142</v>
      </c>
    </row>
    <row r="144" spans="1:11">
      <c r="A144" t="s">
        <v>116</v>
      </c>
      <c r="B144">
        <v>115</v>
      </c>
      <c r="C144">
        <v>13</v>
      </c>
      <c r="D144">
        <v>134</v>
      </c>
      <c r="E144">
        <v>177</v>
      </c>
      <c r="F144">
        <v>113</v>
      </c>
      <c r="G144">
        <v>115</v>
      </c>
      <c r="H144" s="14">
        <f t="shared" si="4"/>
        <v>331.1</v>
      </c>
      <c r="I144" s="14">
        <f t="shared" si="5"/>
        <v>471.96784416909054</v>
      </c>
      <c r="J144">
        <v>154</v>
      </c>
      <c r="K144">
        <v>143</v>
      </c>
    </row>
    <row r="145" spans="1:11">
      <c r="A145" t="s">
        <v>78</v>
      </c>
      <c r="B145">
        <v>77</v>
      </c>
      <c r="C145">
        <v>71</v>
      </c>
      <c r="D145">
        <v>176</v>
      </c>
      <c r="E145">
        <v>55</v>
      </c>
      <c r="F145">
        <v>128</v>
      </c>
      <c r="G145">
        <v>140</v>
      </c>
      <c r="H145" s="14">
        <f t="shared" si="4"/>
        <v>314</v>
      </c>
      <c r="I145" s="14">
        <f t="shared" si="5"/>
        <v>471.76670057508386</v>
      </c>
      <c r="J145">
        <v>137</v>
      </c>
      <c r="K145">
        <v>144</v>
      </c>
    </row>
    <row r="146" spans="1:11">
      <c r="A146" t="s">
        <v>142</v>
      </c>
      <c r="B146">
        <v>144</v>
      </c>
      <c r="C146">
        <v>182</v>
      </c>
      <c r="D146">
        <v>165</v>
      </c>
      <c r="E146">
        <v>23</v>
      </c>
      <c r="F146">
        <v>23</v>
      </c>
      <c r="G146">
        <v>126</v>
      </c>
      <c r="H146" s="14">
        <f t="shared" si="4"/>
        <v>356.79999999999995</v>
      </c>
      <c r="I146" s="14">
        <f t="shared" si="5"/>
        <v>471.75023275900639</v>
      </c>
      <c r="J146">
        <v>156</v>
      </c>
      <c r="K146">
        <v>145</v>
      </c>
    </row>
    <row r="147" spans="1:11">
      <c r="A147" t="s">
        <v>156</v>
      </c>
      <c r="B147">
        <v>158</v>
      </c>
      <c r="C147">
        <v>20</v>
      </c>
      <c r="D147">
        <v>126</v>
      </c>
      <c r="E147">
        <v>41</v>
      </c>
      <c r="F147">
        <v>172</v>
      </c>
      <c r="G147">
        <v>145</v>
      </c>
      <c r="H147" s="14">
        <f t="shared" si="4"/>
        <v>342.8</v>
      </c>
      <c r="I147" s="14">
        <f t="shared" si="5"/>
        <v>474.28319414813694</v>
      </c>
      <c r="J147">
        <v>152</v>
      </c>
      <c r="K147">
        <v>146</v>
      </c>
    </row>
    <row r="148" spans="1:11">
      <c r="A148" t="s">
        <v>148</v>
      </c>
      <c r="B148">
        <v>148</v>
      </c>
      <c r="C148">
        <v>84</v>
      </c>
      <c r="D148">
        <v>155</v>
      </c>
      <c r="E148">
        <v>140</v>
      </c>
      <c r="F148">
        <v>44</v>
      </c>
      <c r="G148">
        <v>106</v>
      </c>
      <c r="H148" s="14">
        <f t="shared" si="4"/>
        <v>361.70000000000005</v>
      </c>
      <c r="I148" s="14">
        <f t="shared" si="5"/>
        <v>478.44166175392093</v>
      </c>
      <c r="J148">
        <v>173</v>
      </c>
      <c r="K148">
        <v>147</v>
      </c>
    </row>
    <row r="149" spans="1:11">
      <c r="A149" t="s">
        <v>488</v>
      </c>
      <c r="B149">
        <v>85</v>
      </c>
      <c r="C149">
        <v>91</v>
      </c>
      <c r="D149">
        <v>110</v>
      </c>
      <c r="E149">
        <v>173</v>
      </c>
      <c r="F149">
        <v>102</v>
      </c>
      <c r="G149">
        <v>138</v>
      </c>
      <c r="H149" s="14">
        <f t="shared" si="4"/>
        <v>319.2</v>
      </c>
      <c r="I149" s="14">
        <f t="shared" si="5"/>
        <v>486.79356438996996</v>
      </c>
      <c r="J149">
        <v>143</v>
      </c>
      <c r="K149">
        <v>148</v>
      </c>
    </row>
    <row r="150" spans="1:11">
      <c r="A150" t="s">
        <v>155</v>
      </c>
      <c r="B150">
        <v>159</v>
      </c>
      <c r="C150">
        <v>91</v>
      </c>
      <c r="D150">
        <v>109</v>
      </c>
      <c r="E150">
        <v>120</v>
      </c>
      <c r="F150">
        <v>100</v>
      </c>
      <c r="G150">
        <v>122</v>
      </c>
      <c r="H150" s="14">
        <f t="shared" si="4"/>
        <v>362.9</v>
      </c>
      <c r="I150" s="14">
        <f t="shared" si="5"/>
        <v>483.17380081424596</v>
      </c>
      <c r="J150">
        <v>164</v>
      </c>
      <c r="K150">
        <v>149</v>
      </c>
    </row>
    <row r="151" spans="1:11">
      <c r="A151" t="s">
        <v>91</v>
      </c>
      <c r="B151">
        <v>90</v>
      </c>
      <c r="C151">
        <v>125</v>
      </c>
      <c r="D151">
        <v>111</v>
      </c>
      <c r="E151">
        <v>103</v>
      </c>
      <c r="F151">
        <v>117</v>
      </c>
      <c r="G151">
        <v>153</v>
      </c>
      <c r="H151" s="14">
        <f t="shared" si="4"/>
        <v>320.89999999999998</v>
      </c>
      <c r="I151" s="14">
        <f t="shared" si="5"/>
        <v>488.31537315927426</v>
      </c>
      <c r="J151">
        <v>138</v>
      </c>
      <c r="K151">
        <v>150</v>
      </c>
    </row>
    <row r="152" spans="1:11">
      <c r="A152" t="s">
        <v>53</v>
      </c>
      <c r="B152">
        <v>56</v>
      </c>
      <c r="C152">
        <v>174</v>
      </c>
      <c r="D152">
        <v>131</v>
      </c>
      <c r="E152">
        <v>76</v>
      </c>
      <c r="F152">
        <v>109</v>
      </c>
      <c r="G152">
        <v>155</v>
      </c>
      <c r="H152" s="14">
        <f t="shared" si="4"/>
        <v>314</v>
      </c>
      <c r="I152" s="14">
        <f t="shared" si="5"/>
        <v>489.9204217010369</v>
      </c>
      <c r="J152">
        <v>131</v>
      </c>
      <c r="K152">
        <v>151</v>
      </c>
    </row>
    <row r="153" spans="1:11">
      <c r="A153" t="s">
        <v>80</v>
      </c>
      <c r="B153">
        <v>81</v>
      </c>
      <c r="C153">
        <v>42</v>
      </c>
      <c r="D153">
        <v>171</v>
      </c>
      <c r="E153">
        <v>141</v>
      </c>
      <c r="F153">
        <v>89</v>
      </c>
      <c r="G153">
        <v>143</v>
      </c>
      <c r="H153" s="14">
        <f t="shared" si="4"/>
        <v>314.5</v>
      </c>
      <c r="I153" s="14">
        <f t="shared" si="5"/>
        <v>490.14059649332319</v>
      </c>
      <c r="J153">
        <v>146</v>
      </c>
      <c r="K153">
        <v>152</v>
      </c>
    </row>
    <row r="154" spans="1:11">
      <c r="A154" t="s">
        <v>96</v>
      </c>
      <c r="B154">
        <v>99</v>
      </c>
      <c r="C154">
        <v>87</v>
      </c>
      <c r="D154">
        <v>120</v>
      </c>
      <c r="E154">
        <v>114</v>
      </c>
      <c r="F154">
        <v>164</v>
      </c>
      <c r="G154">
        <v>129</v>
      </c>
      <c r="H154" s="14">
        <f t="shared" si="4"/>
        <v>344.20000000000005</v>
      </c>
      <c r="I154" s="14">
        <f t="shared" si="5"/>
        <v>489.68635242518576</v>
      </c>
      <c r="J154">
        <v>155</v>
      </c>
      <c r="K154">
        <v>153</v>
      </c>
    </row>
    <row r="155" spans="1:11">
      <c r="A155" t="s">
        <v>99</v>
      </c>
      <c r="B155">
        <v>94</v>
      </c>
      <c r="C155">
        <v>56</v>
      </c>
      <c r="D155">
        <v>124</v>
      </c>
      <c r="E155">
        <v>170</v>
      </c>
      <c r="F155">
        <v>98</v>
      </c>
      <c r="G155">
        <v>147</v>
      </c>
      <c r="H155" s="14">
        <f t="shared" si="4"/>
        <v>316.39999999999998</v>
      </c>
      <c r="I155" s="14">
        <f t="shared" si="5"/>
        <v>491.84439732345311</v>
      </c>
      <c r="J155">
        <v>141</v>
      </c>
      <c r="K155">
        <v>154</v>
      </c>
    </row>
    <row r="156" spans="1:11">
      <c r="A156" t="s">
        <v>164</v>
      </c>
      <c r="B156">
        <v>166</v>
      </c>
      <c r="C156">
        <v>123</v>
      </c>
      <c r="D156">
        <v>151</v>
      </c>
      <c r="E156">
        <v>67</v>
      </c>
      <c r="F156">
        <v>73</v>
      </c>
      <c r="G156">
        <v>121</v>
      </c>
      <c r="H156" s="14">
        <f t="shared" si="4"/>
        <v>379.90000000000003</v>
      </c>
      <c r="I156" s="14">
        <f t="shared" si="5"/>
        <v>491.85838581548978</v>
      </c>
      <c r="J156">
        <v>177</v>
      </c>
      <c r="K156">
        <v>155</v>
      </c>
    </row>
    <row r="157" spans="1:11">
      <c r="A157" t="s">
        <v>171</v>
      </c>
      <c r="B157">
        <v>173</v>
      </c>
      <c r="C157">
        <v>44</v>
      </c>
      <c r="D157">
        <v>128</v>
      </c>
      <c r="E157">
        <v>121</v>
      </c>
      <c r="F157">
        <v>131</v>
      </c>
      <c r="G157">
        <v>116</v>
      </c>
      <c r="H157" s="14">
        <f t="shared" si="4"/>
        <v>381.20000000000005</v>
      </c>
      <c r="I157" s="14">
        <f t="shared" si="5"/>
        <v>495.22783707219833</v>
      </c>
      <c r="J157">
        <v>179</v>
      </c>
      <c r="K157">
        <v>156</v>
      </c>
    </row>
    <row r="158" spans="1:11">
      <c r="A158" t="s">
        <v>41</v>
      </c>
      <c r="B158">
        <v>39</v>
      </c>
      <c r="C158">
        <v>176</v>
      </c>
      <c r="D158">
        <v>140</v>
      </c>
      <c r="E158">
        <v>151</v>
      </c>
      <c r="F158">
        <v>95</v>
      </c>
      <c r="G158">
        <v>135</v>
      </c>
      <c r="H158" s="14">
        <f t="shared" si="4"/>
        <v>329</v>
      </c>
      <c r="I158" s="14">
        <f t="shared" si="5"/>
        <v>505.8368832725817</v>
      </c>
      <c r="J158">
        <v>153</v>
      </c>
      <c r="K158">
        <v>157</v>
      </c>
    </row>
    <row r="159" spans="1:11">
      <c r="A159" t="s">
        <v>160</v>
      </c>
      <c r="B159">
        <v>161</v>
      </c>
      <c r="C159">
        <v>59</v>
      </c>
      <c r="D159">
        <v>145</v>
      </c>
      <c r="E159">
        <v>68</v>
      </c>
      <c r="F159">
        <v>115</v>
      </c>
      <c r="G159">
        <v>150</v>
      </c>
      <c r="H159" s="14">
        <f t="shared" si="4"/>
        <v>360.59999999999997</v>
      </c>
      <c r="I159" s="14">
        <f t="shared" si="5"/>
        <v>503.22022043312296</v>
      </c>
      <c r="J159">
        <v>162</v>
      </c>
      <c r="K159">
        <v>158</v>
      </c>
    </row>
    <row r="160" spans="1:11">
      <c r="A160" t="s">
        <v>111</v>
      </c>
      <c r="B160">
        <v>112</v>
      </c>
      <c r="C160">
        <v>124</v>
      </c>
      <c r="D160">
        <v>86</v>
      </c>
      <c r="E160">
        <v>64</v>
      </c>
      <c r="F160">
        <v>190</v>
      </c>
      <c r="G160">
        <v>165</v>
      </c>
      <c r="H160" s="14">
        <f t="shared" si="4"/>
        <v>343.6</v>
      </c>
      <c r="I160" s="14">
        <f t="shared" si="5"/>
        <v>507.01772971154077</v>
      </c>
      <c r="J160">
        <v>150</v>
      </c>
      <c r="K160">
        <v>159</v>
      </c>
    </row>
    <row r="161" spans="1:11">
      <c r="A161" t="s">
        <v>8</v>
      </c>
      <c r="B161">
        <v>4</v>
      </c>
      <c r="C161">
        <v>95</v>
      </c>
      <c r="D161">
        <v>122</v>
      </c>
      <c r="E161">
        <v>192</v>
      </c>
      <c r="F161">
        <v>165</v>
      </c>
      <c r="G161">
        <v>161</v>
      </c>
      <c r="H161" s="14">
        <f t="shared" si="4"/>
        <v>295.8</v>
      </c>
      <c r="I161" s="14">
        <f t="shared" si="5"/>
        <v>515.58306184852995</v>
      </c>
      <c r="J161">
        <v>123</v>
      </c>
      <c r="K161">
        <v>160</v>
      </c>
    </row>
    <row r="162" spans="1:11">
      <c r="A162" t="s">
        <v>65</v>
      </c>
      <c r="B162">
        <v>59</v>
      </c>
      <c r="C162">
        <v>122</v>
      </c>
      <c r="D162">
        <v>95</v>
      </c>
      <c r="E162">
        <v>179</v>
      </c>
      <c r="F162">
        <v>138</v>
      </c>
      <c r="G162">
        <v>156</v>
      </c>
      <c r="H162" s="14">
        <f t="shared" si="4"/>
        <v>321.2</v>
      </c>
      <c r="I162" s="14">
        <f t="shared" si="5"/>
        <v>513.76866272596794</v>
      </c>
      <c r="J162">
        <v>144</v>
      </c>
      <c r="K162">
        <v>161</v>
      </c>
    </row>
    <row r="163" spans="1:11">
      <c r="A163" t="s">
        <v>89</v>
      </c>
      <c r="B163">
        <v>88</v>
      </c>
      <c r="C163">
        <v>143</v>
      </c>
      <c r="D163">
        <v>138</v>
      </c>
      <c r="E163">
        <v>80</v>
      </c>
      <c r="F163">
        <v>153</v>
      </c>
      <c r="G163">
        <v>141</v>
      </c>
      <c r="H163" s="14">
        <f t="shared" si="4"/>
        <v>355.79999999999995</v>
      </c>
      <c r="I163" s="14">
        <f t="shared" si="5"/>
        <v>511.68741219918064</v>
      </c>
      <c r="J163">
        <v>159</v>
      </c>
      <c r="K163">
        <v>162</v>
      </c>
    </row>
    <row r="164" spans="1:11">
      <c r="A164" t="s">
        <v>67</v>
      </c>
      <c r="B164">
        <v>64</v>
      </c>
      <c r="C164">
        <v>146</v>
      </c>
      <c r="D164">
        <v>179</v>
      </c>
      <c r="E164">
        <v>175</v>
      </c>
      <c r="F164">
        <v>28</v>
      </c>
      <c r="G164">
        <v>138</v>
      </c>
      <c r="H164" s="14">
        <f t="shared" si="4"/>
        <v>339.9</v>
      </c>
      <c r="I164" s="14">
        <f t="shared" si="5"/>
        <v>521.90191436896487</v>
      </c>
      <c r="J164">
        <v>161</v>
      </c>
      <c r="K164">
        <v>163</v>
      </c>
    </row>
    <row r="165" spans="1:11">
      <c r="A165" t="s">
        <v>31</v>
      </c>
      <c r="B165">
        <v>29</v>
      </c>
      <c r="C165">
        <v>116</v>
      </c>
      <c r="D165">
        <v>170</v>
      </c>
      <c r="E165">
        <v>159</v>
      </c>
      <c r="F165">
        <v>148</v>
      </c>
      <c r="G165">
        <v>132</v>
      </c>
      <c r="H165" s="14">
        <f t="shared" si="4"/>
        <v>340.7</v>
      </c>
      <c r="I165" s="14">
        <f t="shared" si="5"/>
        <v>524.36086930377076</v>
      </c>
      <c r="J165">
        <v>158</v>
      </c>
      <c r="K165">
        <v>164</v>
      </c>
    </row>
    <row r="166" spans="1:11">
      <c r="A166" t="s">
        <v>190</v>
      </c>
      <c r="B166">
        <v>192</v>
      </c>
      <c r="C166">
        <v>15</v>
      </c>
      <c r="D166">
        <v>122</v>
      </c>
      <c r="E166">
        <v>136</v>
      </c>
      <c r="F166">
        <v>83</v>
      </c>
      <c r="G166">
        <v>164</v>
      </c>
      <c r="H166" s="14">
        <f t="shared" si="4"/>
        <v>361.6</v>
      </c>
      <c r="I166" s="14">
        <f t="shared" si="5"/>
        <v>519.59971102734517</v>
      </c>
      <c r="J166">
        <v>165</v>
      </c>
      <c r="K166">
        <v>165</v>
      </c>
    </row>
    <row r="167" spans="1:11">
      <c r="A167" t="s">
        <v>157</v>
      </c>
      <c r="B167">
        <v>165</v>
      </c>
      <c r="C167">
        <v>63</v>
      </c>
      <c r="D167">
        <v>106</v>
      </c>
      <c r="E167">
        <v>98</v>
      </c>
      <c r="F167">
        <v>155</v>
      </c>
      <c r="G167">
        <v>157</v>
      </c>
      <c r="H167" s="14">
        <f t="shared" si="4"/>
        <v>370.9</v>
      </c>
      <c r="I167" s="14">
        <f t="shared" si="5"/>
        <v>520.80895625466906</v>
      </c>
      <c r="J167">
        <v>169</v>
      </c>
      <c r="K167">
        <v>166</v>
      </c>
    </row>
    <row r="168" spans="1:11">
      <c r="A168" t="s">
        <v>127</v>
      </c>
      <c r="B168">
        <v>131</v>
      </c>
      <c r="C168">
        <v>45</v>
      </c>
      <c r="D168">
        <v>135</v>
      </c>
      <c r="E168">
        <v>133</v>
      </c>
      <c r="F168">
        <v>142</v>
      </c>
      <c r="G168">
        <v>151</v>
      </c>
      <c r="H168" s="14">
        <f t="shared" si="4"/>
        <v>359.1</v>
      </c>
      <c r="I168" s="14">
        <f t="shared" si="5"/>
        <v>523.35169749947249</v>
      </c>
      <c r="J168">
        <v>167</v>
      </c>
      <c r="K168">
        <v>167</v>
      </c>
    </row>
    <row r="169" spans="1:11">
      <c r="A169" t="s">
        <v>24</v>
      </c>
      <c r="B169">
        <v>20</v>
      </c>
      <c r="C169">
        <v>189</v>
      </c>
      <c r="D169">
        <v>101</v>
      </c>
      <c r="E169">
        <v>150</v>
      </c>
      <c r="F169">
        <v>167</v>
      </c>
      <c r="G169">
        <v>163</v>
      </c>
      <c r="H169" s="14">
        <f t="shared" si="4"/>
        <v>326.7</v>
      </c>
      <c r="I169" s="14">
        <f t="shared" si="5"/>
        <v>532.51873504345713</v>
      </c>
      <c r="J169">
        <v>147</v>
      </c>
      <c r="K169">
        <v>168</v>
      </c>
    </row>
    <row r="170" spans="1:11">
      <c r="A170" t="s">
        <v>186</v>
      </c>
      <c r="B170">
        <v>188</v>
      </c>
      <c r="C170">
        <v>28</v>
      </c>
      <c r="D170">
        <v>166</v>
      </c>
      <c r="E170">
        <v>24</v>
      </c>
      <c r="F170">
        <v>127</v>
      </c>
      <c r="G170">
        <v>171</v>
      </c>
      <c r="H170" s="14">
        <f t="shared" si="4"/>
        <v>372.5</v>
      </c>
      <c r="I170" s="14">
        <f t="shared" si="5"/>
        <v>523.01484888731295</v>
      </c>
      <c r="J170">
        <v>174</v>
      </c>
      <c r="K170">
        <v>169</v>
      </c>
    </row>
    <row r="171" spans="1:11">
      <c r="A171" t="s">
        <v>117</v>
      </c>
      <c r="B171">
        <v>114</v>
      </c>
      <c r="C171">
        <v>31</v>
      </c>
      <c r="D171">
        <v>141</v>
      </c>
      <c r="E171">
        <v>169</v>
      </c>
      <c r="F171">
        <v>146</v>
      </c>
      <c r="G171">
        <v>146</v>
      </c>
      <c r="H171" s="14">
        <f t="shared" si="4"/>
        <v>357.40000000000003</v>
      </c>
      <c r="I171" s="14">
        <f t="shared" si="5"/>
        <v>529.60109319686126</v>
      </c>
      <c r="J171">
        <v>170</v>
      </c>
      <c r="K171">
        <v>170</v>
      </c>
    </row>
    <row r="172" spans="1:11">
      <c r="A172" t="s">
        <v>170</v>
      </c>
      <c r="B172">
        <v>171</v>
      </c>
      <c r="C172">
        <v>19</v>
      </c>
      <c r="D172">
        <v>164</v>
      </c>
      <c r="E172">
        <v>123</v>
      </c>
      <c r="F172">
        <v>75</v>
      </c>
      <c r="G172">
        <v>159</v>
      </c>
      <c r="H172" s="14">
        <f t="shared" si="4"/>
        <v>364.9</v>
      </c>
      <c r="I172" s="14">
        <f t="shared" si="5"/>
        <v>526.84624373743532</v>
      </c>
      <c r="J172">
        <v>175</v>
      </c>
      <c r="K172">
        <v>171</v>
      </c>
    </row>
    <row r="173" spans="1:11">
      <c r="A173" t="s">
        <v>191</v>
      </c>
      <c r="B173">
        <v>193</v>
      </c>
      <c r="C173">
        <v>30</v>
      </c>
      <c r="D173">
        <v>168</v>
      </c>
      <c r="E173">
        <v>69</v>
      </c>
      <c r="F173">
        <v>54</v>
      </c>
      <c r="G173">
        <v>182</v>
      </c>
      <c r="H173" s="14">
        <f t="shared" si="4"/>
        <v>360.90000000000003</v>
      </c>
      <c r="I173" s="14">
        <f t="shared" si="5"/>
        <v>528.92695315137985</v>
      </c>
      <c r="J173">
        <v>166</v>
      </c>
      <c r="K173">
        <v>172</v>
      </c>
    </row>
    <row r="174" spans="1:11">
      <c r="A174" t="s">
        <v>81</v>
      </c>
      <c r="B174">
        <v>80</v>
      </c>
      <c r="C174">
        <v>159</v>
      </c>
      <c r="D174">
        <v>139</v>
      </c>
      <c r="E174">
        <v>81</v>
      </c>
      <c r="F174">
        <v>174</v>
      </c>
      <c r="G174">
        <v>152</v>
      </c>
      <c r="H174" s="14">
        <f t="shared" si="4"/>
        <v>368.2</v>
      </c>
      <c r="I174" s="14">
        <f t="shared" si="5"/>
        <v>538.06802021564965</v>
      </c>
      <c r="J174">
        <v>172</v>
      </c>
      <c r="K174">
        <v>173</v>
      </c>
    </row>
    <row r="175" spans="1:11">
      <c r="A175" t="s">
        <v>180</v>
      </c>
      <c r="B175">
        <v>180</v>
      </c>
      <c r="C175">
        <v>17</v>
      </c>
      <c r="D175">
        <v>156</v>
      </c>
      <c r="E175">
        <v>171</v>
      </c>
      <c r="F175">
        <v>46</v>
      </c>
      <c r="G175">
        <v>158</v>
      </c>
      <c r="H175" s="14">
        <f t="shared" si="4"/>
        <v>371.1</v>
      </c>
      <c r="I175" s="14">
        <f t="shared" si="5"/>
        <v>537.57997755294286</v>
      </c>
      <c r="J175">
        <v>178</v>
      </c>
      <c r="K175">
        <v>174</v>
      </c>
    </row>
    <row r="176" spans="1:11">
      <c r="A176" t="s">
        <v>48</v>
      </c>
      <c r="B176">
        <v>47</v>
      </c>
      <c r="C176">
        <v>162</v>
      </c>
      <c r="D176">
        <v>142</v>
      </c>
      <c r="E176">
        <v>161</v>
      </c>
      <c r="F176">
        <v>132</v>
      </c>
      <c r="G176">
        <v>149</v>
      </c>
      <c r="H176" s="14">
        <f t="shared" si="4"/>
        <v>353.1</v>
      </c>
      <c r="I176" s="14">
        <f t="shared" si="5"/>
        <v>544.85167662162189</v>
      </c>
      <c r="J176">
        <v>168</v>
      </c>
      <c r="K176">
        <v>175</v>
      </c>
    </row>
    <row r="177" spans="1:11">
      <c r="A177" t="s">
        <v>70</v>
      </c>
      <c r="B177">
        <v>73</v>
      </c>
      <c r="C177">
        <v>176</v>
      </c>
      <c r="D177">
        <v>167</v>
      </c>
      <c r="E177">
        <v>117</v>
      </c>
      <c r="F177">
        <v>56</v>
      </c>
      <c r="G177">
        <v>170</v>
      </c>
      <c r="H177" s="14">
        <f t="shared" si="4"/>
        <v>345.4</v>
      </c>
      <c r="I177" s="14">
        <f t="shared" si="5"/>
        <v>543.9901547500782</v>
      </c>
      <c r="J177">
        <v>157</v>
      </c>
      <c r="K177">
        <v>176</v>
      </c>
    </row>
    <row r="178" spans="1:11">
      <c r="A178" t="s">
        <v>12</v>
      </c>
      <c r="B178">
        <v>11</v>
      </c>
      <c r="C178">
        <v>168</v>
      </c>
      <c r="D178">
        <v>144</v>
      </c>
      <c r="E178">
        <v>189</v>
      </c>
      <c r="F178">
        <v>145</v>
      </c>
      <c r="G178">
        <v>148</v>
      </c>
      <c r="H178" s="14">
        <f t="shared" si="4"/>
        <v>342.8</v>
      </c>
      <c r="I178" s="14">
        <f t="shared" si="5"/>
        <v>549.7059109551119</v>
      </c>
      <c r="J178">
        <v>160</v>
      </c>
      <c r="K178">
        <v>177</v>
      </c>
    </row>
    <row r="179" spans="1:11">
      <c r="A179" t="s">
        <v>185</v>
      </c>
      <c r="B179">
        <v>187</v>
      </c>
      <c r="C179">
        <v>2</v>
      </c>
      <c r="D179">
        <v>114</v>
      </c>
      <c r="E179">
        <v>148</v>
      </c>
      <c r="F179">
        <v>147</v>
      </c>
      <c r="G179">
        <v>162</v>
      </c>
      <c r="H179" s="14">
        <f t="shared" si="4"/>
        <v>381.8</v>
      </c>
      <c r="I179" s="14">
        <f t="shared" si="5"/>
        <v>541.84391844388756</v>
      </c>
      <c r="J179">
        <v>180</v>
      </c>
      <c r="K179">
        <v>178</v>
      </c>
    </row>
    <row r="180" spans="1:11">
      <c r="A180" s="159" t="s">
        <v>223</v>
      </c>
      <c r="B180">
        <v>47</v>
      </c>
      <c r="C180">
        <v>181</v>
      </c>
      <c r="D180">
        <v>162</v>
      </c>
      <c r="E180">
        <v>160</v>
      </c>
      <c r="F180">
        <v>110</v>
      </c>
      <c r="G180">
        <v>140</v>
      </c>
      <c r="H180" s="14">
        <f t="shared" si="4"/>
        <v>365.2</v>
      </c>
      <c r="I180" s="14">
        <f t="shared" si="5"/>
        <v>550.11853192455669</v>
      </c>
      <c r="J180">
        <v>206</v>
      </c>
      <c r="K180">
        <v>179</v>
      </c>
    </row>
    <row r="181" spans="1:11">
      <c r="A181" t="s">
        <v>159</v>
      </c>
      <c r="B181">
        <v>159</v>
      </c>
      <c r="C181">
        <v>58</v>
      </c>
      <c r="D181">
        <v>147</v>
      </c>
      <c r="E181">
        <v>129</v>
      </c>
      <c r="F181">
        <v>130</v>
      </c>
      <c r="G181">
        <v>154</v>
      </c>
      <c r="H181" s="14">
        <f t="shared" si="4"/>
        <v>391.6</v>
      </c>
      <c r="I181" s="14">
        <f t="shared" si="5"/>
        <v>551.78313431168704</v>
      </c>
      <c r="J181">
        <v>191</v>
      </c>
      <c r="K181">
        <v>180</v>
      </c>
    </row>
    <row r="182" spans="1:11">
      <c r="A182" t="s">
        <v>34</v>
      </c>
      <c r="B182">
        <v>33</v>
      </c>
      <c r="C182">
        <v>142</v>
      </c>
      <c r="D182">
        <v>148</v>
      </c>
      <c r="E182">
        <v>137</v>
      </c>
      <c r="F182">
        <v>184</v>
      </c>
      <c r="G182">
        <v>167</v>
      </c>
      <c r="H182" s="14">
        <f t="shared" si="4"/>
        <v>351.1</v>
      </c>
      <c r="I182" s="14">
        <f t="shared" si="5"/>
        <v>561.79451661238068</v>
      </c>
      <c r="J182">
        <v>163</v>
      </c>
      <c r="K182">
        <v>181</v>
      </c>
    </row>
    <row r="183" spans="1:11">
      <c r="A183" t="s">
        <v>153</v>
      </c>
      <c r="B183">
        <v>157</v>
      </c>
      <c r="C183">
        <v>61</v>
      </c>
      <c r="D183">
        <v>136</v>
      </c>
      <c r="E183">
        <v>181</v>
      </c>
      <c r="F183">
        <v>93</v>
      </c>
      <c r="G183">
        <v>160</v>
      </c>
      <c r="H183" s="14">
        <f t="shared" si="4"/>
        <v>385.9</v>
      </c>
      <c r="I183" s="14">
        <f t="shared" si="5"/>
        <v>560.85485724274372</v>
      </c>
      <c r="J183">
        <v>188</v>
      </c>
      <c r="K183">
        <v>182</v>
      </c>
    </row>
    <row r="184" spans="1:11">
      <c r="A184" t="s">
        <v>94</v>
      </c>
      <c r="B184">
        <v>93</v>
      </c>
      <c r="C184">
        <v>118</v>
      </c>
      <c r="D184">
        <v>191</v>
      </c>
      <c r="E184">
        <v>153</v>
      </c>
      <c r="F184">
        <v>44</v>
      </c>
      <c r="G184">
        <v>172</v>
      </c>
      <c r="H184" s="14">
        <f t="shared" si="4"/>
        <v>359.59999999999997</v>
      </c>
      <c r="I184" s="14">
        <f t="shared" si="5"/>
        <v>565.22128469947961</v>
      </c>
      <c r="J184">
        <v>176</v>
      </c>
      <c r="K184">
        <v>183</v>
      </c>
    </row>
    <row r="185" spans="1:11">
      <c r="A185" t="s">
        <v>173</v>
      </c>
      <c r="B185">
        <v>173</v>
      </c>
      <c r="C185">
        <v>81</v>
      </c>
      <c r="D185">
        <v>181</v>
      </c>
      <c r="E185">
        <v>1</v>
      </c>
      <c r="F185">
        <v>178</v>
      </c>
      <c r="G185">
        <v>169</v>
      </c>
      <c r="H185" s="14">
        <f t="shared" si="4"/>
        <v>412.29999999999995</v>
      </c>
      <c r="I185" s="14">
        <f t="shared" si="5"/>
        <v>563.44470433790582</v>
      </c>
      <c r="J185">
        <v>195</v>
      </c>
      <c r="K185">
        <v>184</v>
      </c>
    </row>
    <row r="186" spans="1:11">
      <c r="A186" t="s">
        <v>150</v>
      </c>
      <c r="B186">
        <v>153</v>
      </c>
      <c r="C186">
        <v>72</v>
      </c>
      <c r="D186">
        <v>177</v>
      </c>
      <c r="E186">
        <v>30</v>
      </c>
      <c r="F186">
        <v>170</v>
      </c>
      <c r="G186">
        <v>178</v>
      </c>
      <c r="H186" s="14">
        <f t="shared" si="4"/>
        <v>394.6</v>
      </c>
      <c r="I186" s="14">
        <f t="shared" si="5"/>
        <v>565.41121920483113</v>
      </c>
      <c r="J186">
        <v>190</v>
      </c>
      <c r="K186">
        <v>185</v>
      </c>
    </row>
    <row r="187" spans="1:11">
      <c r="A187" t="s">
        <v>373</v>
      </c>
      <c r="B187">
        <v>103</v>
      </c>
      <c r="C187">
        <v>166</v>
      </c>
      <c r="D187">
        <v>173</v>
      </c>
      <c r="E187">
        <v>18</v>
      </c>
      <c r="F187">
        <v>180</v>
      </c>
      <c r="G187">
        <v>181</v>
      </c>
      <c r="H187" s="14">
        <f t="shared" si="4"/>
        <v>393.99999999999994</v>
      </c>
      <c r="I187" s="14">
        <f t="shared" si="5"/>
        <v>578.69611161725675</v>
      </c>
      <c r="J187">
        <v>185</v>
      </c>
      <c r="K187">
        <v>186</v>
      </c>
    </row>
    <row r="188" spans="1:11">
      <c r="A188" t="s">
        <v>43</v>
      </c>
      <c r="B188">
        <v>39</v>
      </c>
      <c r="C188">
        <v>173</v>
      </c>
      <c r="D188">
        <v>157</v>
      </c>
      <c r="E188">
        <v>146</v>
      </c>
      <c r="F188">
        <v>175</v>
      </c>
      <c r="G188">
        <v>166</v>
      </c>
      <c r="H188" s="14">
        <f t="shared" si="4"/>
        <v>377.4</v>
      </c>
      <c r="I188" s="14">
        <f t="shared" si="5"/>
        <v>588.34431883395325</v>
      </c>
      <c r="J188">
        <v>182</v>
      </c>
      <c r="K188">
        <v>187</v>
      </c>
    </row>
    <row r="189" spans="1:11">
      <c r="A189" t="s">
        <v>83</v>
      </c>
      <c r="B189">
        <v>83</v>
      </c>
      <c r="C189">
        <v>141</v>
      </c>
      <c r="D189">
        <v>187</v>
      </c>
      <c r="E189">
        <v>126</v>
      </c>
      <c r="F189">
        <v>108</v>
      </c>
      <c r="G189">
        <v>183</v>
      </c>
      <c r="H189" s="14">
        <f t="shared" si="4"/>
        <v>380.5</v>
      </c>
      <c r="I189" s="14">
        <f t="shared" si="5"/>
        <v>595.1514435615652</v>
      </c>
      <c r="J189">
        <v>186</v>
      </c>
      <c r="K189">
        <v>188</v>
      </c>
    </row>
    <row r="190" spans="1:11">
      <c r="A190" t="s">
        <v>57</v>
      </c>
      <c r="B190">
        <v>53</v>
      </c>
      <c r="C190">
        <v>184</v>
      </c>
      <c r="D190">
        <v>189</v>
      </c>
      <c r="E190">
        <v>100</v>
      </c>
      <c r="F190">
        <v>140</v>
      </c>
      <c r="G190">
        <v>179</v>
      </c>
      <c r="H190" s="14">
        <f t="shared" si="4"/>
        <v>382</v>
      </c>
      <c r="I190" s="14">
        <f t="shared" si="5"/>
        <v>596.54729297798031</v>
      </c>
      <c r="J190">
        <v>187</v>
      </c>
      <c r="K190">
        <v>189</v>
      </c>
    </row>
    <row r="191" spans="1:11">
      <c r="A191" t="s">
        <v>120</v>
      </c>
      <c r="B191">
        <v>121</v>
      </c>
      <c r="C191">
        <v>111</v>
      </c>
      <c r="D191">
        <v>152</v>
      </c>
      <c r="E191">
        <v>179</v>
      </c>
      <c r="F191">
        <v>99</v>
      </c>
      <c r="G191">
        <v>177</v>
      </c>
      <c r="H191" s="14">
        <f t="shared" si="4"/>
        <v>391.90000000000003</v>
      </c>
      <c r="I191" s="14">
        <f t="shared" si="5"/>
        <v>595.72172021053416</v>
      </c>
      <c r="J191">
        <v>193</v>
      </c>
      <c r="K191">
        <v>190</v>
      </c>
    </row>
    <row r="192" spans="1:11">
      <c r="A192" t="s">
        <v>25</v>
      </c>
      <c r="B192">
        <v>25</v>
      </c>
      <c r="C192">
        <v>43</v>
      </c>
      <c r="D192">
        <v>188</v>
      </c>
      <c r="E192">
        <v>188</v>
      </c>
      <c r="F192">
        <v>193</v>
      </c>
      <c r="G192">
        <v>190</v>
      </c>
      <c r="H192" s="14">
        <f t="shared" si="4"/>
        <v>347.3</v>
      </c>
      <c r="I192" s="14">
        <f t="shared" si="5"/>
        <v>599.53516256092325</v>
      </c>
      <c r="J192">
        <v>171</v>
      </c>
      <c r="K192">
        <v>191</v>
      </c>
    </row>
    <row r="193" spans="1:26">
      <c r="A193" t="s">
        <v>16</v>
      </c>
      <c r="B193">
        <v>15</v>
      </c>
      <c r="C193">
        <v>191</v>
      </c>
      <c r="D193">
        <v>180</v>
      </c>
      <c r="E193">
        <v>132</v>
      </c>
      <c r="F193">
        <v>173</v>
      </c>
      <c r="G193">
        <v>174</v>
      </c>
      <c r="H193" s="14">
        <f t="shared" si="4"/>
        <v>374.3</v>
      </c>
      <c r="I193" s="14">
        <f t="shared" si="5"/>
        <v>600.22103344580273</v>
      </c>
      <c r="J193">
        <v>183</v>
      </c>
      <c r="K193">
        <v>192</v>
      </c>
    </row>
    <row r="194" spans="1:26">
      <c r="A194" t="s">
        <v>119</v>
      </c>
      <c r="B194">
        <v>121</v>
      </c>
      <c r="C194">
        <v>136</v>
      </c>
      <c r="D194">
        <v>153</v>
      </c>
      <c r="E194">
        <v>105</v>
      </c>
      <c r="F194">
        <v>175</v>
      </c>
      <c r="G194">
        <v>168</v>
      </c>
      <c r="H194" s="14">
        <f t="shared" ref="H194:H208" si="6">$M$2*B194+$N$2*C194+$O$2*D194+$P$2*E194+$Q$2*F194</f>
        <v>413.5</v>
      </c>
      <c r="I194" s="14">
        <f t="shared" ref="I194:I208" si="7">$M$5*B194+$N$5*C194+$O$5*D194+$P$5*E194+$Q$5*F194+$R$5*G194</f>
        <v>595.00695776798716</v>
      </c>
      <c r="J194">
        <v>198</v>
      </c>
      <c r="K194">
        <v>193</v>
      </c>
      <c r="Z194" s="339"/>
    </row>
    <row r="195" spans="1:26">
      <c r="A195" t="s">
        <v>77</v>
      </c>
      <c r="B195">
        <v>76</v>
      </c>
      <c r="C195">
        <v>193</v>
      </c>
      <c r="D195">
        <v>186</v>
      </c>
      <c r="E195">
        <v>108</v>
      </c>
      <c r="F195">
        <v>89</v>
      </c>
      <c r="G195">
        <v>186</v>
      </c>
      <c r="H195" s="14">
        <f t="shared" si="6"/>
        <v>382.8</v>
      </c>
      <c r="I195" s="14">
        <f t="shared" si="7"/>
        <v>598.1312982629006</v>
      </c>
      <c r="J195">
        <v>189</v>
      </c>
      <c r="K195">
        <v>194</v>
      </c>
      <c r="Z195" s="255"/>
    </row>
    <row r="196" spans="1:26">
      <c r="A196" t="s">
        <v>37</v>
      </c>
      <c r="B196">
        <v>39</v>
      </c>
      <c r="C196">
        <v>188</v>
      </c>
      <c r="D196">
        <v>184</v>
      </c>
      <c r="E196">
        <v>186</v>
      </c>
      <c r="F196">
        <v>61</v>
      </c>
      <c r="G196">
        <v>184</v>
      </c>
      <c r="H196" s="14">
        <f t="shared" si="6"/>
        <v>362.79999999999995</v>
      </c>
      <c r="I196" s="14">
        <f t="shared" si="7"/>
        <v>601.2986110992673</v>
      </c>
      <c r="J196">
        <v>181</v>
      </c>
      <c r="K196">
        <v>195</v>
      </c>
      <c r="Z196" s="255"/>
    </row>
    <row r="197" spans="1:26">
      <c r="A197" t="s">
        <v>107</v>
      </c>
      <c r="B197">
        <v>105</v>
      </c>
      <c r="C197">
        <v>169</v>
      </c>
      <c r="D197">
        <v>161</v>
      </c>
      <c r="E197">
        <v>89</v>
      </c>
      <c r="F197">
        <v>159</v>
      </c>
      <c r="G197">
        <v>176</v>
      </c>
      <c r="H197" s="14">
        <f t="shared" si="6"/>
        <v>406.8</v>
      </c>
      <c r="I197" s="14">
        <f t="shared" si="7"/>
        <v>598.22974517628984</v>
      </c>
      <c r="J197">
        <v>196</v>
      </c>
      <c r="K197">
        <v>196</v>
      </c>
    </row>
    <row r="198" spans="1:26">
      <c r="A198" s="22" t="s">
        <v>86</v>
      </c>
      <c r="B198">
        <v>85</v>
      </c>
      <c r="C198">
        <v>167</v>
      </c>
      <c r="D198">
        <v>192</v>
      </c>
      <c r="E198">
        <v>144</v>
      </c>
      <c r="F198">
        <v>58</v>
      </c>
      <c r="G198">
        <v>185</v>
      </c>
      <c r="H198" s="14">
        <f t="shared" si="6"/>
        <v>381</v>
      </c>
      <c r="I198" s="14">
        <f t="shared" si="7"/>
        <v>600.39498836048301</v>
      </c>
      <c r="J198">
        <v>192</v>
      </c>
      <c r="K198">
        <v>197</v>
      </c>
    </row>
    <row r="199" spans="1:26">
      <c r="A199" s="22" t="s">
        <v>103</v>
      </c>
      <c r="B199">
        <v>108</v>
      </c>
      <c r="C199">
        <v>98</v>
      </c>
      <c r="D199">
        <v>172</v>
      </c>
      <c r="E199">
        <v>166</v>
      </c>
      <c r="F199">
        <v>137</v>
      </c>
      <c r="G199">
        <v>175</v>
      </c>
      <c r="H199" s="14">
        <f t="shared" si="6"/>
        <v>401.5</v>
      </c>
      <c r="I199" s="14">
        <f t="shared" si="7"/>
        <v>607.92061787426428</v>
      </c>
      <c r="J199">
        <v>197</v>
      </c>
      <c r="K199">
        <v>198</v>
      </c>
    </row>
    <row r="200" spans="1:26">
      <c r="A200" t="s">
        <v>184</v>
      </c>
      <c r="B200">
        <v>186</v>
      </c>
      <c r="C200">
        <v>23</v>
      </c>
      <c r="D200">
        <v>175</v>
      </c>
      <c r="E200">
        <v>118</v>
      </c>
      <c r="F200">
        <v>151</v>
      </c>
      <c r="G200">
        <v>180</v>
      </c>
      <c r="H200" s="14">
        <f t="shared" si="6"/>
        <v>424.09999999999997</v>
      </c>
      <c r="I200" s="14">
        <f t="shared" si="7"/>
        <v>605.08250884553058</v>
      </c>
      <c r="J200">
        <v>199</v>
      </c>
      <c r="K200">
        <v>199</v>
      </c>
    </row>
    <row r="201" spans="1:26" ht="15" customHeight="1">
      <c r="A201" t="s">
        <v>174</v>
      </c>
      <c r="B201">
        <v>176</v>
      </c>
      <c r="C201">
        <v>180</v>
      </c>
      <c r="D201">
        <v>104</v>
      </c>
      <c r="E201">
        <v>157</v>
      </c>
      <c r="F201">
        <v>112</v>
      </c>
      <c r="G201">
        <v>173</v>
      </c>
      <c r="H201" s="14">
        <f t="shared" si="6"/>
        <v>440</v>
      </c>
      <c r="I201" s="14">
        <f t="shared" si="7"/>
        <v>613.6014060066442</v>
      </c>
      <c r="J201">
        <v>201</v>
      </c>
      <c r="K201">
        <v>200</v>
      </c>
    </row>
    <row r="202" spans="1:26">
      <c r="A202" t="s">
        <v>176</v>
      </c>
      <c r="B202">
        <v>178</v>
      </c>
      <c r="C202">
        <v>36</v>
      </c>
      <c r="D202">
        <v>193</v>
      </c>
      <c r="E202">
        <v>168</v>
      </c>
      <c r="F202">
        <v>80</v>
      </c>
      <c r="G202">
        <v>187</v>
      </c>
      <c r="H202" s="14">
        <f t="shared" si="6"/>
        <v>420.5</v>
      </c>
      <c r="I202" s="14">
        <f t="shared" si="7"/>
        <v>621.90280844075323</v>
      </c>
      <c r="J202">
        <v>200</v>
      </c>
      <c r="K202">
        <v>201</v>
      </c>
    </row>
    <row r="203" spans="1:26">
      <c r="A203" t="s">
        <v>7</v>
      </c>
      <c r="B203">
        <v>3</v>
      </c>
      <c r="C203">
        <v>192</v>
      </c>
      <c r="D203">
        <v>150</v>
      </c>
      <c r="E203">
        <v>193</v>
      </c>
      <c r="F203">
        <v>192</v>
      </c>
      <c r="G203">
        <v>193</v>
      </c>
      <c r="H203" s="14">
        <f t="shared" si="6"/>
        <v>376.9</v>
      </c>
      <c r="I203" s="14">
        <f t="shared" si="7"/>
        <v>633.65584029626939</v>
      </c>
      <c r="J203">
        <v>184</v>
      </c>
      <c r="K203">
        <v>202</v>
      </c>
    </row>
    <row r="204" spans="1:26">
      <c r="A204" t="s">
        <v>372</v>
      </c>
      <c r="B204">
        <v>35</v>
      </c>
      <c r="C204">
        <v>149</v>
      </c>
      <c r="D204">
        <v>172</v>
      </c>
      <c r="E204">
        <v>173</v>
      </c>
      <c r="F204">
        <v>192</v>
      </c>
      <c r="G204">
        <v>188</v>
      </c>
      <c r="H204" s="14">
        <f t="shared" si="6"/>
        <v>391.59999999999997</v>
      </c>
      <c r="I204" s="14">
        <f t="shared" si="7"/>
        <v>633.65375179071668</v>
      </c>
      <c r="J204">
        <v>194</v>
      </c>
      <c r="K204">
        <v>203</v>
      </c>
    </row>
    <row r="205" spans="1:26">
      <c r="A205" t="s">
        <v>61</v>
      </c>
      <c r="B205">
        <v>63</v>
      </c>
      <c r="C205">
        <v>175</v>
      </c>
      <c r="D205">
        <v>183</v>
      </c>
      <c r="E205">
        <v>190</v>
      </c>
      <c r="F205">
        <v>156</v>
      </c>
      <c r="G205">
        <v>188</v>
      </c>
      <c r="H205" s="14">
        <f t="shared" si="6"/>
        <v>426.29999999999995</v>
      </c>
      <c r="I205" s="14">
        <f t="shared" si="7"/>
        <v>664.89527283557982</v>
      </c>
      <c r="J205">
        <v>202</v>
      </c>
      <c r="K205">
        <v>204</v>
      </c>
    </row>
    <row r="206" spans="1:26">
      <c r="A206" t="s">
        <v>168</v>
      </c>
      <c r="B206">
        <v>172</v>
      </c>
      <c r="C206">
        <v>18</v>
      </c>
      <c r="D206">
        <v>185</v>
      </c>
      <c r="E206">
        <v>172</v>
      </c>
      <c r="F206">
        <v>182</v>
      </c>
      <c r="G206">
        <v>189</v>
      </c>
      <c r="H206" s="14">
        <f t="shared" si="6"/>
        <v>453.1</v>
      </c>
      <c r="I206" s="14">
        <f t="shared" si="7"/>
        <v>660.00527503875469</v>
      </c>
      <c r="J206">
        <v>204</v>
      </c>
      <c r="K206">
        <v>205</v>
      </c>
    </row>
    <row r="207" spans="1:26">
      <c r="A207" s="22" t="s">
        <v>138</v>
      </c>
      <c r="B207">
        <v>138</v>
      </c>
      <c r="C207">
        <v>190</v>
      </c>
      <c r="D207">
        <v>146</v>
      </c>
      <c r="E207">
        <v>156</v>
      </c>
      <c r="F207">
        <v>143</v>
      </c>
      <c r="G207">
        <v>192</v>
      </c>
      <c r="H207" s="14">
        <f t="shared" si="6"/>
        <v>455.29999999999995</v>
      </c>
      <c r="I207" s="14">
        <f t="shared" si="7"/>
        <v>664.78852640425248</v>
      </c>
      <c r="J207">
        <v>203</v>
      </c>
      <c r="K207">
        <v>206</v>
      </c>
    </row>
    <row r="208" spans="1:26">
      <c r="A208" s="22" t="s">
        <v>169</v>
      </c>
      <c r="B208">
        <v>170</v>
      </c>
      <c r="C208">
        <v>103</v>
      </c>
      <c r="D208">
        <v>190</v>
      </c>
      <c r="E208">
        <v>104</v>
      </c>
      <c r="F208">
        <v>185</v>
      </c>
      <c r="G208">
        <v>191</v>
      </c>
      <c r="H208" s="14">
        <f t="shared" si="6"/>
        <v>471.6</v>
      </c>
      <c r="I208" s="14">
        <f t="shared" si="7"/>
        <v>667.93747381256469</v>
      </c>
      <c r="J208">
        <v>205</v>
      </c>
      <c r="K208">
        <v>207</v>
      </c>
    </row>
    <row r="209" spans="1:21">
      <c r="A209" s="1" t="s">
        <v>796</v>
      </c>
      <c r="B209">
        <v>158</v>
      </c>
      <c r="C209">
        <v>20</v>
      </c>
      <c r="D209">
        <v>43</v>
      </c>
      <c r="E209">
        <v>171</v>
      </c>
      <c r="F209">
        <v>120</v>
      </c>
      <c r="G209">
        <v>38</v>
      </c>
      <c r="H209" s="14">
        <f t="shared" ref="H209:H210" si="8">$M$2*B209+$N$2*C209+$O$2*D209+$P$2*E209+$Q$2*F209</f>
        <v>310.70000000000005</v>
      </c>
      <c r="I209" s="14">
        <f t="shared" ref="I209:I210" si="9">$M$5*B209+$N$5*C209+$O$5*D209+$P$5*E209+$Q$5*F209+$R$5*G209</f>
        <v>348.69036940118735</v>
      </c>
    </row>
    <row r="210" spans="1:21">
      <c r="A210" s="1" t="s">
        <v>231</v>
      </c>
      <c r="B210">
        <v>75</v>
      </c>
      <c r="C210">
        <v>147</v>
      </c>
      <c r="D210">
        <v>192</v>
      </c>
      <c r="E210">
        <v>45</v>
      </c>
      <c r="F210">
        <v>19</v>
      </c>
      <c r="G210">
        <v>128</v>
      </c>
      <c r="H210" s="14">
        <f t="shared" si="8"/>
        <v>302.89999999999998</v>
      </c>
      <c r="I210" s="14">
        <f t="shared" si="9"/>
        <v>447.09365475611315</v>
      </c>
    </row>
    <row r="211" spans="1:21">
      <c r="A211" s="1" t="s">
        <v>393</v>
      </c>
      <c r="B211">
        <v>173</v>
      </c>
      <c r="C211">
        <v>106</v>
      </c>
      <c r="D211">
        <v>187</v>
      </c>
      <c r="E211">
        <v>82</v>
      </c>
      <c r="F211">
        <v>40</v>
      </c>
      <c r="G211">
        <v>162</v>
      </c>
      <c r="H211" s="14">
        <f>$M$2*B211+$N$2*C211+$O$2*D211+$P$2*E211+$Q$2*F211</f>
        <v>392.40000000000003</v>
      </c>
      <c r="I211" s="14">
        <f>$M$5*B211+$N$5*C211+$O$5*D211+$P$5*E211+$Q$5*F211+$R$5*G211</f>
        <v>550.92831814643409</v>
      </c>
      <c r="L211" s="403">
        <v>2023</v>
      </c>
      <c r="M211" s="403"/>
      <c r="N211" s="403"/>
      <c r="O211" s="403"/>
      <c r="P211" s="403"/>
      <c r="Q211" s="403"/>
      <c r="R211" s="403"/>
      <c r="S211" s="403"/>
      <c r="T211" s="403"/>
      <c r="U211" s="403"/>
    </row>
    <row r="212" spans="1:21">
      <c r="A212" s="1" t="s">
        <v>861</v>
      </c>
      <c r="B212">
        <v>186</v>
      </c>
      <c r="C212">
        <v>106</v>
      </c>
      <c r="D212">
        <v>167</v>
      </c>
      <c r="E212">
        <v>192</v>
      </c>
      <c r="F212">
        <v>90</v>
      </c>
      <c r="G212">
        <v>194</v>
      </c>
      <c r="H212" s="14">
        <f t="shared" ref="H212" si="10">$M$2*B212+$N$2*C212+$O$2*D212+$P$2*E212+$Q$2*F212</f>
        <v>459.1</v>
      </c>
      <c r="I212" s="14">
        <f t="shared" ref="I212" si="11">$M$5*B212+$N$5*C212+$O$5*D212+$P$5*E212+$Q$5*F212+$R$5*G212</f>
        <v>666.63897560530677</v>
      </c>
      <c r="R212" s="137" t="s">
        <v>574</v>
      </c>
      <c r="S212" t="s">
        <v>573</v>
      </c>
      <c r="T212" t="s">
        <v>571</v>
      </c>
      <c r="U212" t="s">
        <v>572</v>
      </c>
    </row>
    <row r="213" spans="1:21">
      <c r="A213" s="1" t="s">
        <v>880</v>
      </c>
      <c r="B213">
        <v>124</v>
      </c>
      <c r="C213">
        <v>174</v>
      </c>
      <c r="D213">
        <v>186</v>
      </c>
      <c r="E213">
        <v>155</v>
      </c>
      <c r="F213">
        <v>53</v>
      </c>
      <c r="G213">
        <v>181</v>
      </c>
      <c r="H213" s="14">
        <f>$M$2*B213+$N$2*C213+$O$2*D213+$P$2*E213+$Q$2*F213</f>
        <v>417.3</v>
      </c>
      <c r="I213" s="14">
        <f>$M$5*B213+$N$5*C213+$O$5*D213+$P$5*E213+$Q$5*F213+$R$5*G213</f>
        <v>623.23899708870772</v>
      </c>
      <c r="L213" t="s">
        <v>570</v>
      </c>
      <c r="R213">
        <v>0.2</v>
      </c>
      <c r="S213">
        <v>299.89999999999998</v>
      </c>
      <c r="T213">
        <v>326.3</v>
      </c>
      <c r="U213">
        <v>271.5</v>
      </c>
    </row>
    <row r="214" spans="1:21">
      <c r="A214" s="1" t="s">
        <v>242</v>
      </c>
      <c r="B214">
        <v>190</v>
      </c>
      <c r="C214">
        <v>144</v>
      </c>
      <c r="D214">
        <v>189</v>
      </c>
      <c r="E214">
        <v>104</v>
      </c>
      <c r="F214">
        <v>106</v>
      </c>
      <c r="G214">
        <v>190</v>
      </c>
      <c r="H214" s="14">
        <f>$M$2*B214+$N$2*C214+$O$2*D214+$P$2*E214+$Q$2*F214</f>
        <v>469.9</v>
      </c>
      <c r="I214" s="14">
        <f>$M$5*B214+$N$5*C214+$O$5*D214+$P$5*E214+$Q$5*F214+$R$5*G214</f>
        <v>657.88649903584576</v>
      </c>
      <c r="L214">
        <f>S213+R213*((T213-S213)/3)</f>
        <v>301.65999999999997</v>
      </c>
    </row>
    <row r="215" spans="1:21">
      <c r="A215" s="1" t="s">
        <v>219</v>
      </c>
      <c r="B215">
        <v>183</v>
      </c>
      <c r="C215">
        <v>91</v>
      </c>
      <c r="D215">
        <v>194</v>
      </c>
      <c r="E215">
        <v>141</v>
      </c>
      <c r="F215">
        <v>183</v>
      </c>
      <c r="G215">
        <v>192</v>
      </c>
      <c r="H215" s="14">
        <f>$M$2*B215+$N$2*C215+$O$2*D215+$P$2*E215+$Q$2*F215</f>
        <v>493.9</v>
      </c>
      <c r="I215" s="14">
        <f>$M$5*B215+$N$5*C215+$O$5*D215+$P$5*E215+$Q$5*F215+$R$5*G215</f>
        <v>695.72482329162608</v>
      </c>
      <c r="L215" t="s">
        <v>577</v>
      </c>
    </row>
    <row r="216" spans="1:21">
      <c r="A216" s="1" t="s">
        <v>221</v>
      </c>
      <c r="B216">
        <v>183</v>
      </c>
      <c r="C216">
        <v>72</v>
      </c>
      <c r="D216">
        <v>161</v>
      </c>
      <c r="E216">
        <v>180</v>
      </c>
      <c r="F216">
        <v>194</v>
      </c>
      <c r="G216">
        <v>194</v>
      </c>
      <c r="H216" s="14">
        <f t="shared" ref="H216" si="12">$M$2*B216+$N$2*C216+$O$2*D216+$P$2*E216+$Q$2*F216</f>
        <v>482.4</v>
      </c>
      <c r="I216" s="14">
        <f t="shared" ref="I216" si="13">$M$5*B216+$N$5*C216+$O$5*D216+$P$5*E216+$Q$5*F216+$R$5*G216</f>
        <v>689.70090123417003</v>
      </c>
      <c r="L216">
        <f>S213-R213*((S213-U213))/2.2</f>
        <v>297.31818181818181</v>
      </c>
    </row>
    <row r="217" spans="1:21">
      <c r="A217" s="1" t="s">
        <v>693</v>
      </c>
      <c r="B217">
        <v>125</v>
      </c>
      <c r="C217">
        <v>133</v>
      </c>
      <c r="D217">
        <v>99</v>
      </c>
      <c r="E217">
        <v>82</v>
      </c>
      <c r="F217">
        <v>39</v>
      </c>
      <c r="G217">
        <v>68</v>
      </c>
      <c r="H217" s="14">
        <f t="shared" ref="H217" si="14">$M$2*B217+$N$2*C217+$O$2*D217+$P$2*E217+$Q$2*F217</f>
        <v>300.60000000000002</v>
      </c>
      <c r="I217" s="14">
        <f t="shared" ref="I217" si="15">$M$5*B217+$N$5*C217+$O$5*D217+$P$5*E217+$Q$5*F217+$R$5*G217</f>
        <v>365.7440202722438</v>
      </c>
    </row>
    <row r="218" spans="1:21">
      <c r="A218" t="s">
        <v>858</v>
      </c>
      <c r="B218" t="e">
        <v>#N/A</v>
      </c>
      <c r="C218" t="e">
        <v>#N/A</v>
      </c>
      <c r="D218" t="e">
        <v>#N/A</v>
      </c>
      <c r="E218" t="e">
        <v>#N/A</v>
      </c>
      <c r="F218" t="e">
        <v>#N/A</v>
      </c>
      <c r="G218" t="e">
        <v>#N/A</v>
      </c>
      <c r="H218" t="e">
        <v>#N/A</v>
      </c>
      <c r="I218" t="e">
        <v>#N/A</v>
      </c>
      <c r="J218" t="e">
        <v>#N/A</v>
      </c>
      <c r="K218" t="e">
        <v>#N/A</v>
      </c>
      <c r="R218" s="137" t="s">
        <v>574</v>
      </c>
      <c r="S218" t="s">
        <v>573</v>
      </c>
      <c r="T218" t="s">
        <v>571</v>
      </c>
      <c r="U218" t="s">
        <v>572</v>
      </c>
    </row>
    <row r="219" spans="1:21">
      <c r="A219" t="s">
        <v>859</v>
      </c>
      <c r="B219" t="e">
        <v>#N/A</v>
      </c>
      <c r="C219" t="e">
        <v>#N/A</v>
      </c>
      <c r="D219" t="e">
        <v>#N/A</v>
      </c>
      <c r="E219" t="e">
        <v>#N/A</v>
      </c>
      <c r="F219" t="e">
        <v>#N/A</v>
      </c>
      <c r="G219" t="e">
        <v>#N/A</v>
      </c>
      <c r="H219" t="e">
        <v>#N/A</v>
      </c>
      <c r="I219" t="e">
        <v>#N/A</v>
      </c>
      <c r="J219" t="e">
        <v>#N/A</v>
      </c>
      <c r="K219" t="e">
        <v>#N/A</v>
      </c>
      <c r="L219" t="s">
        <v>575</v>
      </c>
      <c r="R219">
        <v>0.3</v>
      </c>
      <c r="S219" s="256">
        <v>0.59089999999999998</v>
      </c>
      <c r="T219" s="256">
        <v>0.72570000000000001</v>
      </c>
      <c r="U219" s="256">
        <v>0.46989999999999998</v>
      </c>
    </row>
    <row r="220" spans="1:21">
      <c r="A220" t="s">
        <v>860</v>
      </c>
      <c r="B220" t="e">
        <v>#N/A</v>
      </c>
      <c r="C220" t="e">
        <v>#N/A</v>
      </c>
      <c r="D220" t="e">
        <v>#N/A</v>
      </c>
      <c r="E220" t="e">
        <v>#N/A</v>
      </c>
      <c r="F220" t="e">
        <v>#N/A</v>
      </c>
      <c r="G220" t="e">
        <v>#N/A</v>
      </c>
      <c r="H220" t="e">
        <v>#N/A</v>
      </c>
      <c r="I220" t="e">
        <v>#N/A</v>
      </c>
      <c r="J220" t="e">
        <v>#N/A</v>
      </c>
      <c r="K220" t="e">
        <v>#N/A</v>
      </c>
      <c r="L220" s="256">
        <f>S219+R219*((T219-S219)/2.2)</f>
        <v>0.60928181818181815</v>
      </c>
    </row>
    <row r="221" spans="1:21">
      <c r="A221" t="s">
        <v>243</v>
      </c>
      <c r="B221" t="e">
        <v>#N/A</v>
      </c>
      <c r="C221" t="e">
        <v>#N/A</v>
      </c>
      <c r="D221" t="e">
        <v>#N/A</v>
      </c>
      <c r="E221" t="e">
        <v>#N/A</v>
      </c>
      <c r="F221" t="e">
        <v>#N/A</v>
      </c>
      <c r="G221" t="e">
        <v>#N/A</v>
      </c>
      <c r="H221" t="e">
        <v>#N/A</v>
      </c>
      <c r="I221" t="e">
        <v>#N/A</v>
      </c>
      <c r="J221" t="e">
        <v>#N/A</v>
      </c>
      <c r="K221" t="e">
        <v>#N/A</v>
      </c>
      <c r="L221" t="s">
        <v>576</v>
      </c>
    </row>
    <row r="222" spans="1:21">
      <c r="A222" t="s">
        <v>862</v>
      </c>
      <c r="B222" t="e">
        <v>#N/A</v>
      </c>
      <c r="C222" t="e">
        <v>#N/A</v>
      </c>
      <c r="D222" t="e">
        <v>#N/A</v>
      </c>
      <c r="E222" t="e">
        <v>#N/A</v>
      </c>
      <c r="F222" t="e">
        <v>#N/A</v>
      </c>
      <c r="G222" t="e">
        <v>#N/A</v>
      </c>
      <c r="H222" t="e">
        <v>#N/A</v>
      </c>
      <c r="I222" t="e">
        <v>#N/A</v>
      </c>
      <c r="J222" t="e">
        <v>#N/A</v>
      </c>
      <c r="K222" t="e">
        <v>#N/A</v>
      </c>
      <c r="L222" s="256">
        <f>S219-R219*((S219-U219))/2.2</f>
        <v>0.57440000000000002</v>
      </c>
    </row>
    <row r="223" spans="1:21">
      <c r="A223" t="s">
        <v>863</v>
      </c>
      <c r="B223" t="e">
        <v>#N/A</v>
      </c>
      <c r="C223" t="e">
        <v>#N/A</v>
      </c>
      <c r="D223" t="e">
        <v>#N/A</v>
      </c>
      <c r="E223" t="e">
        <v>#N/A</v>
      </c>
      <c r="F223" t="e">
        <v>#N/A</v>
      </c>
      <c r="G223" t="e">
        <v>#N/A</v>
      </c>
      <c r="H223" t="e">
        <v>#N/A</v>
      </c>
      <c r="I223" t="e">
        <v>#N/A</v>
      </c>
      <c r="J223" t="e">
        <v>#N/A</v>
      </c>
      <c r="K223" t="e">
        <v>#N/A</v>
      </c>
    </row>
    <row r="224" spans="1:21">
      <c r="A224" t="s">
        <v>413</v>
      </c>
      <c r="B224" t="e">
        <v>#N/A</v>
      </c>
      <c r="C224" t="e">
        <v>#N/A</v>
      </c>
      <c r="D224" t="e">
        <v>#N/A</v>
      </c>
      <c r="E224" t="e">
        <v>#N/A</v>
      </c>
      <c r="F224" t="e">
        <v>#N/A</v>
      </c>
      <c r="G224" t="e">
        <v>#N/A</v>
      </c>
      <c r="H224" t="e">
        <v>#N/A</v>
      </c>
      <c r="I224" t="e">
        <v>#N/A</v>
      </c>
      <c r="J224" t="e">
        <v>#N/A</v>
      </c>
      <c r="K224" t="e">
        <v>#N/A</v>
      </c>
      <c r="L224" s="403">
        <v>2024</v>
      </c>
      <c r="M224" s="403"/>
      <c r="N224" s="403"/>
      <c r="O224" s="403"/>
      <c r="P224" s="403"/>
      <c r="Q224" s="403"/>
      <c r="R224" s="403"/>
      <c r="S224" s="403"/>
      <c r="T224" s="403"/>
      <c r="U224" s="403"/>
    </row>
    <row r="225" spans="1:21">
      <c r="A225" t="s">
        <v>864</v>
      </c>
      <c r="B225" t="e">
        <v>#N/A</v>
      </c>
      <c r="C225" t="e">
        <v>#N/A</v>
      </c>
      <c r="D225" t="e">
        <v>#N/A</v>
      </c>
      <c r="E225" t="e">
        <v>#N/A</v>
      </c>
      <c r="F225" t="e">
        <v>#N/A</v>
      </c>
      <c r="G225" t="e">
        <v>#N/A</v>
      </c>
      <c r="H225" t="e">
        <v>#N/A</v>
      </c>
      <c r="I225" t="e">
        <v>#N/A</v>
      </c>
      <c r="J225" t="e">
        <v>#N/A</v>
      </c>
      <c r="K225" t="e">
        <v>#N/A</v>
      </c>
      <c r="R225" s="137" t="s">
        <v>574</v>
      </c>
      <c r="S225" s="137" t="s">
        <v>573</v>
      </c>
      <c r="T225" s="137" t="s">
        <v>571</v>
      </c>
      <c r="U225" s="137" t="s">
        <v>572</v>
      </c>
    </row>
    <row r="226" spans="1:21">
      <c r="A226" t="s">
        <v>865</v>
      </c>
      <c r="B226" t="e">
        <v>#N/A</v>
      </c>
      <c r="C226" t="e">
        <v>#N/A</v>
      </c>
      <c r="D226" t="e">
        <v>#N/A</v>
      </c>
      <c r="E226" t="e">
        <v>#N/A</v>
      </c>
      <c r="F226" t="e">
        <v>#N/A</v>
      </c>
      <c r="G226" t="e">
        <v>#N/A</v>
      </c>
      <c r="H226" t="e">
        <v>#N/A</v>
      </c>
      <c r="I226" t="e">
        <v>#N/A</v>
      </c>
      <c r="J226" t="e">
        <v>#N/A</v>
      </c>
      <c r="K226" t="e">
        <v>#N/A</v>
      </c>
      <c r="L226" t="s">
        <v>570</v>
      </c>
      <c r="R226">
        <v>0.4</v>
      </c>
      <c r="S226">
        <v>294.39999999999998</v>
      </c>
      <c r="T226">
        <v>316.5</v>
      </c>
      <c r="U226">
        <v>272.60000000000002</v>
      </c>
    </row>
    <row r="227" spans="1:21">
      <c r="A227" t="s">
        <v>866</v>
      </c>
      <c r="B227" t="e">
        <v>#N/A</v>
      </c>
      <c r="C227" t="e">
        <v>#N/A</v>
      </c>
      <c r="D227" t="e">
        <v>#N/A</v>
      </c>
      <c r="E227" t="e">
        <v>#N/A</v>
      </c>
      <c r="F227" t="e">
        <v>#N/A</v>
      </c>
      <c r="G227" t="e">
        <v>#N/A</v>
      </c>
      <c r="H227" t="e">
        <v>#N/A</v>
      </c>
      <c r="I227" t="e">
        <v>#N/A</v>
      </c>
      <c r="J227" t="e">
        <v>#N/A</v>
      </c>
      <c r="K227" t="e">
        <v>#N/A</v>
      </c>
      <c r="L227">
        <f>S226+R226*((T226-S226)/3)</f>
        <v>297.34666666666664</v>
      </c>
    </row>
    <row r="228" spans="1:21">
      <c r="A228" t="s">
        <v>867</v>
      </c>
      <c r="B228" t="e">
        <v>#N/A</v>
      </c>
      <c r="C228" t="e">
        <v>#N/A</v>
      </c>
      <c r="D228" t="e">
        <v>#N/A</v>
      </c>
      <c r="E228" t="e">
        <v>#N/A</v>
      </c>
      <c r="F228" t="e">
        <v>#N/A</v>
      </c>
      <c r="G228" t="e">
        <v>#N/A</v>
      </c>
      <c r="H228" t="e">
        <v>#N/A</v>
      </c>
      <c r="I228" t="e">
        <v>#N/A</v>
      </c>
      <c r="J228" t="e">
        <v>#N/A</v>
      </c>
      <c r="K228" t="e">
        <v>#N/A</v>
      </c>
      <c r="L228" t="s">
        <v>577</v>
      </c>
    </row>
    <row r="229" spans="1:21">
      <c r="A229" t="s">
        <v>868</v>
      </c>
      <c r="B229" t="e">
        <v>#N/A</v>
      </c>
      <c r="C229" t="e">
        <v>#N/A</v>
      </c>
      <c r="D229" t="e">
        <v>#N/A</v>
      </c>
      <c r="E229" t="e">
        <v>#N/A</v>
      </c>
      <c r="F229" t="e">
        <v>#N/A</v>
      </c>
      <c r="G229" t="e">
        <v>#N/A</v>
      </c>
      <c r="H229" t="e">
        <v>#N/A</v>
      </c>
      <c r="I229" t="e">
        <v>#N/A</v>
      </c>
      <c r="J229" t="e">
        <v>#N/A</v>
      </c>
      <c r="K229" t="e">
        <v>#N/A</v>
      </c>
      <c r="L229">
        <f>S226-R226*((S226-U226))/2.2</f>
        <v>290.43636363636364</v>
      </c>
    </row>
    <row r="230" spans="1:21">
      <c r="A230" t="s">
        <v>869</v>
      </c>
      <c r="B230" t="e">
        <v>#N/A</v>
      </c>
      <c r="C230" t="e">
        <v>#N/A</v>
      </c>
      <c r="D230" t="e">
        <v>#N/A</v>
      </c>
      <c r="E230" t="e">
        <v>#N/A</v>
      </c>
      <c r="F230" t="e">
        <v>#N/A</v>
      </c>
      <c r="G230" t="e">
        <v>#N/A</v>
      </c>
      <c r="H230" t="e">
        <v>#N/A</v>
      </c>
      <c r="I230" t="e">
        <v>#N/A</v>
      </c>
      <c r="J230" t="e">
        <v>#N/A</v>
      </c>
      <c r="K230" t="e">
        <v>#N/A</v>
      </c>
    </row>
    <row r="231" spans="1:21">
      <c r="A231" t="s">
        <v>797</v>
      </c>
      <c r="B231" t="e">
        <v>#N/A</v>
      </c>
      <c r="C231" t="e">
        <v>#N/A</v>
      </c>
      <c r="D231" t="e">
        <v>#N/A</v>
      </c>
      <c r="E231" t="e">
        <v>#N/A</v>
      </c>
      <c r="F231" t="e">
        <v>#N/A</v>
      </c>
      <c r="G231" t="e">
        <v>#N/A</v>
      </c>
      <c r="H231" t="e">
        <v>#N/A</v>
      </c>
      <c r="I231" t="e">
        <v>#N/A</v>
      </c>
      <c r="J231" t="e">
        <v>#N/A</v>
      </c>
      <c r="K231" t="e">
        <v>#N/A</v>
      </c>
      <c r="R231" s="137" t="s">
        <v>574</v>
      </c>
      <c r="S231" s="137" t="s">
        <v>573</v>
      </c>
      <c r="T231" s="137" t="s">
        <v>571</v>
      </c>
      <c r="U231" s="137" t="s">
        <v>572</v>
      </c>
    </row>
    <row r="232" spans="1:21">
      <c r="A232" t="s">
        <v>564</v>
      </c>
      <c r="B232" t="e">
        <v>#N/A</v>
      </c>
      <c r="C232" t="e">
        <v>#N/A</v>
      </c>
      <c r="D232" t="e">
        <v>#N/A</v>
      </c>
      <c r="E232" t="e">
        <v>#N/A</v>
      </c>
      <c r="F232" t="e">
        <v>#N/A</v>
      </c>
      <c r="G232" t="e">
        <v>#N/A</v>
      </c>
      <c r="H232" t="e">
        <v>#N/A</v>
      </c>
      <c r="I232" t="e">
        <v>#N/A</v>
      </c>
      <c r="J232" t="e">
        <v>#N/A</v>
      </c>
      <c r="K232" t="e">
        <v>#N/A</v>
      </c>
      <c r="L232" t="s">
        <v>575</v>
      </c>
      <c r="R232">
        <v>0.5</v>
      </c>
      <c r="S232" s="256">
        <v>0.5958</v>
      </c>
      <c r="T232" s="256">
        <v>0.75329999999999997</v>
      </c>
      <c r="U232" s="256">
        <v>0.4365</v>
      </c>
    </row>
    <row r="233" spans="1:21">
      <c r="A233" t="s">
        <v>870</v>
      </c>
      <c r="B233" t="e">
        <v>#N/A</v>
      </c>
      <c r="C233" t="e">
        <v>#N/A</v>
      </c>
      <c r="D233" t="e">
        <v>#N/A</v>
      </c>
      <c r="E233" t="e">
        <v>#N/A</v>
      </c>
      <c r="F233" t="e">
        <v>#N/A</v>
      </c>
      <c r="G233" t="e">
        <v>#N/A</v>
      </c>
      <c r="H233" t="e">
        <v>#N/A</v>
      </c>
      <c r="I233" t="e">
        <v>#N/A</v>
      </c>
      <c r="J233" t="e">
        <v>#N/A</v>
      </c>
      <c r="K233" t="e">
        <v>#N/A</v>
      </c>
      <c r="L233" s="256">
        <f>S232+R232*((T232-S232)/2.2)</f>
        <v>0.63159545454545452</v>
      </c>
    </row>
    <row r="234" spans="1:21">
      <c r="A234" t="s">
        <v>871</v>
      </c>
      <c r="B234" t="e">
        <v>#N/A</v>
      </c>
      <c r="C234" t="e">
        <v>#N/A</v>
      </c>
      <c r="D234" t="e">
        <v>#N/A</v>
      </c>
      <c r="E234" t="e">
        <v>#N/A</v>
      </c>
      <c r="F234" t="e">
        <v>#N/A</v>
      </c>
      <c r="G234" t="e">
        <v>#N/A</v>
      </c>
      <c r="H234" t="e">
        <v>#N/A</v>
      </c>
      <c r="I234" t="e">
        <v>#N/A</v>
      </c>
      <c r="J234" t="e">
        <v>#N/A</v>
      </c>
      <c r="K234" t="e">
        <v>#N/A</v>
      </c>
      <c r="L234" t="s">
        <v>576</v>
      </c>
    </row>
    <row r="235" spans="1:21">
      <c r="A235" t="s">
        <v>872</v>
      </c>
      <c r="B235" t="e">
        <v>#N/A</v>
      </c>
      <c r="C235" t="e">
        <v>#N/A</v>
      </c>
      <c r="D235" t="e">
        <v>#N/A</v>
      </c>
      <c r="E235" t="e">
        <v>#N/A</v>
      </c>
      <c r="F235" t="e">
        <v>#N/A</v>
      </c>
      <c r="G235" t="e">
        <v>#N/A</v>
      </c>
      <c r="H235" t="e">
        <v>#N/A</v>
      </c>
      <c r="I235" t="e">
        <v>#N/A</v>
      </c>
      <c r="J235" t="e">
        <v>#N/A</v>
      </c>
      <c r="K235" t="e">
        <v>#N/A</v>
      </c>
      <c r="L235" s="256">
        <f>S232-R232*((S232-U232))/2.2</f>
        <v>0.55959545454545456</v>
      </c>
    </row>
    <row r="236" spans="1:21">
      <c r="A236" t="s">
        <v>873</v>
      </c>
      <c r="B236" t="e">
        <v>#N/A</v>
      </c>
      <c r="C236" t="e">
        <v>#N/A</v>
      </c>
      <c r="D236" t="e">
        <v>#N/A</v>
      </c>
      <c r="E236" t="e">
        <v>#N/A</v>
      </c>
      <c r="F236" t="e">
        <v>#N/A</v>
      </c>
      <c r="G236" t="e">
        <v>#N/A</v>
      </c>
      <c r="H236" t="e">
        <v>#N/A</v>
      </c>
      <c r="I236" t="e">
        <v>#N/A</v>
      </c>
      <c r="J236" t="e">
        <v>#N/A</v>
      </c>
      <c r="K236" t="e">
        <v>#N/A</v>
      </c>
    </row>
    <row r="237" spans="1:21">
      <c r="A237" t="s">
        <v>874</v>
      </c>
      <c r="B237" t="e">
        <v>#N/A</v>
      </c>
      <c r="C237" t="e">
        <v>#N/A</v>
      </c>
      <c r="D237" t="e">
        <v>#N/A</v>
      </c>
      <c r="E237" t="e">
        <v>#N/A</v>
      </c>
      <c r="F237" t="e">
        <v>#N/A</v>
      </c>
      <c r="G237" t="e">
        <v>#N/A</v>
      </c>
      <c r="H237" t="e">
        <v>#N/A</v>
      </c>
      <c r="I237" t="e">
        <v>#N/A</v>
      </c>
      <c r="J237" t="e">
        <v>#N/A</v>
      </c>
      <c r="K237" t="e">
        <v>#N/A</v>
      </c>
      <c r="M237" t="s">
        <v>693</v>
      </c>
      <c r="O237" t="e">
        <f t="shared" ref="O237:O245" si="16">IF(M237=VLOOKUP(M237,$A$245:$A$252,1,FALSE), "Copy in", "Leave")</f>
        <v>#N/A</v>
      </c>
    </row>
    <row r="238" spans="1:21">
      <c r="A238" t="s">
        <v>875</v>
      </c>
      <c r="B238" t="e">
        <v>#N/A</v>
      </c>
      <c r="C238" t="e">
        <v>#N/A</v>
      </c>
      <c r="D238" t="e">
        <v>#N/A</v>
      </c>
      <c r="E238" t="e">
        <v>#N/A</v>
      </c>
      <c r="F238" t="e">
        <v>#N/A</v>
      </c>
      <c r="G238" t="e">
        <v>#N/A</v>
      </c>
      <c r="H238" t="e">
        <v>#N/A</v>
      </c>
      <c r="I238" t="e">
        <v>#N/A</v>
      </c>
      <c r="J238" t="e">
        <v>#N/A</v>
      </c>
      <c r="K238" t="e">
        <v>#N/A</v>
      </c>
      <c r="M238" t="s">
        <v>1109</v>
      </c>
      <c r="O238" t="str">
        <f t="shared" si="16"/>
        <v>Copy in</v>
      </c>
    </row>
    <row r="239" spans="1:21">
      <c r="A239" t="s">
        <v>800</v>
      </c>
      <c r="B239" t="e">
        <v>#N/A</v>
      </c>
      <c r="C239" t="e">
        <v>#N/A</v>
      </c>
      <c r="D239" t="e">
        <v>#N/A</v>
      </c>
      <c r="E239" t="e">
        <v>#N/A</v>
      </c>
      <c r="F239" t="e">
        <v>#N/A</v>
      </c>
      <c r="G239" t="e">
        <v>#N/A</v>
      </c>
      <c r="H239" t="e">
        <v>#N/A</v>
      </c>
      <c r="I239" t="e">
        <v>#N/A</v>
      </c>
      <c r="J239" t="e">
        <v>#N/A</v>
      </c>
      <c r="K239" t="e">
        <v>#N/A</v>
      </c>
      <c r="M239" t="s">
        <v>1106</v>
      </c>
      <c r="O239" t="str">
        <f t="shared" si="16"/>
        <v>Copy in</v>
      </c>
    </row>
    <row r="240" spans="1:21">
      <c r="A240" t="s">
        <v>876</v>
      </c>
      <c r="B240" t="e">
        <v>#N/A</v>
      </c>
      <c r="C240" t="e">
        <v>#N/A</v>
      </c>
      <c r="D240" t="e">
        <v>#N/A</v>
      </c>
      <c r="E240" t="e">
        <v>#N/A</v>
      </c>
      <c r="F240" t="e">
        <v>#N/A</v>
      </c>
      <c r="G240" t="e">
        <v>#N/A</v>
      </c>
      <c r="H240" t="e">
        <v>#N/A</v>
      </c>
      <c r="I240" t="e">
        <v>#N/A</v>
      </c>
      <c r="J240" t="e">
        <v>#N/A</v>
      </c>
      <c r="K240" t="e">
        <v>#N/A</v>
      </c>
      <c r="M240" t="s">
        <v>412</v>
      </c>
      <c r="O240" t="str">
        <f t="shared" si="16"/>
        <v>Copy in</v>
      </c>
    </row>
    <row r="241" spans="1:15">
      <c r="A241" t="s">
        <v>877</v>
      </c>
      <c r="B241" t="e">
        <v>#N/A</v>
      </c>
      <c r="C241" t="e">
        <v>#N/A</v>
      </c>
      <c r="D241" t="e">
        <v>#N/A</v>
      </c>
      <c r="E241" t="e">
        <v>#N/A</v>
      </c>
      <c r="F241" t="e">
        <v>#N/A</v>
      </c>
      <c r="G241" t="e">
        <v>#N/A</v>
      </c>
      <c r="H241" t="e">
        <v>#N/A</v>
      </c>
      <c r="I241" t="e">
        <v>#N/A</v>
      </c>
      <c r="J241" t="e">
        <v>#N/A</v>
      </c>
      <c r="K241" t="e">
        <v>#N/A</v>
      </c>
      <c r="M241" t="s">
        <v>692</v>
      </c>
      <c r="O241" t="str">
        <f t="shared" si="16"/>
        <v>Copy in</v>
      </c>
    </row>
    <row r="242" spans="1:15">
      <c r="A242" t="s">
        <v>878</v>
      </c>
      <c r="B242" t="e">
        <v>#N/A</v>
      </c>
      <c r="C242" t="e">
        <v>#N/A</v>
      </c>
      <c r="D242" t="e">
        <v>#N/A</v>
      </c>
      <c r="E242" t="e">
        <v>#N/A</v>
      </c>
      <c r="F242" t="e">
        <v>#N/A</v>
      </c>
      <c r="G242" t="e">
        <v>#N/A</v>
      </c>
      <c r="H242" t="e">
        <v>#N/A</v>
      </c>
      <c r="I242" t="e">
        <v>#N/A</v>
      </c>
      <c r="J242" t="e">
        <v>#N/A</v>
      </c>
      <c r="K242" t="e">
        <v>#N/A</v>
      </c>
      <c r="M242" t="s">
        <v>594</v>
      </c>
      <c r="O242" t="str">
        <f t="shared" si="16"/>
        <v>Copy in</v>
      </c>
    </row>
    <row r="243" spans="1:15">
      <c r="A243" t="s">
        <v>879</v>
      </c>
      <c r="B243" t="e">
        <v>#N/A</v>
      </c>
      <c r="C243" t="e">
        <v>#N/A</v>
      </c>
      <c r="D243" t="e">
        <v>#N/A</v>
      </c>
      <c r="E243" t="e">
        <v>#N/A</v>
      </c>
      <c r="F243" t="e">
        <v>#N/A</v>
      </c>
      <c r="G243" t="e">
        <v>#N/A</v>
      </c>
      <c r="H243" t="e">
        <v>#N/A</v>
      </c>
      <c r="I243" t="e">
        <v>#N/A</v>
      </c>
      <c r="J243" t="e">
        <v>#N/A</v>
      </c>
      <c r="K243" t="e">
        <v>#N/A</v>
      </c>
      <c r="M243" t="s">
        <v>1107</v>
      </c>
      <c r="O243" t="str">
        <f t="shared" si="16"/>
        <v>Copy in</v>
      </c>
    </row>
    <row r="244" spans="1:15">
      <c r="A244" t="s">
        <v>633</v>
      </c>
      <c r="B244" t="e">
        <v>#N/A</v>
      </c>
      <c r="C244" t="e">
        <v>#N/A</v>
      </c>
      <c r="D244" t="e">
        <v>#N/A</v>
      </c>
      <c r="E244" t="e">
        <v>#N/A</v>
      </c>
      <c r="F244" t="e">
        <v>#N/A</v>
      </c>
      <c r="G244" t="e">
        <v>#N/A</v>
      </c>
      <c r="H244" t="e">
        <v>#N/A</v>
      </c>
      <c r="I244" t="e">
        <v>#N/A</v>
      </c>
      <c r="J244" t="e">
        <v>#N/A</v>
      </c>
      <c r="K244" t="e">
        <v>#N/A</v>
      </c>
      <c r="M244" t="s">
        <v>250</v>
      </c>
      <c r="O244" t="str">
        <f t="shared" si="16"/>
        <v>Copy in</v>
      </c>
    </row>
    <row r="245" spans="1:15">
      <c r="A245" t="s">
        <v>1105</v>
      </c>
      <c r="B245" t="e">
        <v>#N/A</v>
      </c>
      <c r="C245" t="e">
        <v>#N/A</v>
      </c>
      <c r="D245" t="e">
        <v>#N/A</v>
      </c>
      <c r="E245" t="e">
        <v>#N/A</v>
      </c>
      <c r="F245" t="e">
        <v>#N/A</v>
      </c>
      <c r="G245" t="e">
        <v>#N/A</v>
      </c>
      <c r="H245" t="e">
        <v>#N/A</v>
      </c>
      <c r="I245" t="e">
        <v>#N/A</v>
      </c>
      <c r="J245" t="e">
        <v>#N/A</v>
      </c>
      <c r="K245" t="e">
        <v>#N/A</v>
      </c>
      <c r="M245" t="s">
        <v>1108</v>
      </c>
      <c r="O245" t="e">
        <f t="shared" si="16"/>
        <v>#N/A</v>
      </c>
    </row>
    <row r="246" spans="1:15">
      <c r="A246" t="s">
        <v>1109</v>
      </c>
      <c r="B246" t="e">
        <v>#N/A</v>
      </c>
      <c r="C246" t="e">
        <v>#N/A</v>
      </c>
      <c r="D246" t="e">
        <v>#N/A</v>
      </c>
      <c r="E246" t="e">
        <v>#N/A</v>
      </c>
      <c r="F246" t="e">
        <v>#N/A</v>
      </c>
      <c r="G246" t="e">
        <v>#N/A</v>
      </c>
      <c r="H246" t="e">
        <v>#N/A</v>
      </c>
      <c r="I246" t="e">
        <v>#N/A</v>
      </c>
      <c r="J246" t="e">
        <v>#N/A</v>
      </c>
      <c r="K246" t="e">
        <v>#N/A</v>
      </c>
    </row>
    <row r="247" spans="1:15">
      <c r="A247" t="s">
        <v>1106</v>
      </c>
      <c r="B247" t="e">
        <v>#N/A</v>
      </c>
      <c r="C247" t="e">
        <v>#N/A</v>
      </c>
      <c r="D247" t="e">
        <v>#N/A</v>
      </c>
      <c r="E247" t="e">
        <v>#N/A</v>
      </c>
      <c r="F247" t="e">
        <v>#N/A</v>
      </c>
      <c r="G247" t="e">
        <v>#N/A</v>
      </c>
      <c r="H247" t="e">
        <v>#N/A</v>
      </c>
      <c r="I247" t="e">
        <v>#N/A</v>
      </c>
      <c r="J247" t="e">
        <v>#N/A</v>
      </c>
      <c r="K247" t="e">
        <v>#N/A</v>
      </c>
    </row>
    <row r="248" spans="1:15">
      <c r="A248" t="s">
        <v>412</v>
      </c>
      <c r="B248" t="e">
        <v>#N/A</v>
      </c>
      <c r="C248" t="e">
        <v>#N/A</v>
      </c>
      <c r="D248" t="e">
        <v>#N/A</v>
      </c>
      <c r="E248" t="e">
        <v>#N/A</v>
      </c>
      <c r="F248" t="e">
        <v>#N/A</v>
      </c>
      <c r="G248" t="e">
        <v>#N/A</v>
      </c>
      <c r="H248" t="e">
        <v>#N/A</v>
      </c>
      <c r="I248" t="e">
        <v>#N/A</v>
      </c>
      <c r="J248" t="e">
        <v>#N/A</v>
      </c>
      <c r="K248" t="e">
        <v>#N/A</v>
      </c>
    </row>
    <row r="249" spans="1:15">
      <c r="A249" t="s">
        <v>692</v>
      </c>
      <c r="B249" t="e">
        <v>#N/A</v>
      </c>
      <c r="C249" t="e">
        <v>#N/A</v>
      </c>
      <c r="D249" t="e">
        <v>#N/A</v>
      </c>
      <c r="E249" t="e">
        <v>#N/A</v>
      </c>
      <c r="F249" t="e">
        <v>#N/A</v>
      </c>
      <c r="G249" t="e">
        <v>#N/A</v>
      </c>
      <c r="H249" t="e">
        <v>#N/A</v>
      </c>
      <c r="I249" t="e">
        <v>#N/A</v>
      </c>
      <c r="J249" t="e">
        <v>#N/A</v>
      </c>
      <c r="K249" t="e">
        <v>#N/A</v>
      </c>
    </row>
    <row r="250" spans="1:15">
      <c r="A250" t="s">
        <v>594</v>
      </c>
      <c r="B250" t="e">
        <v>#N/A</v>
      </c>
      <c r="C250" t="e">
        <v>#N/A</v>
      </c>
      <c r="D250" t="e">
        <v>#N/A</v>
      </c>
      <c r="E250" t="e">
        <v>#N/A</v>
      </c>
      <c r="F250" t="e">
        <v>#N/A</v>
      </c>
      <c r="G250" t="e">
        <v>#N/A</v>
      </c>
      <c r="H250" t="e">
        <v>#N/A</v>
      </c>
      <c r="I250" t="e">
        <v>#N/A</v>
      </c>
      <c r="J250" t="e">
        <v>#N/A</v>
      </c>
      <c r="K250" t="e">
        <v>#N/A</v>
      </c>
    </row>
    <row r="251" spans="1:15">
      <c r="A251" t="s">
        <v>1107</v>
      </c>
      <c r="B251" t="e">
        <v>#N/A</v>
      </c>
      <c r="C251" t="e">
        <v>#N/A</v>
      </c>
      <c r="D251" t="e">
        <v>#N/A</v>
      </c>
      <c r="E251" t="e">
        <v>#N/A</v>
      </c>
      <c r="F251" t="e">
        <v>#N/A</v>
      </c>
      <c r="G251" t="e">
        <v>#N/A</v>
      </c>
      <c r="H251" t="e">
        <v>#N/A</v>
      </c>
      <c r="I251" t="e">
        <v>#N/A</v>
      </c>
      <c r="J251" t="e">
        <v>#N/A</v>
      </c>
      <c r="K251" t="e">
        <v>#N/A</v>
      </c>
    </row>
    <row r="252" spans="1:15">
      <c r="A252" t="s">
        <v>250</v>
      </c>
      <c r="B252" t="e">
        <v>#N/A</v>
      </c>
      <c r="C252" t="e">
        <v>#N/A</v>
      </c>
      <c r="D252" t="e">
        <v>#N/A</v>
      </c>
      <c r="E252" t="e">
        <v>#N/A</v>
      </c>
      <c r="F252" t="e">
        <v>#N/A</v>
      </c>
      <c r="G252" t="e">
        <v>#N/A</v>
      </c>
      <c r="H252" t="e">
        <v>#N/A</v>
      </c>
      <c r="I252" t="e">
        <v>#N/A</v>
      </c>
      <c r="J252" t="e">
        <v>#N/A</v>
      </c>
      <c r="K252" t="e">
        <v>#N/A</v>
      </c>
    </row>
    <row r="253" spans="1:15">
      <c r="A253" t="s">
        <v>1108</v>
      </c>
      <c r="B253" t="e">
        <v>#N/A</v>
      </c>
      <c r="C253" t="e">
        <v>#N/A</v>
      </c>
      <c r="D253" t="e">
        <v>#N/A</v>
      </c>
      <c r="E253" t="e">
        <v>#N/A</v>
      </c>
      <c r="F253" t="e">
        <v>#N/A</v>
      </c>
      <c r="G253" t="e">
        <v>#N/A</v>
      </c>
      <c r="H253" t="e">
        <v>#N/A</v>
      </c>
      <c r="I253" t="e">
        <v>#N/A</v>
      </c>
      <c r="J253" t="e">
        <v>#N/A</v>
      </c>
      <c r="K253" t="e">
        <v>#N/A</v>
      </c>
    </row>
    <row r="254" spans="1:15">
      <c r="A254" t="s">
        <v>1131</v>
      </c>
      <c r="H254" s="14">
        <f>$M$2*B254+$N$2*C254+$O$2*D254+$P$2*E254+$Q$2*F254</f>
        <v>0</v>
      </c>
      <c r="I254" s="14">
        <f>$M$5*B254+$N$5*C254+$O$5*D254+$P$5*E254+$Q$5*F254+$R$5*G254</f>
        <v>0</v>
      </c>
    </row>
    <row r="255" spans="1:15">
      <c r="A255" t="s">
        <v>1133</v>
      </c>
      <c r="H255" s="14">
        <f>$M$2*B255+$N$2*C255+$O$2*D255+$P$2*E255+$Q$2*F255</f>
        <v>0</v>
      </c>
      <c r="I255" s="14">
        <f>$M$5*B255+$N$5*C255+$O$5*D255+$P$5*E255+$Q$5*F255+$R$5*G255</f>
        <v>0</v>
      </c>
    </row>
    <row r="256" spans="1:15">
      <c r="A256" t="s">
        <v>83</v>
      </c>
      <c r="H256" s="14">
        <f>$M$2*B256+$N$2*C256+$O$2*D256+$P$2*E256+$Q$2*F256</f>
        <v>0</v>
      </c>
      <c r="I256" s="14">
        <f>$M$5*B256+$N$5*C256+$O$5*D256+$P$5*E256+$Q$5*F256+$R$5*G256</f>
        <v>0</v>
      </c>
    </row>
    <row r="257" spans="1:9">
      <c r="A257" t="s">
        <v>84</v>
      </c>
      <c r="H257" s="14">
        <f>$M$2*B257+$N$2*C257+$O$2*D257+$P$2*E257+$Q$2*F257</f>
        <v>0</v>
      </c>
      <c r="I257" s="14">
        <f>$M$5*B257+$N$5*C257+$O$5*D257+$P$5*E257+$Q$5*F257+$R$5*G257</f>
        <v>0</v>
      </c>
    </row>
    <row r="258" spans="1:9">
      <c r="A258" t="s">
        <v>239</v>
      </c>
      <c r="H258" s="14">
        <f>$M$2*B258+$N$2*C258+$O$2*D258+$P$2*E258+$Q$2*F258</f>
        <v>0</v>
      </c>
      <c r="I258" s="14">
        <f>$M$5*B258+$N$5*C258+$O$5*D258+$P$5*E258+$Q$5*F258+$R$5*G258</f>
        <v>0</v>
      </c>
    </row>
    <row r="259" spans="1:9">
      <c r="A259" t="s">
        <v>249</v>
      </c>
      <c r="H259" s="14">
        <f>$M$2*B259+$N$2*C259+$O$2*D259+$P$2*E259+$Q$2*F259</f>
        <v>0</v>
      </c>
      <c r="I259" s="14">
        <f>$M$5*B259+$N$5*C259+$O$5*D259+$P$5*E259+$Q$5*F259+$R$5*G259</f>
        <v>0</v>
      </c>
    </row>
    <row r="260" spans="1:9">
      <c r="A260" t="s">
        <v>242</v>
      </c>
      <c r="H260" s="14">
        <f>$M$2*B260+$N$2*C260+$O$2*D260+$P$2*E260+$Q$2*F260</f>
        <v>0</v>
      </c>
      <c r="I260" s="14">
        <f>$M$5*B260+$N$5*C260+$O$5*D260+$P$5*E260+$Q$5*F260+$R$5*G260</f>
        <v>0</v>
      </c>
    </row>
    <row r="261" spans="1:9">
      <c r="A261" t="s">
        <v>91</v>
      </c>
      <c r="H261" s="14">
        <f>$M$2*B261+$N$2*C261+$O$2*D261+$P$2*E261+$Q$2*F261</f>
        <v>0</v>
      </c>
      <c r="I261" s="14">
        <f>$M$5*B261+$N$5*C261+$O$5*D261+$P$5*E261+$Q$5*F261+$R$5*G261</f>
        <v>0</v>
      </c>
    </row>
    <row r="262" spans="1:9">
      <c r="A262" t="s">
        <v>1158</v>
      </c>
      <c r="H262" s="14">
        <f>$M$2*B262+$N$2*C262+$O$2*D262+$P$2*E262+$Q$2*F262</f>
        <v>0</v>
      </c>
      <c r="I262" s="14">
        <f>$M$5*B262+$N$5*C262+$O$5*D262+$P$5*E262+$Q$5*F262+$R$5*G262</f>
        <v>0</v>
      </c>
    </row>
    <row r="263" spans="1:9">
      <c r="A263" t="s">
        <v>1149</v>
      </c>
      <c r="H263" s="14">
        <f>$M$2*B263+$N$2*C263+$O$2*D263+$P$2*E263+$Q$2*F263</f>
        <v>0</v>
      </c>
      <c r="I263" s="14">
        <f>$M$5*B263+$N$5*C263+$O$5*D263+$P$5*E263+$Q$5*F263+$R$5*G263</f>
        <v>0</v>
      </c>
    </row>
    <row r="264" spans="1:9">
      <c r="A264" t="s">
        <v>45</v>
      </c>
      <c r="H264" s="14">
        <f>$M$2*B264+$N$2*C264+$O$2*D264+$P$2*E264+$Q$2*F264</f>
        <v>0</v>
      </c>
      <c r="I264" s="14">
        <f>$M$5*B264+$N$5*C264+$O$5*D264+$P$5*E264+$Q$5*F264+$R$5*G264</f>
        <v>0</v>
      </c>
    </row>
    <row r="265" spans="1:9">
      <c r="A265" t="s">
        <v>71</v>
      </c>
      <c r="H265" s="14">
        <f>$M$2*B265+$N$2*C265+$O$2*D265+$P$2*E265+$Q$2*F265</f>
        <v>0</v>
      </c>
      <c r="I265" s="14">
        <f>$M$5*B265+$N$5*C265+$O$5*D265+$P$5*E265+$Q$5*F265+$R$5*G265</f>
        <v>0</v>
      </c>
    </row>
    <row r="266" spans="1:9">
      <c r="A266" t="s">
        <v>1132</v>
      </c>
      <c r="H266" s="14">
        <f>$M$2*B266+$N$2*C266+$O$2*D266+$P$2*E266+$Q$2*F266</f>
        <v>0</v>
      </c>
      <c r="I266" s="14">
        <f>$M$5*B266+$N$5*C266+$O$5*D266+$P$5*E266+$Q$5*F266+$R$5*G266</f>
        <v>0</v>
      </c>
    </row>
    <row r="267" spans="1:9">
      <c r="A267" t="s">
        <v>1140</v>
      </c>
      <c r="H267" s="14">
        <f>$M$2*B267+$N$2*C267+$O$2*D267+$P$2*E267+$Q$2*F267</f>
        <v>0</v>
      </c>
      <c r="I267" s="14">
        <f>$M$5*B267+$N$5*C267+$O$5*D267+$P$5*E267+$Q$5*F267+$R$5*G267</f>
        <v>0</v>
      </c>
    </row>
    <row r="268" spans="1:9">
      <c r="A268" t="s">
        <v>1154</v>
      </c>
      <c r="H268" s="14">
        <f>$M$2*B268+$N$2*C268+$O$2*D268+$P$2*E268+$Q$2*F268</f>
        <v>0</v>
      </c>
      <c r="I268" s="14">
        <f>$M$5*B268+$N$5*C268+$O$5*D268+$P$5*E268+$Q$5*F268+$R$5*G268</f>
        <v>0</v>
      </c>
    </row>
    <row r="269" spans="1:9">
      <c r="A269" t="s">
        <v>1137</v>
      </c>
      <c r="H269" s="14">
        <f>$M$2*B269+$N$2*C269+$O$2*D269+$P$2*E269+$Q$2*F269</f>
        <v>0</v>
      </c>
      <c r="I269" s="14">
        <f>$M$5*B269+$N$5*C269+$O$5*D269+$P$5*E269+$Q$5*F269+$R$5*G269</f>
        <v>0</v>
      </c>
    </row>
    <row r="270" spans="1:9">
      <c r="A270" t="s">
        <v>1153</v>
      </c>
      <c r="H270" s="14">
        <f>$M$2*B270+$N$2*C270+$O$2*D270+$P$2*E270+$Q$2*F270</f>
        <v>0</v>
      </c>
      <c r="I270" s="14">
        <f>$M$5*B270+$N$5*C270+$O$5*D270+$P$5*E270+$Q$5*F270+$R$5*G270</f>
        <v>0</v>
      </c>
    </row>
    <row r="271" spans="1:9">
      <c r="A271" t="s">
        <v>1143</v>
      </c>
      <c r="H271" s="14">
        <f t="shared" ref="H271:H272" si="17">$M$2*B271+$N$2*C271+$O$2*D271+$P$2*E271+$Q$2*F271</f>
        <v>0</v>
      </c>
      <c r="I271" s="14">
        <f t="shared" ref="I271:I272" si="18">$M$5*B271+$N$5*C271+$O$5*D271+$P$5*E271+$Q$5*F271+$R$5*G271</f>
        <v>0</v>
      </c>
    </row>
    <row r="272" spans="1:9">
      <c r="A272" t="s">
        <v>1136</v>
      </c>
      <c r="H272" s="14">
        <f t="shared" si="17"/>
        <v>0</v>
      </c>
      <c r="I272" s="14">
        <f t="shared" si="18"/>
        <v>0</v>
      </c>
    </row>
    <row r="273" spans="1:9">
      <c r="A273" t="s">
        <v>1142</v>
      </c>
      <c r="H273" s="14">
        <f>$M$2*B273+$N$2*C273+$O$2*D273+$P$2*E273+$Q$2*F273</f>
        <v>0</v>
      </c>
      <c r="I273" s="14">
        <f>$M$5*B273+$N$5*C273+$O$5*D273+$P$5*E273+$Q$5*F273+$R$5*G273</f>
        <v>0</v>
      </c>
    </row>
    <row r="274" spans="1:9">
      <c r="A274" t="s">
        <v>1145</v>
      </c>
      <c r="H274" s="14">
        <f t="shared" ref="H274" si="19">$M$2*B274+$N$2*C274+$O$2*D274+$P$2*E274+$Q$2*F274</f>
        <v>0</v>
      </c>
      <c r="I274" s="14">
        <f t="shared" ref="I274" si="20">$M$5*B274+$N$5*C274+$O$5*D274+$P$5*E274+$Q$5*F274+$R$5*G274</f>
        <v>0</v>
      </c>
    </row>
    <row r="275" spans="1:9">
      <c r="A275" t="s">
        <v>1134</v>
      </c>
      <c r="H275" s="14">
        <f>$M$2*B275+$N$2*C275+$O$2*D275+$P$2*E275+$Q$2*F275</f>
        <v>0</v>
      </c>
      <c r="I275" s="14">
        <f>$M$5*B275+$N$5*C275+$O$5*D275+$P$5*E275+$Q$5*F275+$R$5*G275</f>
        <v>0</v>
      </c>
    </row>
    <row r="276" spans="1:9">
      <c r="A276" t="s">
        <v>1146</v>
      </c>
      <c r="H276" s="14">
        <f>$M$2*B276+$N$2*C276+$O$2*D276+$P$2*E276+$Q$2*F276</f>
        <v>0</v>
      </c>
      <c r="I276" s="14">
        <f>$M$5*B276+$N$5*C276+$O$5*D276+$P$5*E276+$Q$5*F276+$R$5*G276</f>
        <v>0</v>
      </c>
    </row>
    <row r="277" spans="1:9">
      <c r="A277" t="s">
        <v>1144</v>
      </c>
      <c r="H277" s="14">
        <f>$M$2*B277+$N$2*C277+$O$2*D277+$P$2*E277+$Q$2*F277</f>
        <v>0</v>
      </c>
      <c r="I277" s="14">
        <f>$M$5*B277+$N$5*C277+$O$5*D277+$P$5*E277+$Q$5*F277+$R$5*G277</f>
        <v>0</v>
      </c>
    </row>
    <row r="278" spans="1:9">
      <c r="A278" t="s">
        <v>1139</v>
      </c>
      <c r="H278" s="14">
        <f>$M$2*B278+$N$2*C278+$O$2*D278+$P$2*E278+$Q$2*F278</f>
        <v>0</v>
      </c>
      <c r="I278" s="14">
        <f>$M$5*B278+$N$5*C278+$O$5*D278+$P$5*E278+$Q$5*F278+$R$5*G278</f>
        <v>0</v>
      </c>
    </row>
  </sheetData>
  <mergeCells count="3">
    <mergeCell ref="M1:Q1"/>
    <mergeCell ref="L211:U211"/>
    <mergeCell ref="L224:U224"/>
  </mergeCells>
  <phoneticPr fontId="19" type="noConversion"/>
  <conditionalFormatting sqref="B2:G217 J2:K218 B218:K253">
    <cfRule type="cellIs" dxfId="562" priority="2" operator="between">
      <formula>100.5</formula>
      <formula>250</formula>
    </cfRule>
    <cfRule type="cellIs" dxfId="561" priority="3" operator="between">
      <formula>50.5</formula>
      <formula>100</formula>
    </cfRule>
    <cfRule type="cellIs" dxfId="560" priority="4" operator="between">
      <formula>20.5</formula>
      <formula>50</formula>
    </cfRule>
    <cfRule type="cellIs" dxfId="559" priority="5" operator="lessThanOrEqual">
      <formula>20</formula>
    </cfRule>
  </conditionalFormatting>
  <conditionalFormatting sqref="A1:A1048576">
    <cfRule type="duplicateValues" dxfId="558" priority="1"/>
  </conditionalFormatting>
  <pageMargins left="0.7" right="0.7" top="0.75" bottom="0.75" header="0.3" footer="0.3"/>
  <drawing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5C3B6-322D-42C7-9224-D45605377BED}">
  <sheetPr codeName="Sheet13">
    <tabColor rgb="FF92D050"/>
  </sheetPr>
  <dimension ref="A1:AE232"/>
  <sheetViews>
    <sheetView topLeftCell="A159" zoomScale="70" zoomScaleNormal="70" workbookViewId="0">
      <selection activeCell="AC201" sqref="AC201"/>
    </sheetView>
  </sheetViews>
  <sheetFormatPr defaultRowHeight="15"/>
  <cols>
    <col min="1" max="1" width="24.85546875" bestFit="1" customWidth="1"/>
    <col min="2" max="2" width="11.140625" customWidth="1"/>
    <col min="3" max="3" width="10.28515625" customWidth="1"/>
    <col min="4" max="4" width="10.5703125" customWidth="1"/>
    <col min="5" max="5" width="10.140625" customWidth="1"/>
    <col min="6" max="6" width="11.28515625" customWidth="1"/>
    <col min="7" max="7" width="10.5703125" customWidth="1"/>
    <col min="8" max="8" width="13.85546875" customWidth="1"/>
    <col min="9" max="9" width="27.42578125" bestFit="1" customWidth="1"/>
    <col min="10" max="10" width="10.28515625" bestFit="1" customWidth="1"/>
    <col min="11" max="12" width="10" bestFit="1" customWidth="1"/>
    <col min="13" max="13" width="10.140625" bestFit="1" customWidth="1"/>
    <col min="14" max="14" width="11.140625" bestFit="1" customWidth="1"/>
    <col min="15" max="15" width="8.5703125" bestFit="1" customWidth="1"/>
    <col min="16" max="16" width="16.7109375" bestFit="1" customWidth="1"/>
    <col min="17" max="17" width="20.7109375" customWidth="1"/>
    <col min="18" max="18" width="21.28515625" customWidth="1"/>
    <col min="19" max="19" width="26" customWidth="1"/>
    <col min="20" max="20" width="15.85546875" hidden="1" customWidth="1"/>
    <col min="21" max="21" width="12.42578125" hidden="1" customWidth="1"/>
    <col min="22" max="22" width="18.85546875" hidden="1" customWidth="1"/>
    <col min="23" max="23" width="17.140625" hidden="1" customWidth="1"/>
    <col min="24" max="24" width="22.85546875" bestFit="1" customWidth="1"/>
    <col min="26" max="26" width="16.28515625" customWidth="1"/>
    <col min="27" max="27" width="14.42578125" bestFit="1" customWidth="1"/>
  </cols>
  <sheetData>
    <row r="1" spans="1:31" ht="15.75" thickBot="1">
      <c r="A1" t="s">
        <v>216</v>
      </c>
      <c r="B1" t="s">
        <v>263</v>
      </c>
      <c r="C1" t="s">
        <v>264</v>
      </c>
      <c r="D1" t="s">
        <v>265</v>
      </c>
      <c r="E1" t="s">
        <v>266</v>
      </c>
      <c r="F1" t="s">
        <v>267</v>
      </c>
      <c r="G1" t="s">
        <v>200</v>
      </c>
      <c r="I1" s="24" t="s">
        <v>216</v>
      </c>
      <c r="J1" s="7" t="s">
        <v>263</v>
      </c>
      <c r="K1" s="7" t="s">
        <v>264</v>
      </c>
      <c r="L1" s="7" t="s">
        <v>265</v>
      </c>
      <c r="M1" s="7" t="s">
        <v>266</v>
      </c>
      <c r="N1" s="25" t="s">
        <v>267</v>
      </c>
      <c r="O1" s="357" t="s">
        <v>200</v>
      </c>
      <c r="P1" s="26" t="s">
        <v>201</v>
      </c>
      <c r="Q1" s="117" t="s">
        <v>202</v>
      </c>
      <c r="R1" s="117" t="s">
        <v>525</v>
      </c>
      <c r="S1" s="117" t="s">
        <v>526</v>
      </c>
      <c r="T1" s="26" t="s">
        <v>326</v>
      </c>
      <c r="U1" s="117" t="s">
        <v>324</v>
      </c>
      <c r="V1" s="117" t="s">
        <v>325</v>
      </c>
      <c r="W1" s="117" t="s">
        <v>323</v>
      </c>
      <c r="X1" s="117" t="s">
        <v>597</v>
      </c>
      <c r="Z1" s="404" t="s">
        <v>335</v>
      </c>
      <c r="AA1" s="404"/>
      <c r="AB1" s="404"/>
      <c r="AC1" s="404"/>
      <c r="AD1" s="404"/>
      <c r="AE1" s="404"/>
    </row>
    <row r="2" spans="1:31">
      <c r="A2" t="str">
        <f>DIST!A2</f>
        <v>Cameron Champ</v>
      </c>
      <c r="B2">
        <f>VLOOKUP(Raw_Data4[[#This Row],[PLAYER NAME]],DIST!$A:$E,2,FALSE)</f>
        <v>1</v>
      </c>
      <c r="C2">
        <f>VLOOKUP(Raw_Data4[[#This Row],[PLAYER NAME]],ACC!$A:$E,2,FALSE)</f>
        <v>143</v>
      </c>
      <c r="D2">
        <f>VLOOKUP(Raw_Data4[[#This Row],[PLAYER NAME]],APP!$A:$E,2,FALSE)</f>
        <v>179</v>
      </c>
      <c r="E2">
        <f>VLOOKUP(Raw_Data4[[#This Row],[PLAYER NAME]],ARG!$A:$E,2,FALSE)</f>
        <v>176</v>
      </c>
      <c r="F2">
        <f>VLOOKUP(Raw_Data4[[#This Row],[PLAYER NAME]],PUTT!$A:$E,2,FALSE)</f>
        <v>25</v>
      </c>
      <c r="G2">
        <f>VLOOKUP(Raw_Data4[[#This Row],[PLAYER NAME]],SG!$A:$E,3,FALSE)</f>
        <v>120</v>
      </c>
      <c r="I2" s="34" t="str">
        <f>Raw_Data4[[#This Row],[PLAYER NAME]]</f>
        <v>Cameron Champ</v>
      </c>
      <c r="J2" s="29">
        <f>Raw_Data4[[#This Row],[DIST]]</f>
        <v>1</v>
      </c>
      <c r="K2" s="29">
        <f>Raw_Data4[[#This Row],[ACC]]</f>
        <v>143</v>
      </c>
      <c r="L2" s="29">
        <f>Raw_Data4[[#This Row],[APP]]</f>
        <v>179</v>
      </c>
      <c r="M2" s="29">
        <f>Raw_Data4[[#This Row],[ARG]]</f>
        <v>176</v>
      </c>
      <c r="N2" s="29">
        <f>Raw_Data4[[#This Row],[PUTT]]</f>
        <v>25</v>
      </c>
      <c r="O2" s="31">
        <f>Raw_Data4[[#This Row],[SG]]</f>
        <v>120</v>
      </c>
      <c r="P2" s="34">
        <f t="shared" ref="P2:P33" si="0">$Z$2*J2+$AA$2*K2+$AB$2*L2+$AC$2*M2+$AD$2*N2</f>
        <v>280.60000000000002</v>
      </c>
      <c r="Q2" s="358">
        <f t="shared" ref="Q2:Q33" si="1">$Z$5*J2+$AA$5*K2+$AB$5*L2+$AC$5*M2+$AD$5*N2+$AE$5*O2</f>
        <v>462.0719040212586</v>
      </c>
      <c r="R2" s="226">
        <f>(($Z$9-(X2/40)*($Z$9))*VLOOKUP($I2,'2023'!$A$2:$I$278,8,FALSE))+((1-(($Z$9-(X2/40)*($Z$9))))*P2)</f>
        <v>288.42544516207164</v>
      </c>
      <c r="S2" s="333">
        <f>(($Z$9-(X2/40)*($Z$9))*VLOOKUP($I2,'2023'!$A$2:$I$278,9,FALSE))+((1-(($Z$9-(X2/40)*($Z$9))))*Q2)</f>
        <v>489.62115606969746</v>
      </c>
      <c r="T2" s="94"/>
      <c r="U2" s="16"/>
      <c r="V2" s="16"/>
      <c r="W2" s="16"/>
      <c r="X2" s="16">
        <f>VLOOKUP(I2,FEDEX!$A$2:$H$270,4,FALSE)</f>
        <v>10</v>
      </c>
      <c r="Z2" s="103">
        <f>'2023'!M2</f>
        <v>0.9</v>
      </c>
      <c r="AA2" s="103">
        <f>'2023'!N2</f>
        <v>0.5</v>
      </c>
      <c r="AB2" s="103">
        <f>'2023'!O2</f>
        <v>0.7</v>
      </c>
      <c r="AC2" s="103">
        <f>'2023'!P2</f>
        <v>0.4</v>
      </c>
      <c r="AD2" s="103">
        <f>'2023'!Q2</f>
        <v>0.5</v>
      </c>
      <c r="AE2" s="103"/>
    </row>
    <row r="3" spans="1:31">
      <c r="A3" t="str">
        <f>DIST!A3</f>
        <v>Chris Gotterup</v>
      </c>
      <c r="B3">
        <f>VLOOKUP(Raw_Data4[[#This Row],[PLAYER NAME]],DIST!$A:$E,2,FALSE)</f>
        <v>2</v>
      </c>
      <c r="C3">
        <f>VLOOKUP(Raw_Data4[[#This Row],[PLAYER NAME]],ACC!$A:$E,2,FALSE)</f>
        <v>182</v>
      </c>
      <c r="D3">
        <f>VLOOKUP(Raw_Data4[[#This Row],[PLAYER NAME]],APP!$A:$E,2,FALSE)</f>
        <v>152</v>
      </c>
      <c r="E3">
        <f>VLOOKUP(Raw_Data4[[#This Row],[PLAYER NAME]],ARG!$A:$E,2,FALSE)</f>
        <v>122</v>
      </c>
      <c r="F3">
        <f>VLOOKUP(Raw_Data4[[#This Row],[PLAYER NAME]],PUTT!$A:$E,2,FALSE)</f>
        <v>45</v>
      </c>
      <c r="G3">
        <f>VLOOKUP(Raw_Data4[[#This Row],[PLAYER NAME]],SG!$A:$E,3,FALSE)</f>
        <v>108</v>
      </c>
      <c r="I3" s="34" t="str">
        <f>Raw_Data4[[#This Row],[PLAYER NAME]]</f>
        <v>Chris Gotterup</v>
      </c>
      <c r="J3">
        <f>Raw_Data4[[#This Row],[DIST]]</f>
        <v>2</v>
      </c>
      <c r="K3">
        <f>Raw_Data4[[#This Row],[ACC]]</f>
        <v>182</v>
      </c>
      <c r="L3">
        <f>Raw_Data4[[#This Row],[APP]]</f>
        <v>152</v>
      </c>
      <c r="M3">
        <f>Raw_Data4[[#This Row],[ARG]]</f>
        <v>122</v>
      </c>
      <c r="N3">
        <f>Raw_Data4[[#This Row],[PUTT]]</f>
        <v>45</v>
      </c>
      <c r="O3" s="22">
        <f>Raw_Data4[[#This Row],[SG]]</f>
        <v>108</v>
      </c>
      <c r="P3" s="34">
        <f t="shared" si="0"/>
        <v>270.5</v>
      </c>
      <c r="Q3" s="359">
        <f t="shared" si="1"/>
        <v>425.25928879807458</v>
      </c>
      <c r="R3" s="226" t="e">
        <f>(($Z$9-(X3/40)*($Z$9))*VLOOKUP($I3,'2023'!$A$2:$I$278,8,FALSE))+((1-(($Z$9-(X3/40)*($Z$9))))*P3)</f>
        <v>#N/A</v>
      </c>
      <c r="S3" s="14" t="e">
        <f>(($Z$9-(X3/40)*($Z$9))*VLOOKUP($I3,'2023'!$A$2:$I$278,9,FALSE))+((1-(($Z$9-(X3/40)*($Z$9))))*Q3)</f>
        <v>#N/A</v>
      </c>
      <c r="T3" s="81"/>
      <c r="U3" s="16"/>
      <c r="V3" s="16"/>
      <c r="W3" s="16"/>
      <c r="X3" s="16">
        <f>VLOOKUP(I3,FEDEX!$A$2:$H$270,4,FALSE)</f>
        <v>9</v>
      </c>
      <c r="Z3" t="s">
        <v>337</v>
      </c>
    </row>
    <row r="4" spans="1:31">
      <c r="A4" t="str">
        <f>DIST!A4</f>
        <v>Kevin Dougherty</v>
      </c>
      <c r="B4">
        <f>VLOOKUP(Raw_Data4[[#This Row],[PLAYER NAME]],DIST!$A:$E,2,FALSE)</f>
        <v>3</v>
      </c>
      <c r="C4">
        <f>VLOOKUP(Raw_Data4[[#This Row],[PLAYER NAME]],ACC!$A:$E,2,FALSE)</f>
        <v>158</v>
      </c>
      <c r="D4">
        <f>VLOOKUP(Raw_Data4[[#This Row],[PLAYER NAME]],APP!$A:$E,2,FALSE)</f>
        <v>114</v>
      </c>
      <c r="E4">
        <f>VLOOKUP(Raw_Data4[[#This Row],[PLAYER NAME]],ARG!$A:$E,2,FALSE)</f>
        <v>181</v>
      </c>
      <c r="F4">
        <f>VLOOKUP(Raw_Data4[[#This Row],[PLAYER NAME]],PUTT!$A:$E,2,FALSE)</f>
        <v>77</v>
      </c>
      <c r="G4">
        <f>VLOOKUP(Raw_Data4[[#This Row],[PLAYER NAME]],SG!$A:$E,3,FALSE)</f>
        <v>85</v>
      </c>
      <c r="I4" s="34" t="str">
        <f>Raw_Data4[[#This Row],[PLAYER NAME]]</f>
        <v>Kevin Dougherty</v>
      </c>
      <c r="J4">
        <f>Raw_Data4[[#This Row],[DIST]]</f>
        <v>3</v>
      </c>
      <c r="K4">
        <f>Raw_Data4[[#This Row],[ACC]]</f>
        <v>158</v>
      </c>
      <c r="L4">
        <f>Raw_Data4[[#This Row],[APP]]</f>
        <v>114</v>
      </c>
      <c r="M4">
        <f>Raw_Data4[[#This Row],[ARG]]</f>
        <v>181</v>
      </c>
      <c r="N4">
        <f>Raw_Data4[[#This Row],[PUTT]]</f>
        <v>77</v>
      </c>
      <c r="O4" s="22">
        <f>Raw_Data4[[#This Row],[SG]]</f>
        <v>85</v>
      </c>
      <c r="P4" s="34">
        <f t="shared" si="0"/>
        <v>272.39999999999998</v>
      </c>
      <c r="Q4" s="359">
        <f t="shared" si="1"/>
        <v>411.16540351489198</v>
      </c>
      <c r="R4" s="226" t="e">
        <f>(($Z$9-(X4/40)*($Z$9))*VLOOKUP($I4,'2023'!$A$2:$I$278,8,FALSE))+((1-(($Z$9-(X4/40)*($Z$9))))*P4)</f>
        <v>#N/A</v>
      </c>
      <c r="S4" s="14" t="e">
        <f>(($Z$9-(X4/40)*($Z$9))*VLOOKUP($I4,'2023'!$A$2:$I$278,9,FALSE))+((1-(($Z$9-(X4/40)*($Z$9))))*Q4)</f>
        <v>#N/A</v>
      </c>
      <c r="T4" s="81"/>
      <c r="U4" s="16"/>
      <c r="V4" s="16"/>
      <c r="W4" s="16"/>
      <c r="X4" s="16">
        <f>VLOOKUP(I4,FEDEX!$A$2:$H$270,4,FALSE)</f>
        <v>8</v>
      </c>
      <c r="Z4" s="403" t="s">
        <v>334</v>
      </c>
      <c r="AA4" s="403"/>
      <c r="AB4" s="403"/>
      <c r="AC4" s="403"/>
      <c r="AD4" s="403"/>
      <c r="AE4" s="403"/>
    </row>
    <row r="5" spans="1:31">
      <c r="A5" t="str">
        <f>DIST!A5</f>
        <v>Rory McIlroy</v>
      </c>
      <c r="B5">
        <f>VLOOKUP(Raw_Data4[[#This Row],[PLAYER NAME]],DIST!$A:$E,2,FALSE)</f>
        <v>4</v>
      </c>
      <c r="C5">
        <f>VLOOKUP(Raw_Data4[[#This Row],[PLAYER NAME]],ACC!$A:$E,2,FALSE)</f>
        <v>17</v>
      </c>
      <c r="D5">
        <f>VLOOKUP(Raw_Data4[[#This Row],[PLAYER NAME]],APP!$A:$E,2,FALSE)</f>
        <v>61</v>
      </c>
      <c r="E5">
        <f>VLOOKUP(Raw_Data4[[#This Row],[PLAYER NAME]],ARG!$A:$E,2,FALSE)</f>
        <v>123</v>
      </c>
      <c r="F5">
        <f>VLOOKUP(Raw_Data4[[#This Row],[PLAYER NAME]],PUTT!$A:$E,2,FALSE)</f>
        <v>78</v>
      </c>
      <c r="G5">
        <f>VLOOKUP(Raw_Data4[[#This Row],[PLAYER NAME]],SG!$A:$E,3,FALSE)</f>
        <v>14</v>
      </c>
      <c r="I5" s="34" t="str">
        <f>Raw_Data4[[#This Row],[PLAYER NAME]]</f>
        <v>Rory McIlroy</v>
      </c>
      <c r="J5">
        <f>Raw_Data4[[#This Row],[DIST]]</f>
        <v>4</v>
      </c>
      <c r="K5">
        <f>Raw_Data4[[#This Row],[ACC]]</f>
        <v>17</v>
      </c>
      <c r="L5">
        <f>Raw_Data4[[#This Row],[APP]]</f>
        <v>61</v>
      </c>
      <c r="M5">
        <f>Raw_Data4[[#This Row],[ARG]]</f>
        <v>123</v>
      </c>
      <c r="N5">
        <f>Raw_Data4[[#This Row],[PUTT]]</f>
        <v>78</v>
      </c>
      <c r="O5" s="22">
        <f>Raw_Data4[[#This Row],[SG]]</f>
        <v>14</v>
      </c>
      <c r="P5" s="34">
        <f t="shared" si="0"/>
        <v>143</v>
      </c>
      <c r="Q5" s="359">
        <f t="shared" si="1"/>
        <v>191.26041074060163</v>
      </c>
      <c r="R5" s="226">
        <f>(($Z$9-(X5/40)*($Z$9))*VLOOKUP($I5,'2023'!$A$2:$I$278,8,FALSE))+((1-(($Z$9-(X5/40)*($Z$9))))*P5)</f>
        <v>135.6945350756713</v>
      </c>
      <c r="S5" s="14">
        <f>(($Z$9-(X5/40)*($Z$9))*VLOOKUP($I5,'2023'!$A$2:$I$278,9,FALSE))+((1-(($Z$9-(X5/40)*($Z$9))))*Q5)</f>
        <v>160.5708116586604</v>
      </c>
      <c r="T5" s="81"/>
      <c r="U5" s="16"/>
      <c r="V5" s="16"/>
      <c r="W5" s="16"/>
      <c r="X5" s="16">
        <f>VLOOKUP(I5,FEDEX!$A$2:$H$270,4,FALSE)</f>
        <v>7</v>
      </c>
      <c r="Z5" s="38">
        <f>'Radar Model Fit'!D103</f>
        <v>0.62495103969918797</v>
      </c>
      <c r="AA5" s="38">
        <f>'Radar Model Fit'!E103</f>
        <v>0.49926986996731798</v>
      </c>
      <c r="AB5" s="38">
        <f>'Radar Model Fit'!F103</f>
        <v>0.84256477656778062</v>
      </c>
      <c r="AC5" s="38">
        <f>'Radar Model Fit'!G103</f>
        <v>0.60341712259116387</v>
      </c>
      <c r="AD5" s="38">
        <f>'Radar Model Fit'!H103</f>
        <v>0.52123411978221412</v>
      </c>
      <c r="AE5" s="38">
        <f>'Radar Model Fit'!I103</f>
        <v>1</v>
      </c>
    </row>
    <row r="6" spans="1:31">
      <c r="A6" t="str">
        <f>DIST!A6</f>
        <v>Carl Yuan</v>
      </c>
      <c r="B6">
        <f>VLOOKUP(Raw_Data4[[#This Row],[PLAYER NAME]],DIST!$A:$E,2,FALSE)</f>
        <v>5</v>
      </c>
      <c r="C6">
        <f>VLOOKUP(Raw_Data4[[#This Row],[PLAYER NAME]],ACC!$A:$E,2,FALSE)</f>
        <v>112</v>
      </c>
      <c r="D6">
        <f>VLOOKUP(Raw_Data4[[#This Row],[PLAYER NAME]],APP!$A:$E,2,FALSE)</f>
        <v>131</v>
      </c>
      <c r="E6">
        <f>VLOOKUP(Raw_Data4[[#This Row],[PLAYER NAME]],ARG!$A:$E,2,FALSE)</f>
        <v>44</v>
      </c>
      <c r="F6">
        <f>VLOOKUP(Raw_Data4[[#This Row],[PLAYER NAME]],PUTT!$A:$E,2,FALSE)</f>
        <v>133</v>
      </c>
      <c r="G6">
        <f>VLOOKUP(Raw_Data4[[#This Row],[PLAYER NAME]],SG!$A:$E,3,FALSE)</f>
        <v>97</v>
      </c>
      <c r="I6" s="34" t="str">
        <f>Raw_Data4[[#This Row],[PLAYER NAME]]</f>
        <v>Carl Yuan</v>
      </c>
      <c r="J6">
        <f>Raw_Data4[[#This Row],[DIST]]</f>
        <v>5</v>
      </c>
      <c r="K6">
        <f>Raw_Data4[[#This Row],[ACC]]</f>
        <v>112</v>
      </c>
      <c r="L6">
        <f>Raw_Data4[[#This Row],[APP]]</f>
        <v>131</v>
      </c>
      <c r="M6">
        <f>Raw_Data4[[#This Row],[ARG]]</f>
        <v>44</v>
      </c>
      <c r="N6">
        <f>Raw_Data4[[#This Row],[PUTT]]</f>
        <v>133</v>
      </c>
      <c r="O6" s="22">
        <f>Raw_Data4[[#This Row],[SG]]</f>
        <v>97</v>
      </c>
      <c r="P6" s="34">
        <f t="shared" si="0"/>
        <v>236.29999999999998</v>
      </c>
      <c r="Q6" s="359">
        <f t="shared" si="1"/>
        <v>362.29345769026048</v>
      </c>
      <c r="R6" s="226">
        <f>(($Z$9-(X6/40)*($Z$9))*VLOOKUP($I6,'2023'!$A$2:$I$278,8,FALSE))+((1-(($Z$9-(X6/40)*($Z$9))))*P6)</f>
        <v>296.43236808749765</v>
      </c>
      <c r="S6" s="14">
        <f>(($Z$9-(X6/40)*($Z$9))*VLOOKUP($I6,'2023'!$A$2:$I$278,9,FALSE))+((1-(($Z$9-(X6/40)*($Z$9))))*Q6)</f>
        <v>456.28025579110471</v>
      </c>
      <c r="T6" s="81"/>
      <c r="U6" s="16"/>
      <c r="V6" s="16"/>
      <c r="W6" s="16"/>
      <c r="X6" s="16">
        <f>VLOOKUP(I6,FEDEX!$A$2:$H$270,4,FALSE)</f>
        <v>10</v>
      </c>
      <c r="Z6" t="s">
        <v>336</v>
      </c>
    </row>
    <row r="7" spans="1:31">
      <c r="A7" t="str">
        <f>DIST!A7</f>
        <v>Alejandro Tosti</v>
      </c>
      <c r="B7">
        <f>VLOOKUP(Raw_Data4[[#This Row],[PLAYER NAME]],DIST!$A:$E,2,FALSE)</f>
        <v>6</v>
      </c>
      <c r="C7">
        <f>VLOOKUP(Raw_Data4[[#This Row],[PLAYER NAME]],ACC!$A:$E,2,FALSE)</f>
        <v>170</v>
      </c>
      <c r="D7">
        <f>VLOOKUP(Raw_Data4[[#This Row],[PLAYER NAME]],APP!$A:$E,2,FALSE)</f>
        <v>173</v>
      </c>
      <c r="E7">
        <f>VLOOKUP(Raw_Data4[[#This Row],[PLAYER NAME]],ARG!$A:$E,2,FALSE)</f>
        <v>171</v>
      </c>
      <c r="F7">
        <f>VLOOKUP(Raw_Data4[[#This Row],[PLAYER NAME]],PUTT!$A:$E,2,FALSE)</f>
        <v>133</v>
      </c>
      <c r="G7">
        <f>VLOOKUP(Raw_Data4[[#This Row],[PLAYER NAME]],SG!$A:$E,3,FALSE)</f>
        <v>155</v>
      </c>
      <c r="I7" s="34" t="str">
        <f>Raw_Data4[[#This Row],[PLAYER NAME]]</f>
        <v>Alejandro Tosti</v>
      </c>
      <c r="J7">
        <f>Raw_Data4[[#This Row],[DIST]]</f>
        <v>6</v>
      </c>
      <c r="K7">
        <f>Raw_Data4[[#This Row],[ACC]]</f>
        <v>170</v>
      </c>
      <c r="L7">
        <f>Raw_Data4[[#This Row],[APP]]</f>
        <v>173</v>
      </c>
      <c r="M7">
        <f>Raw_Data4[[#This Row],[ARG]]</f>
        <v>171</v>
      </c>
      <c r="N7">
        <f>Raw_Data4[[#This Row],[PUTT]]</f>
        <v>133</v>
      </c>
      <c r="O7" s="22">
        <f>Raw_Data4[[#This Row],[SG]]</f>
        <v>155</v>
      </c>
      <c r="P7" s="34">
        <f t="shared" si="0"/>
        <v>346.4</v>
      </c>
      <c r="Q7" s="359">
        <f t="shared" si="1"/>
        <v>561.89775637298874</v>
      </c>
      <c r="R7" s="226" t="e">
        <f>(($Z$9-(X7/40)*($Z$9))*VLOOKUP($I7,'2023'!$A$2:$I$278,8,FALSE))+((1-(($Z$9-(X7/40)*($Z$9))))*P7)</f>
        <v>#N/A</v>
      </c>
      <c r="S7" s="14" t="e">
        <f>(($Z$9-(X7/40)*($Z$9))*VLOOKUP($I7,'2023'!$A$2:$I$278,9,FALSE))+((1-(($Z$9-(X7/40)*($Z$9))))*Q7)</f>
        <v>#N/A</v>
      </c>
      <c r="T7" s="81"/>
      <c r="U7" s="16"/>
      <c r="V7" s="16"/>
      <c r="W7" s="16"/>
      <c r="X7" s="16">
        <f>VLOOKUP(I7,FEDEX!$A$2:$H$270,4,FALSE)</f>
        <v>9</v>
      </c>
    </row>
    <row r="8" spans="1:31">
      <c r="A8" t="str">
        <f>DIST!A8</f>
        <v>Wyndham Clark</v>
      </c>
      <c r="B8">
        <f>VLOOKUP(Raw_Data4[[#This Row],[PLAYER NAME]],DIST!$A:$E,2,FALSE)</f>
        <v>7</v>
      </c>
      <c r="C8">
        <f>VLOOKUP(Raw_Data4[[#This Row],[PLAYER NAME]],ACC!$A:$E,2,FALSE)</f>
        <v>109</v>
      </c>
      <c r="D8">
        <f>VLOOKUP(Raw_Data4[[#This Row],[PLAYER NAME]],APP!$A:$E,2,FALSE)</f>
        <v>33</v>
      </c>
      <c r="E8">
        <f>VLOOKUP(Raw_Data4[[#This Row],[PLAYER NAME]],ARG!$A:$E,2,FALSE)</f>
        <v>72</v>
      </c>
      <c r="F8">
        <f>VLOOKUP(Raw_Data4[[#This Row],[PLAYER NAME]],PUTT!$A:$E,2,FALSE)</f>
        <v>15</v>
      </c>
      <c r="G8">
        <f>VLOOKUP(Raw_Data4[[#This Row],[PLAYER NAME]],SG!$A:$E,3,FALSE)</f>
        <v>3</v>
      </c>
      <c r="I8" s="34" t="str">
        <f>Raw_Data4[[#This Row],[PLAYER NAME]]</f>
        <v>Wyndham Clark</v>
      </c>
      <c r="J8">
        <f>Raw_Data4[[#This Row],[DIST]]</f>
        <v>7</v>
      </c>
      <c r="K8">
        <f>Raw_Data4[[#This Row],[ACC]]</f>
        <v>109</v>
      </c>
      <c r="L8">
        <f>Raw_Data4[[#This Row],[APP]]</f>
        <v>33</v>
      </c>
      <c r="M8">
        <f>Raw_Data4[[#This Row],[ARG]]</f>
        <v>72</v>
      </c>
      <c r="N8">
        <f>Raw_Data4[[#This Row],[PUTT]]</f>
        <v>15</v>
      </c>
      <c r="O8" s="22">
        <f>Raw_Data4[[#This Row],[SG]]</f>
        <v>3</v>
      </c>
      <c r="P8" s="34">
        <f t="shared" si="0"/>
        <v>120.19999999999999</v>
      </c>
      <c r="Q8" s="359">
        <f t="shared" si="1"/>
        <v>140.86425535436575</v>
      </c>
      <c r="R8" s="226">
        <f>(($Z$9-(X8/40)*($Z$9))*VLOOKUP($I8,'2023'!$A$2:$I$278,8,FALSE))+((1-(($Z$9-(X8/40)*($Z$9))))*P8)</f>
        <v>130.25466736942491</v>
      </c>
      <c r="S8" s="14">
        <f>(($Z$9-(X8/40)*($Z$9))*VLOOKUP($I8,'2023'!$A$2:$I$278,9,FALSE))+((1-(($Z$9-(X8/40)*($Z$9))))*Q8)</f>
        <v>150.0802234123164</v>
      </c>
      <c r="T8" s="81"/>
      <c r="U8" s="16"/>
      <c r="V8" s="16"/>
      <c r="W8" s="16"/>
      <c r="X8" s="16">
        <f>VLOOKUP(I8,FEDEX!$A$2:$H$270,4,FALSE)</f>
        <v>9</v>
      </c>
      <c r="Z8" s="1" t="s">
        <v>599</v>
      </c>
    </row>
    <row r="9" spans="1:31">
      <c r="A9" t="str">
        <f>DIST!A9</f>
        <v>Vincent Norrman</v>
      </c>
      <c r="B9">
        <f>VLOOKUP(Raw_Data4[[#This Row],[PLAYER NAME]],DIST!$A:$E,2,FALSE)</f>
        <v>8</v>
      </c>
      <c r="C9">
        <f>VLOOKUP(Raw_Data4[[#This Row],[PLAYER NAME]],ACC!$A:$E,2,FALSE)</f>
        <v>141</v>
      </c>
      <c r="D9">
        <f>VLOOKUP(Raw_Data4[[#This Row],[PLAYER NAME]],APP!$A:$E,2,FALSE)</f>
        <v>154</v>
      </c>
      <c r="E9">
        <f>VLOOKUP(Raw_Data4[[#This Row],[PLAYER NAME]],ARG!$A:$E,2,FALSE)</f>
        <v>145</v>
      </c>
      <c r="F9">
        <f>VLOOKUP(Raw_Data4[[#This Row],[PLAYER NAME]],PUTT!$A:$E,2,FALSE)</f>
        <v>180</v>
      </c>
      <c r="G9">
        <f>VLOOKUP(Raw_Data4[[#This Row],[PLAYER NAME]],SG!$A:$E,3,FALSE)</f>
        <v>174</v>
      </c>
      <c r="I9" s="34" t="str">
        <f>Raw_Data4[[#This Row],[PLAYER NAME]]</f>
        <v>Vincent Norrman</v>
      </c>
      <c r="J9">
        <f>Raw_Data4[[#This Row],[DIST]]</f>
        <v>8</v>
      </c>
      <c r="K9">
        <f>Raw_Data4[[#This Row],[ACC]]</f>
        <v>141</v>
      </c>
      <c r="L9">
        <f>Raw_Data4[[#This Row],[APP]]</f>
        <v>154</v>
      </c>
      <c r="M9">
        <f>Raw_Data4[[#This Row],[ARG]]</f>
        <v>145</v>
      </c>
      <c r="N9">
        <f>Raw_Data4[[#This Row],[PUTT]]</f>
        <v>180</v>
      </c>
      <c r="O9" s="22">
        <f>Raw_Data4[[#This Row],[SG]]</f>
        <v>174</v>
      </c>
      <c r="P9" s="34">
        <f t="shared" si="0"/>
        <v>333.5</v>
      </c>
      <c r="Q9" s="359">
        <f t="shared" si="1"/>
        <v>560.46925991094088</v>
      </c>
      <c r="R9" s="226">
        <f>(($Z$9-(X9/40)*($Z$9))*VLOOKUP($I9,'2023'!$A$2:$I$278,8,FALSE))+((1-(($Z$9-(X9/40)*($Z$9))))*P9)</f>
        <v>295.83489683834478</v>
      </c>
      <c r="S9" s="14">
        <f>(($Z$9-(X9/40)*($Z$9))*VLOOKUP($I9,'2023'!$A$2:$I$278,9,FALSE))+((1-(($Z$9-(X9/40)*($Z$9))))*Q9)</f>
        <v>465.26958535049448</v>
      </c>
      <c r="T9" s="81"/>
      <c r="U9" s="16"/>
      <c r="V9" s="16"/>
      <c r="W9" s="16"/>
      <c r="X9" s="16">
        <f>VLOOKUP(I9,FEDEX!$A$2:$H$270,4,FALSE)</f>
        <v>9</v>
      </c>
      <c r="Z9" s="38">
        <f>'CORR Y-1'!H2</f>
        <v>0.68644255807645715</v>
      </c>
    </row>
    <row r="10" spans="1:31">
      <c r="A10" t="str">
        <f>DIST!A10</f>
        <v>Taylor Pendrith</v>
      </c>
      <c r="B10">
        <f>VLOOKUP(Raw_Data4[[#This Row],[PLAYER NAME]],DIST!$A:$E,2,FALSE)</f>
        <v>9</v>
      </c>
      <c r="C10">
        <f>VLOOKUP(Raw_Data4[[#This Row],[PLAYER NAME]],ACC!$A:$E,2,FALSE)</f>
        <v>178</v>
      </c>
      <c r="D10">
        <f>VLOOKUP(Raw_Data4[[#This Row],[PLAYER NAME]],APP!$A:$E,2,FALSE)</f>
        <v>121</v>
      </c>
      <c r="E10">
        <f>VLOOKUP(Raw_Data4[[#This Row],[PLAYER NAME]],ARG!$A:$E,2,FALSE)</f>
        <v>84</v>
      </c>
      <c r="F10">
        <f>VLOOKUP(Raw_Data4[[#This Row],[PLAYER NAME]],PUTT!$A:$E,2,FALSE)</f>
        <v>22</v>
      </c>
      <c r="G10">
        <f>VLOOKUP(Raw_Data4[[#This Row],[PLAYER NAME]],SG!$A:$E,3,FALSE)</f>
        <v>88</v>
      </c>
      <c r="I10" s="34" t="str">
        <f>Raw_Data4[[#This Row],[PLAYER NAME]]</f>
        <v>Taylor Pendrith</v>
      </c>
      <c r="J10">
        <f>Raw_Data4[[#This Row],[DIST]]</f>
        <v>9</v>
      </c>
      <c r="K10">
        <f>Raw_Data4[[#This Row],[ACC]]</f>
        <v>178</v>
      </c>
      <c r="L10">
        <f>Raw_Data4[[#This Row],[APP]]</f>
        <v>121</v>
      </c>
      <c r="M10">
        <f>Raw_Data4[[#This Row],[ARG]]</f>
        <v>84</v>
      </c>
      <c r="N10">
        <f>Raw_Data4[[#This Row],[PUTT]]</f>
        <v>22</v>
      </c>
      <c r="O10" s="22">
        <f>Raw_Data4[[#This Row],[SG]]</f>
        <v>88</v>
      </c>
      <c r="P10" s="34">
        <f t="shared" si="0"/>
        <v>226.39999999999998</v>
      </c>
      <c r="Q10" s="359">
        <f t="shared" si="1"/>
        <v>346.59912310904326</v>
      </c>
      <c r="R10" s="226">
        <f>(($Z$9-(X10/40)*($Z$9))*VLOOKUP($I10,'2023'!$A$2:$I$278,8,FALSE))+((1-(($Z$9-(X10/40)*($Z$9))))*P10)</f>
        <v>256.0852084240164</v>
      </c>
      <c r="S10" s="14">
        <f>(($Z$9-(X10/40)*($Z$9))*VLOOKUP($I10,'2023'!$A$2:$I$278,9,FALSE))+((1-(($Z$9-(X10/40)*($Z$9))))*Q10)</f>
        <v>378.72231522603965</v>
      </c>
      <c r="T10" s="81"/>
      <c r="U10" s="16"/>
      <c r="V10" s="16"/>
      <c r="W10" s="16"/>
      <c r="X10" s="16">
        <f>VLOOKUP(I10,FEDEX!$A$2:$H$270,4,FALSE)</f>
        <v>9</v>
      </c>
      <c r="Z10" s="1" t="s">
        <v>600</v>
      </c>
    </row>
    <row r="11" spans="1:31">
      <c r="A11" t="str">
        <f>DIST!A11</f>
        <v>Min Woo Lee</v>
      </c>
      <c r="B11">
        <f>VLOOKUP(Raw_Data4[[#This Row],[PLAYER NAME]],DIST!$A:$E,2,FALSE)</f>
        <v>10</v>
      </c>
      <c r="C11">
        <f>VLOOKUP(Raw_Data4[[#This Row],[PLAYER NAME]],ACC!$A:$E,2,FALSE)</f>
        <v>20</v>
      </c>
      <c r="D11">
        <f>VLOOKUP(Raw_Data4[[#This Row],[PLAYER NAME]],APP!$A:$E,2,FALSE)</f>
        <v>133</v>
      </c>
      <c r="E11">
        <f>VLOOKUP(Raw_Data4[[#This Row],[PLAYER NAME]],ARG!$A:$E,2,FALSE)</f>
        <v>95</v>
      </c>
      <c r="F11">
        <f>VLOOKUP(Raw_Data4[[#This Row],[PLAYER NAME]],PUTT!$A:$E,2,FALSE)</f>
        <v>154</v>
      </c>
      <c r="G11">
        <f>VLOOKUP(Raw_Data4[[#This Row],[PLAYER NAME]],SG!$A:$E,3,FALSE)</f>
        <v>116</v>
      </c>
      <c r="I11" s="34" t="str">
        <f>Raw_Data4[[#This Row],[PLAYER NAME]]</f>
        <v>Min Woo Lee</v>
      </c>
      <c r="J11">
        <f>Raw_Data4[[#This Row],[DIST]]</f>
        <v>10</v>
      </c>
      <c r="K11">
        <f>Raw_Data4[[#This Row],[ACC]]</f>
        <v>20</v>
      </c>
      <c r="L11">
        <f>Raw_Data4[[#This Row],[APP]]</f>
        <v>133</v>
      </c>
      <c r="M11">
        <f>Raw_Data4[[#This Row],[ARG]]</f>
        <v>95</v>
      </c>
      <c r="N11">
        <f>Raw_Data4[[#This Row],[PUTT]]</f>
        <v>154</v>
      </c>
      <c r="O11" s="22">
        <f>Raw_Data4[[#This Row],[SG]]</f>
        <v>116</v>
      </c>
      <c r="P11" s="34">
        <f t="shared" si="0"/>
        <v>227.1</v>
      </c>
      <c r="Q11" s="359">
        <f t="shared" si="1"/>
        <v>381.89070417247461</v>
      </c>
      <c r="R11" s="226">
        <f>(($Z$9-(X11/40)*($Z$9))*VLOOKUP($I11,'2023'!$A$2:$I$278,8,FALSE))+((1-(($Z$9-(X11/40)*($Z$9))))*P11)</f>
        <v>224.73863760021698</v>
      </c>
      <c r="S11" s="14">
        <f>(($Z$9-(X11/40)*($Z$9))*VLOOKUP($I11,'2023'!$A$2:$I$278,9,FALSE))+((1-(($Z$9-(X11/40)*($Z$9))))*Q11)</f>
        <v>325.11992049765354</v>
      </c>
      <c r="T11" s="81"/>
      <c r="U11" s="16"/>
      <c r="V11" s="16"/>
      <c r="W11" s="16"/>
      <c r="X11" s="16">
        <f>VLOOKUP(I11,FEDEX!$A$2:$H$270,4,FALSE)</f>
        <v>8</v>
      </c>
      <c r="Z11" s="38">
        <f>1-Z9</f>
        <v>0.31355744192354285</v>
      </c>
    </row>
    <row r="12" spans="1:31">
      <c r="A12" t="str">
        <f>DIST!A12</f>
        <v>Joseph Bramlett</v>
      </c>
      <c r="B12">
        <f>VLOOKUP(Raw_Data4[[#This Row],[PLAYER NAME]],DIST!$A:$E,2,FALSE)</f>
        <v>11</v>
      </c>
      <c r="C12">
        <f>VLOOKUP(Raw_Data4[[#This Row],[PLAYER NAME]],ACC!$A:$E,2,FALSE)</f>
        <v>166</v>
      </c>
      <c r="D12">
        <f>VLOOKUP(Raw_Data4[[#This Row],[PLAYER NAME]],APP!$A:$E,2,FALSE)</f>
        <v>107</v>
      </c>
      <c r="E12">
        <f>VLOOKUP(Raw_Data4[[#This Row],[PLAYER NAME]],ARG!$A:$E,2,FALSE)</f>
        <v>62</v>
      </c>
      <c r="F12">
        <f>VLOOKUP(Raw_Data4[[#This Row],[PLAYER NAME]],PUTT!$A:$E,2,FALSE)</f>
        <v>86</v>
      </c>
      <c r="G12">
        <f>VLOOKUP(Raw_Data4[[#This Row],[PLAYER NAME]],SG!$A:$E,3,FALSE)</f>
        <v>64</v>
      </c>
      <c r="I12" s="34" t="str">
        <f>Raw_Data4[[#This Row],[PLAYER NAME]]</f>
        <v>Joseph Bramlett</v>
      </c>
      <c r="J12">
        <f>Raw_Data4[[#This Row],[DIST]]</f>
        <v>11</v>
      </c>
      <c r="K12">
        <f>Raw_Data4[[#This Row],[ACC]]</f>
        <v>166</v>
      </c>
      <c r="L12">
        <f>Raw_Data4[[#This Row],[APP]]</f>
        <v>107</v>
      </c>
      <c r="M12">
        <f>Raw_Data4[[#This Row],[ARG]]</f>
        <v>62</v>
      </c>
      <c r="N12">
        <f>Raw_Data4[[#This Row],[PUTT]]</f>
        <v>86</v>
      </c>
      <c r="O12" s="22">
        <f>Raw_Data4[[#This Row],[SG]]</f>
        <v>64</v>
      </c>
      <c r="P12" s="34">
        <f t="shared" si="0"/>
        <v>235.60000000000002</v>
      </c>
      <c r="Q12" s="359">
        <f t="shared" si="1"/>
        <v>326.14568684594099</v>
      </c>
      <c r="R12" s="226">
        <f>(($Z$9-(X12/40)*($Z$9))*VLOOKUP($I12,'2023'!$A$2:$I$278,8,FALSE))+((1-(($Z$9-(X12/40)*($Z$9))))*P12)</f>
        <v>234.87923531401972</v>
      </c>
      <c r="S12" s="14">
        <f>(($Z$9-(X12/40)*($Z$9))*VLOOKUP($I12,'2023'!$A$2:$I$278,9,FALSE))+((1-(($Z$9-(X12/40)*($Z$9))))*Q12)</f>
        <v>318.23177237534679</v>
      </c>
      <c r="T12" s="81"/>
      <c r="U12" s="16"/>
      <c r="V12" s="16"/>
      <c r="W12" s="16"/>
      <c r="X12" s="16">
        <f>VLOOKUP(I12,FEDEX!$A$2:$H$270,4,FALSE)</f>
        <v>10</v>
      </c>
    </row>
    <row r="13" spans="1:31">
      <c r="A13" t="str">
        <f>DIST!A13</f>
        <v>Garrick Higgo</v>
      </c>
      <c r="B13">
        <f>VLOOKUP(Raw_Data4[[#This Row],[PLAYER NAME]],DIST!$A:$E,2,FALSE)</f>
        <v>11</v>
      </c>
      <c r="C13">
        <f>VLOOKUP(Raw_Data4[[#This Row],[PLAYER NAME]],ACC!$A:$E,2,FALSE)</f>
        <v>164</v>
      </c>
      <c r="D13">
        <f>VLOOKUP(Raw_Data4[[#This Row],[PLAYER NAME]],APP!$A:$E,2,FALSE)</f>
        <v>146</v>
      </c>
      <c r="E13">
        <f>VLOOKUP(Raw_Data4[[#This Row],[PLAYER NAME]],ARG!$A:$E,2,FALSE)</f>
        <v>125</v>
      </c>
      <c r="F13">
        <f>VLOOKUP(Raw_Data4[[#This Row],[PLAYER NAME]],PUTT!$A:$E,2,FALSE)</f>
        <v>39</v>
      </c>
      <c r="G13">
        <f>VLOOKUP(Raw_Data4[[#This Row],[PLAYER NAME]],SG!$A:$E,3,FALSE)</f>
        <v>117</v>
      </c>
      <c r="I13" s="34" t="str">
        <f>Raw_Data4[[#This Row],[PLAYER NAME]]</f>
        <v>Garrick Higgo</v>
      </c>
      <c r="J13">
        <f>Raw_Data4[[#This Row],[DIST]]</f>
        <v>11</v>
      </c>
      <c r="K13">
        <f>Raw_Data4[[#This Row],[ACC]]</f>
        <v>164</v>
      </c>
      <c r="L13">
        <f>Raw_Data4[[#This Row],[APP]]</f>
        <v>146</v>
      </c>
      <c r="M13">
        <f>Raw_Data4[[#This Row],[ARG]]</f>
        <v>125</v>
      </c>
      <c r="N13">
        <f>Raw_Data4[[#This Row],[PUTT]]</f>
        <v>39</v>
      </c>
      <c r="O13" s="22">
        <f>Raw_Data4[[#This Row],[SG]]</f>
        <v>117</v>
      </c>
      <c r="P13" s="34">
        <f t="shared" si="0"/>
        <v>263.60000000000002</v>
      </c>
      <c r="Q13" s="359">
        <f t="shared" si="1"/>
        <v>424.52444848562902</v>
      </c>
      <c r="R13" s="226">
        <f>(($Z$9-(X13/40)*($Z$9))*VLOOKUP($I13,'2023'!$A$2:$I$278,8,FALSE))+((1-(($Z$9-(X13/40)*($Z$9))))*P13)</f>
        <v>281.92801630064139</v>
      </c>
      <c r="S13" s="14">
        <f>(($Z$9-(X13/40)*($Z$9))*VLOOKUP($I13,'2023'!$A$2:$I$278,9,FALSE))+((1-(($Z$9-(X13/40)*($Z$9))))*Q13)</f>
        <v>426.49559939029621</v>
      </c>
      <c r="T13" s="81"/>
      <c r="U13" s="16"/>
      <c r="V13" s="16"/>
      <c r="W13" s="16"/>
      <c r="X13" s="16">
        <f>VLOOKUP(I13,FEDEX!$A$2:$H$270,4,FALSE)</f>
        <v>10</v>
      </c>
      <c r="Z13" s="175" t="s">
        <v>598</v>
      </c>
      <c r="AA13" s="1" t="s">
        <v>567</v>
      </c>
      <c r="AC13" t="s">
        <v>810</v>
      </c>
    </row>
    <row r="14" spans="1:31">
      <c r="A14" t="str">
        <f>DIST!A14</f>
        <v>Stephan Jaeger</v>
      </c>
      <c r="B14">
        <f>VLOOKUP(Raw_Data4[[#This Row],[PLAYER NAME]],DIST!$A:$E,2,FALSE)</f>
        <v>11</v>
      </c>
      <c r="C14">
        <f>VLOOKUP(Raw_Data4[[#This Row],[PLAYER NAME]],ACC!$A:$E,2,FALSE)</f>
        <v>67</v>
      </c>
      <c r="D14">
        <f>VLOOKUP(Raw_Data4[[#This Row],[PLAYER NAME]],APP!$A:$E,2,FALSE)</f>
        <v>69</v>
      </c>
      <c r="E14">
        <f>VLOOKUP(Raw_Data4[[#This Row],[PLAYER NAME]],ARG!$A:$E,2,FALSE)</f>
        <v>35</v>
      </c>
      <c r="F14">
        <f>VLOOKUP(Raw_Data4[[#This Row],[PLAYER NAME]],PUTT!$A:$E,2,FALSE)</f>
        <v>69</v>
      </c>
      <c r="G14">
        <f>VLOOKUP(Raw_Data4[[#This Row],[PLAYER NAME]],SG!$A:$E,3,FALSE)</f>
        <v>15</v>
      </c>
      <c r="I14" s="34" t="str">
        <f>Raw_Data4[[#This Row],[PLAYER NAME]]</f>
        <v>Stephan Jaeger</v>
      </c>
      <c r="J14">
        <f>Raw_Data4[[#This Row],[DIST]]</f>
        <v>11</v>
      </c>
      <c r="K14">
        <f>Raw_Data4[[#This Row],[ACC]]</f>
        <v>67</v>
      </c>
      <c r="L14">
        <f>Raw_Data4[[#This Row],[APP]]</f>
        <v>69</v>
      </c>
      <c r="M14">
        <f>Raw_Data4[[#This Row],[ARG]]</f>
        <v>35</v>
      </c>
      <c r="N14">
        <f>Raw_Data4[[#This Row],[PUTT]]</f>
        <v>69</v>
      </c>
      <c r="O14" s="22">
        <f>Raw_Data4[[#This Row],[SG]]</f>
        <v>15</v>
      </c>
      <c r="P14" s="34">
        <f t="shared" si="0"/>
        <v>140.19999999999999</v>
      </c>
      <c r="Q14" s="359">
        <f t="shared" si="1"/>
        <v>170.54726586334175</v>
      </c>
      <c r="R14" s="226">
        <f>(($Z$9-(X14/40)*($Z$9))*VLOOKUP($I14,'2023'!$A$2:$I$278,8,FALSE))+((1-(($Z$9-(X14/40)*($Z$9))))*P14)</f>
        <v>175.72340238045666</v>
      </c>
      <c r="S14" s="14">
        <f>(($Z$9-(X14/40)*($Z$9))*VLOOKUP($I14,'2023'!$A$2:$I$278,9,FALSE))+((1-(($Z$9-(X14/40)*($Z$9))))*Q14)</f>
        <v>204.22086630719036</v>
      </c>
      <c r="T14" s="81"/>
      <c r="U14" s="16"/>
      <c r="V14" s="16"/>
      <c r="W14" s="16"/>
      <c r="X14" s="16">
        <f>VLOOKUP(I14,FEDEX!$A$2:$H$270,4,FALSE)</f>
        <v>10</v>
      </c>
      <c r="Z14" s="38">
        <f>('CORR Y-1'!H2)*(AA14/40)</f>
        <v>0.42902659879778571</v>
      </c>
      <c r="AA14" s="137">
        <v>25</v>
      </c>
    </row>
    <row r="15" spans="1:31">
      <c r="A15" t="str">
        <f>DIST!A15</f>
        <v>Gary Woodland</v>
      </c>
      <c r="B15">
        <f>VLOOKUP(Raw_Data4[[#This Row],[PLAYER NAME]],DIST!$A:$E,2,FALSE)</f>
        <v>14</v>
      </c>
      <c r="C15">
        <f>VLOOKUP(Raw_Data4[[#This Row],[PLAYER NAME]],ACC!$A:$E,2,FALSE)</f>
        <v>165</v>
      </c>
      <c r="D15">
        <f>VLOOKUP(Raw_Data4[[#This Row],[PLAYER NAME]],APP!$A:$E,2,FALSE)</f>
        <v>51</v>
      </c>
      <c r="E15">
        <f>VLOOKUP(Raw_Data4[[#This Row],[PLAYER NAME]],ARG!$A:$E,2,FALSE)</f>
        <v>128</v>
      </c>
      <c r="F15">
        <f>VLOOKUP(Raw_Data4[[#This Row],[PLAYER NAME]],PUTT!$A:$E,2,FALSE)</f>
        <v>177</v>
      </c>
      <c r="G15">
        <f>VLOOKUP(Raw_Data4[[#This Row],[PLAYER NAME]],SG!$A:$E,3,FALSE)</f>
        <v>156</v>
      </c>
      <c r="I15" s="34" t="str">
        <f>Raw_Data4[[#This Row],[PLAYER NAME]]</f>
        <v>Gary Woodland</v>
      </c>
      <c r="J15">
        <f>Raw_Data4[[#This Row],[DIST]]</f>
        <v>14</v>
      </c>
      <c r="K15">
        <f>Raw_Data4[[#This Row],[ACC]]</f>
        <v>165</v>
      </c>
      <c r="L15">
        <f>Raw_Data4[[#This Row],[APP]]</f>
        <v>51</v>
      </c>
      <c r="M15">
        <f>Raw_Data4[[#This Row],[ARG]]</f>
        <v>128</v>
      </c>
      <c r="N15">
        <f>Raw_Data4[[#This Row],[PUTT]]</f>
        <v>177</v>
      </c>
      <c r="O15" s="22">
        <f>Raw_Data4[[#This Row],[SG]]</f>
        <v>156</v>
      </c>
      <c r="P15" s="34">
        <f t="shared" si="0"/>
        <v>270.5</v>
      </c>
      <c r="Q15" s="359">
        <f t="shared" si="1"/>
        <v>459.59547759847379</v>
      </c>
      <c r="R15" s="226">
        <f>(($Z$9-(X15/40)*($Z$9))*VLOOKUP($I15,'2023'!$A$2:$I$278,8,FALSE))+((1-(($Z$9-(X15/40)*($Z$9))))*P15)</f>
        <v>254.59340982297329</v>
      </c>
      <c r="S15" s="14">
        <f>(($Z$9-(X15/40)*($Z$9))*VLOOKUP($I15,'2023'!$A$2:$I$278,9,FALSE))+((1-(($Z$9-(X15/40)*($Z$9))))*Q15)</f>
        <v>399.66844869877514</v>
      </c>
      <c r="T15" s="81"/>
      <c r="U15" s="16"/>
      <c r="V15" s="16"/>
      <c r="W15" s="16"/>
      <c r="X15" s="16">
        <f>VLOOKUP(I15,FEDEX!$A$2:$H$270,4,FALSE)</f>
        <v>9</v>
      </c>
      <c r="Z15" s="1">
        <v>2024</v>
      </c>
    </row>
    <row r="16" spans="1:31">
      <c r="A16" t="str">
        <f>DIST!A16</f>
        <v>Byeong Hun An</v>
      </c>
      <c r="B16">
        <f>VLOOKUP(Raw_Data4[[#This Row],[PLAYER NAME]],DIST!$A:$E,2,FALSE)</f>
        <v>15</v>
      </c>
      <c r="C16">
        <f>VLOOKUP(Raw_Data4[[#This Row],[PLAYER NAME]],ACC!$A:$E,2,FALSE)</f>
        <v>87</v>
      </c>
      <c r="D16">
        <f>VLOOKUP(Raw_Data4[[#This Row],[PLAYER NAME]],APP!$A:$E,2,FALSE)</f>
        <v>77</v>
      </c>
      <c r="E16">
        <f>VLOOKUP(Raw_Data4[[#This Row],[PLAYER NAME]],ARG!$A:$E,2,FALSE)</f>
        <v>55</v>
      </c>
      <c r="F16">
        <f>VLOOKUP(Raw_Data4[[#This Row],[PLAYER NAME]],PUTT!$A:$E,2,FALSE)</f>
        <v>101</v>
      </c>
      <c r="G16">
        <f>VLOOKUP(Raw_Data4[[#This Row],[PLAYER NAME]],SG!$A:$E,3,FALSE)</f>
        <v>35</v>
      </c>
      <c r="I16" s="34" t="str">
        <f>Raw_Data4[[#This Row],[PLAYER NAME]]</f>
        <v>Byeong Hun An</v>
      </c>
      <c r="J16">
        <f>Raw_Data4[[#This Row],[DIST]]</f>
        <v>15</v>
      </c>
      <c r="K16">
        <f>Raw_Data4[[#This Row],[ACC]]</f>
        <v>87</v>
      </c>
      <c r="L16">
        <f>Raw_Data4[[#This Row],[APP]]</f>
        <v>77</v>
      </c>
      <c r="M16">
        <f>Raw_Data4[[#This Row],[ARG]]</f>
        <v>55</v>
      </c>
      <c r="N16">
        <f>Raw_Data4[[#This Row],[PUTT]]</f>
        <v>101</v>
      </c>
      <c r="O16" s="22">
        <f>Raw_Data4[[#This Row],[SG]]</f>
        <v>35</v>
      </c>
      <c r="P16" s="34">
        <f t="shared" si="0"/>
        <v>183.4</v>
      </c>
      <c r="Q16" s="359">
        <f t="shared" si="1"/>
        <v>238.52081991888124</v>
      </c>
      <c r="R16" s="226">
        <f>(($Z$9-(X16/40)*($Z$9))*VLOOKUP($I16,'2023'!$A$2:$I$278,8,FALSE))+((1-(($Z$9-(X16/40)*($Z$9))))*P16)</f>
        <v>212.38503701477842</v>
      </c>
      <c r="S16" s="14">
        <f>(($Z$9-(X16/40)*($Z$9))*VLOOKUP($I16,'2023'!$A$2:$I$278,9,FALSE))+((1-(($Z$9-(X16/40)*($Z$9))))*Q16)</f>
        <v>267.91651735545435</v>
      </c>
      <c r="T16" s="81"/>
      <c r="U16" s="16"/>
      <c r="V16" s="16"/>
      <c r="W16" s="16"/>
      <c r="X16" s="16">
        <f>VLOOKUP(I16,FEDEX!$A$2:$H$270,4,FALSE)</f>
        <v>10</v>
      </c>
      <c r="Z16" s="38">
        <f>1-Z14</f>
        <v>0.57097340120221429</v>
      </c>
    </row>
    <row r="17" spans="1:24">
      <c r="A17" t="str">
        <f>DIST!A17</f>
        <v>Jhonattan Vegas</v>
      </c>
      <c r="B17">
        <f>VLOOKUP(Raw_Data4[[#This Row],[PLAYER NAME]],DIST!$A:$E,2,FALSE)</f>
        <v>16</v>
      </c>
      <c r="C17">
        <f>VLOOKUP(Raw_Data4[[#This Row],[PLAYER NAME]],ACC!$A:$E,2,FALSE)</f>
        <v>134</v>
      </c>
      <c r="D17">
        <f>VLOOKUP(Raw_Data4[[#This Row],[PLAYER NAME]],APP!$A:$E,2,FALSE)</f>
        <v>21</v>
      </c>
      <c r="E17">
        <f>VLOOKUP(Raw_Data4[[#This Row],[PLAYER NAME]],ARG!$A:$E,2,FALSE)</f>
        <v>160</v>
      </c>
      <c r="F17">
        <f>VLOOKUP(Raw_Data4[[#This Row],[PLAYER NAME]],PUTT!$A:$E,2,FALSE)</f>
        <v>179</v>
      </c>
      <c r="G17">
        <f>VLOOKUP(Raw_Data4[[#This Row],[PLAYER NAME]],SG!$A:$E,3,FALSE)</f>
        <v>126</v>
      </c>
      <c r="I17" s="34" t="str">
        <f>Raw_Data4[[#This Row],[PLAYER NAME]]</f>
        <v>Jhonattan Vegas</v>
      </c>
      <c r="J17">
        <f>Raw_Data4[[#This Row],[DIST]]</f>
        <v>16</v>
      </c>
      <c r="K17">
        <f>Raw_Data4[[#This Row],[ACC]]</f>
        <v>134</v>
      </c>
      <c r="L17">
        <f>Raw_Data4[[#This Row],[APP]]</f>
        <v>21</v>
      </c>
      <c r="M17">
        <f>Raw_Data4[[#This Row],[ARG]]</f>
        <v>160</v>
      </c>
      <c r="N17">
        <f>Raw_Data4[[#This Row],[PUTT]]</f>
        <v>179</v>
      </c>
      <c r="O17" s="22">
        <f>Raw_Data4[[#This Row],[SG]]</f>
        <v>126</v>
      </c>
      <c r="P17" s="34">
        <f t="shared" si="0"/>
        <v>249.60000000000002</v>
      </c>
      <c r="Q17" s="359">
        <f t="shared" si="1"/>
        <v>410.44288657433356</v>
      </c>
      <c r="R17" s="226" t="e">
        <f>(($Z$9-(X17/40)*($Z$9))*VLOOKUP($I17,'2023'!$A$2:$I$278,8,FALSE))+((1-(($Z$9-(X17/40)*($Z$9))))*P17)</f>
        <v>#N/A</v>
      </c>
      <c r="S17" s="14" t="e">
        <f>(($Z$9-(X17/40)*($Z$9))*VLOOKUP($I17,'2023'!$A$2:$I$278,9,FALSE))+((1-(($Z$9-(X17/40)*($Z$9))))*Q17)</f>
        <v>#N/A</v>
      </c>
      <c r="T17" s="81"/>
      <c r="U17" s="16"/>
      <c r="V17" s="16"/>
      <c r="W17" s="16"/>
      <c r="X17" s="16">
        <f>VLOOKUP(I17,FEDEX!$A$2:$H$270,4,FALSE)</f>
        <v>8</v>
      </c>
    </row>
    <row r="18" spans="1:24">
      <c r="A18" t="str">
        <f>DIST!A18</f>
        <v>Wilson Furr</v>
      </c>
      <c r="B18">
        <f>VLOOKUP(Raw_Data4[[#This Row],[PLAYER NAME]],DIST!$A:$E,2,FALSE)</f>
        <v>17</v>
      </c>
      <c r="C18">
        <f>VLOOKUP(Raw_Data4[[#This Row],[PLAYER NAME]],ACC!$A:$E,2,FALSE)</f>
        <v>175</v>
      </c>
      <c r="D18">
        <f>VLOOKUP(Raw_Data4[[#This Row],[PLAYER NAME]],APP!$A:$E,2,FALSE)</f>
        <v>171</v>
      </c>
      <c r="E18">
        <f>VLOOKUP(Raw_Data4[[#This Row],[PLAYER NAME]],ARG!$A:$E,2,FALSE)</f>
        <v>14</v>
      </c>
      <c r="F18">
        <f>VLOOKUP(Raw_Data4[[#This Row],[PLAYER NAME]],PUTT!$A:$E,2,FALSE)</f>
        <v>31</v>
      </c>
      <c r="G18">
        <f>VLOOKUP(Raw_Data4[[#This Row],[PLAYER NAME]],SG!$A:$E,3,FALSE)</f>
        <v>110</v>
      </c>
      <c r="I18" s="34" t="str">
        <f>Raw_Data4[[#This Row],[PLAYER NAME]]</f>
        <v>Wilson Furr</v>
      </c>
      <c r="J18">
        <f>Raw_Data4[[#This Row],[DIST]]</f>
        <v>17</v>
      </c>
      <c r="K18">
        <f>Raw_Data4[[#This Row],[ACC]]</f>
        <v>175</v>
      </c>
      <c r="L18">
        <f>Raw_Data4[[#This Row],[APP]]</f>
        <v>171</v>
      </c>
      <c r="M18">
        <f>Raw_Data4[[#This Row],[ARG]]</f>
        <v>14</v>
      </c>
      <c r="N18">
        <f>Raw_Data4[[#This Row],[PUTT]]</f>
        <v>31</v>
      </c>
      <c r="O18" s="22">
        <f>Raw_Data4[[#This Row],[SG]]</f>
        <v>110</v>
      </c>
      <c r="P18" s="34">
        <f t="shared" si="0"/>
        <v>243.6</v>
      </c>
      <c r="Q18" s="359">
        <f t="shared" si="1"/>
        <v>376.68106914178225</v>
      </c>
      <c r="R18" s="226" t="e">
        <f>(($Z$9-(X18/40)*($Z$9))*VLOOKUP($I18,'2023'!$A$2:$I$278,8,FALSE))+((1-(($Z$9-(X18/40)*($Z$9))))*P18)</f>
        <v>#N/A</v>
      </c>
      <c r="S18" s="14" t="e">
        <f>(($Z$9-(X18/40)*($Z$9))*VLOOKUP($I18,'2023'!$A$2:$I$278,9,FALSE))+((1-(($Z$9-(X18/40)*($Z$9))))*Q18)</f>
        <v>#N/A</v>
      </c>
      <c r="T18" s="81"/>
      <c r="U18" s="16"/>
      <c r="V18" s="16"/>
      <c r="W18" s="16"/>
      <c r="X18" s="16">
        <f>VLOOKUP(I18,FEDEX!$A$2:$H$270,4,FALSE)</f>
        <v>7</v>
      </c>
    </row>
    <row r="19" spans="1:24">
      <c r="A19" t="str">
        <f>DIST!A19</f>
        <v>Lanto Griffin</v>
      </c>
      <c r="B19">
        <f>VLOOKUP(Raw_Data4[[#This Row],[PLAYER NAME]],DIST!$A:$E,2,FALSE)</f>
        <v>18</v>
      </c>
      <c r="C19">
        <f>VLOOKUP(Raw_Data4[[#This Row],[PLAYER NAME]],ACC!$A:$E,2,FALSE)</f>
        <v>129</v>
      </c>
      <c r="D19">
        <f>VLOOKUP(Raw_Data4[[#This Row],[PLAYER NAME]],APP!$A:$E,2,FALSE)</f>
        <v>82</v>
      </c>
      <c r="E19">
        <f>VLOOKUP(Raw_Data4[[#This Row],[PLAYER NAME]],ARG!$A:$E,2,FALSE)</f>
        <v>151</v>
      </c>
      <c r="F19">
        <f>VLOOKUP(Raw_Data4[[#This Row],[PLAYER NAME]],PUTT!$A:$E,2,FALSE)</f>
        <v>139</v>
      </c>
      <c r="G19">
        <f>VLOOKUP(Raw_Data4[[#This Row],[PLAYER NAME]],SG!$A:$E,3,FALSE)</f>
        <v>128</v>
      </c>
      <c r="I19" s="34" t="str">
        <f>Raw_Data4[[#This Row],[PLAYER NAME]]</f>
        <v>Lanto Griffin</v>
      </c>
      <c r="J19">
        <f>Raw_Data4[[#This Row],[DIST]]</f>
        <v>18</v>
      </c>
      <c r="K19">
        <f>Raw_Data4[[#This Row],[ACC]]</f>
        <v>129</v>
      </c>
      <c r="L19">
        <f>Raw_Data4[[#This Row],[APP]]</f>
        <v>82</v>
      </c>
      <c r="M19">
        <f>Raw_Data4[[#This Row],[ARG]]</f>
        <v>151</v>
      </c>
      <c r="N19">
        <f>Raw_Data4[[#This Row],[PUTT]]</f>
        <v>139</v>
      </c>
      <c r="O19" s="22">
        <f>Raw_Data4[[#This Row],[SG]]</f>
        <v>128</v>
      </c>
      <c r="P19" s="34">
        <f t="shared" si="0"/>
        <v>268</v>
      </c>
      <c r="Q19" s="359">
        <f t="shared" si="1"/>
        <v>436.31277177992092</v>
      </c>
      <c r="R19" s="226">
        <f>(($Z$9-(X19/40)*($Z$9))*VLOOKUP($I19,'2023'!$A$2:$I$278,8,FALSE))+((1-(($Z$9-(X19/40)*($Z$9))))*P19)</f>
        <v>294.33365263420808</v>
      </c>
      <c r="S19" s="14">
        <f>(($Z$9-(X19/40)*($Z$9))*VLOOKUP($I19,'2023'!$A$2:$I$278,9,FALSE))+((1-(($Z$9-(X19/40)*($Z$9))))*Q19)</f>
        <v>466.79628227578712</v>
      </c>
      <c r="T19" s="81"/>
      <c r="U19" s="16"/>
      <c r="V19" s="16"/>
      <c r="W19" s="16"/>
      <c r="X19" s="16">
        <f>VLOOKUP(I19,FEDEX!$A$2:$H$270,4,FALSE)</f>
        <v>7</v>
      </c>
    </row>
    <row r="20" spans="1:24">
      <c r="A20" t="str">
        <f>DIST!A20</f>
        <v>Ludvig Åberg</v>
      </c>
      <c r="B20">
        <f>VLOOKUP(Raw_Data4[[#This Row],[PLAYER NAME]],DIST!$A:$E,2,FALSE)</f>
        <v>19</v>
      </c>
      <c r="C20">
        <f>VLOOKUP(Raw_Data4[[#This Row],[PLAYER NAME]],ACC!$A:$E,2,FALSE)</f>
        <v>33</v>
      </c>
      <c r="D20">
        <f>VLOOKUP(Raw_Data4[[#This Row],[PLAYER NAME]],APP!$A:$E,2,FALSE)</f>
        <v>26</v>
      </c>
      <c r="E20">
        <f>VLOOKUP(Raw_Data4[[#This Row],[PLAYER NAME]],ARG!$A:$E,2,FALSE)</f>
        <v>108</v>
      </c>
      <c r="F20">
        <f>VLOOKUP(Raw_Data4[[#This Row],[PLAYER NAME]],PUTT!$A:$E,2,FALSE)</f>
        <v>76</v>
      </c>
      <c r="G20">
        <f>VLOOKUP(Raw_Data4[[#This Row],[PLAYER NAME]],SG!$A:$E,3,FALSE)</f>
        <v>12</v>
      </c>
      <c r="I20" s="34" t="str">
        <f>Raw_Data4[[#This Row],[PLAYER NAME]]</f>
        <v>Ludvig Åberg</v>
      </c>
      <c r="J20">
        <f>Raw_Data4[[#This Row],[DIST]]</f>
        <v>19</v>
      </c>
      <c r="K20">
        <f>Raw_Data4[[#This Row],[ACC]]</f>
        <v>33</v>
      </c>
      <c r="L20">
        <f>Raw_Data4[[#This Row],[APP]]</f>
        <v>26</v>
      </c>
      <c r="M20">
        <f>Raw_Data4[[#This Row],[ARG]]</f>
        <v>108</v>
      </c>
      <c r="N20">
        <f>Raw_Data4[[#This Row],[PUTT]]</f>
        <v>76</v>
      </c>
      <c r="O20" s="22">
        <f>Raw_Data4[[#This Row],[SG]]</f>
        <v>12</v>
      </c>
      <c r="P20" s="34">
        <f t="shared" si="0"/>
        <v>133</v>
      </c>
      <c r="Q20" s="359">
        <f t="shared" si="1"/>
        <v>167.03950199726233</v>
      </c>
      <c r="R20" s="226">
        <f>(($Z$9-(X20/40)*($Z$9))*VLOOKUP($I20,'2023'!$A$2:$I$278,8,FALSE))+((1-(($Z$9-(X20/40)*($Z$9))))*P20)</f>
        <v>131.61681824547594</v>
      </c>
      <c r="S20" s="14">
        <f>(($Z$9-(X20/40)*($Z$9))*VLOOKUP($I20,'2023'!$A$2:$I$278,9,FALSE))+((1-(($Z$9-(X20/40)*($Z$9))))*Q20)</f>
        <v>164.78918372275578</v>
      </c>
      <c r="T20" s="81"/>
      <c r="U20" s="16"/>
      <c r="V20" s="16"/>
      <c r="W20" s="16"/>
      <c r="X20" s="16">
        <f>VLOOKUP(I20,FEDEX!$A$2:$H$270,4,FALSE)</f>
        <v>9</v>
      </c>
    </row>
    <row r="21" spans="1:24">
      <c r="A21" t="str">
        <f>DIST!A21</f>
        <v>Hayden Springer</v>
      </c>
      <c r="B21">
        <f>VLOOKUP(Raw_Data4[[#This Row],[PLAYER NAME]],DIST!$A:$E,2,FALSE)</f>
        <v>20</v>
      </c>
      <c r="C21">
        <f>VLOOKUP(Raw_Data4[[#This Row],[PLAYER NAME]],ACC!$A:$E,2,FALSE)</f>
        <v>147</v>
      </c>
      <c r="D21">
        <f>VLOOKUP(Raw_Data4[[#This Row],[PLAYER NAME]],APP!$A:$E,2,FALSE)</f>
        <v>147</v>
      </c>
      <c r="E21">
        <f>VLOOKUP(Raw_Data4[[#This Row],[PLAYER NAME]],ARG!$A:$E,2,FALSE)</f>
        <v>81</v>
      </c>
      <c r="F21">
        <f>VLOOKUP(Raw_Data4[[#This Row],[PLAYER NAME]],PUTT!$A:$E,2,FALSE)</f>
        <v>41</v>
      </c>
      <c r="G21">
        <f>VLOOKUP(Raw_Data4[[#This Row],[PLAYER NAME]],SG!$A:$E,3,FALSE)</f>
        <v>62</v>
      </c>
      <c r="I21" s="34" t="str">
        <f>Raw_Data4[[#This Row],[PLAYER NAME]]</f>
        <v>Hayden Springer</v>
      </c>
      <c r="J21">
        <f>Raw_Data4[[#This Row],[DIST]]</f>
        <v>20</v>
      </c>
      <c r="K21">
        <f>Raw_Data4[[#This Row],[ACC]]</f>
        <v>147</v>
      </c>
      <c r="L21">
        <f>Raw_Data4[[#This Row],[APP]]</f>
        <v>147</v>
      </c>
      <c r="M21">
        <f>Raw_Data4[[#This Row],[ARG]]</f>
        <v>81</v>
      </c>
      <c r="N21">
        <f>Raw_Data4[[#This Row],[PUTT]]</f>
        <v>41</v>
      </c>
      <c r="O21" s="22">
        <f>Raw_Data4[[#This Row],[SG]]</f>
        <v>62</v>
      </c>
      <c r="P21" s="34">
        <f t="shared" si="0"/>
        <v>247.29999999999998</v>
      </c>
      <c r="Q21" s="359">
        <f t="shared" si="1"/>
        <v>341.99609967559826</v>
      </c>
      <c r="R21" s="226" t="e">
        <f>(($Z$9-(X21/40)*($Z$9))*VLOOKUP($I21,'2023'!$A$2:$I$278,8,FALSE))+((1-(($Z$9-(X21/40)*($Z$9))))*P21)</f>
        <v>#N/A</v>
      </c>
      <c r="S21" s="14" t="e">
        <f>(($Z$9-(X21/40)*($Z$9))*VLOOKUP($I21,'2023'!$A$2:$I$278,9,FALSE))+((1-(($Z$9-(X21/40)*($Z$9))))*Q21)</f>
        <v>#N/A</v>
      </c>
      <c r="T21" s="81"/>
      <c r="U21" s="16"/>
      <c r="V21" s="16"/>
      <c r="W21" s="16"/>
      <c r="X21" s="16">
        <f>VLOOKUP(I21,FEDEX!$A$2:$H$270,4,FALSE)</f>
        <v>7</v>
      </c>
    </row>
    <row r="22" spans="1:24">
      <c r="A22" t="str">
        <f>DIST!A22</f>
        <v>Nicolai Højgaard</v>
      </c>
      <c r="B22">
        <f>VLOOKUP(Raw_Data4[[#This Row],[PLAYER NAME]],DIST!$A:$E,2,FALSE)</f>
        <v>21</v>
      </c>
      <c r="C22">
        <f>VLOOKUP(Raw_Data4[[#This Row],[PLAYER NAME]],ACC!$A:$E,2,FALSE)</f>
        <v>46</v>
      </c>
      <c r="D22">
        <f>VLOOKUP(Raw_Data4[[#This Row],[PLAYER NAME]],APP!$A:$E,2,FALSE)</f>
        <v>65</v>
      </c>
      <c r="E22">
        <f>VLOOKUP(Raw_Data4[[#This Row],[PLAYER NAME]],ARG!$A:$E,2,FALSE)</f>
        <v>170</v>
      </c>
      <c r="F22">
        <f>VLOOKUP(Raw_Data4[[#This Row],[PLAYER NAME]],PUTT!$A:$E,2,FALSE)</f>
        <v>153</v>
      </c>
      <c r="G22">
        <f>VLOOKUP(Raw_Data4[[#This Row],[PLAYER NAME]],SG!$A:$E,3,FALSE)</f>
        <v>124</v>
      </c>
      <c r="I22" s="34" t="str">
        <f>Raw_Data4[[#This Row],[PLAYER NAME]]</f>
        <v>Nicolai Højgaard</v>
      </c>
      <c r="J22">
        <f>Raw_Data4[[#This Row],[DIST]]</f>
        <v>21</v>
      </c>
      <c r="K22">
        <f>Raw_Data4[[#This Row],[ACC]]</f>
        <v>46</v>
      </c>
      <c r="L22">
        <f>Raw_Data4[[#This Row],[APP]]</f>
        <v>65</v>
      </c>
      <c r="M22">
        <f>Raw_Data4[[#This Row],[ARG]]</f>
        <v>170</v>
      </c>
      <c r="N22">
        <f>Raw_Data4[[#This Row],[PUTT]]</f>
        <v>153</v>
      </c>
      <c r="O22" s="22">
        <f>Raw_Data4[[#This Row],[SG]]</f>
        <v>124</v>
      </c>
      <c r="P22" s="34">
        <f t="shared" si="0"/>
        <v>231.9</v>
      </c>
      <c r="Q22" s="359">
        <f t="shared" si="1"/>
        <v>397.18682749626191</v>
      </c>
      <c r="R22" s="226">
        <f>(($Z$9-(X22/40)*($Z$9))*VLOOKUP($I22,'2023'!$A$2:$I$278,8,FALSE))+((1-(($Z$9-(X22/40)*($Z$9))))*P22)</f>
        <v>204.44229767694173</v>
      </c>
      <c r="S22" s="14">
        <f>(($Z$9-(X22/40)*($Z$9))*VLOOKUP($I22,'2023'!$A$2:$I$278,9,FALSE))+((1-(($Z$9-(X22/40)*($Z$9))))*Q22)</f>
        <v>314.00383766170842</v>
      </c>
      <c r="T22" s="81"/>
      <c r="U22" s="16"/>
      <c r="V22" s="16"/>
      <c r="W22" s="16"/>
      <c r="X22" s="16">
        <f>VLOOKUP(I22,FEDEX!$A$2:$H$270,4,FALSE)</f>
        <v>8</v>
      </c>
    </row>
    <row r="23" spans="1:24">
      <c r="A23" t="str">
        <f>DIST!A23</f>
        <v>Callum Tarren</v>
      </c>
      <c r="B23">
        <f>VLOOKUP(Raw_Data4[[#This Row],[PLAYER NAME]],DIST!$A:$E,2,FALSE)</f>
        <v>22</v>
      </c>
      <c r="C23">
        <f>VLOOKUP(Raw_Data4[[#This Row],[PLAYER NAME]],ACC!$A:$E,2,FALSE)</f>
        <v>180</v>
      </c>
      <c r="D23">
        <f>VLOOKUP(Raw_Data4[[#This Row],[PLAYER NAME]],APP!$A:$E,2,FALSE)</f>
        <v>161</v>
      </c>
      <c r="E23">
        <f>VLOOKUP(Raw_Data4[[#This Row],[PLAYER NAME]],ARG!$A:$E,2,FALSE)</f>
        <v>163</v>
      </c>
      <c r="F23">
        <f>VLOOKUP(Raw_Data4[[#This Row],[PLAYER NAME]],PUTT!$A:$E,2,FALSE)</f>
        <v>120</v>
      </c>
      <c r="G23">
        <f>VLOOKUP(Raw_Data4[[#This Row],[PLAYER NAME]],SG!$A:$E,3,FALSE)</f>
        <v>175</v>
      </c>
      <c r="I23" s="34" t="str">
        <f>Raw_Data4[[#This Row],[PLAYER NAME]]</f>
        <v>Callum Tarren</v>
      </c>
      <c r="J23">
        <f>Raw_Data4[[#This Row],[DIST]]</f>
        <v>22</v>
      </c>
      <c r="K23">
        <f>Raw_Data4[[#This Row],[ACC]]</f>
        <v>180</v>
      </c>
      <c r="L23">
        <f>Raw_Data4[[#This Row],[APP]]</f>
        <v>161</v>
      </c>
      <c r="M23">
        <f>Raw_Data4[[#This Row],[ARG]]</f>
        <v>163</v>
      </c>
      <c r="N23">
        <f>Raw_Data4[[#This Row],[PUTT]]</f>
        <v>120</v>
      </c>
      <c r="O23" s="22">
        <f>Raw_Data4[[#This Row],[SG]]</f>
        <v>175</v>
      </c>
      <c r="P23" s="34">
        <f t="shared" si="0"/>
        <v>347.7</v>
      </c>
      <c r="Q23" s="359">
        <f t="shared" si="1"/>
        <v>575.17551385113745</v>
      </c>
      <c r="R23" s="226">
        <f>(($Z$9-(X23/40)*($Z$9))*VLOOKUP($I23,'2023'!$A$2:$I$278,8,FALSE))+((1-(($Z$9-(X23/40)*($Z$9))))*P23)</f>
        <v>321.70098811285419</v>
      </c>
      <c r="S23" s="14">
        <f>(($Z$9-(X23/40)*($Z$9))*VLOOKUP($I23,'2023'!$A$2:$I$278,9,FALSE))+((1-(($Z$9-(X23/40)*($Z$9))))*Q23)</f>
        <v>510.63028799237628</v>
      </c>
      <c r="T23" s="81"/>
      <c r="U23" s="16"/>
      <c r="V23" s="16"/>
      <c r="W23" s="16"/>
      <c r="X23" s="16">
        <f>VLOOKUP(I23,FEDEX!$A$2:$H$270,4,FALSE)</f>
        <v>10</v>
      </c>
    </row>
    <row r="24" spans="1:24">
      <c r="A24" t="str">
        <f>DIST!A24</f>
        <v>Rico Hoey</v>
      </c>
      <c r="B24">
        <f>VLOOKUP(Raw_Data4[[#This Row],[PLAYER NAME]],DIST!$A:$E,2,FALSE)</f>
        <v>23</v>
      </c>
      <c r="C24">
        <f>VLOOKUP(Raw_Data4[[#This Row],[PLAYER NAME]],ACC!$A:$E,2,FALSE)</f>
        <v>128</v>
      </c>
      <c r="D24">
        <f>VLOOKUP(Raw_Data4[[#This Row],[PLAYER NAME]],APP!$A:$E,2,FALSE)</f>
        <v>44</v>
      </c>
      <c r="E24">
        <f>VLOOKUP(Raw_Data4[[#This Row],[PLAYER NAME]],ARG!$A:$E,2,FALSE)</f>
        <v>153</v>
      </c>
      <c r="F24">
        <f>VLOOKUP(Raw_Data4[[#This Row],[PLAYER NAME]],PUTT!$A:$E,2,FALSE)</f>
        <v>178</v>
      </c>
      <c r="G24">
        <f>VLOOKUP(Raw_Data4[[#This Row],[PLAYER NAME]],SG!$A:$E,3,FALSE)</f>
        <v>125</v>
      </c>
      <c r="I24" s="34" t="str">
        <f>Raw_Data4[[#This Row],[PLAYER NAME]]</f>
        <v>Rico Hoey</v>
      </c>
      <c r="J24">
        <f>Raw_Data4[[#This Row],[DIST]]</f>
        <v>23</v>
      </c>
      <c r="K24">
        <f>Raw_Data4[[#This Row],[ACC]]</f>
        <v>128</v>
      </c>
      <c r="L24">
        <f>Raw_Data4[[#This Row],[APP]]</f>
        <v>44</v>
      </c>
      <c r="M24">
        <f>Raw_Data4[[#This Row],[ARG]]</f>
        <v>153</v>
      </c>
      <c r="N24">
        <f>Raw_Data4[[#This Row],[PUTT]]</f>
        <v>178</v>
      </c>
      <c r="O24" s="22">
        <f>Raw_Data4[[#This Row],[SG]]</f>
        <v>125</v>
      </c>
      <c r="P24" s="34">
        <f t="shared" si="0"/>
        <v>265.7</v>
      </c>
      <c r="Q24" s="359">
        <f t="shared" si="1"/>
        <v>425.45576051556253</v>
      </c>
      <c r="R24" s="226" t="e">
        <f>(($Z$9-(X24/40)*($Z$9))*VLOOKUP($I24,'2023'!$A$2:$I$278,8,FALSE))+((1-(($Z$9-(X24/40)*($Z$9))))*P24)</f>
        <v>#N/A</v>
      </c>
      <c r="S24" s="14" t="e">
        <f>(($Z$9-(X24/40)*($Z$9))*VLOOKUP($I24,'2023'!$A$2:$I$278,9,FALSE))+((1-(($Z$9-(X24/40)*($Z$9))))*Q24)</f>
        <v>#N/A</v>
      </c>
      <c r="T24" s="81"/>
      <c r="U24" s="16"/>
      <c r="V24" s="16"/>
      <c r="W24" s="16"/>
      <c r="X24" s="16">
        <f>VLOOKUP(I24,FEDEX!$A$2:$H$270,4,FALSE)</f>
        <v>9</v>
      </c>
    </row>
    <row r="25" spans="1:24">
      <c r="A25" t="str">
        <f>DIST!A25</f>
        <v>Kevin Yu</v>
      </c>
      <c r="B25">
        <f>VLOOKUP(Raw_Data4[[#This Row],[PLAYER NAME]],DIST!$A:$E,2,FALSE)</f>
        <v>23</v>
      </c>
      <c r="C25">
        <f>VLOOKUP(Raw_Data4[[#This Row],[PLAYER NAME]],ACC!$A:$E,2,FALSE)</f>
        <v>103</v>
      </c>
      <c r="D25">
        <f>VLOOKUP(Raw_Data4[[#This Row],[PLAYER NAME]],APP!$A:$E,2,FALSE)</f>
        <v>40</v>
      </c>
      <c r="E25">
        <f>VLOOKUP(Raw_Data4[[#This Row],[PLAYER NAME]],ARG!$A:$E,2,FALSE)</f>
        <v>180</v>
      </c>
      <c r="F25">
        <f>VLOOKUP(Raw_Data4[[#This Row],[PLAYER NAME]],PUTT!$A:$E,2,FALSE)</f>
        <v>169</v>
      </c>
      <c r="G25">
        <f>VLOOKUP(Raw_Data4[[#This Row],[PLAYER NAME]],SG!$A:$E,3,FALSE)</f>
        <v>115</v>
      </c>
      <c r="I25" s="34" t="str">
        <f>Raw_Data4[[#This Row],[PLAYER NAME]]</f>
        <v>Kevin Yu</v>
      </c>
      <c r="J25">
        <f>Raw_Data4[[#This Row],[DIST]]</f>
        <v>23</v>
      </c>
      <c r="K25">
        <f>Raw_Data4[[#This Row],[ACC]]</f>
        <v>103</v>
      </c>
      <c r="L25">
        <f>Raw_Data4[[#This Row],[APP]]</f>
        <v>40</v>
      </c>
      <c r="M25">
        <f>Raw_Data4[[#This Row],[ARG]]</f>
        <v>180</v>
      </c>
      <c r="N25">
        <f>Raw_Data4[[#This Row],[PUTT]]</f>
        <v>169</v>
      </c>
      <c r="O25" s="22">
        <f>Raw_Data4[[#This Row],[SG]]</f>
        <v>115</v>
      </c>
      <c r="P25" s="34">
        <f t="shared" si="0"/>
        <v>256.7</v>
      </c>
      <c r="Q25" s="359">
        <f t="shared" si="1"/>
        <v>411.20490989202995</v>
      </c>
      <c r="R25" s="226">
        <f>(($Z$9-(X25/40)*($Z$9))*VLOOKUP($I25,'2023'!$A$2:$I$278,8,FALSE))+((1-(($Z$9-(X25/40)*($Z$9))))*P25)</f>
        <v>247.74192461710223</v>
      </c>
      <c r="S25" s="14">
        <f>(($Z$9-(X25/40)*($Z$9))*VLOOKUP($I25,'2023'!$A$2:$I$278,9,FALSE))+((1-(($Z$9-(X25/40)*($Z$9))))*Q25)</f>
        <v>378.62932492495349</v>
      </c>
      <c r="T25" s="81"/>
      <c r="U25" s="16"/>
      <c r="V25" s="16"/>
      <c r="W25" s="16"/>
      <c r="X25" s="16">
        <f>VLOOKUP(I25,FEDEX!$A$2:$H$270,4,FALSE)</f>
        <v>10</v>
      </c>
    </row>
    <row r="26" spans="1:24">
      <c r="A26" t="str">
        <f>DIST!A26</f>
        <v>Paul Barjon</v>
      </c>
      <c r="B26">
        <f>VLOOKUP(Raw_Data4[[#This Row],[PLAYER NAME]],DIST!$A:$E,2,FALSE)</f>
        <v>25</v>
      </c>
      <c r="C26">
        <f>VLOOKUP(Raw_Data4[[#This Row],[PLAYER NAME]],ACC!$A:$E,2,FALSE)</f>
        <v>168</v>
      </c>
      <c r="D26">
        <f>VLOOKUP(Raw_Data4[[#This Row],[PLAYER NAME]],APP!$A:$E,2,FALSE)</f>
        <v>165</v>
      </c>
      <c r="E26">
        <f>VLOOKUP(Raw_Data4[[#This Row],[PLAYER NAME]],ARG!$A:$E,2,FALSE)</f>
        <v>179</v>
      </c>
      <c r="F26">
        <f>VLOOKUP(Raw_Data4[[#This Row],[PLAYER NAME]],PUTT!$A:$E,2,FALSE)</f>
        <v>156</v>
      </c>
      <c r="G26">
        <f>VLOOKUP(Raw_Data4[[#This Row],[PLAYER NAME]],SG!$A:$E,3,FALSE)</f>
        <v>179</v>
      </c>
      <c r="I26" s="34" t="str">
        <f>Raw_Data4[[#This Row],[PLAYER NAME]]</f>
        <v>Paul Barjon</v>
      </c>
      <c r="J26">
        <f>Raw_Data4[[#This Row],[DIST]]</f>
        <v>25</v>
      </c>
      <c r="K26">
        <f>Raw_Data4[[#This Row],[ACC]]</f>
        <v>168</v>
      </c>
      <c r="L26">
        <f>Raw_Data4[[#This Row],[APP]]</f>
        <v>165</v>
      </c>
      <c r="M26">
        <f>Raw_Data4[[#This Row],[ARG]]</f>
        <v>179</v>
      </c>
      <c r="N26">
        <f>Raw_Data4[[#This Row],[PUTT]]</f>
        <v>156</v>
      </c>
      <c r="O26" s="22">
        <f>Raw_Data4[[#This Row],[SG]]</f>
        <v>179</v>
      </c>
      <c r="P26" s="34">
        <f t="shared" si="0"/>
        <v>371.6</v>
      </c>
      <c r="Q26" s="359">
        <f t="shared" si="1"/>
        <v>606.84848991051661</v>
      </c>
      <c r="R26" s="226" t="e">
        <f>(($Z$9-(X26/40)*($Z$9))*VLOOKUP($I26,'2023'!$A$2:$I$278,8,FALSE))+((1-(($Z$9-(X26/40)*($Z$9))))*P26)</f>
        <v>#N/A</v>
      </c>
      <c r="S26" s="14" t="e">
        <f>(($Z$9-(X26/40)*($Z$9))*VLOOKUP($I26,'2023'!$A$2:$I$278,9,FALSE))+((1-(($Z$9-(X26/40)*($Z$9))))*Q26)</f>
        <v>#N/A</v>
      </c>
      <c r="T26" s="81"/>
      <c r="U26" s="16"/>
      <c r="V26" s="16"/>
      <c r="W26" s="16"/>
      <c r="X26" s="16">
        <f>VLOOKUP(I26,FEDEX!$A$2:$H$270,4,FALSE)</f>
        <v>9</v>
      </c>
    </row>
    <row r="27" spans="1:24">
      <c r="A27" t="str">
        <f>DIST!A27</f>
        <v>Keith Mitchell</v>
      </c>
      <c r="B27">
        <f>VLOOKUP(Raw_Data4[[#This Row],[PLAYER NAME]],DIST!$A:$E,2,FALSE)</f>
        <v>26</v>
      </c>
      <c r="C27">
        <f>VLOOKUP(Raw_Data4[[#This Row],[PLAYER NAME]],ACC!$A:$E,2,FALSE)</f>
        <v>95</v>
      </c>
      <c r="D27">
        <f>VLOOKUP(Raw_Data4[[#This Row],[PLAYER NAME]],APP!$A:$E,2,FALSE)</f>
        <v>11</v>
      </c>
      <c r="E27">
        <f>VLOOKUP(Raw_Data4[[#This Row],[PLAYER NAME]],ARG!$A:$E,2,FALSE)</f>
        <v>142</v>
      </c>
      <c r="F27">
        <f>VLOOKUP(Raw_Data4[[#This Row],[PLAYER NAME]],PUTT!$A:$E,2,FALSE)</f>
        <v>142</v>
      </c>
      <c r="G27">
        <f>VLOOKUP(Raw_Data4[[#This Row],[PLAYER NAME]],SG!$A:$E,3,FALSE)</f>
        <v>23</v>
      </c>
      <c r="I27" s="34" t="str">
        <f>Raw_Data4[[#This Row],[PLAYER NAME]]</f>
        <v>Keith Mitchell</v>
      </c>
      <c r="J27">
        <f>Raw_Data4[[#This Row],[DIST]]</f>
        <v>26</v>
      </c>
      <c r="K27">
        <f>Raw_Data4[[#This Row],[ACC]]</f>
        <v>95</v>
      </c>
      <c r="L27">
        <f>Raw_Data4[[#This Row],[APP]]</f>
        <v>11</v>
      </c>
      <c r="M27">
        <f>Raw_Data4[[#This Row],[ARG]]</f>
        <v>142</v>
      </c>
      <c r="N27">
        <f>Raw_Data4[[#This Row],[PUTT]]</f>
        <v>142</v>
      </c>
      <c r="O27" s="22">
        <f>Raw_Data4[[#This Row],[SG]]</f>
        <v>23</v>
      </c>
      <c r="P27" s="34">
        <f t="shared" si="0"/>
        <v>206.4</v>
      </c>
      <c r="Q27" s="359">
        <f t="shared" si="1"/>
        <v>255.64805363833938</v>
      </c>
      <c r="R27" s="226">
        <f>(($Z$9-(X27/40)*($Z$9))*VLOOKUP($I27,'2023'!$A$2:$I$278,8,FALSE))+((1-(($Z$9-(X27/40)*($Z$9))))*P27)</f>
        <v>222.87290528743978</v>
      </c>
      <c r="S27" s="14">
        <f>(($Z$9-(X27/40)*($Z$9))*VLOOKUP($I27,'2023'!$A$2:$I$278,9,FALSE))+((1-(($Z$9-(X27/40)*($Z$9))))*Q27)</f>
        <v>298.54476853619065</v>
      </c>
      <c r="T27" s="81"/>
      <c r="U27" s="16"/>
      <c r="V27" s="16"/>
      <c r="W27" s="16"/>
      <c r="X27" s="16">
        <f>VLOOKUP(I27,FEDEX!$A$2:$H$270,4,FALSE)</f>
        <v>11</v>
      </c>
    </row>
    <row r="28" spans="1:24">
      <c r="A28" t="str">
        <f>DIST!A28</f>
        <v>Pierceson Coody</v>
      </c>
      <c r="B28">
        <f>VLOOKUP(Raw_Data4[[#This Row],[PLAYER NAME]],DIST!$A:$E,2,FALSE)</f>
        <v>27</v>
      </c>
      <c r="C28">
        <f>VLOOKUP(Raw_Data4[[#This Row],[PLAYER NAME]],ACC!$A:$E,2,FALSE)</f>
        <v>159</v>
      </c>
      <c r="D28">
        <f>VLOOKUP(Raw_Data4[[#This Row],[PLAYER NAME]],APP!$A:$E,2,FALSE)</f>
        <v>175</v>
      </c>
      <c r="E28">
        <f>VLOOKUP(Raw_Data4[[#This Row],[PLAYER NAME]],ARG!$A:$E,2,FALSE)</f>
        <v>175</v>
      </c>
      <c r="F28">
        <f>VLOOKUP(Raw_Data4[[#This Row],[PLAYER NAME]],PUTT!$A:$E,2,FALSE)</f>
        <v>14</v>
      </c>
      <c r="G28">
        <f>VLOOKUP(Raw_Data4[[#This Row],[PLAYER NAME]],SG!$A:$E,3,FALSE)</f>
        <v>170</v>
      </c>
      <c r="I28" s="34" t="str">
        <f>Raw_Data4[[#This Row],[PLAYER NAME]]</f>
        <v>Pierceson Coody</v>
      </c>
      <c r="J28">
        <f>Raw_Data4[[#This Row],[DIST]]</f>
        <v>27</v>
      </c>
      <c r="K28">
        <f>Raw_Data4[[#This Row],[ACC]]</f>
        <v>159</v>
      </c>
      <c r="L28">
        <f>Raw_Data4[[#This Row],[APP]]</f>
        <v>175</v>
      </c>
      <c r="M28">
        <f>Raw_Data4[[#This Row],[ARG]]</f>
        <v>175</v>
      </c>
      <c r="N28">
        <f>Raw_Data4[[#This Row],[PUTT]]</f>
        <v>14</v>
      </c>
      <c r="O28" s="22">
        <f>Raw_Data4[[#This Row],[SG]]</f>
        <v>170</v>
      </c>
      <c r="P28" s="34">
        <f t="shared" si="0"/>
        <v>303.29999999999995</v>
      </c>
      <c r="Q28" s="359">
        <f t="shared" si="1"/>
        <v>526.60169742644791</v>
      </c>
      <c r="R28" s="226" t="e">
        <f>(($Z$9-(X28/40)*($Z$9))*VLOOKUP($I28,'2023'!$A$2:$I$278,8,FALSE))+((1-(($Z$9-(X28/40)*($Z$9))))*P28)</f>
        <v>#N/A</v>
      </c>
      <c r="S28" s="14" t="e">
        <f>(($Z$9-(X28/40)*($Z$9))*VLOOKUP($I28,'2023'!$A$2:$I$278,9,FALSE))+((1-(($Z$9-(X28/40)*($Z$9))))*Q28)</f>
        <v>#N/A</v>
      </c>
      <c r="T28" s="81"/>
      <c r="U28" s="16"/>
      <c r="V28" s="16"/>
      <c r="W28" s="16"/>
      <c r="X28" s="16">
        <f>VLOOKUP(I28,FEDEX!$A$2:$H$270,4,FALSE)</f>
        <v>9</v>
      </c>
    </row>
    <row r="29" spans="1:24">
      <c r="A29" t="str">
        <f>DIST!A29</f>
        <v>Jake Knapp</v>
      </c>
      <c r="B29">
        <f>VLOOKUP(Raw_Data4[[#This Row],[PLAYER NAME]],DIST!$A:$E,2,FALSE)</f>
        <v>27</v>
      </c>
      <c r="C29">
        <f>VLOOKUP(Raw_Data4[[#This Row],[PLAYER NAME]],ACC!$A:$E,2,FALSE)</f>
        <v>80</v>
      </c>
      <c r="D29">
        <f>VLOOKUP(Raw_Data4[[#This Row],[PLAYER NAME]],APP!$A:$E,2,FALSE)</f>
        <v>18</v>
      </c>
      <c r="E29">
        <f>VLOOKUP(Raw_Data4[[#This Row],[PLAYER NAME]],ARG!$A:$E,2,FALSE)</f>
        <v>58</v>
      </c>
      <c r="F29">
        <f>VLOOKUP(Raw_Data4[[#This Row],[PLAYER NAME]],PUTT!$A:$E,2,FALSE)</f>
        <v>61</v>
      </c>
      <c r="G29">
        <f>VLOOKUP(Raw_Data4[[#This Row],[PLAYER NAME]],SG!$A:$E,3,FALSE)</f>
        <v>36</v>
      </c>
      <c r="I29" s="34" t="str">
        <f>Raw_Data4[[#This Row],[PLAYER NAME]]</f>
        <v>Jake Knapp</v>
      </c>
      <c r="J29">
        <f>Raw_Data4[[#This Row],[DIST]]</f>
        <v>27</v>
      </c>
      <c r="K29">
        <f>Raw_Data4[[#This Row],[ACC]]</f>
        <v>80</v>
      </c>
      <c r="L29">
        <f>Raw_Data4[[#This Row],[APP]]</f>
        <v>18</v>
      </c>
      <c r="M29">
        <f>Raw_Data4[[#This Row],[ARG]]</f>
        <v>58</v>
      </c>
      <c r="N29">
        <f>Raw_Data4[[#This Row],[PUTT]]</f>
        <v>61</v>
      </c>
      <c r="O29" s="22">
        <f>Raw_Data4[[#This Row],[SG]]</f>
        <v>36</v>
      </c>
      <c r="P29" s="34">
        <f t="shared" si="0"/>
        <v>130.6</v>
      </c>
      <c r="Q29" s="359">
        <f t="shared" si="1"/>
        <v>174.77490806448611</v>
      </c>
      <c r="R29" s="226" t="e">
        <f>(($Z$9-(X29/40)*($Z$9))*VLOOKUP($I29,'2023'!$A$2:$I$278,8,FALSE))+((1-(($Z$9-(X29/40)*($Z$9))))*P29)</f>
        <v>#N/A</v>
      </c>
      <c r="S29" s="14" t="e">
        <f>(($Z$9-(X29/40)*($Z$9))*VLOOKUP($I29,'2023'!$A$2:$I$278,9,FALSE))+((1-(($Z$9-(X29/40)*($Z$9))))*Q29)</f>
        <v>#N/A</v>
      </c>
      <c r="T29" s="81"/>
      <c r="U29" s="16"/>
      <c r="V29" s="16"/>
      <c r="W29" s="16"/>
      <c r="X29" s="16">
        <f>VLOOKUP(I29,FEDEX!$A$2:$H$270,4,FALSE)</f>
        <v>10</v>
      </c>
    </row>
    <row r="30" spans="1:24">
      <c r="A30" t="str">
        <f>DIST!A30</f>
        <v>Sam Stevens</v>
      </c>
      <c r="B30">
        <f>VLOOKUP(Raw_Data4[[#This Row],[PLAYER NAME]],DIST!$A:$E,2,FALSE)</f>
        <v>27</v>
      </c>
      <c r="C30">
        <f>VLOOKUP(Raw_Data4[[#This Row],[PLAYER NAME]],ACC!$A:$E,2,FALSE)</f>
        <v>161</v>
      </c>
      <c r="D30">
        <f>VLOOKUP(Raw_Data4[[#This Row],[PLAYER NAME]],APP!$A:$E,2,FALSE)</f>
        <v>136</v>
      </c>
      <c r="E30">
        <f>VLOOKUP(Raw_Data4[[#This Row],[PLAYER NAME]],ARG!$A:$E,2,FALSE)</f>
        <v>87</v>
      </c>
      <c r="F30">
        <f>VLOOKUP(Raw_Data4[[#This Row],[PLAYER NAME]],PUTT!$A:$E,2,FALSE)</f>
        <v>66</v>
      </c>
      <c r="G30">
        <f>VLOOKUP(Raw_Data4[[#This Row],[PLAYER NAME]],SG!$A:$E,3,FALSE)</f>
        <v>83</v>
      </c>
      <c r="I30" s="34" t="str">
        <f>Raw_Data4[[#This Row],[PLAYER NAME]]</f>
        <v>Sam Stevens</v>
      </c>
      <c r="J30">
        <f>Raw_Data4[[#This Row],[DIST]]</f>
        <v>27</v>
      </c>
      <c r="K30">
        <f>Raw_Data4[[#This Row],[ACC]]</f>
        <v>161</v>
      </c>
      <c r="L30">
        <f>Raw_Data4[[#This Row],[APP]]</f>
        <v>136</v>
      </c>
      <c r="M30">
        <f>Raw_Data4[[#This Row],[ARG]]</f>
        <v>87</v>
      </c>
      <c r="N30">
        <f>Raw_Data4[[#This Row],[PUTT]]</f>
        <v>66</v>
      </c>
      <c r="O30" s="22">
        <f>Raw_Data4[[#This Row],[SG]]</f>
        <v>83</v>
      </c>
      <c r="P30" s="34">
        <f t="shared" si="0"/>
        <v>267.8</v>
      </c>
      <c r="Q30" s="359">
        <f t="shared" si="1"/>
        <v>381.74367832089183</v>
      </c>
      <c r="R30" s="226">
        <f>(($Z$9-(X30/40)*($Z$9))*VLOOKUP($I30,'2023'!$A$2:$I$278,8,FALSE))+((1-(($Z$9-(X30/40)*($Z$9))))*P30)</f>
        <v>278.15155377579299</v>
      </c>
      <c r="S30" s="14">
        <f>(($Z$9-(X30/40)*($Z$9))*VLOOKUP($I30,'2023'!$A$2:$I$278,9,FALSE))+((1-(($Z$9-(X30/40)*($Z$9))))*Q30)</f>
        <v>394.38101689153018</v>
      </c>
      <c r="T30" s="81"/>
      <c r="U30" s="16"/>
      <c r="V30" s="16"/>
      <c r="W30" s="16"/>
      <c r="X30" s="16">
        <f>VLOOKUP(I30,FEDEX!$A$2:$H$270,4,FALSE)</f>
        <v>11</v>
      </c>
    </row>
    <row r="31" spans="1:24">
      <c r="A31" t="str">
        <f>DIST!A31</f>
        <v>Ryan Fox</v>
      </c>
      <c r="B31">
        <f>VLOOKUP(Raw_Data4[[#This Row],[PLAYER NAME]],DIST!$A:$E,2,FALSE)</f>
        <v>30</v>
      </c>
      <c r="C31">
        <f>VLOOKUP(Raw_Data4[[#This Row],[PLAYER NAME]],ACC!$A:$E,2,FALSE)</f>
        <v>125</v>
      </c>
      <c r="D31">
        <f>VLOOKUP(Raw_Data4[[#This Row],[PLAYER NAME]],APP!$A:$E,2,FALSE)</f>
        <v>87</v>
      </c>
      <c r="E31">
        <f>VLOOKUP(Raw_Data4[[#This Row],[PLAYER NAME]],ARG!$A:$E,2,FALSE)</f>
        <v>139</v>
      </c>
      <c r="F31">
        <f>VLOOKUP(Raw_Data4[[#This Row],[PLAYER NAME]],PUTT!$A:$E,2,FALSE)</f>
        <v>89</v>
      </c>
      <c r="G31">
        <f>VLOOKUP(Raw_Data4[[#This Row],[PLAYER NAME]],SG!$A:$E,3,FALSE)</f>
        <v>142</v>
      </c>
      <c r="I31" s="34" t="str">
        <f>Raw_Data4[[#This Row],[PLAYER NAME]]</f>
        <v>Ryan Fox</v>
      </c>
      <c r="J31">
        <f>Raw_Data4[[#This Row],[DIST]]</f>
        <v>30</v>
      </c>
      <c r="K31">
        <f>Raw_Data4[[#This Row],[ACC]]</f>
        <v>125</v>
      </c>
      <c r="L31">
        <f>Raw_Data4[[#This Row],[APP]]</f>
        <v>87</v>
      </c>
      <c r="M31">
        <f>Raw_Data4[[#This Row],[ARG]]</f>
        <v>139</v>
      </c>
      <c r="N31">
        <f>Raw_Data4[[#This Row],[PUTT]]</f>
        <v>89</v>
      </c>
      <c r="O31" s="22">
        <f>Raw_Data4[[#This Row],[SG]]</f>
        <v>142</v>
      </c>
      <c r="P31" s="34">
        <f t="shared" si="0"/>
        <v>250.5</v>
      </c>
      <c r="Q31" s="359">
        <f t="shared" si="1"/>
        <v>426.72521719907616</v>
      </c>
      <c r="R31" s="226">
        <f>(($Z$9-(X31/40)*($Z$9))*VLOOKUP($I31,'2023'!$A$2:$I$278,8,FALSE))+((1-(($Z$9-(X31/40)*($Z$9))))*P31)</f>
        <v>247.94643368395558</v>
      </c>
      <c r="S31" s="14">
        <f>(($Z$9-(X31/40)*($Z$9))*VLOOKUP($I31,'2023'!$A$2:$I$278,9,FALSE))+((1-(($Z$9-(X31/40)*($Z$9))))*Q31)</f>
        <v>376.67770821999875</v>
      </c>
      <c r="T31" s="81"/>
      <c r="U31" s="16"/>
      <c r="V31" s="16"/>
      <c r="W31" s="16"/>
      <c r="X31" s="16">
        <f>VLOOKUP(I31,FEDEX!$A$2:$H$270,4,FALSE)</f>
        <v>9</v>
      </c>
    </row>
    <row r="32" spans="1:24">
      <c r="A32" t="str">
        <f>DIST!A32</f>
        <v>Max Greyserman</v>
      </c>
      <c r="B32">
        <f>VLOOKUP(Raw_Data4[[#This Row],[PLAYER NAME]],DIST!$A:$E,2,FALSE)</f>
        <v>30</v>
      </c>
      <c r="C32">
        <f>VLOOKUP(Raw_Data4[[#This Row],[PLAYER NAME]],ACC!$A:$E,2,FALSE)</f>
        <v>139</v>
      </c>
      <c r="D32">
        <f>VLOOKUP(Raw_Data4[[#This Row],[PLAYER NAME]],APP!$A:$E,2,FALSE)</f>
        <v>63</v>
      </c>
      <c r="E32">
        <f>VLOOKUP(Raw_Data4[[#This Row],[PLAYER NAME]],ARG!$A:$E,2,FALSE)</f>
        <v>83</v>
      </c>
      <c r="F32">
        <f>VLOOKUP(Raw_Data4[[#This Row],[PLAYER NAME]],PUTT!$A:$E,2,FALSE)</f>
        <v>81</v>
      </c>
      <c r="G32">
        <f>VLOOKUP(Raw_Data4[[#This Row],[PLAYER NAME]],SG!$A:$E,3,FALSE)</f>
        <v>59</v>
      </c>
      <c r="I32" s="34" t="str">
        <f>Raw_Data4[[#This Row],[PLAYER NAME]]</f>
        <v>Max Greyserman</v>
      </c>
      <c r="J32">
        <f>Raw_Data4[[#This Row],[DIST]]</f>
        <v>30</v>
      </c>
      <c r="K32">
        <f>Raw_Data4[[#This Row],[ACC]]</f>
        <v>139</v>
      </c>
      <c r="L32">
        <f>Raw_Data4[[#This Row],[APP]]</f>
        <v>63</v>
      </c>
      <c r="M32">
        <f>Raw_Data4[[#This Row],[ARG]]</f>
        <v>83</v>
      </c>
      <c r="N32">
        <f>Raw_Data4[[#This Row],[PUTT]]</f>
        <v>81</v>
      </c>
      <c r="O32" s="22">
        <f>Raw_Data4[[#This Row],[SG]]</f>
        <v>59</v>
      </c>
      <c r="P32" s="34">
        <f t="shared" si="0"/>
        <v>214.3</v>
      </c>
      <c r="Q32" s="359">
        <f t="shared" si="1"/>
        <v>292.53220891762896</v>
      </c>
      <c r="R32" s="226" t="e">
        <f>(($Z$9-(X32/40)*($Z$9))*VLOOKUP($I32,'2023'!$A$2:$I$278,8,FALSE))+((1-(($Z$9-(X32/40)*($Z$9))))*P32)</f>
        <v>#N/A</v>
      </c>
      <c r="S32" s="14" t="e">
        <f>(($Z$9-(X32/40)*($Z$9))*VLOOKUP($I32,'2023'!$A$2:$I$278,9,FALSE))+((1-(($Z$9-(X32/40)*($Z$9))))*Q32)</f>
        <v>#N/A</v>
      </c>
      <c r="T32" s="81"/>
      <c r="U32" s="16"/>
      <c r="V32" s="16"/>
      <c r="W32" s="16"/>
      <c r="X32" s="16">
        <f>VLOOKUP(I32,FEDEX!$A$2:$H$270,4,FALSE)</f>
        <v>9</v>
      </c>
    </row>
    <row r="33" spans="1:24">
      <c r="A33" t="str">
        <f>DIST!A33</f>
        <v>Ryan McCormick</v>
      </c>
      <c r="B33">
        <f>VLOOKUP(Raw_Data4[[#This Row],[PLAYER NAME]],DIST!$A:$E,2,FALSE)</f>
        <v>32</v>
      </c>
      <c r="C33">
        <f>VLOOKUP(Raw_Data4[[#This Row],[PLAYER NAME]],ACC!$A:$E,2,FALSE)</f>
        <v>181</v>
      </c>
      <c r="D33">
        <f>VLOOKUP(Raw_Data4[[#This Row],[PLAYER NAME]],APP!$A:$E,2,FALSE)</f>
        <v>155</v>
      </c>
      <c r="E33">
        <f>VLOOKUP(Raw_Data4[[#This Row],[PLAYER NAME]],ARG!$A:$E,2,FALSE)</f>
        <v>99</v>
      </c>
      <c r="F33">
        <f>VLOOKUP(Raw_Data4[[#This Row],[PLAYER NAME]],PUTT!$A:$E,2,FALSE)</f>
        <v>124</v>
      </c>
      <c r="G33">
        <f>VLOOKUP(Raw_Data4[[#This Row],[PLAYER NAME]],SG!$A:$E,3,FALSE)</f>
        <v>173</v>
      </c>
      <c r="I33" s="34" t="str">
        <f>Raw_Data4[[#This Row],[PLAYER NAME]]</f>
        <v>Ryan McCormick</v>
      </c>
      <c r="J33">
        <f>Raw_Data4[[#This Row],[DIST]]</f>
        <v>32</v>
      </c>
      <c r="K33">
        <f>Raw_Data4[[#This Row],[ACC]]</f>
        <v>181</v>
      </c>
      <c r="L33">
        <f>Raw_Data4[[#This Row],[APP]]</f>
        <v>155</v>
      </c>
      <c r="M33">
        <f>Raw_Data4[[#This Row],[ARG]]</f>
        <v>99</v>
      </c>
      <c r="N33">
        <f>Raw_Data4[[#This Row],[PUTT]]</f>
        <v>124</v>
      </c>
      <c r="O33" s="22">
        <f>Raw_Data4[[#This Row],[SG]]</f>
        <v>173</v>
      </c>
      <c r="P33" s="34">
        <f t="shared" si="0"/>
        <v>329.40000000000003</v>
      </c>
      <c r="Q33" s="359">
        <f t="shared" si="1"/>
        <v>538.33514609198437</v>
      </c>
      <c r="R33" s="226" t="e">
        <f>(($Z$9-(X33/40)*($Z$9))*VLOOKUP($I33,'2023'!$A$2:$I$278,8,FALSE))+((1-(($Z$9-(X33/40)*($Z$9))))*P33)</f>
        <v>#N/A</v>
      </c>
      <c r="S33" s="14" t="e">
        <f>(($Z$9-(X33/40)*($Z$9))*VLOOKUP($I33,'2023'!$A$2:$I$278,9,FALSE))+((1-(($Z$9-(X33/40)*($Z$9))))*Q33)</f>
        <v>#N/A</v>
      </c>
      <c r="T33" s="81"/>
      <c r="U33" s="16"/>
      <c r="V33" s="16"/>
      <c r="W33" s="16"/>
      <c r="X33" s="16">
        <f>VLOOKUP(I33,FEDEX!$A$2:$H$270,4,FALSE)</f>
        <v>7</v>
      </c>
    </row>
    <row r="34" spans="1:24">
      <c r="A34" t="str">
        <f>DIST!A34</f>
        <v>Patrick Rodgers</v>
      </c>
      <c r="B34">
        <f>VLOOKUP(Raw_Data4[[#This Row],[PLAYER NAME]],DIST!$A:$E,2,FALSE)</f>
        <v>32</v>
      </c>
      <c r="C34">
        <f>VLOOKUP(Raw_Data4[[#This Row],[PLAYER NAME]],ACC!$A:$E,2,FALSE)</f>
        <v>140</v>
      </c>
      <c r="D34">
        <f>VLOOKUP(Raw_Data4[[#This Row],[PLAYER NAME]],APP!$A:$E,2,FALSE)</f>
        <v>118</v>
      </c>
      <c r="E34">
        <f>VLOOKUP(Raw_Data4[[#This Row],[PLAYER NAME]],ARG!$A:$E,2,FALSE)</f>
        <v>75</v>
      </c>
      <c r="F34">
        <f>VLOOKUP(Raw_Data4[[#This Row],[PLAYER NAME]],PUTT!$A:$E,2,FALSE)</f>
        <v>123</v>
      </c>
      <c r="G34">
        <f>VLOOKUP(Raw_Data4[[#This Row],[PLAYER NAME]],SG!$A:$E,3,FALSE)</f>
        <v>103</v>
      </c>
      <c r="I34" s="34" t="str">
        <f>Raw_Data4[[#This Row],[PLAYER NAME]]</f>
        <v>Patrick Rodgers</v>
      </c>
      <c r="J34">
        <f>Raw_Data4[[#This Row],[DIST]]</f>
        <v>32</v>
      </c>
      <c r="K34">
        <f>Raw_Data4[[#This Row],[ACC]]</f>
        <v>140</v>
      </c>
      <c r="L34">
        <f>Raw_Data4[[#This Row],[APP]]</f>
        <v>118</v>
      </c>
      <c r="M34">
        <f>Raw_Data4[[#This Row],[ARG]]</f>
        <v>75</v>
      </c>
      <c r="N34">
        <f>Raw_Data4[[#This Row],[PUTT]]</f>
        <v>123</v>
      </c>
      <c r="O34" s="22">
        <f>Raw_Data4[[#This Row],[SG]]</f>
        <v>103</v>
      </c>
      <c r="P34" s="34">
        <f t="shared" ref="P34:P65" si="2">$Z$2*J34+$AA$2*K34+$AB$2*L34+$AC$2*M34+$AD$2*N34</f>
        <v>272.89999999999998</v>
      </c>
      <c r="Q34" s="359">
        <f t="shared" ref="Q34:Q65" si="3">$Z$5*J34+$AA$5*K34+$AB$5*L34+$AC$5*M34+$AD$5*N34+$AE$5*O34</f>
        <v>401.68693962834629</v>
      </c>
      <c r="R34" s="226">
        <f>(($Z$9-(X34/40)*($Z$9))*VLOOKUP($I34,'2023'!$A$2:$I$278,8,FALSE))+((1-(($Z$9-(X34/40)*($Z$9))))*P34)</f>
        <v>261.40380325861452</v>
      </c>
      <c r="S34" s="14">
        <f>(($Z$9-(X34/40)*($Z$9))*VLOOKUP($I34,'2023'!$A$2:$I$278,9,FALSE))+((1-(($Z$9-(X34/40)*($Z$9))))*Q34)</f>
        <v>363.09638169606768</v>
      </c>
      <c r="T34" s="81"/>
      <c r="U34" s="16"/>
      <c r="V34" s="16"/>
      <c r="W34" s="16"/>
      <c r="X34" s="16">
        <f>VLOOKUP(I34,FEDEX!$A$2:$H$270,4,FALSE)</f>
        <v>11</v>
      </c>
    </row>
    <row r="35" spans="1:24">
      <c r="A35" t="str">
        <f>DIST!A35</f>
        <v>Jimmy Stanger</v>
      </c>
      <c r="B35">
        <f>VLOOKUP(Raw_Data4[[#This Row],[PLAYER NAME]],DIST!$A:$E,2,FALSE)</f>
        <v>32</v>
      </c>
      <c r="C35">
        <f>VLOOKUP(Raw_Data4[[#This Row],[PLAYER NAME]],ACC!$A:$E,2,FALSE)</f>
        <v>101</v>
      </c>
      <c r="D35">
        <f>VLOOKUP(Raw_Data4[[#This Row],[PLAYER NAME]],APP!$A:$E,2,FALSE)</f>
        <v>158</v>
      </c>
      <c r="E35">
        <f>VLOOKUP(Raw_Data4[[#This Row],[PLAYER NAME]],ARG!$A:$E,2,FALSE)</f>
        <v>92</v>
      </c>
      <c r="F35">
        <f>VLOOKUP(Raw_Data4[[#This Row],[PLAYER NAME]],PUTT!$A:$E,2,FALSE)</f>
        <v>92</v>
      </c>
      <c r="G35">
        <f>VLOOKUP(Raw_Data4[[#This Row],[PLAYER NAME]],SG!$A:$E,3,FALSE)</f>
        <v>87</v>
      </c>
      <c r="I35" s="34" t="str">
        <f>Raw_Data4[[#This Row],[PLAYER NAME]]</f>
        <v>Jimmy Stanger</v>
      </c>
      <c r="J35">
        <f>Raw_Data4[[#This Row],[DIST]]</f>
        <v>32</v>
      </c>
      <c r="K35">
        <f>Raw_Data4[[#This Row],[ACC]]</f>
        <v>101</v>
      </c>
      <c r="L35">
        <f>Raw_Data4[[#This Row],[APP]]</f>
        <v>158</v>
      </c>
      <c r="M35">
        <f>Raw_Data4[[#This Row],[ARG]]</f>
        <v>92</v>
      </c>
      <c r="N35">
        <f>Raw_Data4[[#This Row],[PUTT]]</f>
        <v>92</v>
      </c>
      <c r="O35" s="22">
        <f>Raw_Data4[[#This Row],[SG]]</f>
        <v>87</v>
      </c>
      <c r="P35" s="34">
        <f t="shared" si="2"/>
        <v>272.7</v>
      </c>
      <c r="Q35" s="359">
        <f t="shared" si="3"/>
        <v>394.01783913313329</v>
      </c>
      <c r="R35" s="226" t="e">
        <f>(($Z$9-(X35/40)*($Z$9))*VLOOKUP($I35,'2023'!$A$2:$I$278,8,FALSE))+((1-(($Z$9-(X35/40)*($Z$9))))*P35)</f>
        <v>#N/A</v>
      </c>
      <c r="S35" s="14" t="e">
        <f>(($Z$9-(X35/40)*($Z$9))*VLOOKUP($I35,'2023'!$A$2:$I$278,9,FALSE))+((1-(($Z$9-(X35/40)*($Z$9))))*Q35)</f>
        <v>#N/A</v>
      </c>
      <c r="T35" s="81"/>
      <c r="U35" s="16"/>
      <c r="V35" s="16"/>
      <c r="W35" s="16"/>
      <c r="X35" s="16">
        <f>VLOOKUP(I35,FEDEX!$A$2:$H$270,4,FALSE)</f>
        <v>9</v>
      </c>
    </row>
    <row r="36" spans="1:24">
      <c r="A36" t="str">
        <f>DIST!A36</f>
        <v>Tony Finau</v>
      </c>
      <c r="B36">
        <f>VLOOKUP(Raw_Data4[[#This Row],[PLAYER NAME]],DIST!$A:$E,2,FALSE)</f>
        <v>35</v>
      </c>
      <c r="C36">
        <f>VLOOKUP(Raw_Data4[[#This Row],[PLAYER NAME]],ACC!$A:$E,2,FALSE)</f>
        <v>44</v>
      </c>
      <c r="D36">
        <f>VLOOKUP(Raw_Data4[[#This Row],[PLAYER NAME]],APP!$A:$E,2,FALSE)</f>
        <v>7</v>
      </c>
      <c r="E36">
        <f>VLOOKUP(Raw_Data4[[#This Row],[PLAYER NAME]],ARG!$A:$E,2,FALSE)</f>
        <v>32</v>
      </c>
      <c r="F36">
        <f>VLOOKUP(Raw_Data4[[#This Row],[PLAYER NAME]],PUTT!$A:$E,2,FALSE)</f>
        <v>160</v>
      </c>
      <c r="G36">
        <f>VLOOKUP(Raw_Data4[[#This Row],[PLAYER NAME]],SG!$A:$E,3,FALSE)</f>
        <v>28</v>
      </c>
      <c r="I36" s="34" t="str">
        <f>Raw_Data4[[#This Row],[PLAYER NAME]]</f>
        <v>Tony Finau</v>
      </c>
      <c r="J36">
        <f>Raw_Data4[[#This Row],[DIST]]</f>
        <v>35</v>
      </c>
      <c r="K36">
        <f>Raw_Data4[[#This Row],[ACC]]</f>
        <v>44</v>
      </c>
      <c r="L36">
        <f>Raw_Data4[[#This Row],[APP]]</f>
        <v>7</v>
      </c>
      <c r="M36">
        <f>Raw_Data4[[#This Row],[ARG]]</f>
        <v>32</v>
      </c>
      <c r="N36">
        <f>Raw_Data4[[#This Row],[PUTT]]</f>
        <v>160</v>
      </c>
      <c r="O36" s="22">
        <f>Raw_Data4[[#This Row],[SG]]</f>
        <v>28</v>
      </c>
      <c r="P36" s="34">
        <f t="shared" si="2"/>
        <v>151.19999999999999</v>
      </c>
      <c r="Q36" s="359">
        <f t="shared" si="3"/>
        <v>180.44592119207954</v>
      </c>
      <c r="R36" s="226">
        <f>(($Z$9-(X36/40)*($Z$9))*VLOOKUP($I36,'2023'!$A$2:$I$278,8,FALSE))+((1-(($Z$9-(X36/40)*($Z$9))))*P36)</f>
        <v>170.14581460291021</v>
      </c>
      <c r="S36" s="14">
        <f>(($Z$9-(X36/40)*($Z$9))*VLOOKUP($I36,'2023'!$A$2:$I$278,9,FALSE))+((1-(($Z$9-(X36/40)*($Z$9))))*Q36)</f>
        <v>189.54433157418424</v>
      </c>
      <c r="T36" s="81"/>
      <c r="U36" s="16"/>
      <c r="V36" s="16"/>
      <c r="W36" s="16"/>
      <c r="X36" s="16">
        <f>VLOOKUP(I36,FEDEX!$A$2:$H$270,4,FALSE)</f>
        <v>10</v>
      </c>
    </row>
    <row r="37" spans="1:24">
      <c r="A37" t="str">
        <f>DIST!A37</f>
        <v>Ryan Brehm</v>
      </c>
      <c r="B37">
        <f>VLOOKUP(Raw_Data4[[#This Row],[PLAYER NAME]],DIST!$A:$E,2,FALSE)</f>
        <v>36</v>
      </c>
      <c r="C37">
        <f>VLOOKUP(Raw_Data4[[#This Row],[PLAYER NAME]],ACC!$A:$E,2,FALSE)</f>
        <v>172</v>
      </c>
      <c r="D37">
        <f>VLOOKUP(Raw_Data4[[#This Row],[PLAYER NAME]],APP!$A:$E,2,FALSE)</f>
        <v>168</v>
      </c>
      <c r="E37">
        <f>VLOOKUP(Raw_Data4[[#This Row],[PLAYER NAME]],ARG!$A:$E,2,FALSE)</f>
        <v>159</v>
      </c>
      <c r="F37">
        <f>VLOOKUP(Raw_Data4[[#This Row],[PLAYER NAME]],PUTT!$A:$E,2,FALSE)</f>
        <v>68</v>
      </c>
      <c r="G37">
        <f>VLOOKUP(Raw_Data4[[#This Row],[PLAYER NAME]],SG!$A:$E,3,FALSE)</f>
        <v>163</v>
      </c>
      <c r="I37" s="34" t="str">
        <f>Raw_Data4[[#This Row],[PLAYER NAME]]</f>
        <v>Ryan Brehm</v>
      </c>
      <c r="J37">
        <f>Raw_Data4[[#This Row],[DIST]]</f>
        <v>36</v>
      </c>
      <c r="K37">
        <f>Raw_Data4[[#This Row],[ACC]]</f>
        <v>172</v>
      </c>
      <c r="L37">
        <f>Raw_Data4[[#This Row],[APP]]</f>
        <v>168</v>
      </c>
      <c r="M37">
        <f>Raw_Data4[[#This Row],[ARG]]</f>
        <v>159</v>
      </c>
      <c r="N37">
        <f>Raw_Data4[[#This Row],[PUTT]]</f>
        <v>68</v>
      </c>
      <c r="O37" s="22">
        <f>Raw_Data4[[#This Row],[SG]]</f>
        <v>163</v>
      </c>
      <c r="P37" s="34">
        <f t="shared" si="2"/>
        <v>333.6</v>
      </c>
      <c r="Q37" s="359">
        <f t="shared" si="3"/>
        <v>544.31078016412221</v>
      </c>
      <c r="R37" s="226">
        <f>(($Z$9-(X37/40)*($Z$9))*VLOOKUP($I37,'2023'!$A$2:$I$278,8,FALSE))+((1-(($Z$9-(X37/40)*($Z$9))))*P37)</f>
        <v>348.6330920218744</v>
      </c>
      <c r="S37" s="14">
        <f>(($Z$9-(X37/40)*($Z$9))*VLOOKUP($I37,'2023'!$A$2:$I$278,9,FALSE))+((1-(($Z$9-(X37/40)*($Z$9))))*Q37)</f>
        <v>573.64993449888448</v>
      </c>
      <c r="T37" s="81"/>
      <c r="U37" s="16"/>
      <c r="V37" s="16"/>
      <c r="W37" s="16"/>
      <c r="X37" s="16">
        <f>VLOOKUP(I37,FEDEX!$A$2:$H$270,4,FALSE)</f>
        <v>10</v>
      </c>
    </row>
    <row r="38" spans="1:24">
      <c r="A38" t="str">
        <f>DIST!A38</f>
        <v>Kurt Kitayama</v>
      </c>
      <c r="B38">
        <f>VLOOKUP(Raw_Data4[[#This Row],[PLAYER NAME]],DIST!$A:$E,2,FALSE)</f>
        <v>37</v>
      </c>
      <c r="C38">
        <f>VLOOKUP(Raw_Data4[[#This Row],[PLAYER NAME]],ACC!$A:$E,2,FALSE)</f>
        <v>44</v>
      </c>
      <c r="D38">
        <f>VLOOKUP(Raw_Data4[[#This Row],[PLAYER NAME]],APP!$A:$E,2,FALSE)</f>
        <v>34</v>
      </c>
      <c r="E38">
        <f>VLOOKUP(Raw_Data4[[#This Row],[PLAYER NAME]],ARG!$A:$E,2,FALSE)</f>
        <v>135</v>
      </c>
      <c r="F38">
        <f>VLOOKUP(Raw_Data4[[#This Row],[PLAYER NAME]],PUTT!$A:$E,2,FALSE)</f>
        <v>109</v>
      </c>
      <c r="G38">
        <f>VLOOKUP(Raw_Data4[[#This Row],[PLAYER NAME]],SG!$A:$E,3,FALSE)</f>
        <v>46</v>
      </c>
      <c r="I38" s="34" t="str">
        <f>Raw_Data4[[#This Row],[PLAYER NAME]]</f>
        <v>Kurt Kitayama</v>
      </c>
      <c r="J38">
        <f>Raw_Data4[[#This Row],[DIST]]</f>
        <v>37</v>
      </c>
      <c r="K38">
        <f>Raw_Data4[[#This Row],[ACC]]</f>
        <v>44</v>
      </c>
      <c r="L38">
        <f>Raw_Data4[[#This Row],[APP]]</f>
        <v>34</v>
      </c>
      <c r="M38">
        <f>Raw_Data4[[#This Row],[ARG]]</f>
        <v>135</v>
      </c>
      <c r="N38">
        <f>Raw_Data4[[#This Row],[PUTT]]</f>
        <v>109</v>
      </c>
      <c r="O38" s="22">
        <f>Raw_Data4[[#This Row],[SG]]</f>
        <v>46</v>
      </c>
      <c r="P38" s="34">
        <f t="shared" si="2"/>
        <v>187.6</v>
      </c>
      <c r="Q38" s="359">
        <f t="shared" si="3"/>
        <v>258.01409575680498</v>
      </c>
      <c r="R38" s="226">
        <f>(($Z$9-(X38/40)*($Z$9))*VLOOKUP($I38,'2023'!$A$2:$I$278,8,FALSE))+((1-(($Z$9-(X38/40)*($Z$9))))*P38)</f>
        <v>228.45706105671073</v>
      </c>
      <c r="S38" s="14">
        <f>(($Z$9-(X38/40)*($Z$9))*VLOOKUP($I38,'2023'!$A$2:$I$278,9,FALSE))+((1-(($Z$9-(X38/40)*($Z$9))))*Q38)</f>
        <v>318.03561985708768</v>
      </c>
      <c r="T38" s="81"/>
      <c r="U38" s="16"/>
      <c r="V38" s="16"/>
      <c r="W38" s="16"/>
      <c r="X38" s="16">
        <f>VLOOKUP(I38,FEDEX!$A$2:$H$270,4,FALSE)</f>
        <v>9</v>
      </c>
    </row>
    <row r="39" spans="1:24">
      <c r="A39" t="str">
        <f>DIST!A39</f>
        <v>Norman Xiong</v>
      </c>
      <c r="B39">
        <f>VLOOKUP(Raw_Data4[[#This Row],[PLAYER NAME]],DIST!$A:$E,2,FALSE)</f>
        <v>37</v>
      </c>
      <c r="C39">
        <f>VLOOKUP(Raw_Data4[[#This Row],[PLAYER NAME]],ACC!$A:$E,2,FALSE)</f>
        <v>119</v>
      </c>
      <c r="D39">
        <f>VLOOKUP(Raw_Data4[[#This Row],[PLAYER NAME]],APP!$A:$E,2,FALSE)</f>
        <v>183</v>
      </c>
      <c r="E39">
        <f>VLOOKUP(Raw_Data4[[#This Row],[PLAYER NAME]],ARG!$A:$E,2,FALSE)</f>
        <v>136</v>
      </c>
      <c r="F39">
        <f>VLOOKUP(Raw_Data4[[#This Row],[PLAYER NAME]],PUTT!$A:$E,2,FALSE)</f>
        <v>48</v>
      </c>
      <c r="G39">
        <f>VLOOKUP(Raw_Data4[[#This Row],[PLAYER NAME]],SG!$A:$E,3,FALSE)</f>
        <v>162</v>
      </c>
      <c r="I39" s="34" t="str">
        <f>Raw_Data4[[#This Row],[PLAYER NAME]]</f>
        <v>Norman Xiong</v>
      </c>
      <c r="J39">
        <f>Raw_Data4[[#This Row],[DIST]]</f>
        <v>37</v>
      </c>
      <c r="K39">
        <f>Raw_Data4[[#This Row],[ACC]]</f>
        <v>119</v>
      </c>
      <c r="L39">
        <f>Raw_Data4[[#This Row],[APP]]</f>
        <v>183</v>
      </c>
      <c r="M39">
        <f>Raw_Data4[[#This Row],[ARG]]</f>
        <v>136</v>
      </c>
      <c r="N39">
        <f>Raw_Data4[[#This Row],[PUTT]]</f>
        <v>48</v>
      </c>
      <c r="O39" s="22">
        <f>Raw_Data4[[#This Row],[SG]]</f>
        <v>162</v>
      </c>
      <c r="P39" s="34">
        <f t="shared" si="2"/>
        <v>299.3</v>
      </c>
      <c r="Q39" s="359">
        <f t="shared" si="3"/>
        <v>505.80962352882921</v>
      </c>
      <c r="R39" s="226" t="e">
        <f>(($Z$9-(X39/40)*($Z$9))*VLOOKUP($I39,'2023'!$A$2:$I$278,8,FALSE))+((1-(($Z$9-(X39/40)*($Z$9))))*P39)</f>
        <v>#N/A</v>
      </c>
      <c r="S39" s="14" t="e">
        <f>(($Z$9-(X39/40)*($Z$9))*VLOOKUP($I39,'2023'!$A$2:$I$278,9,FALSE))+((1-(($Z$9-(X39/40)*($Z$9))))*Q39)</f>
        <v>#N/A</v>
      </c>
      <c r="T39" s="81"/>
      <c r="U39" s="16"/>
      <c r="V39" s="16"/>
      <c r="W39" s="16"/>
      <c r="X39" s="16">
        <f>VLOOKUP(I39,FEDEX!$A$2:$H$270,4,FALSE)</f>
        <v>9</v>
      </c>
    </row>
    <row r="40" spans="1:24">
      <c r="A40" t="str">
        <f>DIST!A40</f>
        <v>Justin Thomas</v>
      </c>
      <c r="B40">
        <f>VLOOKUP(Raw_Data4[[#This Row],[PLAYER NAME]],DIST!$A:$E,2,FALSE)</f>
        <v>39</v>
      </c>
      <c r="C40">
        <f>VLOOKUP(Raw_Data4[[#This Row],[PLAYER NAME]],ACC!$A:$E,2,FALSE)</f>
        <v>97</v>
      </c>
      <c r="D40">
        <f>VLOOKUP(Raw_Data4[[#This Row],[PLAYER NAME]],APP!$A:$E,2,FALSE)</f>
        <v>6</v>
      </c>
      <c r="E40">
        <f>VLOOKUP(Raw_Data4[[#This Row],[PLAYER NAME]],ARG!$A:$E,2,FALSE)</f>
        <v>39</v>
      </c>
      <c r="F40">
        <f>VLOOKUP(Raw_Data4[[#This Row],[PLAYER NAME]],PUTT!$A:$E,2,FALSE)</f>
        <v>171</v>
      </c>
      <c r="G40">
        <f>VLOOKUP(Raw_Data4[[#This Row],[PLAYER NAME]],SG!$A:$E,3,FALSE)</f>
        <v>56</v>
      </c>
      <c r="I40" s="34" t="str">
        <f>Raw_Data4[[#This Row],[PLAYER NAME]]</f>
        <v>Justin Thomas</v>
      </c>
      <c r="J40">
        <f>Raw_Data4[[#This Row],[DIST]]</f>
        <v>39</v>
      </c>
      <c r="K40">
        <f>Raw_Data4[[#This Row],[ACC]]</f>
        <v>97</v>
      </c>
      <c r="L40">
        <f>Raw_Data4[[#This Row],[APP]]</f>
        <v>6</v>
      </c>
      <c r="M40">
        <f>Raw_Data4[[#This Row],[ARG]]</f>
        <v>39</v>
      </c>
      <c r="N40">
        <f>Raw_Data4[[#This Row],[PUTT]]</f>
        <v>171</v>
      </c>
      <c r="O40" s="22">
        <f>Raw_Data4[[#This Row],[SG]]</f>
        <v>56</v>
      </c>
      <c r="P40" s="34">
        <f t="shared" si="2"/>
        <v>188.9</v>
      </c>
      <c r="Q40" s="359">
        <f t="shared" si="3"/>
        <v>246.52195885831887</v>
      </c>
      <c r="R40" s="226">
        <f>(($Z$9-(X40/40)*($Z$9))*VLOOKUP($I40,'2023'!$A$2:$I$278,8,FALSE))+((1-(($Z$9-(X40/40)*($Z$9))))*P40)</f>
        <v>199.1691806688238</v>
      </c>
      <c r="S40" s="14">
        <f>(($Z$9-(X40/40)*($Z$9))*VLOOKUP($I40,'2023'!$A$2:$I$278,9,FALSE))+((1-(($Z$9-(X40/40)*($Z$9))))*Q40)</f>
        <v>239.24788718850436</v>
      </c>
      <c r="T40" s="81"/>
      <c r="U40" s="16"/>
      <c r="V40" s="16"/>
      <c r="W40" s="16"/>
      <c r="X40" s="16">
        <f>VLOOKUP(I40,FEDEX!$A$2:$H$270,4,FALSE)</f>
        <v>8</v>
      </c>
    </row>
    <row r="41" spans="1:24">
      <c r="A41" t="str">
        <f>DIST!A41</f>
        <v>Patrick Fishburn</v>
      </c>
      <c r="B41">
        <f>VLOOKUP(Raw_Data4[[#This Row],[PLAYER NAME]],DIST!$A:$E,2,FALSE)</f>
        <v>40</v>
      </c>
      <c r="C41">
        <f>VLOOKUP(Raw_Data4[[#This Row],[PLAYER NAME]],ACC!$A:$E,2,FALSE)</f>
        <v>137</v>
      </c>
      <c r="D41">
        <f>VLOOKUP(Raw_Data4[[#This Row],[PLAYER NAME]],APP!$A:$E,2,FALSE)</f>
        <v>170</v>
      </c>
      <c r="E41">
        <f>VLOOKUP(Raw_Data4[[#This Row],[PLAYER NAME]],ARG!$A:$E,2,FALSE)</f>
        <v>182</v>
      </c>
      <c r="F41">
        <f>VLOOKUP(Raw_Data4[[#This Row],[PLAYER NAME]],PUTT!$A:$E,2,FALSE)</f>
        <v>97</v>
      </c>
      <c r="G41">
        <f>VLOOKUP(Raw_Data4[[#This Row],[PLAYER NAME]],SG!$A:$E,3,FALSE)</f>
        <v>169</v>
      </c>
      <c r="I41" s="34" t="str">
        <f>Raw_Data4[[#This Row],[PLAYER NAME]]</f>
        <v>Patrick Fishburn</v>
      </c>
      <c r="J41">
        <f>Raw_Data4[[#This Row],[DIST]]</f>
        <v>40</v>
      </c>
      <c r="K41">
        <f>Raw_Data4[[#This Row],[ACC]]</f>
        <v>137</v>
      </c>
      <c r="L41">
        <f>Raw_Data4[[#This Row],[APP]]</f>
        <v>170</v>
      </c>
      <c r="M41">
        <f>Raw_Data4[[#This Row],[ARG]]</f>
        <v>182</v>
      </c>
      <c r="N41">
        <f>Raw_Data4[[#This Row],[PUTT]]</f>
        <v>97</v>
      </c>
      <c r="O41" s="22">
        <f>Raw_Data4[[#This Row],[SG]]</f>
        <v>169</v>
      </c>
      <c r="P41" s="34">
        <f t="shared" si="2"/>
        <v>344.8</v>
      </c>
      <c r="Q41" s="359">
        <f t="shared" si="3"/>
        <v>566.01565172047935</v>
      </c>
      <c r="R41" s="226" t="e">
        <f>(($Z$9-(X41/40)*($Z$9))*VLOOKUP($I41,'2023'!$A$2:$I$278,8,FALSE))+((1-(($Z$9-(X41/40)*($Z$9))))*P41)</f>
        <v>#N/A</v>
      </c>
      <c r="S41" s="14" t="e">
        <f>(($Z$9-(X41/40)*($Z$9))*VLOOKUP($I41,'2023'!$A$2:$I$278,9,FALSE))+((1-(($Z$9-(X41/40)*($Z$9))))*Q41)</f>
        <v>#N/A</v>
      </c>
      <c r="T41" s="81"/>
      <c r="U41" s="16"/>
      <c r="V41" s="16"/>
      <c r="W41" s="16"/>
      <c r="X41" s="16">
        <f>VLOOKUP(I41,FEDEX!$A$2:$H$270,4,FALSE)</f>
        <v>8</v>
      </c>
    </row>
    <row r="42" spans="1:24">
      <c r="A42" t="str">
        <f>DIST!A42</f>
        <v>Adrien Dumont de Chassart</v>
      </c>
      <c r="B42">
        <f>VLOOKUP(Raw_Data4[[#This Row],[PLAYER NAME]],DIST!$A:$E,2,FALSE)</f>
        <v>41</v>
      </c>
      <c r="C42">
        <f>VLOOKUP(Raw_Data4[[#This Row],[PLAYER NAME]],ACC!$A:$E,2,FALSE)</f>
        <v>162</v>
      </c>
      <c r="D42">
        <f>VLOOKUP(Raw_Data4[[#This Row],[PLAYER NAME]],APP!$A:$E,2,FALSE)</f>
        <v>174</v>
      </c>
      <c r="E42">
        <f>VLOOKUP(Raw_Data4[[#This Row],[PLAYER NAME]],ARG!$A:$E,2,FALSE)</f>
        <v>178</v>
      </c>
      <c r="F42">
        <f>VLOOKUP(Raw_Data4[[#This Row],[PLAYER NAME]],PUTT!$A:$E,2,FALSE)</f>
        <v>173</v>
      </c>
      <c r="G42">
        <f>VLOOKUP(Raw_Data4[[#This Row],[PLAYER NAME]],SG!$A:$E,3,FALSE)</f>
        <v>183</v>
      </c>
      <c r="I42" s="34" t="str">
        <f>Raw_Data4[[#This Row],[PLAYER NAME]]</f>
        <v>Adrien Dumont de Chassart</v>
      </c>
      <c r="J42">
        <f>Raw_Data4[[#This Row],[DIST]]</f>
        <v>41</v>
      </c>
      <c r="K42">
        <f>Raw_Data4[[#This Row],[ACC]]</f>
        <v>162</v>
      </c>
      <c r="L42">
        <f>Raw_Data4[[#This Row],[APP]]</f>
        <v>174</v>
      </c>
      <c r="M42">
        <f>Raw_Data4[[#This Row],[ARG]]</f>
        <v>178</v>
      </c>
      <c r="N42">
        <f>Raw_Data4[[#This Row],[PUTT]]</f>
        <v>173</v>
      </c>
      <c r="O42" s="22">
        <f>Raw_Data4[[#This Row],[SG]]</f>
        <v>183</v>
      </c>
      <c r="P42" s="34">
        <f t="shared" si="2"/>
        <v>397.4</v>
      </c>
      <c r="Q42" s="359">
        <f t="shared" si="3"/>
        <v>633.69273322871629</v>
      </c>
      <c r="R42" s="226" t="e">
        <f>(($Z$9-(X42/40)*($Z$9))*VLOOKUP($I42,'2023'!$A$2:$I$278,8,FALSE))+((1-(($Z$9-(X42/40)*($Z$9))))*P42)</f>
        <v>#N/A</v>
      </c>
      <c r="S42" s="14" t="e">
        <f>(($Z$9-(X42/40)*($Z$9))*VLOOKUP($I42,'2023'!$A$2:$I$278,9,FALSE))+((1-(($Z$9-(X42/40)*($Z$9))))*Q42)</f>
        <v>#N/A</v>
      </c>
      <c r="T42" s="81"/>
      <c r="U42" s="16"/>
      <c r="V42" s="16"/>
      <c r="W42" s="16"/>
      <c r="X42" s="16">
        <f>VLOOKUP(I42,FEDEX!$A$2:$H$270,4,FALSE)</f>
        <v>10</v>
      </c>
    </row>
    <row r="43" spans="1:24">
      <c r="A43" t="str">
        <f>DIST!A43</f>
        <v>Mac Meissner</v>
      </c>
      <c r="B43">
        <f>VLOOKUP(Raw_Data4[[#This Row],[PLAYER NAME]],DIST!$A:$E,2,FALSE)</f>
        <v>41</v>
      </c>
      <c r="C43">
        <f>VLOOKUP(Raw_Data4[[#This Row],[PLAYER NAME]],ACC!$A:$E,2,FALSE)</f>
        <v>163</v>
      </c>
      <c r="D43">
        <f>VLOOKUP(Raw_Data4[[#This Row],[PLAYER NAME]],APP!$A:$E,2,FALSE)</f>
        <v>85</v>
      </c>
      <c r="E43">
        <f>VLOOKUP(Raw_Data4[[#This Row],[PLAYER NAME]],ARG!$A:$E,2,FALSE)</f>
        <v>23</v>
      </c>
      <c r="F43">
        <f>VLOOKUP(Raw_Data4[[#This Row],[PLAYER NAME]],PUTT!$A:$E,2,FALSE)</f>
        <v>95</v>
      </c>
      <c r="G43">
        <f>VLOOKUP(Raw_Data4[[#This Row],[PLAYER NAME]],SG!$A:$E,3,FALSE)</f>
        <v>74</v>
      </c>
      <c r="I43" s="34" t="str">
        <f>Raw_Data4[[#This Row],[PLAYER NAME]]</f>
        <v>Mac Meissner</v>
      </c>
      <c r="J43">
        <f>Raw_Data4[[#This Row],[DIST]]</f>
        <v>41</v>
      </c>
      <c r="K43">
        <f>Raw_Data4[[#This Row],[ACC]]</f>
        <v>163</v>
      </c>
      <c r="L43">
        <f>Raw_Data4[[#This Row],[APP]]</f>
        <v>85</v>
      </c>
      <c r="M43">
        <f>Raw_Data4[[#This Row],[ARG]]</f>
        <v>23</v>
      </c>
      <c r="N43">
        <f>Raw_Data4[[#This Row],[PUTT]]</f>
        <v>95</v>
      </c>
      <c r="O43" s="22">
        <f>Raw_Data4[[#This Row],[SG]]</f>
        <v>74</v>
      </c>
      <c r="P43" s="34">
        <f t="shared" si="2"/>
        <v>234.6</v>
      </c>
      <c r="Q43" s="359">
        <f t="shared" si="3"/>
        <v>316.01782263950804</v>
      </c>
      <c r="R43" s="226" t="e">
        <f>(($Z$9-(X43/40)*($Z$9))*VLOOKUP($I43,'2023'!$A$2:$I$278,8,FALSE))+((1-(($Z$9-(X43/40)*($Z$9))))*P43)</f>
        <v>#N/A</v>
      </c>
      <c r="S43" s="14" t="e">
        <f>(($Z$9-(X43/40)*($Z$9))*VLOOKUP($I43,'2023'!$A$2:$I$278,9,FALSE))+((1-(($Z$9-(X43/40)*($Z$9))))*Q43)</f>
        <v>#N/A</v>
      </c>
      <c r="T43" s="81"/>
      <c r="U43" s="16"/>
      <c r="V43" s="16"/>
      <c r="W43" s="16"/>
      <c r="X43" s="16">
        <f>VLOOKUP(I43,FEDEX!$A$2:$H$270,4,FALSE)</f>
        <v>8</v>
      </c>
    </row>
    <row r="44" spans="1:24">
      <c r="A44" t="str">
        <f>DIST!A44</f>
        <v>Matti Schmid</v>
      </c>
      <c r="B44">
        <f>VLOOKUP(Raw_Data4[[#This Row],[PLAYER NAME]],DIST!$A:$E,2,FALSE)</f>
        <v>43</v>
      </c>
      <c r="C44">
        <f>VLOOKUP(Raw_Data4[[#This Row],[PLAYER NAME]],ACC!$A:$E,2,FALSE)</f>
        <v>143</v>
      </c>
      <c r="D44">
        <f>VLOOKUP(Raw_Data4[[#This Row],[PLAYER NAME]],APP!$A:$E,2,FALSE)</f>
        <v>124</v>
      </c>
      <c r="E44">
        <f>VLOOKUP(Raw_Data4[[#This Row],[PLAYER NAME]],ARG!$A:$E,2,FALSE)</f>
        <v>148</v>
      </c>
      <c r="F44">
        <f>VLOOKUP(Raw_Data4[[#This Row],[PLAYER NAME]],PUTT!$A:$E,2,FALSE)</f>
        <v>67</v>
      </c>
      <c r="G44">
        <f>VLOOKUP(Raw_Data4[[#This Row],[PLAYER NAME]],SG!$A:$E,3,FALSE)</f>
        <v>112</v>
      </c>
      <c r="I44" s="34" t="str">
        <f>Raw_Data4[[#This Row],[PLAYER NAME]]</f>
        <v>Matti Schmid</v>
      </c>
      <c r="J44">
        <f>Raw_Data4[[#This Row],[DIST]]</f>
        <v>43</v>
      </c>
      <c r="K44">
        <f>Raw_Data4[[#This Row],[ACC]]</f>
        <v>143</v>
      </c>
      <c r="L44">
        <f>Raw_Data4[[#This Row],[APP]]</f>
        <v>124</v>
      </c>
      <c r="M44">
        <f>Raw_Data4[[#This Row],[ARG]]</f>
        <v>148</v>
      </c>
      <c r="N44">
        <f>Raw_Data4[[#This Row],[PUTT]]</f>
        <v>67</v>
      </c>
      <c r="O44" s="22">
        <f>Raw_Data4[[#This Row],[SG]]</f>
        <v>112</v>
      </c>
      <c r="P44" s="34">
        <f t="shared" si="2"/>
        <v>289.7</v>
      </c>
      <c r="Q44" s="359">
        <f t="shared" si="3"/>
        <v>438.97493857569691</v>
      </c>
      <c r="R44" s="226">
        <f>(($Z$9-(X44/40)*($Z$9))*VLOOKUP($I44,'2023'!$A$2:$I$278,8,FALSE))+((1-(($Z$9-(X44/40)*($Z$9))))*P44)</f>
        <v>268.89735827749297</v>
      </c>
      <c r="S44" s="14">
        <f>(($Z$9-(X44/40)*($Z$9))*VLOOKUP($I44,'2023'!$A$2:$I$278,9,FALSE))+((1-(($Z$9-(X44/40)*($Z$9))))*Q44)</f>
        <v>432.14809139081945</v>
      </c>
      <c r="T44" s="81"/>
      <c r="U44" s="16"/>
      <c r="V44" s="16"/>
      <c r="W44" s="16"/>
      <c r="X44" s="16">
        <f>VLOOKUP(I44,FEDEX!$A$2:$H$270,4,FALSE)</f>
        <v>11</v>
      </c>
    </row>
    <row r="45" spans="1:24">
      <c r="A45" t="str">
        <f>DIST!A45</f>
        <v>Rafael Campos</v>
      </c>
      <c r="B45">
        <f>VLOOKUP(Raw_Data4[[#This Row],[PLAYER NAME]],DIST!$A:$E,2,FALSE)</f>
        <v>44</v>
      </c>
      <c r="C45">
        <f>VLOOKUP(Raw_Data4[[#This Row],[PLAYER NAME]],ACC!$A:$E,2,FALSE)</f>
        <v>123</v>
      </c>
      <c r="D45">
        <f>VLOOKUP(Raw_Data4[[#This Row],[PLAYER NAME]],APP!$A:$E,2,FALSE)</f>
        <v>140</v>
      </c>
      <c r="E45">
        <f>VLOOKUP(Raw_Data4[[#This Row],[PLAYER NAME]],ARG!$A:$E,2,FALSE)</f>
        <v>157</v>
      </c>
      <c r="F45">
        <f>VLOOKUP(Raw_Data4[[#This Row],[PLAYER NAME]],PUTT!$A:$E,2,FALSE)</f>
        <v>137</v>
      </c>
      <c r="G45">
        <f>VLOOKUP(Raw_Data4[[#This Row],[PLAYER NAME]],SG!$A:$E,3,FALSE)</f>
        <v>147</v>
      </c>
      <c r="I45" s="34" t="str">
        <f>Raw_Data4[[#This Row],[PLAYER NAME]]</f>
        <v>Rafael Campos</v>
      </c>
      <c r="J45">
        <f>Raw_Data4[[#This Row],[DIST]]</f>
        <v>44</v>
      </c>
      <c r="K45">
        <f>Raw_Data4[[#This Row],[ACC]]</f>
        <v>123</v>
      </c>
      <c r="L45">
        <f>Raw_Data4[[#This Row],[APP]]</f>
        <v>140</v>
      </c>
      <c r="M45">
        <f>Raw_Data4[[#This Row],[ARG]]</f>
        <v>157</v>
      </c>
      <c r="N45">
        <f>Raw_Data4[[#This Row],[PUTT]]</f>
        <v>137</v>
      </c>
      <c r="O45" s="22">
        <f>Raw_Data4[[#This Row],[SG]]</f>
        <v>147</v>
      </c>
      <c r="P45" s="34">
        <f t="shared" si="2"/>
        <v>330.4</v>
      </c>
      <c r="Q45" s="359">
        <f t="shared" si="3"/>
        <v>520.01267112920971</v>
      </c>
      <c r="R45" s="226" t="e">
        <f>(($Z$9-(X45/40)*($Z$9))*VLOOKUP($I45,'2023'!$A$2:$I$278,8,FALSE))+((1-(($Z$9-(X45/40)*($Z$9))))*P45)</f>
        <v>#N/A</v>
      </c>
      <c r="S45" s="14" t="e">
        <f>(($Z$9-(X45/40)*($Z$9))*VLOOKUP($I45,'2023'!$A$2:$I$278,9,FALSE))+((1-(($Z$9-(X45/40)*($Z$9))))*Q45)</f>
        <v>#N/A</v>
      </c>
      <c r="T45" s="81"/>
      <c r="U45" s="16"/>
      <c r="V45" s="16"/>
      <c r="W45" s="16"/>
      <c r="X45" s="16">
        <f>VLOOKUP(I45,FEDEX!$A$2:$H$270,4,FALSE)</f>
        <v>6</v>
      </c>
    </row>
    <row r="46" spans="1:24">
      <c r="A46" t="str">
        <f>DIST!A46</f>
        <v>Maverick McNealy</v>
      </c>
      <c r="B46">
        <f>VLOOKUP(Raw_Data4[[#This Row],[PLAYER NAME]],DIST!$A:$E,2,FALSE)</f>
        <v>44</v>
      </c>
      <c r="C46">
        <f>VLOOKUP(Raw_Data4[[#This Row],[PLAYER NAME]],ACC!$A:$E,2,FALSE)</f>
        <v>120</v>
      </c>
      <c r="D46">
        <f>VLOOKUP(Raw_Data4[[#This Row],[PLAYER NAME]],APP!$A:$E,2,FALSE)</f>
        <v>126</v>
      </c>
      <c r="E46">
        <f>VLOOKUP(Raw_Data4[[#This Row],[PLAYER NAME]],ARG!$A:$E,2,FALSE)</f>
        <v>22</v>
      </c>
      <c r="F46">
        <f>VLOOKUP(Raw_Data4[[#This Row],[PLAYER NAME]],PUTT!$A:$E,2,FALSE)</f>
        <v>36</v>
      </c>
      <c r="G46">
        <f>VLOOKUP(Raw_Data4[[#This Row],[PLAYER NAME]],SG!$A:$E,3,FALSE)</f>
        <v>17</v>
      </c>
      <c r="I46" s="34" t="str">
        <f>Raw_Data4[[#This Row],[PLAYER NAME]]</f>
        <v>Maverick McNealy</v>
      </c>
      <c r="J46">
        <f>Raw_Data4[[#This Row],[DIST]]</f>
        <v>44</v>
      </c>
      <c r="K46">
        <f>Raw_Data4[[#This Row],[ACC]]</f>
        <v>120</v>
      </c>
      <c r="L46">
        <f>Raw_Data4[[#This Row],[APP]]</f>
        <v>126</v>
      </c>
      <c r="M46">
        <f>Raw_Data4[[#This Row],[ARG]]</f>
        <v>22</v>
      </c>
      <c r="N46">
        <f>Raw_Data4[[#This Row],[PUTT]]</f>
        <v>36</v>
      </c>
      <c r="O46" s="22">
        <f>Raw_Data4[[#This Row],[SG]]</f>
        <v>17</v>
      </c>
      <c r="P46" s="34">
        <f t="shared" si="2"/>
        <v>214.6</v>
      </c>
      <c r="Q46" s="359">
        <f t="shared" si="3"/>
        <v>242.6129969995481</v>
      </c>
      <c r="R46" s="226">
        <f>(($Z$9-(X46/40)*($Z$9))*VLOOKUP($I46,'2023'!$A$2:$I$278,8,FALSE))+((1-(($Z$9-(X46/40)*($Z$9))))*P46)</f>
        <v>260.36855755974779</v>
      </c>
      <c r="S46" s="14">
        <f>(($Z$9-(X46/40)*($Z$9))*VLOOKUP($I46,'2023'!$A$2:$I$278,9,FALSE))+((1-(($Z$9-(X46/40)*($Z$9))))*Q46)</f>
        <v>319.95745190884094</v>
      </c>
      <c r="T46" s="81"/>
      <c r="U46" s="16"/>
      <c r="V46" s="16"/>
      <c r="W46" s="16"/>
      <c r="X46" s="16">
        <f>VLOOKUP(I46,FEDEX!$A$2:$H$270,4,FALSE)</f>
        <v>10</v>
      </c>
    </row>
    <row r="47" spans="1:24">
      <c r="A47" t="str">
        <f>DIST!A47</f>
        <v>Xander Schauffele</v>
      </c>
      <c r="B47">
        <f>VLOOKUP(Raw_Data4[[#This Row],[PLAYER NAME]],DIST!$A:$E,2,FALSE)</f>
        <v>44</v>
      </c>
      <c r="C47">
        <f>VLOOKUP(Raw_Data4[[#This Row],[PLAYER NAME]],ACC!$A:$E,2,FALSE)</f>
        <v>31</v>
      </c>
      <c r="D47">
        <f>VLOOKUP(Raw_Data4[[#This Row],[PLAYER NAME]],APP!$A:$E,2,FALSE)</f>
        <v>19</v>
      </c>
      <c r="E47">
        <f>VLOOKUP(Raw_Data4[[#This Row],[PLAYER NAME]],ARG!$A:$E,2,FALSE)</f>
        <v>8</v>
      </c>
      <c r="F47">
        <f>VLOOKUP(Raw_Data4[[#This Row],[PLAYER NAME]],PUTT!$A:$E,2,FALSE)</f>
        <v>79</v>
      </c>
      <c r="G47">
        <f>VLOOKUP(Raw_Data4[[#This Row],[PLAYER NAME]],SG!$A:$E,3,FALSE)</f>
        <v>2</v>
      </c>
      <c r="I47" s="34" t="str">
        <f>Raw_Data4[[#This Row],[PLAYER NAME]]</f>
        <v>Xander Schauffele</v>
      </c>
      <c r="J47">
        <f>Raw_Data4[[#This Row],[DIST]]</f>
        <v>44</v>
      </c>
      <c r="K47">
        <f>Raw_Data4[[#This Row],[ACC]]</f>
        <v>31</v>
      </c>
      <c r="L47">
        <f>Raw_Data4[[#This Row],[APP]]</f>
        <v>19</v>
      </c>
      <c r="M47">
        <f>Raw_Data4[[#This Row],[ARG]]</f>
        <v>8</v>
      </c>
      <c r="N47">
        <f>Raw_Data4[[#This Row],[PUTT]]</f>
        <v>79</v>
      </c>
      <c r="O47" s="22">
        <f>Raw_Data4[[#This Row],[SG]]</f>
        <v>2</v>
      </c>
      <c r="P47" s="34">
        <f t="shared" si="2"/>
        <v>111.10000000000001</v>
      </c>
      <c r="Q47" s="359">
        <f t="shared" si="3"/>
        <v>106.98877491406319</v>
      </c>
      <c r="R47" s="226">
        <f>(($Z$9-(X47/40)*($Z$9))*VLOOKUP($I47,'2023'!$A$2:$I$278,8,FALSE))+((1-(($Z$9-(X47/40)*($Z$9))))*P47)</f>
        <v>140.99800561702011</v>
      </c>
      <c r="S47" s="14">
        <f>(($Z$9-(X47/40)*($Z$9))*VLOOKUP($I47,'2023'!$A$2:$I$278,9,FALSE))+((1-(($Z$9-(X47/40)*($Z$9))))*Q47)</f>
        <v>140.69247463770387</v>
      </c>
      <c r="T47" s="81"/>
      <c r="U47" s="16"/>
      <c r="V47" s="16"/>
      <c r="W47" s="16"/>
      <c r="X47" s="16">
        <f>VLOOKUP(I47,FEDEX!$A$2:$H$270,4,FALSE)</f>
        <v>9</v>
      </c>
    </row>
    <row r="48" spans="1:24">
      <c r="A48" t="str">
        <f>DIST!A48</f>
        <v>Sam Burns</v>
      </c>
      <c r="B48">
        <f>VLOOKUP(Raw_Data4[[#This Row],[PLAYER NAME]],DIST!$A:$E,2,FALSE)</f>
        <v>47</v>
      </c>
      <c r="C48">
        <f>VLOOKUP(Raw_Data4[[#This Row],[PLAYER NAME]],ACC!$A:$E,2,FALSE)</f>
        <v>54</v>
      </c>
      <c r="D48">
        <f>VLOOKUP(Raw_Data4[[#This Row],[PLAYER NAME]],APP!$A:$E,2,FALSE)</f>
        <v>55</v>
      </c>
      <c r="E48">
        <f>VLOOKUP(Raw_Data4[[#This Row],[PLAYER NAME]],ARG!$A:$E,2,FALSE)</f>
        <v>141</v>
      </c>
      <c r="F48">
        <f>VLOOKUP(Raw_Data4[[#This Row],[PLAYER NAME]],PUTT!$A:$E,2,FALSE)</f>
        <v>21</v>
      </c>
      <c r="G48">
        <f>VLOOKUP(Raw_Data4[[#This Row],[PLAYER NAME]],SG!$A:$E,3,FALSE)</f>
        <v>22</v>
      </c>
      <c r="I48" s="34" t="str">
        <f>Raw_Data4[[#This Row],[PLAYER NAME]]</f>
        <v>Sam Burns</v>
      </c>
      <c r="J48">
        <f>Raw_Data4[[#This Row],[DIST]]</f>
        <v>47</v>
      </c>
      <c r="K48">
        <f>Raw_Data4[[#This Row],[ACC]]</f>
        <v>54</v>
      </c>
      <c r="L48">
        <f>Raw_Data4[[#This Row],[APP]]</f>
        <v>55</v>
      </c>
      <c r="M48">
        <f>Raw_Data4[[#This Row],[ARG]]</f>
        <v>141</v>
      </c>
      <c r="N48">
        <f>Raw_Data4[[#This Row],[PUTT]]</f>
        <v>21</v>
      </c>
      <c r="O48" s="22">
        <f>Raw_Data4[[#This Row],[SG]]</f>
        <v>22</v>
      </c>
      <c r="P48" s="34">
        <f t="shared" si="2"/>
        <v>174.70000000000002</v>
      </c>
      <c r="Q48" s="359">
        <f t="shared" si="3"/>
        <v>220.70206535610552</v>
      </c>
      <c r="R48" s="226">
        <f>(($Z$9-(X48/40)*($Z$9))*VLOOKUP($I48,'2023'!$A$2:$I$278,8,FALSE))+((1-(($Z$9-(X48/40)*($Z$9))))*P48)</f>
        <v>199.33127509017848</v>
      </c>
      <c r="S48" s="14">
        <f>(($Z$9-(X48/40)*($Z$9))*VLOOKUP($I48,'2023'!$A$2:$I$278,9,FALSE))+((1-(($Z$9-(X48/40)*($Z$9))))*Q48)</f>
        <v>254.59711436221477</v>
      </c>
      <c r="T48" s="81"/>
      <c r="U48" s="16"/>
      <c r="V48" s="16"/>
      <c r="W48" s="16"/>
      <c r="X48" s="16">
        <f>VLOOKUP(I48,FEDEX!$A$2:$H$270,4,FALSE)</f>
        <v>9</v>
      </c>
    </row>
    <row r="49" spans="1:28">
      <c r="A49" t="str">
        <f>DIST!A49</f>
        <v>Nick Dunlap</v>
      </c>
      <c r="B49">
        <f>VLOOKUP(Raw_Data4[[#This Row],[PLAYER NAME]],DIST!$A:$E,2,FALSE)</f>
        <v>48</v>
      </c>
      <c r="C49">
        <f>VLOOKUP(Raw_Data4[[#This Row],[PLAYER NAME]],ACC!$A:$E,2,FALSE)</f>
        <v>146</v>
      </c>
      <c r="D49">
        <f>VLOOKUP(Raw_Data4[[#This Row],[PLAYER NAME]],APP!$A:$E,2,FALSE)</f>
        <v>128</v>
      </c>
      <c r="E49">
        <f>VLOOKUP(Raw_Data4[[#This Row],[PLAYER NAME]],ARG!$A:$E,2,FALSE)</f>
        <v>119</v>
      </c>
      <c r="F49">
        <f>VLOOKUP(Raw_Data4[[#This Row],[PLAYER NAME]],PUTT!$A:$E,2,FALSE)</f>
        <v>24</v>
      </c>
      <c r="G49">
        <f>VLOOKUP(Raw_Data4[[#This Row],[PLAYER NAME]],SG!$A:$E,3,FALSE)</f>
        <v>145</v>
      </c>
      <c r="I49" s="34" t="str">
        <f>Raw_Data4[[#This Row],[PLAYER NAME]]</f>
        <v>Nick Dunlap</v>
      </c>
      <c r="J49">
        <f>Raw_Data4[[#This Row],[DIST]]</f>
        <v>48</v>
      </c>
      <c r="K49">
        <f>Raw_Data4[[#This Row],[ACC]]</f>
        <v>146</v>
      </c>
      <c r="L49">
        <f>Raw_Data4[[#This Row],[APP]]</f>
        <v>128</v>
      </c>
      <c r="M49">
        <f>Raw_Data4[[#This Row],[ARG]]</f>
        <v>119</v>
      </c>
      <c r="N49">
        <f>Raw_Data4[[#This Row],[PUTT]]</f>
        <v>24</v>
      </c>
      <c r="O49" s="22">
        <f>Raw_Data4[[#This Row],[SG]]</f>
        <v>145</v>
      </c>
      <c r="P49" s="34">
        <f t="shared" si="2"/>
        <v>265.39999999999998</v>
      </c>
      <c r="Q49" s="359">
        <f t="shared" si="3"/>
        <v>440.055598784587</v>
      </c>
      <c r="R49" s="226" t="e">
        <f>(($Z$9-(X49/40)*($Z$9))*VLOOKUP($I49,'2023'!$A$2:$I$278,8,FALSE))+((1-(($Z$9-(X49/40)*($Z$9))))*P49)</f>
        <v>#N/A</v>
      </c>
      <c r="S49" s="14" t="e">
        <f>(($Z$9-(X49/40)*($Z$9))*VLOOKUP($I49,'2023'!$A$2:$I$278,9,FALSE))+((1-(($Z$9-(X49/40)*($Z$9))))*Q49)</f>
        <v>#N/A</v>
      </c>
      <c r="T49" s="81"/>
      <c r="U49" s="16"/>
      <c r="V49" s="16"/>
      <c r="W49" s="16"/>
      <c r="X49" s="16">
        <f>VLOOKUP(I49,FEDEX!$A$2:$H$270,4,FALSE)</f>
        <v>1</v>
      </c>
    </row>
    <row r="50" spans="1:28">
      <c r="A50" t="str">
        <f>DIST!A50</f>
        <v>Parker Coody</v>
      </c>
      <c r="B50">
        <f>VLOOKUP(Raw_Data4[[#This Row],[PLAYER NAME]],DIST!$A:$E,2,FALSE)</f>
        <v>49</v>
      </c>
      <c r="C50">
        <f>VLOOKUP(Raw_Data4[[#This Row],[PLAYER NAME]],ACC!$A:$E,2,FALSE)</f>
        <v>167</v>
      </c>
      <c r="D50">
        <f>VLOOKUP(Raw_Data4[[#This Row],[PLAYER NAME]],APP!$A:$E,2,FALSE)</f>
        <v>37</v>
      </c>
      <c r="E50">
        <f>VLOOKUP(Raw_Data4[[#This Row],[PLAYER NAME]],ARG!$A:$E,2,FALSE)</f>
        <v>105</v>
      </c>
      <c r="F50">
        <f>VLOOKUP(Raw_Data4[[#This Row],[PLAYER NAME]],PUTT!$A:$E,2,FALSE)</f>
        <v>114</v>
      </c>
      <c r="G50">
        <f>VLOOKUP(Raw_Data4[[#This Row],[PLAYER NAME]],SG!$A:$E,3,FALSE)</f>
        <v>72</v>
      </c>
      <c r="I50" s="34" t="str">
        <f>Raw_Data4[[#This Row],[PLAYER NAME]]</f>
        <v>Parker Coody</v>
      </c>
      <c r="J50">
        <f>Raw_Data4[[#This Row],[DIST]]</f>
        <v>49</v>
      </c>
      <c r="K50">
        <f>Raw_Data4[[#This Row],[ACC]]</f>
        <v>167</v>
      </c>
      <c r="L50">
        <f>Raw_Data4[[#This Row],[APP]]</f>
        <v>37</v>
      </c>
      <c r="M50">
        <f>Raw_Data4[[#This Row],[ARG]]</f>
        <v>105</v>
      </c>
      <c r="N50">
        <f>Raw_Data4[[#This Row],[PUTT]]</f>
        <v>114</v>
      </c>
      <c r="O50" s="22">
        <f>Raw_Data4[[#This Row],[SG]]</f>
        <v>72</v>
      </c>
      <c r="P50" s="34">
        <f t="shared" si="2"/>
        <v>252.5</v>
      </c>
      <c r="Q50" s="359">
        <f t="shared" si="3"/>
        <v>339.95505349005481</v>
      </c>
      <c r="R50" s="226" t="e">
        <f>(($Z$9-(X50/40)*($Z$9))*VLOOKUP($I50,'2023'!$A$2:$I$278,8,FALSE))+((1-(($Z$9-(X50/40)*($Z$9))))*P50)</f>
        <v>#N/A</v>
      </c>
      <c r="S50" s="14" t="e">
        <f>(($Z$9-(X50/40)*($Z$9))*VLOOKUP($I50,'2023'!$A$2:$I$278,9,FALSE))+((1-(($Z$9-(X50/40)*($Z$9))))*Q50)</f>
        <v>#N/A</v>
      </c>
      <c r="T50" s="81"/>
      <c r="U50" s="16"/>
      <c r="V50" s="16"/>
      <c r="W50" s="16"/>
      <c r="X50" s="16">
        <f>VLOOKUP(I50,FEDEX!$A$2:$H$270,4,FALSE)</f>
        <v>9</v>
      </c>
    </row>
    <row r="51" spans="1:28">
      <c r="A51" t="str">
        <f>DIST!A51</f>
        <v>Sami Valimaki</v>
      </c>
      <c r="B51">
        <f>VLOOKUP(Raw_Data4[[#This Row],[PLAYER NAME]],DIST!$A:$E,2,FALSE)</f>
        <v>50</v>
      </c>
      <c r="C51">
        <f>VLOOKUP(Raw_Data4[[#This Row],[PLAYER NAME]],ACC!$A:$E,2,FALSE)</f>
        <v>84</v>
      </c>
      <c r="D51">
        <f>VLOOKUP(Raw_Data4[[#This Row],[PLAYER NAME]],APP!$A:$E,2,FALSE)</f>
        <v>100</v>
      </c>
      <c r="E51">
        <f>VLOOKUP(Raw_Data4[[#This Row],[PLAYER NAME]],ARG!$A:$E,2,FALSE)</f>
        <v>146</v>
      </c>
      <c r="F51">
        <f>VLOOKUP(Raw_Data4[[#This Row],[PLAYER NAME]],PUTT!$A:$E,2,FALSE)</f>
        <v>62</v>
      </c>
      <c r="G51">
        <f>VLOOKUP(Raw_Data4[[#This Row],[PLAYER NAME]],SG!$A:$E,3,FALSE)</f>
        <v>76</v>
      </c>
      <c r="I51" s="34" t="str">
        <f>Raw_Data4[[#This Row],[PLAYER NAME]]</f>
        <v>Sami Valimaki</v>
      </c>
      <c r="J51">
        <f>Raw_Data4[[#This Row],[DIST]]</f>
        <v>50</v>
      </c>
      <c r="K51">
        <f>Raw_Data4[[#This Row],[ACC]]</f>
        <v>84</v>
      </c>
      <c r="L51">
        <f>Raw_Data4[[#This Row],[APP]]</f>
        <v>100</v>
      </c>
      <c r="M51">
        <f>Raw_Data4[[#This Row],[ARG]]</f>
        <v>146</v>
      </c>
      <c r="N51">
        <f>Raw_Data4[[#This Row],[PUTT]]</f>
        <v>62</v>
      </c>
      <c r="O51" s="22">
        <f>Raw_Data4[[#This Row],[SG]]</f>
        <v>76</v>
      </c>
      <c r="P51" s="34">
        <f t="shared" si="2"/>
        <v>246.4</v>
      </c>
      <c r="Q51" s="359">
        <f t="shared" si="3"/>
        <v>353.85811404379939</v>
      </c>
      <c r="R51" s="226">
        <f>(($Z$9-(X51/40)*($Z$9))*VLOOKUP($I51,'2023'!$A$2:$I$278,8,FALSE))+((1-(($Z$9-(X51/40)*($Z$9))))*P51)</f>
        <v>285.1290891266737</v>
      </c>
      <c r="S51" s="14">
        <f>(($Z$9-(X51/40)*($Z$9))*VLOOKUP($I51,'2023'!$A$2:$I$278,9,FALSE))+((1-(($Z$9-(X51/40)*($Z$9))))*Q51)</f>
        <v>424.57884075466956</v>
      </c>
      <c r="T51" s="81"/>
      <c r="U51" s="16"/>
      <c r="V51" s="16"/>
      <c r="W51" s="16"/>
      <c r="X51" s="16">
        <f>VLOOKUP(I51,FEDEX!$A$2:$H$270,4,FALSE)</f>
        <v>9</v>
      </c>
    </row>
    <row r="52" spans="1:28">
      <c r="A52" t="str">
        <f>DIST!A52</f>
        <v>Davis Thompson</v>
      </c>
      <c r="B52">
        <f>VLOOKUP(Raw_Data4[[#This Row],[PLAYER NAME]],DIST!$A:$E,2,FALSE)</f>
        <v>51</v>
      </c>
      <c r="C52">
        <f>VLOOKUP(Raw_Data4[[#This Row],[PLAYER NAME]],ACC!$A:$E,2,FALSE)</f>
        <v>136</v>
      </c>
      <c r="D52">
        <f>VLOOKUP(Raw_Data4[[#This Row],[PLAYER NAME]],APP!$A:$E,2,FALSE)</f>
        <v>50</v>
      </c>
      <c r="E52">
        <f>VLOOKUP(Raw_Data4[[#This Row],[PLAYER NAME]],ARG!$A:$E,2,FALSE)</f>
        <v>28</v>
      </c>
      <c r="F52">
        <f>VLOOKUP(Raw_Data4[[#This Row],[PLAYER NAME]],PUTT!$A:$E,2,FALSE)</f>
        <v>64</v>
      </c>
      <c r="G52">
        <f>VLOOKUP(Raw_Data4[[#This Row],[PLAYER NAME]],SG!$A:$E,3,FALSE)</f>
        <v>50</v>
      </c>
      <c r="I52" s="34" t="str">
        <f>Raw_Data4[[#This Row],[PLAYER NAME]]</f>
        <v>Davis Thompson</v>
      </c>
      <c r="J52">
        <f>Raw_Data4[[#This Row],[DIST]]</f>
        <v>51</v>
      </c>
      <c r="K52">
        <f>Raw_Data4[[#This Row],[ACC]]</f>
        <v>136</v>
      </c>
      <c r="L52">
        <f>Raw_Data4[[#This Row],[APP]]</f>
        <v>50</v>
      </c>
      <c r="M52">
        <f>Raw_Data4[[#This Row],[ARG]]</f>
        <v>28</v>
      </c>
      <c r="N52">
        <f>Raw_Data4[[#This Row],[PUTT]]</f>
        <v>64</v>
      </c>
      <c r="O52" s="22">
        <f>Raw_Data4[[#This Row],[SG]]</f>
        <v>50</v>
      </c>
      <c r="P52" s="34">
        <f t="shared" si="2"/>
        <v>192.1</v>
      </c>
      <c r="Q52" s="359">
        <f t="shared" si="3"/>
        <v>242.15610726721715</v>
      </c>
      <c r="R52" s="226">
        <f>(($Z$9-(X52/40)*($Z$9))*VLOOKUP($I52,'2023'!$A$2:$I$278,8,FALSE))+((1-(($Z$9-(X52/40)*($Z$9))))*P52)</f>
        <v>237.04482649005604</v>
      </c>
      <c r="S52" s="14">
        <f>(($Z$9-(X52/40)*($Z$9))*VLOOKUP($I52,'2023'!$A$2:$I$278,9,FALSE))+((1-(($Z$9-(X52/40)*($Z$9))))*Q52)</f>
        <v>325.88831583032902</v>
      </c>
      <c r="T52" s="81"/>
      <c r="U52" s="16"/>
      <c r="V52" s="16"/>
      <c r="W52" s="16"/>
      <c r="X52" s="16">
        <f>VLOOKUP(I52,FEDEX!$A$2:$H$270,4,FALSE)</f>
        <v>10</v>
      </c>
    </row>
    <row r="53" spans="1:28">
      <c r="A53" t="str">
        <f>DIST!A53</f>
        <v>Thomas Detry</v>
      </c>
      <c r="B53">
        <f>VLOOKUP(Raw_Data4[[#This Row],[PLAYER NAME]],DIST!$A:$E,2,FALSE)</f>
        <v>52</v>
      </c>
      <c r="C53">
        <f>VLOOKUP(Raw_Data4[[#This Row],[PLAYER NAME]],ACC!$A:$E,2,FALSE)</f>
        <v>116</v>
      </c>
      <c r="D53">
        <f>VLOOKUP(Raw_Data4[[#This Row],[PLAYER NAME]],APP!$A:$E,2,FALSE)</f>
        <v>138</v>
      </c>
      <c r="E53">
        <f>VLOOKUP(Raw_Data4[[#This Row],[PLAYER NAME]],ARG!$A:$E,2,FALSE)</f>
        <v>156</v>
      </c>
      <c r="F53">
        <f>VLOOKUP(Raw_Data4[[#This Row],[PLAYER NAME]],PUTT!$A:$E,2,FALSE)</f>
        <v>33</v>
      </c>
      <c r="G53">
        <f>VLOOKUP(Raw_Data4[[#This Row],[PLAYER NAME]],SG!$A:$E,3,FALSE)</f>
        <v>90</v>
      </c>
      <c r="I53" s="34" t="str">
        <f>Raw_Data4[[#This Row],[PLAYER NAME]]</f>
        <v>Thomas Detry</v>
      </c>
      <c r="J53">
        <f>Raw_Data4[[#This Row],[DIST]]</f>
        <v>52</v>
      </c>
      <c r="K53">
        <f>Raw_Data4[[#This Row],[ACC]]</f>
        <v>116</v>
      </c>
      <c r="L53">
        <f>Raw_Data4[[#This Row],[APP]]</f>
        <v>138</v>
      </c>
      <c r="M53">
        <f>Raw_Data4[[#This Row],[ARG]]</f>
        <v>156</v>
      </c>
      <c r="N53">
        <f>Raw_Data4[[#This Row],[PUTT]]</f>
        <v>33</v>
      </c>
      <c r="O53" s="22">
        <f>Raw_Data4[[#This Row],[SG]]</f>
        <v>90</v>
      </c>
      <c r="P53" s="34">
        <f t="shared" si="2"/>
        <v>280.3</v>
      </c>
      <c r="Q53" s="359">
        <f t="shared" si="3"/>
        <v>408.02049522395498</v>
      </c>
      <c r="R53" s="226">
        <f>(($Z$9-(X53/40)*($Z$9))*VLOOKUP($I53,'2023'!$A$2:$I$278,8,FALSE))+((1-(($Z$9-(X53/40)*($Z$9))))*P53)</f>
        <v>259.65867227864095</v>
      </c>
      <c r="S53" s="14">
        <f>(($Z$9-(X53/40)*($Z$9))*VLOOKUP($I53,'2023'!$A$2:$I$278,9,FALSE))+((1-(($Z$9-(X53/40)*($Z$9))))*Q53)</f>
        <v>370.94581278346971</v>
      </c>
      <c r="T53" s="81"/>
      <c r="U53" s="16"/>
      <c r="V53" s="16"/>
      <c r="W53" s="16"/>
      <c r="X53" s="16">
        <f>VLOOKUP(I53,FEDEX!$A$2:$H$270,4,FALSE)</f>
        <v>9</v>
      </c>
    </row>
    <row r="54" spans="1:28">
      <c r="A54" t="str">
        <f>DIST!A54</f>
        <v>Erik van Rooyen</v>
      </c>
      <c r="B54">
        <f>VLOOKUP(Raw_Data4[[#This Row],[PLAYER NAME]],DIST!$A:$E,2,FALSE)</f>
        <v>53</v>
      </c>
      <c r="C54">
        <f>VLOOKUP(Raw_Data4[[#This Row],[PLAYER NAME]],ACC!$A:$E,2,FALSE)</f>
        <v>47</v>
      </c>
      <c r="D54">
        <f>VLOOKUP(Raw_Data4[[#This Row],[PLAYER NAME]],APP!$A:$E,2,FALSE)</f>
        <v>48</v>
      </c>
      <c r="E54">
        <f>VLOOKUP(Raw_Data4[[#This Row],[PLAYER NAME]],ARG!$A:$E,2,FALSE)</f>
        <v>138</v>
      </c>
      <c r="F54">
        <f>VLOOKUP(Raw_Data4[[#This Row],[PLAYER NAME]],PUTT!$A:$E,2,FALSE)</f>
        <v>34</v>
      </c>
      <c r="G54">
        <f>VLOOKUP(Raw_Data4[[#This Row],[PLAYER NAME]],SG!$A:$E,3,FALSE)</f>
        <v>24</v>
      </c>
      <c r="I54" s="34" t="str">
        <f>Raw_Data4[[#This Row],[PLAYER NAME]]</f>
        <v>Erik van Rooyen</v>
      </c>
      <c r="J54">
        <f>Raw_Data4[[#This Row],[DIST]]</f>
        <v>53</v>
      </c>
      <c r="K54">
        <f>Raw_Data4[[#This Row],[ACC]]</f>
        <v>47</v>
      </c>
      <c r="L54">
        <f>Raw_Data4[[#This Row],[APP]]</f>
        <v>48</v>
      </c>
      <c r="M54">
        <f>Raw_Data4[[#This Row],[ARG]]</f>
        <v>138</v>
      </c>
      <c r="N54">
        <f>Raw_Data4[[#This Row],[PUTT]]</f>
        <v>34</v>
      </c>
      <c r="O54" s="22">
        <f>Raw_Data4[[#This Row],[SG]]</f>
        <v>24</v>
      </c>
      <c r="P54" s="34">
        <f t="shared" si="2"/>
        <v>177</v>
      </c>
      <c r="Q54" s="359">
        <f t="shared" si="3"/>
        <v>222.02472125795026</v>
      </c>
      <c r="R54" s="226">
        <f>(($Z$9-(X54/40)*($Z$9))*VLOOKUP($I54,'2023'!$A$2:$I$278,8,FALSE))+((1-(($Z$9-(X54/40)*($Z$9))))*P54)</f>
        <v>248.7641372341032</v>
      </c>
      <c r="S54" s="14">
        <f>(($Z$9-(X54/40)*($Z$9))*VLOOKUP($I54,'2023'!$A$2:$I$278,9,FALSE))+((1-(($Z$9-(X54/40)*($Z$9))))*Q54)</f>
        <v>367.21717793429559</v>
      </c>
      <c r="T54" s="81"/>
      <c r="U54" s="16"/>
      <c r="V54" s="16"/>
      <c r="W54" s="16"/>
      <c r="X54" s="16">
        <f>VLOOKUP(I54,FEDEX!$A$2:$H$270,4,FALSE)</f>
        <v>11</v>
      </c>
    </row>
    <row r="55" spans="1:28">
      <c r="A55" t="str">
        <f>DIST!A55</f>
        <v>Victor Perez</v>
      </c>
      <c r="B55">
        <f>VLOOKUP(Raw_Data4[[#This Row],[PLAYER NAME]],DIST!$A:$E,2,FALSE)</f>
        <v>54</v>
      </c>
      <c r="C55">
        <f>VLOOKUP(Raw_Data4[[#This Row],[PLAYER NAME]],ACC!$A:$E,2,FALSE)</f>
        <v>98</v>
      </c>
      <c r="D55">
        <f>VLOOKUP(Raw_Data4[[#This Row],[PLAYER NAME]],APP!$A:$E,2,FALSE)</f>
        <v>17</v>
      </c>
      <c r="E55">
        <f>VLOOKUP(Raw_Data4[[#This Row],[PLAYER NAME]],ARG!$A:$E,2,FALSE)</f>
        <v>113</v>
      </c>
      <c r="F55">
        <f>VLOOKUP(Raw_Data4[[#This Row],[PLAYER NAME]],PUTT!$A:$E,2,FALSE)</f>
        <v>132</v>
      </c>
      <c r="G55">
        <f>VLOOKUP(Raw_Data4[[#This Row],[PLAYER NAME]],SG!$A:$E,3,FALSE)</f>
        <v>55</v>
      </c>
      <c r="I55" s="34" t="str">
        <f>Raw_Data4[[#This Row],[PLAYER NAME]]</f>
        <v>Victor Perez</v>
      </c>
      <c r="J55">
        <f>Raw_Data4[[#This Row],[DIST]]</f>
        <v>54</v>
      </c>
      <c r="K55">
        <f>Raw_Data4[[#This Row],[ACC]]</f>
        <v>98</v>
      </c>
      <c r="L55">
        <f>Raw_Data4[[#This Row],[APP]]</f>
        <v>17</v>
      </c>
      <c r="M55">
        <f>Raw_Data4[[#This Row],[ARG]]</f>
        <v>113</v>
      </c>
      <c r="N55">
        <f>Raw_Data4[[#This Row],[PUTT]]</f>
        <v>132</v>
      </c>
      <c r="O55" s="22">
        <f>Raw_Data4[[#This Row],[SG]]</f>
        <v>55</v>
      </c>
      <c r="P55" s="34">
        <f t="shared" si="2"/>
        <v>220.7</v>
      </c>
      <c r="Q55" s="359">
        <f t="shared" si="3"/>
        <v>288.98844326625937</v>
      </c>
      <c r="R55" s="226">
        <f>(($Z$9-(X55/40)*($Z$9))*VLOOKUP($I55,'2023'!$A$2:$I$278,8,FALSE))+((1-(($Z$9-(X55/40)*($Z$9))))*P55)</f>
        <v>259.9645143219733</v>
      </c>
      <c r="S55" s="14">
        <f>(($Z$9-(X55/40)*($Z$9))*VLOOKUP($I55,'2023'!$A$2:$I$278,9,FALSE))+((1-(($Z$9-(X55/40)*($Z$9))))*Q55)</f>
        <v>354.81535712704482</v>
      </c>
      <c r="T55" s="81"/>
      <c r="U55" s="16"/>
      <c r="V55" s="16"/>
      <c r="W55" s="16"/>
      <c r="X55" s="16">
        <f>VLOOKUP(I55,FEDEX!$A$2:$H$270,4,FALSE)</f>
        <v>8</v>
      </c>
    </row>
    <row r="56" spans="1:28">
      <c r="A56" t="str">
        <f>DIST!A56</f>
        <v>Matt Fitzpatrick</v>
      </c>
      <c r="B56">
        <f>VLOOKUP(Raw_Data4[[#This Row],[PLAYER NAME]],DIST!$A:$E,2,FALSE)</f>
        <v>55</v>
      </c>
      <c r="C56">
        <f>VLOOKUP(Raw_Data4[[#This Row],[PLAYER NAME]],ACC!$A:$E,2,FALSE)</f>
        <v>29</v>
      </c>
      <c r="D56">
        <f>VLOOKUP(Raw_Data4[[#This Row],[PLAYER NAME]],APP!$A:$E,2,FALSE)</f>
        <v>90</v>
      </c>
      <c r="E56">
        <f>VLOOKUP(Raw_Data4[[#This Row],[PLAYER NAME]],ARG!$A:$E,2,FALSE)</f>
        <v>80</v>
      </c>
      <c r="F56">
        <f>VLOOKUP(Raw_Data4[[#This Row],[PLAYER NAME]],PUTT!$A:$E,2,FALSE)</f>
        <v>27</v>
      </c>
      <c r="G56">
        <f>VLOOKUP(Raw_Data4[[#This Row],[PLAYER NAME]],SG!$A:$E,3,FALSE)</f>
        <v>41</v>
      </c>
      <c r="I56" s="34" t="str">
        <f>Raw_Data4[[#This Row],[PLAYER NAME]]</f>
        <v>Matt Fitzpatrick</v>
      </c>
      <c r="J56">
        <f>Raw_Data4[[#This Row],[DIST]]</f>
        <v>55</v>
      </c>
      <c r="K56">
        <f>Raw_Data4[[#This Row],[ACC]]</f>
        <v>29</v>
      </c>
      <c r="L56">
        <f>Raw_Data4[[#This Row],[APP]]</f>
        <v>90</v>
      </c>
      <c r="M56">
        <f>Raw_Data4[[#This Row],[ARG]]</f>
        <v>80</v>
      </c>
      <c r="N56">
        <f>Raw_Data4[[#This Row],[PUTT]]</f>
        <v>27</v>
      </c>
      <c r="O56" s="22">
        <f>Raw_Data4[[#This Row],[SG]]</f>
        <v>41</v>
      </c>
      <c r="P56" s="34">
        <f t="shared" si="2"/>
        <v>172.5</v>
      </c>
      <c r="Q56" s="359">
        <f t="shared" si="3"/>
        <v>228.02865434502073</v>
      </c>
      <c r="R56" s="226">
        <f>(($Z$9-(X56/40)*($Z$9))*VLOOKUP($I56,'2023'!$A$2:$I$278,8,FALSE))+((1-(($Z$9-(X56/40)*($Z$9))))*P56)</f>
        <v>201.74245297405707</v>
      </c>
      <c r="S56" s="14">
        <f>(($Z$9-(X56/40)*($Z$9))*VLOOKUP($I56,'2023'!$A$2:$I$278,9,FALSE))+((1-(($Z$9-(X56/40)*($Z$9))))*Q56)</f>
        <v>241.69449622842828</v>
      </c>
      <c r="T56" s="81"/>
      <c r="U56" s="16"/>
      <c r="V56" s="16"/>
      <c r="W56" s="16"/>
      <c r="X56" s="16">
        <f>VLOOKUP(I56,FEDEX!$A$2:$H$270,4,FALSE)</f>
        <v>10</v>
      </c>
    </row>
    <row r="57" spans="1:28">
      <c r="A57" t="str">
        <f>DIST!A57</f>
        <v>Grayson Murray</v>
      </c>
      <c r="B57">
        <f>VLOOKUP(Raw_Data4[[#This Row],[PLAYER NAME]],DIST!$A:$E,2,FALSE)</f>
        <v>55</v>
      </c>
      <c r="C57">
        <f>VLOOKUP(Raw_Data4[[#This Row],[PLAYER NAME]],ACC!$A:$E,2,FALSE)</f>
        <v>7</v>
      </c>
      <c r="D57">
        <f>VLOOKUP(Raw_Data4[[#This Row],[PLAYER NAME]],APP!$A:$E,2,FALSE)</f>
        <v>99</v>
      </c>
      <c r="E57">
        <f>VLOOKUP(Raw_Data4[[#This Row],[PLAYER NAME]],ARG!$A:$E,2,FALSE)</f>
        <v>77</v>
      </c>
      <c r="F57">
        <f>VLOOKUP(Raw_Data4[[#This Row],[PLAYER NAME]],PUTT!$A:$E,2,FALSE)</f>
        <v>138</v>
      </c>
      <c r="G57">
        <f>VLOOKUP(Raw_Data4[[#This Row],[PLAYER NAME]],SG!$A:$E,3,FALSE)</f>
        <v>108</v>
      </c>
      <c r="I57" s="34" t="str">
        <f>Raw_Data4[[#This Row],[PLAYER NAME]]</f>
        <v>Grayson Murray</v>
      </c>
      <c r="J57">
        <f>Raw_Data4[[#This Row],[DIST]]</f>
        <v>55</v>
      </c>
      <c r="K57">
        <f>Raw_Data4[[#This Row],[ACC]]</f>
        <v>7</v>
      </c>
      <c r="L57">
        <f>Raw_Data4[[#This Row],[APP]]</f>
        <v>99</v>
      </c>
      <c r="M57">
        <f>Raw_Data4[[#This Row],[ARG]]</f>
        <v>77</v>
      </c>
      <c r="N57">
        <f>Raw_Data4[[#This Row],[PUTT]]</f>
        <v>138</v>
      </c>
      <c r="O57" s="22">
        <f>Raw_Data4[[#This Row],[SG]]</f>
        <v>108</v>
      </c>
      <c r="P57" s="34">
        <f t="shared" si="2"/>
        <v>222.1</v>
      </c>
      <c r="Q57" s="359">
        <f t="shared" si="3"/>
        <v>347.674536122902</v>
      </c>
      <c r="R57" s="226">
        <f>(($Z$9-(X57/40)*($Z$9))*VLOOKUP($I57,'2023'!$A$2:$I$278,8,FALSE))+((1-(($Z$9-(X57/40)*($Z$9))))*P57)</f>
        <v>312.27281053531857</v>
      </c>
      <c r="S57" s="14">
        <f>(($Z$9-(X57/40)*($Z$9))*VLOOKUP($I57,'2023'!$A$2:$I$278,9,FALSE))+((1-(($Z$9-(X57/40)*($Z$9))))*Q57)</f>
        <v>499.81347200168</v>
      </c>
      <c r="T57" s="81"/>
      <c r="U57" s="16"/>
      <c r="V57" s="16"/>
      <c r="W57" s="16"/>
      <c r="X57" s="16">
        <f>VLOOKUP(I57,FEDEX!$A$2:$H$270,4,FALSE)</f>
        <v>9</v>
      </c>
    </row>
    <row r="58" spans="1:28">
      <c r="A58" t="str">
        <f>DIST!A58</f>
        <v>Adam Scott</v>
      </c>
      <c r="B58">
        <f>VLOOKUP(Raw_Data4[[#This Row],[PLAYER NAME]],DIST!$A:$E,2,FALSE)</f>
        <v>55</v>
      </c>
      <c r="C58">
        <f>VLOOKUP(Raw_Data4[[#This Row],[PLAYER NAME]],ACC!$A:$E,2,FALSE)</f>
        <v>37</v>
      </c>
      <c r="D58">
        <f>VLOOKUP(Raw_Data4[[#This Row],[PLAYER NAME]],APP!$A:$E,2,FALSE)</f>
        <v>83</v>
      </c>
      <c r="E58">
        <f>VLOOKUP(Raw_Data4[[#This Row],[PLAYER NAME]],ARG!$A:$E,2,FALSE)</f>
        <v>129</v>
      </c>
      <c r="F58">
        <f>VLOOKUP(Raw_Data4[[#This Row],[PLAYER NAME]],PUTT!$A:$E,2,FALSE)</f>
        <v>20</v>
      </c>
      <c r="G58">
        <f>VLOOKUP(Raw_Data4[[#This Row],[PLAYER NAME]],SG!$A:$E,3,FALSE)</f>
        <v>31</v>
      </c>
      <c r="I58" s="34" t="str">
        <f>Raw_Data4[[#This Row],[PLAYER NAME]]</f>
        <v>Adam Scott</v>
      </c>
      <c r="J58">
        <f>Raw_Data4[[#This Row],[DIST]]</f>
        <v>55</v>
      </c>
      <c r="K58">
        <f>Raw_Data4[[#This Row],[ACC]]</f>
        <v>37</v>
      </c>
      <c r="L58">
        <f>Raw_Data4[[#This Row],[APP]]</f>
        <v>83</v>
      </c>
      <c r="M58">
        <f>Raw_Data4[[#This Row],[ARG]]</f>
        <v>129</v>
      </c>
      <c r="N58">
        <f>Raw_Data4[[#This Row],[PUTT]]</f>
        <v>20</v>
      </c>
      <c r="O58" s="22">
        <f>Raw_Data4[[#This Row],[SG]]</f>
        <v>31</v>
      </c>
      <c r="P58" s="34">
        <f t="shared" si="2"/>
        <v>187.7</v>
      </c>
      <c r="Q58" s="359">
        <f t="shared" si="3"/>
        <v>242.04366003727634</v>
      </c>
      <c r="R58" s="226">
        <f>(($Z$9-(X58/40)*($Z$9))*VLOOKUP($I58,'2023'!$A$2:$I$278,8,FALSE))+((1-(($Z$9-(X58/40)*($Z$9))))*P58)</f>
        <v>208.65365908528383</v>
      </c>
      <c r="S58" s="14">
        <f>(($Z$9-(X58/40)*($Z$9))*VLOOKUP($I58,'2023'!$A$2:$I$278,9,FALSE))+((1-(($Z$9-(X58/40)*($Z$9))))*Q58)</f>
        <v>256.8658426341226</v>
      </c>
      <c r="T58" s="81"/>
      <c r="U58" s="16"/>
      <c r="V58" s="16"/>
      <c r="W58" s="16"/>
      <c r="X58" s="16">
        <f>VLOOKUP(I58,FEDEX!$A$2:$H$270,4,FALSE)</f>
        <v>7</v>
      </c>
      <c r="Z58">
        <f>($Z$9-(X58/40)*($Z$9))</f>
        <v>0.56631511041307714</v>
      </c>
      <c r="AA58">
        <f>(1-(($Z$9-(X58/40)*($Z$9))))</f>
        <v>0.43368488958692286</v>
      </c>
      <c r="AB58">
        <f>SUM(Z58:AA58)</f>
        <v>1</v>
      </c>
    </row>
    <row r="59" spans="1:28">
      <c r="A59" t="str">
        <f>DIST!A59</f>
        <v>Jordan Spieth</v>
      </c>
      <c r="B59">
        <f>VLOOKUP(Raw_Data4[[#This Row],[PLAYER NAME]],DIST!$A:$E,2,FALSE)</f>
        <v>58</v>
      </c>
      <c r="C59">
        <f>VLOOKUP(Raw_Data4[[#This Row],[PLAYER NAME]],ACC!$A:$E,2,FALSE)</f>
        <v>66</v>
      </c>
      <c r="D59">
        <f>VLOOKUP(Raw_Data4[[#This Row],[PLAYER NAME]],APP!$A:$E,2,FALSE)</f>
        <v>98</v>
      </c>
      <c r="E59">
        <f>VLOOKUP(Raw_Data4[[#This Row],[PLAYER NAME]],ARG!$A:$E,2,FALSE)</f>
        <v>53</v>
      </c>
      <c r="F59">
        <f>VLOOKUP(Raw_Data4[[#This Row],[PLAYER NAME]],PUTT!$A:$E,2,FALSE)</f>
        <v>12</v>
      </c>
      <c r="G59">
        <f>VLOOKUP(Raw_Data4[[#This Row],[PLAYER NAME]],SG!$A:$E,3,FALSE)</f>
        <v>8</v>
      </c>
      <c r="I59" s="34" t="str">
        <f>Raw_Data4[[#This Row],[PLAYER NAME]]</f>
        <v>Jordan Spieth</v>
      </c>
      <c r="J59">
        <f>Raw_Data4[[#This Row],[DIST]]</f>
        <v>58</v>
      </c>
      <c r="K59">
        <f>Raw_Data4[[#This Row],[ACC]]</f>
        <v>66</v>
      </c>
      <c r="L59">
        <f>Raw_Data4[[#This Row],[APP]]</f>
        <v>98</v>
      </c>
      <c r="M59">
        <f>Raw_Data4[[#This Row],[ARG]]</f>
        <v>53</v>
      </c>
      <c r="N59">
        <f>Raw_Data4[[#This Row],[PUTT]]</f>
        <v>12</v>
      </c>
      <c r="O59" s="22">
        <f>Raw_Data4[[#This Row],[SG]]</f>
        <v>8</v>
      </c>
      <c r="P59" s="34">
        <f t="shared" si="2"/>
        <v>181</v>
      </c>
      <c r="Q59" s="359">
        <f t="shared" si="3"/>
        <v>198.00623675875664</v>
      </c>
      <c r="R59" s="226">
        <f>(($Z$9-(X59/40)*($Z$9))*VLOOKUP($I59,'2023'!$A$2:$I$278,8,FALSE))+((1-(($Z$9-(X59/40)*($Z$9))))*P59)</f>
        <v>209.99361754675436</v>
      </c>
      <c r="S59" s="14">
        <f>(($Z$9-(X59/40)*($Z$9))*VLOOKUP($I59,'2023'!$A$2:$I$278,9,FALSE))+((1-(($Z$9-(X59/40)*($Z$9))))*Q59)</f>
        <v>236.59455330511406</v>
      </c>
      <c r="T59" s="81"/>
      <c r="U59" s="16"/>
      <c r="V59" s="16"/>
      <c r="W59" s="16"/>
      <c r="X59" s="16">
        <f>VLOOKUP(I59,FEDEX!$A$2:$H$270,4,FALSE)</f>
        <v>9</v>
      </c>
    </row>
    <row r="60" spans="1:28">
      <c r="A60" t="str">
        <f>DIST!A60</f>
        <v>Andrew Novak</v>
      </c>
      <c r="B60">
        <f>VLOOKUP(Raw_Data4[[#This Row],[PLAYER NAME]],DIST!$A:$E,2,FALSE)</f>
        <v>59</v>
      </c>
      <c r="C60">
        <f>VLOOKUP(Raw_Data4[[#This Row],[PLAYER NAME]],ACC!$A:$E,2,FALSE)</f>
        <v>126</v>
      </c>
      <c r="D60">
        <f>VLOOKUP(Raw_Data4[[#This Row],[PLAYER NAME]],APP!$A:$E,2,FALSE)</f>
        <v>14</v>
      </c>
      <c r="E60">
        <f>VLOOKUP(Raw_Data4[[#This Row],[PLAYER NAME]],ARG!$A:$E,2,FALSE)</f>
        <v>25</v>
      </c>
      <c r="F60">
        <f>VLOOKUP(Raw_Data4[[#This Row],[PLAYER NAME]],PUTT!$A:$E,2,FALSE)</f>
        <v>113</v>
      </c>
      <c r="G60">
        <f>VLOOKUP(Raw_Data4[[#This Row],[PLAYER NAME]],SG!$A:$E,3,FALSE)</f>
        <v>28</v>
      </c>
      <c r="I60" s="34" t="str">
        <f>Raw_Data4[[#This Row],[PLAYER NAME]]</f>
        <v>Andrew Novak</v>
      </c>
      <c r="J60">
        <f>Raw_Data4[[#This Row],[DIST]]</f>
        <v>59</v>
      </c>
      <c r="K60">
        <f>Raw_Data4[[#This Row],[ACC]]</f>
        <v>126</v>
      </c>
      <c r="L60">
        <f>Raw_Data4[[#This Row],[APP]]</f>
        <v>14</v>
      </c>
      <c r="M60">
        <f>Raw_Data4[[#This Row],[ARG]]</f>
        <v>25</v>
      </c>
      <c r="N60">
        <f>Raw_Data4[[#This Row],[PUTT]]</f>
        <v>113</v>
      </c>
      <c r="O60" s="22">
        <f>Raw_Data4[[#This Row],[SG]]</f>
        <v>28</v>
      </c>
      <c r="P60" s="34">
        <f t="shared" si="2"/>
        <v>192.39999999999998</v>
      </c>
      <c r="Q60" s="359">
        <f t="shared" si="3"/>
        <v>213.56090543025238</v>
      </c>
      <c r="R60" s="226">
        <f>(($Z$9-(X60/40)*($Z$9))*VLOOKUP($I60,'2023'!$A$2:$I$278,8,FALSE))+((1-(($Z$9-(X60/40)*($Z$9))))*P60)</f>
        <v>235.43994839139384</v>
      </c>
      <c r="S60" s="14">
        <f>(($Z$9-(X60/40)*($Z$9))*VLOOKUP($I60,'2023'!$A$2:$I$278,9,FALSE))+((1-(($Z$9-(X60/40)*($Z$9))))*Q60)</f>
        <v>283.7405881410757</v>
      </c>
      <c r="T60" s="81"/>
      <c r="U60" s="16"/>
      <c r="V60" s="16"/>
      <c r="W60" s="16"/>
      <c r="X60" s="16">
        <f>VLOOKUP(I60,FEDEX!$A$2:$H$270,4,FALSE)</f>
        <v>10</v>
      </c>
    </row>
    <row r="61" spans="1:28">
      <c r="A61" t="str">
        <f>DIST!A61</f>
        <v>Davis Riley</v>
      </c>
      <c r="B61">
        <f>VLOOKUP(Raw_Data4[[#This Row],[PLAYER NAME]],DIST!$A:$E,2,FALSE)</f>
        <v>59</v>
      </c>
      <c r="C61">
        <f>VLOOKUP(Raw_Data4[[#This Row],[PLAYER NAME]],ACC!$A:$E,2,FALSE)</f>
        <v>132</v>
      </c>
      <c r="D61">
        <f>VLOOKUP(Raw_Data4[[#This Row],[PLAYER NAME]],APP!$A:$E,2,FALSE)</f>
        <v>130</v>
      </c>
      <c r="E61">
        <f>VLOOKUP(Raw_Data4[[#This Row],[PLAYER NAME]],ARG!$A:$E,2,FALSE)</f>
        <v>126</v>
      </c>
      <c r="F61">
        <f>VLOOKUP(Raw_Data4[[#This Row],[PLAYER NAME]],PUTT!$A:$E,2,FALSE)</f>
        <v>104</v>
      </c>
      <c r="G61">
        <f>VLOOKUP(Raw_Data4[[#This Row],[PLAYER NAME]],SG!$A:$E,3,FALSE)</f>
        <v>171</v>
      </c>
      <c r="I61" s="34" t="str">
        <f>Raw_Data4[[#This Row],[PLAYER NAME]]</f>
        <v>Davis Riley</v>
      </c>
      <c r="J61">
        <f>Raw_Data4[[#This Row],[DIST]]</f>
        <v>59</v>
      </c>
      <c r="K61">
        <f>Raw_Data4[[#This Row],[ACC]]</f>
        <v>132</v>
      </c>
      <c r="L61">
        <f>Raw_Data4[[#This Row],[APP]]</f>
        <v>130</v>
      </c>
      <c r="M61">
        <f>Raw_Data4[[#This Row],[ARG]]</f>
        <v>126</v>
      </c>
      <c r="N61">
        <f>Raw_Data4[[#This Row],[PUTT]]</f>
        <v>104</v>
      </c>
      <c r="O61" s="22">
        <f>Raw_Data4[[#This Row],[SG]]</f>
        <v>171</v>
      </c>
      <c r="P61" s="34">
        <f t="shared" si="2"/>
        <v>312.5</v>
      </c>
      <c r="Q61" s="359">
        <f t="shared" si="3"/>
        <v>513.54806103558644</v>
      </c>
      <c r="R61" s="226">
        <f>(($Z$9-(X61/40)*($Z$9))*VLOOKUP($I61,'2023'!$A$2:$I$278,8,FALSE))+((1-(($Z$9-(X61/40)*($Z$9))))*P61)</f>
        <v>286.62111556051758</v>
      </c>
      <c r="S61" s="14">
        <f>(($Z$9-(X61/40)*($Z$9))*VLOOKUP($I61,'2023'!$A$2:$I$278,9,FALSE))+((1-(($Z$9-(X61/40)*($Z$9))))*Q61)</f>
        <v>460.85395292488732</v>
      </c>
      <c r="T61" s="81"/>
      <c r="U61" s="16"/>
      <c r="V61" s="16"/>
      <c r="W61" s="16"/>
      <c r="X61" s="16">
        <f>VLOOKUP(I61,FEDEX!$A$2:$H$270,4,FALSE)</f>
        <v>11</v>
      </c>
    </row>
    <row r="62" spans="1:28">
      <c r="A62" t="str">
        <f>DIST!A62</f>
        <v>Alex Smalley</v>
      </c>
      <c r="B62">
        <f>VLOOKUP(Raw_Data4[[#This Row],[PLAYER NAME]],DIST!$A:$E,2,FALSE)</f>
        <v>59</v>
      </c>
      <c r="C62">
        <f>VLOOKUP(Raw_Data4[[#This Row],[PLAYER NAME]],ACC!$A:$E,2,FALSE)</f>
        <v>148</v>
      </c>
      <c r="D62">
        <f>VLOOKUP(Raw_Data4[[#This Row],[PLAYER NAME]],APP!$A:$E,2,FALSE)</f>
        <v>116</v>
      </c>
      <c r="E62">
        <f>VLOOKUP(Raw_Data4[[#This Row],[PLAYER NAME]],ARG!$A:$E,2,FALSE)</f>
        <v>165</v>
      </c>
      <c r="F62">
        <f>VLOOKUP(Raw_Data4[[#This Row],[PLAYER NAME]],PUTT!$A:$E,2,FALSE)</f>
        <v>183</v>
      </c>
      <c r="G62">
        <f>VLOOKUP(Raw_Data4[[#This Row],[PLAYER NAME]],SG!$A:$E,3,FALSE)</f>
        <v>177</v>
      </c>
      <c r="I62" s="34" t="str">
        <f>Raw_Data4[[#This Row],[PLAYER NAME]]</f>
        <v>Alex Smalley</v>
      </c>
      <c r="J62">
        <f>Raw_Data4[[#This Row],[DIST]]</f>
        <v>59</v>
      </c>
      <c r="K62">
        <f>Raw_Data4[[#This Row],[ACC]]</f>
        <v>148</v>
      </c>
      <c r="L62">
        <f>Raw_Data4[[#This Row],[APP]]</f>
        <v>116</v>
      </c>
      <c r="M62">
        <f>Raw_Data4[[#This Row],[ARG]]</f>
        <v>165</v>
      </c>
      <c r="N62">
        <f>Raw_Data4[[#This Row],[PUTT]]</f>
        <v>183</v>
      </c>
      <c r="O62" s="22">
        <f>Raw_Data4[[#This Row],[SG]]</f>
        <v>177</v>
      </c>
      <c r="P62" s="34">
        <f t="shared" si="2"/>
        <v>365.79999999999995</v>
      </c>
      <c r="Q62" s="359">
        <f t="shared" si="3"/>
        <v>580.45123532696493</v>
      </c>
      <c r="R62" s="226">
        <f>(($Z$9-(X62/40)*($Z$9))*VLOOKUP($I62,'2023'!$A$2:$I$278,8,FALSE))+((1-(($Z$9-(X62/40)*($Z$9))))*P62)</f>
        <v>318.12313212879968</v>
      </c>
      <c r="S62" s="14">
        <f>(($Z$9-(X62/40)*($Z$9))*VLOOKUP($I62,'2023'!$A$2:$I$278,9,FALSE))+((1-(($Z$9-(X62/40)*($Z$9))))*Q62)</f>
        <v>463.27878454158395</v>
      </c>
      <c r="T62" s="81"/>
      <c r="U62" s="16"/>
      <c r="V62" s="16"/>
      <c r="W62" s="16"/>
      <c r="X62" s="16">
        <f>VLOOKUP(I62,FEDEX!$A$2:$H$270,4,FALSE)</f>
        <v>11</v>
      </c>
    </row>
    <row r="63" spans="1:28">
      <c r="A63" t="str">
        <f>DIST!A63</f>
        <v>Sahith Theegala</v>
      </c>
      <c r="B63">
        <f>VLOOKUP(Raw_Data4[[#This Row],[PLAYER NAME]],DIST!$A:$E,2,FALSE)</f>
        <v>59</v>
      </c>
      <c r="C63">
        <f>VLOOKUP(Raw_Data4[[#This Row],[PLAYER NAME]],ACC!$A:$E,2,FALSE)</f>
        <v>61</v>
      </c>
      <c r="D63">
        <f>VLOOKUP(Raw_Data4[[#This Row],[PLAYER NAME]],APP!$A:$E,2,FALSE)</f>
        <v>49</v>
      </c>
      <c r="E63">
        <f>VLOOKUP(Raw_Data4[[#This Row],[PLAYER NAME]],ARG!$A:$E,2,FALSE)</f>
        <v>108</v>
      </c>
      <c r="F63">
        <f>VLOOKUP(Raw_Data4[[#This Row],[PLAYER NAME]],PUTT!$A:$E,2,FALSE)</f>
        <v>13</v>
      </c>
      <c r="G63">
        <f>VLOOKUP(Raw_Data4[[#This Row],[PLAYER NAME]],SG!$A:$E,3,FALSE)</f>
        <v>5</v>
      </c>
      <c r="I63" s="34" t="str">
        <f>Raw_Data4[[#This Row],[PLAYER NAME]]</f>
        <v>Sahith Theegala</v>
      </c>
      <c r="J63">
        <f>Raw_Data4[[#This Row],[DIST]]</f>
        <v>59</v>
      </c>
      <c r="K63">
        <f>Raw_Data4[[#This Row],[ACC]]</f>
        <v>61</v>
      </c>
      <c r="L63">
        <f>Raw_Data4[[#This Row],[APP]]</f>
        <v>49</v>
      </c>
      <c r="M63">
        <f>Raw_Data4[[#This Row],[ARG]]</f>
        <v>108</v>
      </c>
      <c r="N63">
        <f>Raw_Data4[[#This Row],[PUTT]]</f>
        <v>13</v>
      </c>
      <c r="O63" s="22">
        <f>Raw_Data4[[#This Row],[SG]]</f>
        <v>5</v>
      </c>
      <c r="P63" s="34">
        <f t="shared" si="2"/>
        <v>167.6</v>
      </c>
      <c r="Q63" s="359">
        <f t="shared" si="3"/>
        <v>185.55834025909419</v>
      </c>
      <c r="R63" s="226">
        <f>(($Z$9-(X63/40)*($Z$9))*VLOOKUP($I63,'2023'!$A$2:$I$278,8,FALSE))+((1-(($Z$9-(X63/40)*($Z$9))))*P63)</f>
        <v>186.70026417847743</v>
      </c>
      <c r="S63" s="14">
        <f>(($Z$9-(X63/40)*($Z$9))*VLOOKUP($I63,'2023'!$A$2:$I$278,9,FALSE))+((1-(($Z$9-(X63/40)*($Z$9))))*Q63)</f>
        <v>211.02260397242617</v>
      </c>
      <c r="T63" s="81"/>
      <c r="U63" s="16"/>
      <c r="V63" s="16"/>
      <c r="W63" s="16"/>
      <c r="X63" s="16">
        <f>VLOOKUP(I63,FEDEX!$A$2:$H$270,4,FALSE)</f>
        <v>10</v>
      </c>
    </row>
    <row r="64" spans="1:28">
      <c r="A64" t="str">
        <f>DIST!A64</f>
        <v>Cameron Young</v>
      </c>
      <c r="B64">
        <f>VLOOKUP(Raw_Data4[[#This Row],[PLAYER NAME]],DIST!$A:$E,2,FALSE)</f>
        <v>59</v>
      </c>
      <c r="C64">
        <f>VLOOKUP(Raw_Data4[[#This Row],[PLAYER NAME]],ACC!$A:$E,2,FALSE)</f>
        <v>28</v>
      </c>
      <c r="D64">
        <f>VLOOKUP(Raw_Data4[[#This Row],[PLAYER NAME]],APP!$A:$E,2,FALSE)</f>
        <v>15</v>
      </c>
      <c r="E64">
        <f>VLOOKUP(Raw_Data4[[#This Row],[PLAYER NAME]],ARG!$A:$E,2,FALSE)</f>
        <v>133</v>
      </c>
      <c r="F64">
        <f>VLOOKUP(Raw_Data4[[#This Row],[PLAYER NAME]],PUTT!$A:$E,2,FALSE)</f>
        <v>115</v>
      </c>
      <c r="G64">
        <f>VLOOKUP(Raw_Data4[[#This Row],[PLAYER NAME]],SG!$A:$E,3,FALSE)</f>
        <v>30</v>
      </c>
      <c r="I64" s="34" t="str">
        <f>Raw_Data4[[#This Row],[PLAYER NAME]]</f>
        <v>Cameron Young</v>
      </c>
      <c r="J64">
        <f>Raw_Data4[[#This Row],[DIST]]</f>
        <v>59</v>
      </c>
      <c r="K64">
        <f>Raw_Data4[[#This Row],[ACC]]</f>
        <v>28</v>
      </c>
      <c r="L64">
        <f>Raw_Data4[[#This Row],[APP]]</f>
        <v>15</v>
      </c>
      <c r="M64">
        <f>Raw_Data4[[#This Row],[ARG]]</f>
        <v>133</v>
      </c>
      <c r="N64">
        <f>Raw_Data4[[#This Row],[PUTT]]</f>
        <v>115</v>
      </c>
      <c r="O64" s="22">
        <f>Raw_Data4[[#This Row],[SG]]</f>
        <v>30</v>
      </c>
      <c r="P64" s="34">
        <f t="shared" si="2"/>
        <v>188.3</v>
      </c>
      <c r="Q64" s="359">
        <f t="shared" si="3"/>
        <v>233.68654042943314</v>
      </c>
      <c r="R64" s="226">
        <f>(($Z$9-(X64/40)*($Z$9))*VLOOKUP($I64,'2023'!$A$2:$I$278,8,FALSE))+((1-(($Z$9-(X64/40)*($Z$9))))*P64)</f>
        <v>221.28356491557378</v>
      </c>
      <c r="S64" s="14">
        <f>(($Z$9-(X64/40)*($Z$9))*VLOOKUP($I64,'2023'!$A$2:$I$278,9,FALSE))+((1-(($Z$9-(X64/40)*($Z$9))))*Q64)</f>
        <v>302.46701461423402</v>
      </c>
      <c r="T64" s="81"/>
      <c r="U64" s="16"/>
      <c r="V64" s="16"/>
      <c r="W64" s="16"/>
      <c r="X64" s="16">
        <f>VLOOKUP(I64,FEDEX!$A$2:$H$270,4,FALSE)</f>
        <v>9</v>
      </c>
    </row>
    <row r="65" spans="1:24">
      <c r="A65" t="str">
        <f>DIST!A65</f>
        <v>Tyson Alexander</v>
      </c>
      <c r="B65">
        <f>VLOOKUP(Raw_Data4[[#This Row],[PLAYER NAME]],DIST!$A:$E,2,FALSE)</f>
        <v>64</v>
      </c>
      <c r="C65">
        <f>VLOOKUP(Raw_Data4[[#This Row],[PLAYER NAME]],ACC!$A:$E,2,FALSE)</f>
        <v>151</v>
      </c>
      <c r="D65">
        <f>VLOOKUP(Raw_Data4[[#This Row],[PLAYER NAME]],APP!$A:$E,2,FALSE)</f>
        <v>76</v>
      </c>
      <c r="E65">
        <f>VLOOKUP(Raw_Data4[[#This Row],[PLAYER NAME]],ARG!$A:$E,2,FALSE)</f>
        <v>57</v>
      </c>
      <c r="F65">
        <f>VLOOKUP(Raw_Data4[[#This Row],[PLAYER NAME]],PUTT!$A:$E,2,FALSE)</f>
        <v>49</v>
      </c>
      <c r="G65">
        <f>VLOOKUP(Raw_Data4[[#This Row],[PLAYER NAME]],SG!$A:$E,3,FALSE)</f>
        <v>68</v>
      </c>
      <c r="I65" s="34" t="str">
        <f>Raw_Data4[[#This Row],[PLAYER NAME]]</f>
        <v>Tyson Alexander</v>
      </c>
      <c r="J65">
        <f>Raw_Data4[[#This Row],[DIST]]</f>
        <v>64</v>
      </c>
      <c r="K65">
        <f>Raw_Data4[[#This Row],[ACC]]</f>
        <v>151</v>
      </c>
      <c r="L65">
        <f>Raw_Data4[[#This Row],[APP]]</f>
        <v>76</v>
      </c>
      <c r="M65">
        <f>Raw_Data4[[#This Row],[ARG]]</f>
        <v>57</v>
      </c>
      <c r="N65">
        <f>Raw_Data4[[#This Row],[PUTT]]</f>
        <v>49</v>
      </c>
      <c r="O65" s="22">
        <f>Raw_Data4[[#This Row],[SG]]</f>
        <v>68</v>
      </c>
      <c r="P65" s="34">
        <f t="shared" si="2"/>
        <v>233.6</v>
      </c>
      <c r="Q65" s="359">
        <f t="shared" si="3"/>
        <v>307.35678778198917</v>
      </c>
      <c r="R65" s="226">
        <f>(($Z$9-(X65/40)*($Z$9))*VLOOKUP($I65,'2023'!$A$2:$I$278,8,FALSE))+((1-(($Z$9-(X65/40)*($Z$9))))*P65)</f>
        <v>322.76888829413178</v>
      </c>
      <c r="S65" s="14">
        <f>(($Z$9-(X65/40)*($Z$9))*VLOOKUP($I65,'2023'!$A$2:$I$278,9,FALSE))+((1-(($Z$9-(X65/40)*($Z$9))))*Q65)</f>
        <v>457.10747049374527</v>
      </c>
      <c r="T65" s="81"/>
      <c r="U65" s="16"/>
      <c r="V65" s="16"/>
      <c r="W65" s="16"/>
      <c r="X65" s="16">
        <f>VLOOKUP(I65,FEDEX!$A$2:$H$270,4,FALSE)</f>
        <v>10</v>
      </c>
    </row>
    <row r="66" spans="1:24">
      <c r="A66" t="str">
        <f>DIST!A66</f>
        <v>Viktor Hovland</v>
      </c>
      <c r="B66">
        <f>VLOOKUP(Raw_Data4[[#This Row],[PLAYER NAME]],DIST!$A:$E,2,FALSE)</f>
        <v>65</v>
      </c>
      <c r="C66">
        <f>VLOOKUP(Raw_Data4[[#This Row],[PLAYER NAME]],ACC!$A:$E,2,FALSE)</f>
        <v>59</v>
      </c>
      <c r="D66">
        <f>VLOOKUP(Raw_Data4[[#This Row],[PLAYER NAME]],APP!$A:$E,2,FALSE)</f>
        <v>104</v>
      </c>
      <c r="E66">
        <f>VLOOKUP(Raw_Data4[[#This Row],[PLAYER NAME]],ARG!$A:$E,2,FALSE)</f>
        <v>183</v>
      </c>
      <c r="F66">
        <f>VLOOKUP(Raw_Data4[[#This Row],[PLAYER NAME]],PUTT!$A:$E,2,FALSE)</f>
        <v>58</v>
      </c>
      <c r="G66">
        <f>VLOOKUP(Raw_Data4[[#This Row],[PLAYER NAME]],SG!$A:$E,3,FALSE)</f>
        <v>119</v>
      </c>
      <c r="I66" s="34" t="str">
        <f>Raw_Data4[[#This Row],[PLAYER NAME]]</f>
        <v>Viktor Hovland</v>
      </c>
      <c r="J66">
        <f>Raw_Data4[[#This Row],[DIST]]</f>
        <v>65</v>
      </c>
      <c r="K66">
        <f>Raw_Data4[[#This Row],[ACC]]</f>
        <v>59</v>
      </c>
      <c r="L66">
        <f>Raw_Data4[[#This Row],[APP]]</f>
        <v>104</v>
      </c>
      <c r="M66">
        <f>Raw_Data4[[#This Row],[ARG]]</f>
        <v>183</v>
      </c>
      <c r="N66">
        <f>Raw_Data4[[#This Row],[PUTT]]</f>
        <v>58</v>
      </c>
      <c r="O66" s="22">
        <f>Raw_Data4[[#This Row],[SG]]</f>
        <v>119</v>
      </c>
      <c r="P66" s="34">
        <f t="shared" ref="P66:P97" si="4">$Z$2*J66+$AA$2*K66+$AB$2*L66+$AC$2*M66+$AD$2*N66</f>
        <v>263</v>
      </c>
      <c r="Q66" s="359">
        <f t="shared" ref="Q66:Q97" si="5">$Z$5*J66+$AA$5*K66+$AB$5*L66+$AC$5*M66+$AD$5*N66+$AE$5*O66</f>
        <v>417.36238905311956</v>
      </c>
      <c r="R66" s="226">
        <f>(($Z$9-(X66/40)*($Z$9))*VLOOKUP($I66,'2023'!$A$2:$I$278,8,FALSE))+((1-(($Z$9-(X66/40)*($Z$9))))*P66)</f>
        <v>184.63914978278203</v>
      </c>
      <c r="S66" s="14">
        <f>(($Z$9-(X66/40)*($Z$9))*VLOOKUP($I66,'2023'!$A$2:$I$278,9,FALSE))+((1-(($Z$9-(X66/40)*($Z$9))))*Q66)</f>
        <v>258.3155238374826</v>
      </c>
      <c r="T66" s="81"/>
      <c r="U66" s="16"/>
      <c r="V66" s="16"/>
      <c r="W66" s="16"/>
      <c r="X66" s="16">
        <f>VLOOKUP(I66,FEDEX!$A$2:$H$270,4,FALSE)</f>
        <v>6</v>
      </c>
    </row>
    <row r="67" spans="1:24">
      <c r="A67" t="str">
        <f>DIST!A67</f>
        <v>David Skinns</v>
      </c>
      <c r="B67">
        <f>VLOOKUP(Raw_Data4[[#This Row],[PLAYER NAME]],DIST!$A:$E,2,FALSE)</f>
        <v>66</v>
      </c>
      <c r="C67">
        <f>VLOOKUP(Raw_Data4[[#This Row],[PLAYER NAME]],ACC!$A:$E,2,FALSE)</f>
        <v>149</v>
      </c>
      <c r="D67">
        <f>VLOOKUP(Raw_Data4[[#This Row],[PLAYER NAME]],APP!$A:$E,2,FALSE)</f>
        <v>91</v>
      </c>
      <c r="E67">
        <f>VLOOKUP(Raw_Data4[[#This Row],[PLAYER NAME]],ARG!$A:$E,2,FALSE)</f>
        <v>66</v>
      </c>
      <c r="F67">
        <f>VLOOKUP(Raw_Data4[[#This Row],[PLAYER NAME]],PUTT!$A:$E,2,FALSE)</f>
        <v>108</v>
      </c>
      <c r="G67">
        <f>VLOOKUP(Raw_Data4[[#This Row],[PLAYER NAME]],SG!$A:$E,3,FALSE)</f>
        <v>99</v>
      </c>
      <c r="I67" s="34" t="str">
        <f>Raw_Data4[[#This Row],[PLAYER NAME]]</f>
        <v>David Skinns</v>
      </c>
      <c r="J67">
        <f>Raw_Data4[[#This Row],[DIST]]</f>
        <v>66</v>
      </c>
      <c r="K67">
        <f>Raw_Data4[[#This Row],[ACC]]</f>
        <v>149</v>
      </c>
      <c r="L67">
        <f>Raw_Data4[[#This Row],[APP]]</f>
        <v>91</v>
      </c>
      <c r="M67">
        <f>Raw_Data4[[#This Row],[ARG]]</f>
        <v>66</v>
      </c>
      <c r="N67">
        <f>Raw_Data4[[#This Row],[PUTT]]</f>
        <v>108</v>
      </c>
      <c r="O67" s="22">
        <f>Raw_Data4[[#This Row],[SG]]</f>
        <v>99</v>
      </c>
      <c r="P67" s="34">
        <f t="shared" si="4"/>
        <v>278</v>
      </c>
      <c r="Q67" s="359">
        <f t="shared" si="5"/>
        <v>387.43018894044076</v>
      </c>
      <c r="R67" s="226" t="e">
        <f>(($Z$9-(X67/40)*($Z$9))*VLOOKUP($I67,'2023'!$A$2:$I$278,8,FALSE))+((1-(($Z$9-(X67/40)*($Z$9))))*P67)</f>
        <v>#N/A</v>
      </c>
      <c r="S67" s="14" t="e">
        <f>(($Z$9-(X67/40)*($Z$9))*VLOOKUP($I67,'2023'!$A$2:$I$278,9,FALSE))+((1-(($Z$9-(X67/40)*($Z$9))))*Q67)</f>
        <v>#N/A</v>
      </c>
      <c r="T67" s="81"/>
      <c r="U67" s="16"/>
      <c r="V67" s="16"/>
      <c r="W67" s="16"/>
      <c r="X67" s="16">
        <f>VLOOKUP(I67,FEDEX!$A$2:$H$270,4,FALSE)</f>
        <v>10</v>
      </c>
    </row>
    <row r="68" spans="1:24">
      <c r="A68" t="str">
        <f>DIST!A68</f>
        <v>Max Homa</v>
      </c>
      <c r="B68">
        <f>VLOOKUP(Raw_Data4[[#This Row],[PLAYER NAME]],DIST!$A:$E,2,FALSE)</f>
        <v>67</v>
      </c>
      <c r="C68">
        <f>VLOOKUP(Raw_Data4[[#This Row],[PLAYER NAME]],ACC!$A:$E,2,FALSE)</f>
        <v>63</v>
      </c>
      <c r="D68">
        <f>VLOOKUP(Raw_Data4[[#This Row],[PLAYER NAME]],APP!$A:$E,2,FALSE)</f>
        <v>54</v>
      </c>
      <c r="E68">
        <f>VLOOKUP(Raw_Data4[[#This Row],[PLAYER NAME]],ARG!$A:$E,2,FALSE)</f>
        <v>48</v>
      </c>
      <c r="F68">
        <f>VLOOKUP(Raw_Data4[[#This Row],[PLAYER NAME]],PUTT!$A:$E,2,FALSE)</f>
        <v>51</v>
      </c>
      <c r="G68">
        <f>VLOOKUP(Raw_Data4[[#This Row],[PLAYER NAME]],SG!$A:$E,3,FALSE)</f>
        <v>37</v>
      </c>
      <c r="I68" s="34" t="str">
        <f>Raw_Data4[[#This Row],[PLAYER NAME]]</f>
        <v>Max Homa</v>
      </c>
      <c r="J68">
        <f>Raw_Data4[[#This Row],[DIST]]</f>
        <v>67</v>
      </c>
      <c r="K68">
        <f>Raw_Data4[[#This Row],[ACC]]</f>
        <v>63</v>
      </c>
      <c r="L68">
        <f>Raw_Data4[[#This Row],[APP]]</f>
        <v>54</v>
      </c>
      <c r="M68">
        <f>Raw_Data4[[#This Row],[ARG]]</f>
        <v>48</v>
      </c>
      <c r="N68">
        <f>Raw_Data4[[#This Row],[PUTT]]</f>
        <v>51</v>
      </c>
      <c r="O68" s="22">
        <f>Raw_Data4[[#This Row],[SG]]</f>
        <v>37</v>
      </c>
      <c r="P68" s="34">
        <f t="shared" si="4"/>
        <v>174.3</v>
      </c>
      <c r="Q68" s="359">
        <f t="shared" si="5"/>
        <v>211.37118139571558</v>
      </c>
      <c r="R68" s="226">
        <f>(($Z$9-(X68/40)*($Z$9))*VLOOKUP($I68,'2023'!$A$2:$I$278,8,FALSE))+((1-(($Z$9-(X68/40)*($Z$9))))*P68)</f>
        <v>154.29706385765206</v>
      </c>
      <c r="S68" s="14">
        <f>(($Z$9-(X68/40)*($Z$9))*VLOOKUP($I68,'2023'!$A$2:$I$278,9,FALSE))+((1-(($Z$9-(X68/40)*($Z$9))))*Q68)</f>
        <v>172.93720735765584</v>
      </c>
      <c r="T68" s="81"/>
      <c r="U68" s="16"/>
      <c r="V68" s="16"/>
      <c r="W68" s="16"/>
      <c r="X68" s="16">
        <f>VLOOKUP(I68,FEDEX!$A$2:$H$270,4,FALSE)</f>
        <v>9</v>
      </c>
    </row>
    <row r="69" spans="1:24">
      <c r="A69" t="str">
        <f>DIST!A69</f>
        <v>Matt Wallace</v>
      </c>
      <c r="B69">
        <f>VLOOKUP(Raw_Data4[[#This Row],[PLAYER NAME]],DIST!$A:$E,2,FALSE)</f>
        <v>67</v>
      </c>
      <c r="C69">
        <f>VLOOKUP(Raw_Data4[[#This Row],[PLAYER NAME]],ACC!$A:$E,2,FALSE)</f>
        <v>174</v>
      </c>
      <c r="D69">
        <f>VLOOKUP(Raw_Data4[[#This Row],[PLAYER NAME]],APP!$A:$E,2,FALSE)</f>
        <v>96</v>
      </c>
      <c r="E69">
        <f>VLOOKUP(Raw_Data4[[#This Row],[PLAYER NAME]],ARG!$A:$E,2,FALSE)</f>
        <v>82</v>
      </c>
      <c r="F69">
        <f>VLOOKUP(Raw_Data4[[#This Row],[PLAYER NAME]],PUTT!$A:$E,2,FALSE)</f>
        <v>53</v>
      </c>
      <c r="G69">
        <f>VLOOKUP(Raw_Data4[[#This Row],[PLAYER NAME]],SG!$A:$E,3,FALSE)</f>
        <v>121</v>
      </c>
      <c r="I69" s="34" t="str">
        <f>Raw_Data4[[#This Row],[PLAYER NAME]]</f>
        <v>Matt Wallace</v>
      </c>
      <c r="J69">
        <f>Raw_Data4[[#This Row],[DIST]]</f>
        <v>67</v>
      </c>
      <c r="K69">
        <f>Raw_Data4[[#This Row],[ACC]]</f>
        <v>174</v>
      </c>
      <c r="L69">
        <f>Raw_Data4[[#This Row],[APP]]</f>
        <v>96</v>
      </c>
      <c r="M69">
        <f>Raw_Data4[[#This Row],[ARG]]</f>
        <v>82</v>
      </c>
      <c r="N69">
        <f>Raw_Data4[[#This Row],[PUTT]]</f>
        <v>53</v>
      </c>
      <c r="O69" s="22">
        <f>Raw_Data4[[#This Row],[SG]]</f>
        <v>121</v>
      </c>
      <c r="P69" s="34">
        <f t="shared" si="4"/>
        <v>273.8</v>
      </c>
      <c r="Q69" s="359">
        <f t="shared" si="5"/>
        <v>407.73650798559868</v>
      </c>
      <c r="R69" s="226">
        <f>(($Z$9-(X69/40)*($Z$9))*VLOOKUP($I69,'2023'!$A$2:$I$278,8,FALSE))+((1-(($Z$9-(X69/40)*($Z$9))))*P69)</f>
        <v>269.57837826782981</v>
      </c>
      <c r="S69" s="14">
        <f>(($Z$9-(X69/40)*($Z$9))*VLOOKUP($I69,'2023'!$A$2:$I$278,9,FALSE))+((1-(($Z$9-(X69/40)*($Z$9))))*Q69)</f>
        <v>389.41322210160456</v>
      </c>
      <c r="T69" s="81"/>
      <c r="U69" s="16"/>
      <c r="V69" s="16"/>
      <c r="W69" s="16"/>
      <c r="X69" s="16">
        <f>VLOOKUP(I69,FEDEX!$A$2:$H$270,4,FALSE)</f>
        <v>10</v>
      </c>
    </row>
    <row r="70" spans="1:24">
      <c r="A70" t="str">
        <f>DIST!A70</f>
        <v>Erik Barnes</v>
      </c>
      <c r="B70">
        <f>VLOOKUP(Raw_Data4[[#This Row],[PLAYER NAME]],DIST!$A:$E,2,FALSE)</f>
        <v>69</v>
      </c>
      <c r="C70">
        <f>VLOOKUP(Raw_Data4[[#This Row],[PLAYER NAME]],ACC!$A:$E,2,FALSE)</f>
        <v>124</v>
      </c>
      <c r="D70">
        <f>VLOOKUP(Raw_Data4[[#This Row],[PLAYER NAME]],APP!$A:$E,2,FALSE)</f>
        <v>88</v>
      </c>
      <c r="E70">
        <f>VLOOKUP(Raw_Data4[[#This Row],[PLAYER NAME]],ARG!$A:$E,2,FALSE)</f>
        <v>69</v>
      </c>
      <c r="F70">
        <f>VLOOKUP(Raw_Data4[[#This Row],[PLAYER NAME]],PUTT!$A:$E,2,FALSE)</f>
        <v>83</v>
      </c>
      <c r="G70">
        <f>VLOOKUP(Raw_Data4[[#This Row],[PLAYER NAME]],SG!$A:$E,3,FALSE)</f>
        <v>106</v>
      </c>
      <c r="I70" s="34" t="str">
        <f>Raw_Data4[[#This Row],[PLAYER NAME]]</f>
        <v>Erik Barnes</v>
      </c>
      <c r="J70">
        <f>Raw_Data4[[#This Row],[DIST]]</f>
        <v>69</v>
      </c>
      <c r="K70">
        <f>Raw_Data4[[#This Row],[ACC]]</f>
        <v>124</v>
      </c>
      <c r="L70">
        <f>Raw_Data4[[#This Row],[APP]]</f>
        <v>88</v>
      </c>
      <c r="M70">
        <f>Raw_Data4[[#This Row],[ARG]]</f>
        <v>69</v>
      </c>
      <c r="N70">
        <f>Raw_Data4[[#This Row],[PUTT]]</f>
        <v>83</v>
      </c>
      <c r="O70" s="22">
        <f>Raw_Data4[[#This Row],[SG]]</f>
        <v>106</v>
      </c>
      <c r="P70" s="34">
        <f t="shared" si="4"/>
        <v>254.79999999999998</v>
      </c>
      <c r="Q70" s="359">
        <f t="shared" si="5"/>
        <v>370.07499935387017</v>
      </c>
      <c r="R70" s="226" t="e">
        <f>(($Z$9-(X70/40)*($Z$9))*VLOOKUP($I70,'2023'!$A$2:$I$278,8,FALSE))+((1-(($Z$9-(X70/40)*($Z$9))))*P70)</f>
        <v>#N/A</v>
      </c>
      <c r="S70" s="14" t="e">
        <f>(($Z$9-(X70/40)*($Z$9))*VLOOKUP($I70,'2023'!$A$2:$I$278,9,FALSE))+((1-(($Z$9-(X70/40)*($Z$9))))*Q70)</f>
        <v>#N/A</v>
      </c>
      <c r="T70" s="81"/>
      <c r="U70" s="16"/>
      <c r="V70" s="16"/>
      <c r="W70" s="16"/>
      <c r="X70" s="16">
        <f>VLOOKUP(I70,FEDEX!$A$2:$H$270,4,FALSE)</f>
        <v>7</v>
      </c>
    </row>
    <row r="71" spans="1:24">
      <c r="A71" t="str">
        <f>DIST!A71</f>
        <v>Ryan Palmer</v>
      </c>
      <c r="B71">
        <f>VLOOKUP(Raw_Data4[[#This Row],[PLAYER NAME]],DIST!$A:$E,2,FALSE)</f>
        <v>69</v>
      </c>
      <c r="C71">
        <f>VLOOKUP(Raw_Data4[[#This Row],[PLAYER NAME]],ACC!$A:$E,2,FALSE)</f>
        <v>51</v>
      </c>
      <c r="D71">
        <f>VLOOKUP(Raw_Data4[[#This Row],[PLAYER NAME]],APP!$A:$E,2,FALSE)</f>
        <v>111</v>
      </c>
      <c r="E71">
        <f>VLOOKUP(Raw_Data4[[#This Row],[PLAYER NAME]],ARG!$A:$E,2,FALSE)</f>
        <v>106</v>
      </c>
      <c r="F71">
        <f>VLOOKUP(Raw_Data4[[#This Row],[PLAYER NAME]],PUTT!$A:$E,2,FALSE)</f>
        <v>174</v>
      </c>
      <c r="G71">
        <f>VLOOKUP(Raw_Data4[[#This Row],[PLAYER NAME]],SG!$A:$E,3,FALSE)</f>
        <v>146</v>
      </c>
      <c r="I71" s="34" t="str">
        <f>Raw_Data4[[#This Row],[PLAYER NAME]]</f>
        <v>Ryan Palmer</v>
      </c>
      <c r="J71">
        <f>Raw_Data4[[#This Row],[DIST]]</f>
        <v>69</v>
      </c>
      <c r="K71">
        <f>Raw_Data4[[#This Row],[ACC]]</f>
        <v>51</v>
      </c>
      <c r="L71">
        <f>Raw_Data4[[#This Row],[APP]]</f>
        <v>111</v>
      </c>
      <c r="M71">
        <f>Raw_Data4[[#This Row],[ARG]]</f>
        <v>106</v>
      </c>
      <c r="N71">
        <f>Raw_Data4[[#This Row],[PUTT]]</f>
        <v>174</v>
      </c>
      <c r="O71" s="22">
        <f>Raw_Data4[[#This Row],[SG]]</f>
        <v>146</v>
      </c>
      <c r="P71" s="34">
        <f t="shared" si="4"/>
        <v>294.7</v>
      </c>
      <c r="Q71" s="359">
        <f t="shared" si="5"/>
        <v>462.76602714336951</v>
      </c>
      <c r="R71" s="226">
        <f>(($Z$9-(X71/40)*($Z$9))*VLOOKUP($I71,'2023'!$A$2:$I$278,8,FALSE))+((1-(($Z$9-(X71/40)*($Z$9))))*P71)</f>
        <v>297.07852346373488</v>
      </c>
      <c r="S71" s="14">
        <f>(($Z$9-(X71/40)*($Z$9))*VLOOKUP($I71,'2023'!$A$2:$I$278,9,FALSE))+((1-(($Z$9-(X71/40)*($Z$9))))*Q71)</f>
        <v>444.41967168407621</v>
      </c>
      <c r="T71" s="81"/>
      <c r="U71" s="16"/>
      <c r="V71" s="16"/>
      <c r="W71" s="16"/>
      <c r="X71" s="16">
        <f>VLOOKUP(I71,FEDEX!$A$2:$H$270,4,FALSE)</f>
        <v>7</v>
      </c>
    </row>
    <row r="72" spans="1:24">
      <c r="A72" t="str">
        <f>DIST!A72</f>
        <v>Adam Schenk</v>
      </c>
      <c r="B72">
        <f>VLOOKUP(Raw_Data4[[#This Row],[PLAYER NAME]],DIST!$A:$E,2,FALSE)</f>
        <v>71</v>
      </c>
      <c r="C72">
        <f>VLOOKUP(Raw_Data4[[#This Row],[PLAYER NAME]],ACC!$A:$E,2,FALSE)</f>
        <v>39</v>
      </c>
      <c r="D72">
        <f>VLOOKUP(Raw_Data4[[#This Row],[PLAYER NAME]],APP!$A:$E,2,FALSE)</f>
        <v>153</v>
      </c>
      <c r="E72">
        <f>VLOOKUP(Raw_Data4[[#This Row],[PLAYER NAME]],ARG!$A:$E,2,FALSE)</f>
        <v>28</v>
      </c>
      <c r="F72">
        <f>VLOOKUP(Raw_Data4[[#This Row],[PLAYER NAME]],PUTT!$A:$E,2,FALSE)</f>
        <v>38</v>
      </c>
      <c r="G72">
        <f>VLOOKUP(Raw_Data4[[#This Row],[PLAYER NAME]],SG!$A:$E,3,FALSE)</f>
        <v>47</v>
      </c>
      <c r="I72" s="34" t="str">
        <f>Raw_Data4[[#This Row],[PLAYER NAME]]</f>
        <v>Adam Schenk</v>
      </c>
      <c r="J72">
        <f>Raw_Data4[[#This Row],[DIST]]</f>
        <v>71</v>
      </c>
      <c r="K72">
        <f>Raw_Data4[[#This Row],[ACC]]</f>
        <v>39</v>
      </c>
      <c r="L72">
        <f>Raw_Data4[[#This Row],[APP]]</f>
        <v>153</v>
      </c>
      <c r="M72">
        <f>Raw_Data4[[#This Row],[ARG]]</f>
        <v>28</v>
      </c>
      <c r="N72">
        <f>Raw_Data4[[#This Row],[PUTT]]</f>
        <v>38</v>
      </c>
      <c r="O72" s="22">
        <f>Raw_Data4[[#This Row],[SG]]</f>
        <v>47</v>
      </c>
      <c r="P72" s="34">
        <f t="shared" si="4"/>
        <v>220.7</v>
      </c>
      <c r="Q72" s="359">
        <f t="shared" si="5"/>
        <v>276.45803554651491</v>
      </c>
      <c r="R72" s="226">
        <f>(($Z$9-(X72/40)*($Z$9))*VLOOKUP($I72,'2023'!$A$2:$I$278,8,FALSE))+((1-(($Z$9-(X72/40)*($Z$9))))*P72)</f>
        <v>221.0844078325228</v>
      </c>
      <c r="S72" s="14">
        <f>(($Z$9-(X72/40)*($Z$9))*VLOOKUP($I72,'2023'!$A$2:$I$278,9,FALSE))+((1-(($Z$9-(X72/40)*($Z$9))))*Q72)</f>
        <v>277.16335954042739</v>
      </c>
      <c r="T72" s="81"/>
      <c r="U72" s="16"/>
      <c r="V72" s="16"/>
      <c r="W72" s="16"/>
      <c r="X72" s="16">
        <f>VLOOKUP(I72,FEDEX!$A$2:$H$270,4,FALSE)</f>
        <v>12</v>
      </c>
    </row>
    <row r="73" spans="1:24">
      <c r="A73" t="str">
        <f>DIST!A73</f>
        <v>Nick Hardy</v>
      </c>
      <c r="B73">
        <f>VLOOKUP(Raw_Data4[[#This Row],[PLAYER NAME]],DIST!$A:$E,2,FALSE)</f>
        <v>72</v>
      </c>
      <c r="C73">
        <f>VLOOKUP(Raw_Data4[[#This Row],[PLAYER NAME]],ACC!$A:$E,2,FALSE)</f>
        <v>145</v>
      </c>
      <c r="D73">
        <f>VLOOKUP(Raw_Data4[[#This Row],[PLAYER NAME]],APP!$A:$E,2,FALSE)</f>
        <v>120</v>
      </c>
      <c r="E73">
        <f>VLOOKUP(Raw_Data4[[#This Row],[PLAYER NAME]],ARG!$A:$E,2,FALSE)</f>
        <v>172</v>
      </c>
      <c r="F73">
        <f>VLOOKUP(Raw_Data4[[#This Row],[PLAYER NAME]],PUTT!$A:$E,2,FALSE)</f>
        <v>74</v>
      </c>
      <c r="G73">
        <f>VLOOKUP(Raw_Data4[[#This Row],[PLAYER NAME]],SG!$A:$E,3,FALSE)</f>
        <v>134</v>
      </c>
      <c r="I73" s="34" t="str">
        <f>Raw_Data4[[#This Row],[PLAYER NAME]]</f>
        <v>Nick Hardy</v>
      </c>
      <c r="J73">
        <f>Raw_Data4[[#This Row],[DIST]]</f>
        <v>72</v>
      </c>
      <c r="K73">
        <f>Raw_Data4[[#This Row],[ACC]]</f>
        <v>145</v>
      </c>
      <c r="L73">
        <f>Raw_Data4[[#This Row],[APP]]</f>
        <v>120</v>
      </c>
      <c r="M73">
        <f>Raw_Data4[[#This Row],[ARG]]</f>
        <v>172</v>
      </c>
      <c r="N73">
        <f>Raw_Data4[[#This Row],[PUTT]]</f>
        <v>74</v>
      </c>
      <c r="O73" s="22">
        <f>Raw_Data4[[#This Row],[SG]]</f>
        <v>134</v>
      </c>
      <c r="P73" s="34">
        <f t="shared" si="4"/>
        <v>327.10000000000002</v>
      </c>
      <c r="Q73" s="359">
        <f t="shared" si="5"/>
        <v>494.85744914130032</v>
      </c>
      <c r="R73" s="226">
        <f>(($Z$9-(X73/40)*($Z$9))*VLOOKUP($I73,'2023'!$A$2:$I$278,8,FALSE))+((1-(($Z$9-(X73/40)*($Z$9))))*P73)</f>
        <v>287.93330374255254</v>
      </c>
      <c r="S73" s="14">
        <f>(($Z$9-(X73/40)*($Z$9))*VLOOKUP($I73,'2023'!$A$2:$I$278,9,FALSE))+((1-(($Z$9-(X73/40)*($Z$9))))*Q73)</f>
        <v>436.62933056471149</v>
      </c>
      <c r="T73" s="81"/>
      <c r="U73" s="16"/>
      <c r="V73" s="16"/>
      <c r="W73" s="16"/>
      <c r="X73" s="16">
        <f>VLOOKUP(I73,FEDEX!$A$2:$H$270,4,FALSE)</f>
        <v>11</v>
      </c>
    </row>
    <row r="74" spans="1:24">
      <c r="A74" t="str">
        <f>DIST!A74</f>
        <v>Charley Hoffman</v>
      </c>
      <c r="B74">
        <f>VLOOKUP(Raw_Data4[[#This Row],[PLAYER NAME]],DIST!$A:$E,2,FALSE)</f>
        <v>72</v>
      </c>
      <c r="C74">
        <f>VLOOKUP(Raw_Data4[[#This Row],[PLAYER NAME]],ACC!$A:$E,2,FALSE)</f>
        <v>157</v>
      </c>
      <c r="D74">
        <f>VLOOKUP(Raw_Data4[[#This Row],[PLAYER NAME]],APP!$A:$E,2,FALSE)</f>
        <v>78</v>
      </c>
      <c r="E74">
        <f>VLOOKUP(Raw_Data4[[#This Row],[PLAYER NAME]],ARG!$A:$E,2,FALSE)</f>
        <v>96</v>
      </c>
      <c r="F74">
        <f>VLOOKUP(Raw_Data4[[#This Row],[PLAYER NAME]],PUTT!$A:$E,2,FALSE)</f>
        <v>110</v>
      </c>
      <c r="G74">
        <f>VLOOKUP(Raw_Data4[[#This Row],[PLAYER NAME]],SG!$A:$E,3,FALSE)</f>
        <v>93</v>
      </c>
      <c r="I74" s="34" t="str">
        <f>Raw_Data4[[#This Row],[PLAYER NAME]]</f>
        <v>Charley Hoffman</v>
      </c>
      <c r="J74">
        <f>Raw_Data4[[#This Row],[DIST]]</f>
        <v>72</v>
      </c>
      <c r="K74">
        <f>Raw_Data4[[#This Row],[ACC]]</f>
        <v>157</v>
      </c>
      <c r="L74">
        <f>Raw_Data4[[#This Row],[APP]]</f>
        <v>78</v>
      </c>
      <c r="M74">
        <f>Raw_Data4[[#This Row],[ARG]]</f>
        <v>96</v>
      </c>
      <c r="N74">
        <f>Raw_Data4[[#This Row],[PUTT]]</f>
        <v>110</v>
      </c>
      <c r="O74" s="22">
        <f>Raw_Data4[[#This Row],[SG]]</f>
        <v>93</v>
      </c>
      <c r="P74" s="34">
        <f t="shared" si="4"/>
        <v>291.3</v>
      </c>
      <c r="Q74" s="359">
        <f t="shared" si="5"/>
        <v>397.36569396029262</v>
      </c>
      <c r="R74" s="226">
        <f>(($Z$9-(X74/40)*($Z$9))*VLOOKUP($I74,'2023'!$A$2:$I$278,8,FALSE))+((1-(($Z$9-(X74/40)*($Z$9))))*P74)</f>
        <v>284.01169613962321</v>
      </c>
      <c r="S74" s="14">
        <f>(($Z$9-(X74/40)*($Z$9))*VLOOKUP($I74,'2023'!$A$2:$I$278,9,FALSE))+((1-(($Z$9-(X74/40)*($Z$9))))*Q74)</f>
        <v>406.53356560483229</v>
      </c>
      <c r="T74" s="81"/>
      <c r="U74" s="16"/>
      <c r="V74" s="16"/>
      <c r="W74" s="16"/>
      <c r="X74" s="16">
        <f>VLOOKUP(I74,FEDEX!$A$2:$H$270,4,FALSE)</f>
        <v>9</v>
      </c>
    </row>
    <row r="75" spans="1:24">
      <c r="A75" t="str">
        <f>DIST!A75</f>
        <v>Jason Day</v>
      </c>
      <c r="B75">
        <f>VLOOKUP(Raw_Data4[[#This Row],[PLAYER NAME]],DIST!$A:$E,2,FALSE)</f>
        <v>74</v>
      </c>
      <c r="C75">
        <f>VLOOKUP(Raw_Data4[[#This Row],[PLAYER NAME]],ACC!$A:$E,2,FALSE)</f>
        <v>34</v>
      </c>
      <c r="D75">
        <f>VLOOKUP(Raw_Data4[[#This Row],[PLAYER NAME]],APP!$A:$E,2,FALSE)</f>
        <v>141</v>
      </c>
      <c r="E75">
        <f>VLOOKUP(Raw_Data4[[#This Row],[PLAYER NAME]],ARG!$A:$E,2,FALSE)</f>
        <v>9</v>
      </c>
      <c r="F75">
        <f>VLOOKUP(Raw_Data4[[#This Row],[PLAYER NAME]],PUTT!$A:$E,2,FALSE)</f>
        <v>43</v>
      </c>
      <c r="G75">
        <f>VLOOKUP(Raw_Data4[[#This Row],[PLAYER NAME]],SG!$A:$E,3,FALSE)</f>
        <v>34</v>
      </c>
      <c r="I75" s="34" t="str">
        <f>Raw_Data4[[#This Row],[PLAYER NAME]]</f>
        <v>Jason Day</v>
      </c>
      <c r="J75">
        <f>Raw_Data4[[#This Row],[DIST]]</f>
        <v>74</v>
      </c>
      <c r="K75">
        <f>Raw_Data4[[#This Row],[ACC]]</f>
        <v>34</v>
      </c>
      <c r="L75">
        <f>Raw_Data4[[#This Row],[APP]]</f>
        <v>141</v>
      </c>
      <c r="M75">
        <f>Raw_Data4[[#This Row],[ARG]]</f>
        <v>9</v>
      </c>
      <c r="N75">
        <f>Raw_Data4[[#This Row],[PUTT]]</f>
        <v>43</v>
      </c>
      <c r="O75" s="22">
        <f>Raw_Data4[[#This Row],[SG]]</f>
        <v>34</v>
      </c>
      <c r="P75" s="34">
        <f t="shared" si="4"/>
        <v>207.4</v>
      </c>
      <c r="Q75" s="359">
        <f t="shared" si="5"/>
        <v>243.86700726664148</v>
      </c>
      <c r="R75" s="226">
        <f>(($Z$9-(X75/40)*($Z$9))*VLOOKUP($I75,'2023'!$A$2:$I$278,8,FALSE))+((1-(($Z$9-(X75/40)*($Z$9))))*P75)</f>
        <v>207.13400350874537</v>
      </c>
      <c r="S75" s="14">
        <f>(($Z$9-(X75/40)*($Z$9))*VLOOKUP($I75,'2023'!$A$2:$I$278,9,FALSE))+((1-(($Z$9-(X75/40)*($Z$9))))*Q75)</f>
        <v>241.97932107638263</v>
      </c>
      <c r="T75" s="81"/>
      <c r="U75" s="16"/>
      <c r="V75" s="16"/>
      <c r="W75" s="16"/>
      <c r="X75" s="16">
        <f>VLOOKUP(I75,FEDEX!$A$2:$H$270,4,FALSE)</f>
        <v>9</v>
      </c>
    </row>
    <row r="76" spans="1:24">
      <c r="A76" t="str">
        <f>DIST!A76</f>
        <v>K.H. Lee</v>
      </c>
      <c r="B76">
        <f>VLOOKUP(Raw_Data4[[#This Row],[PLAYER NAME]],DIST!$A:$E,2,FALSE)</f>
        <v>75</v>
      </c>
      <c r="C76">
        <f>VLOOKUP(Raw_Data4[[#This Row],[PLAYER NAME]],ACC!$A:$E,2,FALSE)</f>
        <v>93</v>
      </c>
      <c r="D76">
        <f>VLOOKUP(Raw_Data4[[#This Row],[PLAYER NAME]],APP!$A:$E,2,FALSE)</f>
        <v>135</v>
      </c>
      <c r="E76">
        <f>VLOOKUP(Raw_Data4[[#This Row],[PLAYER NAME]],ARG!$A:$E,2,FALSE)</f>
        <v>42</v>
      </c>
      <c r="F76">
        <f>VLOOKUP(Raw_Data4[[#This Row],[PLAYER NAME]],PUTT!$A:$E,2,FALSE)</f>
        <v>84</v>
      </c>
      <c r="G76">
        <f>VLOOKUP(Raw_Data4[[#This Row],[PLAYER NAME]],SG!$A:$E,3,FALSE)</f>
        <v>77</v>
      </c>
      <c r="I76" s="34" t="str">
        <f>Raw_Data4[[#This Row],[PLAYER NAME]]</f>
        <v>K.H. Lee</v>
      </c>
      <c r="J76">
        <f>Raw_Data4[[#This Row],[DIST]]</f>
        <v>75</v>
      </c>
      <c r="K76">
        <f>Raw_Data4[[#This Row],[ACC]]</f>
        <v>93</v>
      </c>
      <c r="L76">
        <f>Raw_Data4[[#This Row],[APP]]</f>
        <v>135</v>
      </c>
      <c r="M76">
        <f>Raw_Data4[[#This Row],[ARG]]</f>
        <v>42</v>
      </c>
      <c r="N76">
        <f>Raw_Data4[[#This Row],[PUTT]]</f>
        <v>84</v>
      </c>
      <c r="O76" s="22">
        <f>Raw_Data4[[#This Row],[SG]]</f>
        <v>77</v>
      </c>
      <c r="P76" s="34">
        <f t="shared" si="4"/>
        <v>267.3</v>
      </c>
      <c r="Q76" s="359">
        <f t="shared" si="5"/>
        <v>353.1768559315849</v>
      </c>
      <c r="R76" s="226">
        <f>(($Z$9-(X76/40)*($Z$9))*VLOOKUP($I76,'2023'!$A$2:$I$278,8,FALSE))+((1-(($Z$9-(X76/40)*($Z$9))))*P76)</f>
        <v>262.56354634927243</v>
      </c>
      <c r="S76" s="14">
        <f>(($Z$9-(X76/40)*($Z$9))*VLOOKUP($I76,'2023'!$A$2:$I$278,9,FALSE))+((1-(($Z$9-(X76/40)*($Z$9))))*Q76)</f>
        <v>339.61411670808189</v>
      </c>
      <c r="T76" s="81"/>
      <c r="U76" s="16"/>
      <c r="V76" s="16"/>
      <c r="W76" s="16"/>
      <c r="X76" s="16">
        <f>VLOOKUP(I76,FEDEX!$A$2:$H$270,4,FALSE)</f>
        <v>10</v>
      </c>
    </row>
    <row r="77" spans="1:24">
      <c r="A77" t="str">
        <f>DIST!A77</f>
        <v>Robert MacIntyre</v>
      </c>
      <c r="B77">
        <f>VLOOKUP(Raw_Data4[[#This Row],[PLAYER NAME]],DIST!$A:$E,2,FALSE)</f>
        <v>76</v>
      </c>
      <c r="C77">
        <f>VLOOKUP(Raw_Data4[[#This Row],[PLAYER NAME]],ACC!$A:$E,2,FALSE)</f>
        <v>133</v>
      </c>
      <c r="D77">
        <f>VLOOKUP(Raw_Data4[[#This Row],[PLAYER NAME]],APP!$A:$E,2,FALSE)</f>
        <v>102</v>
      </c>
      <c r="E77">
        <f>VLOOKUP(Raw_Data4[[#This Row],[PLAYER NAME]],ARG!$A:$E,2,FALSE)</f>
        <v>91</v>
      </c>
      <c r="F77">
        <f>VLOOKUP(Raw_Data4[[#This Row],[PLAYER NAME]],PUTT!$A:$E,2,FALSE)</f>
        <v>152</v>
      </c>
      <c r="G77">
        <f>VLOOKUP(Raw_Data4[[#This Row],[PLAYER NAME]],SG!$A:$E,3,FALSE)</f>
        <v>130</v>
      </c>
      <c r="I77" s="34" t="str">
        <f>Raw_Data4[[#This Row],[PLAYER NAME]]</f>
        <v>Robert MacIntyre</v>
      </c>
      <c r="J77">
        <f>Raw_Data4[[#This Row],[DIST]]</f>
        <v>76</v>
      </c>
      <c r="K77">
        <f>Raw_Data4[[#This Row],[ACC]]</f>
        <v>133</v>
      </c>
      <c r="L77">
        <f>Raw_Data4[[#This Row],[APP]]</f>
        <v>102</v>
      </c>
      <c r="M77">
        <f>Raw_Data4[[#This Row],[ARG]]</f>
        <v>91</v>
      </c>
      <c r="N77">
        <f>Raw_Data4[[#This Row],[PUTT]]</f>
        <v>152</v>
      </c>
      <c r="O77" s="22">
        <f>Raw_Data4[[#This Row],[SG]]</f>
        <v>130</v>
      </c>
      <c r="P77" s="34">
        <f t="shared" si="4"/>
        <v>318.70000000000005</v>
      </c>
      <c r="Q77" s="359">
        <f t="shared" si="5"/>
        <v>463.97932329539765</v>
      </c>
      <c r="R77" s="226">
        <f>(($Z$9-(X77/40)*($Z$9))*VLOOKUP($I77,'2023'!$A$2:$I$278,8,FALSE))+((1-(($Z$9-(X77/40)*($Z$9))))*P77)</f>
        <v>275.24818607376028</v>
      </c>
      <c r="S77" s="14">
        <f>(($Z$9-(X77/40)*($Z$9))*VLOOKUP($I77,'2023'!$A$2:$I$278,9,FALSE))+((1-(($Z$9-(X77/40)*($Z$9))))*Q77)</f>
        <v>371.77383356122141</v>
      </c>
      <c r="T77" s="81"/>
      <c r="U77" s="16"/>
      <c r="V77" s="16"/>
      <c r="W77" s="16"/>
      <c r="X77" s="16">
        <f>VLOOKUP(I77,FEDEX!$A$2:$H$270,4,FALSE)</f>
        <v>10</v>
      </c>
    </row>
    <row r="78" spans="1:24">
      <c r="A78" t="str">
        <f>DIST!A78</f>
        <v>Scottie Scheffler</v>
      </c>
      <c r="B78">
        <f>VLOOKUP(Raw_Data4[[#This Row],[PLAYER NAME]],DIST!$A:$E,2,FALSE)</f>
        <v>76</v>
      </c>
      <c r="C78">
        <f>VLOOKUP(Raw_Data4[[#This Row],[PLAYER NAME]],ACC!$A:$E,2,FALSE)</f>
        <v>14</v>
      </c>
      <c r="D78">
        <f>VLOOKUP(Raw_Data4[[#This Row],[PLAYER NAME]],APP!$A:$E,2,FALSE)</f>
        <v>1</v>
      </c>
      <c r="E78">
        <f>VLOOKUP(Raw_Data4[[#This Row],[PLAYER NAME]],ARG!$A:$E,2,FALSE)</f>
        <v>5</v>
      </c>
      <c r="F78">
        <f>VLOOKUP(Raw_Data4[[#This Row],[PLAYER NAME]],PUTT!$A:$E,2,FALSE)</f>
        <v>96</v>
      </c>
      <c r="G78">
        <f>VLOOKUP(Raw_Data4[[#This Row],[PLAYER NAME]],SG!$A:$E,3,FALSE)</f>
        <v>1</v>
      </c>
      <c r="I78" s="34" t="str">
        <f>Raw_Data4[[#This Row],[PLAYER NAME]]</f>
        <v>Scottie Scheffler</v>
      </c>
      <c r="J78">
        <f>Raw_Data4[[#This Row],[DIST]]</f>
        <v>76</v>
      </c>
      <c r="K78">
        <f>Raw_Data4[[#This Row],[ACC]]</f>
        <v>14</v>
      </c>
      <c r="L78">
        <f>Raw_Data4[[#This Row],[APP]]</f>
        <v>1</v>
      </c>
      <c r="M78">
        <f>Raw_Data4[[#This Row],[ARG]]</f>
        <v>5</v>
      </c>
      <c r="N78">
        <f>Raw_Data4[[#This Row],[PUTT]]</f>
        <v>96</v>
      </c>
      <c r="O78" s="22">
        <f>Raw_Data4[[#This Row],[SG]]</f>
        <v>1</v>
      </c>
      <c r="P78" s="34">
        <f t="shared" si="4"/>
        <v>126.10000000000001</v>
      </c>
      <c r="Q78" s="359">
        <f t="shared" si="5"/>
        <v>109.38418308529688</v>
      </c>
      <c r="R78" s="226">
        <f>(($Z$9-(X78/40)*($Z$9))*VLOOKUP($I78,'2023'!$A$2:$I$278,8,FALSE))+((1-(($Z$9-(X78/40)*($Z$9))))*P78)</f>
        <v>135.40987719391197</v>
      </c>
      <c r="S78" s="14">
        <f>(($Z$9-(X78/40)*($Z$9))*VLOOKUP($I78,'2023'!$A$2:$I$278,9,FALSE))+((1-(($Z$9-(X78/40)*($Z$9))))*Q78)</f>
        <v>126.00478690833329</v>
      </c>
      <c r="T78" s="81"/>
      <c r="U78" s="16"/>
      <c r="V78" s="16"/>
      <c r="W78" s="16"/>
      <c r="X78" s="16">
        <f>VLOOKUP(I78,FEDEX!$A$2:$H$270,4,FALSE)</f>
        <v>9</v>
      </c>
    </row>
    <row r="79" spans="1:24">
      <c r="A79" t="str">
        <f>DIST!A79</f>
        <v>Bronson Burgoon</v>
      </c>
      <c r="B79">
        <f>VLOOKUP(Raw_Data4[[#This Row],[PLAYER NAME]],DIST!$A:$E,2,FALSE)</f>
        <v>78</v>
      </c>
      <c r="C79">
        <f>VLOOKUP(Raw_Data4[[#This Row],[PLAYER NAME]],ACC!$A:$E,2,FALSE)</f>
        <v>131</v>
      </c>
      <c r="D79">
        <f>VLOOKUP(Raw_Data4[[#This Row],[PLAYER NAME]],APP!$A:$E,2,FALSE)</f>
        <v>127</v>
      </c>
      <c r="E79">
        <f>VLOOKUP(Raw_Data4[[#This Row],[PLAYER NAME]],ARG!$A:$E,2,FALSE)</f>
        <v>137</v>
      </c>
      <c r="F79">
        <f>VLOOKUP(Raw_Data4[[#This Row],[PLAYER NAME]],PUTT!$A:$E,2,FALSE)</f>
        <v>164</v>
      </c>
      <c r="G79">
        <f>VLOOKUP(Raw_Data4[[#This Row],[PLAYER NAME]],SG!$A:$E,3,FALSE)</f>
        <v>157</v>
      </c>
      <c r="I79" s="34" t="str">
        <f>Raw_Data4[[#This Row],[PLAYER NAME]]</f>
        <v>Bronson Burgoon</v>
      </c>
      <c r="J79">
        <f>Raw_Data4[[#This Row],[DIST]]</f>
        <v>78</v>
      </c>
      <c r="K79">
        <f>Raw_Data4[[#This Row],[ACC]]</f>
        <v>131</v>
      </c>
      <c r="L79">
        <f>Raw_Data4[[#This Row],[APP]]</f>
        <v>127</v>
      </c>
      <c r="M79">
        <f>Raw_Data4[[#This Row],[ARG]]</f>
        <v>137</v>
      </c>
      <c r="N79">
        <f>Raw_Data4[[#This Row],[PUTT]]</f>
        <v>164</v>
      </c>
      <c r="O79" s="22">
        <f>Raw_Data4[[#This Row],[SG]]</f>
        <v>157</v>
      </c>
      <c r="P79" s="34">
        <f t="shared" si="4"/>
        <v>361.4</v>
      </c>
      <c r="Q79" s="359">
        <f t="shared" si="5"/>
        <v>546.30680212563607</v>
      </c>
      <c r="R79" s="226" t="e">
        <f>(($Z$9-(X79/40)*($Z$9))*VLOOKUP($I79,'2023'!$A$2:$I$278,8,FALSE))+((1-(($Z$9-(X79/40)*($Z$9))))*P79)</f>
        <v>#N/A</v>
      </c>
      <c r="S79" s="14" t="e">
        <f>(($Z$9-(X79/40)*($Z$9))*VLOOKUP($I79,'2023'!$A$2:$I$278,9,FALSE))+((1-(($Z$9-(X79/40)*($Z$9))))*Q79)</f>
        <v>#N/A</v>
      </c>
      <c r="T79" s="81"/>
      <c r="U79" s="16"/>
      <c r="V79" s="16"/>
      <c r="W79" s="16"/>
      <c r="X79" s="16">
        <f>VLOOKUP(I79,FEDEX!$A$2:$H$270,4,FALSE)</f>
        <v>6</v>
      </c>
    </row>
    <row r="80" spans="1:24">
      <c r="A80" t="str">
        <f>DIST!A80</f>
        <v>S.H. Kim</v>
      </c>
      <c r="B80">
        <f>VLOOKUP(Raw_Data4[[#This Row],[PLAYER NAME]],DIST!$A:$E,2,FALSE)</f>
        <v>79</v>
      </c>
      <c r="C80">
        <f>VLOOKUP(Raw_Data4[[#This Row],[PLAYER NAME]],ACC!$A:$E,2,FALSE)</f>
        <v>177</v>
      </c>
      <c r="D80">
        <f>VLOOKUP(Raw_Data4[[#This Row],[PLAYER NAME]],APP!$A:$E,2,FALSE)</f>
        <v>144</v>
      </c>
      <c r="E80">
        <f>VLOOKUP(Raw_Data4[[#This Row],[PLAYER NAME]],ARG!$A:$E,2,FALSE)</f>
        <v>11</v>
      </c>
      <c r="F80">
        <f>VLOOKUP(Raw_Data4[[#This Row],[PLAYER NAME]],PUTT!$A:$E,2,FALSE)</f>
        <v>30</v>
      </c>
      <c r="G80">
        <f>VLOOKUP(Raw_Data4[[#This Row],[PLAYER NAME]],SG!$A:$E,3,FALSE)</f>
        <v>78</v>
      </c>
      <c r="I80" s="34" t="str">
        <f>Raw_Data4[[#This Row],[PLAYER NAME]]</f>
        <v>S.H. Kim</v>
      </c>
      <c r="J80">
        <f>Raw_Data4[[#This Row],[DIST]]</f>
        <v>79</v>
      </c>
      <c r="K80">
        <f>Raw_Data4[[#This Row],[ACC]]</f>
        <v>177</v>
      </c>
      <c r="L80">
        <f>Raw_Data4[[#This Row],[APP]]</f>
        <v>144</v>
      </c>
      <c r="M80">
        <f>Raw_Data4[[#This Row],[ARG]]</f>
        <v>11</v>
      </c>
      <c r="N80">
        <f>Raw_Data4[[#This Row],[PUTT]]</f>
        <v>30</v>
      </c>
      <c r="O80" s="22">
        <f>Raw_Data4[[#This Row],[SG]]</f>
        <v>78</v>
      </c>
      <c r="P80" s="34">
        <f t="shared" si="4"/>
        <v>279.8</v>
      </c>
      <c r="Q80" s="359">
        <f t="shared" si="5"/>
        <v>359.34583888818077</v>
      </c>
      <c r="R80" s="226">
        <f>(($Z$9-(X80/40)*($Z$9))*VLOOKUP($I80,'2023'!$A$2:$I$278,8,FALSE))+((1-(($Z$9-(X80/40)*($Z$9))))*P80)</f>
        <v>272.15989432860903</v>
      </c>
      <c r="S80" s="14">
        <f>(($Z$9-(X80/40)*($Z$9))*VLOOKUP($I80,'2023'!$A$2:$I$278,9,FALSE))+((1-(($Z$9-(X80/40)*($Z$9))))*Q80)</f>
        <v>354.12114733294624</v>
      </c>
      <c r="T80" s="81"/>
      <c r="U80" s="16"/>
      <c r="V80" s="16"/>
      <c r="W80" s="16"/>
      <c r="X80" s="16">
        <f>VLOOKUP(I80,FEDEX!$A$2:$H$270,4,FALSE)</f>
        <v>12</v>
      </c>
    </row>
    <row r="81" spans="1:24">
      <c r="A81" t="str">
        <f>DIST!A81</f>
        <v>Taylor Moore</v>
      </c>
      <c r="B81">
        <f>VLOOKUP(Raw_Data4[[#This Row],[PLAYER NAME]],DIST!$A:$E,2,FALSE)</f>
        <v>79</v>
      </c>
      <c r="C81">
        <f>VLOOKUP(Raw_Data4[[#This Row],[PLAYER NAME]],ACC!$A:$E,2,FALSE)</f>
        <v>71</v>
      </c>
      <c r="D81">
        <f>VLOOKUP(Raw_Data4[[#This Row],[PLAYER NAME]],APP!$A:$E,2,FALSE)</f>
        <v>59</v>
      </c>
      <c r="E81">
        <f>VLOOKUP(Raw_Data4[[#This Row],[PLAYER NAME]],ARG!$A:$E,2,FALSE)</f>
        <v>31</v>
      </c>
      <c r="F81">
        <f>VLOOKUP(Raw_Data4[[#This Row],[PLAYER NAME]],PUTT!$A:$E,2,FALSE)</f>
        <v>93</v>
      </c>
      <c r="G81">
        <f>VLOOKUP(Raw_Data4[[#This Row],[PLAYER NAME]],SG!$A:$E,3,FALSE)</f>
        <v>45</v>
      </c>
      <c r="I81" s="34" t="str">
        <f>Raw_Data4[[#This Row],[PLAYER NAME]]</f>
        <v>Taylor Moore</v>
      </c>
      <c r="J81">
        <f>Raw_Data4[[#This Row],[DIST]]</f>
        <v>79</v>
      </c>
      <c r="K81">
        <f>Raw_Data4[[#This Row],[ACC]]</f>
        <v>71</v>
      </c>
      <c r="L81">
        <f>Raw_Data4[[#This Row],[APP]]</f>
        <v>59</v>
      </c>
      <c r="M81">
        <f>Raw_Data4[[#This Row],[ARG]]</f>
        <v>31</v>
      </c>
      <c r="N81">
        <f>Raw_Data4[[#This Row],[PUTT]]</f>
        <v>93</v>
      </c>
      <c r="O81" s="22">
        <f>Raw_Data4[[#This Row],[SG]]</f>
        <v>45</v>
      </c>
      <c r="P81" s="34">
        <f t="shared" si="4"/>
        <v>206.8</v>
      </c>
      <c r="Q81" s="359">
        <f t="shared" si="5"/>
        <v>246.71131866148647</v>
      </c>
      <c r="R81" s="226">
        <f>(($Z$9-(X81/40)*($Z$9))*VLOOKUP($I81,'2023'!$A$2:$I$278,8,FALSE))+((1-(($Z$9-(X81/40)*($Z$9))))*P81)</f>
        <v>228.42294057940842</v>
      </c>
      <c r="S81" s="14">
        <f>(($Z$9-(X81/40)*($Z$9))*VLOOKUP($I81,'2023'!$A$2:$I$278,9,FALSE))+((1-(($Z$9-(X81/40)*($Z$9))))*Q81)</f>
        <v>298.2998202948977</v>
      </c>
      <c r="T81" s="81"/>
      <c r="U81" s="16"/>
      <c r="V81" s="16"/>
      <c r="W81" s="16"/>
      <c r="X81" s="16">
        <f>VLOOKUP(I81,FEDEX!$A$2:$H$270,4,FALSE)</f>
        <v>10</v>
      </c>
    </row>
    <row r="82" spans="1:24">
      <c r="A82" t="str">
        <f>DIST!A82</f>
        <v>Akshay Bhatia</v>
      </c>
      <c r="B82">
        <f>VLOOKUP(Raw_Data4[[#This Row],[PLAYER NAME]],DIST!$A:$E,2,FALSE)</f>
        <v>81</v>
      </c>
      <c r="C82">
        <f>VLOOKUP(Raw_Data4[[#This Row],[PLAYER NAME]],ACC!$A:$E,2,FALSE)</f>
        <v>16</v>
      </c>
      <c r="D82">
        <f>VLOOKUP(Raw_Data4[[#This Row],[PLAYER NAME]],APP!$A:$E,2,FALSE)</f>
        <v>12</v>
      </c>
      <c r="E82">
        <f>VLOOKUP(Raw_Data4[[#This Row],[PLAYER NAME]],ARG!$A:$E,2,FALSE)</f>
        <v>87</v>
      </c>
      <c r="F82">
        <f>VLOOKUP(Raw_Data4[[#This Row],[PLAYER NAME]],PUTT!$A:$E,2,FALSE)</f>
        <v>47</v>
      </c>
      <c r="G82">
        <f>VLOOKUP(Raw_Data4[[#This Row],[PLAYER NAME]],SG!$A:$E,3,FALSE)</f>
        <v>4</v>
      </c>
      <c r="I82" s="34" t="str">
        <f>Raw_Data4[[#This Row],[PLAYER NAME]]</f>
        <v>Akshay Bhatia</v>
      </c>
      <c r="J82">
        <f>Raw_Data4[[#This Row],[DIST]]</f>
        <v>81</v>
      </c>
      <c r="K82">
        <f>Raw_Data4[[#This Row],[ACC]]</f>
        <v>16</v>
      </c>
      <c r="L82">
        <f>Raw_Data4[[#This Row],[APP]]</f>
        <v>12</v>
      </c>
      <c r="M82">
        <f>Raw_Data4[[#This Row],[ARG]]</f>
        <v>87</v>
      </c>
      <c r="N82">
        <f>Raw_Data4[[#This Row],[PUTT]]</f>
        <v>47</v>
      </c>
      <c r="O82" s="22">
        <f>Raw_Data4[[#This Row],[SG]]</f>
        <v>4</v>
      </c>
      <c r="P82" s="34">
        <f t="shared" si="4"/>
        <v>147.60000000000002</v>
      </c>
      <c r="Q82" s="359">
        <f t="shared" si="5"/>
        <v>149.71542274911999</v>
      </c>
      <c r="R82" s="226">
        <f>(($Z$9-(X82/40)*($Z$9))*VLOOKUP($I82,'2023'!$A$2:$I$278,8,FALSE))+((1-(($Z$9-(X82/40)*($Z$9))))*P82)</f>
        <v>192.53967817087045</v>
      </c>
      <c r="S82" s="14">
        <f>(($Z$9-(X82/40)*($Z$9))*VLOOKUP($I82,'2023'!$A$2:$I$278,9,FALSE))+((1-(($Z$9-(X82/40)*($Z$9))))*Q82)</f>
        <v>242.06164238884941</v>
      </c>
      <c r="T82" s="81"/>
      <c r="U82" s="16"/>
      <c r="V82" s="16"/>
      <c r="W82" s="16"/>
      <c r="X82" s="16">
        <f>VLOOKUP(I82,FEDEX!$A$2:$H$270,4,FALSE)</f>
        <v>11</v>
      </c>
    </row>
    <row r="83" spans="1:24">
      <c r="A83" t="str">
        <f>DIST!A83</f>
        <v>Justin Suh</v>
      </c>
      <c r="B83">
        <f>VLOOKUP(Raw_Data4[[#This Row],[PLAYER NAME]],DIST!$A:$E,2,FALSE)</f>
        <v>81</v>
      </c>
      <c r="C83">
        <f>VLOOKUP(Raw_Data4[[#This Row],[PLAYER NAME]],ACC!$A:$E,2,FALSE)</f>
        <v>118</v>
      </c>
      <c r="D83">
        <f>VLOOKUP(Raw_Data4[[#This Row],[PLAYER NAME]],APP!$A:$E,2,FALSE)</f>
        <v>180</v>
      </c>
      <c r="E83">
        <f>VLOOKUP(Raw_Data4[[#This Row],[PLAYER NAME]],ARG!$A:$E,2,FALSE)</f>
        <v>173</v>
      </c>
      <c r="F83">
        <f>VLOOKUP(Raw_Data4[[#This Row],[PLAYER NAME]],PUTT!$A:$E,2,FALSE)</f>
        <v>8</v>
      </c>
      <c r="G83">
        <f>VLOOKUP(Raw_Data4[[#This Row],[PLAYER NAME]],SG!$A:$E,3,FALSE)</f>
        <v>158</v>
      </c>
      <c r="I83" s="34" t="str">
        <f>Raw_Data4[[#This Row],[PLAYER NAME]]</f>
        <v>Justin Suh</v>
      </c>
      <c r="J83">
        <f>Raw_Data4[[#This Row],[DIST]]</f>
        <v>81</v>
      </c>
      <c r="K83">
        <f>Raw_Data4[[#This Row],[ACC]]</f>
        <v>118</v>
      </c>
      <c r="L83">
        <f>Raw_Data4[[#This Row],[APP]]</f>
        <v>180</v>
      </c>
      <c r="M83">
        <f>Raw_Data4[[#This Row],[ARG]]</f>
        <v>173</v>
      </c>
      <c r="N83">
        <f>Raw_Data4[[#This Row],[PUTT]]</f>
        <v>8</v>
      </c>
      <c r="O83" s="22">
        <f>Raw_Data4[[#This Row],[SG]]</f>
        <v>158</v>
      </c>
      <c r="P83" s="34">
        <f t="shared" si="4"/>
        <v>331.09999999999997</v>
      </c>
      <c r="Q83" s="359">
        <f t="shared" si="5"/>
        <v>527.75757382050733</v>
      </c>
      <c r="R83" s="226">
        <f>(($Z$9-(X83/40)*($Z$9))*VLOOKUP($I83,'2023'!$A$2:$I$278,8,FALSE))+((1-(($Z$9-(X83/40)*($Z$9))))*P83)</f>
        <v>308.08701324048673</v>
      </c>
      <c r="S83" s="14">
        <f>(($Z$9-(X83/40)*($Z$9))*VLOOKUP($I83,'2023'!$A$2:$I$278,9,FALSE))+((1-(($Z$9-(X83/40)*($Z$9))))*Q83)</f>
        <v>466.57551187536183</v>
      </c>
      <c r="T83" s="81"/>
      <c r="U83" s="16"/>
      <c r="V83" s="16"/>
      <c r="W83" s="16"/>
      <c r="X83" s="16">
        <f>VLOOKUP(I83,FEDEX!$A$2:$H$270,4,FALSE)</f>
        <v>10</v>
      </c>
    </row>
    <row r="84" spans="1:24">
      <c r="A84" t="str">
        <f>DIST!A84</f>
        <v>Joe Highsmith</v>
      </c>
      <c r="B84">
        <f>VLOOKUP(Raw_Data4[[#This Row],[PLAYER NAME]],DIST!$A:$E,2,FALSE)</f>
        <v>83</v>
      </c>
      <c r="C84">
        <f>VLOOKUP(Raw_Data4[[#This Row],[PLAYER NAME]],ACC!$A:$E,2,FALSE)</f>
        <v>155</v>
      </c>
      <c r="D84">
        <f>VLOOKUP(Raw_Data4[[#This Row],[PLAYER NAME]],APP!$A:$E,2,FALSE)</f>
        <v>160</v>
      </c>
      <c r="E84">
        <f>VLOOKUP(Raw_Data4[[#This Row],[PLAYER NAME]],ARG!$A:$E,2,FALSE)</f>
        <v>27</v>
      </c>
      <c r="F84">
        <f>VLOOKUP(Raw_Data4[[#This Row],[PLAYER NAME]],PUTT!$A:$E,2,FALSE)</f>
        <v>136</v>
      </c>
      <c r="G84">
        <f>VLOOKUP(Raw_Data4[[#This Row],[PLAYER NAME]],SG!$A:$E,3,FALSE)</f>
        <v>168</v>
      </c>
      <c r="I84" s="34" t="str">
        <f>Raw_Data4[[#This Row],[PLAYER NAME]]</f>
        <v>Joe Highsmith</v>
      </c>
      <c r="J84">
        <f>Raw_Data4[[#This Row],[DIST]]</f>
        <v>83</v>
      </c>
      <c r="K84">
        <f>Raw_Data4[[#This Row],[ACC]]</f>
        <v>155</v>
      </c>
      <c r="L84">
        <f>Raw_Data4[[#This Row],[APP]]</f>
        <v>160</v>
      </c>
      <c r="M84">
        <f>Raw_Data4[[#This Row],[ARG]]</f>
        <v>27</v>
      </c>
      <c r="N84">
        <f>Raw_Data4[[#This Row],[PUTT]]</f>
        <v>136</v>
      </c>
      <c r="O84" s="22">
        <f>Raw_Data4[[#This Row],[SG]]</f>
        <v>168</v>
      </c>
      <c r="P84" s="34">
        <f t="shared" si="4"/>
        <v>343</v>
      </c>
      <c r="Q84" s="359">
        <f t="shared" si="5"/>
        <v>519.24823299115428</v>
      </c>
      <c r="R84" s="226" t="e">
        <f>(($Z$9-(X84/40)*($Z$9))*VLOOKUP($I84,'2023'!$A$2:$I$278,8,FALSE))+((1-(($Z$9-(X84/40)*($Z$9))))*P84)</f>
        <v>#N/A</v>
      </c>
      <c r="S84" s="14" t="e">
        <f>(($Z$9-(X84/40)*($Z$9))*VLOOKUP($I84,'2023'!$A$2:$I$278,9,FALSE))+((1-(($Z$9-(X84/40)*($Z$9))))*Q84)</f>
        <v>#N/A</v>
      </c>
      <c r="T84" s="81"/>
      <c r="U84" s="16"/>
      <c r="V84" s="16"/>
      <c r="W84" s="16"/>
      <c r="X84" s="16">
        <f>VLOOKUP(I84,FEDEX!$A$2:$H$270,4,FALSE)</f>
        <v>9</v>
      </c>
    </row>
    <row r="85" spans="1:24">
      <c r="A85" t="str">
        <f>DIST!A85</f>
        <v>Chesson Hadley</v>
      </c>
      <c r="B85">
        <f>VLOOKUP(Raw_Data4[[#This Row],[PLAYER NAME]],DIST!$A:$E,2,FALSE)</f>
        <v>84</v>
      </c>
      <c r="C85">
        <f>VLOOKUP(Raw_Data4[[#This Row],[PLAYER NAME]],ACC!$A:$E,2,FALSE)</f>
        <v>150</v>
      </c>
      <c r="D85">
        <f>VLOOKUP(Raw_Data4[[#This Row],[PLAYER NAME]],APP!$A:$E,2,FALSE)</f>
        <v>123</v>
      </c>
      <c r="E85">
        <f>VLOOKUP(Raw_Data4[[#This Row],[PLAYER NAME]],ARG!$A:$E,2,FALSE)</f>
        <v>127</v>
      </c>
      <c r="F85">
        <f>VLOOKUP(Raw_Data4[[#This Row],[PLAYER NAME]],PUTT!$A:$E,2,FALSE)</f>
        <v>35</v>
      </c>
      <c r="G85">
        <f>VLOOKUP(Raw_Data4[[#This Row],[PLAYER NAME]],SG!$A:$E,3,FALSE)</f>
        <v>89</v>
      </c>
      <c r="I85" s="34" t="str">
        <f>Raw_Data4[[#This Row],[PLAYER NAME]]</f>
        <v>Chesson Hadley</v>
      </c>
      <c r="J85">
        <f>Raw_Data4[[#This Row],[DIST]]</f>
        <v>84</v>
      </c>
      <c r="K85">
        <f>Raw_Data4[[#This Row],[ACC]]</f>
        <v>150</v>
      </c>
      <c r="L85">
        <f>Raw_Data4[[#This Row],[APP]]</f>
        <v>123</v>
      </c>
      <c r="M85">
        <f>Raw_Data4[[#This Row],[ARG]]</f>
        <v>127</v>
      </c>
      <c r="N85">
        <f>Raw_Data4[[#This Row],[PUTT]]</f>
        <v>35</v>
      </c>
      <c r="O85" s="22">
        <f>Raw_Data4[[#This Row],[SG]]</f>
        <v>89</v>
      </c>
      <c r="P85" s="34">
        <f t="shared" si="4"/>
        <v>305</v>
      </c>
      <c r="Q85" s="359">
        <f t="shared" si="5"/>
        <v>414.89900410912179</v>
      </c>
      <c r="R85" s="226">
        <f>(($Z$9-(X85/40)*($Z$9))*VLOOKUP($I85,'2023'!$A$2:$I$278,8,FALSE))+((1-(($Z$9-(X85/40)*($Z$9))))*P85)</f>
        <v>289.46580491072979</v>
      </c>
      <c r="S85" s="14">
        <f>(($Z$9-(X85/40)*($Z$9))*VLOOKUP($I85,'2023'!$A$2:$I$278,9,FALSE))+((1-(($Z$9-(X85/40)*($Z$9))))*Q85)</f>
        <v>394.68392940884235</v>
      </c>
      <c r="T85" s="81"/>
      <c r="U85" s="16"/>
      <c r="V85" s="16"/>
      <c r="W85" s="16"/>
      <c r="X85" s="16">
        <f>VLOOKUP(I85,FEDEX!$A$2:$H$270,4,FALSE)</f>
        <v>9</v>
      </c>
    </row>
    <row r="86" spans="1:24">
      <c r="A86" t="str">
        <f>DIST!A86</f>
        <v>Vince Whaley</v>
      </c>
      <c r="B86">
        <f>VLOOKUP(Raw_Data4[[#This Row],[PLAYER NAME]],DIST!$A:$E,2,FALSE)</f>
        <v>85</v>
      </c>
      <c r="C86">
        <f>VLOOKUP(Raw_Data4[[#This Row],[PLAYER NAME]],ACC!$A:$E,2,FALSE)</f>
        <v>179</v>
      </c>
      <c r="D86">
        <f>VLOOKUP(Raw_Data4[[#This Row],[PLAYER NAME]],APP!$A:$E,2,FALSE)</f>
        <v>145</v>
      </c>
      <c r="E86">
        <f>VLOOKUP(Raw_Data4[[#This Row],[PLAYER NAME]],ARG!$A:$E,2,FALSE)</f>
        <v>72</v>
      </c>
      <c r="F86">
        <f>VLOOKUP(Raw_Data4[[#This Row],[PLAYER NAME]],PUTT!$A:$E,2,FALSE)</f>
        <v>155</v>
      </c>
      <c r="G86">
        <f>VLOOKUP(Raw_Data4[[#This Row],[PLAYER NAME]],SG!$A:$E,3,FALSE)</f>
        <v>172</v>
      </c>
      <c r="I86" s="34" t="str">
        <f>Raw_Data4[[#This Row],[PLAYER NAME]]</f>
        <v>Vince Whaley</v>
      </c>
      <c r="J86">
        <f>Raw_Data4[[#This Row],[DIST]]</f>
        <v>85</v>
      </c>
      <c r="K86">
        <f>Raw_Data4[[#This Row],[ACC]]</f>
        <v>179</v>
      </c>
      <c r="L86">
        <f>Raw_Data4[[#This Row],[APP]]</f>
        <v>145</v>
      </c>
      <c r="M86">
        <f>Raw_Data4[[#This Row],[ARG]]</f>
        <v>72</v>
      </c>
      <c r="N86">
        <f>Raw_Data4[[#This Row],[PUTT]]</f>
        <v>155</v>
      </c>
      <c r="O86" s="22">
        <f>Raw_Data4[[#This Row],[SG]]</f>
        <v>172</v>
      </c>
      <c r="P86" s="34">
        <f t="shared" si="4"/>
        <v>373.8</v>
      </c>
      <c r="Q86" s="359">
        <f t="shared" si="5"/>
        <v>560.89935909371604</v>
      </c>
      <c r="R86" s="226">
        <f>(($Z$9-(X86/40)*($Z$9))*VLOOKUP($I86,'2023'!$A$2:$I$278,8,FALSE))+((1-(($Z$9-(X86/40)*($Z$9))))*P86)</f>
        <v>369.22486035042039</v>
      </c>
      <c r="S86" s="14">
        <f>(($Z$9-(X86/40)*($Z$9))*VLOOKUP($I86,'2023'!$A$2:$I$278,9,FALSE))+((1-(($Z$9-(X86/40)*($Z$9))))*Q86)</f>
        <v>555.16403469407817</v>
      </c>
      <c r="T86" s="81"/>
      <c r="U86" s="16"/>
      <c r="V86" s="16"/>
      <c r="W86" s="16"/>
      <c r="X86" s="16">
        <f>VLOOKUP(I86,FEDEX!$A$2:$H$270,4,FALSE)</f>
        <v>9</v>
      </c>
    </row>
    <row r="87" spans="1:24">
      <c r="A87" t="str">
        <f>DIST!A87</f>
        <v>Michael Kim</v>
      </c>
      <c r="B87">
        <f>VLOOKUP(Raw_Data4[[#This Row],[PLAYER NAME]],DIST!$A:$E,2,FALSE)</f>
        <v>86</v>
      </c>
      <c r="C87">
        <f>VLOOKUP(Raw_Data4[[#This Row],[PLAYER NAME]],ACC!$A:$E,2,FALSE)</f>
        <v>171</v>
      </c>
      <c r="D87">
        <f>VLOOKUP(Raw_Data4[[#This Row],[PLAYER NAME]],APP!$A:$E,2,FALSE)</f>
        <v>86</v>
      </c>
      <c r="E87">
        <f>VLOOKUP(Raw_Data4[[#This Row],[PLAYER NAME]],ARG!$A:$E,2,FALSE)</f>
        <v>101</v>
      </c>
      <c r="F87">
        <f>VLOOKUP(Raw_Data4[[#This Row],[PLAYER NAME]],PUTT!$A:$E,2,FALSE)</f>
        <v>84</v>
      </c>
      <c r="G87">
        <f>VLOOKUP(Raw_Data4[[#This Row],[PLAYER NAME]],SG!$A:$E,3,FALSE)</f>
        <v>137</v>
      </c>
      <c r="I87" s="34" t="str">
        <f>Raw_Data4[[#This Row],[PLAYER NAME]]</f>
        <v>Michael Kim</v>
      </c>
      <c r="J87">
        <f>Raw_Data4[[#This Row],[DIST]]</f>
        <v>86</v>
      </c>
      <c r="K87">
        <f>Raw_Data4[[#This Row],[ACC]]</f>
        <v>171</v>
      </c>
      <c r="L87">
        <f>Raw_Data4[[#This Row],[APP]]</f>
        <v>86</v>
      </c>
      <c r="M87">
        <f>Raw_Data4[[#This Row],[ARG]]</f>
        <v>101</v>
      </c>
      <c r="N87">
        <f>Raw_Data4[[#This Row],[PUTT]]</f>
        <v>84</v>
      </c>
      <c r="O87" s="22">
        <f>Raw_Data4[[#This Row],[SG]]</f>
        <v>137</v>
      </c>
      <c r="P87" s="34">
        <f t="shared" si="4"/>
        <v>305.5</v>
      </c>
      <c r="Q87" s="359">
        <f t="shared" si="5"/>
        <v>453.31030340678421</v>
      </c>
      <c r="R87" s="226">
        <f>(($Z$9-(X87/40)*($Z$9))*VLOOKUP($I87,'2023'!$A$2:$I$278,8,FALSE))+((1-(($Z$9-(X87/40)*($Z$9))))*P87)</f>
        <v>265.78586580248657</v>
      </c>
      <c r="S87" s="14">
        <f>(($Z$9-(X87/40)*($Z$9))*VLOOKUP($I87,'2023'!$A$2:$I$278,9,FALSE))+((1-(($Z$9-(X87/40)*($Z$9))))*Q87)</f>
        <v>381.81513631446632</v>
      </c>
      <c r="T87" s="81"/>
      <c r="U87" s="16"/>
      <c r="V87" s="16"/>
      <c r="W87" s="16"/>
      <c r="X87" s="16">
        <f>VLOOKUP(I87,FEDEX!$A$2:$H$270,4,FALSE)</f>
        <v>11</v>
      </c>
    </row>
    <row r="88" spans="1:24">
      <c r="A88" t="str">
        <f>DIST!A88</f>
        <v>Luke List</v>
      </c>
      <c r="B88">
        <f>VLOOKUP(Raw_Data4[[#This Row],[PLAYER NAME]],DIST!$A:$E,2,FALSE)</f>
        <v>87</v>
      </c>
      <c r="C88">
        <f>VLOOKUP(Raw_Data4[[#This Row],[PLAYER NAME]],ACC!$A:$E,2,FALSE)</f>
        <v>76</v>
      </c>
      <c r="D88">
        <f>VLOOKUP(Raw_Data4[[#This Row],[PLAYER NAME]],APP!$A:$E,2,FALSE)</f>
        <v>36</v>
      </c>
      <c r="E88">
        <f>VLOOKUP(Raw_Data4[[#This Row],[PLAYER NAME]],ARG!$A:$E,2,FALSE)</f>
        <v>164</v>
      </c>
      <c r="F88">
        <f>VLOOKUP(Raw_Data4[[#This Row],[PLAYER NAME]],PUTT!$A:$E,2,FALSE)</f>
        <v>121</v>
      </c>
      <c r="G88">
        <f>VLOOKUP(Raw_Data4[[#This Row],[PLAYER NAME]],SG!$A:$E,3,FALSE)</f>
        <v>114</v>
      </c>
      <c r="I88" s="34" t="str">
        <f>Raw_Data4[[#This Row],[PLAYER NAME]]</f>
        <v>Luke List</v>
      </c>
      <c r="J88">
        <f>Raw_Data4[[#This Row],[DIST]]</f>
        <v>87</v>
      </c>
      <c r="K88">
        <f>Raw_Data4[[#This Row],[ACC]]</f>
        <v>76</v>
      </c>
      <c r="L88">
        <f>Raw_Data4[[#This Row],[APP]]</f>
        <v>36</v>
      </c>
      <c r="M88">
        <f>Raw_Data4[[#This Row],[ARG]]</f>
        <v>164</v>
      </c>
      <c r="N88">
        <f>Raw_Data4[[#This Row],[PUTT]]</f>
        <v>121</v>
      </c>
      <c r="O88" s="22">
        <f>Raw_Data4[[#This Row],[SG]]</f>
        <v>114</v>
      </c>
      <c r="P88" s="34">
        <f t="shared" si="4"/>
        <v>267.60000000000002</v>
      </c>
      <c r="Q88" s="359">
        <f t="shared" si="5"/>
        <v>398.67731912638442</v>
      </c>
      <c r="R88" s="226">
        <f>(($Z$9-(X88/40)*($Z$9))*VLOOKUP($I88,'2023'!$A$2:$I$278,8,FALSE))+((1-(($Z$9-(X88/40)*($Z$9))))*P88)</f>
        <v>278.94689548500384</v>
      </c>
      <c r="S88" s="14">
        <f>(($Z$9-(X88/40)*($Z$9))*VLOOKUP($I88,'2023'!$A$2:$I$278,9,FALSE))+((1-(($Z$9-(X88/40)*($Z$9))))*Q88)</f>
        <v>407.44063998972081</v>
      </c>
      <c r="T88" s="81"/>
      <c r="U88" s="16"/>
      <c r="V88" s="16"/>
      <c r="W88" s="16"/>
      <c r="X88" s="16">
        <f>VLOOKUP(I88,FEDEX!$A$2:$H$270,4,FALSE)</f>
        <v>11</v>
      </c>
    </row>
    <row r="89" spans="1:24">
      <c r="A89" t="str">
        <f>DIST!A89</f>
        <v>Keegan Bradley</v>
      </c>
      <c r="B89">
        <f>VLOOKUP(Raw_Data4[[#This Row],[PLAYER NAME]],DIST!$A:$E,2,FALSE)</f>
        <v>88</v>
      </c>
      <c r="C89">
        <f>VLOOKUP(Raw_Data4[[#This Row],[PLAYER NAME]],ACC!$A:$E,2,FALSE)</f>
        <v>57</v>
      </c>
      <c r="D89">
        <f>VLOOKUP(Raw_Data4[[#This Row],[PLAYER NAME]],APP!$A:$E,2,FALSE)</f>
        <v>47</v>
      </c>
      <c r="E89">
        <f>VLOOKUP(Raw_Data4[[#This Row],[PLAYER NAME]],ARG!$A:$E,2,FALSE)</f>
        <v>67</v>
      </c>
      <c r="F89">
        <f>VLOOKUP(Raw_Data4[[#This Row],[PLAYER NAME]],PUTT!$A:$E,2,FALSE)</f>
        <v>165</v>
      </c>
      <c r="G89">
        <f>VLOOKUP(Raw_Data4[[#This Row],[PLAYER NAME]],SG!$A:$E,3,FALSE)</f>
        <v>95</v>
      </c>
      <c r="I89" s="34" t="str">
        <f>Raw_Data4[[#This Row],[PLAYER NAME]]</f>
        <v>Keegan Bradley</v>
      </c>
      <c r="J89">
        <f>Raw_Data4[[#This Row],[DIST]]</f>
        <v>88</v>
      </c>
      <c r="K89">
        <f>Raw_Data4[[#This Row],[ACC]]</f>
        <v>57</v>
      </c>
      <c r="L89">
        <f>Raw_Data4[[#This Row],[APP]]</f>
        <v>47</v>
      </c>
      <c r="M89">
        <f>Raw_Data4[[#This Row],[ARG]]</f>
        <v>67</v>
      </c>
      <c r="N89">
        <f>Raw_Data4[[#This Row],[PUTT]]</f>
        <v>165</v>
      </c>
      <c r="O89" s="22">
        <f>Raw_Data4[[#This Row],[SG]]</f>
        <v>95</v>
      </c>
      <c r="P89" s="34">
        <f t="shared" si="4"/>
        <v>249.9</v>
      </c>
      <c r="Q89" s="359">
        <f t="shared" si="5"/>
        <v>344.48719555802467</v>
      </c>
      <c r="R89" s="226">
        <f>(($Z$9-(X89/40)*($Z$9))*VLOOKUP($I89,'2023'!$A$2:$I$278,8,FALSE))+((1-(($Z$9-(X89/40)*($Z$9))))*P89)</f>
        <v>223.72594526054468</v>
      </c>
      <c r="S89" s="14">
        <f>(($Z$9-(X89/40)*($Z$9))*VLOOKUP($I89,'2023'!$A$2:$I$278,9,FALSE))+((1-(($Z$9-(X89/40)*($Z$9))))*Q89)</f>
        <v>289.59293323148052</v>
      </c>
      <c r="T89" s="81"/>
      <c r="U89" s="16"/>
      <c r="V89" s="16"/>
      <c r="W89" s="16"/>
      <c r="X89" s="16">
        <f>VLOOKUP(I89,FEDEX!$A$2:$H$270,4,FALSE)</f>
        <v>9</v>
      </c>
    </row>
    <row r="90" spans="1:24">
      <c r="A90" t="str">
        <f>DIST!A90</f>
        <v>Harris English</v>
      </c>
      <c r="B90">
        <f>VLOOKUP(Raw_Data4[[#This Row],[PLAYER NAME]],DIST!$A:$E,2,FALSE)</f>
        <v>89</v>
      </c>
      <c r="C90">
        <f>VLOOKUP(Raw_Data4[[#This Row],[PLAYER NAME]],ACC!$A:$E,2,FALSE)</f>
        <v>19</v>
      </c>
      <c r="D90">
        <f>VLOOKUP(Raw_Data4[[#This Row],[PLAYER NAME]],APP!$A:$E,2,FALSE)</f>
        <v>112</v>
      </c>
      <c r="E90">
        <f>VLOOKUP(Raw_Data4[[#This Row],[PLAYER NAME]],ARG!$A:$E,2,FALSE)</f>
        <v>38</v>
      </c>
      <c r="F90">
        <f>VLOOKUP(Raw_Data4[[#This Row],[PLAYER NAME]],PUTT!$A:$E,2,FALSE)</f>
        <v>27</v>
      </c>
      <c r="G90">
        <f>VLOOKUP(Raw_Data4[[#This Row],[PLAYER NAME]],SG!$A:$E,3,FALSE)</f>
        <v>33</v>
      </c>
      <c r="I90" s="34" t="str">
        <f>Raw_Data4[[#This Row],[PLAYER NAME]]</f>
        <v>Harris English</v>
      </c>
      <c r="J90">
        <f>Raw_Data4[[#This Row],[DIST]]</f>
        <v>89</v>
      </c>
      <c r="K90">
        <f>Raw_Data4[[#This Row],[ACC]]</f>
        <v>19</v>
      </c>
      <c r="L90">
        <f>Raw_Data4[[#This Row],[APP]]</f>
        <v>112</v>
      </c>
      <c r="M90">
        <f>Raw_Data4[[#This Row],[ARG]]</f>
        <v>38</v>
      </c>
      <c r="N90">
        <f>Raw_Data4[[#This Row],[PUTT]]</f>
        <v>27</v>
      </c>
      <c r="O90" s="22">
        <f>Raw_Data4[[#This Row],[SG]]</f>
        <v>33</v>
      </c>
      <c r="P90" s="34">
        <f t="shared" si="4"/>
        <v>196.7</v>
      </c>
      <c r="Q90" s="359">
        <f t="shared" si="5"/>
        <v>229.47719693078221</v>
      </c>
      <c r="R90" s="226">
        <f>(($Z$9-(X90/40)*($Z$9))*VLOOKUP($I90,'2023'!$A$2:$I$278,8,FALSE))+((1-(($Z$9-(X90/40)*($Z$9))))*P90)</f>
        <v>212.7627558589891</v>
      </c>
      <c r="S90" s="14">
        <f>(($Z$9-(X90/40)*($Z$9))*VLOOKUP($I90,'2023'!$A$2:$I$278,9,FALSE))+((1-(($Z$9-(X90/40)*($Z$9))))*Q90)</f>
        <v>250.36085269932093</v>
      </c>
      <c r="T90" s="81"/>
      <c r="U90" s="16"/>
      <c r="V90" s="16"/>
      <c r="W90" s="16"/>
      <c r="X90" s="16">
        <f>VLOOKUP(I90,FEDEX!$A$2:$H$270,4,FALSE)</f>
        <v>10</v>
      </c>
    </row>
    <row r="91" spans="1:24">
      <c r="A91" t="str">
        <f>DIST!A91</f>
        <v>Hideki Matsuyama</v>
      </c>
      <c r="B91">
        <f>VLOOKUP(Raw_Data4[[#This Row],[PLAYER NAME]],DIST!$A:$E,2,FALSE)</f>
        <v>90</v>
      </c>
      <c r="C91">
        <f>VLOOKUP(Raw_Data4[[#This Row],[PLAYER NAME]],ACC!$A:$E,2,FALSE)</f>
        <v>65</v>
      </c>
      <c r="D91">
        <f>VLOOKUP(Raw_Data4[[#This Row],[PLAYER NAME]],APP!$A:$E,2,FALSE)</f>
        <v>31</v>
      </c>
      <c r="E91">
        <f>VLOOKUP(Raw_Data4[[#This Row],[PLAYER NAME]],ARG!$A:$E,2,FALSE)</f>
        <v>1</v>
      </c>
      <c r="F91">
        <f>VLOOKUP(Raw_Data4[[#This Row],[PLAYER NAME]],PUTT!$A:$E,2,FALSE)</f>
        <v>143</v>
      </c>
      <c r="G91">
        <f>VLOOKUP(Raw_Data4[[#This Row],[PLAYER NAME]],SG!$A:$E,3,FALSE)</f>
        <v>11</v>
      </c>
      <c r="I91" s="34" t="str">
        <f>Raw_Data4[[#This Row],[PLAYER NAME]]</f>
        <v>Hideki Matsuyama</v>
      </c>
      <c r="J91">
        <f>Raw_Data4[[#This Row],[DIST]]</f>
        <v>90</v>
      </c>
      <c r="K91">
        <f>Raw_Data4[[#This Row],[ACC]]</f>
        <v>65</v>
      </c>
      <c r="L91">
        <f>Raw_Data4[[#This Row],[APP]]</f>
        <v>31</v>
      </c>
      <c r="M91">
        <f>Raw_Data4[[#This Row],[ARG]]</f>
        <v>1</v>
      </c>
      <c r="N91">
        <f>Raw_Data4[[#This Row],[PUTT]]</f>
        <v>143</v>
      </c>
      <c r="O91" s="22">
        <f>Raw_Data4[[#This Row],[SG]]</f>
        <v>11</v>
      </c>
      <c r="P91" s="34">
        <f t="shared" si="4"/>
        <v>207.1</v>
      </c>
      <c r="Q91" s="359">
        <f t="shared" si="5"/>
        <v>200.95753944585158</v>
      </c>
      <c r="R91" s="226">
        <f>(($Z$9-(X91/40)*($Z$9))*VLOOKUP($I91,'2023'!$A$2:$I$278,8,FALSE))+((1-(($Z$9-(X91/40)*($Z$9))))*P91)</f>
        <v>222.69940713228749</v>
      </c>
      <c r="S91" s="14">
        <f>(($Z$9-(X91/40)*($Z$9))*VLOOKUP($I91,'2023'!$A$2:$I$278,9,FALSE))+((1-(($Z$9-(X91/40)*($Z$9))))*Q91)</f>
        <v>217.08222431238283</v>
      </c>
      <c r="T91" s="81"/>
      <c r="U91" s="16"/>
      <c r="V91" s="16"/>
      <c r="W91" s="16"/>
      <c r="X91" s="16">
        <f>VLOOKUP(I91,FEDEX!$A$2:$H$270,4,FALSE)</f>
        <v>10</v>
      </c>
    </row>
    <row r="92" spans="1:24">
      <c r="A92" t="str">
        <f>DIST!A92</f>
        <v>Ben Taylor</v>
      </c>
      <c r="B92">
        <f>VLOOKUP(Raw_Data4[[#This Row],[PLAYER NAME]],DIST!$A:$E,2,FALSE)</f>
        <v>91</v>
      </c>
      <c r="C92">
        <f>VLOOKUP(Raw_Data4[[#This Row],[PLAYER NAME]],ACC!$A:$E,2,FALSE)</f>
        <v>183</v>
      </c>
      <c r="D92">
        <f>VLOOKUP(Raw_Data4[[#This Row],[PLAYER NAME]],APP!$A:$E,2,FALSE)</f>
        <v>178</v>
      </c>
      <c r="E92">
        <f>VLOOKUP(Raw_Data4[[#This Row],[PLAYER NAME]],ARG!$A:$E,2,FALSE)</f>
        <v>93</v>
      </c>
      <c r="F92">
        <f>VLOOKUP(Raw_Data4[[#This Row],[PLAYER NAME]],PUTT!$A:$E,2,FALSE)</f>
        <v>106</v>
      </c>
      <c r="G92">
        <f>VLOOKUP(Raw_Data4[[#This Row],[PLAYER NAME]],SG!$A:$E,3,FALSE)</f>
        <v>178</v>
      </c>
      <c r="I92" s="34" t="str">
        <f>Raw_Data4[[#This Row],[PLAYER NAME]]</f>
        <v>Ben Taylor</v>
      </c>
      <c r="J92">
        <f>Raw_Data4[[#This Row],[DIST]]</f>
        <v>91</v>
      </c>
      <c r="K92">
        <f>Raw_Data4[[#This Row],[ACC]]</f>
        <v>183</v>
      </c>
      <c r="L92">
        <f>Raw_Data4[[#This Row],[APP]]</f>
        <v>178</v>
      </c>
      <c r="M92">
        <f>Raw_Data4[[#This Row],[ARG]]</f>
        <v>93</v>
      </c>
      <c r="N92">
        <f>Raw_Data4[[#This Row],[PUTT]]</f>
        <v>106</v>
      </c>
      <c r="O92" s="22">
        <f>Raw_Data4[[#This Row],[SG]]</f>
        <v>178</v>
      </c>
      <c r="P92" s="34">
        <f t="shared" si="4"/>
        <v>388.2</v>
      </c>
      <c r="Q92" s="359">
        <f t="shared" si="5"/>
        <v>587.58207014360323</v>
      </c>
      <c r="R92" s="226">
        <f>(($Z$9-(X92/40)*($Z$9))*VLOOKUP($I92,'2023'!$A$2:$I$278,8,FALSE))+((1-(($Z$9-(X92/40)*($Z$9))))*P92)</f>
        <v>342.53440882396364</v>
      </c>
      <c r="S92" s="14">
        <f>(($Z$9-(X92/40)*($Z$9))*VLOOKUP($I92,'2023'!$A$2:$I$278,9,FALSE))+((1-(($Z$9-(X92/40)*($Z$9))))*Q92)</f>
        <v>511.59758669505288</v>
      </c>
      <c r="T92" s="81"/>
      <c r="U92" s="16"/>
      <c r="V92" s="16"/>
      <c r="W92" s="16"/>
      <c r="X92" s="16">
        <f>VLOOKUP(I92,FEDEX!$A$2:$H$270,4,FALSE)</f>
        <v>10</v>
      </c>
    </row>
    <row r="93" spans="1:24">
      <c r="A93" t="str">
        <f>DIST!A93</f>
        <v>Matthieu Pavon</v>
      </c>
      <c r="B93">
        <f>VLOOKUP(Raw_Data4[[#This Row],[PLAYER NAME]],DIST!$A:$E,2,FALSE)</f>
        <v>92</v>
      </c>
      <c r="C93">
        <f>VLOOKUP(Raw_Data4[[#This Row],[PLAYER NAME]],ACC!$A:$E,2,FALSE)</f>
        <v>8</v>
      </c>
      <c r="D93">
        <f>VLOOKUP(Raw_Data4[[#This Row],[PLAYER NAME]],APP!$A:$E,2,FALSE)</f>
        <v>25</v>
      </c>
      <c r="E93">
        <f>VLOOKUP(Raw_Data4[[#This Row],[PLAYER NAME]],ARG!$A:$E,2,FALSE)</f>
        <v>144</v>
      </c>
      <c r="F93">
        <f>VLOOKUP(Raw_Data4[[#This Row],[PLAYER NAME]],PUTT!$A:$E,2,FALSE)</f>
        <v>6</v>
      </c>
      <c r="G93">
        <f>VLOOKUP(Raw_Data4[[#This Row],[PLAYER NAME]],SG!$A:$E,3,FALSE)</f>
        <v>6</v>
      </c>
      <c r="I93" s="34" t="str">
        <f>Raw_Data4[[#This Row],[PLAYER NAME]]</f>
        <v>Matthieu Pavon</v>
      </c>
      <c r="J93">
        <f>Raw_Data4[[#This Row],[DIST]]</f>
        <v>92</v>
      </c>
      <c r="K93">
        <f>Raw_Data4[[#This Row],[ACC]]</f>
        <v>8</v>
      </c>
      <c r="L93">
        <f>Raw_Data4[[#This Row],[APP]]</f>
        <v>25</v>
      </c>
      <c r="M93">
        <f>Raw_Data4[[#This Row],[ARG]]</f>
        <v>144</v>
      </c>
      <c r="N93">
        <f>Raw_Data4[[#This Row],[PUTT]]</f>
        <v>6</v>
      </c>
      <c r="O93" s="22">
        <f>Raw_Data4[[#This Row],[SG]]</f>
        <v>6</v>
      </c>
      <c r="P93" s="34">
        <f t="shared" si="4"/>
        <v>164.9</v>
      </c>
      <c r="Q93" s="359">
        <f t="shared" si="5"/>
        <v>178.57324439807923</v>
      </c>
      <c r="R93" s="226">
        <f>(($Z$9-(X93/40)*($Z$9))*VLOOKUP($I93,'2023'!$A$2:$I$278,8,FALSE))+((1-(($Z$9-(X93/40)*($Z$9))))*P93)</f>
        <v>199.71636654563792</v>
      </c>
      <c r="S93" s="14">
        <f>(($Z$9-(X93/40)*($Z$9))*VLOOKUP($I93,'2023'!$A$2:$I$278,9,FALSE))+((1-(($Z$9-(X93/40)*($Z$9))))*Q93)</f>
        <v>272.45744456943834</v>
      </c>
      <c r="T93" s="81"/>
      <c r="U93" s="16"/>
      <c r="V93" s="16"/>
      <c r="W93" s="16"/>
      <c r="X93" s="16">
        <f>VLOOKUP(I93,FEDEX!$A$2:$H$270,4,FALSE)</f>
        <v>8</v>
      </c>
    </row>
    <row r="94" spans="1:24">
      <c r="A94" t="str">
        <f>DIST!A94</f>
        <v>Adam Svensson</v>
      </c>
      <c r="B94">
        <f>VLOOKUP(Raw_Data4[[#This Row],[PLAYER NAME]],DIST!$A:$E,2,FALSE)</f>
        <v>92</v>
      </c>
      <c r="C94">
        <f>VLOOKUP(Raw_Data4[[#This Row],[PLAYER NAME]],ACC!$A:$E,2,FALSE)</f>
        <v>100</v>
      </c>
      <c r="D94">
        <f>VLOOKUP(Raw_Data4[[#This Row],[PLAYER NAME]],APP!$A:$E,2,FALSE)</f>
        <v>38</v>
      </c>
      <c r="E94">
        <f>VLOOKUP(Raw_Data4[[#This Row],[PLAYER NAME]],ARG!$A:$E,2,FALSE)</f>
        <v>107</v>
      </c>
      <c r="F94">
        <f>VLOOKUP(Raw_Data4[[#This Row],[PLAYER NAME]],PUTT!$A:$E,2,FALSE)</f>
        <v>166</v>
      </c>
      <c r="G94">
        <f>VLOOKUP(Raw_Data4[[#This Row],[PLAYER NAME]],SG!$A:$E,3,FALSE)</f>
        <v>136</v>
      </c>
      <c r="I94" s="34" t="str">
        <f>Raw_Data4[[#This Row],[PLAYER NAME]]</f>
        <v>Adam Svensson</v>
      </c>
      <c r="J94">
        <f>Raw_Data4[[#This Row],[DIST]]</f>
        <v>92</v>
      </c>
      <c r="K94">
        <f>Raw_Data4[[#This Row],[ACC]]</f>
        <v>100</v>
      </c>
      <c r="L94">
        <f>Raw_Data4[[#This Row],[APP]]</f>
        <v>38</v>
      </c>
      <c r="M94">
        <f>Raw_Data4[[#This Row],[ARG]]</f>
        <v>107</v>
      </c>
      <c r="N94">
        <f>Raw_Data4[[#This Row],[PUTT]]</f>
        <v>166</v>
      </c>
      <c r="O94" s="22">
        <f>Raw_Data4[[#This Row],[SG]]</f>
        <v>136</v>
      </c>
      <c r="P94" s="34">
        <f t="shared" si="4"/>
        <v>285.20000000000005</v>
      </c>
      <c r="Q94" s="359">
        <f t="shared" si="5"/>
        <v>426.53044015973484</v>
      </c>
      <c r="R94" s="226">
        <f>(($Z$9-(X94/40)*($Z$9))*VLOOKUP($I94,'2023'!$A$2:$I$278,8,FALSE))+((1-(($Z$9-(X94/40)*($Z$9))))*P94)</f>
        <v>262.80824375554596</v>
      </c>
      <c r="S94" s="14">
        <f>(($Z$9-(X94/40)*($Z$9))*VLOOKUP($I94,'2023'!$A$2:$I$278,9,FALSE))+((1-(($Z$9-(X94/40)*($Z$9))))*Q94)</f>
        <v>347.17714638220536</v>
      </c>
      <c r="T94" s="81"/>
      <c r="U94" s="16"/>
      <c r="V94" s="16"/>
      <c r="W94" s="16"/>
      <c r="X94" s="16">
        <f>VLOOKUP(I94,FEDEX!$A$2:$H$270,4,FALSE)</f>
        <v>12</v>
      </c>
    </row>
    <row r="95" spans="1:24">
      <c r="A95" t="str">
        <f>DIST!A95</f>
        <v>Corey Conners</v>
      </c>
      <c r="B95">
        <f>VLOOKUP(Raw_Data4[[#This Row],[PLAYER NAME]],DIST!$A:$E,2,FALSE)</f>
        <v>94</v>
      </c>
      <c r="C95">
        <f>VLOOKUP(Raw_Data4[[#This Row],[PLAYER NAME]],ACC!$A:$E,2,FALSE)</f>
        <v>21</v>
      </c>
      <c r="D95">
        <f>VLOOKUP(Raw_Data4[[#This Row],[PLAYER NAME]],APP!$A:$E,2,FALSE)</f>
        <v>4</v>
      </c>
      <c r="E95">
        <f>VLOOKUP(Raw_Data4[[#This Row],[PLAYER NAME]],ARG!$A:$E,2,FALSE)</f>
        <v>130</v>
      </c>
      <c r="F95">
        <f>VLOOKUP(Raw_Data4[[#This Row],[PLAYER NAME]],PUTT!$A:$E,2,FALSE)</f>
        <v>158</v>
      </c>
      <c r="G95">
        <f>VLOOKUP(Raw_Data4[[#This Row],[PLAYER NAME]],SG!$A:$E,3,FALSE)</f>
        <v>38</v>
      </c>
      <c r="I95" s="34" t="str">
        <f>Raw_Data4[[#This Row],[PLAYER NAME]]</f>
        <v>Corey Conners</v>
      </c>
      <c r="J95">
        <f>Raw_Data4[[#This Row],[DIST]]</f>
        <v>94</v>
      </c>
      <c r="K95">
        <f>Raw_Data4[[#This Row],[ACC]]</f>
        <v>21</v>
      </c>
      <c r="L95">
        <f>Raw_Data4[[#This Row],[APP]]</f>
        <v>4</v>
      </c>
      <c r="M95">
        <f>Raw_Data4[[#This Row],[ARG]]</f>
        <v>130</v>
      </c>
      <c r="N95">
        <f>Raw_Data4[[#This Row],[PUTT]]</f>
        <v>158</v>
      </c>
      <c r="O95" s="22">
        <f>Raw_Data4[[#This Row],[SG]]</f>
        <v>38</v>
      </c>
      <c r="P95" s="34">
        <f t="shared" si="4"/>
        <v>228.9</v>
      </c>
      <c r="Q95" s="359">
        <f t="shared" si="5"/>
        <v>271.39954096974958</v>
      </c>
      <c r="R95" s="226">
        <f>(($Z$9-(X95/40)*($Z$9))*VLOOKUP($I95,'2023'!$A$2:$I$278,8,FALSE))+((1-(($Z$9-(X95/40)*($Z$9))))*P95)</f>
        <v>242.07969711506797</v>
      </c>
      <c r="S95" s="14">
        <f>(($Z$9-(X95/40)*($Z$9))*VLOOKUP($I95,'2023'!$A$2:$I$278,9,FALSE))+((1-(($Z$9-(X95/40)*($Z$9))))*Q95)</f>
        <v>278.04712469889205</v>
      </c>
      <c r="T95" s="81"/>
      <c r="U95" s="16"/>
      <c r="V95" s="16"/>
      <c r="W95" s="16"/>
      <c r="X95" s="16">
        <f>VLOOKUP(I95,FEDEX!$A$2:$H$270,4,FALSE)</f>
        <v>10</v>
      </c>
    </row>
    <row r="96" spans="1:24">
      <c r="A96" t="str">
        <f>DIST!A96</f>
        <v>Beau Hossler</v>
      </c>
      <c r="B96">
        <f>VLOOKUP(Raw_Data4[[#This Row],[PLAYER NAME]],DIST!$A:$E,2,FALSE)</f>
        <v>95</v>
      </c>
      <c r="C96">
        <f>VLOOKUP(Raw_Data4[[#This Row],[PLAYER NAME]],ACC!$A:$E,2,FALSE)</f>
        <v>135</v>
      </c>
      <c r="D96">
        <f>VLOOKUP(Raw_Data4[[#This Row],[PLAYER NAME]],APP!$A:$E,2,FALSE)</f>
        <v>147</v>
      </c>
      <c r="E96">
        <f>VLOOKUP(Raw_Data4[[#This Row],[PLAYER NAME]],ARG!$A:$E,2,FALSE)</f>
        <v>48</v>
      </c>
      <c r="F96">
        <f>VLOOKUP(Raw_Data4[[#This Row],[PLAYER NAME]],PUTT!$A:$E,2,FALSE)</f>
        <v>31</v>
      </c>
      <c r="G96">
        <f>VLOOKUP(Raw_Data4[[#This Row],[PLAYER NAME]],SG!$A:$E,3,FALSE)</f>
        <v>65</v>
      </c>
      <c r="I96" s="34" t="str">
        <f>Raw_Data4[[#This Row],[PLAYER NAME]]</f>
        <v>Beau Hossler</v>
      </c>
      <c r="J96">
        <f>Raw_Data4[[#This Row],[DIST]]</f>
        <v>95</v>
      </c>
      <c r="K96">
        <f>Raw_Data4[[#This Row],[ACC]]</f>
        <v>135</v>
      </c>
      <c r="L96">
        <f>Raw_Data4[[#This Row],[APP]]</f>
        <v>147</v>
      </c>
      <c r="M96">
        <f>Raw_Data4[[#This Row],[ARG]]</f>
        <v>48</v>
      </c>
      <c r="N96">
        <f>Raw_Data4[[#This Row],[PUTT]]</f>
        <v>31</v>
      </c>
      <c r="O96" s="22">
        <f>Raw_Data4[[#This Row],[SG]]</f>
        <v>65</v>
      </c>
      <c r="P96" s="34">
        <f t="shared" si="4"/>
        <v>290.59999999999997</v>
      </c>
      <c r="Q96" s="359">
        <f t="shared" si="5"/>
        <v>360.75108297009905</v>
      </c>
      <c r="R96" s="226">
        <f>(($Z$9-(X96/40)*($Z$9))*VLOOKUP($I96,'2023'!$A$2:$I$278,8,FALSE))+((1-(($Z$9-(X96/40)*($Z$9))))*P96)</f>
        <v>277.36881969307626</v>
      </c>
      <c r="S96" s="14">
        <f>(($Z$9-(X96/40)*($Z$9))*VLOOKUP($I96,'2023'!$A$2:$I$278,9,FALSE))+((1-(($Z$9-(X96/40)*($Z$9))))*Q96)</f>
        <v>350.54504619178061</v>
      </c>
      <c r="T96" s="81"/>
      <c r="U96" s="16"/>
      <c r="V96" s="16"/>
      <c r="W96" s="16"/>
      <c r="X96" s="16">
        <f>VLOOKUP(I96,FEDEX!$A$2:$H$270,4,FALSE)</f>
        <v>10</v>
      </c>
    </row>
    <row r="97" spans="1:24">
      <c r="A97" t="str">
        <f>DIST!A97</f>
        <v>Trace Crowe</v>
      </c>
      <c r="B97">
        <f>VLOOKUP(Raw_Data4[[#This Row],[PLAYER NAME]],DIST!$A:$E,2,FALSE)</f>
        <v>96</v>
      </c>
      <c r="C97">
        <f>VLOOKUP(Raw_Data4[[#This Row],[PLAYER NAME]],ACC!$A:$E,2,FALSE)</f>
        <v>160</v>
      </c>
      <c r="D97">
        <f>VLOOKUP(Raw_Data4[[#This Row],[PLAYER NAME]],APP!$A:$E,2,FALSE)</f>
        <v>177</v>
      </c>
      <c r="E97">
        <f>VLOOKUP(Raw_Data4[[#This Row],[PLAYER NAME]],ARG!$A:$E,2,FALSE)</f>
        <v>162</v>
      </c>
      <c r="F97">
        <f>VLOOKUP(Raw_Data4[[#This Row],[PLAYER NAME]],PUTT!$A:$E,2,FALSE)</f>
        <v>44</v>
      </c>
      <c r="G97">
        <f>VLOOKUP(Raw_Data4[[#This Row],[PLAYER NAME]],SG!$A:$E,3,FALSE)</f>
        <v>152</v>
      </c>
      <c r="I97" s="34" t="str">
        <f>Raw_Data4[[#This Row],[PLAYER NAME]]</f>
        <v>Trace Crowe</v>
      </c>
      <c r="J97">
        <f>Raw_Data4[[#This Row],[DIST]]</f>
        <v>96</v>
      </c>
      <c r="K97">
        <f>Raw_Data4[[#This Row],[ACC]]</f>
        <v>160</v>
      </c>
      <c r="L97">
        <f>Raw_Data4[[#This Row],[APP]]</f>
        <v>177</v>
      </c>
      <c r="M97">
        <f>Raw_Data4[[#This Row],[ARG]]</f>
        <v>162</v>
      </c>
      <c r="N97">
        <f>Raw_Data4[[#This Row],[PUTT]]</f>
        <v>44</v>
      </c>
      <c r="O97" s="22">
        <f>Raw_Data4[[#This Row],[SG]]</f>
        <v>152</v>
      </c>
      <c r="P97" s="34">
        <f t="shared" si="4"/>
        <v>377.1</v>
      </c>
      <c r="Q97" s="359">
        <f t="shared" si="5"/>
        <v>561.70031958857601</v>
      </c>
      <c r="R97" s="226" t="e">
        <f>(($Z$9-(X97/40)*($Z$9))*VLOOKUP($I97,'2023'!$A$2:$I$278,8,FALSE))+((1-(($Z$9-(X97/40)*($Z$9))))*P97)</f>
        <v>#N/A</v>
      </c>
      <c r="S97" s="14" t="e">
        <f>(($Z$9-(X97/40)*($Z$9))*VLOOKUP($I97,'2023'!$A$2:$I$278,9,FALSE))+((1-(($Z$9-(X97/40)*($Z$9))))*Q97)</f>
        <v>#N/A</v>
      </c>
      <c r="T97" s="81"/>
      <c r="U97" s="16"/>
      <c r="V97" s="16"/>
      <c r="W97" s="16"/>
      <c r="X97" s="16">
        <f>VLOOKUP(I97,FEDEX!$A$2:$H$270,4,FALSE)</f>
        <v>7</v>
      </c>
    </row>
    <row r="98" spans="1:24">
      <c r="A98" t="str">
        <f>DIST!A98</f>
        <v>Adam Hadwin</v>
      </c>
      <c r="B98">
        <f>VLOOKUP(Raw_Data4[[#This Row],[PLAYER NAME]],DIST!$A:$E,2,FALSE)</f>
        <v>97</v>
      </c>
      <c r="C98">
        <f>VLOOKUP(Raw_Data4[[#This Row],[PLAYER NAME]],ACC!$A:$E,2,FALSE)</f>
        <v>25</v>
      </c>
      <c r="D98">
        <f>VLOOKUP(Raw_Data4[[#This Row],[PLAYER NAME]],APP!$A:$E,2,FALSE)</f>
        <v>106</v>
      </c>
      <c r="E98">
        <f>VLOOKUP(Raw_Data4[[#This Row],[PLAYER NAME]],ARG!$A:$E,2,FALSE)</f>
        <v>90</v>
      </c>
      <c r="F98">
        <f>VLOOKUP(Raw_Data4[[#This Row],[PLAYER NAME]],PUTT!$A:$E,2,FALSE)</f>
        <v>59</v>
      </c>
      <c r="G98">
        <f>VLOOKUP(Raw_Data4[[#This Row],[PLAYER NAME]],SG!$A:$E,3,FALSE)</f>
        <v>81</v>
      </c>
      <c r="I98" s="34" t="str">
        <f>Raw_Data4[[#This Row],[PLAYER NAME]]</f>
        <v>Adam Hadwin</v>
      </c>
      <c r="J98">
        <f>Raw_Data4[[#This Row],[DIST]]</f>
        <v>97</v>
      </c>
      <c r="K98">
        <f>Raw_Data4[[#This Row],[ACC]]</f>
        <v>25</v>
      </c>
      <c r="L98">
        <f>Raw_Data4[[#This Row],[APP]]</f>
        <v>106</v>
      </c>
      <c r="M98">
        <f>Raw_Data4[[#This Row],[ARG]]</f>
        <v>90</v>
      </c>
      <c r="N98">
        <f>Raw_Data4[[#This Row],[PUTT]]</f>
        <v>59</v>
      </c>
      <c r="O98" s="22">
        <f>Raw_Data4[[#This Row],[SG]]</f>
        <v>81</v>
      </c>
      <c r="P98" s="34">
        <f t="shared" ref="P98:P129" si="6">$Z$2*J98+$AA$2*K98+$AB$2*L98+$AC$2*M98+$AD$2*N98</f>
        <v>239.5</v>
      </c>
      <c r="Q98" s="359">
        <f t="shared" ref="Q98:Q129" si="7">$Z$5*J98+$AA$5*K98+$AB$5*L98+$AC$5*M98+$AD$5*N98+$AE$5*O98</f>
        <v>328.47421801654434</v>
      </c>
      <c r="R98" s="226">
        <f>(($Z$9-(X98/40)*($Z$9))*VLOOKUP($I98,'2023'!$A$2:$I$278,8,FALSE))+((1-(($Z$9-(X98/40)*($Z$9))))*P98)</f>
        <v>238.4703361628853</v>
      </c>
      <c r="S98" s="14">
        <f>(($Z$9-(X98/40)*($Z$9))*VLOOKUP($I98,'2023'!$A$2:$I$278,9,FALSE))+((1-(($Z$9-(X98/40)*($Z$9))))*Q98)</f>
        <v>295.49358332724353</v>
      </c>
      <c r="T98" s="81"/>
      <c r="U98" s="16"/>
      <c r="V98" s="16"/>
      <c r="W98" s="16"/>
      <c r="X98" s="16">
        <f>VLOOKUP(I98,FEDEX!$A$2:$H$270,4,FALSE)</f>
        <v>10</v>
      </c>
    </row>
    <row r="99" spans="1:24">
      <c r="A99" t="str">
        <f>DIST!A99</f>
        <v>Will Zalatoris</v>
      </c>
      <c r="B99">
        <f>VLOOKUP(Raw_Data4[[#This Row],[PLAYER NAME]],DIST!$A:$E,2,FALSE)</f>
        <v>98</v>
      </c>
      <c r="C99">
        <f>VLOOKUP(Raw_Data4[[#This Row],[PLAYER NAME]],ACC!$A:$E,2,FALSE)</f>
        <v>10</v>
      </c>
      <c r="D99">
        <f>VLOOKUP(Raw_Data4[[#This Row],[PLAYER NAME]],APP!$A:$E,2,FALSE)</f>
        <v>8</v>
      </c>
      <c r="E99">
        <f>VLOOKUP(Raw_Data4[[#This Row],[PLAYER NAME]],ARG!$A:$E,2,FALSE)</f>
        <v>108</v>
      </c>
      <c r="F99">
        <f>VLOOKUP(Raw_Data4[[#This Row],[PLAYER NAME]],PUTT!$A:$E,2,FALSE)</f>
        <v>144</v>
      </c>
      <c r="G99">
        <f>VLOOKUP(Raw_Data4[[#This Row],[PLAYER NAME]],SG!$A:$E,3,FALSE)</f>
        <v>52</v>
      </c>
      <c r="I99" s="34" t="str">
        <f>Raw_Data4[[#This Row],[PLAYER NAME]]</f>
        <v>Will Zalatoris</v>
      </c>
      <c r="J99">
        <f>Raw_Data4[[#This Row],[DIST]]</f>
        <v>98</v>
      </c>
      <c r="K99">
        <f>Raw_Data4[[#This Row],[ACC]]</f>
        <v>10</v>
      </c>
      <c r="L99">
        <f>Raw_Data4[[#This Row],[APP]]</f>
        <v>8</v>
      </c>
      <c r="M99">
        <f>Raw_Data4[[#This Row],[ARG]]</f>
        <v>108</v>
      </c>
      <c r="N99">
        <f>Raw_Data4[[#This Row],[PUTT]]</f>
        <v>144</v>
      </c>
      <c r="O99" s="22">
        <f>Raw_Data4[[#This Row],[SG]]</f>
        <v>52</v>
      </c>
      <c r="P99" s="34">
        <f t="shared" si="6"/>
        <v>214</v>
      </c>
      <c r="Q99" s="359">
        <f t="shared" si="7"/>
        <v>265.20518129122036</v>
      </c>
      <c r="R99" s="226">
        <f>(($Z$9-(X99/40)*($Z$9))*VLOOKUP($I99,'2023'!$A$2:$I$278,8,FALSE))+((1-(($Z$9-(X99/40)*($Z$9))))*P99)</f>
        <v>254.36282241489567</v>
      </c>
      <c r="S99" s="14">
        <f>(($Z$9-(X99/40)*($Z$9))*VLOOKUP($I99,'2023'!$A$2:$I$278,9,FALSE))+((1-(($Z$9-(X99/40)*($Z$9))))*Q99)</f>
        <v>354.20248463502537</v>
      </c>
      <c r="T99" s="81"/>
      <c r="U99" s="16"/>
      <c r="V99" s="16"/>
      <c r="W99" s="16"/>
      <c r="X99" s="16">
        <f>VLOOKUP(I99,FEDEX!$A$2:$H$270,4,FALSE)</f>
        <v>8</v>
      </c>
    </row>
    <row r="100" spans="1:24">
      <c r="A100" t="str">
        <f>DIST!A100</f>
        <v>Rickie Fowler</v>
      </c>
      <c r="B100">
        <f>VLOOKUP(Raw_Data4[[#This Row],[PLAYER NAME]],DIST!$A:$E,2,FALSE)</f>
        <v>99</v>
      </c>
      <c r="C100">
        <f>VLOOKUP(Raw_Data4[[#This Row],[PLAYER NAME]],ACC!$A:$E,2,FALSE)</f>
        <v>49</v>
      </c>
      <c r="D100">
        <f>VLOOKUP(Raw_Data4[[#This Row],[PLAYER NAME]],APP!$A:$E,2,FALSE)</f>
        <v>132</v>
      </c>
      <c r="E100">
        <f>VLOOKUP(Raw_Data4[[#This Row],[PLAYER NAME]],ARG!$A:$E,2,FALSE)</f>
        <v>70</v>
      </c>
      <c r="F100">
        <f>VLOOKUP(Raw_Data4[[#This Row],[PLAYER NAME]],PUTT!$A:$E,2,FALSE)</f>
        <v>122</v>
      </c>
      <c r="G100">
        <f>VLOOKUP(Raw_Data4[[#This Row],[PLAYER NAME]],SG!$A:$E,3,FALSE)</f>
        <v>161</v>
      </c>
      <c r="I100" s="34" t="str">
        <f>Raw_Data4[[#This Row],[PLAYER NAME]]</f>
        <v>Rickie Fowler</v>
      </c>
      <c r="J100">
        <f>Raw_Data4[[#This Row],[DIST]]</f>
        <v>99</v>
      </c>
      <c r="K100">
        <f>Raw_Data4[[#This Row],[ACC]]</f>
        <v>49</v>
      </c>
      <c r="L100">
        <f>Raw_Data4[[#This Row],[APP]]</f>
        <v>132</v>
      </c>
      <c r="M100">
        <f>Raw_Data4[[#This Row],[ARG]]</f>
        <v>70</v>
      </c>
      <c r="N100">
        <f>Raw_Data4[[#This Row],[PUTT]]</f>
        <v>122</v>
      </c>
      <c r="O100" s="22">
        <f>Raw_Data4[[#This Row],[SG]]</f>
        <v>161</v>
      </c>
      <c r="P100" s="34">
        <f t="shared" si="6"/>
        <v>295</v>
      </c>
      <c r="Q100" s="359">
        <f t="shared" si="7"/>
        <v>464.38268826037682</v>
      </c>
      <c r="R100" s="226">
        <f>(($Z$9-(X100/40)*($Z$9))*VLOOKUP($I100,'2023'!$A$2:$I$278,8,FALSE))+((1-(($Z$9-(X100/40)*($Z$9))))*P100)</f>
        <v>209.48641832762536</v>
      </c>
      <c r="S100" s="14">
        <f>(($Z$9-(X100/40)*($Z$9))*VLOOKUP($I100,'2023'!$A$2:$I$278,9,FALSE))+((1-(($Z$9-(X100/40)*($Z$9))))*Q100)</f>
        <v>295.51619640568038</v>
      </c>
      <c r="T100" s="81"/>
      <c r="U100" s="16"/>
      <c r="V100" s="16"/>
      <c r="W100" s="16"/>
      <c r="X100" s="16">
        <f>VLOOKUP(I100,FEDEX!$A$2:$H$270,4,FALSE)</f>
        <v>10</v>
      </c>
    </row>
    <row r="101" spans="1:24">
      <c r="A101" t="str">
        <f>DIST!A101</f>
        <v>Billy Horschel</v>
      </c>
      <c r="B101">
        <f>VLOOKUP(Raw_Data4[[#This Row],[PLAYER NAME]],DIST!$A:$E,2,FALSE)</f>
        <v>100</v>
      </c>
      <c r="C101">
        <f>VLOOKUP(Raw_Data4[[#This Row],[PLAYER NAME]],ACC!$A:$E,2,FALSE)</f>
        <v>84</v>
      </c>
      <c r="D101">
        <f>VLOOKUP(Raw_Data4[[#This Row],[PLAYER NAME]],APP!$A:$E,2,FALSE)</f>
        <v>73</v>
      </c>
      <c r="E101">
        <f>VLOOKUP(Raw_Data4[[#This Row],[PLAYER NAME]],ARG!$A:$E,2,FALSE)</f>
        <v>61</v>
      </c>
      <c r="F101">
        <f>VLOOKUP(Raw_Data4[[#This Row],[PLAYER NAME]],PUTT!$A:$E,2,FALSE)</f>
        <v>18</v>
      </c>
      <c r="G101">
        <f>VLOOKUP(Raw_Data4[[#This Row],[PLAYER NAME]],SG!$A:$E,3,FALSE)</f>
        <v>10</v>
      </c>
      <c r="I101" s="34" t="str">
        <f>Raw_Data4[[#This Row],[PLAYER NAME]]</f>
        <v>Billy Horschel</v>
      </c>
      <c r="J101">
        <f>Raw_Data4[[#This Row],[DIST]]</f>
        <v>100</v>
      </c>
      <c r="K101">
        <f>Raw_Data4[[#This Row],[ACC]]</f>
        <v>84</v>
      </c>
      <c r="L101">
        <f>Raw_Data4[[#This Row],[APP]]</f>
        <v>73</v>
      </c>
      <c r="M101">
        <f>Raw_Data4[[#This Row],[ARG]]</f>
        <v>61</v>
      </c>
      <c r="N101">
        <f>Raw_Data4[[#This Row],[PUTT]]</f>
        <v>18</v>
      </c>
      <c r="O101" s="22">
        <f>Raw_Data4[[#This Row],[SG]]</f>
        <v>10</v>
      </c>
      <c r="P101" s="34">
        <f t="shared" si="6"/>
        <v>216.5</v>
      </c>
      <c r="Q101" s="359">
        <f t="shared" si="7"/>
        <v>222.13166037076235</v>
      </c>
      <c r="R101" s="226">
        <f>(($Z$9-(X101/40)*($Z$9))*VLOOKUP($I101,'2023'!$A$2:$I$278,8,FALSE))+((1-(($Z$9-(X101/40)*($Z$9))))*P101)</f>
        <v>252.62232351237839</v>
      </c>
      <c r="S101" s="14">
        <f>(($Z$9-(X101/40)*($Z$9))*VLOOKUP($I101,'2023'!$A$2:$I$278,9,FALSE))+((1-(($Z$9-(X101/40)*($Z$9))))*Q101)</f>
        <v>313.21087787002693</v>
      </c>
      <c r="T101" s="81"/>
      <c r="U101" s="16"/>
      <c r="V101" s="16"/>
      <c r="W101" s="16"/>
      <c r="X101" s="16">
        <f>VLOOKUP(I101,FEDEX!$A$2:$H$270,4,FALSE)</f>
        <v>9</v>
      </c>
    </row>
    <row r="102" spans="1:24">
      <c r="A102" t="str">
        <f>DIST!A102</f>
        <v>Jorge Campillo</v>
      </c>
      <c r="B102">
        <f>VLOOKUP(Raw_Data4[[#This Row],[PLAYER NAME]],DIST!$A:$E,2,FALSE)</f>
        <v>101</v>
      </c>
      <c r="C102">
        <f>VLOOKUP(Raw_Data4[[#This Row],[PLAYER NAME]],ACC!$A:$E,2,FALSE)</f>
        <v>90</v>
      </c>
      <c r="D102">
        <f>VLOOKUP(Raw_Data4[[#This Row],[PLAYER NAME]],APP!$A:$E,2,FALSE)</f>
        <v>93</v>
      </c>
      <c r="E102">
        <f>VLOOKUP(Raw_Data4[[#This Row],[PLAYER NAME]],ARG!$A:$E,2,FALSE)</f>
        <v>12</v>
      </c>
      <c r="F102">
        <f>VLOOKUP(Raw_Data4[[#This Row],[PLAYER NAME]],PUTT!$A:$E,2,FALSE)</f>
        <v>105</v>
      </c>
      <c r="G102">
        <f>VLOOKUP(Raw_Data4[[#This Row],[PLAYER NAME]],SG!$A:$E,3,FALSE)</f>
        <v>75</v>
      </c>
      <c r="I102" s="34" t="str">
        <f>Raw_Data4[[#This Row],[PLAYER NAME]]</f>
        <v>Jorge Campillo</v>
      </c>
      <c r="J102">
        <f>Raw_Data4[[#This Row],[DIST]]</f>
        <v>101</v>
      </c>
      <c r="K102">
        <f>Raw_Data4[[#This Row],[ACC]]</f>
        <v>90</v>
      </c>
      <c r="L102">
        <f>Raw_Data4[[#This Row],[APP]]</f>
        <v>93</v>
      </c>
      <c r="M102">
        <f>Raw_Data4[[#This Row],[ARG]]</f>
        <v>12</v>
      </c>
      <c r="N102">
        <f>Raw_Data4[[#This Row],[PUTT]]</f>
        <v>105</v>
      </c>
      <c r="O102" s="22">
        <f>Raw_Data4[[#This Row],[SG]]</f>
        <v>75</v>
      </c>
      <c r="P102" s="34">
        <f t="shared" si="6"/>
        <v>258.3</v>
      </c>
      <c r="Q102" s="359">
        <f t="shared" si="7"/>
        <v>323.38345557570665</v>
      </c>
      <c r="R102" s="226">
        <f>(($Z$9-(X102/40)*($Z$9))*VLOOKUP($I102,'2023'!$A$2:$I$278,8,FALSE))+((1-(($Z$9-(X102/40)*($Z$9))))*P102)</f>
        <v>282.981042175639</v>
      </c>
      <c r="S102" s="14">
        <f>(($Z$9-(X102/40)*($Z$9))*VLOOKUP($I102,'2023'!$A$2:$I$278,9,FALSE))+((1-(($Z$9-(X102/40)*($Z$9))))*Q102)</f>
        <v>348.09983580878276</v>
      </c>
      <c r="T102" s="81"/>
      <c r="U102" s="16"/>
      <c r="V102" s="16"/>
      <c r="W102" s="16"/>
      <c r="X102" s="16">
        <f>VLOOKUP(I102,FEDEX!$A$2:$H$270,4,FALSE)</f>
        <v>6</v>
      </c>
    </row>
    <row r="103" spans="1:24">
      <c r="A103" t="str">
        <f>DIST!A103</f>
        <v>Austin Eckroat</v>
      </c>
      <c r="B103">
        <f>VLOOKUP(Raw_Data4[[#This Row],[PLAYER NAME]],DIST!$A:$E,2,FALSE)</f>
        <v>101</v>
      </c>
      <c r="C103">
        <f>VLOOKUP(Raw_Data4[[#This Row],[PLAYER NAME]],ACC!$A:$E,2,FALSE)</f>
        <v>26</v>
      </c>
      <c r="D103">
        <f>VLOOKUP(Raw_Data4[[#This Row],[PLAYER NAME]],APP!$A:$E,2,FALSE)</f>
        <v>10</v>
      </c>
      <c r="E103">
        <f>VLOOKUP(Raw_Data4[[#This Row],[PLAYER NAME]],ARG!$A:$E,2,FALSE)</f>
        <v>65</v>
      </c>
      <c r="F103">
        <f>VLOOKUP(Raw_Data4[[#This Row],[PLAYER NAME]],PUTT!$A:$E,2,FALSE)</f>
        <v>119</v>
      </c>
      <c r="G103">
        <f>VLOOKUP(Raw_Data4[[#This Row],[PLAYER NAME]],SG!$A:$E,3,FALSE)</f>
        <v>26</v>
      </c>
      <c r="I103" s="34" t="str">
        <f>Raw_Data4[[#This Row],[PLAYER NAME]]</f>
        <v>Austin Eckroat</v>
      </c>
      <c r="J103">
        <f>Raw_Data4[[#This Row],[DIST]]</f>
        <v>101</v>
      </c>
      <c r="K103">
        <f>Raw_Data4[[#This Row],[ACC]]</f>
        <v>26</v>
      </c>
      <c r="L103">
        <f>Raw_Data4[[#This Row],[APP]]</f>
        <v>10</v>
      </c>
      <c r="M103">
        <f>Raw_Data4[[#This Row],[ARG]]</f>
        <v>65</v>
      </c>
      <c r="N103">
        <f>Raw_Data4[[#This Row],[PUTT]]</f>
        <v>119</v>
      </c>
      <c r="O103" s="22">
        <f>Raw_Data4[[#This Row],[SG]]</f>
        <v>26</v>
      </c>
      <c r="P103" s="34">
        <f t="shared" si="6"/>
        <v>196.4</v>
      </c>
      <c r="Q103" s="359">
        <f t="shared" si="7"/>
        <v>211.77569261695518</v>
      </c>
      <c r="R103" s="226">
        <f>(($Z$9-(X103/40)*($Z$9))*VLOOKUP($I103,'2023'!$A$2:$I$278,8,FALSE))+((1-(($Z$9-(X103/40)*($Z$9))))*P103)</f>
        <v>228.37106214241101</v>
      </c>
      <c r="S103" s="14">
        <f>(($Z$9-(X103/40)*($Z$9))*VLOOKUP($I103,'2023'!$A$2:$I$278,9,FALSE))+((1-(($Z$9-(X103/40)*($Z$9))))*Q103)</f>
        <v>278.85699819183867</v>
      </c>
      <c r="T103" s="81"/>
      <c r="U103" s="16"/>
      <c r="V103" s="16"/>
      <c r="W103" s="16"/>
      <c r="X103" s="16">
        <f>VLOOKUP(I103,FEDEX!$A$2:$H$270,4,FALSE)</f>
        <v>10</v>
      </c>
    </row>
    <row r="104" spans="1:24">
      <c r="A104" t="str">
        <f>DIST!A104</f>
        <v>Eric Cole</v>
      </c>
      <c r="B104">
        <f>VLOOKUP(Raw_Data4[[#This Row],[PLAYER NAME]],DIST!$A:$E,2,FALSE)</f>
        <v>103</v>
      </c>
      <c r="C104">
        <f>VLOOKUP(Raw_Data4[[#This Row],[PLAYER NAME]],ACC!$A:$E,2,FALSE)</f>
        <v>55</v>
      </c>
      <c r="D104">
        <f>VLOOKUP(Raw_Data4[[#This Row],[PLAYER NAME]],APP!$A:$E,2,FALSE)</f>
        <v>53</v>
      </c>
      <c r="E104">
        <f>VLOOKUP(Raw_Data4[[#This Row],[PLAYER NAME]],ARG!$A:$E,2,FALSE)</f>
        <v>104</v>
      </c>
      <c r="F104">
        <f>VLOOKUP(Raw_Data4[[#This Row],[PLAYER NAME]],PUTT!$A:$E,2,FALSE)</f>
        <v>42</v>
      </c>
      <c r="G104">
        <f>VLOOKUP(Raw_Data4[[#This Row],[PLAYER NAME]],SG!$A:$E,3,FALSE)</f>
        <v>63</v>
      </c>
      <c r="I104" s="34" t="str">
        <f>Raw_Data4[[#This Row],[PLAYER NAME]]</f>
        <v>Eric Cole</v>
      </c>
      <c r="J104">
        <f>Raw_Data4[[#This Row],[DIST]]</f>
        <v>103</v>
      </c>
      <c r="K104">
        <f>Raw_Data4[[#This Row],[ACC]]</f>
        <v>55</v>
      </c>
      <c r="L104">
        <f>Raw_Data4[[#This Row],[APP]]</f>
        <v>53</v>
      </c>
      <c r="M104">
        <f>Raw_Data4[[#This Row],[ARG]]</f>
        <v>104</v>
      </c>
      <c r="N104">
        <f>Raw_Data4[[#This Row],[PUTT]]</f>
        <v>42</v>
      </c>
      <c r="O104" s="22">
        <f>Raw_Data4[[#This Row],[SG]]</f>
        <v>63</v>
      </c>
      <c r="P104" s="34">
        <f t="shared" si="6"/>
        <v>219.9</v>
      </c>
      <c r="Q104" s="359">
        <f t="shared" si="7"/>
        <v>284.13294687564525</v>
      </c>
      <c r="R104" s="226">
        <f>(($Z$9-(X104/40)*($Z$9))*VLOOKUP($I104,'2023'!$A$2:$I$278,8,FALSE))+((1-(($Z$9-(X104/40)*($Z$9))))*P104)</f>
        <v>215.03483836963312</v>
      </c>
      <c r="S104" s="14">
        <f>(($Z$9-(X104/40)*($Z$9))*VLOOKUP($I104,'2023'!$A$2:$I$278,9,FALSE))+((1-(($Z$9-(X104/40)*($Z$9))))*Q104)</f>
        <v>245.3538822868052</v>
      </c>
      <c r="T104" s="81"/>
      <c r="U104" s="16"/>
      <c r="V104" s="16"/>
      <c r="W104" s="16"/>
      <c r="X104" s="16">
        <f>VLOOKUP(I104,FEDEX!$A$2:$H$270,4,FALSE)</f>
        <v>13</v>
      </c>
    </row>
    <row r="105" spans="1:24">
      <c r="A105" t="str">
        <f>DIST!A105</f>
        <v>Chandler Phillips</v>
      </c>
      <c r="B105">
        <f>VLOOKUP(Raw_Data4[[#This Row],[PLAYER NAME]],DIST!$A:$E,2,FALSE)</f>
        <v>103</v>
      </c>
      <c r="C105">
        <f>VLOOKUP(Raw_Data4[[#This Row],[PLAYER NAME]],ACC!$A:$E,2,FALSE)</f>
        <v>111</v>
      </c>
      <c r="D105">
        <f>VLOOKUP(Raw_Data4[[#This Row],[PLAYER NAME]],APP!$A:$E,2,FALSE)</f>
        <v>22</v>
      </c>
      <c r="E105">
        <f>VLOOKUP(Raw_Data4[[#This Row],[PLAYER NAME]],ARG!$A:$E,2,FALSE)</f>
        <v>86</v>
      </c>
      <c r="F105">
        <f>VLOOKUP(Raw_Data4[[#This Row],[PLAYER NAME]],PUTT!$A:$E,2,FALSE)</f>
        <v>56</v>
      </c>
      <c r="G105">
        <f>VLOOKUP(Raw_Data4[[#This Row],[PLAYER NAME]],SG!$A:$E,3,FALSE)</f>
        <v>43</v>
      </c>
      <c r="I105" s="34" t="str">
        <f>Raw_Data4[[#This Row],[PLAYER NAME]]</f>
        <v>Chandler Phillips</v>
      </c>
      <c r="J105">
        <f>Raw_Data4[[#This Row],[DIST]]</f>
        <v>103</v>
      </c>
      <c r="K105">
        <f>Raw_Data4[[#This Row],[ACC]]</f>
        <v>111</v>
      </c>
      <c r="L105">
        <f>Raw_Data4[[#This Row],[APP]]</f>
        <v>22</v>
      </c>
      <c r="M105">
        <f>Raw_Data4[[#This Row],[ARG]]</f>
        <v>86</v>
      </c>
      <c r="N105">
        <f>Raw_Data4[[#This Row],[PUTT]]</f>
        <v>56</v>
      </c>
      <c r="O105" s="22">
        <f>Raw_Data4[[#This Row],[SG]]</f>
        <v>43</v>
      </c>
      <c r="P105" s="34">
        <f t="shared" si="6"/>
        <v>226</v>
      </c>
      <c r="Q105" s="359">
        <f t="shared" si="7"/>
        <v>262.40832099052392</v>
      </c>
      <c r="R105" s="226" t="e">
        <f>(($Z$9-(X105/40)*($Z$9))*VLOOKUP($I105,'2023'!$A$2:$I$278,8,FALSE))+((1-(($Z$9-(X105/40)*($Z$9))))*P105)</f>
        <v>#N/A</v>
      </c>
      <c r="S105" s="14" t="e">
        <f>(($Z$9-(X105/40)*($Z$9))*VLOOKUP($I105,'2023'!$A$2:$I$278,9,FALSE))+((1-(($Z$9-(X105/40)*($Z$9))))*Q105)</f>
        <v>#N/A</v>
      </c>
      <c r="T105" s="81"/>
      <c r="U105" s="16"/>
      <c r="V105" s="16"/>
      <c r="W105" s="16"/>
      <c r="X105" s="16">
        <f>VLOOKUP(I105,FEDEX!$A$2:$H$270,4,FALSE)</f>
        <v>9</v>
      </c>
    </row>
    <row r="106" spans="1:24">
      <c r="A106" t="str">
        <f>DIST!A106</f>
        <v>Thorbjørn Olesen</v>
      </c>
      <c r="B106">
        <f>VLOOKUP(Raw_Data4[[#This Row],[PLAYER NAME]],DIST!$A:$E,2,FALSE)</f>
        <v>105</v>
      </c>
      <c r="C106">
        <f>VLOOKUP(Raw_Data4[[#This Row],[PLAYER NAME]],ACC!$A:$E,2,FALSE)</f>
        <v>11</v>
      </c>
      <c r="D106">
        <f>VLOOKUP(Raw_Data4[[#This Row],[PLAYER NAME]],APP!$A:$E,2,FALSE)</f>
        <v>69</v>
      </c>
      <c r="E106">
        <f>VLOOKUP(Raw_Data4[[#This Row],[PLAYER NAME]],ARG!$A:$E,2,FALSE)</f>
        <v>30</v>
      </c>
      <c r="F106">
        <f>VLOOKUP(Raw_Data4[[#This Row],[PLAYER NAME]],PUTT!$A:$E,2,FALSE)</f>
        <v>129</v>
      </c>
      <c r="G106">
        <f>VLOOKUP(Raw_Data4[[#This Row],[PLAYER NAME]],SG!$A:$E,3,FALSE)</f>
        <v>129</v>
      </c>
      <c r="I106" s="34" t="str">
        <f>Raw_Data4[[#This Row],[PLAYER NAME]]</f>
        <v>Thorbjørn Olesen</v>
      </c>
      <c r="J106">
        <f>Raw_Data4[[#This Row],[DIST]]</f>
        <v>105</v>
      </c>
      <c r="K106">
        <f>Raw_Data4[[#This Row],[ACC]]</f>
        <v>11</v>
      </c>
      <c r="L106">
        <f>Raw_Data4[[#This Row],[APP]]</f>
        <v>69</v>
      </c>
      <c r="M106">
        <f>Raw_Data4[[#This Row],[ARG]]</f>
        <v>30</v>
      </c>
      <c r="N106">
        <f>Raw_Data4[[#This Row],[PUTT]]</f>
        <v>129</v>
      </c>
      <c r="O106" s="22">
        <f>Raw_Data4[[#This Row],[SG]]</f>
        <v>129</v>
      </c>
      <c r="P106" s="34">
        <f t="shared" si="6"/>
        <v>224.8</v>
      </c>
      <c r="Q106" s="359">
        <f t="shared" si="7"/>
        <v>343.59051245087261</v>
      </c>
      <c r="R106" s="226">
        <f>(($Z$9-(X106/40)*($Z$9))*VLOOKUP($I106,'2023'!$A$2:$I$278,8,FALSE))+((1-(($Z$9-(X106/40)*($Z$9))))*P106)</f>
        <v>243.58793281455263</v>
      </c>
      <c r="S106" s="14">
        <f>(($Z$9-(X106/40)*($Z$9))*VLOOKUP($I106,'2023'!$A$2:$I$278,9,FALSE))+((1-(($Z$9-(X106/40)*($Z$9))))*Q106)</f>
        <v>325.92550174094174</v>
      </c>
      <c r="T106" s="81"/>
      <c r="U106" s="16"/>
      <c r="V106" s="16"/>
      <c r="W106" s="16"/>
      <c r="X106" s="16">
        <f>VLOOKUP(I106,FEDEX!$A$2:$H$270,4,FALSE)</f>
        <v>6</v>
      </c>
    </row>
    <row r="107" spans="1:24">
      <c r="A107" t="str">
        <f>DIST!A107</f>
        <v>Justin Lower</v>
      </c>
      <c r="B107">
        <f>VLOOKUP(Raw_Data4[[#This Row],[PLAYER NAME]],DIST!$A:$E,2,FALSE)</f>
        <v>106</v>
      </c>
      <c r="C107">
        <f>VLOOKUP(Raw_Data4[[#This Row],[PLAYER NAME]],ACC!$A:$E,2,FALSE)</f>
        <v>130</v>
      </c>
      <c r="D107">
        <f>VLOOKUP(Raw_Data4[[#This Row],[PLAYER NAME]],APP!$A:$E,2,FALSE)</f>
        <v>41</v>
      </c>
      <c r="E107">
        <f>VLOOKUP(Raw_Data4[[#This Row],[PLAYER NAME]],ARG!$A:$E,2,FALSE)</f>
        <v>114</v>
      </c>
      <c r="F107">
        <f>VLOOKUP(Raw_Data4[[#This Row],[PLAYER NAME]],PUTT!$A:$E,2,FALSE)</f>
        <v>82</v>
      </c>
      <c r="G107">
        <f>VLOOKUP(Raw_Data4[[#This Row],[PLAYER NAME]],SG!$A:$E,3,FALSE)</f>
        <v>73</v>
      </c>
      <c r="I107" s="34" t="str">
        <f>Raw_Data4[[#This Row],[PLAYER NAME]]</f>
        <v>Justin Lower</v>
      </c>
      <c r="J107">
        <f>Raw_Data4[[#This Row],[DIST]]</f>
        <v>106</v>
      </c>
      <c r="K107">
        <f>Raw_Data4[[#This Row],[ACC]]</f>
        <v>130</v>
      </c>
      <c r="L107">
        <f>Raw_Data4[[#This Row],[APP]]</f>
        <v>41</v>
      </c>
      <c r="M107">
        <f>Raw_Data4[[#This Row],[ARG]]</f>
        <v>114</v>
      </c>
      <c r="N107">
        <f>Raw_Data4[[#This Row],[PUTT]]</f>
        <v>82</v>
      </c>
      <c r="O107" s="22">
        <f>Raw_Data4[[#This Row],[SG]]</f>
        <v>73</v>
      </c>
      <c r="P107" s="34">
        <f t="shared" si="6"/>
        <v>275.7</v>
      </c>
      <c r="Q107" s="359">
        <f t="shared" si="7"/>
        <v>350.22579894067849</v>
      </c>
      <c r="R107" s="226">
        <f>(($Z$9-(X107/40)*($Z$9))*VLOOKUP($I107,'2023'!$A$2:$I$278,8,FALSE))+((1-(($Z$9-(X107/40)*($Z$9))))*P107)</f>
        <v>303.51980077244366</v>
      </c>
      <c r="S107" s="14">
        <f>(($Z$9-(X107/40)*($Z$9))*VLOOKUP($I107,'2023'!$A$2:$I$278,9,FALSE))+((1-(($Z$9-(X107/40)*($Z$9))))*Q107)</f>
        <v>396.76256725675182</v>
      </c>
      <c r="T107" s="81"/>
      <c r="U107" s="16"/>
      <c r="V107" s="16"/>
      <c r="W107" s="16"/>
      <c r="X107" s="16">
        <f>VLOOKUP(I107,FEDEX!$A$2:$H$270,4,FALSE)</f>
        <v>11</v>
      </c>
    </row>
    <row r="108" spans="1:24">
      <c r="A108" t="str">
        <f>DIST!A108</f>
        <v>Webb Simpson</v>
      </c>
      <c r="B108">
        <f>VLOOKUP(Raw_Data4[[#This Row],[PLAYER NAME]],DIST!$A:$E,2,FALSE)</f>
        <v>106</v>
      </c>
      <c r="C108">
        <f>VLOOKUP(Raw_Data4[[#This Row],[PLAYER NAME]],ACC!$A:$E,2,FALSE)</f>
        <v>82</v>
      </c>
      <c r="D108">
        <f>VLOOKUP(Raw_Data4[[#This Row],[PLAYER NAME]],APP!$A:$E,2,FALSE)</f>
        <v>142</v>
      </c>
      <c r="E108">
        <f>VLOOKUP(Raw_Data4[[#This Row],[PLAYER NAME]],ARG!$A:$E,2,FALSE)</f>
        <v>46</v>
      </c>
      <c r="F108">
        <f>VLOOKUP(Raw_Data4[[#This Row],[PLAYER NAME]],PUTT!$A:$E,2,FALSE)</f>
        <v>146</v>
      </c>
      <c r="G108">
        <f>VLOOKUP(Raw_Data4[[#This Row],[PLAYER NAME]],SG!$A:$E,3,FALSE)</f>
        <v>101</v>
      </c>
      <c r="I108" s="34" t="str">
        <f>Raw_Data4[[#This Row],[PLAYER NAME]]</f>
        <v>Webb Simpson</v>
      </c>
      <c r="J108">
        <f>Raw_Data4[[#This Row],[DIST]]</f>
        <v>106</v>
      </c>
      <c r="K108">
        <f>Raw_Data4[[#This Row],[ACC]]</f>
        <v>82</v>
      </c>
      <c r="L108">
        <f>Raw_Data4[[#This Row],[APP]]</f>
        <v>142</v>
      </c>
      <c r="M108">
        <f>Raw_Data4[[#This Row],[ARG]]</f>
        <v>46</v>
      </c>
      <c r="N108">
        <f>Raw_Data4[[#This Row],[PUTT]]</f>
        <v>146</v>
      </c>
      <c r="O108" s="22">
        <f>Raw_Data4[[#This Row],[SG]]</f>
        <v>101</v>
      </c>
      <c r="P108" s="34">
        <f t="shared" si="6"/>
        <v>327.20000000000005</v>
      </c>
      <c r="Q108" s="359">
        <f t="shared" si="7"/>
        <v>431.68650694545562</v>
      </c>
      <c r="R108" s="226">
        <f>(($Z$9-(X108/40)*($Z$9))*VLOOKUP($I108,'2023'!$A$2:$I$278,8,FALSE))+((1-(($Z$9-(X108/40)*($Z$9))))*P108)</f>
        <v>311.85457661420082</v>
      </c>
      <c r="S108" s="14">
        <f>(($Z$9-(X108/40)*($Z$9))*VLOOKUP($I108,'2023'!$A$2:$I$278,9,FALSE))+((1-(($Z$9-(X108/40)*($Z$9))))*Q108)</f>
        <v>449.06346565186607</v>
      </c>
      <c r="T108" s="81"/>
      <c r="U108" s="16"/>
      <c r="V108" s="16"/>
      <c r="W108" s="16"/>
      <c r="X108" s="16">
        <f>VLOOKUP(I108,FEDEX!$A$2:$H$270,4,FALSE)</f>
        <v>6</v>
      </c>
    </row>
    <row r="109" spans="1:24">
      <c r="A109" t="str">
        <f>DIST!A109</f>
        <v>Cam Davis</v>
      </c>
      <c r="B109">
        <f>VLOOKUP(Raw_Data4[[#This Row],[PLAYER NAME]],DIST!$A:$E,2,FALSE)</f>
        <v>108</v>
      </c>
      <c r="C109">
        <f>VLOOKUP(Raw_Data4[[#This Row],[PLAYER NAME]],ACC!$A:$E,2,FALSE)</f>
        <v>22</v>
      </c>
      <c r="D109">
        <f>VLOOKUP(Raw_Data4[[#This Row],[PLAYER NAME]],APP!$A:$E,2,FALSE)</f>
        <v>114</v>
      </c>
      <c r="E109">
        <f>VLOOKUP(Raw_Data4[[#This Row],[PLAYER NAME]],ARG!$A:$E,2,FALSE)</f>
        <v>152</v>
      </c>
      <c r="F109">
        <f>VLOOKUP(Raw_Data4[[#This Row],[PLAYER NAME]],PUTT!$A:$E,2,FALSE)</f>
        <v>88</v>
      </c>
      <c r="G109">
        <f>VLOOKUP(Raw_Data4[[#This Row],[PLAYER NAME]],SG!$A:$E,3,FALSE)</f>
        <v>150</v>
      </c>
      <c r="I109" s="34" t="str">
        <f>Raw_Data4[[#This Row],[PLAYER NAME]]</f>
        <v>Cam Davis</v>
      </c>
      <c r="J109">
        <f>Raw_Data4[[#This Row],[DIST]]</f>
        <v>108</v>
      </c>
      <c r="K109">
        <f>Raw_Data4[[#This Row],[ACC]]</f>
        <v>22</v>
      </c>
      <c r="L109">
        <f>Raw_Data4[[#This Row],[APP]]</f>
        <v>114</v>
      </c>
      <c r="M109">
        <f>Raw_Data4[[#This Row],[ARG]]</f>
        <v>152</v>
      </c>
      <c r="N109">
        <f>Raw_Data4[[#This Row],[PUTT]]</f>
        <v>88</v>
      </c>
      <c r="O109" s="22">
        <f>Raw_Data4[[#This Row],[SG]]</f>
        <v>150</v>
      </c>
      <c r="P109" s="34">
        <f t="shared" si="6"/>
        <v>292.8</v>
      </c>
      <c r="Q109" s="359">
        <f t="shared" si="7"/>
        <v>462.119039130212</v>
      </c>
      <c r="R109" s="226">
        <f>(($Z$9-(X109/40)*($Z$9))*VLOOKUP($I109,'2023'!$A$2:$I$278,8,FALSE))+((1-(($Z$9-(X109/40)*($Z$9))))*P109)</f>
        <v>260.08243157568086</v>
      </c>
      <c r="S109" s="14">
        <f>(($Z$9-(X109/40)*($Z$9))*VLOOKUP($I109,'2023'!$A$2:$I$278,9,FALSE))+((1-(($Z$9-(X109/40)*($Z$9))))*Q109)</f>
        <v>366.13728064964789</v>
      </c>
      <c r="T109" s="81"/>
      <c r="U109" s="16"/>
      <c r="V109" s="16"/>
      <c r="W109" s="16"/>
      <c r="X109" s="16">
        <f>VLOOKUP(I109,FEDEX!$A$2:$H$270,4,FALSE)</f>
        <v>9</v>
      </c>
    </row>
    <row r="110" spans="1:24">
      <c r="A110" t="str">
        <f>DIST!A110</f>
        <v>Chan Kim</v>
      </c>
      <c r="B110">
        <f>VLOOKUP(Raw_Data4[[#This Row],[PLAYER NAME]],DIST!$A:$E,2,FALSE)</f>
        <v>108</v>
      </c>
      <c r="C110">
        <f>VLOOKUP(Raw_Data4[[#This Row],[PLAYER NAME]],ACC!$A:$E,2,FALSE)</f>
        <v>78</v>
      </c>
      <c r="D110">
        <f>VLOOKUP(Raw_Data4[[#This Row],[PLAYER NAME]],APP!$A:$E,2,FALSE)</f>
        <v>57</v>
      </c>
      <c r="E110">
        <f>VLOOKUP(Raw_Data4[[#This Row],[PLAYER NAME]],ARG!$A:$E,2,FALSE)</f>
        <v>79</v>
      </c>
      <c r="F110">
        <f>VLOOKUP(Raw_Data4[[#This Row],[PLAYER NAME]],PUTT!$A:$E,2,FALSE)</f>
        <v>117</v>
      </c>
      <c r="G110">
        <f>VLOOKUP(Raw_Data4[[#This Row],[PLAYER NAME]],SG!$A:$E,3,FALSE)</f>
        <v>70</v>
      </c>
      <c r="I110" s="34" t="str">
        <f>Raw_Data4[[#This Row],[PLAYER NAME]]</f>
        <v>Chan Kim</v>
      </c>
      <c r="J110">
        <f>Raw_Data4[[#This Row],[DIST]]</f>
        <v>108</v>
      </c>
      <c r="K110">
        <f>Raw_Data4[[#This Row],[ACC]]</f>
        <v>78</v>
      </c>
      <c r="L110">
        <f>Raw_Data4[[#This Row],[APP]]</f>
        <v>57</v>
      </c>
      <c r="M110">
        <f>Raw_Data4[[#This Row],[ARG]]</f>
        <v>79</v>
      </c>
      <c r="N110">
        <f>Raw_Data4[[#This Row],[PUTT]]</f>
        <v>117</v>
      </c>
      <c r="O110" s="22">
        <f>Raw_Data4[[#This Row],[SG]]</f>
        <v>70</v>
      </c>
      <c r="P110" s="34">
        <f t="shared" si="6"/>
        <v>266.2</v>
      </c>
      <c r="Q110" s="359">
        <f t="shared" si="7"/>
        <v>333.1182991085476</v>
      </c>
      <c r="R110" s="226" t="e">
        <f>(($Z$9-(X110/40)*($Z$9))*VLOOKUP($I110,'2023'!$A$2:$I$278,8,FALSE))+((1-(($Z$9-(X110/40)*($Z$9))))*P110)</f>
        <v>#N/A</v>
      </c>
      <c r="S110" s="14" t="e">
        <f>(($Z$9-(X110/40)*($Z$9))*VLOOKUP($I110,'2023'!$A$2:$I$278,9,FALSE))+((1-(($Z$9-(X110/40)*($Z$9))))*Q110)</f>
        <v>#N/A</v>
      </c>
      <c r="T110" s="81"/>
      <c r="U110" s="16"/>
      <c r="V110" s="16"/>
      <c r="W110" s="16"/>
      <c r="X110" s="16">
        <f>VLOOKUP(I110,FEDEX!$A$2:$H$270,4,FALSE)</f>
        <v>10</v>
      </c>
    </row>
    <row r="111" spans="1:24">
      <c r="A111" t="str">
        <f>DIST!A111</f>
        <v>Chris Kirk</v>
      </c>
      <c r="B111">
        <f>VLOOKUP(Raw_Data4[[#This Row],[PLAYER NAME]],DIST!$A:$E,2,FALSE)</f>
        <v>108</v>
      </c>
      <c r="C111">
        <f>VLOOKUP(Raw_Data4[[#This Row],[PLAYER NAME]],ACC!$A:$E,2,FALSE)</f>
        <v>15</v>
      </c>
      <c r="D111">
        <f>VLOOKUP(Raw_Data4[[#This Row],[PLAYER NAME]],APP!$A:$E,2,FALSE)</f>
        <v>38</v>
      </c>
      <c r="E111">
        <f>VLOOKUP(Raw_Data4[[#This Row],[PLAYER NAME]],ARG!$A:$E,2,FALSE)</f>
        <v>37</v>
      </c>
      <c r="F111">
        <f>VLOOKUP(Raw_Data4[[#This Row],[PLAYER NAME]],PUTT!$A:$E,2,FALSE)</f>
        <v>145</v>
      </c>
      <c r="G111">
        <f>VLOOKUP(Raw_Data4[[#This Row],[PLAYER NAME]],SG!$A:$E,3,FALSE)</f>
        <v>25</v>
      </c>
      <c r="I111" s="34" t="str">
        <f>Raw_Data4[[#This Row],[PLAYER NAME]]</f>
        <v>Chris Kirk</v>
      </c>
      <c r="J111">
        <f>Raw_Data4[[#This Row],[DIST]]</f>
        <v>108</v>
      </c>
      <c r="K111">
        <f>Raw_Data4[[#This Row],[ACC]]</f>
        <v>15</v>
      </c>
      <c r="L111">
        <f>Raw_Data4[[#This Row],[APP]]</f>
        <v>38</v>
      </c>
      <c r="M111">
        <f>Raw_Data4[[#This Row],[ARG]]</f>
        <v>37</v>
      </c>
      <c r="N111">
        <f>Raw_Data4[[#This Row],[PUTT]]</f>
        <v>145</v>
      </c>
      <c r="O111" s="22">
        <f>Raw_Data4[[#This Row],[SG]]</f>
        <v>25</v>
      </c>
      <c r="P111" s="34">
        <f t="shared" si="6"/>
        <v>218.60000000000002</v>
      </c>
      <c r="Q111" s="359">
        <f t="shared" si="7"/>
        <v>229.90660275089184</v>
      </c>
      <c r="R111" s="226">
        <f>(($Z$9-(X111/40)*($Z$9))*VLOOKUP($I111,'2023'!$A$2:$I$278,8,FALSE))+((1-(($Z$9-(X111/40)*($Z$9))))*P111)</f>
        <v>221.47276210554998</v>
      </c>
      <c r="S111" s="14">
        <f>(($Z$9-(X111/40)*($Z$9))*VLOOKUP($I111,'2023'!$A$2:$I$278,9,FALSE))+((1-(($Z$9-(X111/40)*($Z$9))))*Q111)</f>
        <v>228.22500106680184</v>
      </c>
      <c r="T111" s="81"/>
      <c r="U111" s="16"/>
      <c r="V111" s="16"/>
      <c r="W111" s="16"/>
      <c r="X111" s="16">
        <f>VLOOKUP(I111,FEDEX!$A$2:$H$270,4,FALSE)</f>
        <v>9</v>
      </c>
    </row>
    <row r="112" spans="1:24">
      <c r="A112" t="str">
        <f>DIST!A112</f>
        <v>Scott Stallings</v>
      </c>
      <c r="B112">
        <f>VLOOKUP(Raw_Data4[[#This Row],[PLAYER NAME]],DIST!$A:$E,2,FALSE)</f>
        <v>108</v>
      </c>
      <c r="C112">
        <f>VLOOKUP(Raw_Data4[[#This Row],[PLAYER NAME]],ACC!$A:$E,2,FALSE)</f>
        <v>153</v>
      </c>
      <c r="D112">
        <f>VLOOKUP(Raw_Data4[[#This Row],[PLAYER NAME]],APP!$A:$E,2,FALSE)</f>
        <v>23</v>
      </c>
      <c r="E112">
        <f>VLOOKUP(Raw_Data4[[#This Row],[PLAYER NAME]],ARG!$A:$E,2,FALSE)</f>
        <v>52</v>
      </c>
      <c r="F112">
        <f>VLOOKUP(Raw_Data4[[#This Row],[PLAYER NAME]],PUTT!$A:$E,2,FALSE)</f>
        <v>162</v>
      </c>
      <c r="G112">
        <f>VLOOKUP(Raw_Data4[[#This Row],[PLAYER NAME]],SG!$A:$E,3,FALSE)</f>
        <v>107</v>
      </c>
      <c r="I112" s="34" t="str">
        <f>Raw_Data4[[#This Row],[PLAYER NAME]]</f>
        <v>Scott Stallings</v>
      </c>
      <c r="J112">
        <f>Raw_Data4[[#This Row],[DIST]]</f>
        <v>108</v>
      </c>
      <c r="K112">
        <f>Raw_Data4[[#This Row],[ACC]]</f>
        <v>153</v>
      </c>
      <c r="L112">
        <f>Raw_Data4[[#This Row],[APP]]</f>
        <v>23</v>
      </c>
      <c r="M112">
        <f>Raw_Data4[[#This Row],[ARG]]</f>
        <v>52</v>
      </c>
      <c r="N112">
        <f>Raw_Data4[[#This Row],[PUTT]]</f>
        <v>162</v>
      </c>
      <c r="O112" s="22">
        <f>Raw_Data4[[#This Row],[SG]]</f>
        <v>107</v>
      </c>
      <c r="P112" s="34">
        <f t="shared" si="6"/>
        <v>291.60000000000002</v>
      </c>
      <c r="Q112" s="359">
        <f t="shared" si="7"/>
        <v>386.07961003303012</v>
      </c>
      <c r="R112" s="226">
        <f>(($Z$9-(X112/40)*($Z$9))*VLOOKUP($I112,'2023'!$A$2:$I$278,8,FALSE))+((1-(($Z$9-(X112/40)*($Z$9))))*P112)</f>
        <v>325.75394947709412</v>
      </c>
      <c r="S112" s="14">
        <f>(($Z$9-(X112/40)*($Z$9))*VLOOKUP($I112,'2023'!$A$2:$I$278,9,FALSE))+((1-(($Z$9-(X112/40)*($Z$9))))*Q112)</f>
        <v>452.90207933383294</v>
      </c>
      <c r="T112" s="81"/>
      <c r="U112" s="16"/>
      <c r="V112" s="16"/>
      <c r="W112" s="16"/>
      <c r="X112" s="16">
        <f>VLOOKUP(I112,FEDEX!$A$2:$H$270,4,FALSE)</f>
        <v>9</v>
      </c>
    </row>
    <row r="113" spans="1:24">
      <c r="A113" t="str">
        <f>DIST!A113</f>
        <v>Tommy Fleetwood</v>
      </c>
      <c r="B113">
        <f>VLOOKUP(Raw_Data4[[#This Row],[PLAYER NAME]],DIST!$A:$E,2,FALSE)</f>
        <v>112</v>
      </c>
      <c r="C113">
        <f>VLOOKUP(Raw_Data4[[#This Row],[PLAYER NAME]],ACC!$A:$E,2,FALSE)</f>
        <v>2</v>
      </c>
      <c r="D113">
        <f>VLOOKUP(Raw_Data4[[#This Row],[PLAYER NAME]],APP!$A:$E,2,FALSE)</f>
        <v>165</v>
      </c>
      <c r="E113">
        <f>VLOOKUP(Raw_Data4[[#This Row],[PLAYER NAME]],ARG!$A:$E,2,FALSE)</f>
        <v>24</v>
      </c>
      <c r="F113">
        <f>VLOOKUP(Raw_Data4[[#This Row],[PLAYER NAME]],PUTT!$A:$E,2,FALSE)</f>
        <v>73</v>
      </c>
      <c r="G113">
        <f>VLOOKUP(Raw_Data4[[#This Row],[PLAYER NAME]],SG!$A:$E,3,FALSE)</f>
        <v>98</v>
      </c>
      <c r="I113" s="34" t="str">
        <f>Raw_Data4[[#This Row],[PLAYER NAME]]</f>
        <v>Tommy Fleetwood</v>
      </c>
      <c r="J113">
        <f>Raw_Data4[[#This Row],[DIST]]</f>
        <v>112</v>
      </c>
      <c r="K113">
        <f>Raw_Data4[[#This Row],[ACC]]</f>
        <v>2</v>
      </c>
      <c r="L113">
        <f>Raw_Data4[[#This Row],[APP]]</f>
        <v>165</v>
      </c>
      <c r="M113">
        <f>Raw_Data4[[#This Row],[ARG]]</f>
        <v>24</v>
      </c>
      <c r="N113">
        <f>Raw_Data4[[#This Row],[PUTT]]</f>
        <v>73</v>
      </c>
      <c r="O113" s="22">
        <f>Raw_Data4[[#This Row],[SG]]</f>
        <v>98</v>
      </c>
      <c r="P113" s="34">
        <f t="shared" si="6"/>
        <v>263.39999999999998</v>
      </c>
      <c r="Q113" s="359">
        <f t="shared" si="7"/>
        <v>360.54834600621706</v>
      </c>
      <c r="R113" s="226">
        <f>(($Z$9-(X113/40)*($Z$9))*VLOOKUP($I113,'2023'!$A$2:$I$278,8,FALSE))+((1-(($Z$9-(X113/40)*($Z$9))))*P113)</f>
        <v>191.42134946649787</v>
      </c>
      <c r="S113" s="14">
        <f>(($Z$9-(X113/40)*($Z$9))*VLOOKUP($I113,'2023'!$A$2:$I$278,9,FALSE))+((1-(($Z$9-(X113/40)*($Z$9))))*Q113)</f>
        <v>227.24029895265252</v>
      </c>
      <c r="T113" s="81"/>
      <c r="U113" s="16"/>
      <c r="V113" s="16"/>
      <c r="W113" s="16"/>
      <c r="X113" s="16">
        <f>VLOOKUP(I113,FEDEX!$A$2:$H$270,4,FALSE)</f>
        <v>7</v>
      </c>
    </row>
    <row r="114" spans="1:24">
      <c r="A114" t="str">
        <f>DIST!A114</f>
        <v>Patrick Cantlay</v>
      </c>
      <c r="B114">
        <f>VLOOKUP(Raw_Data4[[#This Row],[PLAYER NAME]],DIST!$A:$E,2,FALSE)</f>
        <v>113</v>
      </c>
      <c r="C114">
        <f>VLOOKUP(Raw_Data4[[#This Row],[PLAYER NAME]],ACC!$A:$E,2,FALSE)</f>
        <v>36</v>
      </c>
      <c r="D114">
        <f>VLOOKUP(Raw_Data4[[#This Row],[PLAYER NAME]],APP!$A:$E,2,FALSE)</f>
        <v>149</v>
      </c>
      <c r="E114">
        <f>VLOOKUP(Raw_Data4[[#This Row],[PLAYER NAME]],ARG!$A:$E,2,FALSE)</f>
        <v>102</v>
      </c>
      <c r="F114">
        <f>VLOOKUP(Raw_Data4[[#This Row],[PLAYER NAME]],PUTT!$A:$E,2,FALSE)</f>
        <v>57</v>
      </c>
      <c r="G114">
        <f>VLOOKUP(Raw_Data4[[#This Row],[PLAYER NAME]],SG!$A:$E,3,FALSE)</f>
        <v>91</v>
      </c>
      <c r="I114" s="34" t="str">
        <f>Raw_Data4[[#This Row],[PLAYER NAME]]</f>
        <v>Patrick Cantlay</v>
      </c>
      <c r="J114">
        <f>Raw_Data4[[#This Row],[DIST]]</f>
        <v>113</v>
      </c>
      <c r="K114">
        <f>Raw_Data4[[#This Row],[ACC]]</f>
        <v>36</v>
      </c>
      <c r="L114">
        <f>Raw_Data4[[#This Row],[APP]]</f>
        <v>149</v>
      </c>
      <c r="M114">
        <f>Raw_Data4[[#This Row],[ARG]]</f>
        <v>102</v>
      </c>
      <c r="N114">
        <f>Raw_Data4[[#This Row],[PUTT]]</f>
        <v>57</v>
      </c>
      <c r="O114" s="22">
        <f>Raw_Data4[[#This Row],[SG]]</f>
        <v>91</v>
      </c>
      <c r="P114" s="34">
        <f t="shared" si="6"/>
        <v>293.3</v>
      </c>
      <c r="Q114" s="359">
        <f t="shared" si="7"/>
        <v>396.39422584531593</v>
      </c>
      <c r="R114" s="226">
        <f>(($Z$9-(X114/40)*($Z$9))*VLOOKUP($I114,'2023'!$A$2:$I$278,8,FALSE))+((1-(($Z$9-(X114/40)*($Z$9))))*P114)</f>
        <v>189.23530819560909</v>
      </c>
      <c r="S114" s="14">
        <f>(($Z$9-(X114/40)*($Z$9))*VLOOKUP($I114,'2023'!$A$2:$I$278,9,FALSE))+((1-(($Z$9-(X114/40)*($Z$9))))*Q114)</f>
        <v>239.93133912385264</v>
      </c>
      <c r="T114" s="81"/>
      <c r="U114" s="16"/>
      <c r="V114" s="16"/>
      <c r="W114" s="16"/>
      <c r="X114" s="16">
        <f>VLOOKUP(I114,FEDEX!$A$2:$H$270,4,FALSE)</f>
        <v>8</v>
      </c>
    </row>
    <row r="115" spans="1:24">
      <c r="A115" t="str">
        <f>DIST!A115</f>
        <v>Shane Lowry</v>
      </c>
      <c r="B115">
        <f>VLOOKUP(Raw_Data4[[#This Row],[PLAYER NAME]],DIST!$A:$E,2,FALSE)</f>
        <v>114</v>
      </c>
      <c r="C115">
        <f>VLOOKUP(Raw_Data4[[#This Row],[PLAYER NAME]],ACC!$A:$E,2,FALSE)</f>
        <v>1</v>
      </c>
      <c r="D115">
        <f>VLOOKUP(Raw_Data4[[#This Row],[PLAYER NAME]],APP!$A:$E,2,FALSE)</f>
        <v>3</v>
      </c>
      <c r="E115">
        <f>VLOOKUP(Raw_Data4[[#This Row],[PLAYER NAME]],ARG!$A:$E,2,FALSE)</f>
        <v>63</v>
      </c>
      <c r="F115">
        <f>VLOOKUP(Raw_Data4[[#This Row],[PLAYER NAME]],PUTT!$A:$E,2,FALSE)</f>
        <v>99</v>
      </c>
      <c r="G115">
        <f>VLOOKUP(Raw_Data4[[#This Row],[PLAYER NAME]],SG!$A:$E,3,FALSE)</f>
        <v>7</v>
      </c>
      <c r="I115" s="34" t="str">
        <f>Raw_Data4[[#This Row],[PLAYER NAME]]</f>
        <v>Shane Lowry</v>
      </c>
      <c r="J115">
        <f>Raw_Data4[[#This Row],[DIST]]</f>
        <v>114</v>
      </c>
      <c r="K115">
        <f>Raw_Data4[[#This Row],[ACC]]</f>
        <v>1</v>
      </c>
      <c r="L115">
        <f>Raw_Data4[[#This Row],[APP]]</f>
        <v>3</v>
      </c>
      <c r="M115">
        <f>Raw_Data4[[#This Row],[ARG]]</f>
        <v>63</v>
      </c>
      <c r="N115">
        <f>Raw_Data4[[#This Row],[PUTT]]</f>
        <v>99</v>
      </c>
      <c r="O115" s="22">
        <f>Raw_Data4[[#This Row],[SG]]</f>
        <v>7</v>
      </c>
      <c r="P115" s="34">
        <f t="shared" si="6"/>
        <v>179.9</v>
      </c>
      <c r="Q115" s="359">
        <f t="shared" si="7"/>
        <v>170.88883930706061</v>
      </c>
      <c r="R115" s="226">
        <f>(($Z$9-(X115/40)*($Z$9))*VLOOKUP($I115,'2023'!$A$2:$I$278,8,FALSE))+((1-(($Z$9-(X115/40)*($Z$9))))*P115)</f>
        <v>187.20546492432871</v>
      </c>
      <c r="S115" s="14">
        <f>(($Z$9-(X115/40)*($Z$9))*VLOOKUP($I115,'2023'!$A$2:$I$278,9,FALSE))+((1-(($Z$9-(X115/40)*($Z$9))))*Q115)</f>
        <v>201.74782843144004</v>
      </c>
      <c r="T115" s="81"/>
      <c r="U115" s="16"/>
      <c r="V115" s="16"/>
      <c r="W115" s="16"/>
      <c r="X115" s="16">
        <f>VLOOKUP(I115,FEDEX!$A$2:$H$270,4,FALSE)</f>
        <v>7</v>
      </c>
    </row>
    <row r="116" spans="1:24">
      <c r="A116" t="str">
        <f>DIST!A116</f>
        <v>Justin Rose</v>
      </c>
      <c r="B116">
        <f>VLOOKUP(Raw_Data4[[#This Row],[PLAYER NAME]],DIST!$A:$E,2,FALSE)</f>
        <v>114</v>
      </c>
      <c r="C116">
        <f>VLOOKUP(Raw_Data4[[#This Row],[PLAYER NAME]],ACC!$A:$E,2,FALSE)</f>
        <v>43</v>
      </c>
      <c r="D116">
        <f>VLOOKUP(Raw_Data4[[#This Row],[PLAYER NAME]],APP!$A:$E,2,FALSE)</f>
        <v>172</v>
      </c>
      <c r="E116">
        <f>VLOOKUP(Raw_Data4[[#This Row],[PLAYER NAME]],ARG!$A:$E,2,FALSE)</f>
        <v>89</v>
      </c>
      <c r="F116">
        <f>VLOOKUP(Raw_Data4[[#This Row],[PLAYER NAME]],PUTT!$A:$E,2,FALSE)</f>
        <v>55</v>
      </c>
      <c r="G116">
        <f>VLOOKUP(Raw_Data4[[#This Row],[PLAYER NAME]],SG!$A:$E,3,FALSE)</f>
        <v>148</v>
      </c>
      <c r="I116" s="34" t="str">
        <f>Raw_Data4[[#This Row],[PLAYER NAME]]</f>
        <v>Justin Rose</v>
      </c>
      <c r="J116">
        <f>Raw_Data4[[#This Row],[DIST]]</f>
        <v>114</v>
      </c>
      <c r="K116">
        <f>Raw_Data4[[#This Row],[ACC]]</f>
        <v>43</v>
      </c>
      <c r="L116">
        <f>Raw_Data4[[#This Row],[APP]]</f>
        <v>172</v>
      </c>
      <c r="M116">
        <f>Raw_Data4[[#This Row],[ARG]]</f>
        <v>89</v>
      </c>
      <c r="N116">
        <f>Raw_Data4[[#This Row],[PUTT]]</f>
        <v>55</v>
      </c>
      <c r="O116" s="22">
        <f>Raw_Data4[[#This Row],[SG]]</f>
        <v>148</v>
      </c>
      <c r="P116" s="34">
        <f t="shared" si="6"/>
        <v>307.60000000000002</v>
      </c>
      <c r="Q116" s="359">
        <f t="shared" si="7"/>
        <v>468.00616500259571</v>
      </c>
      <c r="R116" s="226">
        <f>(($Z$9-(X116/40)*($Z$9))*VLOOKUP($I116,'2023'!$A$2:$I$278,8,FALSE))+((1-(($Z$9-(X116/40)*($Z$9))))*P116)</f>
        <v>242.74490711293635</v>
      </c>
      <c r="S116" s="14">
        <f>(($Z$9-(X116/40)*($Z$9))*VLOOKUP($I116,'2023'!$A$2:$I$278,9,FALSE))+((1-(($Z$9-(X116/40)*($Z$9))))*Q116)</f>
        <v>304.8477687370206</v>
      </c>
      <c r="T116" s="81"/>
      <c r="U116" s="16"/>
      <c r="V116" s="16"/>
      <c r="W116" s="16"/>
      <c r="X116" s="16">
        <f>VLOOKUP(I116,FEDEX!$A$2:$H$270,4,FALSE)</f>
        <v>8</v>
      </c>
    </row>
    <row r="117" spans="1:24">
      <c r="A117" t="str">
        <f>DIST!A117</f>
        <v>Seamus Power</v>
      </c>
      <c r="B117">
        <f>VLOOKUP(Raw_Data4[[#This Row],[PLAYER NAME]],DIST!$A:$E,2,FALSE)</f>
        <v>116</v>
      </c>
      <c r="C117">
        <f>VLOOKUP(Raw_Data4[[#This Row],[PLAYER NAME]],ACC!$A:$E,2,FALSE)</f>
        <v>92</v>
      </c>
      <c r="D117">
        <f>VLOOKUP(Raw_Data4[[#This Row],[PLAYER NAME]],APP!$A:$E,2,FALSE)</f>
        <v>97</v>
      </c>
      <c r="E117">
        <f>VLOOKUP(Raw_Data4[[#This Row],[PLAYER NAME]],ARG!$A:$E,2,FALSE)</f>
        <v>71</v>
      </c>
      <c r="F117">
        <f>VLOOKUP(Raw_Data4[[#This Row],[PLAYER NAME]],PUTT!$A:$E,2,FALSE)</f>
        <v>150</v>
      </c>
      <c r="G117">
        <f>VLOOKUP(Raw_Data4[[#This Row],[PLAYER NAME]],SG!$A:$E,3,FALSE)</f>
        <v>140</v>
      </c>
      <c r="I117" s="34" t="str">
        <f>Raw_Data4[[#This Row],[PLAYER NAME]]</f>
        <v>Seamus Power</v>
      </c>
      <c r="J117">
        <f>Raw_Data4[[#This Row],[DIST]]</f>
        <v>116</v>
      </c>
      <c r="K117">
        <f>Raw_Data4[[#This Row],[ACC]]</f>
        <v>92</v>
      </c>
      <c r="L117">
        <f>Raw_Data4[[#This Row],[APP]]</f>
        <v>97</v>
      </c>
      <c r="M117">
        <f>Raw_Data4[[#This Row],[ARG]]</f>
        <v>71</v>
      </c>
      <c r="N117">
        <f>Raw_Data4[[#This Row],[PUTT]]</f>
        <v>150</v>
      </c>
      <c r="O117" s="22">
        <f>Raw_Data4[[#This Row],[SG]]</f>
        <v>140</v>
      </c>
      <c r="P117" s="34">
        <f t="shared" si="6"/>
        <v>321.70000000000005</v>
      </c>
      <c r="Q117" s="359">
        <f t="shared" si="7"/>
        <v>461.18366564047852</v>
      </c>
      <c r="R117" s="226">
        <f>(($Z$9-(X117/40)*($Z$9))*VLOOKUP($I117,'2023'!$A$2:$I$278,8,FALSE))+((1-(($Z$9-(X117/40)*($Z$9))))*P117)</f>
        <v>319.28028998278052</v>
      </c>
      <c r="S117" s="14">
        <f>(($Z$9-(X117/40)*($Z$9))*VLOOKUP($I117,'2023'!$A$2:$I$278,9,FALSE))+((1-(($Z$9-(X117/40)*($Z$9))))*Q117)</f>
        <v>448.01295032844473</v>
      </c>
      <c r="T117" s="81"/>
      <c r="U117" s="16"/>
      <c r="V117" s="16"/>
      <c r="W117" s="16"/>
      <c r="X117" s="16">
        <f>VLOOKUP(I117,FEDEX!$A$2:$H$270,4,FALSE)</f>
        <v>10</v>
      </c>
    </row>
    <row r="118" spans="1:24">
      <c r="A118" t="str">
        <f>DIST!A118</f>
        <v>Josh Teater</v>
      </c>
      <c r="B118">
        <f>VLOOKUP(Raw_Data4[[#This Row],[PLAYER NAME]],DIST!$A:$E,2,FALSE)</f>
        <v>116</v>
      </c>
      <c r="C118">
        <f>VLOOKUP(Raw_Data4[[#This Row],[PLAYER NAME]],ACC!$A:$E,2,FALSE)</f>
        <v>115</v>
      </c>
      <c r="D118">
        <f>VLOOKUP(Raw_Data4[[#This Row],[PLAYER NAME]],APP!$A:$E,2,FALSE)</f>
        <v>151</v>
      </c>
      <c r="E118">
        <f>VLOOKUP(Raw_Data4[[#This Row],[PLAYER NAME]],ARG!$A:$E,2,FALSE)</f>
        <v>10</v>
      </c>
      <c r="F118">
        <f>VLOOKUP(Raw_Data4[[#This Row],[PLAYER NAME]],PUTT!$A:$E,2,FALSE)</f>
        <v>175</v>
      </c>
      <c r="G118">
        <f>VLOOKUP(Raw_Data4[[#This Row],[PLAYER NAME]],SG!$A:$E,3,FALSE)</f>
        <v>166</v>
      </c>
      <c r="I118" s="34" t="str">
        <f>Raw_Data4[[#This Row],[PLAYER NAME]]</f>
        <v>Josh Teater</v>
      </c>
      <c r="J118">
        <f>Raw_Data4[[#This Row],[DIST]]</f>
        <v>116</v>
      </c>
      <c r="K118">
        <f>Raw_Data4[[#This Row],[ACC]]</f>
        <v>115</v>
      </c>
      <c r="L118">
        <f>Raw_Data4[[#This Row],[APP]]</f>
        <v>151</v>
      </c>
      <c r="M118">
        <f>Raw_Data4[[#This Row],[ARG]]</f>
        <v>10</v>
      </c>
      <c r="N118">
        <f>Raw_Data4[[#This Row],[PUTT]]</f>
        <v>175</v>
      </c>
      <c r="O118" s="22">
        <f>Raw_Data4[[#This Row],[SG]]</f>
        <v>166</v>
      </c>
      <c r="P118" s="34">
        <f t="shared" si="6"/>
        <v>359.1</v>
      </c>
      <c r="Q118" s="359">
        <f t="shared" si="7"/>
        <v>520.38777910088129</v>
      </c>
      <c r="R118" s="226" t="e">
        <f>(($Z$9-(X118/40)*($Z$9))*VLOOKUP($I118,'2023'!$A$2:$I$278,8,FALSE))+((1-(($Z$9-(X118/40)*($Z$9))))*P118)</f>
        <v>#N/A</v>
      </c>
      <c r="S118" s="14" t="e">
        <f>(($Z$9-(X118/40)*($Z$9))*VLOOKUP($I118,'2023'!$A$2:$I$278,9,FALSE))+((1-(($Z$9-(X118/40)*($Z$9))))*Q118)</f>
        <v>#N/A</v>
      </c>
      <c r="T118" s="81"/>
      <c r="U118" s="16"/>
      <c r="V118" s="16"/>
      <c r="W118" s="16"/>
      <c r="X118" s="16">
        <f>VLOOKUP(I118,FEDEX!$A$2:$H$270,4,FALSE)</f>
        <v>8</v>
      </c>
    </row>
    <row r="119" spans="1:24">
      <c r="A119" t="str">
        <f>DIST!A119</f>
        <v>Brandon Wu</v>
      </c>
      <c r="B119">
        <f>VLOOKUP(Raw_Data4[[#This Row],[PLAYER NAME]],DIST!$A:$E,2,FALSE)</f>
        <v>116</v>
      </c>
      <c r="C119">
        <f>VLOOKUP(Raw_Data4[[#This Row],[PLAYER NAME]],ACC!$A:$E,2,FALSE)</f>
        <v>99</v>
      </c>
      <c r="D119">
        <f>VLOOKUP(Raw_Data4[[#This Row],[PLAYER NAME]],APP!$A:$E,2,FALSE)</f>
        <v>105</v>
      </c>
      <c r="E119">
        <f>VLOOKUP(Raw_Data4[[#This Row],[PLAYER NAME]],ARG!$A:$E,2,FALSE)</f>
        <v>120</v>
      </c>
      <c r="F119">
        <f>VLOOKUP(Raw_Data4[[#This Row],[PLAYER NAME]],PUTT!$A:$E,2,FALSE)</f>
        <v>90</v>
      </c>
      <c r="G119">
        <f>VLOOKUP(Raw_Data4[[#This Row],[PLAYER NAME]],SG!$A:$E,3,FALSE)</f>
        <v>135</v>
      </c>
      <c r="I119" s="34" t="str">
        <f>Raw_Data4[[#This Row],[PLAYER NAME]]</f>
        <v>Brandon Wu</v>
      </c>
      <c r="J119">
        <f>Raw_Data4[[#This Row],[DIST]]</f>
        <v>116</v>
      </c>
      <c r="K119">
        <f>Raw_Data4[[#This Row],[ACC]]</f>
        <v>99</v>
      </c>
      <c r="L119">
        <f>Raw_Data4[[#This Row],[APP]]</f>
        <v>105</v>
      </c>
      <c r="M119">
        <f>Raw_Data4[[#This Row],[ARG]]</f>
        <v>120</v>
      </c>
      <c r="N119">
        <f>Raw_Data4[[#This Row],[PUTT]]</f>
        <v>90</v>
      </c>
      <c r="O119" s="22">
        <f>Raw_Data4[[#This Row],[SG]]</f>
        <v>135</v>
      </c>
      <c r="P119" s="34">
        <f t="shared" si="6"/>
        <v>320.39999999999998</v>
      </c>
      <c r="Q119" s="359">
        <f t="shared" si="7"/>
        <v>464.71246476282619</v>
      </c>
      <c r="R119" s="226">
        <f>(($Z$9-(X119/40)*($Z$9))*VLOOKUP($I119,'2023'!$A$2:$I$278,8,FALSE))+((1-(($Z$9-(X119/40)*($Z$9))))*P119)</f>
        <v>326.783915790111</v>
      </c>
      <c r="S119" s="14">
        <f>(($Z$9-(X119/40)*($Z$9))*VLOOKUP($I119,'2023'!$A$2:$I$278,9,FALSE))+((1-(($Z$9-(X119/40)*($Z$9))))*Q119)</f>
        <v>447.0873579138983</v>
      </c>
      <c r="T119" s="81"/>
      <c r="U119" s="16"/>
      <c r="V119" s="16"/>
      <c r="W119" s="16"/>
      <c r="X119" s="16">
        <f>VLOOKUP(I119,FEDEX!$A$2:$H$270,4,FALSE)</f>
        <v>10</v>
      </c>
    </row>
    <row r="120" spans="1:24">
      <c r="A120" t="str">
        <f>DIST!A120</f>
        <v>Tom Whitney</v>
      </c>
      <c r="B120">
        <f>VLOOKUP(Raw_Data4[[#This Row],[PLAYER NAME]],DIST!$A:$E,2,FALSE)</f>
        <v>119</v>
      </c>
      <c r="C120">
        <f>VLOOKUP(Raw_Data4[[#This Row],[PLAYER NAME]],ACC!$A:$E,2,FALSE)</f>
        <v>95</v>
      </c>
      <c r="D120">
        <f>VLOOKUP(Raw_Data4[[#This Row],[PLAYER NAME]],APP!$A:$E,2,FALSE)</f>
        <v>81</v>
      </c>
      <c r="E120">
        <f>VLOOKUP(Raw_Data4[[#This Row],[PLAYER NAME]],ARG!$A:$E,2,FALSE)</f>
        <v>177</v>
      </c>
      <c r="F120">
        <f>VLOOKUP(Raw_Data4[[#This Row],[PLAYER NAME]],PUTT!$A:$E,2,FALSE)</f>
        <v>100</v>
      </c>
      <c r="G120">
        <f>VLOOKUP(Raw_Data4[[#This Row],[PLAYER NAME]],SG!$A:$E,3,FALSE)</f>
        <v>127</v>
      </c>
      <c r="I120" s="34" t="str">
        <f>Raw_Data4[[#This Row],[PLAYER NAME]]</f>
        <v>Tom Whitney</v>
      </c>
      <c r="J120">
        <f>Raw_Data4[[#This Row],[DIST]]</f>
        <v>119</v>
      </c>
      <c r="K120">
        <f>Raw_Data4[[#This Row],[ACC]]</f>
        <v>95</v>
      </c>
      <c r="L120">
        <f>Raw_Data4[[#This Row],[APP]]</f>
        <v>81</v>
      </c>
      <c r="M120">
        <f>Raw_Data4[[#This Row],[ARG]]</f>
        <v>177</v>
      </c>
      <c r="N120">
        <f>Raw_Data4[[#This Row],[PUTT]]</f>
        <v>100</v>
      </c>
      <c r="O120" s="22">
        <f>Raw_Data4[[#This Row],[SG]]</f>
        <v>127</v>
      </c>
      <c r="P120" s="34">
        <f t="shared" si="6"/>
        <v>332.1</v>
      </c>
      <c r="Q120" s="359">
        <f t="shared" si="7"/>
        <v>475.97580094994623</v>
      </c>
      <c r="R120" s="226" t="e">
        <f>(($Z$9-(X120/40)*($Z$9))*VLOOKUP($I120,'2023'!$A$2:$I$278,8,FALSE))+((1-(($Z$9-(X120/40)*($Z$9))))*P120)</f>
        <v>#N/A</v>
      </c>
      <c r="S120" s="14" t="e">
        <f>(($Z$9-(X120/40)*($Z$9))*VLOOKUP($I120,'2023'!$A$2:$I$278,9,FALSE))+((1-(($Z$9-(X120/40)*($Z$9))))*Q120)</f>
        <v>#N/A</v>
      </c>
      <c r="T120" s="81"/>
      <c r="U120" s="16"/>
      <c r="V120" s="16"/>
      <c r="W120" s="16"/>
      <c r="X120" s="16">
        <f>VLOOKUP(I120,FEDEX!$A$2:$H$270,4,FALSE)</f>
        <v>8</v>
      </c>
    </row>
    <row r="121" spans="1:24">
      <c r="A121" t="str">
        <f>DIST!A121</f>
        <v>Hayden Buckley</v>
      </c>
      <c r="B121">
        <f>VLOOKUP(Raw_Data4[[#This Row],[PLAYER NAME]],DIST!$A:$E,2,FALSE)</f>
        <v>120</v>
      </c>
      <c r="C121">
        <f>VLOOKUP(Raw_Data4[[#This Row],[PLAYER NAME]],ACC!$A:$E,2,FALSE)</f>
        <v>94</v>
      </c>
      <c r="D121">
        <f>VLOOKUP(Raw_Data4[[#This Row],[PLAYER NAME]],APP!$A:$E,2,FALSE)</f>
        <v>167</v>
      </c>
      <c r="E121">
        <f>VLOOKUP(Raw_Data4[[#This Row],[PLAYER NAME]],ARG!$A:$E,2,FALSE)</f>
        <v>147</v>
      </c>
      <c r="F121">
        <f>VLOOKUP(Raw_Data4[[#This Row],[PLAYER NAME]],PUTT!$A:$E,2,FALSE)</f>
        <v>103</v>
      </c>
      <c r="G121">
        <f>VLOOKUP(Raw_Data4[[#This Row],[PLAYER NAME]],SG!$A:$E,3,FALSE)</f>
        <v>167</v>
      </c>
      <c r="I121" s="34" t="str">
        <f>Raw_Data4[[#This Row],[PLAYER NAME]]</f>
        <v>Hayden Buckley</v>
      </c>
      <c r="J121">
        <f>Raw_Data4[[#This Row],[DIST]]</f>
        <v>120</v>
      </c>
      <c r="K121">
        <f>Raw_Data4[[#This Row],[ACC]]</f>
        <v>94</v>
      </c>
      <c r="L121">
        <f>Raw_Data4[[#This Row],[APP]]</f>
        <v>167</v>
      </c>
      <c r="M121">
        <f>Raw_Data4[[#This Row],[ARG]]</f>
        <v>147</v>
      </c>
      <c r="N121">
        <f>Raw_Data4[[#This Row],[PUTT]]</f>
        <v>103</v>
      </c>
      <c r="O121" s="22">
        <f>Raw_Data4[[#This Row],[SG]]</f>
        <v>167</v>
      </c>
      <c r="P121" s="34">
        <f t="shared" si="6"/>
        <v>382.2</v>
      </c>
      <c r="Q121" s="359">
        <f t="shared" si="7"/>
        <v>572.02324158611896</v>
      </c>
      <c r="R121" s="226">
        <f>(($Z$9-(X121/40)*($Z$9))*VLOOKUP($I121,'2023'!$A$2:$I$278,8,FALSE))+((1-(($Z$9-(X121/40)*($Z$9))))*P121)</f>
        <v>331.33460644653451</v>
      </c>
      <c r="S121" s="14">
        <f>(($Z$9-(X121/40)*($Z$9))*VLOOKUP($I121,'2023'!$A$2:$I$278,9,FALSE))+((1-(($Z$9-(X121/40)*($Z$9))))*Q121)</f>
        <v>497.72765584674096</v>
      </c>
      <c r="T121" s="81"/>
      <c r="U121" s="16"/>
      <c r="V121" s="16"/>
      <c r="W121" s="16"/>
      <c r="X121" s="16">
        <f>VLOOKUP(I121,FEDEX!$A$2:$H$270,4,FALSE)</f>
        <v>10</v>
      </c>
    </row>
    <row r="122" spans="1:24">
      <c r="A122" t="str">
        <f>DIST!A122</f>
        <v>Ryo Hisatsune</v>
      </c>
      <c r="B122">
        <f>VLOOKUP(Raw_Data4[[#This Row],[PLAYER NAME]],DIST!$A:$E,2,FALSE)</f>
        <v>120</v>
      </c>
      <c r="C122">
        <f>VLOOKUP(Raw_Data4[[#This Row],[PLAYER NAME]],ACC!$A:$E,2,FALSE)</f>
        <v>58</v>
      </c>
      <c r="D122">
        <f>VLOOKUP(Raw_Data4[[#This Row],[PLAYER NAME]],APP!$A:$E,2,FALSE)</f>
        <v>75</v>
      </c>
      <c r="E122">
        <f>VLOOKUP(Raw_Data4[[#This Row],[PLAYER NAME]],ARG!$A:$E,2,FALSE)</f>
        <v>33</v>
      </c>
      <c r="F122">
        <f>VLOOKUP(Raw_Data4[[#This Row],[PLAYER NAME]],PUTT!$A:$E,2,FALSE)</f>
        <v>116</v>
      </c>
      <c r="G122">
        <f>VLOOKUP(Raw_Data4[[#This Row],[PLAYER NAME]],SG!$A:$E,3,FALSE)</f>
        <v>92</v>
      </c>
      <c r="I122" s="34" t="str">
        <f>Raw_Data4[[#This Row],[PLAYER NAME]]</f>
        <v>Ryo Hisatsune</v>
      </c>
      <c r="J122">
        <f>Raw_Data4[[#This Row],[DIST]]</f>
        <v>120</v>
      </c>
      <c r="K122">
        <f>Raw_Data4[[#This Row],[ACC]]</f>
        <v>58</v>
      </c>
      <c r="L122">
        <f>Raw_Data4[[#This Row],[APP]]</f>
        <v>75</v>
      </c>
      <c r="M122">
        <f>Raw_Data4[[#This Row],[ARG]]</f>
        <v>33</v>
      </c>
      <c r="N122">
        <f>Raw_Data4[[#This Row],[PUTT]]</f>
        <v>116</v>
      </c>
      <c r="O122" s="22">
        <f>Raw_Data4[[#This Row],[SG]]</f>
        <v>92</v>
      </c>
      <c r="P122" s="34">
        <f t="shared" si="6"/>
        <v>260.7</v>
      </c>
      <c r="Q122" s="359">
        <f t="shared" si="7"/>
        <v>339.52005840483582</v>
      </c>
      <c r="R122" s="226">
        <f>(($Z$9-(X122/40)*($Z$9))*VLOOKUP($I122,'2023'!$A$2:$I$278,8,FALSE))+((1-(($Z$9-(X122/40)*($Z$9))))*P122)</f>
        <v>284.19006433737638</v>
      </c>
      <c r="S122" s="14">
        <f>(($Z$9-(X122/40)*($Z$9))*VLOOKUP($I122,'2023'!$A$2:$I$278,9,FALSE))+((1-(($Z$9-(X122/40)*($Z$9))))*Q122)</f>
        <v>375.69793464617294</v>
      </c>
      <c r="T122" s="81"/>
      <c r="U122" s="16"/>
      <c r="V122" s="16"/>
      <c r="W122" s="16"/>
      <c r="X122" s="16">
        <f>VLOOKUP(I122,FEDEX!$A$2:$H$270,4,FALSE)</f>
        <v>11</v>
      </c>
    </row>
    <row r="123" spans="1:24">
      <c r="A123" t="str">
        <f>DIST!A123</f>
        <v>Taylor Montgomery</v>
      </c>
      <c r="B123">
        <f>VLOOKUP(Raw_Data4[[#This Row],[PLAYER NAME]],DIST!$A:$E,2,FALSE)</f>
        <v>120</v>
      </c>
      <c r="C123">
        <f>VLOOKUP(Raw_Data4[[#This Row],[PLAYER NAME]],ACC!$A:$E,2,FALSE)</f>
        <v>173</v>
      </c>
      <c r="D123">
        <f>VLOOKUP(Raw_Data4[[#This Row],[PLAYER NAME]],APP!$A:$E,2,FALSE)</f>
        <v>142</v>
      </c>
      <c r="E123">
        <f>VLOOKUP(Raw_Data4[[#This Row],[PLAYER NAME]],ARG!$A:$E,2,FALSE)</f>
        <v>51</v>
      </c>
      <c r="F123">
        <f>VLOOKUP(Raw_Data4[[#This Row],[PLAYER NAME]],PUTT!$A:$E,2,FALSE)</f>
        <v>1</v>
      </c>
      <c r="G123">
        <f>VLOOKUP(Raw_Data4[[#This Row],[PLAYER NAME]],SG!$A:$E,3,FALSE)</f>
        <v>71</v>
      </c>
      <c r="I123" s="34" t="str">
        <f>Raw_Data4[[#This Row],[PLAYER NAME]]</f>
        <v>Taylor Montgomery</v>
      </c>
      <c r="J123">
        <f>Raw_Data4[[#This Row],[DIST]]</f>
        <v>120</v>
      </c>
      <c r="K123">
        <f>Raw_Data4[[#This Row],[ACC]]</f>
        <v>173</v>
      </c>
      <c r="L123">
        <f>Raw_Data4[[#This Row],[APP]]</f>
        <v>142</v>
      </c>
      <c r="M123">
        <f>Raw_Data4[[#This Row],[ARG]]</f>
        <v>51</v>
      </c>
      <c r="N123">
        <f>Raw_Data4[[#This Row],[PUTT]]</f>
        <v>1</v>
      </c>
      <c r="O123" s="22">
        <f>Raw_Data4[[#This Row],[SG]]</f>
        <v>71</v>
      </c>
      <c r="P123" s="34">
        <f t="shared" si="6"/>
        <v>314.79999999999995</v>
      </c>
      <c r="Q123" s="359">
        <f t="shared" si="7"/>
        <v>383.307517912805</v>
      </c>
      <c r="R123" s="226">
        <f>(($Z$9-(X123/40)*($Z$9))*VLOOKUP($I123,'2023'!$A$2:$I$278,8,FALSE))+((1-(($Z$9-(X123/40)*($Z$9))))*P123)</f>
        <v>297.1326846615072</v>
      </c>
      <c r="S123" s="14">
        <f>(($Z$9-(X123/40)*($Z$9))*VLOOKUP($I123,'2023'!$A$2:$I$278,9,FALSE))+((1-(($Z$9-(X123/40)*($Z$9))))*Q123)</f>
        <v>365.81670451675473</v>
      </c>
      <c r="X123" s="16">
        <f>VLOOKUP(I123,FEDEX!$A$2:$H$270,4,FALSE)</f>
        <v>11</v>
      </c>
    </row>
    <row r="124" spans="1:24">
      <c r="A124" t="str">
        <f>DIST!A124</f>
        <v>Harry Hall</v>
      </c>
      <c r="B124">
        <f>VLOOKUP(Raw_Data4[[#This Row],[PLAYER NAME]],DIST!$A:$E,2,FALSE)</f>
        <v>123</v>
      </c>
      <c r="C124">
        <f>VLOOKUP(Raw_Data4[[#This Row],[PLAYER NAME]],ACC!$A:$E,2,FALSE)</f>
        <v>156</v>
      </c>
      <c r="D124">
        <f>VLOOKUP(Raw_Data4[[#This Row],[PLAYER NAME]],APP!$A:$E,2,FALSE)</f>
        <v>92</v>
      </c>
      <c r="E124">
        <f>VLOOKUP(Raw_Data4[[#This Row],[PLAYER NAME]],ARG!$A:$E,2,FALSE)</f>
        <v>20</v>
      </c>
      <c r="F124">
        <f>VLOOKUP(Raw_Data4[[#This Row],[PLAYER NAME]],PUTT!$A:$E,2,FALSE)</f>
        <v>112</v>
      </c>
      <c r="G124">
        <f>VLOOKUP(Raw_Data4[[#This Row],[PLAYER NAME]],SG!$A:$E,3,FALSE)</f>
        <v>100</v>
      </c>
      <c r="I124" s="34" t="str">
        <f>Raw_Data4[[#This Row],[PLAYER NAME]]</f>
        <v>Harry Hall</v>
      </c>
      <c r="J124">
        <f>Raw_Data4[[#This Row],[DIST]]</f>
        <v>123</v>
      </c>
      <c r="K124">
        <f>Raw_Data4[[#This Row],[ACC]]</f>
        <v>156</v>
      </c>
      <c r="L124">
        <f>Raw_Data4[[#This Row],[APP]]</f>
        <v>92</v>
      </c>
      <c r="M124">
        <f>Raw_Data4[[#This Row],[ARG]]</f>
        <v>20</v>
      </c>
      <c r="N124">
        <f>Raw_Data4[[#This Row],[PUTT]]</f>
        <v>112</v>
      </c>
      <c r="O124" s="22">
        <f>Raw_Data4[[#This Row],[SG]]</f>
        <v>100</v>
      </c>
      <c r="P124" s="34">
        <f t="shared" si="6"/>
        <v>317.09999999999997</v>
      </c>
      <c r="Q124" s="359">
        <f t="shared" si="7"/>
        <v>402.71760090956877</v>
      </c>
      <c r="R124" s="226">
        <f>(($Z$9-(X124/40)*($Z$9))*VLOOKUP($I124,'2023'!$A$2:$I$278,8,FALSE))+((1-(($Z$9-(X124/40)*($Z$9))))*P124)</f>
        <v>313.91490653052523</v>
      </c>
      <c r="S124" s="14">
        <f>(($Z$9-(X124/40)*($Z$9))*VLOOKUP($I124,'2023'!$A$2:$I$278,9,FALSE))+((1-(($Z$9-(X124/40)*($Z$9))))*Q124)</f>
        <v>406.79157692775453</v>
      </c>
      <c r="X124" s="16">
        <f>VLOOKUP(I124,FEDEX!$A$2:$H$270,4,FALSE)</f>
        <v>11</v>
      </c>
    </row>
    <row r="125" spans="1:24">
      <c r="A125" t="str">
        <f>DIST!A125</f>
        <v>Kevin Streelman</v>
      </c>
      <c r="B125">
        <f>VLOOKUP(Raw_Data4[[#This Row],[PLAYER NAME]],DIST!$A:$E,2,FALSE)</f>
        <v>124</v>
      </c>
      <c r="C125">
        <f>VLOOKUP(Raw_Data4[[#This Row],[PLAYER NAME]],ACC!$A:$E,2,FALSE)</f>
        <v>138</v>
      </c>
      <c r="D125">
        <f>VLOOKUP(Raw_Data4[[#This Row],[PLAYER NAME]],APP!$A:$E,2,FALSE)</f>
        <v>122</v>
      </c>
      <c r="E125">
        <f>VLOOKUP(Raw_Data4[[#This Row],[PLAYER NAME]],ARG!$A:$E,2,FALSE)</f>
        <v>116</v>
      </c>
      <c r="F125">
        <f>VLOOKUP(Raw_Data4[[#This Row],[PLAYER NAME]],PUTT!$A:$E,2,FALSE)</f>
        <v>147</v>
      </c>
      <c r="G125">
        <f>VLOOKUP(Raw_Data4[[#This Row],[PLAYER NAME]],SG!$A:$E,3,FALSE)</f>
        <v>133</v>
      </c>
      <c r="I125" s="34" t="str">
        <f>Raw_Data4[[#This Row],[PLAYER NAME]]</f>
        <v>Kevin Streelman</v>
      </c>
      <c r="J125">
        <f>Raw_Data4[[#This Row],[DIST]]</f>
        <v>124</v>
      </c>
      <c r="K125">
        <f>Raw_Data4[[#This Row],[ACC]]</f>
        <v>138</v>
      </c>
      <c r="L125">
        <f>Raw_Data4[[#This Row],[APP]]</f>
        <v>122</v>
      </c>
      <c r="M125">
        <f>Raw_Data4[[#This Row],[ARG]]</f>
        <v>116</v>
      </c>
      <c r="N125">
        <f>Raw_Data4[[#This Row],[PUTT]]</f>
        <v>147</v>
      </c>
      <c r="O125" s="22">
        <f>Raw_Data4[[#This Row],[SG]]</f>
        <v>133</v>
      </c>
      <c r="P125" s="34">
        <f t="shared" si="6"/>
        <v>385.9</v>
      </c>
      <c r="Q125" s="359">
        <f t="shared" si="7"/>
        <v>528.80387554801894</v>
      </c>
      <c r="R125" s="226">
        <f>(($Z$9-(X125/40)*($Z$9))*VLOOKUP($I125,'2023'!$A$2:$I$278,8,FALSE))+((1-(($Z$9-(X125/40)*($Z$9))))*P125)</f>
        <v>338.17851336252465</v>
      </c>
      <c r="S125" s="14">
        <f>(($Z$9-(X125/40)*($Z$9))*VLOOKUP($I125,'2023'!$A$2:$I$278,9,FALSE))+((1-(($Z$9-(X125/40)*($Z$9))))*Q125)</f>
        <v>447.40733195767041</v>
      </c>
      <c r="X125" s="16">
        <f>VLOOKUP(I125,FEDEX!$A$2:$H$270,4,FALSE)</f>
        <v>8</v>
      </c>
    </row>
    <row r="126" spans="1:24">
      <c r="A126" t="str">
        <f>DIST!A126</f>
        <v>Mackenzie Hughes</v>
      </c>
      <c r="B126">
        <f>VLOOKUP(Raw_Data4[[#This Row],[PLAYER NAME]],DIST!$A:$E,2,FALSE)</f>
        <v>125</v>
      </c>
      <c r="C126">
        <f>VLOOKUP(Raw_Data4[[#This Row],[PLAYER NAME]],ACC!$A:$E,2,FALSE)</f>
        <v>152</v>
      </c>
      <c r="D126">
        <f>VLOOKUP(Raw_Data4[[#This Row],[PLAYER NAME]],APP!$A:$E,2,FALSE)</f>
        <v>125</v>
      </c>
      <c r="E126">
        <f>VLOOKUP(Raw_Data4[[#This Row],[PLAYER NAME]],ARG!$A:$E,2,FALSE)</f>
        <v>4</v>
      </c>
      <c r="F126">
        <f>VLOOKUP(Raw_Data4[[#This Row],[PLAYER NAME]],PUTT!$A:$E,2,FALSE)</f>
        <v>75</v>
      </c>
      <c r="G126">
        <f>VLOOKUP(Raw_Data4[[#This Row],[PLAYER NAME]],SG!$A:$E,3,FALSE)</f>
        <v>54</v>
      </c>
      <c r="I126" s="34" t="str">
        <f>Raw_Data4[[#This Row],[PLAYER NAME]]</f>
        <v>Mackenzie Hughes</v>
      </c>
      <c r="J126">
        <f>Raw_Data4[[#This Row],[DIST]]</f>
        <v>125</v>
      </c>
      <c r="K126">
        <f>Raw_Data4[[#This Row],[ACC]]</f>
        <v>152</v>
      </c>
      <c r="L126">
        <f>Raw_Data4[[#This Row],[APP]]</f>
        <v>125</v>
      </c>
      <c r="M126">
        <f>Raw_Data4[[#This Row],[ARG]]</f>
        <v>4</v>
      </c>
      <c r="N126">
        <f>Raw_Data4[[#This Row],[PUTT]]</f>
        <v>75</v>
      </c>
      <c r="O126" s="22">
        <f>Raw_Data4[[#This Row],[SG]]</f>
        <v>54</v>
      </c>
      <c r="P126" s="34">
        <f t="shared" si="6"/>
        <v>315.10000000000002</v>
      </c>
      <c r="Q126" s="359">
        <f t="shared" si="7"/>
        <v>354.83472474243416</v>
      </c>
      <c r="R126" s="226">
        <f>(($Z$9-(X126/40)*($Z$9))*VLOOKUP($I126,'2023'!$A$2:$I$278,8,FALSE))+((1-(($Z$9-(X126/40)*($Z$9))))*P126)</f>
        <v>306.26891649034644</v>
      </c>
      <c r="S126" s="14">
        <f>(($Z$9-(X126/40)*($Z$9))*VLOOKUP($I126,'2023'!$A$2:$I$278,9,FALSE))+((1-(($Z$9-(X126/40)*($Z$9))))*Q126)</f>
        <v>368.1230727832243</v>
      </c>
      <c r="X126" s="16">
        <f>VLOOKUP(I126,FEDEX!$A$2:$H$270,4,FALSE)</f>
        <v>9</v>
      </c>
    </row>
    <row r="127" spans="1:24">
      <c r="A127" t="str">
        <f>DIST!A127</f>
        <v>Jacob Bridgeman</v>
      </c>
      <c r="B127">
        <f>VLOOKUP(Raw_Data4[[#This Row],[PLAYER NAME]],DIST!$A:$E,2,FALSE)</f>
        <v>126</v>
      </c>
      <c r="C127">
        <f>VLOOKUP(Raw_Data4[[#This Row],[PLAYER NAME]],ACC!$A:$E,2,FALSE)</f>
        <v>122</v>
      </c>
      <c r="D127">
        <f>VLOOKUP(Raw_Data4[[#This Row],[PLAYER NAME]],APP!$A:$E,2,FALSE)</f>
        <v>60</v>
      </c>
      <c r="E127">
        <f>VLOOKUP(Raw_Data4[[#This Row],[PLAYER NAME]],ARG!$A:$E,2,FALSE)</f>
        <v>124</v>
      </c>
      <c r="F127">
        <f>VLOOKUP(Raw_Data4[[#This Row],[PLAYER NAME]],PUTT!$A:$E,2,FALSE)</f>
        <v>37</v>
      </c>
      <c r="G127">
        <f>VLOOKUP(Raw_Data4[[#This Row],[PLAYER NAME]],SG!$A:$E,3,FALSE)</f>
        <v>82</v>
      </c>
      <c r="I127" s="34" t="str">
        <f>Raw_Data4[[#This Row],[PLAYER NAME]]</f>
        <v>Jacob Bridgeman</v>
      </c>
      <c r="J127">
        <f>Raw_Data4[[#This Row],[DIST]]</f>
        <v>126</v>
      </c>
      <c r="K127">
        <f>Raw_Data4[[#This Row],[ACC]]</f>
        <v>122</v>
      </c>
      <c r="L127">
        <f>Raw_Data4[[#This Row],[APP]]</f>
        <v>60</v>
      </c>
      <c r="M127">
        <f>Raw_Data4[[#This Row],[ARG]]</f>
        <v>124</v>
      </c>
      <c r="N127">
        <f>Raw_Data4[[#This Row],[PUTT]]</f>
        <v>37</v>
      </c>
      <c r="O127" s="22">
        <f>Raw_Data4[[#This Row],[SG]]</f>
        <v>82</v>
      </c>
      <c r="P127" s="34">
        <f t="shared" si="6"/>
        <v>284.5</v>
      </c>
      <c r="Q127" s="359">
        <f t="shared" si="7"/>
        <v>366.31802736542357</v>
      </c>
      <c r="R127" s="226" t="e">
        <f>(($Z$9-(X127/40)*($Z$9))*VLOOKUP($I127,'2023'!$A$2:$I$278,8,FALSE))+((1-(($Z$9-(X127/40)*($Z$9))))*P127)</f>
        <v>#N/A</v>
      </c>
      <c r="S127" s="14" t="e">
        <f>(($Z$9-(X127/40)*($Z$9))*VLOOKUP($I127,'2023'!$A$2:$I$278,9,FALSE))+((1-(($Z$9-(X127/40)*($Z$9))))*Q127)</f>
        <v>#N/A</v>
      </c>
      <c r="X127" s="16">
        <f>VLOOKUP(I127,FEDEX!$A$2:$H$270,4,FALSE)</f>
        <v>9</v>
      </c>
    </row>
    <row r="128" spans="1:24">
      <c r="A128" t="str">
        <f>DIST!A128</f>
        <v>Tyler Duncan</v>
      </c>
      <c r="B128">
        <f>VLOOKUP(Raw_Data4[[#This Row],[PLAYER NAME]],DIST!$A:$E,2,FALSE)</f>
        <v>127</v>
      </c>
      <c r="C128">
        <f>VLOOKUP(Raw_Data4[[#This Row],[PLAYER NAME]],ACC!$A:$E,2,FALSE)</f>
        <v>48</v>
      </c>
      <c r="D128">
        <f>VLOOKUP(Raw_Data4[[#This Row],[PLAYER NAME]],APP!$A:$E,2,FALSE)</f>
        <v>156</v>
      </c>
      <c r="E128">
        <f>VLOOKUP(Raw_Data4[[#This Row],[PLAYER NAME]],ARG!$A:$E,2,FALSE)</f>
        <v>97</v>
      </c>
      <c r="F128">
        <f>VLOOKUP(Raw_Data4[[#This Row],[PLAYER NAME]],PUTT!$A:$E,2,FALSE)</f>
        <v>167</v>
      </c>
      <c r="G128">
        <f>VLOOKUP(Raw_Data4[[#This Row],[PLAYER NAME]],SG!$A:$E,3,FALSE)</f>
        <v>151</v>
      </c>
      <c r="I128" s="34" t="str">
        <f>Raw_Data4[[#This Row],[PLAYER NAME]]</f>
        <v>Tyler Duncan</v>
      </c>
      <c r="J128">
        <f>Raw_Data4[[#This Row],[DIST]]</f>
        <v>127</v>
      </c>
      <c r="K128">
        <f>Raw_Data4[[#This Row],[ACC]]</f>
        <v>48</v>
      </c>
      <c r="L128">
        <f>Raw_Data4[[#This Row],[APP]]</f>
        <v>156</v>
      </c>
      <c r="M128">
        <f>Raw_Data4[[#This Row],[ARG]]</f>
        <v>97</v>
      </c>
      <c r="N128">
        <f>Raw_Data4[[#This Row],[PUTT]]</f>
        <v>167</v>
      </c>
      <c r="O128" s="22">
        <f>Raw_Data4[[#This Row],[SG]]</f>
        <v>151</v>
      </c>
      <c r="P128" s="34">
        <f t="shared" si="6"/>
        <v>369.8</v>
      </c>
      <c r="Q128" s="359">
        <f t="shared" si="7"/>
        <v>531.35139983977456</v>
      </c>
      <c r="R128" s="226">
        <f>(($Z$9-(X128/40)*($Z$9))*VLOOKUP($I128,'2023'!$A$2:$I$278,8,FALSE))+((1-(($Z$9-(X128/40)*($Z$9))))*P128)</f>
        <v>349.87600475183086</v>
      </c>
      <c r="S128" s="14">
        <f>(($Z$9-(X128/40)*($Z$9))*VLOOKUP($I128,'2023'!$A$2:$I$278,9,FALSE))+((1-(($Z$9-(X128/40)*($Z$9))))*Q128)</f>
        <v>500.77884994307954</v>
      </c>
      <c r="X128" s="16">
        <f>VLOOKUP(I128,FEDEX!$A$2:$H$270,4,FALSE)</f>
        <v>10</v>
      </c>
    </row>
    <row r="129" spans="1:24">
      <c r="A129" t="str">
        <f>DIST!A129</f>
        <v>C.T. Pan</v>
      </c>
      <c r="B129">
        <f>VLOOKUP(Raw_Data4[[#This Row],[PLAYER NAME]],DIST!$A:$E,2,FALSE)</f>
        <v>128</v>
      </c>
      <c r="C129">
        <f>VLOOKUP(Raw_Data4[[#This Row],[PLAYER NAME]],ACC!$A:$E,2,FALSE)</f>
        <v>75</v>
      </c>
      <c r="D129">
        <f>VLOOKUP(Raw_Data4[[#This Row],[PLAYER NAME]],APP!$A:$E,2,FALSE)</f>
        <v>64</v>
      </c>
      <c r="E129">
        <f>VLOOKUP(Raw_Data4[[#This Row],[PLAYER NAME]],ARG!$A:$E,2,FALSE)</f>
        <v>41</v>
      </c>
      <c r="F129">
        <f>VLOOKUP(Raw_Data4[[#This Row],[PLAYER NAME]],PUTT!$A:$E,2,FALSE)</f>
        <v>87</v>
      </c>
      <c r="G129">
        <f>VLOOKUP(Raw_Data4[[#This Row],[PLAYER NAME]],SG!$A:$E,3,FALSE)</f>
        <v>66</v>
      </c>
      <c r="I129" s="34" t="str">
        <f>Raw_Data4[[#This Row],[PLAYER NAME]]</f>
        <v>C.T. Pan</v>
      </c>
      <c r="J129">
        <f>Raw_Data4[[#This Row],[DIST]]</f>
        <v>128</v>
      </c>
      <c r="K129">
        <f>Raw_Data4[[#This Row],[ACC]]</f>
        <v>75</v>
      </c>
      <c r="L129">
        <f>Raw_Data4[[#This Row],[APP]]</f>
        <v>64</v>
      </c>
      <c r="M129">
        <f>Raw_Data4[[#This Row],[ARG]]</f>
        <v>41</v>
      </c>
      <c r="N129">
        <f>Raw_Data4[[#This Row],[PUTT]]</f>
        <v>87</v>
      </c>
      <c r="O129" s="22">
        <f>Raw_Data4[[#This Row],[SG]]</f>
        <v>66</v>
      </c>
      <c r="P129" s="34">
        <f t="shared" si="6"/>
        <v>257.39999999999998</v>
      </c>
      <c r="Q129" s="359">
        <f t="shared" si="7"/>
        <v>307.4505894766732</v>
      </c>
      <c r="R129" s="226">
        <f>(($Z$9-(X129/40)*($Z$9))*VLOOKUP($I129,'2023'!$A$2:$I$278,8,FALSE))+((1-(($Z$9-(X129/40)*($Z$9))))*P129)</f>
        <v>273.70987517989664</v>
      </c>
      <c r="S129" s="14">
        <f>(($Z$9-(X129/40)*($Z$9))*VLOOKUP($I129,'2023'!$A$2:$I$278,9,FALSE))+((1-(($Z$9-(X129/40)*($Z$9))))*Q129)</f>
        <v>349.96724121678579</v>
      </c>
      <c r="X129" s="16">
        <f>VLOOKUP(I129,FEDEX!$A$2:$H$270,4,FALSE)</f>
        <v>7</v>
      </c>
    </row>
    <row r="130" spans="1:24">
      <c r="A130" t="str">
        <f>DIST!A130</f>
        <v>Bud Cauley</v>
      </c>
      <c r="B130">
        <f>VLOOKUP(Raw_Data4[[#This Row],[PLAYER NAME]],DIST!$A:$E,2,FALSE)</f>
        <v>129</v>
      </c>
      <c r="C130">
        <f>VLOOKUP(Raw_Data4[[#This Row],[PLAYER NAME]],ACC!$A:$E,2,FALSE)</f>
        <v>102</v>
      </c>
      <c r="D130">
        <f>VLOOKUP(Raw_Data4[[#This Row],[PLAYER NAME]],APP!$A:$E,2,FALSE)</f>
        <v>30</v>
      </c>
      <c r="E130">
        <f>VLOOKUP(Raw_Data4[[#This Row],[PLAYER NAME]],ARG!$A:$E,2,FALSE)</f>
        <v>75</v>
      </c>
      <c r="F130">
        <f>VLOOKUP(Raw_Data4[[#This Row],[PLAYER NAME]],PUTT!$A:$E,2,FALSE)</f>
        <v>133</v>
      </c>
      <c r="G130">
        <f>VLOOKUP(Raw_Data4[[#This Row],[PLAYER NAME]],SG!$A:$E,3,FALSE)</f>
        <v>57</v>
      </c>
      <c r="I130" s="34" t="str">
        <f>Raw_Data4[[#This Row],[PLAYER NAME]]</f>
        <v>Bud Cauley</v>
      </c>
      <c r="J130">
        <f>Raw_Data4[[#This Row],[DIST]]</f>
        <v>129</v>
      </c>
      <c r="K130">
        <f>Raw_Data4[[#This Row],[ACC]]</f>
        <v>102</v>
      </c>
      <c r="L130">
        <f>Raw_Data4[[#This Row],[APP]]</f>
        <v>30</v>
      </c>
      <c r="M130">
        <f>Raw_Data4[[#This Row],[ARG]]</f>
        <v>75</v>
      </c>
      <c r="N130">
        <f>Raw_Data4[[#This Row],[PUTT]]</f>
        <v>133</v>
      </c>
      <c r="O130" s="22">
        <f>Raw_Data4[[#This Row],[SG]]</f>
        <v>57</v>
      </c>
      <c r="P130" s="34">
        <f t="shared" ref="P130:P161" si="8">$Z$2*J130+$AA$2*K130+$AB$2*L130+$AC$2*M130+$AD$2*N130</f>
        <v>284.60000000000002</v>
      </c>
      <c r="Q130" s="359">
        <f t="shared" ref="Q130:Q161" si="9">$Z$5*J130+$AA$5*K130+$AB$5*L130+$AC$5*M130+$AD$5*N130+$AE$5*O130</f>
        <v>328.40157628026691</v>
      </c>
      <c r="R130" s="226" t="e">
        <f>(($Z$9-(X130/40)*($Z$9))*VLOOKUP($I130,'2023'!$A$2:$I$278,8,FALSE))+((1-(($Z$9-(X130/40)*($Z$9))))*P130)</f>
        <v>#N/A</v>
      </c>
      <c r="S130" s="14" t="e">
        <f>(($Z$9-(X130/40)*($Z$9))*VLOOKUP($I130,'2023'!$A$2:$I$278,9,FALSE))+((1-(($Z$9-(X130/40)*($Z$9))))*Q130)</f>
        <v>#N/A</v>
      </c>
      <c r="X130" s="16">
        <f>VLOOKUP(I130,FEDEX!$A$2:$H$270,4,FALSE)</f>
        <v>5</v>
      </c>
    </row>
    <row r="131" spans="1:24">
      <c r="A131" t="str">
        <f>DIST!A131</f>
        <v>Stewart Cink</v>
      </c>
      <c r="B131">
        <f>VLOOKUP(Raw_Data4[[#This Row],[PLAYER NAME]],DIST!$A:$E,2,FALSE)</f>
        <v>129</v>
      </c>
      <c r="C131">
        <f>VLOOKUP(Raw_Data4[[#This Row],[PLAYER NAME]],ACC!$A:$E,2,FALSE)</f>
        <v>176</v>
      </c>
      <c r="D131">
        <f>VLOOKUP(Raw_Data4[[#This Row],[PLAYER NAME]],APP!$A:$E,2,FALSE)</f>
        <v>89</v>
      </c>
      <c r="E131">
        <f>VLOOKUP(Raw_Data4[[#This Row],[PLAYER NAME]],ARG!$A:$E,2,FALSE)</f>
        <v>99</v>
      </c>
      <c r="F131">
        <f>VLOOKUP(Raw_Data4[[#This Row],[PLAYER NAME]],PUTT!$A:$E,2,FALSE)</f>
        <v>11</v>
      </c>
      <c r="G131">
        <f>VLOOKUP(Raw_Data4[[#This Row],[PLAYER NAME]],SG!$A:$E,3,FALSE)</f>
        <v>84</v>
      </c>
      <c r="I131" s="34" t="str">
        <f>Raw_Data4[[#This Row],[PLAYER NAME]]</f>
        <v>Stewart Cink</v>
      </c>
      <c r="J131">
        <f>Raw_Data4[[#This Row],[DIST]]</f>
        <v>129</v>
      </c>
      <c r="K131">
        <f>Raw_Data4[[#This Row],[ACC]]</f>
        <v>176</v>
      </c>
      <c r="L131">
        <f>Raw_Data4[[#This Row],[APP]]</f>
        <v>89</v>
      </c>
      <c r="M131">
        <f>Raw_Data4[[#This Row],[ARG]]</f>
        <v>99</v>
      </c>
      <c r="N131">
        <f>Raw_Data4[[#This Row],[PUTT]]</f>
        <v>11</v>
      </c>
      <c r="O131" s="22">
        <f>Raw_Data4[[#This Row],[SG]]</f>
        <v>84</v>
      </c>
      <c r="P131" s="34">
        <f t="shared" si="8"/>
        <v>311.50000000000006</v>
      </c>
      <c r="Q131" s="359">
        <f t="shared" si="9"/>
        <v>392.95031680410523</v>
      </c>
      <c r="R131" s="226">
        <f>(($Z$9-(X131/40)*($Z$9))*VLOOKUP($I131,'2023'!$A$2:$I$278,8,FALSE))+((1-(($Z$9-(X131/40)*($Z$9))))*P131)</f>
        <v>312.9586904359125</v>
      </c>
      <c r="S131" s="14">
        <f>(($Z$9-(X131/40)*($Z$9))*VLOOKUP($I131,'2023'!$A$2:$I$278,9,FALSE))+((1-(($Z$9-(X131/40)*($Z$9))))*Q131)</f>
        <v>449.5300626371386</v>
      </c>
      <c r="X131" s="16">
        <f>VLOOKUP(I131,FEDEX!$A$2:$H$270,4,FALSE)</f>
        <v>6</v>
      </c>
    </row>
    <row r="132" spans="1:24">
      <c r="A132" t="str">
        <f>DIST!A132</f>
        <v>Ben Griffin</v>
      </c>
      <c r="B132">
        <f>VLOOKUP(Raw_Data4[[#This Row],[PLAYER NAME]],DIST!$A:$E,2,FALSE)</f>
        <v>129</v>
      </c>
      <c r="C132">
        <f>VLOOKUP(Raw_Data4[[#This Row],[PLAYER NAME]],ACC!$A:$E,2,FALSE)</f>
        <v>154</v>
      </c>
      <c r="D132">
        <f>VLOOKUP(Raw_Data4[[#This Row],[PLAYER NAME]],APP!$A:$E,2,FALSE)</f>
        <v>117</v>
      </c>
      <c r="E132">
        <f>VLOOKUP(Raw_Data4[[#This Row],[PLAYER NAME]],ARG!$A:$E,2,FALSE)</f>
        <v>13</v>
      </c>
      <c r="F132">
        <f>VLOOKUP(Raw_Data4[[#This Row],[PLAYER NAME]],PUTT!$A:$E,2,FALSE)</f>
        <v>50</v>
      </c>
      <c r="G132">
        <f>VLOOKUP(Raw_Data4[[#This Row],[PLAYER NAME]],SG!$A:$E,3,FALSE)</f>
        <v>69</v>
      </c>
      <c r="I132" s="34" t="str">
        <f>Raw_Data4[[#This Row],[PLAYER NAME]]</f>
        <v>Ben Griffin</v>
      </c>
      <c r="J132">
        <f>Raw_Data4[[#This Row],[DIST]]</f>
        <v>129</v>
      </c>
      <c r="K132">
        <f>Raw_Data4[[#This Row],[ACC]]</f>
        <v>154</v>
      </c>
      <c r="L132">
        <f>Raw_Data4[[#This Row],[APP]]</f>
        <v>117</v>
      </c>
      <c r="M132">
        <f>Raw_Data4[[#This Row],[ARG]]</f>
        <v>13</v>
      </c>
      <c r="N132">
        <f>Raw_Data4[[#This Row],[PUTT]]</f>
        <v>50</v>
      </c>
      <c r="O132" s="22">
        <f>Raw_Data4[[#This Row],[SG]]</f>
        <v>69</v>
      </c>
      <c r="P132" s="34">
        <f t="shared" si="8"/>
        <v>305.2</v>
      </c>
      <c r="Q132" s="359">
        <f t="shared" si="9"/>
        <v>358.99245153738838</v>
      </c>
      <c r="R132" s="226">
        <f>(($Z$9-(X132/40)*($Z$9))*VLOOKUP($I132,'2023'!$A$2:$I$278,8,FALSE))+((1-(($Z$9-(X132/40)*($Z$9))))*P132)</f>
        <v>276.70576941424622</v>
      </c>
      <c r="S132" s="14">
        <f>(($Z$9-(X132/40)*($Z$9))*VLOOKUP($I132,'2023'!$A$2:$I$278,9,FALSE))+((1-(($Z$9-(X132/40)*($Z$9))))*Q132)</f>
        <v>319.629119204593</v>
      </c>
      <c r="X132" s="16">
        <f>VLOOKUP(I132,FEDEX!$A$2:$H$270,4,FALSE)</f>
        <v>12</v>
      </c>
    </row>
    <row r="133" spans="1:24">
      <c r="A133" t="str">
        <f>DIST!A133</f>
        <v>Lee Hodges</v>
      </c>
      <c r="B133">
        <f>VLOOKUP(Raw_Data4[[#This Row],[PLAYER NAME]],DIST!$A:$E,2,FALSE)</f>
        <v>129</v>
      </c>
      <c r="C133">
        <f>VLOOKUP(Raw_Data4[[#This Row],[PLAYER NAME]],ACC!$A:$E,2,FALSE)</f>
        <v>24</v>
      </c>
      <c r="D133">
        <f>VLOOKUP(Raw_Data4[[#This Row],[PLAYER NAME]],APP!$A:$E,2,FALSE)</f>
        <v>62</v>
      </c>
      <c r="E133">
        <f>VLOOKUP(Raw_Data4[[#This Row],[PLAYER NAME]],ARG!$A:$E,2,FALSE)</f>
        <v>167</v>
      </c>
      <c r="F133">
        <f>VLOOKUP(Raw_Data4[[#This Row],[PLAYER NAME]],PUTT!$A:$E,2,FALSE)</f>
        <v>111</v>
      </c>
      <c r="G133">
        <f>VLOOKUP(Raw_Data4[[#This Row],[PLAYER NAME]],SG!$A:$E,3,FALSE)</f>
        <v>139</v>
      </c>
      <c r="I133" s="34" t="str">
        <f>Raw_Data4[[#This Row],[PLAYER NAME]]</f>
        <v>Lee Hodges</v>
      </c>
      <c r="J133">
        <f>Raw_Data4[[#This Row],[DIST]]</f>
        <v>129</v>
      </c>
      <c r="K133">
        <f>Raw_Data4[[#This Row],[ACC]]</f>
        <v>24</v>
      </c>
      <c r="L133">
        <f>Raw_Data4[[#This Row],[APP]]</f>
        <v>62</v>
      </c>
      <c r="M133">
        <f>Raw_Data4[[#This Row],[ARG]]</f>
        <v>167</v>
      </c>
      <c r="N133">
        <f>Raw_Data4[[#This Row],[PUTT]]</f>
        <v>111</v>
      </c>
      <c r="O133" s="22">
        <f>Raw_Data4[[#This Row],[SG]]</f>
        <v>139</v>
      </c>
      <c r="P133" s="34">
        <f t="shared" si="8"/>
        <v>293.8</v>
      </c>
      <c r="Q133" s="359">
        <f t="shared" si="9"/>
        <v>442.46782391616341</v>
      </c>
      <c r="R133" s="226">
        <f>(($Z$9-(X133/40)*($Z$9))*VLOOKUP($I133,'2023'!$A$2:$I$278,8,FALSE))+((1-(($Z$9-(X133/40)*($Z$9))))*P133)</f>
        <v>284.33395712412567</v>
      </c>
      <c r="S133" s="14">
        <f>(($Z$9-(X133/40)*($Z$9))*VLOOKUP($I133,'2023'!$A$2:$I$278,9,FALSE))+((1-(($Z$9-(X133/40)*($Z$9))))*Q133)</f>
        <v>401.15211940443419</v>
      </c>
      <c r="X133" s="16">
        <f>VLOOKUP(I133,FEDEX!$A$2:$H$270,4,FALSE)</f>
        <v>12</v>
      </c>
    </row>
    <row r="134" spans="1:24">
      <c r="A134" t="str">
        <f>DIST!A134</f>
        <v>Tom Kim</v>
      </c>
      <c r="B134">
        <f>VLOOKUP(Raw_Data4[[#This Row],[PLAYER NAME]],DIST!$A:$E,2,FALSE)</f>
        <v>133</v>
      </c>
      <c r="C134">
        <f>VLOOKUP(Raw_Data4[[#This Row],[PLAYER NAME]],ACC!$A:$E,2,FALSE)</f>
        <v>18</v>
      </c>
      <c r="D134">
        <f>VLOOKUP(Raw_Data4[[#This Row],[PLAYER NAME]],APP!$A:$E,2,FALSE)</f>
        <v>109</v>
      </c>
      <c r="E134">
        <f>VLOOKUP(Raw_Data4[[#This Row],[PLAYER NAME]],ARG!$A:$E,2,FALSE)</f>
        <v>103</v>
      </c>
      <c r="F134">
        <f>VLOOKUP(Raw_Data4[[#This Row],[PLAYER NAME]],PUTT!$A:$E,2,FALSE)</f>
        <v>130</v>
      </c>
      <c r="G134">
        <f>VLOOKUP(Raw_Data4[[#This Row],[PLAYER NAME]],SG!$A:$E,3,FALSE)</f>
        <v>143</v>
      </c>
      <c r="I134" s="34" t="str">
        <f>Raw_Data4[[#This Row],[PLAYER NAME]]</f>
        <v>Tom Kim</v>
      </c>
      <c r="J134">
        <f>Raw_Data4[[#This Row],[DIST]]</f>
        <v>133</v>
      </c>
      <c r="K134">
        <f>Raw_Data4[[#This Row],[ACC]]</f>
        <v>18</v>
      </c>
      <c r="L134">
        <f>Raw_Data4[[#This Row],[APP]]</f>
        <v>109</v>
      </c>
      <c r="M134">
        <f>Raw_Data4[[#This Row],[ARG]]</f>
        <v>103</v>
      </c>
      <c r="N134">
        <f>Raw_Data4[[#This Row],[PUTT]]</f>
        <v>130</v>
      </c>
      <c r="O134" s="22">
        <f>Raw_Data4[[#This Row],[SG]]</f>
        <v>143</v>
      </c>
      <c r="P134" s="34">
        <f t="shared" si="8"/>
        <v>311.2</v>
      </c>
      <c r="Q134" s="359">
        <f t="shared" si="9"/>
        <v>456.85730578386949</v>
      </c>
      <c r="R134" s="226">
        <f>(($Z$9-(X134/40)*($Z$9))*VLOOKUP($I134,'2023'!$A$2:$I$278,8,FALSE))+((1-(($Z$9-(X134/40)*($Z$9))))*P134)</f>
        <v>251.68543021477115</v>
      </c>
      <c r="S134" s="14">
        <f>(($Z$9-(X134/40)*($Z$9))*VLOOKUP($I134,'2023'!$A$2:$I$278,9,FALSE))+((1-(($Z$9-(X134/40)*($Z$9))))*Q134)</f>
        <v>326.26840799906745</v>
      </c>
      <c r="X134" s="16">
        <f>VLOOKUP(I134,FEDEX!$A$2:$H$270,4,FALSE)</f>
        <v>10</v>
      </c>
    </row>
    <row r="135" spans="1:24">
      <c r="A135" t="str">
        <f>DIST!A135</f>
        <v>Carson Young</v>
      </c>
      <c r="B135">
        <f>VLOOKUP(Raw_Data4[[#This Row],[PLAYER NAME]],DIST!$A:$E,2,FALSE)</f>
        <v>134</v>
      </c>
      <c r="C135">
        <f>VLOOKUP(Raw_Data4[[#This Row],[PLAYER NAME]],ACC!$A:$E,2,FALSE)</f>
        <v>60</v>
      </c>
      <c r="D135">
        <f>VLOOKUP(Raw_Data4[[#This Row],[PLAYER NAME]],APP!$A:$E,2,FALSE)</f>
        <v>56</v>
      </c>
      <c r="E135">
        <f>VLOOKUP(Raw_Data4[[#This Row],[PLAYER NAME]],ARG!$A:$E,2,FALSE)</f>
        <v>155</v>
      </c>
      <c r="F135">
        <f>VLOOKUP(Raw_Data4[[#This Row],[PLAYER NAME]],PUTT!$A:$E,2,FALSE)</f>
        <v>102</v>
      </c>
      <c r="G135">
        <f>VLOOKUP(Raw_Data4[[#This Row],[PLAYER NAME]],SG!$A:$E,3,FALSE)</f>
        <v>102</v>
      </c>
      <c r="I135" s="34" t="str">
        <f>Raw_Data4[[#This Row],[PLAYER NAME]]</f>
        <v>Carson Young</v>
      </c>
      <c r="J135">
        <f>Raw_Data4[[#This Row],[DIST]]</f>
        <v>134</v>
      </c>
      <c r="K135">
        <f>Raw_Data4[[#This Row],[ACC]]</f>
        <v>60</v>
      </c>
      <c r="L135">
        <f>Raw_Data4[[#This Row],[APP]]</f>
        <v>56</v>
      </c>
      <c r="M135">
        <f>Raw_Data4[[#This Row],[ARG]]</f>
        <v>155</v>
      </c>
      <c r="N135">
        <f>Raw_Data4[[#This Row],[PUTT]]</f>
        <v>102</v>
      </c>
      <c r="O135" s="22">
        <f>Raw_Data4[[#This Row],[SG]]</f>
        <v>102</v>
      </c>
      <c r="P135" s="34">
        <f t="shared" si="8"/>
        <v>302.8</v>
      </c>
      <c r="Q135" s="359">
        <f t="shared" si="9"/>
        <v>409.57879322494222</v>
      </c>
      <c r="R135" s="226">
        <f>(($Z$9-(X135/40)*($Z$9))*VLOOKUP($I135,'2023'!$A$2:$I$278,8,FALSE))+((1-(($Z$9-(X135/40)*($Z$9))))*P135)</f>
        <v>309.02946621454385</v>
      </c>
      <c r="S135" s="14">
        <f>(($Z$9-(X135/40)*($Z$9))*VLOOKUP($I135,'2023'!$A$2:$I$278,9,FALSE))+((1-(($Z$9-(X135/40)*($Z$9))))*Q135)</f>
        <v>431.01861610491261</v>
      </c>
      <c r="X135" s="16">
        <f>VLOOKUP(I135,FEDEX!$A$2:$H$270,4,FALSE)</f>
        <v>10</v>
      </c>
    </row>
    <row r="136" spans="1:24">
      <c r="A136" t="str">
        <f>DIST!A136</f>
        <v>Alex Noren</v>
      </c>
      <c r="B136">
        <f>VLOOKUP(Raw_Data4[[#This Row],[PLAYER NAME]],DIST!$A:$E,2,FALSE)</f>
        <v>135</v>
      </c>
      <c r="C136">
        <f>VLOOKUP(Raw_Data4[[#This Row],[PLAYER NAME]],ACC!$A:$E,2,FALSE)</f>
        <v>62</v>
      </c>
      <c r="D136">
        <f>VLOOKUP(Raw_Data4[[#This Row],[PLAYER NAME]],APP!$A:$E,2,FALSE)</f>
        <v>46</v>
      </c>
      <c r="E136">
        <f>VLOOKUP(Raw_Data4[[#This Row],[PLAYER NAME]],ARG!$A:$E,2,FALSE)</f>
        <v>18</v>
      </c>
      <c r="F136">
        <f>VLOOKUP(Raw_Data4[[#This Row],[PLAYER NAME]],PUTT!$A:$E,2,FALSE)</f>
        <v>63</v>
      </c>
      <c r="G136">
        <f>VLOOKUP(Raw_Data4[[#This Row],[PLAYER NAME]],SG!$A:$E,3,FALSE)</f>
        <v>9</v>
      </c>
      <c r="I136" s="34" t="str">
        <f>Raw_Data4[[#This Row],[PLAYER NAME]]</f>
        <v>Alex Noren</v>
      </c>
      <c r="J136">
        <f>Raw_Data4[[#This Row],[DIST]]</f>
        <v>135</v>
      </c>
      <c r="K136">
        <f>Raw_Data4[[#This Row],[ACC]]</f>
        <v>62</v>
      </c>
      <c r="L136">
        <f>Raw_Data4[[#This Row],[APP]]</f>
        <v>46</v>
      </c>
      <c r="M136">
        <f>Raw_Data4[[#This Row],[ARG]]</f>
        <v>18</v>
      </c>
      <c r="N136">
        <f>Raw_Data4[[#This Row],[PUTT]]</f>
        <v>63</v>
      </c>
      <c r="O136" s="22">
        <f>Raw_Data4[[#This Row],[SG]]</f>
        <v>9</v>
      </c>
      <c r="P136" s="34">
        <f t="shared" si="8"/>
        <v>223.39999999999998</v>
      </c>
      <c r="Q136" s="359">
        <f t="shared" si="9"/>
        <v>206.78035977240245</v>
      </c>
      <c r="R136" s="226">
        <f>(($Z$9-(X136/40)*($Z$9))*VLOOKUP($I136,'2023'!$A$2:$I$278,8,FALSE))+((1-(($Z$9-(X136/40)*($Z$9))))*P136)</f>
        <v>226.53017806482865</v>
      </c>
      <c r="S136" s="14">
        <f>(($Z$9-(X136/40)*($Z$9))*VLOOKUP($I136,'2023'!$A$2:$I$278,9,FALSE))+((1-(($Z$9-(X136/40)*($Z$9))))*Q136)</f>
        <v>239.16472395660691</v>
      </c>
      <c r="X136" s="16">
        <f>VLOOKUP(I136,FEDEX!$A$2:$H$270,4,FALSE)</f>
        <v>8</v>
      </c>
    </row>
    <row r="137" spans="1:24">
      <c r="A137" t="str">
        <f>DIST!A137</f>
        <v>Tom Hoge</v>
      </c>
      <c r="B137">
        <f>VLOOKUP(Raw_Data4[[#This Row],[PLAYER NAME]],DIST!$A:$E,2,FALSE)</f>
        <v>136</v>
      </c>
      <c r="C137">
        <f>VLOOKUP(Raw_Data4[[#This Row],[PLAYER NAME]],ACC!$A:$E,2,FALSE)</f>
        <v>104</v>
      </c>
      <c r="D137">
        <f>VLOOKUP(Raw_Data4[[#This Row],[PLAYER NAME]],APP!$A:$E,2,FALSE)</f>
        <v>2</v>
      </c>
      <c r="E137">
        <f>VLOOKUP(Raw_Data4[[#This Row],[PLAYER NAME]],ARG!$A:$E,2,FALSE)</f>
        <v>168</v>
      </c>
      <c r="F137">
        <f>VLOOKUP(Raw_Data4[[#This Row],[PLAYER NAME]],PUTT!$A:$E,2,FALSE)</f>
        <v>26</v>
      </c>
      <c r="G137">
        <f>VLOOKUP(Raw_Data4[[#This Row],[PLAYER NAME]],SG!$A:$E,3,FALSE)</f>
        <v>19</v>
      </c>
      <c r="I137" s="34" t="str">
        <f>Raw_Data4[[#This Row],[PLAYER NAME]]</f>
        <v>Tom Hoge</v>
      </c>
      <c r="J137">
        <f>Raw_Data4[[#This Row],[DIST]]</f>
        <v>136</v>
      </c>
      <c r="K137">
        <f>Raw_Data4[[#This Row],[ACC]]</f>
        <v>104</v>
      </c>
      <c r="L137">
        <f>Raw_Data4[[#This Row],[APP]]</f>
        <v>2</v>
      </c>
      <c r="M137">
        <f>Raw_Data4[[#This Row],[ARG]]</f>
        <v>168</v>
      </c>
      <c r="N137">
        <f>Raw_Data4[[#This Row],[PUTT]]</f>
        <v>26</v>
      </c>
      <c r="O137" s="22">
        <f>Raw_Data4[[#This Row],[SG]]</f>
        <v>19</v>
      </c>
      <c r="P137" s="34">
        <f t="shared" si="8"/>
        <v>256</v>
      </c>
      <c r="Q137" s="359">
        <f t="shared" si="9"/>
        <v>272.52870113847928</v>
      </c>
      <c r="R137" s="226">
        <f>(($Z$9-(X137/40)*($Z$9))*VLOOKUP($I137,'2023'!$A$2:$I$278,8,FALSE))+((1-(($Z$9-(X137/40)*($Z$9))))*P137)</f>
        <v>265.2069108102005</v>
      </c>
      <c r="S137" s="14">
        <f>(($Z$9-(X137/40)*($Z$9))*VLOOKUP($I137,'2023'!$A$2:$I$278,9,FALSE))+((1-(($Z$9-(X137/40)*($Z$9))))*Q137)</f>
        <v>300.20662008738543</v>
      </c>
      <c r="X137" s="16">
        <f>VLOOKUP(I137,FEDEX!$A$2:$H$270,4,FALSE)</f>
        <v>11</v>
      </c>
    </row>
    <row r="138" spans="1:24">
      <c r="A138" t="str">
        <f>DIST!A138</f>
        <v>Peter Malnati</v>
      </c>
      <c r="B138">
        <f>VLOOKUP(Raw_Data4[[#This Row],[PLAYER NAME]],DIST!$A:$E,2,FALSE)</f>
        <v>137</v>
      </c>
      <c r="C138">
        <f>VLOOKUP(Raw_Data4[[#This Row],[PLAYER NAME]],ACC!$A:$E,2,FALSE)</f>
        <v>127</v>
      </c>
      <c r="D138">
        <f>VLOOKUP(Raw_Data4[[#This Row],[PLAYER NAME]],APP!$A:$E,2,FALSE)</f>
        <v>58</v>
      </c>
      <c r="E138">
        <f>VLOOKUP(Raw_Data4[[#This Row],[PLAYER NAME]],ARG!$A:$E,2,FALSE)</f>
        <v>78</v>
      </c>
      <c r="F138">
        <f>VLOOKUP(Raw_Data4[[#This Row],[PLAYER NAME]],PUTT!$A:$E,2,FALSE)</f>
        <v>4</v>
      </c>
      <c r="G138">
        <f>VLOOKUP(Raw_Data4[[#This Row],[PLAYER NAME]],SG!$A:$E,3,FALSE)</f>
        <v>42</v>
      </c>
      <c r="I138" s="34" t="str">
        <f>Raw_Data4[[#This Row],[PLAYER NAME]]</f>
        <v>Peter Malnati</v>
      </c>
      <c r="J138">
        <f>Raw_Data4[[#This Row],[DIST]]</f>
        <v>137</v>
      </c>
      <c r="K138">
        <f>Raw_Data4[[#This Row],[ACC]]</f>
        <v>127</v>
      </c>
      <c r="L138">
        <f>Raw_Data4[[#This Row],[APP]]</f>
        <v>58</v>
      </c>
      <c r="M138">
        <f>Raw_Data4[[#This Row],[ARG]]</f>
        <v>78</v>
      </c>
      <c r="N138">
        <f>Raw_Data4[[#This Row],[PUTT]]</f>
        <v>4</v>
      </c>
      <c r="O138" s="22">
        <f>Raw_Data4[[#This Row],[SG]]</f>
        <v>42</v>
      </c>
      <c r="P138" s="34">
        <f t="shared" si="8"/>
        <v>260.60000000000002</v>
      </c>
      <c r="Q138" s="359">
        <f t="shared" si="9"/>
        <v>289.04579500680904</v>
      </c>
      <c r="R138" s="226">
        <f>(($Z$9-(X138/40)*($Z$9))*VLOOKUP($I138,'2023'!$A$2:$I$278,8,FALSE))+((1-(($Z$9-(X138/40)*($Z$9))))*P138)</f>
        <v>310.12683056521638</v>
      </c>
      <c r="S138" s="14">
        <f>(($Z$9-(X138/40)*($Z$9))*VLOOKUP($I138,'2023'!$A$2:$I$278,9,FALSE))+((1-(($Z$9-(X138/40)*($Z$9))))*Q138)</f>
        <v>383.10787122371346</v>
      </c>
      <c r="X138" s="16">
        <f>VLOOKUP(I138,FEDEX!$A$2:$H$270,4,FALSE)</f>
        <v>10</v>
      </c>
    </row>
    <row r="139" spans="1:24">
      <c r="A139" t="str">
        <f>DIST!A139</f>
        <v>Nate Lashley</v>
      </c>
      <c r="B139">
        <f>VLOOKUP(Raw_Data4[[#This Row],[PLAYER NAME]],DIST!$A:$E,2,FALSE)</f>
        <v>138</v>
      </c>
      <c r="C139">
        <f>VLOOKUP(Raw_Data4[[#This Row],[PLAYER NAME]],ACC!$A:$E,2,FALSE)</f>
        <v>35</v>
      </c>
      <c r="D139">
        <f>VLOOKUP(Raw_Data4[[#This Row],[PLAYER NAME]],APP!$A:$E,2,FALSE)</f>
        <v>42</v>
      </c>
      <c r="E139">
        <f>VLOOKUP(Raw_Data4[[#This Row],[PLAYER NAME]],ARG!$A:$E,2,FALSE)</f>
        <v>34</v>
      </c>
      <c r="F139">
        <f>VLOOKUP(Raw_Data4[[#This Row],[PLAYER NAME]],PUTT!$A:$E,2,FALSE)</f>
        <v>91</v>
      </c>
      <c r="G139">
        <f>VLOOKUP(Raw_Data4[[#This Row],[PLAYER NAME]],SG!$A:$E,3,FALSE)</f>
        <v>39</v>
      </c>
      <c r="I139" s="34" t="str">
        <f>Raw_Data4[[#This Row],[PLAYER NAME]]</f>
        <v>Nate Lashley</v>
      </c>
      <c r="J139">
        <f>Raw_Data4[[#This Row],[DIST]]</f>
        <v>138</v>
      </c>
      <c r="K139">
        <f>Raw_Data4[[#This Row],[ACC]]</f>
        <v>35</v>
      </c>
      <c r="L139">
        <f>Raw_Data4[[#This Row],[APP]]</f>
        <v>42</v>
      </c>
      <c r="M139">
        <f>Raw_Data4[[#This Row],[ARG]]</f>
        <v>34</v>
      </c>
      <c r="N139">
        <f>Raw_Data4[[#This Row],[PUTT]]</f>
        <v>91</v>
      </c>
      <c r="O139" s="22">
        <f>Raw_Data4[[#This Row],[SG]]</f>
        <v>39</v>
      </c>
      <c r="P139" s="34">
        <f t="shared" si="8"/>
        <v>230.2</v>
      </c>
      <c r="Q139" s="359">
        <f t="shared" si="9"/>
        <v>246.05389661147191</v>
      </c>
      <c r="R139" s="226">
        <f>(($Z$9-(X139/40)*($Z$9))*VLOOKUP($I139,'2023'!$A$2:$I$278,8,FALSE))+((1-(($Z$9-(X139/40)*($Z$9))))*P139)</f>
        <v>245.38754159744161</v>
      </c>
      <c r="S139" s="14">
        <f>(($Z$9-(X139/40)*($Z$9))*VLOOKUP($I139,'2023'!$A$2:$I$278,9,FALSE))+((1-(($Z$9-(X139/40)*($Z$9))))*Q139)</f>
        <v>284.51204078752414</v>
      </c>
      <c r="X139" s="16">
        <f>VLOOKUP(I139,FEDEX!$A$2:$H$270,4,FALSE)</f>
        <v>10</v>
      </c>
    </row>
    <row r="140" spans="1:24">
      <c r="A140" t="str">
        <f>DIST!A140</f>
        <v>J.J. Spaun</v>
      </c>
      <c r="B140">
        <f>VLOOKUP(Raw_Data4[[#This Row],[PLAYER NAME]],DIST!$A:$E,2,FALSE)</f>
        <v>139</v>
      </c>
      <c r="C140">
        <f>VLOOKUP(Raw_Data4[[#This Row],[PLAYER NAME]],ACC!$A:$E,2,FALSE)</f>
        <v>121</v>
      </c>
      <c r="D140">
        <f>VLOOKUP(Raw_Data4[[#This Row],[PLAYER NAME]],APP!$A:$E,2,FALSE)</f>
        <v>84</v>
      </c>
      <c r="E140">
        <f>VLOOKUP(Raw_Data4[[#This Row],[PLAYER NAME]],ARG!$A:$E,2,FALSE)</f>
        <v>132</v>
      </c>
      <c r="F140">
        <f>VLOOKUP(Raw_Data4[[#This Row],[PLAYER NAME]],PUTT!$A:$E,2,FALSE)</f>
        <v>147</v>
      </c>
      <c r="G140">
        <f>VLOOKUP(Raw_Data4[[#This Row],[PLAYER NAME]],SG!$A:$E,3,FALSE)</f>
        <v>153</v>
      </c>
      <c r="I140" s="34" t="str">
        <f>Raw_Data4[[#This Row],[PLAYER NAME]]</f>
        <v>J.J. Spaun</v>
      </c>
      <c r="J140">
        <f>Raw_Data4[[#This Row],[DIST]]</f>
        <v>139</v>
      </c>
      <c r="K140">
        <f>Raw_Data4[[#This Row],[ACC]]</f>
        <v>121</v>
      </c>
      <c r="L140">
        <f>Raw_Data4[[#This Row],[APP]]</f>
        <v>84</v>
      </c>
      <c r="M140">
        <f>Raw_Data4[[#This Row],[ARG]]</f>
        <v>132</v>
      </c>
      <c r="N140">
        <f>Raw_Data4[[#This Row],[PUTT]]</f>
        <v>147</v>
      </c>
      <c r="O140" s="22">
        <f>Raw_Data4[[#This Row],[SG]]</f>
        <v>153</v>
      </c>
      <c r="P140" s="34">
        <f t="shared" si="8"/>
        <v>370.70000000000005</v>
      </c>
      <c r="Q140" s="359">
        <f t="shared" si="9"/>
        <v>527.32776580594532</v>
      </c>
      <c r="R140" s="226">
        <f>(($Z$9-(X140/40)*($Z$9))*VLOOKUP($I140,'2023'!$A$2:$I$278,8,FALSE))+((1-(($Z$9-(X140/40)*($Z$9))))*P140)</f>
        <v>307.01529167445671</v>
      </c>
      <c r="S140" s="14">
        <f>(($Z$9-(X140/40)*($Z$9))*VLOOKUP($I140,'2023'!$A$2:$I$278,9,FALSE))+((1-(($Z$9-(X140/40)*($Z$9))))*Q140)</f>
        <v>402.20080450070543</v>
      </c>
      <c r="X140" s="16">
        <f>VLOOKUP(I140,FEDEX!$A$2:$H$270,4,FALSE)</f>
        <v>10</v>
      </c>
    </row>
    <row r="141" spans="1:24">
      <c r="A141" t="str">
        <f>DIST!A141</f>
        <v>Matt NeSmith</v>
      </c>
      <c r="B141">
        <f>VLOOKUP(Raw_Data4[[#This Row],[PLAYER NAME]],DIST!$A:$E,2,FALSE)</f>
        <v>140</v>
      </c>
      <c r="C141">
        <f>VLOOKUP(Raw_Data4[[#This Row],[PLAYER NAME]],ACC!$A:$E,2,FALSE)</f>
        <v>105</v>
      </c>
      <c r="D141">
        <f>VLOOKUP(Raw_Data4[[#This Row],[PLAYER NAME]],APP!$A:$E,2,FALSE)</f>
        <v>139</v>
      </c>
      <c r="E141">
        <f>VLOOKUP(Raw_Data4[[#This Row],[PLAYER NAME]],ARG!$A:$E,2,FALSE)</f>
        <v>149</v>
      </c>
      <c r="F141">
        <f>VLOOKUP(Raw_Data4[[#This Row],[PLAYER NAME]],PUTT!$A:$E,2,FALSE)</f>
        <v>157</v>
      </c>
      <c r="G141">
        <f>VLOOKUP(Raw_Data4[[#This Row],[PLAYER NAME]],SG!$A:$E,3,FALSE)</f>
        <v>164</v>
      </c>
      <c r="I141" s="34" t="str">
        <f>Raw_Data4[[#This Row],[PLAYER NAME]]</f>
        <v>Matt NeSmith</v>
      </c>
      <c r="J141">
        <f>Raw_Data4[[#This Row],[DIST]]</f>
        <v>140</v>
      </c>
      <c r="K141">
        <f>Raw_Data4[[#This Row],[ACC]]</f>
        <v>105</v>
      </c>
      <c r="L141">
        <f>Raw_Data4[[#This Row],[APP]]</f>
        <v>139</v>
      </c>
      <c r="M141">
        <f>Raw_Data4[[#This Row],[ARG]]</f>
        <v>149</v>
      </c>
      <c r="N141">
        <f>Raw_Data4[[#This Row],[PUTT]]</f>
        <v>157</v>
      </c>
      <c r="O141" s="22">
        <f>Raw_Data4[[#This Row],[SG]]</f>
        <v>164</v>
      </c>
      <c r="P141" s="34">
        <f t="shared" si="8"/>
        <v>413.90000000000003</v>
      </c>
      <c r="Q141" s="359">
        <f t="shared" si="9"/>
        <v>592.77589391926722</v>
      </c>
      <c r="R141" s="226">
        <f>(($Z$9-(X141/40)*($Z$9))*VLOOKUP($I141,'2023'!$A$2:$I$278,8,FALSE))+((1-(($Z$9-(X141/40)*($Z$9))))*P141)</f>
        <v>353.20131680208931</v>
      </c>
      <c r="S141" s="14">
        <f>(($Z$9-(X141/40)*($Z$9))*VLOOKUP($I141,'2023'!$A$2:$I$278,9,FALSE))+((1-(($Z$9-(X141/40)*($Z$9))))*Q141)</f>
        <v>491.25845980193446</v>
      </c>
      <c r="X141" s="16">
        <f>VLOOKUP(I141,FEDEX!$A$2:$H$270,4,FALSE)</f>
        <v>10</v>
      </c>
    </row>
    <row r="142" spans="1:24">
      <c r="A142" t="str">
        <f>DIST!A142</f>
        <v>Robby Shelton</v>
      </c>
      <c r="B142">
        <f>VLOOKUP(Raw_Data4[[#This Row],[PLAYER NAME]],DIST!$A:$E,2,FALSE)</f>
        <v>140</v>
      </c>
      <c r="C142">
        <f>VLOOKUP(Raw_Data4[[#This Row],[PLAYER NAME]],ACC!$A:$E,2,FALSE)</f>
        <v>114</v>
      </c>
      <c r="D142">
        <f>VLOOKUP(Raw_Data4[[#This Row],[PLAYER NAME]],APP!$A:$E,2,FALSE)</f>
        <v>79</v>
      </c>
      <c r="E142">
        <f>VLOOKUP(Raw_Data4[[#This Row],[PLAYER NAME]],ARG!$A:$E,2,FALSE)</f>
        <v>19</v>
      </c>
      <c r="F142">
        <f>VLOOKUP(Raw_Data4[[#This Row],[PLAYER NAME]],PUTT!$A:$E,2,FALSE)</f>
        <v>118</v>
      </c>
      <c r="G142">
        <f>VLOOKUP(Raw_Data4[[#This Row],[PLAYER NAME]],SG!$A:$E,3,FALSE)</f>
        <v>131</v>
      </c>
      <c r="I142" s="34" t="str">
        <f>Raw_Data4[[#This Row],[PLAYER NAME]]</f>
        <v>Robby Shelton</v>
      </c>
      <c r="J142">
        <f>Raw_Data4[[#This Row],[DIST]]</f>
        <v>140</v>
      </c>
      <c r="K142">
        <f>Raw_Data4[[#This Row],[ACC]]</f>
        <v>114</v>
      </c>
      <c r="L142">
        <f>Raw_Data4[[#This Row],[APP]]</f>
        <v>79</v>
      </c>
      <c r="M142">
        <f>Raw_Data4[[#This Row],[ARG]]</f>
        <v>19</v>
      </c>
      <c r="N142">
        <f>Raw_Data4[[#This Row],[PUTT]]</f>
        <v>118</v>
      </c>
      <c r="O142" s="22">
        <f>Raw_Data4[[#This Row],[SG]]</f>
        <v>131</v>
      </c>
      <c r="P142" s="34">
        <f t="shared" si="8"/>
        <v>304.89999999999998</v>
      </c>
      <c r="Q142" s="359">
        <f t="shared" si="9"/>
        <v>414.94307954654863</v>
      </c>
      <c r="R142" s="226">
        <f>(($Z$9-(X142/40)*($Z$9))*VLOOKUP($I142,'2023'!$A$2:$I$278,8,FALSE))+((1-(($Z$9-(X142/40)*($Z$9))))*P142)</f>
        <v>312.1076468598028</v>
      </c>
      <c r="S142" s="14">
        <f>(($Z$9-(X142/40)*($Z$9))*VLOOKUP($I142,'2023'!$A$2:$I$278,9,FALSE))+((1-(($Z$9-(X142/40)*($Z$9))))*Q142)</f>
        <v>413.62612596104327</v>
      </c>
      <c r="X142" s="16">
        <f>VLOOKUP(I142,FEDEX!$A$2:$H$270,4,FALSE)</f>
        <v>10</v>
      </c>
    </row>
    <row r="143" spans="1:24">
      <c r="A143" t="str">
        <f>DIST!A143</f>
        <v>Doug Ghim</v>
      </c>
      <c r="B143">
        <f>VLOOKUP(Raw_Data4[[#This Row],[PLAYER NAME]],DIST!$A:$E,2,FALSE)</f>
        <v>142</v>
      </c>
      <c r="C143">
        <f>VLOOKUP(Raw_Data4[[#This Row],[PLAYER NAME]],ACC!$A:$E,2,FALSE)</f>
        <v>41</v>
      </c>
      <c r="D143">
        <f>VLOOKUP(Raw_Data4[[#This Row],[PLAYER NAME]],APP!$A:$E,2,FALSE)</f>
        <v>35</v>
      </c>
      <c r="E143">
        <f>VLOOKUP(Raw_Data4[[#This Row],[PLAYER NAME]],ARG!$A:$E,2,FALSE)</f>
        <v>74</v>
      </c>
      <c r="F143">
        <f>VLOOKUP(Raw_Data4[[#This Row],[PLAYER NAME]],PUTT!$A:$E,2,FALSE)</f>
        <v>80</v>
      </c>
      <c r="G143">
        <f>VLOOKUP(Raw_Data4[[#This Row],[PLAYER NAME]],SG!$A:$E,3,FALSE)</f>
        <v>16</v>
      </c>
      <c r="I143" s="34" t="str">
        <f>Raw_Data4[[#This Row],[PLAYER NAME]]</f>
        <v>Doug Ghim</v>
      </c>
      <c r="J143">
        <f>Raw_Data4[[#This Row],[DIST]]</f>
        <v>142</v>
      </c>
      <c r="K143">
        <f>Raw_Data4[[#This Row],[ACC]]</f>
        <v>41</v>
      </c>
      <c r="L143">
        <f>Raw_Data4[[#This Row],[APP]]</f>
        <v>35</v>
      </c>
      <c r="M143">
        <f>Raw_Data4[[#This Row],[ARG]]</f>
        <v>74</v>
      </c>
      <c r="N143">
        <f>Raw_Data4[[#This Row],[PUTT]]</f>
        <v>80</v>
      </c>
      <c r="O143" s="22">
        <f>Raw_Data4[[#This Row],[SG]]</f>
        <v>16</v>
      </c>
      <c r="P143" s="34">
        <f t="shared" si="8"/>
        <v>242.4</v>
      </c>
      <c r="Q143" s="359">
        <f t="shared" si="9"/>
        <v>241.05447614014031</v>
      </c>
      <c r="R143" s="226">
        <f>(($Z$9-(X143/40)*($Z$9))*VLOOKUP($I143,'2023'!$A$2:$I$278,8,FALSE))+((1-(($Z$9-(X143/40)*($Z$9))))*P143)</f>
        <v>255.42524753950079</v>
      </c>
      <c r="S143" s="14">
        <f>(($Z$9-(X143/40)*($Z$9))*VLOOKUP($I143,'2023'!$A$2:$I$278,9,FALSE))+((1-(($Z$9-(X143/40)*($Z$9))))*Q143)</f>
        <v>292.61077479528217</v>
      </c>
      <c r="X143" s="16">
        <f>VLOOKUP(I143,FEDEX!$A$2:$H$270,4,FALSE)</f>
        <v>10</v>
      </c>
    </row>
    <row r="144" spans="1:24">
      <c r="A144" t="str">
        <f>DIST!A144</f>
        <v>Sungjae Im</v>
      </c>
      <c r="B144">
        <f>VLOOKUP(Raw_Data4[[#This Row],[PLAYER NAME]],DIST!$A:$E,2,FALSE)</f>
        <v>142</v>
      </c>
      <c r="C144">
        <f>VLOOKUP(Raw_Data4[[#This Row],[PLAYER NAME]],ACC!$A:$E,2,FALSE)</f>
        <v>52</v>
      </c>
      <c r="D144">
        <f>VLOOKUP(Raw_Data4[[#This Row],[PLAYER NAME]],APP!$A:$E,2,FALSE)</f>
        <v>134</v>
      </c>
      <c r="E144">
        <f>VLOOKUP(Raw_Data4[[#This Row],[PLAYER NAME]],ARG!$A:$E,2,FALSE)</f>
        <v>98</v>
      </c>
      <c r="F144">
        <f>VLOOKUP(Raw_Data4[[#This Row],[PLAYER NAME]],PUTT!$A:$E,2,FALSE)</f>
        <v>125</v>
      </c>
      <c r="G144">
        <f>VLOOKUP(Raw_Data4[[#This Row],[PLAYER NAME]],SG!$A:$E,3,FALSE)</f>
        <v>113</v>
      </c>
      <c r="I144" s="34" t="str">
        <f>Raw_Data4[[#This Row],[PLAYER NAME]]</f>
        <v>Sungjae Im</v>
      </c>
      <c r="J144">
        <f>Raw_Data4[[#This Row],[DIST]]</f>
        <v>142</v>
      </c>
      <c r="K144">
        <f>Raw_Data4[[#This Row],[ACC]]</f>
        <v>52</v>
      </c>
      <c r="L144">
        <f>Raw_Data4[[#This Row],[APP]]</f>
        <v>134</v>
      </c>
      <c r="M144">
        <f>Raw_Data4[[#This Row],[ARG]]</f>
        <v>98</v>
      </c>
      <c r="N144">
        <f>Raw_Data4[[#This Row],[PUTT]]</f>
        <v>125</v>
      </c>
      <c r="O144" s="22">
        <f>Raw_Data4[[#This Row],[SG]]</f>
        <v>113</v>
      </c>
      <c r="P144" s="34">
        <f t="shared" si="8"/>
        <v>349.3</v>
      </c>
      <c r="Q144" s="359">
        <f t="shared" si="9"/>
        <v>464.89790392237865</v>
      </c>
      <c r="R144" s="226">
        <f>(($Z$9-(X144/40)*($Z$9))*VLOOKUP($I144,'2023'!$A$2:$I$278,8,FALSE))+((1-(($Z$9-(X144/40)*($Z$9))))*P144)</f>
        <v>286.79254066155784</v>
      </c>
      <c r="S144" s="14">
        <f>(($Z$9-(X144/40)*($Z$9))*VLOOKUP($I144,'2023'!$A$2:$I$278,9,FALSE))+((1-(($Z$9-(X144/40)*($Z$9))))*Q144)</f>
        <v>346.79388447854012</v>
      </c>
      <c r="X144" s="16">
        <f>VLOOKUP(I144,FEDEX!$A$2:$H$270,4,FALSE)</f>
        <v>11</v>
      </c>
    </row>
    <row r="145" spans="1:24">
      <c r="A145" t="str">
        <f>DIST!A145</f>
        <v>Aaron Rai</v>
      </c>
      <c r="B145">
        <f>VLOOKUP(Raw_Data4[[#This Row],[PLAYER NAME]],DIST!$A:$E,2,FALSE)</f>
        <v>144</v>
      </c>
      <c r="C145">
        <f>VLOOKUP(Raw_Data4[[#This Row],[PLAYER NAME]],ACC!$A:$E,2,FALSE)</f>
        <v>30</v>
      </c>
      <c r="D145">
        <f>VLOOKUP(Raw_Data4[[#This Row],[PLAYER NAME]],APP!$A:$E,2,FALSE)</f>
        <v>28</v>
      </c>
      <c r="E145">
        <f>VLOOKUP(Raw_Data4[[#This Row],[PLAYER NAME]],ARG!$A:$E,2,FALSE)</f>
        <v>94</v>
      </c>
      <c r="F145">
        <f>VLOOKUP(Raw_Data4[[#This Row],[PLAYER NAME]],PUTT!$A:$E,2,FALSE)</f>
        <v>107</v>
      </c>
      <c r="G145">
        <f>VLOOKUP(Raw_Data4[[#This Row],[PLAYER NAME]],SG!$A:$E,3,FALSE)</f>
        <v>43</v>
      </c>
      <c r="I145" s="34" t="str">
        <f>Raw_Data4[[#This Row],[PLAYER NAME]]</f>
        <v>Aaron Rai</v>
      </c>
      <c r="J145">
        <f>Raw_Data4[[#This Row],[DIST]]</f>
        <v>144</v>
      </c>
      <c r="K145">
        <f>Raw_Data4[[#This Row],[ACC]]</f>
        <v>30</v>
      </c>
      <c r="L145">
        <f>Raw_Data4[[#This Row],[APP]]</f>
        <v>28</v>
      </c>
      <c r="M145">
        <f>Raw_Data4[[#This Row],[ARG]]</f>
        <v>94</v>
      </c>
      <c r="N145">
        <f>Raw_Data4[[#This Row],[PUTT]]</f>
        <v>107</v>
      </c>
      <c r="O145" s="22">
        <f>Raw_Data4[[#This Row],[SG]]</f>
        <v>43</v>
      </c>
      <c r="P145" s="34">
        <f t="shared" si="8"/>
        <v>255.29999999999998</v>
      </c>
      <c r="Q145" s="359">
        <f t="shared" si="9"/>
        <v>284.05611989986676</v>
      </c>
      <c r="R145" s="226">
        <f>(($Z$9-(X145/40)*($Z$9))*VLOOKUP($I145,'2023'!$A$2:$I$278,8,FALSE))+((1-(($Z$9-(X145/40)*($Z$9))))*P145)</f>
        <v>258.64640747062271</v>
      </c>
      <c r="S145" s="14">
        <f>(($Z$9-(X145/40)*($Z$9))*VLOOKUP($I145,'2023'!$A$2:$I$278,9,FALSE))+((1-(($Z$9-(X145/40)*($Z$9))))*Q145)</f>
        <v>286.02062509326731</v>
      </c>
      <c r="X145" s="16">
        <f>VLOOKUP(I145,FEDEX!$A$2:$H$270,4,FALSE)</f>
        <v>10</v>
      </c>
    </row>
    <row r="146" spans="1:24">
      <c r="A146" t="str">
        <f>DIST!A146</f>
        <v>Mark Hubbard</v>
      </c>
      <c r="B146">
        <f>VLOOKUP(Raw_Data4[[#This Row],[PLAYER NAME]],DIST!$A:$E,2,FALSE)</f>
        <v>145</v>
      </c>
      <c r="C146">
        <f>VLOOKUP(Raw_Data4[[#This Row],[PLAYER NAME]],ACC!$A:$E,2,FALSE)</f>
        <v>69</v>
      </c>
      <c r="D146">
        <f>VLOOKUP(Raw_Data4[[#This Row],[PLAYER NAME]],APP!$A:$E,2,FALSE)</f>
        <v>29</v>
      </c>
      <c r="E146">
        <f>VLOOKUP(Raw_Data4[[#This Row],[PLAYER NAME]],ARG!$A:$E,2,FALSE)</f>
        <v>58</v>
      </c>
      <c r="F146">
        <f>VLOOKUP(Raw_Data4[[#This Row],[PLAYER NAME]],PUTT!$A:$E,2,FALSE)</f>
        <v>72</v>
      </c>
      <c r="G146">
        <f>VLOOKUP(Raw_Data4[[#This Row],[PLAYER NAME]],SG!$A:$E,3,FALSE)</f>
        <v>40</v>
      </c>
      <c r="I146" s="34" t="str">
        <f>Raw_Data4[[#This Row],[PLAYER NAME]]</f>
        <v>Mark Hubbard</v>
      </c>
      <c r="J146">
        <f>Raw_Data4[[#This Row],[DIST]]</f>
        <v>145</v>
      </c>
      <c r="K146">
        <f>Raw_Data4[[#This Row],[ACC]]</f>
        <v>69</v>
      </c>
      <c r="L146">
        <f>Raw_Data4[[#This Row],[APP]]</f>
        <v>29</v>
      </c>
      <c r="M146">
        <f>Raw_Data4[[#This Row],[ARG]]</f>
        <v>58</v>
      </c>
      <c r="N146">
        <f>Raw_Data4[[#This Row],[PUTT]]</f>
        <v>72</v>
      </c>
      <c r="O146" s="22">
        <f>Raw_Data4[[#This Row],[SG]]</f>
        <v>40</v>
      </c>
      <c r="P146" s="34">
        <f t="shared" si="8"/>
        <v>244.5</v>
      </c>
      <c r="Q146" s="359">
        <f t="shared" si="9"/>
        <v>262.02895003919974</v>
      </c>
      <c r="R146" s="226">
        <f>(($Z$9-(X146/40)*($Z$9))*VLOOKUP($I146,'2023'!$A$2:$I$278,8,FALSE))+((1-(($Z$9-(X146/40)*($Z$9))))*P146)</f>
        <v>253.35510899918631</v>
      </c>
      <c r="S146" s="14">
        <f>(($Z$9-(X146/40)*($Z$9))*VLOOKUP($I146,'2023'!$A$2:$I$278,9,FALSE))+((1-(($Z$9-(X146/40)*($Z$9))))*Q146)</f>
        <v>270.52114625644691</v>
      </c>
      <c r="X146" s="16">
        <f>VLOOKUP(I146,FEDEX!$A$2:$H$270,4,FALSE)</f>
        <v>10</v>
      </c>
    </row>
    <row r="147" spans="1:24">
      <c r="A147" t="str">
        <f>DIST!A147</f>
        <v>Dylan Wu</v>
      </c>
      <c r="B147">
        <f>VLOOKUP(Raw_Data4[[#This Row],[PLAYER NAME]],DIST!$A:$E,2,FALSE)</f>
        <v>145</v>
      </c>
      <c r="C147">
        <f>VLOOKUP(Raw_Data4[[#This Row],[PLAYER NAME]],ACC!$A:$E,2,FALSE)</f>
        <v>91</v>
      </c>
      <c r="D147">
        <f>VLOOKUP(Raw_Data4[[#This Row],[PLAYER NAME]],APP!$A:$E,2,FALSE)</f>
        <v>43</v>
      </c>
      <c r="E147">
        <f>VLOOKUP(Raw_Data4[[#This Row],[PLAYER NAME]],ARG!$A:$E,2,FALSE)</f>
        <v>64</v>
      </c>
      <c r="F147">
        <f>VLOOKUP(Raw_Data4[[#This Row],[PLAYER NAME]],PUTT!$A:$E,2,FALSE)</f>
        <v>98</v>
      </c>
      <c r="G147">
        <f>VLOOKUP(Raw_Data4[[#This Row],[PLAYER NAME]],SG!$A:$E,3,FALSE)</f>
        <v>79</v>
      </c>
      <c r="I147" s="34" t="str">
        <f>Raw_Data4[[#This Row],[PLAYER NAME]]</f>
        <v>Dylan Wu</v>
      </c>
      <c r="J147">
        <f>Raw_Data4[[#This Row],[DIST]]</f>
        <v>145</v>
      </c>
      <c r="K147">
        <f>Raw_Data4[[#This Row],[ACC]]</f>
        <v>91</v>
      </c>
      <c r="L147">
        <f>Raw_Data4[[#This Row],[APP]]</f>
        <v>43</v>
      </c>
      <c r="M147">
        <f>Raw_Data4[[#This Row],[ARG]]</f>
        <v>64</v>
      </c>
      <c r="N147">
        <f>Raw_Data4[[#This Row],[PUTT]]</f>
        <v>98</v>
      </c>
      <c r="O147" s="22">
        <f>Raw_Data4[[#This Row],[SG]]</f>
        <v>79</v>
      </c>
      <c r="P147" s="34">
        <f t="shared" si="8"/>
        <v>280.7</v>
      </c>
      <c r="Q147" s="359">
        <f t="shared" si="9"/>
        <v>340.9813839003142</v>
      </c>
      <c r="R147" s="226">
        <f>(($Z$9-(X147/40)*($Z$9))*VLOOKUP($I147,'2023'!$A$2:$I$278,8,FALSE))+((1-(($Z$9-(X147/40)*($Z$9))))*P147)</f>
        <v>266.02729032111574</v>
      </c>
      <c r="S147" s="14">
        <f>(($Z$9-(X147/40)*($Z$9))*VLOOKUP($I147,'2023'!$A$2:$I$278,9,FALSE))+((1-(($Z$9-(X147/40)*($Z$9))))*Q147)</f>
        <v>320.73945717053533</v>
      </c>
      <c r="X147" s="16">
        <f>VLOOKUP(I147,FEDEX!$A$2:$H$270,4,FALSE)</f>
        <v>10</v>
      </c>
    </row>
    <row r="148" spans="1:24">
      <c r="A148" t="str">
        <f>DIST!A148</f>
        <v>Daniel Berger</v>
      </c>
      <c r="B148">
        <f>VLOOKUP(Raw_Data4[[#This Row],[PLAYER NAME]],DIST!$A:$E,2,FALSE)</f>
        <v>147</v>
      </c>
      <c r="C148">
        <f>VLOOKUP(Raw_Data4[[#This Row],[PLAYER NAME]],ACC!$A:$E,2,FALSE)</f>
        <v>23</v>
      </c>
      <c r="D148">
        <f>VLOOKUP(Raw_Data4[[#This Row],[PLAYER NAME]],APP!$A:$E,2,FALSE)</f>
        <v>67</v>
      </c>
      <c r="E148">
        <f>VLOOKUP(Raw_Data4[[#This Row],[PLAYER NAME]],ARG!$A:$E,2,FALSE)</f>
        <v>134</v>
      </c>
      <c r="F148">
        <f>VLOOKUP(Raw_Data4[[#This Row],[PLAYER NAME]],PUTT!$A:$E,2,FALSE)</f>
        <v>182</v>
      </c>
      <c r="G148">
        <f>VLOOKUP(Raw_Data4[[#This Row],[PLAYER NAME]],SG!$A:$E,3,FALSE)</f>
        <v>154</v>
      </c>
      <c r="I148" s="34" t="str">
        <f>Raw_Data4[[#This Row],[PLAYER NAME]]</f>
        <v>Daniel Berger</v>
      </c>
      <c r="J148">
        <f>Raw_Data4[[#This Row],[DIST]]</f>
        <v>147</v>
      </c>
      <c r="K148">
        <f>Raw_Data4[[#This Row],[ACC]]</f>
        <v>23</v>
      </c>
      <c r="L148">
        <f>Raw_Data4[[#This Row],[APP]]</f>
        <v>67</v>
      </c>
      <c r="M148">
        <f>Raw_Data4[[#This Row],[ARG]]</f>
        <v>134</v>
      </c>
      <c r="N148">
        <f>Raw_Data4[[#This Row],[PUTT]]</f>
        <v>182</v>
      </c>
      <c r="O148" s="22">
        <f>Raw_Data4[[#This Row],[SG]]</f>
        <v>154</v>
      </c>
      <c r="P148" s="34">
        <f t="shared" si="8"/>
        <v>335.3</v>
      </c>
      <c r="Q148" s="359">
        <f t="shared" si="9"/>
        <v>489.5253541026492</v>
      </c>
      <c r="R148" s="226" t="e">
        <f>(($Z$9-(X148/40)*($Z$9))*VLOOKUP($I148,'2023'!$A$2:$I$278,8,FALSE))+((1-(($Z$9-(X148/40)*($Z$9))))*P148)</f>
        <v>#N/A</v>
      </c>
      <c r="S148" s="14" t="e">
        <f>(($Z$9-(X148/40)*($Z$9))*VLOOKUP($I148,'2023'!$A$2:$I$278,9,FALSE))+((1-(($Z$9-(X148/40)*($Z$9))))*Q148)</f>
        <v>#N/A</v>
      </c>
      <c r="X148" s="16">
        <f>VLOOKUP(I148,FEDEX!$A$2:$H$270,4,FALSE)</f>
        <v>7</v>
      </c>
    </row>
    <row r="149" spans="1:24">
      <c r="A149" t="str">
        <f>DIST!A149</f>
        <v>Ben Martin</v>
      </c>
      <c r="B149">
        <f>VLOOKUP(Raw_Data4[[#This Row],[PLAYER NAME]],DIST!$A:$E,2,FALSE)</f>
        <v>148</v>
      </c>
      <c r="C149">
        <f>VLOOKUP(Raw_Data4[[#This Row],[PLAYER NAME]],ACC!$A:$E,2,FALSE)</f>
        <v>110</v>
      </c>
      <c r="D149">
        <f>VLOOKUP(Raw_Data4[[#This Row],[PLAYER NAME]],APP!$A:$E,2,FALSE)</f>
        <v>20</v>
      </c>
      <c r="E149">
        <f>VLOOKUP(Raw_Data4[[#This Row],[PLAYER NAME]],ARG!$A:$E,2,FALSE)</f>
        <v>150</v>
      </c>
      <c r="F149">
        <f>VLOOKUP(Raw_Data4[[#This Row],[PLAYER NAME]],PUTT!$A:$E,2,FALSE)</f>
        <v>65</v>
      </c>
      <c r="G149">
        <f>VLOOKUP(Raw_Data4[[#This Row],[PLAYER NAME]],SG!$A:$E,3,FALSE)</f>
        <v>60</v>
      </c>
      <c r="I149" s="34" t="str">
        <f>Raw_Data4[[#This Row],[PLAYER NAME]]</f>
        <v>Ben Martin</v>
      </c>
      <c r="J149">
        <f>Raw_Data4[[#This Row],[DIST]]</f>
        <v>148</v>
      </c>
      <c r="K149">
        <f>Raw_Data4[[#This Row],[ACC]]</f>
        <v>110</v>
      </c>
      <c r="L149">
        <f>Raw_Data4[[#This Row],[APP]]</f>
        <v>20</v>
      </c>
      <c r="M149">
        <f>Raw_Data4[[#This Row],[ARG]]</f>
        <v>150</v>
      </c>
      <c r="N149">
        <f>Raw_Data4[[#This Row],[PUTT]]</f>
        <v>65</v>
      </c>
      <c r="O149" s="22">
        <f>Raw_Data4[[#This Row],[SG]]</f>
        <v>60</v>
      </c>
      <c r="P149" s="34">
        <f t="shared" si="8"/>
        <v>294.70000000000005</v>
      </c>
      <c r="Q149" s="359">
        <f t="shared" si="9"/>
        <v>348.65652127775888</v>
      </c>
      <c r="R149" s="226">
        <f>(($Z$9-(X149/40)*($Z$9))*VLOOKUP($I149,'2023'!$A$2:$I$278,8,FALSE))+((1-(($Z$9-(X149/40)*($Z$9))))*P149)</f>
        <v>304.80786666767585</v>
      </c>
      <c r="S149" s="14">
        <f>(($Z$9-(X149/40)*($Z$9))*VLOOKUP($I149,'2023'!$A$2:$I$278,9,FALSE))+((1-(($Z$9-(X149/40)*($Z$9))))*Q149)</f>
        <v>383.97373756980755</v>
      </c>
      <c r="X149" s="16">
        <f>VLOOKUP(I149,FEDEX!$A$2:$H$270,4,FALSE)</f>
        <v>9</v>
      </c>
    </row>
    <row r="150" spans="1:24">
      <c r="A150" t="str">
        <f>DIST!A150</f>
        <v>Roger Sloan</v>
      </c>
      <c r="B150">
        <f>VLOOKUP(Raw_Data4[[#This Row],[PLAYER NAME]],DIST!$A:$E,2,FALSE)</f>
        <v>148</v>
      </c>
      <c r="C150">
        <f>VLOOKUP(Raw_Data4[[#This Row],[PLAYER NAME]],ACC!$A:$E,2,FALSE)</f>
        <v>88</v>
      </c>
      <c r="D150">
        <f>VLOOKUP(Raw_Data4[[#This Row],[PLAYER NAME]],APP!$A:$E,2,FALSE)</f>
        <v>101</v>
      </c>
      <c r="E150">
        <f>VLOOKUP(Raw_Data4[[#This Row],[PLAYER NAME]],ARG!$A:$E,2,FALSE)</f>
        <v>2</v>
      </c>
      <c r="F150">
        <f>VLOOKUP(Raw_Data4[[#This Row],[PLAYER NAME]],PUTT!$A:$E,2,FALSE)</f>
        <v>126</v>
      </c>
      <c r="G150">
        <f>VLOOKUP(Raw_Data4[[#This Row],[PLAYER NAME]],SG!$A:$E,3,FALSE)</f>
        <v>95</v>
      </c>
      <c r="I150" s="34" t="str">
        <f>Raw_Data4[[#This Row],[PLAYER NAME]]</f>
        <v>Roger Sloan</v>
      </c>
      <c r="J150">
        <f>Raw_Data4[[#This Row],[DIST]]</f>
        <v>148</v>
      </c>
      <c r="K150">
        <f>Raw_Data4[[#This Row],[ACC]]</f>
        <v>88</v>
      </c>
      <c r="L150">
        <f>Raw_Data4[[#This Row],[APP]]</f>
        <v>101</v>
      </c>
      <c r="M150">
        <f>Raw_Data4[[#This Row],[ARG]]</f>
        <v>2</v>
      </c>
      <c r="N150">
        <f>Raw_Data4[[#This Row],[PUTT]]</f>
        <v>126</v>
      </c>
      <c r="O150" s="22">
        <f>Raw_Data4[[#This Row],[SG]]</f>
        <v>95</v>
      </c>
      <c r="P150" s="34">
        <f t="shared" si="8"/>
        <v>311.70000000000005</v>
      </c>
      <c r="Q150" s="359">
        <f t="shared" si="9"/>
        <v>383.40987820369099</v>
      </c>
      <c r="R150" s="226">
        <f>(($Z$9-(X150/40)*($Z$9))*VLOOKUP($I150,'2023'!$A$2:$I$278,8,FALSE))+((1-(($Z$9-(X150/40)*($Z$9))))*P150)</f>
        <v>357.40162941033532</v>
      </c>
      <c r="S150" s="14">
        <f>(($Z$9-(X150/40)*($Z$9))*VLOOKUP($I150,'2023'!$A$2:$I$278,9,FALSE))+((1-(($Z$9-(X150/40)*($Z$9))))*Q150)</f>
        <v>478.27810201609202</v>
      </c>
      <c r="X150" s="16">
        <f>VLOOKUP(I150,FEDEX!$A$2:$H$270,4,FALSE)</f>
        <v>7</v>
      </c>
    </row>
    <row r="151" spans="1:24">
      <c r="A151" t="str">
        <f>DIST!A151</f>
        <v>Greyson Sigg</v>
      </c>
      <c r="B151">
        <f>VLOOKUP(Raw_Data4[[#This Row],[PLAYER NAME]],DIST!$A:$E,2,FALSE)</f>
        <v>150</v>
      </c>
      <c r="C151">
        <f>VLOOKUP(Raw_Data4[[#This Row],[PLAYER NAME]],ACC!$A:$E,2,FALSE)</f>
        <v>72</v>
      </c>
      <c r="D151">
        <f>VLOOKUP(Raw_Data4[[#This Row],[PLAYER NAME]],APP!$A:$E,2,FALSE)</f>
        <v>32</v>
      </c>
      <c r="E151">
        <f>VLOOKUP(Raw_Data4[[#This Row],[PLAYER NAME]],ARG!$A:$E,2,FALSE)</f>
        <v>56</v>
      </c>
      <c r="F151">
        <f>VLOOKUP(Raw_Data4[[#This Row],[PLAYER NAME]],PUTT!$A:$E,2,FALSE)</f>
        <v>170</v>
      </c>
      <c r="G151">
        <f>VLOOKUP(Raw_Data4[[#This Row],[PLAYER NAME]],SG!$A:$E,3,FALSE)</f>
        <v>104</v>
      </c>
      <c r="I151" s="34" t="str">
        <f>Raw_Data4[[#This Row],[PLAYER NAME]]</f>
        <v>Greyson Sigg</v>
      </c>
      <c r="J151">
        <f>Raw_Data4[[#This Row],[DIST]]</f>
        <v>150</v>
      </c>
      <c r="K151">
        <f>Raw_Data4[[#This Row],[ACC]]</f>
        <v>72</v>
      </c>
      <c r="L151">
        <f>Raw_Data4[[#This Row],[APP]]</f>
        <v>32</v>
      </c>
      <c r="M151">
        <f>Raw_Data4[[#This Row],[ARG]]</f>
        <v>56</v>
      </c>
      <c r="N151">
        <f>Raw_Data4[[#This Row],[PUTT]]</f>
        <v>170</v>
      </c>
      <c r="O151" s="22">
        <f>Raw_Data4[[#This Row],[SG]]</f>
        <v>104</v>
      </c>
      <c r="P151" s="34">
        <f t="shared" si="8"/>
        <v>300.8</v>
      </c>
      <c r="Q151" s="359">
        <f t="shared" si="9"/>
        <v>383.05331867077564</v>
      </c>
      <c r="R151" s="226">
        <f>(($Z$9-(X151/40)*($Z$9))*VLOOKUP($I151,'2023'!$A$2:$I$278,8,FALSE))+((1-(($Z$9-(X151/40)*($Z$9))))*P151)</f>
        <v>293.69531952390867</v>
      </c>
      <c r="S151" s="14">
        <f>(($Z$9-(X151/40)*($Z$9))*VLOOKUP($I151,'2023'!$A$2:$I$278,9,FALSE))+((1-(($Z$9-(X151/40)*($Z$9))))*Q151)</f>
        <v>362.40959314243275</v>
      </c>
      <c r="X151" s="16">
        <f>VLOOKUP(I151,FEDEX!$A$2:$H$270,4,FALSE)</f>
        <v>10</v>
      </c>
    </row>
    <row r="152" spans="1:24">
      <c r="A152" t="str">
        <f>DIST!A152</f>
        <v>Sepp Straka</v>
      </c>
      <c r="B152">
        <f>VLOOKUP(Raw_Data4[[#This Row],[PLAYER NAME]],DIST!$A:$E,2,FALSE)</f>
        <v>151</v>
      </c>
      <c r="C152">
        <f>VLOOKUP(Raw_Data4[[#This Row],[PLAYER NAME]],ACC!$A:$E,2,FALSE)</f>
        <v>4</v>
      </c>
      <c r="D152">
        <f>VLOOKUP(Raw_Data4[[#This Row],[PLAYER NAME]],APP!$A:$E,2,FALSE)</f>
        <v>137</v>
      </c>
      <c r="E152">
        <f>VLOOKUP(Raw_Data4[[#This Row],[PLAYER NAME]],ARG!$A:$E,2,FALSE)</f>
        <v>131</v>
      </c>
      <c r="F152">
        <f>VLOOKUP(Raw_Data4[[#This Row],[PLAYER NAME]],PUTT!$A:$E,2,FALSE)</f>
        <v>127</v>
      </c>
      <c r="G152">
        <f>VLOOKUP(Raw_Data4[[#This Row],[PLAYER NAME]],SG!$A:$E,3,FALSE)</f>
        <v>132</v>
      </c>
      <c r="I152" s="34" t="str">
        <f>Raw_Data4[[#This Row],[PLAYER NAME]]</f>
        <v>Sepp Straka</v>
      </c>
      <c r="J152">
        <f>Raw_Data4[[#This Row],[DIST]]</f>
        <v>151</v>
      </c>
      <c r="K152">
        <f>Raw_Data4[[#This Row],[ACC]]</f>
        <v>4</v>
      </c>
      <c r="L152">
        <f>Raw_Data4[[#This Row],[APP]]</f>
        <v>137</v>
      </c>
      <c r="M152">
        <f>Raw_Data4[[#This Row],[ARG]]</f>
        <v>131</v>
      </c>
      <c r="N152">
        <f>Raw_Data4[[#This Row],[PUTT]]</f>
        <v>127</v>
      </c>
      <c r="O152" s="22">
        <f>Raw_Data4[[#This Row],[SG]]</f>
        <v>132</v>
      </c>
      <c r="P152" s="34">
        <f t="shared" si="8"/>
        <v>349.70000000000005</v>
      </c>
      <c r="Q152" s="359">
        <f t="shared" si="9"/>
        <v>489.04043713601629</v>
      </c>
      <c r="R152" s="226">
        <f>(($Z$9-(X152/40)*($Z$9))*VLOOKUP($I152,'2023'!$A$2:$I$278,8,FALSE))+((1-(($Z$9-(X152/40)*($Z$9))))*P152)</f>
        <v>282.77528280033584</v>
      </c>
      <c r="S152" s="14">
        <f>(($Z$9-(X152/40)*($Z$9))*VLOOKUP($I152,'2023'!$A$2:$I$278,9,FALSE))+((1-(($Z$9-(X152/40)*($Z$9))))*Q152)</f>
        <v>385.02465011005734</v>
      </c>
      <c r="X152" s="16">
        <f>VLOOKUP(I152,FEDEX!$A$2:$H$270,4,FALSE)</f>
        <v>9</v>
      </c>
    </row>
    <row r="153" spans="1:24">
      <c r="A153" t="str">
        <f>DIST!A153</f>
        <v>Collin Morikawa</v>
      </c>
      <c r="B153">
        <f>VLOOKUP(Raw_Data4[[#This Row],[PLAYER NAME]],DIST!$A:$E,2,FALSE)</f>
        <v>152</v>
      </c>
      <c r="C153">
        <f>VLOOKUP(Raw_Data4[[#This Row],[PLAYER NAME]],ACC!$A:$E,2,FALSE)</f>
        <v>5</v>
      </c>
      <c r="D153">
        <f>VLOOKUP(Raw_Data4[[#This Row],[PLAYER NAME]],APP!$A:$E,2,FALSE)</f>
        <v>80</v>
      </c>
      <c r="E153">
        <f>VLOOKUP(Raw_Data4[[#This Row],[PLAYER NAME]],ARG!$A:$E,2,FALSE)</f>
        <v>53</v>
      </c>
      <c r="F153">
        <f>VLOOKUP(Raw_Data4[[#This Row],[PLAYER NAME]],PUTT!$A:$E,2,FALSE)</f>
        <v>161</v>
      </c>
      <c r="G153">
        <f>VLOOKUP(Raw_Data4[[#This Row],[PLAYER NAME]],SG!$A:$E,3,FALSE)</f>
        <v>94</v>
      </c>
      <c r="I153" s="34" t="str">
        <f>Raw_Data4[[#This Row],[PLAYER NAME]]</f>
        <v>Collin Morikawa</v>
      </c>
      <c r="J153">
        <f>Raw_Data4[[#This Row],[DIST]]</f>
        <v>152</v>
      </c>
      <c r="K153">
        <f>Raw_Data4[[#This Row],[ACC]]</f>
        <v>5</v>
      </c>
      <c r="L153">
        <f>Raw_Data4[[#This Row],[APP]]</f>
        <v>80</v>
      </c>
      <c r="M153">
        <f>Raw_Data4[[#This Row],[ARG]]</f>
        <v>53</v>
      </c>
      <c r="N153">
        <f>Raw_Data4[[#This Row],[PUTT]]</f>
        <v>161</v>
      </c>
      <c r="O153" s="22">
        <f>Raw_Data4[[#This Row],[SG]]</f>
        <v>94</v>
      </c>
      <c r="P153" s="34">
        <f t="shared" si="8"/>
        <v>297</v>
      </c>
      <c r="Q153" s="359">
        <f t="shared" si="9"/>
        <v>374.79389029180379</v>
      </c>
      <c r="R153" s="226">
        <f>(($Z$9-(X153/40)*($Z$9))*VLOOKUP($I153,'2023'!$A$2:$I$278,8,FALSE))+((1-(($Z$9-(X153/40)*($Z$9))))*P153)</f>
        <v>255.48395408753589</v>
      </c>
      <c r="S153" s="14">
        <f>(($Z$9-(X153/40)*($Z$9))*VLOOKUP($I153,'2023'!$A$2:$I$278,9,FALSE))+((1-(($Z$9-(X153/40)*($Z$9))))*Q153)</f>
        <v>288.56438800189966</v>
      </c>
      <c r="X153" s="16">
        <f>VLOOKUP(I153,FEDEX!$A$2:$H$270,4,FALSE)</f>
        <v>8</v>
      </c>
    </row>
    <row r="154" spans="1:24">
      <c r="A154" t="str">
        <f>DIST!A154</f>
        <v>Joel Dahmen</v>
      </c>
      <c r="B154">
        <f>VLOOKUP(Raw_Data4[[#This Row],[PLAYER NAME]],DIST!$A:$E,2,FALSE)</f>
        <v>153</v>
      </c>
      <c r="C154">
        <f>VLOOKUP(Raw_Data4[[#This Row],[PLAYER NAME]],ACC!$A:$E,2,FALSE)</f>
        <v>70</v>
      </c>
      <c r="D154">
        <f>VLOOKUP(Raw_Data4[[#This Row],[PLAYER NAME]],APP!$A:$E,2,FALSE)</f>
        <v>16</v>
      </c>
      <c r="E154">
        <f>VLOOKUP(Raw_Data4[[#This Row],[PLAYER NAME]],ARG!$A:$E,2,FALSE)</f>
        <v>140</v>
      </c>
      <c r="F154">
        <f>VLOOKUP(Raw_Data4[[#This Row],[PLAYER NAME]],PUTT!$A:$E,2,FALSE)</f>
        <v>181</v>
      </c>
      <c r="G154">
        <f>VLOOKUP(Raw_Data4[[#This Row],[PLAYER NAME]],SG!$A:$E,3,FALSE)</f>
        <v>123</v>
      </c>
      <c r="I154" s="34" t="str">
        <f>Raw_Data4[[#This Row],[PLAYER NAME]]</f>
        <v>Joel Dahmen</v>
      </c>
      <c r="J154">
        <f>Raw_Data4[[#This Row],[DIST]]</f>
        <v>153</v>
      </c>
      <c r="K154">
        <f>Raw_Data4[[#This Row],[ACC]]</f>
        <v>70</v>
      </c>
      <c r="L154">
        <f>Raw_Data4[[#This Row],[APP]]</f>
        <v>16</v>
      </c>
      <c r="M154">
        <f>Raw_Data4[[#This Row],[ARG]]</f>
        <v>140</v>
      </c>
      <c r="N154">
        <f>Raw_Data4[[#This Row],[PUTT]]</f>
        <v>181</v>
      </c>
      <c r="O154" s="22">
        <f>Raw_Data4[[#This Row],[SG]]</f>
        <v>123</v>
      </c>
      <c r="P154" s="34">
        <f t="shared" si="8"/>
        <v>330.4</v>
      </c>
      <c r="Q154" s="359">
        <f t="shared" si="9"/>
        <v>445.86920924011622</v>
      </c>
      <c r="R154" s="226">
        <f>(($Z$9-(X154/40)*($Z$9))*VLOOKUP($I154,'2023'!$A$2:$I$278,8,FALSE))+((1-(($Z$9-(X154/40)*($Z$9))))*P154)</f>
        <v>328.13473955834763</v>
      </c>
      <c r="S154" s="14">
        <f>(($Z$9-(X154/40)*($Z$9))*VLOOKUP($I154,'2023'!$A$2:$I$278,9,FALSE))+((1-(($Z$9-(X154/40)*($Z$9))))*Q154)</f>
        <v>445.21738027512572</v>
      </c>
      <c r="X154" s="16">
        <f>VLOOKUP(I154,FEDEX!$A$2:$H$270,4,FALSE)</f>
        <v>10</v>
      </c>
    </row>
    <row r="155" spans="1:24">
      <c r="A155" t="str">
        <f>DIST!A155</f>
        <v>Nick Taylor</v>
      </c>
      <c r="B155">
        <f>VLOOKUP(Raw_Data4[[#This Row],[PLAYER NAME]],DIST!$A:$E,2,FALSE)</f>
        <v>154</v>
      </c>
      <c r="C155">
        <f>VLOOKUP(Raw_Data4[[#This Row],[PLAYER NAME]],ACC!$A:$E,2,FALSE)</f>
        <v>84</v>
      </c>
      <c r="D155">
        <f>VLOOKUP(Raw_Data4[[#This Row],[PLAYER NAME]],APP!$A:$E,2,FALSE)</f>
        <v>13</v>
      </c>
      <c r="E155">
        <f>VLOOKUP(Raw_Data4[[#This Row],[PLAYER NAME]],ARG!$A:$E,2,FALSE)</f>
        <v>143</v>
      </c>
      <c r="F155">
        <f>VLOOKUP(Raw_Data4[[#This Row],[PLAYER NAME]],PUTT!$A:$E,2,FALSE)</f>
        <v>19</v>
      </c>
      <c r="G155">
        <f>VLOOKUP(Raw_Data4[[#This Row],[PLAYER NAME]],SG!$A:$E,3,FALSE)</f>
        <v>32</v>
      </c>
      <c r="I155" s="34" t="str">
        <f>Raw_Data4[[#This Row],[PLAYER NAME]]</f>
        <v>Nick Taylor</v>
      </c>
      <c r="J155">
        <f>Raw_Data4[[#This Row],[DIST]]</f>
        <v>154</v>
      </c>
      <c r="K155">
        <f>Raw_Data4[[#This Row],[ACC]]</f>
        <v>84</v>
      </c>
      <c r="L155">
        <f>Raw_Data4[[#This Row],[APP]]</f>
        <v>13</v>
      </c>
      <c r="M155">
        <f>Raw_Data4[[#This Row],[ARG]]</f>
        <v>143</v>
      </c>
      <c r="N155">
        <f>Raw_Data4[[#This Row],[PUTT]]</f>
        <v>19</v>
      </c>
      <c r="O155" s="22">
        <f>Raw_Data4[[#This Row],[SG]]</f>
        <v>32</v>
      </c>
      <c r="P155" s="34">
        <f t="shared" si="8"/>
        <v>256.39999999999998</v>
      </c>
      <c r="Q155" s="359">
        <f t="shared" si="9"/>
        <v>277.32656809270929</v>
      </c>
      <c r="R155" s="226">
        <f>(($Z$9-(X155/40)*($Z$9))*VLOOKUP($I155,'2023'!$A$2:$I$278,8,FALSE))+((1-(($Z$9-(X155/40)*($Z$9))))*P155)</f>
        <v>261.80573514485206</v>
      </c>
      <c r="S155" s="14">
        <f>(($Z$9-(X155/40)*($Z$9))*VLOOKUP($I155,'2023'!$A$2:$I$278,9,FALSE))+((1-(($Z$9-(X155/40)*($Z$9))))*Q155)</f>
        <v>281.88701940219119</v>
      </c>
      <c r="X155" s="16">
        <f>VLOOKUP(I155,FEDEX!$A$2:$H$270,4,FALSE)</f>
        <v>10</v>
      </c>
    </row>
    <row r="156" spans="1:24">
      <c r="A156" t="str">
        <f>DIST!A156</f>
        <v>Si Woo Kim</v>
      </c>
      <c r="B156">
        <f>VLOOKUP(Raw_Data4[[#This Row],[PLAYER NAME]],DIST!$A:$E,2,FALSE)</f>
        <v>155</v>
      </c>
      <c r="C156">
        <f>VLOOKUP(Raw_Data4[[#This Row],[PLAYER NAME]],ACC!$A:$E,2,FALSE)</f>
        <v>3</v>
      </c>
      <c r="D156">
        <f>VLOOKUP(Raw_Data4[[#This Row],[PLAYER NAME]],APP!$A:$E,2,FALSE)</f>
        <v>27</v>
      </c>
      <c r="E156">
        <f>VLOOKUP(Raw_Data4[[#This Row],[PLAYER NAME]],ARG!$A:$E,2,FALSE)</f>
        <v>17</v>
      </c>
      <c r="F156">
        <f>VLOOKUP(Raw_Data4[[#This Row],[PLAYER NAME]],PUTT!$A:$E,2,FALSE)</f>
        <v>140</v>
      </c>
      <c r="G156">
        <f>VLOOKUP(Raw_Data4[[#This Row],[PLAYER NAME]],SG!$A:$E,3,FALSE)</f>
        <v>13</v>
      </c>
      <c r="I156" s="34" t="str">
        <f>Raw_Data4[[#This Row],[PLAYER NAME]]</f>
        <v>Si Woo Kim</v>
      </c>
      <c r="J156">
        <f>Raw_Data4[[#This Row],[DIST]]</f>
        <v>155</v>
      </c>
      <c r="K156">
        <f>Raw_Data4[[#This Row],[ACC]]</f>
        <v>3</v>
      </c>
      <c r="L156">
        <f>Raw_Data4[[#This Row],[APP]]</f>
        <v>27</v>
      </c>
      <c r="M156">
        <f>Raw_Data4[[#This Row],[ARG]]</f>
        <v>17</v>
      </c>
      <c r="N156">
        <f>Raw_Data4[[#This Row],[PUTT]]</f>
        <v>140</v>
      </c>
      <c r="O156" s="22">
        <f>Raw_Data4[[#This Row],[SG]]</f>
        <v>13</v>
      </c>
      <c r="P156" s="34">
        <f t="shared" si="8"/>
        <v>236.70000000000002</v>
      </c>
      <c r="Q156" s="359">
        <f t="shared" si="9"/>
        <v>217.34533758416592</v>
      </c>
      <c r="R156" s="226">
        <f>(($Z$9-(X156/40)*($Z$9))*VLOOKUP($I156,'2023'!$A$2:$I$278,8,FALSE))+((1-(($Z$9-(X156/40)*($Z$9))))*P156)</f>
        <v>244.78286112135027</v>
      </c>
      <c r="S156" s="14">
        <f>(($Z$9-(X156/40)*($Z$9))*VLOOKUP($I156,'2023'!$A$2:$I$278,9,FALSE))+((1-(($Z$9-(X156/40)*($Z$9))))*Q156)</f>
        <v>249.76668780273701</v>
      </c>
      <c r="X156" s="16">
        <f>VLOOKUP(I156,FEDEX!$A$2:$H$270,4,FALSE)</f>
        <v>10</v>
      </c>
    </row>
    <row r="157" spans="1:24">
      <c r="A157" t="str">
        <f>DIST!A157</f>
        <v>Troy Merritt</v>
      </c>
      <c r="B157">
        <f>VLOOKUP(Raw_Data4[[#This Row],[PLAYER NAME]],DIST!$A:$E,2,FALSE)</f>
        <v>156</v>
      </c>
      <c r="C157">
        <f>VLOOKUP(Raw_Data4[[#This Row],[PLAYER NAME]],ACC!$A:$E,2,FALSE)</f>
        <v>56</v>
      </c>
      <c r="D157">
        <f>VLOOKUP(Raw_Data4[[#This Row],[PLAYER NAME]],APP!$A:$E,2,FALSE)</f>
        <v>103</v>
      </c>
      <c r="E157">
        <f>VLOOKUP(Raw_Data4[[#This Row],[PLAYER NAME]],ARG!$A:$E,2,FALSE)</f>
        <v>35</v>
      </c>
      <c r="F157">
        <f>VLOOKUP(Raw_Data4[[#This Row],[PLAYER NAME]],PUTT!$A:$E,2,FALSE)</f>
        <v>163</v>
      </c>
      <c r="G157">
        <f>VLOOKUP(Raw_Data4[[#This Row],[PLAYER NAME]],SG!$A:$E,3,FALSE)</f>
        <v>144</v>
      </c>
      <c r="I157" s="34" t="str">
        <f>Raw_Data4[[#This Row],[PLAYER NAME]]</f>
        <v>Troy Merritt</v>
      </c>
      <c r="J157">
        <f>Raw_Data4[[#This Row],[DIST]]</f>
        <v>156</v>
      </c>
      <c r="K157">
        <f>Raw_Data4[[#This Row],[ACC]]</f>
        <v>56</v>
      </c>
      <c r="L157">
        <f>Raw_Data4[[#This Row],[APP]]</f>
        <v>103</v>
      </c>
      <c r="M157">
        <f>Raw_Data4[[#This Row],[ARG]]</f>
        <v>35</v>
      </c>
      <c r="N157">
        <f>Raw_Data4[[#This Row],[PUTT]]</f>
        <v>163</v>
      </c>
      <c r="O157" s="22">
        <f>Raw_Data4[[#This Row],[SG]]</f>
        <v>144</v>
      </c>
      <c r="P157" s="34">
        <f t="shared" si="8"/>
        <v>336</v>
      </c>
      <c r="Q157" s="359">
        <f t="shared" si="9"/>
        <v>462.31640771291615</v>
      </c>
      <c r="R157" s="226">
        <f>(($Z$9-(X157/40)*($Z$9))*VLOOKUP($I157,'2023'!$A$2:$I$278,8,FALSE))+((1-(($Z$9-(X157/40)*($Z$9))))*P157)</f>
        <v>339.50085704618994</v>
      </c>
      <c r="S157" s="14">
        <f>(($Z$9-(X157/40)*($Z$9))*VLOOKUP($I157,'2023'!$A$2:$I$278,9,FALSE))+((1-(($Z$9-(X157/40)*($Z$9))))*Q157)</f>
        <v>468.47729133232684</v>
      </c>
      <c r="X157" s="16">
        <f>VLOOKUP(I157,FEDEX!$A$2:$H$270,4,FALSE)</f>
        <v>10</v>
      </c>
    </row>
    <row r="158" spans="1:24">
      <c r="A158" t="str">
        <f>DIST!A158</f>
        <v>Ben Silverman</v>
      </c>
      <c r="B158">
        <f>VLOOKUP(Raw_Data4[[#This Row],[PLAYER NAME]],DIST!$A:$E,2,FALSE)</f>
        <v>156</v>
      </c>
      <c r="C158">
        <f>VLOOKUP(Raw_Data4[[#This Row],[PLAYER NAME]],ACC!$A:$E,2,FALSE)</f>
        <v>74</v>
      </c>
      <c r="D158">
        <f>VLOOKUP(Raw_Data4[[#This Row],[PLAYER NAME]],APP!$A:$E,2,FALSE)</f>
        <v>107</v>
      </c>
      <c r="E158">
        <f>VLOOKUP(Raw_Data4[[#This Row],[PLAYER NAME]],ARG!$A:$E,2,FALSE)</f>
        <v>45</v>
      </c>
      <c r="F158">
        <f>VLOOKUP(Raw_Data4[[#This Row],[PLAYER NAME]],PUTT!$A:$E,2,FALSE)</f>
        <v>54</v>
      </c>
      <c r="G158">
        <f>VLOOKUP(Raw_Data4[[#This Row],[PLAYER NAME]],SG!$A:$E,3,FALSE)</f>
        <v>51</v>
      </c>
      <c r="I158" s="34" t="str">
        <f>Raw_Data4[[#This Row],[PLAYER NAME]]</f>
        <v>Ben Silverman</v>
      </c>
      <c r="J158">
        <f>Raw_Data4[[#This Row],[DIST]]</f>
        <v>156</v>
      </c>
      <c r="K158">
        <f>Raw_Data4[[#This Row],[ACC]]</f>
        <v>74</v>
      </c>
      <c r="L158">
        <f>Raw_Data4[[#This Row],[APP]]</f>
        <v>107</v>
      </c>
      <c r="M158">
        <f>Raw_Data4[[#This Row],[ARG]]</f>
        <v>45</v>
      </c>
      <c r="N158">
        <f>Raw_Data4[[#This Row],[PUTT]]</f>
        <v>54</v>
      </c>
      <c r="O158" s="22">
        <f>Raw_Data4[[#This Row],[SG]]</f>
        <v>51</v>
      </c>
      <c r="P158" s="34">
        <f t="shared" si="8"/>
        <v>297.3</v>
      </c>
      <c r="Q158" s="359">
        <f t="shared" si="9"/>
        <v>330.89317664824932</v>
      </c>
      <c r="R158" s="226" t="e">
        <f>(($Z$9-(X158/40)*($Z$9))*VLOOKUP($I158,'2023'!$A$2:$I$278,8,FALSE))+((1-(($Z$9-(X158/40)*($Z$9))))*P158)</f>
        <v>#N/A</v>
      </c>
      <c r="S158" s="14" t="e">
        <f>(($Z$9-(X158/40)*($Z$9))*VLOOKUP($I158,'2023'!$A$2:$I$278,9,FALSE))+((1-(($Z$9-(X158/40)*($Z$9))))*Q158)</f>
        <v>#N/A</v>
      </c>
      <c r="X158" s="16">
        <f>VLOOKUP(I158,FEDEX!$A$2:$H$270,4,FALSE)</f>
        <v>10</v>
      </c>
    </row>
    <row r="159" spans="1:24">
      <c r="A159" t="str">
        <f>DIST!A159</f>
        <v>Chad Ramey</v>
      </c>
      <c r="B159">
        <f>VLOOKUP(Raw_Data4[[#This Row],[PLAYER NAME]],DIST!$A:$E,2,FALSE)</f>
        <v>158</v>
      </c>
      <c r="C159">
        <f>VLOOKUP(Raw_Data4[[#This Row],[PLAYER NAME]],ACC!$A:$E,2,FALSE)</f>
        <v>77</v>
      </c>
      <c r="D159">
        <f>VLOOKUP(Raw_Data4[[#This Row],[PLAYER NAME]],APP!$A:$E,2,FALSE)</f>
        <v>176</v>
      </c>
      <c r="E159">
        <f>VLOOKUP(Raw_Data4[[#This Row],[PLAYER NAME]],ARG!$A:$E,2,FALSE)</f>
        <v>85</v>
      </c>
      <c r="F159">
        <f>VLOOKUP(Raw_Data4[[#This Row],[PLAYER NAME]],PUTT!$A:$E,2,FALSE)</f>
        <v>7</v>
      </c>
      <c r="G159">
        <f>VLOOKUP(Raw_Data4[[#This Row],[PLAYER NAME]],SG!$A:$E,3,FALSE)</f>
        <v>118</v>
      </c>
      <c r="I159" s="34" t="str">
        <f>Raw_Data4[[#This Row],[PLAYER NAME]]</f>
        <v>Chad Ramey</v>
      </c>
      <c r="J159">
        <f>Raw_Data4[[#This Row],[DIST]]</f>
        <v>158</v>
      </c>
      <c r="K159">
        <f>Raw_Data4[[#This Row],[ACC]]</f>
        <v>77</v>
      </c>
      <c r="L159">
        <f>Raw_Data4[[#This Row],[APP]]</f>
        <v>176</v>
      </c>
      <c r="M159">
        <f>Raw_Data4[[#This Row],[ARG]]</f>
        <v>85</v>
      </c>
      <c r="N159">
        <f>Raw_Data4[[#This Row],[PUTT]]</f>
        <v>7</v>
      </c>
      <c r="O159" s="22">
        <f>Raw_Data4[[#This Row],[SG]]</f>
        <v>118</v>
      </c>
      <c r="P159" s="34">
        <f t="shared" si="8"/>
        <v>341.4</v>
      </c>
      <c r="Q159" s="359">
        <f t="shared" si="9"/>
        <v>458.41653919460902</v>
      </c>
      <c r="R159" s="226">
        <f>(($Z$9-(X159/40)*($Z$9))*VLOOKUP($I159,'2023'!$A$2:$I$278,8,FALSE))+((1-(($Z$9-(X159/40)*($Z$9))))*P159)</f>
        <v>351.85108794671407</v>
      </c>
      <c r="S159" s="14">
        <f>(($Z$9-(X159/40)*($Z$9))*VLOOKUP($I159,'2023'!$A$2:$I$278,9,FALSE))+((1-(($Z$9-(X159/40)*($Z$9))))*Q159)</f>
        <v>468.72611146116549</v>
      </c>
      <c r="X159" s="16">
        <f>VLOOKUP(I159,FEDEX!$A$2:$H$270,4,FALSE)</f>
        <v>10</v>
      </c>
    </row>
    <row r="160" spans="1:24">
      <c r="A160" t="str">
        <f>DIST!A160</f>
        <v>Harrison Endycott</v>
      </c>
      <c r="B160">
        <f>VLOOKUP(Raw_Data4[[#This Row],[PLAYER NAME]],DIST!$A:$E,2,FALSE)</f>
        <v>159</v>
      </c>
      <c r="C160">
        <f>VLOOKUP(Raw_Data4[[#This Row],[PLAYER NAME]],ACC!$A:$E,2,FALSE)</f>
        <v>108</v>
      </c>
      <c r="D160">
        <f>VLOOKUP(Raw_Data4[[#This Row],[PLAYER NAME]],APP!$A:$E,2,FALSE)</f>
        <v>162</v>
      </c>
      <c r="E160">
        <f>VLOOKUP(Raw_Data4[[#This Row],[PLAYER NAME]],ARG!$A:$E,2,FALSE)</f>
        <v>115</v>
      </c>
      <c r="F160">
        <f>VLOOKUP(Raw_Data4[[#This Row],[PLAYER NAME]],PUTT!$A:$E,2,FALSE)</f>
        <v>151</v>
      </c>
      <c r="G160">
        <f>VLOOKUP(Raw_Data4[[#This Row],[PLAYER NAME]],SG!$A:$E,3,FALSE)</f>
        <v>159</v>
      </c>
      <c r="I160" s="34" t="str">
        <f>Raw_Data4[[#This Row],[PLAYER NAME]]</f>
        <v>Harrison Endycott</v>
      </c>
      <c r="J160">
        <f>Raw_Data4[[#This Row],[DIST]]</f>
        <v>159</v>
      </c>
      <c r="K160">
        <f>Raw_Data4[[#This Row],[ACC]]</f>
        <v>108</v>
      </c>
      <c r="L160">
        <f>Raw_Data4[[#This Row],[APP]]</f>
        <v>162</v>
      </c>
      <c r="M160">
        <f>Raw_Data4[[#This Row],[ARG]]</f>
        <v>115</v>
      </c>
      <c r="N160">
        <f>Raw_Data4[[#This Row],[PUTT]]</f>
        <v>151</v>
      </c>
      <c r="O160" s="22">
        <f>Raw_Data4[[#This Row],[SG]]</f>
        <v>159</v>
      </c>
      <c r="P160" s="34">
        <f t="shared" si="8"/>
        <v>432</v>
      </c>
      <c r="Q160" s="359">
        <f t="shared" si="9"/>
        <v>596.88317625771992</v>
      </c>
      <c r="R160" s="226">
        <f>(($Z$9-(X160/40)*($Z$9))*VLOOKUP($I160,'2023'!$A$2:$I$278,8,FALSE))+((1-(($Z$9-(X160/40)*($Z$9))))*P160)</f>
        <v>391.5651011165063</v>
      </c>
      <c r="S160" s="14">
        <f>(($Z$9-(X160/40)*($Z$9))*VLOOKUP($I160,'2023'!$A$2:$I$278,9,FALSE))+((1-(($Z$9-(X160/40)*($Z$9))))*Q160)</f>
        <v>543.84042908829815</v>
      </c>
      <c r="X160" s="16">
        <f>VLOOKUP(I160,FEDEX!$A$2:$H$270,4,FALSE)</f>
        <v>7</v>
      </c>
    </row>
    <row r="161" spans="1:24">
      <c r="A161" t="str">
        <f>DIST!A161</f>
        <v>Emiliano Grillo</v>
      </c>
      <c r="B161">
        <f>VLOOKUP(Raw_Data4[[#This Row],[PLAYER NAME]],DIST!$A:$E,2,FALSE)</f>
        <v>160</v>
      </c>
      <c r="C161">
        <f>VLOOKUP(Raw_Data4[[#This Row],[PLAYER NAME]],ACC!$A:$E,2,FALSE)</f>
        <v>27</v>
      </c>
      <c r="D161">
        <f>VLOOKUP(Raw_Data4[[#This Row],[PLAYER NAME]],APP!$A:$E,2,FALSE)</f>
        <v>72</v>
      </c>
      <c r="E161">
        <f>VLOOKUP(Raw_Data4[[#This Row],[PLAYER NAME]],ARG!$A:$E,2,FALSE)</f>
        <v>161</v>
      </c>
      <c r="F161">
        <f>VLOOKUP(Raw_Data4[[#This Row],[PLAYER NAME]],PUTT!$A:$E,2,FALSE)</f>
        <v>23</v>
      </c>
      <c r="G161">
        <f>VLOOKUP(Raw_Data4[[#This Row],[PLAYER NAME]],SG!$A:$E,3,FALSE)</f>
        <v>52</v>
      </c>
      <c r="I161" s="34" t="str">
        <f>Raw_Data4[[#This Row],[PLAYER NAME]]</f>
        <v>Emiliano Grillo</v>
      </c>
      <c r="J161">
        <f>Raw_Data4[[#This Row],[DIST]]</f>
        <v>160</v>
      </c>
      <c r="K161">
        <f>Raw_Data4[[#This Row],[ACC]]</f>
        <v>27</v>
      </c>
      <c r="L161">
        <f>Raw_Data4[[#This Row],[APP]]</f>
        <v>72</v>
      </c>
      <c r="M161">
        <f>Raw_Data4[[#This Row],[ARG]]</f>
        <v>161</v>
      </c>
      <c r="N161">
        <f>Raw_Data4[[#This Row],[PUTT]]</f>
        <v>23</v>
      </c>
      <c r="O161" s="22">
        <f>Raw_Data4[[#This Row],[SG]]</f>
        <v>52</v>
      </c>
      <c r="P161" s="34">
        <f t="shared" si="8"/>
        <v>283.8</v>
      </c>
      <c r="Q161" s="359">
        <f t="shared" si="9"/>
        <v>335.27565824603619</v>
      </c>
      <c r="R161" s="226">
        <f>(($Z$9-(X161/40)*($Z$9))*VLOOKUP($I161,'2023'!$A$2:$I$278,8,FALSE))+((1-(($Z$9-(X161/40)*($Z$9))))*P161)</f>
        <v>274.37857589040061</v>
      </c>
      <c r="S161" s="14">
        <f>(($Z$9-(X161/40)*($Z$9))*VLOOKUP($I161,'2023'!$A$2:$I$278,9,FALSE))+((1-(($Z$9-(X161/40)*($Z$9))))*Q161)</f>
        <v>349.31771863224049</v>
      </c>
      <c r="X161" s="16">
        <f>VLOOKUP(I161,FEDEX!$A$2:$H$270,4,FALSE)</f>
        <v>10</v>
      </c>
    </row>
    <row r="162" spans="1:24">
      <c r="A162" t="str">
        <f>DIST!A162</f>
        <v>Brian Harman</v>
      </c>
      <c r="B162">
        <f>VLOOKUP(Raw_Data4[[#This Row],[PLAYER NAME]],DIST!$A:$E,2,FALSE)</f>
        <v>160</v>
      </c>
      <c r="C162">
        <f>VLOOKUP(Raw_Data4[[#This Row],[PLAYER NAME]],ACC!$A:$E,2,FALSE)</f>
        <v>40</v>
      </c>
      <c r="D162">
        <f>VLOOKUP(Raw_Data4[[#This Row],[PLAYER NAME]],APP!$A:$E,2,FALSE)</f>
        <v>68</v>
      </c>
      <c r="E162">
        <f>VLOOKUP(Raw_Data4[[#This Row],[PLAYER NAME]],ARG!$A:$E,2,FALSE)</f>
        <v>60</v>
      </c>
      <c r="F162">
        <f>VLOOKUP(Raw_Data4[[#This Row],[PLAYER NAME]],PUTT!$A:$E,2,FALSE)</f>
        <v>16</v>
      </c>
      <c r="G162">
        <f>VLOOKUP(Raw_Data4[[#This Row],[PLAYER NAME]],SG!$A:$E,3,FALSE)</f>
        <v>20</v>
      </c>
      <c r="I162" s="34" t="str">
        <f>Raw_Data4[[#This Row],[PLAYER NAME]]</f>
        <v>Brian Harman</v>
      </c>
      <c r="J162">
        <f>Raw_Data4[[#This Row],[DIST]]</f>
        <v>160</v>
      </c>
      <c r="K162">
        <f>Raw_Data4[[#This Row],[ACC]]</f>
        <v>40</v>
      </c>
      <c r="L162">
        <f>Raw_Data4[[#This Row],[APP]]</f>
        <v>68</v>
      </c>
      <c r="M162">
        <f>Raw_Data4[[#This Row],[ARG]]</f>
        <v>60</v>
      </c>
      <c r="N162">
        <f>Raw_Data4[[#This Row],[PUTT]]</f>
        <v>16</v>
      </c>
      <c r="O162" s="22">
        <f>Raw_Data4[[#This Row],[SG]]</f>
        <v>20</v>
      </c>
      <c r="P162" s="34">
        <f t="shared" ref="P162:P179" si="10">$Z$2*J162+$AA$2*K162+$AB$2*L162+$AC$2*M162+$AD$2*N162</f>
        <v>243.6</v>
      </c>
      <c r="Q162" s="359">
        <f t="shared" ref="Q162:Q179" si="11">$Z$5*J162+$AA$5*K162+$AB$5*L162+$AC$5*M162+$AD$5*N162+$AE$5*O162</f>
        <v>241.80213922915715</v>
      </c>
      <c r="R162" s="226">
        <f>(($Z$9-(X162/40)*($Z$9))*VLOOKUP($I162,'2023'!$A$2:$I$278,8,FALSE))+((1-(($Z$9-(X162/40)*($Z$9))))*P162)</f>
        <v>261.41318438208407</v>
      </c>
      <c r="S162" s="14">
        <f>(($Z$9-(X162/40)*($Z$9))*VLOOKUP($I162,'2023'!$A$2:$I$278,9,FALSE))+((1-(($Z$9-(X162/40)*($Z$9))))*Q162)</f>
        <v>280.30476878043976</v>
      </c>
      <c r="X162" s="16">
        <f>VLOOKUP(I162,FEDEX!$A$2:$H$270,4,FALSE)</f>
        <v>10</v>
      </c>
    </row>
    <row r="163" spans="1:24">
      <c r="A163" t="str">
        <f>DIST!A163</f>
        <v>Martin Laird</v>
      </c>
      <c r="B163">
        <f>VLOOKUP(Raw_Data4[[#This Row],[PLAYER NAME]],DIST!$A:$E,2,FALSE)</f>
        <v>160</v>
      </c>
      <c r="C163">
        <f>VLOOKUP(Raw_Data4[[#This Row],[PLAYER NAME]],ACC!$A:$E,2,FALSE)</f>
        <v>79</v>
      </c>
      <c r="D163">
        <f>VLOOKUP(Raw_Data4[[#This Row],[PLAYER NAME]],APP!$A:$E,2,FALSE)</f>
        <v>110</v>
      </c>
      <c r="E163">
        <f>VLOOKUP(Raw_Data4[[#This Row],[PLAYER NAME]],ARG!$A:$E,2,FALSE)</f>
        <v>15</v>
      </c>
      <c r="F163">
        <f>VLOOKUP(Raw_Data4[[#This Row],[PLAYER NAME]],PUTT!$A:$E,2,FALSE)</f>
        <v>71</v>
      </c>
      <c r="G163">
        <f>VLOOKUP(Raw_Data4[[#This Row],[PLAYER NAME]],SG!$A:$E,3,FALSE)</f>
        <v>86</v>
      </c>
      <c r="I163" s="34" t="str">
        <f>Raw_Data4[[#This Row],[PLAYER NAME]]</f>
        <v>Martin Laird</v>
      </c>
      <c r="J163">
        <f>Raw_Data4[[#This Row],[DIST]]</f>
        <v>160</v>
      </c>
      <c r="K163">
        <f>Raw_Data4[[#This Row],[ACC]]</f>
        <v>79</v>
      </c>
      <c r="L163">
        <f>Raw_Data4[[#This Row],[APP]]</f>
        <v>110</v>
      </c>
      <c r="M163">
        <f>Raw_Data4[[#This Row],[ARG]]</f>
        <v>15</v>
      </c>
      <c r="N163">
        <f>Raw_Data4[[#This Row],[PUTT]]</f>
        <v>71</v>
      </c>
      <c r="O163" s="22">
        <f>Raw_Data4[[#This Row],[SG]]</f>
        <v>86</v>
      </c>
      <c r="P163" s="34">
        <f t="shared" si="10"/>
        <v>302</v>
      </c>
      <c r="Q163" s="359">
        <f t="shared" si="11"/>
        <v>364.17549084514872</v>
      </c>
      <c r="R163" s="226">
        <f>(($Z$9-(X163/40)*($Z$9))*VLOOKUP($I163,'2023'!$A$2:$I$278,8,FALSE))+((1-(($Z$9-(X163/40)*($Z$9))))*P163)</f>
        <v>315.8318175452406</v>
      </c>
      <c r="S163" s="14">
        <f>(($Z$9-(X163/40)*($Z$9))*VLOOKUP($I163,'2023'!$A$2:$I$278,9,FALSE))+((1-(($Z$9-(X163/40)*($Z$9))))*Q163)</f>
        <v>413.01067119380457</v>
      </c>
      <c r="X163" s="16">
        <f>VLOOKUP(I163,FEDEX!$A$2:$H$270,4,FALSE)</f>
        <v>9</v>
      </c>
    </row>
    <row r="164" spans="1:24">
      <c r="A164" t="str">
        <f>DIST!A164</f>
        <v>J.T. Poston</v>
      </c>
      <c r="B164">
        <f>VLOOKUP(Raw_Data4[[#This Row],[PLAYER NAME]],DIST!$A:$E,2,FALSE)</f>
        <v>163</v>
      </c>
      <c r="C164">
        <f>VLOOKUP(Raw_Data4[[#This Row],[PLAYER NAME]],ACC!$A:$E,2,FALSE)</f>
        <v>9</v>
      </c>
      <c r="D164">
        <f>VLOOKUP(Raw_Data4[[#This Row],[PLAYER NAME]],APP!$A:$E,2,FALSE)</f>
        <v>94</v>
      </c>
      <c r="E164">
        <f>VLOOKUP(Raw_Data4[[#This Row],[PLAYER NAME]],ARG!$A:$E,2,FALSE)</f>
        <v>50</v>
      </c>
      <c r="F164">
        <f>VLOOKUP(Raw_Data4[[#This Row],[PLAYER NAME]],PUTT!$A:$E,2,FALSE)</f>
        <v>60</v>
      </c>
      <c r="G164">
        <f>VLOOKUP(Raw_Data4[[#This Row],[PLAYER NAME]],SG!$A:$E,3,FALSE)</f>
        <v>61</v>
      </c>
      <c r="I164" s="34" t="str">
        <f>Raw_Data4[[#This Row],[PLAYER NAME]]</f>
        <v>J.T. Poston</v>
      </c>
      <c r="J164">
        <f>Raw_Data4[[#This Row],[DIST]]</f>
        <v>163</v>
      </c>
      <c r="K164">
        <f>Raw_Data4[[#This Row],[ACC]]</f>
        <v>9</v>
      </c>
      <c r="L164">
        <f>Raw_Data4[[#This Row],[APP]]</f>
        <v>94</v>
      </c>
      <c r="M164">
        <f>Raw_Data4[[#This Row],[ARG]]</f>
        <v>50</v>
      </c>
      <c r="N164">
        <f>Raw_Data4[[#This Row],[PUTT]]</f>
        <v>60</v>
      </c>
      <c r="O164" s="22">
        <f>Raw_Data4[[#This Row],[SG]]</f>
        <v>61</v>
      </c>
      <c r="P164" s="34">
        <f t="shared" si="10"/>
        <v>267</v>
      </c>
      <c r="Q164" s="359">
        <f t="shared" si="11"/>
        <v>308.0064406145359</v>
      </c>
      <c r="R164" s="226">
        <f>(($Z$9-(X164/40)*($Z$9))*VLOOKUP($I164,'2023'!$A$2:$I$278,8,FALSE))+((1-(($Z$9-(X164/40)*($Z$9))))*P164)</f>
        <v>256.75484482070885</v>
      </c>
      <c r="S164" s="14">
        <f>(($Z$9-(X164/40)*($Z$9))*VLOOKUP($I164,'2023'!$A$2:$I$278,9,FALSE))+((1-(($Z$9-(X164/40)*($Z$9))))*Q164)</f>
        <v>296.68148786963326</v>
      </c>
      <c r="X164" s="16">
        <f>VLOOKUP(I164,FEDEX!$A$2:$H$270,4,FALSE)</f>
        <v>10</v>
      </c>
    </row>
    <row r="165" spans="1:24">
      <c r="A165" t="str">
        <f>DIST!A165</f>
        <v>Nico Echavarria</v>
      </c>
      <c r="B165">
        <f>VLOOKUP(Raw_Data4[[#This Row],[PLAYER NAME]],DIST!$A:$E,2,FALSE)</f>
        <v>164</v>
      </c>
      <c r="C165">
        <f>VLOOKUP(Raw_Data4[[#This Row],[PLAYER NAME]],ACC!$A:$E,2,FALSE)</f>
        <v>82</v>
      </c>
      <c r="D165">
        <f>VLOOKUP(Raw_Data4[[#This Row],[PLAYER NAME]],APP!$A:$E,2,FALSE)</f>
        <v>163</v>
      </c>
      <c r="E165">
        <f>VLOOKUP(Raw_Data4[[#This Row],[PLAYER NAME]],ARG!$A:$E,2,FALSE)</f>
        <v>118</v>
      </c>
      <c r="F165">
        <f>VLOOKUP(Raw_Data4[[#This Row],[PLAYER NAME]],PUTT!$A:$E,2,FALSE)</f>
        <v>52</v>
      </c>
      <c r="G165">
        <f>VLOOKUP(Raw_Data4[[#This Row],[PLAYER NAME]],SG!$A:$E,3,FALSE)</f>
        <v>138</v>
      </c>
      <c r="I165" s="34" t="str">
        <f>Raw_Data4[[#This Row],[PLAYER NAME]]</f>
        <v>Nico Echavarria</v>
      </c>
      <c r="J165">
        <f>Raw_Data4[[#This Row],[DIST]]</f>
        <v>164</v>
      </c>
      <c r="K165">
        <f>Raw_Data4[[#This Row],[ACC]]</f>
        <v>82</v>
      </c>
      <c r="L165">
        <f>Raw_Data4[[#This Row],[APP]]</f>
        <v>163</v>
      </c>
      <c r="M165">
        <f>Raw_Data4[[#This Row],[ARG]]</f>
        <v>118</v>
      </c>
      <c r="N165">
        <f>Raw_Data4[[#This Row],[PUTT]]</f>
        <v>52</v>
      </c>
      <c r="O165" s="22">
        <f>Raw_Data4[[#This Row],[SG]]</f>
        <v>138</v>
      </c>
      <c r="P165" s="34">
        <f t="shared" si="10"/>
        <v>375.9</v>
      </c>
      <c r="Q165" s="359">
        <f t="shared" si="11"/>
        <v>517.07755312296763</v>
      </c>
      <c r="R165" s="226">
        <f>(($Z$9-(X165/40)*($Z$9))*VLOOKUP($I165,'2023'!$A$2:$I$278,8,FALSE))+((1-(($Z$9-(X165/40)*($Z$9))))*P165)</f>
        <v>388.64037387789904</v>
      </c>
      <c r="S165" s="14">
        <f>(($Z$9-(X165/40)*($Z$9))*VLOOKUP($I165,'2023'!$A$2:$I$278,9,FALSE))+((1-(($Z$9-(X165/40)*($Z$9))))*Q165)</f>
        <v>562.28749879272198</v>
      </c>
      <c r="X165" s="16">
        <f>VLOOKUP(I165,FEDEX!$A$2:$H$270,4,FALSE)</f>
        <v>11</v>
      </c>
    </row>
    <row r="166" spans="1:24">
      <c r="A166" t="str">
        <f>DIST!A166</f>
        <v>David Lipsky</v>
      </c>
      <c r="B166">
        <f>VLOOKUP(Raw_Data4[[#This Row],[PLAYER NAME]],DIST!$A:$E,2,FALSE)</f>
        <v>165</v>
      </c>
      <c r="C166">
        <f>VLOOKUP(Raw_Data4[[#This Row],[PLAYER NAME]],ACC!$A:$E,2,FALSE)</f>
        <v>105</v>
      </c>
      <c r="D166">
        <f>VLOOKUP(Raw_Data4[[#This Row],[PLAYER NAME]],APP!$A:$E,2,FALSE)</f>
        <v>119</v>
      </c>
      <c r="E166">
        <f>VLOOKUP(Raw_Data4[[#This Row],[PLAYER NAME]],ARG!$A:$E,2,FALSE)</f>
        <v>111</v>
      </c>
      <c r="F166">
        <f>VLOOKUP(Raw_Data4[[#This Row],[PLAYER NAME]],PUTT!$A:$E,2,FALSE)</f>
        <v>159</v>
      </c>
      <c r="G166">
        <f>VLOOKUP(Raw_Data4[[#This Row],[PLAYER NAME]],SG!$A:$E,3,FALSE)</f>
        <v>165</v>
      </c>
      <c r="I166" s="34" t="str">
        <f>Raw_Data4[[#This Row],[PLAYER NAME]]</f>
        <v>David Lipsky</v>
      </c>
      <c r="J166">
        <f>Raw_Data4[[#This Row],[DIST]]</f>
        <v>165</v>
      </c>
      <c r="K166">
        <f>Raw_Data4[[#This Row],[ACC]]</f>
        <v>105</v>
      </c>
      <c r="L166">
        <f>Raw_Data4[[#This Row],[APP]]</f>
        <v>119</v>
      </c>
      <c r="M166">
        <f>Raw_Data4[[#This Row],[ARG]]</f>
        <v>111</v>
      </c>
      <c r="N166">
        <f>Raw_Data4[[#This Row],[PUTT]]</f>
        <v>159</v>
      </c>
      <c r="O166" s="22">
        <f>Raw_Data4[[#This Row],[SG]]</f>
        <v>165</v>
      </c>
      <c r="P166" s="34">
        <f t="shared" si="10"/>
        <v>408.20000000000005</v>
      </c>
      <c r="Q166" s="359">
        <f t="shared" si="11"/>
        <v>570.6609919614915</v>
      </c>
      <c r="R166" s="226">
        <f>(($Z$9-(X166/40)*($Z$9))*VLOOKUP($I166,'2023'!$A$2:$I$278,8,FALSE))+((1-(($Z$9-(X166/40)*($Z$9))))*P166)</f>
        <v>365.46895075974055</v>
      </c>
      <c r="S166" s="14">
        <f>(($Z$9-(X166/40)*($Z$9))*VLOOKUP($I166,'2023'!$A$2:$I$278,9,FALSE))+((1-(($Z$9-(X166/40)*($Z$9))))*Q166)</f>
        <v>501.96854057582982</v>
      </c>
      <c r="X166" s="16">
        <f>VLOOKUP(I166,FEDEX!$A$2:$H$270,4,FALSE)</f>
        <v>10</v>
      </c>
    </row>
    <row r="167" spans="1:24">
      <c r="A167" t="str">
        <f>DIST!A167</f>
        <v>Russell Henley</v>
      </c>
      <c r="B167">
        <f>VLOOKUP(Raw_Data4[[#This Row],[PLAYER NAME]],DIST!$A:$E,2,FALSE)</f>
        <v>166</v>
      </c>
      <c r="C167">
        <f>VLOOKUP(Raw_Data4[[#This Row],[PLAYER NAME]],ACC!$A:$E,2,FALSE)</f>
        <v>13</v>
      </c>
      <c r="D167">
        <f>VLOOKUP(Raw_Data4[[#This Row],[PLAYER NAME]],APP!$A:$E,2,FALSE)</f>
        <v>69</v>
      </c>
      <c r="E167">
        <f>VLOOKUP(Raw_Data4[[#This Row],[PLAYER NAME]],ARG!$A:$E,2,FALSE)</f>
        <v>40</v>
      </c>
      <c r="F167">
        <f>VLOOKUP(Raw_Data4[[#This Row],[PLAYER NAME]],PUTT!$A:$E,2,FALSE)</f>
        <v>29</v>
      </c>
      <c r="G167">
        <f>VLOOKUP(Raw_Data4[[#This Row],[PLAYER NAME]],SG!$A:$E,3,FALSE)</f>
        <v>21</v>
      </c>
      <c r="I167" s="34" t="str">
        <f>Raw_Data4[[#This Row],[PLAYER NAME]]</f>
        <v>Russell Henley</v>
      </c>
      <c r="J167">
        <f>Raw_Data4[[#This Row],[DIST]]</f>
        <v>166</v>
      </c>
      <c r="K167">
        <f>Raw_Data4[[#This Row],[ACC]]</f>
        <v>13</v>
      </c>
      <c r="L167">
        <f>Raw_Data4[[#This Row],[APP]]</f>
        <v>69</v>
      </c>
      <c r="M167">
        <f>Raw_Data4[[#This Row],[ARG]]</f>
        <v>40</v>
      </c>
      <c r="N167">
        <f>Raw_Data4[[#This Row],[PUTT]]</f>
        <v>29</v>
      </c>
      <c r="O167" s="22">
        <f>Raw_Data4[[#This Row],[SG]]</f>
        <v>21</v>
      </c>
      <c r="P167" s="34">
        <f t="shared" si="10"/>
        <v>234.7</v>
      </c>
      <c r="Q167" s="359">
        <f t="shared" si="11"/>
        <v>228.62182486014794</v>
      </c>
      <c r="R167" s="226">
        <f>(($Z$9-(X167/40)*($Z$9))*VLOOKUP($I167,'2023'!$A$2:$I$278,8,FALSE))+((1-(($Z$9-(X167/40)*($Z$9))))*P167)</f>
        <v>235.3383915790111</v>
      </c>
      <c r="S167" s="14">
        <f>(($Z$9-(X167/40)*($Z$9))*VLOOKUP($I167,'2023'!$A$2:$I$278,9,FALSE))+((1-(($Z$9-(X167/40)*($Z$9))))*Q167)</f>
        <v>227.06977607716436</v>
      </c>
      <c r="X167" s="16">
        <f>VLOOKUP(I167,FEDEX!$A$2:$H$270,4,FALSE)</f>
        <v>9</v>
      </c>
    </row>
    <row r="168" spans="1:24">
      <c r="A168" t="str">
        <f>DIST!A168</f>
        <v>Denny McCarthy</v>
      </c>
      <c r="B168">
        <f>VLOOKUP(Raw_Data4[[#This Row],[PLAYER NAME]],DIST!$A:$E,2,FALSE)</f>
        <v>167</v>
      </c>
      <c r="C168">
        <f>VLOOKUP(Raw_Data4[[#This Row],[PLAYER NAME]],ACC!$A:$E,2,FALSE)</f>
        <v>42</v>
      </c>
      <c r="D168">
        <f>VLOOKUP(Raw_Data4[[#This Row],[PLAYER NAME]],APP!$A:$E,2,FALSE)</f>
        <v>74</v>
      </c>
      <c r="E168">
        <f>VLOOKUP(Raw_Data4[[#This Row],[PLAYER NAME]],ARG!$A:$E,2,FALSE)</f>
        <v>26</v>
      </c>
      <c r="F168">
        <f>VLOOKUP(Raw_Data4[[#This Row],[PLAYER NAME]],PUTT!$A:$E,2,FALSE)</f>
        <v>9</v>
      </c>
      <c r="G168">
        <f>VLOOKUP(Raw_Data4[[#This Row],[PLAYER NAME]],SG!$A:$E,3,FALSE)</f>
        <v>27</v>
      </c>
      <c r="I168" s="34" t="str">
        <f>Raw_Data4[[#This Row],[PLAYER NAME]]</f>
        <v>Denny McCarthy</v>
      </c>
      <c r="J168">
        <f>Raw_Data4[[#This Row],[DIST]]</f>
        <v>167</v>
      </c>
      <c r="K168">
        <f>Raw_Data4[[#This Row],[ACC]]</f>
        <v>42</v>
      </c>
      <c r="L168">
        <f>Raw_Data4[[#This Row],[APP]]</f>
        <v>74</v>
      </c>
      <c r="M168">
        <f>Raw_Data4[[#This Row],[ARG]]</f>
        <v>26</v>
      </c>
      <c r="N168">
        <f>Raw_Data4[[#This Row],[PUTT]]</f>
        <v>9</v>
      </c>
      <c r="O168" s="22">
        <f>Raw_Data4[[#This Row],[SG]]</f>
        <v>27</v>
      </c>
      <c r="P168" s="34">
        <f t="shared" si="10"/>
        <v>238.00000000000003</v>
      </c>
      <c r="Q168" s="359">
        <f t="shared" si="11"/>
        <v>235.06590389981767</v>
      </c>
      <c r="R168" s="226">
        <f>(($Z$9-(X168/40)*($Z$9))*VLOOKUP($I168,'2023'!$A$2:$I$278,8,FALSE))+((1-(($Z$9-(X168/40)*($Z$9))))*P168)</f>
        <v>243.86908387155376</v>
      </c>
      <c r="S168" s="14">
        <f>(($Z$9-(X168/40)*($Z$9))*VLOOKUP($I168,'2023'!$A$2:$I$278,9,FALSE))+((1-(($Z$9-(X168/40)*($Z$9))))*Q168)</f>
        <v>243.78133733282158</v>
      </c>
      <c r="X168" s="16">
        <f>VLOOKUP(I168,FEDEX!$A$2:$H$270,4,FALSE)</f>
        <v>10</v>
      </c>
    </row>
    <row r="169" spans="1:24">
      <c r="A169" t="str">
        <f>DIST!A169</f>
        <v>Ryan Moore</v>
      </c>
      <c r="B169">
        <f>VLOOKUP(Raw_Data4[[#This Row],[PLAYER NAME]],DIST!$A:$E,2,FALSE)</f>
        <v>167</v>
      </c>
      <c r="C169">
        <f>VLOOKUP(Raw_Data4[[#This Row],[PLAYER NAME]],ACC!$A:$E,2,FALSE)</f>
        <v>32</v>
      </c>
      <c r="D169">
        <f>VLOOKUP(Raw_Data4[[#This Row],[PLAYER NAME]],APP!$A:$E,2,FALSE)</f>
        <v>5</v>
      </c>
      <c r="E169">
        <f>VLOOKUP(Raw_Data4[[#This Row],[PLAYER NAME]],ARG!$A:$E,2,FALSE)</f>
        <v>68</v>
      </c>
      <c r="F169">
        <f>VLOOKUP(Raw_Data4[[#This Row],[PLAYER NAME]],PUTT!$A:$E,2,FALSE)</f>
        <v>172</v>
      </c>
      <c r="G169">
        <f>VLOOKUP(Raw_Data4[[#This Row],[PLAYER NAME]],SG!$A:$E,3,FALSE)</f>
        <v>67</v>
      </c>
      <c r="I169" s="34" t="str">
        <f>Raw_Data4[[#This Row],[PLAYER NAME]]</f>
        <v>Ryan Moore</v>
      </c>
      <c r="J169">
        <f>Raw_Data4[[#This Row],[DIST]]</f>
        <v>167</v>
      </c>
      <c r="K169">
        <f>Raw_Data4[[#This Row],[ACC]]</f>
        <v>32</v>
      </c>
      <c r="L169">
        <f>Raw_Data4[[#This Row],[APP]]</f>
        <v>5</v>
      </c>
      <c r="M169">
        <f>Raw_Data4[[#This Row],[ARG]]</f>
        <v>68</v>
      </c>
      <c r="N169">
        <f>Raw_Data4[[#This Row],[PUTT]]</f>
        <v>172</v>
      </c>
      <c r="O169" s="22">
        <f>Raw_Data4[[#This Row],[SG]]</f>
        <v>67</v>
      </c>
      <c r="P169" s="34">
        <f t="shared" si="10"/>
        <v>283</v>
      </c>
      <c r="Q169" s="359">
        <f t="shared" si="11"/>
        <v>322.24091629029749</v>
      </c>
      <c r="R169" s="226">
        <f>(($Z$9-(X169/40)*($Z$9))*VLOOKUP($I169,'2023'!$A$2:$I$278,8,FALSE))+((1-(($Z$9-(X169/40)*($Z$9))))*P169)</f>
        <v>290.05319728423558</v>
      </c>
      <c r="S169" s="14">
        <f>(($Z$9-(X169/40)*($Z$9))*VLOOKUP($I169,'2023'!$A$2:$I$278,9,FALSE))+((1-(($Z$9-(X169/40)*($Z$9))))*Q169)</f>
        <v>348.63507786715644</v>
      </c>
      <c r="X169" s="16">
        <f>VLOOKUP(I169,FEDEX!$A$2:$H$270,4,FALSE)</f>
        <v>10</v>
      </c>
    </row>
    <row r="170" spans="1:24">
      <c r="A170" t="str">
        <f>DIST!A170</f>
        <v>Sam Ryder</v>
      </c>
      <c r="B170">
        <f>VLOOKUP(Raw_Data4[[#This Row],[PLAYER NAME]],DIST!$A:$E,2,FALSE)</f>
        <v>169</v>
      </c>
      <c r="C170">
        <f>VLOOKUP(Raw_Data4[[#This Row],[PLAYER NAME]],ACC!$A:$E,2,FALSE)</f>
        <v>89</v>
      </c>
      <c r="D170">
        <f>VLOOKUP(Raw_Data4[[#This Row],[PLAYER NAME]],APP!$A:$E,2,FALSE)</f>
        <v>44</v>
      </c>
      <c r="E170">
        <f>VLOOKUP(Raw_Data4[[#This Row],[PLAYER NAME]],ARG!$A:$E,2,FALSE)</f>
        <v>154</v>
      </c>
      <c r="F170">
        <f>VLOOKUP(Raw_Data4[[#This Row],[PLAYER NAME]],PUTT!$A:$E,2,FALSE)</f>
        <v>40</v>
      </c>
      <c r="G170">
        <f>VLOOKUP(Raw_Data4[[#This Row],[PLAYER NAME]],SG!$A:$E,3,FALSE)</f>
        <v>111</v>
      </c>
      <c r="I170" s="34" t="str">
        <f>Raw_Data4[[#This Row],[PLAYER NAME]]</f>
        <v>Sam Ryder</v>
      </c>
      <c r="J170">
        <f>Raw_Data4[[#This Row],[DIST]]</f>
        <v>169</v>
      </c>
      <c r="K170">
        <f>Raw_Data4[[#This Row],[ACC]]</f>
        <v>89</v>
      </c>
      <c r="L170">
        <f>Raw_Data4[[#This Row],[APP]]</f>
        <v>44</v>
      </c>
      <c r="M170">
        <f>Raw_Data4[[#This Row],[ARG]]</f>
        <v>154</v>
      </c>
      <c r="N170">
        <f>Raw_Data4[[#This Row],[PUTT]]</f>
        <v>40</v>
      </c>
      <c r="O170" s="22">
        <f>Raw_Data4[[#This Row],[SG]]</f>
        <v>111</v>
      </c>
      <c r="P170" s="34">
        <f t="shared" si="10"/>
        <v>309</v>
      </c>
      <c r="Q170" s="359">
        <f t="shared" si="11"/>
        <v>411.9001959755642</v>
      </c>
      <c r="R170" s="226">
        <f>(($Z$9-(X170/40)*($Z$9))*VLOOKUP($I170,'2023'!$A$2:$I$278,8,FALSE))+((1-(($Z$9-(X170/40)*($Z$9))))*P170)</f>
        <v>291.65016434461756</v>
      </c>
      <c r="S170" s="14">
        <f>(($Z$9-(X170/40)*($Z$9))*VLOOKUP($I170,'2023'!$A$2:$I$278,9,FALSE))+((1-(($Z$9-(X170/40)*($Z$9))))*Q170)</f>
        <v>363.58157153030083</v>
      </c>
      <c r="X170" s="16">
        <f>VLOOKUP(I170,FEDEX!$A$2:$H$270,4,FALSE)</f>
        <v>10</v>
      </c>
    </row>
    <row r="171" spans="1:24">
      <c r="A171" t="str">
        <f>DIST!A171</f>
        <v>Lucas Glover</v>
      </c>
      <c r="B171">
        <f>VLOOKUP(Raw_Data4[[#This Row],[PLAYER NAME]],DIST!$A:$E,2,FALSE)</f>
        <v>170</v>
      </c>
      <c r="C171">
        <f>VLOOKUP(Raw_Data4[[#This Row],[PLAYER NAME]],ACC!$A:$E,2,FALSE)</f>
        <v>6</v>
      </c>
      <c r="D171">
        <f>VLOOKUP(Raw_Data4[[#This Row],[PLAYER NAME]],APP!$A:$E,2,FALSE)</f>
        <v>9</v>
      </c>
      <c r="E171">
        <f>VLOOKUP(Raw_Data4[[#This Row],[PLAYER NAME]],ARG!$A:$E,2,FALSE)</f>
        <v>7</v>
      </c>
      <c r="F171">
        <f>VLOOKUP(Raw_Data4[[#This Row],[PLAYER NAME]],PUTT!$A:$E,2,FALSE)</f>
        <v>168</v>
      </c>
      <c r="G171">
        <f>VLOOKUP(Raw_Data4[[#This Row],[PLAYER NAME]],SG!$A:$E,3,FALSE)</f>
        <v>49</v>
      </c>
      <c r="I171" s="34" t="str">
        <f>Raw_Data4[[#This Row],[PLAYER NAME]]</f>
        <v>Lucas Glover</v>
      </c>
      <c r="J171">
        <f>Raw_Data4[[#This Row],[DIST]]</f>
        <v>170</v>
      </c>
      <c r="K171">
        <f>Raw_Data4[[#This Row],[ACC]]</f>
        <v>6</v>
      </c>
      <c r="L171">
        <f>Raw_Data4[[#This Row],[APP]]</f>
        <v>9</v>
      </c>
      <c r="M171">
        <f>Raw_Data4[[#This Row],[ARG]]</f>
        <v>7</v>
      </c>
      <c r="N171">
        <f>Raw_Data4[[#This Row],[PUTT]]</f>
        <v>168</v>
      </c>
      <c r="O171" s="22">
        <f>Raw_Data4[[#This Row],[SG]]</f>
        <v>49</v>
      </c>
      <c r="P171" s="34">
        <f t="shared" si="10"/>
        <v>249.10000000000002</v>
      </c>
      <c r="Q171" s="359">
        <f t="shared" si="11"/>
        <v>257.61163093932601</v>
      </c>
      <c r="R171" s="226">
        <f>(($Z$9-(X171/40)*($Z$9))*VLOOKUP($I171,'2023'!$A$2:$I$278,8,FALSE))+((1-(($Z$9-(X171/40)*($Z$9))))*P171)</f>
        <v>266.08945331239232</v>
      </c>
      <c r="S171" s="14">
        <f>(($Z$9-(X171/40)*($Z$9))*VLOOKUP($I171,'2023'!$A$2:$I$278,9,FALSE))+((1-(($Z$9-(X171/40)*($Z$9))))*Q171)</f>
        <v>299.36917698974662</v>
      </c>
      <c r="X171" s="16">
        <f>VLOOKUP(I171,FEDEX!$A$2:$H$270,4,FALSE)</f>
        <v>10</v>
      </c>
    </row>
    <row r="172" spans="1:24">
      <c r="A172" t="str">
        <f>DIST!A172</f>
        <v>Matt Kuchar</v>
      </c>
      <c r="B172">
        <f>VLOOKUP(Raw_Data4[[#This Row],[PLAYER NAME]],DIST!$A:$E,2,FALSE)</f>
        <v>171</v>
      </c>
      <c r="C172">
        <f>VLOOKUP(Raw_Data4[[#This Row],[PLAYER NAME]],ACC!$A:$E,2,FALSE)</f>
        <v>81</v>
      </c>
      <c r="D172">
        <f>VLOOKUP(Raw_Data4[[#This Row],[PLAYER NAME]],APP!$A:$E,2,FALSE)</f>
        <v>182</v>
      </c>
      <c r="E172">
        <f>VLOOKUP(Raw_Data4[[#This Row],[PLAYER NAME]],ARG!$A:$E,2,FALSE)</f>
        <v>43</v>
      </c>
      <c r="F172">
        <f>VLOOKUP(Raw_Data4[[#This Row],[PLAYER NAME]],PUTT!$A:$E,2,FALSE)</f>
        <v>93</v>
      </c>
      <c r="G172">
        <f>VLOOKUP(Raw_Data4[[#This Row],[PLAYER NAME]],SG!$A:$E,3,FALSE)</f>
        <v>160</v>
      </c>
      <c r="I172" s="34" t="str">
        <f>Raw_Data4[[#This Row],[PLAYER NAME]]</f>
        <v>Matt Kuchar</v>
      </c>
      <c r="J172">
        <f>Raw_Data4[[#This Row],[DIST]]</f>
        <v>171</v>
      </c>
      <c r="K172">
        <f>Raw_Data4[[#This Row],[ACC]]</f>
        <v>81</v>
      </c>
      <c r="L172">
        <f>Raw_Data4[[#This Row],[APP]]</f>
        <v>182</v>
      </c>
      <c r="M172">
        <f>Raw_Data4[[#This Row],[ARG]]</f>
        <v>43</v>
      </c>
      <c r="N172">
        <f>Raw_Data4[[#This Row],[PUTT]]</f>
        <v>93</v>
      </c>
      <c r="O172" s="22">
        <f>Raw_Data4[[#This Row],[SG]]</f>
        <v>160</v>
      </c>
      <c r="P172" s="34">
        <f t="shared" si="10"/>
        <v>385.5</v>
      </c>
      <c r="Q172" s="359">
        <f t="shared" si="11"/>
        <v>535.0759860024159</v>
      </c>
      <c r="R172" s="226">
        <f>(($Z$9-(X172/40)*($Z$9))*VLOOKUP($I172,'2023'!$A$2:$I$278,8,FALSE))+((1-(($Z$9-(X172/40)*($Z$9))))*P172)</f>
        <v>321.07564981812931</v>
      </c>
      <c r="S172" s="14">
        <f>(($Z$9-(X172/40)*($Z$9))*VLOOKUP($I172,'2023'!$A$2:$I$278,9,FALSE))+((1-(($Z$9-(X172/40)*($Z$9))))*Q172)</f>
        <v>407.07166083983867</v>
      </c>
      <c r="X172" s="16">
        <f>VLOOKUP(I172,FEDEX!$A$2:$H$270,4,FALSE)</f>
        <v>9</v>
      </c>
    </row>
    <row r="173" spans="1:24">
      <c r="A173" t="str">
        <f>DIST!A173</f>
        <v>Chez Reavie</v>
      </c>
      <c r="B173">
        <f>VLOOKUP(Raw_Data4[[#This Row],[PLAYER NAME]],DIST!$A:$E,2,FALSE)</f>
        <v>172</v>
      </c>
      <c r="C173">
        <f>VLOOKUP(Raw_Data4[[#This Row],[PLAYER NAME]],ACC!$A:$E,2,FALSE)</f>
        <v>107</v>
      </c>
      <c r="D173">
        <f>VLOOKUP(Raw_Data4[[#This Row],[PLAYER NAME]],APP!$A:$E,2,FALSE)</f>
        <v>66</v>
      </c>
      <c r="E173">
        <f>VLOOKUP(Raw_Data4[[#This Row],[PLAYER NAME]],ARG!$A:$E,2,FALSE)</f>
        <v>6</v>
      </c>
      <c r="F173">
        <f>VLOOKUP(Raw_Data4[[#This Row],[PLAYER NAME]],PUTT!$A:$E,2,FALSE)</f>
        <v>128</v>
      </c>
      <c r="G173">
        <f>VLOOKUP(Raw_Data4[[#This Row],[PLAYER NAME]],SG!$A:$E,3,FALSE)</f>
        <v>122</v>
      </c>
      <c r="I173" s="34" t="str">
        <f>Raw_Data4[[#This Row],[PLAYER NAME]]</f>
        <v>Chez Reavie</v>
      </c>
      <c r="J173">
        <f>Raw_Data4[[#This Row],[DIST]]</f>
        <v>172</v>
      </c>
      <c r="K173">
        <f>Raw_Data4[[#This Row],[ACC]]</f>
        <v>107</v>
      </c>
      <c r="L173">
        <f>Raw_Data4[[#This Row],[APP]]</f>
        <v>66</v>
      </c>
      <c r="M173">
        <f>Raw_Data4[[#This Row],[ARG]]</f>
        <v>6</v>
      </c>
      <c r="N173">
        <f>Raw_Data4[[#This Row],[PUTT]]</f>
        <v>128</v>
      </c>
      <c r="O173" s="22">
        <f>Raw_Data4[[#This Row],[SG]]</f>
        <v>122</v>
      </c>
      <c r="P173" s="34">
        <f t="shared" si="10"/>
        <v>320.89999999999998</v>
      </c>
      <c r="Q173" s="359">
        <f t="shared" si="11"/>
        <v>408.86120023590729</v>
      </c>
      <c r="R173" s="226">
        <f>(($Z$9-(X173/40)*($Z$9))*VLOOKUP($I173,'2023'!$A$2:$I$278,8,FALSE))+((1-(($Z$9-(X173/40)*($Z$9))))*P173)</f>
        <v>322.28318175452404</v>
      </c>
      <c r="S173" s="14">
        <f>(($Z$9-(X173/40)*($Z$9))*VLOOKUP($I173,'2023'!$A$2:$I$278,9,FALSE))+((1-(($Z$9-(X173/40)*($Z$9))))*Q173)</f>
        <v>427.39039197151919</v>
      </c>
      <c r="X173" s="16">
        <f>VLOOKUP(I173,FEDEX!$A$2:$H$270,4,FALSE)</f>
        <v>9</v>
      </c>
    </row>
    <row r="174" spans="1:24">
      <c r="A174" t="str">
        <f>DIST!A174</f>
        <v>Christiaan Bezuidenhout</v>
      </c>
      <c r="B174">
        <f>VLOOKUP(Raw_Data4[[#This Row],[PLAYER NAME]],DIST!$A:$E,2,FALSE)</f>
        <v>173</v>
      </c>
      <c r="C174">
        <f>VLOOKUP(Raw_Data4[[#This Row],[PLAYER NAME]],ACC!$A:$E,2,FALSE)</f>
        <v>117</v>
      </c>
      <c r="D174">
        <f>VLOOKUP(Raw_Data4[[#This Row],[PLAYER NAME]],APP!$A:$E,2,FALSE)</f>
        <v>24</v>
      </c>
      <c r="E174">
        <f>VLOOKUP(Raw_Data4[[#This Row],[PLAYER NAME]],ARG!$A:$E,2,FALSE)</f>
        <v>112</v>
      </c>
      <c r="F174">
        <f>VLOOKUP(Raw_Data4[[#This Row],[PLAYER NAME]],PUTT!$A:$E,2,FALSE)</f>
        <v>17</v>
      </c>
      <c r="G174">
        <f>VLOOKUP(Raw_Data4[[#This Row],[PLAYER NAME]],SG!$A:$E,3,FALSE)</f>
        <v>18</v>
      </c>
      <c r="I174" s="34" t="str">
        <f>Raw_Data4[[#This Row],[PLAYER NAME]]</f>
        <v>Christiaan Bezuidenhout</v>
      </c>
      <c r="J174">
        <f>Raw_Data4[[#This Row],[DIST]]</f>
        <v>173</v>
      </c>
      <c r="K174">
        <f>Raw_Data4[[#This Row],[ACC]]</f>
        <v>117</v>
      </c>
      <c r="L174">
        <f>Raw_Data4[[#This Row],[APP]]</f>
        <v>24</v>
      </c>
      <c r="M174">
        <f>Raw_Data4[[#This Row],[ARG]]</f>
        <v>112</v>
      </c>
      <c r="N174">
        <f>Raw_Data4[[#This Row],[PUTT]]</f>
        <v>17</v>
      </c>
      <c r="O174" s="22">
        <f>Raw_Data4[[#This Row],[SG]]</f>
        <v>18</v>
      </c>
      <c r="P174" s="34">
        <f t="shared" si="10"/>
        <v>284.3</v>
      </c>
      <c r="Q174" s="359">
        <f t="shared" si="11"/>
        <v>281.19635705827045</v>
      </c>
      <c r="R174" s="226">
        <f>(($Z$9-(X174/40)*($Z$9))*VLOOKUP($I174,'2023'!$A$2:$I$278,8,FALSE))+((1-(($Z$9-(X174/40)*($Z$9))))*P174)</f>
        <v>284.66038234299015</v>
      </c>
      <c r="S174" s="14">
        <f>(($Z$9-(X174/40)*($Z$9))*VLOOKUP($I174,'2023'!$A$2:$I$278,9,FALSE))+((1-(($Z$9-(X174/40)*($Z$9))))*Q174)</f>
        <v>313.86868314093658</v>
      </c>
      <c r="X174" s="16">
        <f>VLOOKUP(I174,FEDEX!$A$2:$H$270,4,FALSE)</f>
        <v>10</v>
      </c>
    </row>
    <row r="175" spans="1:24">
      <c r="A175" t="str">
        <f>DIST!A175</f>
        <v>Camilo Villegas</v>
      </c>
      <c r="B175">
        <f>VLOOKUP(Raw_Data4[[#This Row],[PLAYER NAME]],DIST!$A:$E,2,FALSE)</f>
        <v>174</v>
      </c>
      <c r="C175">
        <f>VLOOKUP(Raw_Data4[[#This Row],[PLAYER NAME]],ACC!$A:$E,2,FALSE)</f>
        <v>73</v>
      </c>
      <c r="D175">
        <f>VLOOKUP(Raw_Data4[[#This Row],[PLAYER NAME]],APP!$A:$E,2,FALSE)</f>
        <v>158</v>
      </c>
      <c r="E175">
        <f>VLOOKUP(Raw_Data4[[#This Row],[PLAYER NAME]],ARG!$A:$E,2,FALSE)</f>
        <v>121</v>
      </c>
      <c r="F175">
        <f>VLOOKUP(Raw_Data4[[#This Row],[PLAYER NAME]],PUTT!$A:$E,2,FALSE)</f>
        <v>131</v>
      </c>
      <c r="G175">
        <f>VLOOKUP(Raw_Data4[[#This Row],[PLAYER NAME]],SG!$A:$E,3,FALSE)</f>
        <v>180</v>
      </c>
      <c r="I175" s="34" t="str">
        <f>Raw_Data4[[#This Row],[PLAYER NAME]]</f>
        <v>Camilo Villegas</v>
      </c>
      <c r="J175">
        <f>Raw_Data4[[#This Row],[DIST]]</f>
        <v>174</v>
      </c>
      <c r="K175">
        <f>Raw_Data4[[#This Row],[ACC]]</f>
        <v>73</v>
      </c>
      <c r="L175">
        <f>Raw_Data4[[#This Row],[APP]]</f>
        <v>158</v>
      </c>
      <c r="M175">
        <f>Raw_Data4[[#This Row],[ARG]]</f>
        <v>121</v>
      </c>
      <c r="N175">
        <f>Raw_Data4[[#This Row],[PUTT]]</f>
        <v>131</v>
      </c>
      <c r="O175" s="22">
        <f>Raw_Data4[[#This Row],[SG]]</f>
        <v>180</v>
      </c>
      <c r="P175" s="34">
        <f t="shared" si="10"/>
        <v>417.6</v>
      </c>
      <c r="Q175" s="359">
        <f t="shared" si="11"/>
        <v>599.60855763798315</v>
      </c>
      <c r="R175" s="226" t="e">
        <f>(($Z$9-(X175/40)*($Z$9))*VLOOKUP($I175,'2023'!$A$2:$I$278,8,FALSE))+((1-(($Z$9-(X175/40)*($Z$9))))*P175)</f>
        <v>#N/A</v>
      </c>
      <c r="S175" s="14" t="e">
        <f>(($Z$9-(X175/40)*($Z$9))*VLOOKUP($I175,'2023'!$A$2:$I$278,9,FALSE))+((1-(($Z$9-(X175/40)*($Z$9))))*Q175)</f>
        <v>#N/A</v>
      </c>
      <c r="X175" s="16">
        <f>VLOOKUP(I175,FEDEX!$A$2:$H$270,4,FALSE)</f>
        <v>10</v>
      </c>
    </row>
    <row r="176" spans="1:24">
      <c r="A176" t="str">
        <f>DIST!A176</f>
        <v>Aaron Baddeley</v>
      </c>
      <c r="B176">
        <f>VLOOKUP(Raw_Data4[[#This Row],[PLAYER NAME]],DIST!$A:$E,2,FALSE)</f>
        <v>175</v>
      </c>
      <c r="C176">
        <f>VLOOKUP(Raw_Data4[[#This Row],[PLAYER NAME]],ACC!$A:$E,2,FALSE)</f>
        <v>142</v>
      </c>
      <c r="D176">
        <f>VLOOKUP(Raw_Data4[[#This Row],[PLAYER NAME]],APP!$A:$E,2,FALSE)</f>
        <v>157</v>
      </c>
      <c r="E176">
        <f>VLOOKUP(Raw_Data4[[#This Row],[PLAYER NAME]],ARG!$A:$E,2,FALSE)</f>
        <v>3</v>
      </c>
      <c r="F176">
        <f>VLOOKUP(Raw_Data4[[#This Row],[PLAYER NAME]],PUTT!$A:$E,2,FALSE)</f>
        <v>2</v>
      </c>
      <c r="G176">
        <f>VLOOKUP(Raw_Data4[[#This Row],[PLAYER NAME]],SG!$A:$E,3,FALSE)</f>
        <v>80</v>
      </c>
      <c r="I176" s="34" t="str">
        <f>Raw_Data4[[#This Row],[PLAYER NAME]]</f>
        <v>Aaron Baddeley</v>
      </c>
      <c r="J176">
        <f>Raw_Data4[[#This Row],[DIST]]</f>
        <v>175</v>
      </c>
      <c r="K176">
        <f>Raw_Data4[[#This Row],[ACC]]</f>
        <v>142</v>
      </c>
      <c r="L176">
        <f>Raw_Data4[[#This Row],[APP]]</f>
        <v>157</v>
      </c>
      <c r="M176">
        <f>Raw_Data4[[#This Row],[ARG]]</f>
        <v>3</v>
      </c>
      <c r="N176">
        <f>Raw_Data4[[#This Row],[PUTT]]</f>
        <v>2</v>
      </c>
      <c r="O176" s="22">
        <f>Raw_Data4[[#This Row],[SG]]</f>
        <v>80</v>
      </c>
      <c r="P176" s="34">
        <f t="shared" si="10"/>
        <v>340.59999999999997</v>
      </c>
      <c r="Q176" s="359">
        <f t="shared" si="11"/>
        <v>395.39814301119651</v>
      </c>
      <c r="R176" s="226">
        <f>(($Z$9-(X176/40)*($Z$9))*VLOOKUP($I176,'2023'!$A$2:$I$278,8,FALSE))+((1-(($Z$9-(X176/40)*($Z$9))))*P176)</f>
        <v>336.01799592483962</v>
      </c>
      <c r="S176" s="14">
        <f>(($Z$9-(X176/40)*($Z$9))*VLOOKUP($I176,'2023'!$A$2:$I$278,9,FALSE))+((1-(($Z$9-(X176/40)*($Z$9))))*Q176)</f>
        <v>388.22402855749334</v>
      </c>
      <c r="X176" s="16">
        <f>VLOOKUP(I176,FEDEX!$A$2:$H$270,4,FALSE)</f>
        <v>10</v>
      </c>
    </row>
    <row r="177" spans="1:26">
      <c r="A177" t="str">
        <f>DIST!A177</f>
        <v>Brandt Snedeker</v>
      </c>
      <c r="B177">
        <f>VLOOKUP(Raw_Data4[[#This Row],[PLAYER NAME]],DIST!$A:$E,2,FALSE)</f>
        <v>176</v>
      </c>
      <c r="C177">
        <f>VLOOKUP(Raw_Data4[[#This Row],[PLAYER NAME]],ACC!$A:$E,2,FALSE)</f>
        <v>113</v>
      </c>
      <c r="D177">
        <f>VLOOKUP(Raw_Data4[[#This Row],[PLAYER NAME]],APP!$A:$E,2,FALSE)</f>
        <v>181</v>
      </c>
      <c r="E177">
        <f>VLOOKUP(Raw_Data4[[#This Row],[PLAYER NAME]],ARG!$A:$E,2,FALSE)</f>
        <v>169</v>
      </c>
      <c r="F177">
        <f>VLOOKUP(Raw_Data4[[#This Row],[PLAYER NAME]],PUTT!$A:$E,2,FALSE)</f>
        <v>149</v>
      </c>
      <c r="G177">
        <f>VLOOKUP(Raw_Data4[[#This Row],[PLAYER NAME]],SG!$A:$E,3,FALSE)</f>
        <v>182</v>
      </c>
      <c r="I177" s="34" t="str">
        <f>Raw_Data4[[#This Row],[PLAYER NAME]]</f>
        <v>Brandt Snedeker</v>
      </c>
      <c r="J177">
        <f>Raw_Data4[[#This Row],[DIST]]</f>
        <v>176</v>
      </c>
      <c r="K177">
        <f>Raw_Data4[[#This Row],[ACC]]</f>
        <v>113</v>
      </c>
      <c r="L177">
        <f>Raw_Data4[[#This Row],[APP]]</f>
        <v>181</v>
      </c>
      <c r="M177">
        <f>Raw_Data4[[#This Row],[ARG]]</f>
        <v>169</v>
      </c>
      <c r="N177">
        <f>Raw_Data4[[#This Row],[PUTT]]</f>
        <v>149</v>
      </c>
      <c r="O177" s="22">
        <f>Raw_Data4[[#This Row],[SG]]</f>
        <v>182</v>
      </c>
      <c r="P177" s="34">
        <f t="shared" si="10"/>
        <v>483.70000000000005</v>
      </c>
      <c r="Q177" s="359">
        <f t="shared" si="11"/>
        <v>680.55448041758882</v>
      </c>
      <c r="R177" s="226" t="e">
        <f>(($Z$9-(X177/40)*($Z$9))*VLOOKUP($I177,'2023'!$A$2:$I$278,8,FALSE))+((1-(($Z$9-(X177/40)*($Z$9))))*P177)</f>
        <v>#N/A</v>
      </c>
      <c r="S177" s="14" t="e">
        <f>(($Z$9-(X177/40)*($Z$9))*VLOOKUP($I177,'2023'!$A$2:$I$278,9,FALSE))+((1-(($Z$9-(X177/40)*($Z$9))))*Q177)</f>
        <v>#N/A</v>
      </c>
      <c r="X177" s="16">
        <f>VLOOKUP(I177,FEDEX!$A$2:$H$270,4,FALSE)</f>
        <v>10</v>
      </c>
    </row>
    <row r="178" spans="1:26">
      <c r="A178" t="str">
        <f>DIST!A178</f>
        <v>Zach Johnson</v>
      </c>
      <c r="B178">
        <f>VLOOKUP(Raw_Data4[[#This Row],[PLAYER NAME]],DIST!$A:$E,2,FALSE)</f>
        <v>177</v>
      </c>
      <c r="C178">
        <f>VLOOKUP(Raw_Data4[[#This Row],[PLAYER NAME]],ACC!$A:$E,2,FALSE)</f>
        <v>12</v>
      </c>
      <c r="D178">
        <f>VLOOKUP(Raw_Data4[[#This Row],[PLAYER NAME]],APP!$A:$E,2,FALSE)</f>
        <v>129</v>
      </c>
      <c r="E178">
        <f>VLOOKUP(Raw_Data4[[#This Row],[PLAYER NAME]],ARG!$A:$E,2,FALSE)</f>
        <v>117</v>
      </c>
      <c r="F178">
        <f>VLOOKUP(Raw_Data4[[#This Row],[PLAYER NAME]],PUTT!$A:$E,2,FALSE)</f>
        <v>70</v>
      </c>
      <c r="G178">
        <f>VLOOKUP(Raw_Data4[[#This Row],[PLAYER NAME]],SG!$A:$E,3,FALSE)</f>
        <v>105</v>
      </c>
      <c r="I178" s="34" t="str">
        <f>Raw_Data4[[#This Row],[PLAYER NAME]]</f>
        <v>Zach Johnson</v>
      </c>
      <c r="J178">
        <f>Raw_Data4[[#This Row],[DIST]]</f>
        <v>177</v>
      </c>
      <c r="K178">
        <f>Raw_Data4[[#This Row],[ACC]]</f>
        <v>12</v>
      </c>
      <c r="L178">
        <f>Raw_Data4[[#This Row],[APP]]</f>
        <v>129</v>
      </c>
      <c r="M178">
        <f>Raw_Data4[[#This Row],[ARG]]</f>
        <v>117</v>
      </c>
      <c r="N178">
        <f>Raw_Data4[[#This Row],[PUTT]]</f>
        <v>70</v>
      </c>
      <c r="O178" s="22">
        <f>Raw_Data4[[#This Row],[SG]]</f>
        <v>105</v>
      </c>
      <c r="P178" s="34">
        <f t="shared" si="10"/>
        <v>337.40000000000003</v>
      </c>
      <c r="Q178" s="359">
        <f t="shared" si="11"/>
        <v>437.38462037152897</v>
      </c>
      <c r="R178" s="226">
        <f>(($Z$9-(X178/40)*($Z$9))*VLOOKUP($I178,'2023'!$A$2:$I$278,8,FALSE))+((1-(($Z$9-(X178/40)*($Z$9))))*P178)</f>
        <v>352.97366553635959</v>
      </c>
      <c r="S178" s="14">
        <f>(($Z$9-(X178/40)*($Z$9))*VLOOKUP($I178,'2023'!$A$2:$I$278,9,FALSE))+((1-(($Z$9-(X178/40)*($Z$9))))*Q178)</f>
        <v>488.04808948572537</v>
      </c>
      <c r="X178" s="16">
        <f>VLOOKUP(I178,FEDEX!$A$2:$H$270,4,FALSE)</f>
        <v>7</v>
      </c>
    </row>
    <row r="179" spans="1:26">
      <c r="A179" t="str">
        <f>DIST!A179</f>
        <v>Ben Kohles</v>
      </c>
      <c r="B179">
        <f>VLOOKUP(Raw_Data4[[#This Row],[PLAYER NAME]],DIST!$A:$E,2,FALSE)</f>
        <v>178</v>
      </c>
      <c r="C179">
        <f>VLOOKUP(Raw_Data4[[#This Row],[PLAYER NAME]],ACC!$A:$E,2,FALSE)</f>
        <v>64</v>
      </c>
      <c r="D179">
        <f>VLOOKUP(Raw_Data4[[#This Row],[PLAYER NAME]],APP!$A:$E,2,FALSE)</f>
        <v>164</v>
      </c>
      <c r="E179">
        <f>VLOOKUP(Raw_Data4[[#This Row],[PLAYER NAME]],ARG!$A:$E,2,FALSE)</f>
        <v>174</v>
      </c>
      <c r="F179">
        <f>VLOOKUP(Raw_Data4[[#This Row],[PLAYER NAME]],PUTT!$A:$E,2,FALSE)</f>
        <v>176</v>
      </c>
      <c r="G179">
        <f>VLOOKUP(Raw_Data4[[#This Row],[PLAYER NAME]],SG!$A:$E,3,FALSE)</f>
        <v>181</v>
      </c>
      <c r="I179" s="34" t="str">
        <f>Raw_Data4[[#This Row],[PLAYER NAME]]</f>
        <v>Ben Kohles</v>
      </c>
      <c r="J179">
        <f>Raw_Data4[[#This Row],[DIST]]</f>
        <v>178</v>
      </c>
      <c r="K179">
        <f>Raw_Data4[[#This Row],[ACC]]</f>
        <v>64</v>
      </c>
      <c r="L179">
        <f>Raw_Data4[[#This Row],[APP]]</f>
        <v>164</v>
      </c>
      <c r="M179">
        <f>Raw_Data4[[#This Row],[ARG]]</f>
        <v>174</v>
      </c>
      <c r="N179">
        <f>Raw_Data4[[#This Row],[PUTT]]</f>
        <v>176</v>
      </c>
      <c r="O179" s="22">
        <f>Raw_Data4[[#This Row],[SG]]</f>
        <v>181</v>
      </c>
      <c r="P179" s="34">
        <f t="shared" si="10"/>
        <v>464.6</v>
      </c>
      <c r="Q179" s="359">
        <f t="shared" si="11"/>
        <v>659.10696451401202</v>
      </c>
      <c r="R179" s="226" t="e">
        <f>(($Z$9-(X179/40)*($Z$9))*VLOOKUP($I179,'2023'!$A$2:$I$278,8,FALSE))+((1-(($Z$9-(X179/40)*($Z$9))))*P179)</f>
        <v>#N/A</v>
      </c>
      <c r="S179" s="14" t="e">
        <f>(($Z$9-(X179/40)*($Z$9))*VLOOKUP($I179,'2023'!$A$2:$I$278,9,FALSE))+((1-(($Z$9-(X179/40)*($Z$9))))*Q179)</f>
        <v>#N/A</v>
      </c>
      <c r="X179" s="16">
        <f>VLOOKUP(I179,FEDEX!$A$2:$H$270,4,FALSE)</f>
        <v>10</v>
      </c>
    </row>
    <row r="180" spans="1:26">
      <c r="A180" t="str">
        <f>DIST!A180</f>
        <v>Raul Pereda</v>
      </c>
      <c r="B180">
        <f>VLOOKUP(Raw_Data4[[#This Row],[PLAYER NAME]],DIST!$A:$E,2,FALSE)</f>
        <v>179</v>
      </c>
      <c r="C180">
        <f>VLOOKUP(Raw_Data4[[#This Row],[PLAYER NAME]],ACC!$A:$E,2,FALSE)</f>
        <v>168</v>
      </c>
      <c r="D180">
        <f>VLOOKUP(Raw_Data4[[#This Row],[PLAYER NAME]],APP!$A:$E,2,FALSE)</f>
        <v>169</v>
      </c>
      <c r="E180">
        <f>VLOOKUP(Raw_Data4[[#This Row],[PLAYER NAME]],ARG!$A:$E,2,FALSE)</f>
        <v>158</v>
      </c>
      <c r="F180">
        <f>VLOOKUP(Raw_Data4[[#This Row],[PLAYER NAME]],PUTT!$A:$E,2,FALSE)</f>
        <v>5</v>
      </c>
      <c r="G180">
        <f>VLOOKUP(Raw_Data4[[#This Row],[PLAYER NAME]],SG!$A:$E,3,FALSE)</f>
        <v>176</v>
      </c>
      <c r="I180" s="34" t="str">
        <f>Raw_Data4[[#This Row],[PLAYER NAME]]</f>
        <v>Raul Pereda</v>
      </c>
      <c r="J180">
        <f>Raw_Data4[[#This Row],[DIST]]</f>
        <v>179</v>
      </c>
      <c r="K180">
        <f>Raw_Data4[[#This Row],[ACC]]</f>
        <v>168</v>
      </c>
      <c r="L180">
        <f>Raw_Data4[[#This Row],[APP]]</f>
        <v>169</v>
      </c>
      <c r="M180">
        <f>Raw_Data4[[#This Row],[ARG]]</f>
        <v>158</v>
      </c>
      <c r="N180">
        <f>Raw_Data4[[#This Row],[PUTT]]</f>
        <v>5</v>
      </c>
      <c r="O180" s="22">
        <f>Raw_Data4[[#This Row],[SG]]</f>
        <v>176</v>
      </c>
      <c r="P180" s="34">
        <f t="shared" ref="P180:P182" si="12">$Z$2*J180+$AA$2*K180+$AB$2*L180+$AC$2*M180+$AD$2*N180</f>
        <v>429.09999999999997</v>
      </c>
      <c r="Q180" s="359">
        <f t="shared" ref="Q180:Q182" si="13">$Z$5*J180+$AA$5*K180+$AB$5*L180+$AC$5*M180+$AD$5*N180+$AE$5*O180</f>
        <v>612.08309746893394</v>
      </c>
      <c r="R180" s="226" t="e">
        <f>(($Z$9-(X180/40)*($Z$9))*VLOOKUP($I180,'2023'!$A$2:$I$278,8,FALSE))+((1-(($Z$9-(X180/40)*($Z$9))))*P180)</f>
        <v>#N/A</v>
      </c>
      <c r="S180" s="14" t="e">
        <f>(($Z$9-(X180/40)*($Z$9))*VLOOKUP($I180,'2023'!$A$2:$I$278,9,FALSE))+((1-(($Z$9-(X180/40)*($Z$9))))*Q180)</f>
        <v>#N/A</v>
      </c>
      <c r="X180" s="16">
        <f>VLOOKUP(I180,FEDEX!$A$2:$H$270,4,FALSE)</f>
        <v>7</v>
      </c>
      <c r="Z180" s="312"/>
    </row>
    <row r="181" spans="1:26">
      <c r="A181" t="str">
        <f>DIST!A181</f>
        <v>Andrew Putnam</v>
      </c>
      <c r="B181">
        <f>VLOOKUP(Raw_Data4[[#This Row],[PLAYER NAME]],DIST!$A:$E,2,FALSE)</f>
        <v>180</v>
      </c>
      <c r="C181">
        <f>VLOOKUP(Raw_Data4[[#This Row],[PLAYER NAME]],ACC!$A:$E,2,FALSE)</f>
        <v>68</v>
      </c>
      <c r="D181">
        <f>VLOOKUP(Raw_Data4[[#This Row],[PLAYER NAME]],APP!$A:$E,2,FALSE)</f>
        <v>51</v>
      </c>
      <c r="E181">
        <f>VLOOKUP(Raw_Data4[[#This Row],[PLAYER NAME]],ARG!$A:$E,2,FALSE)</f>
        <v>47</v>
      </c>
      <c r="F181">
        <f>VLOOKUP(Raw_Data4[[#This Row],[PLAYER NAME]],PUTT!$A:$E,2,FALSE)</f>
        <v>45</v>
      </c>
      <c r="G181">
        <f>VLOOKUP(Raw_Data4[[#This Row],[PLAYER NAME]],SG!$A:$E,3,FALSE)</f>
        <v>58</v>
      </c>
      <c r="I181" s="34" t="str">
        <f>Raw_Data4[[#This Row],[PLAYER NAME]]</f>
        <v>Andrew Putnam</v>
      </c>
      <c r="J181">
        <f>Raw_Data4[[#This Row],[DIST]]</f>
        <v>180</v>
      </c>
      <c r="K181">
        <f>Raw_Data4[[#This Row],[ACC]]</f>
        <v>68</v>
      </c>
      <c r="L181">
        <f>Raw_Data4[[#This Row],[APP]]</f>
        <v>51</v>
      </c>
      <c r="M181">
        <f>Raw_Data4[[#This Row],[ARG]]</f>
        <v>47</v>
      </c>
      <c r="N181">
        <f>Raw_Data4[[#This Row],[PUTT]]</f>
        <v>45</v>
      </c>
      <c r="O181" s="22">
        <f>Raw_Data4[[#This Row],[SG]]</f>
        <v>58</v>
      </c>
      <c r="P181" s="34">
        <f t="shared" si="12"/>
        <v>273</v>
      </c>
      <c r="Q181" s="359">
        <f t="shared" si="13"/>
        <v>299.22848206057262</v>
      </c>
      <c r="R181" s="226">
        <f>(($Z$9-(X181/40)*($Z$9))*VLOOKUP($I181,'2023'!$A$2:$I$278,8,FALSE))+((1-(($Z$9-(X181/40)*($Z$9))))*P181)</f>
        <v>253.59083667038817</v>
      </c>
      <c r="S181" s="14">
        <f>(($Z$9-(X181/40)*($Z$9))*VLOOKUP($I181,'2023'!$A$2:$I$278,9,FALSE))+((1-(($Z$9-(X181/40)*($Z$9))))*Q181)</f>
        <v>271.99699531591352</v>
      </c>
      <c r="X181" s="16">
        <f>VLOOKUP(I181,FEDEX!$A$2:$H$270,4,FALSE)</f>
        <v>10</v>
      </c>
      <c r="Z181" s="312"/>
    </row>
    <row r="182" spans="1:26">
      <c r="A182" t="str">
        <f>DIST!A182</f>
        <v>Brendon Todd</v>
      </c>
      <c r="B182">
        <f>VLOOKUP(Raw_Data4[[#This Row],[PLAYER NAME]],DIST!$A:$E,2,FALSE)</f>
        <v>181</v>
      </c>
      <c r="C182">
        <f>VLOOKUP(Raw_Data4[[#This Row],[PLAYER NAME]],ACC!$A:$E,2,FALSE)</f>
        <v>50</v>
      </c>
      <c r="D182">
        <f>VLOOKUP(Raw_Data4[[#This Row],[PLAYER NAME]],APP!$A:$E,2,FALSE)</f>
        <v>95</v>
      </c>
      <c r="E182">
        <f>VLOOKUP(Raw_Data4[[#This Row],[PLAYER NAME]],ARG!$A:$E,2,FALSE)</f>
        <v>16</v>
      </c>
      <c r="F182">
        <f>VLOOKUP(Raw_Data4[[#This Row],[PLAYER NAME]],PUTT!$A:$E,2,FALSE)</f>
        <v>10</v>
      </c>
      <c r="G182">
        <f>VLOOKUP(Raw_Data4[[#This Row],[PLAYER NAME]],SG!$A:$E,3,FALSE)</f>
        <v>48</v>
      </c>
      <c r="I182" s="34" t="str">
        <f>Raw_Data4[[#This Row],[PLAYER NAME]]</f>
        <v>Brendon Todd</v>
      </c>
      <c r="J182">
        <f>Raw_Data4[[#This Row],[DIST]]</f>
        <v>181</v>
      </c>
      <c r="K182">
        <f>Raw_Data4[[#This Row],[ACC]]</f>
        <v>50</v>
      </c>
      <c r="L182">
        <f>Raw_Data4[[#This Row],[APP]]</f>
        <v>95</v>
      </c>
      <c r="M182">
        <f>Raw_Data4[[#This Row],[ARG]]</f>
        <v>16</v>
      </c>
      <c r="N182">
        <f>Raw_Data4[[#This Row],[PUTT]]</f>
        <v>10</v>
      </c>
      <c r="O182" s="22">
        <f>Raw_Data4[[#This Row],[SG]]</f>
        <v>48</v>
      </c>
      <c r="P182" s="34">
        <f t="shared" si="12"/>
        <v>265.8</v>
      </c>
      <c r="Q182" s="359">
        <f t="shared" si="13"/>
        <v>280.99030061713887</v>
      </c>
      <c r="R182" s="226">
        <f>(($Z$9-(X182/40)*($Z$9))*VLOOKUP($I182,'2023'!$A$2:$I$278,8,FALSE))+((1-(($Z$9-(X182/40)*($Z$9))))*P182)</f>
        <v>249.27389541430932</v>
      </c>
      <c r="S182" s="14">
        <f>(($Z$9-(X182/40)*($Z$9))*VLOOKUP($I182,'2023'!$A$2:$I$278,9,FALSE))+((1-(($Z$9-(X182/40)*($Z$9))))*Q182)</f>
        <v>253.88343054723396</v>
      </c>
      <c r="X182" s="16">
        <f>VLOOKUP(I182,FEDEX!$A$2:$H$270,4,FALSE)</f>
        <v>10</v>
      </c>
      <c r="Z182" s="312"/>
    </row>
    <row r="183" spans="1:26">
      <c r="A183" t="str">
        <f>DIST!A183</f>
        <v>Alexander Björk</v>
      </c>
      <c r="B183">
        <f>VLOOKUP(Raw_Data4[[#This Row],[PLAYER NAME]],DIST!$A:$E,2,FALSE)</f>
        <v>182</v>
      </c>
      <c r="C183">
        <f>VLOOKUP(Raw_Data4[[#This Row],[PLAYER NAME]],ACC!$A:$E,2,FALSE)</f>
        <v>38</v>
      </c>
      <c r="D183">
        <f>VLOOKUP(Raw_Data4[[#This Row],[PLAYER NAME]],APP!$A:$E,2,FALSE)</f>
        <v>150</v>
      </c>
      <c r="E183">
        <f>VLOOKUP(Raw_Data4[[#This Row],[PLAYER NAME]],ARG!$A:$E,2,FALSE)</f>
        <v>166</v>
      </c>
      <c r="F183">
        <f>VLOOKUP(Raw_Data4[[#This Row],[PLAYER NAME]],PUTT!$A:$E,2,FALSE)</f>
        <v>3</v>
      </c>
      <c r="G183">
        <f>VLOOKUP(Raw_Data4[[#This Row],[PLAYER NAME]],SG!$A:$E,3,FALSE)</f>
        <v>140</v>
      </c>
      <c r="I183" s="34" t="str">
        <f>Raw_Data4[[#This Row],[PLAYER NAME]]</f>
        <v>Alexander Björk</v>
      </c>
      <c r="J183">
        <f>Raw_Data4[[#This Row],[DIST]]</f>
        <v>182</v>
      </c>
      <c r="K183">
        <f>Raw_Data4[[#This Row],[ACC]]</f>
        <v>38</v>
      </c>
      <c r="L183">
        <f>Raw_Data4[[#This Row],[APP]]</f>
        <v>150</v>
      </c>
      <c r="M183">
        <f>Raw_Data4[[#This Row],[ARG]]</f>
        <v>166</v>
      </c>
      <c r="N183">
        <f>Raw_Data4[[#This Row],[PUTT]]</f>
        <v>3</v>
      </c>
      <c r="O183" s="22">
        <f>Raw_Data4[[#This Row],[SG]]</f>
        <v>140</v>
      </c>
      <c r="P183" s="34">
        <f t="shared" ref="P183" si="14">$Z$2*J183+$AA$2*K183+$AB$2*L183+$AC$2*M183+$AD$2*N183</f>
        <v>355.70000000000005</v>
      </c>
      <c r="Q183" s="359">
        <f t="shared" ref="Q183" si="15">$Z$5*J183+$AA$5*K183+$AB$5*L183+$AC$5*M183+$AD$5*N183+$AE$5*O183</f>
        <v>500.82900547865722</v>
      </c>
      <c r="R183" s="226">
        <f>(($Z$9-(X183/40)*($Z$9))*VLOOKUP($I183,'2023'!$A$2:$I$278,8,FALSE))+((1-(($Z$9-(X183/40)*($Z$9))))*P183)</f>
        <v>280.31659437843871</v>
      </c>
      <c r="S183" s="14">
        <f>(($Z$9-(X183/40)*($Z$9))*VLOOKUP($I183,'2023'!$A$2:$I$278,9,FALSE))+((1-(($Z$9-(X183/40)*($Z$9))))*Q183)</f>
        <v>349.10091437451837</v>
      </c>
      <c r="X183" s="16">
        <f>VLOOKUP(I183,FEDEX!$A$2:$H$270,4,FALSE)</f>
        <v>9</v>
      </c>
      <c r="Z183" s="312"/>
    </row>
    <row r="184" spans="1:26">
      <c r="A184" t="str">
        <f>DIST!A184</f>
        <v>Zac Blair</v>
      </c>
      <c r="B184">
        <f>VLOOKUP(Raw_Data4[[#This Row],[PLAYER NAME]],DIST!$A:$E,2,FALSE)</f>
        <v>183</v>
      </c>
      <c r="C184">
        <f>VLOOKUP(Raw_Data4[[#This Row],[PLAYER NAME]],ACC!$A:$E,2,FALSE)</f>
        <v>53</v>
      </c>
      <c r="D184">
        <f>VLOOKUP(Raw_Data4[[#This Row],[PLAYER NAME]],APP!$A:$E,2,FALSE)</f>
        <v>113</v>
      </c>
      <c r="E184">
        <f>VLOOKUP(Raw_Data4[[#This Row],[PLAYER NAME]],ARG!$A:$E,2,FALSE)</f>
        <v>20</v>
      </c>
      <c r="F184">
        <f>VLOOKUP(Raw_Data4[[#This Row],[PLAYER NAME]],PUTT!$A:$E,2,FALSE)</f>
        <v>141</v>
      </c>
      <c r="G184">
        <f>VLOOKUP(Raw_Data4[[#This Row],[PLAYER NAME]],SG!$A:$E,3,FALSE)</f>
        <v>149</v>
      </c>
      <c r="I184" s="34" t="str">
        <f>Raw_Data4[[#This Row],[PLAYER NAME]]</f>
        <v>Zac Blair</v>
      </c>
      <c r="J184">
        <f>Raw_Data4[[#This Row],[DIST]]</f>
        <v>183</v>
      </c>
      <c r="K184">
        <f>Raw_Data4[[#This Row],[ACC]]</f>
        <v>53</v>
      </c>
      <c r="L184">
        <f>Raw_Data4[[#This Row],[APP]]</f>
        <v>113</v>
      </c>
      <c r="M184">
        <f>Raw_Data4[[#This Row],[ARG]]</f>
        <v>20</v>
      </c>
      <c r="N184">
        <f>Raw_Data4[[#This Row],[PUTT]]</f>
        <v>141</v>
      </c>
      <c r="O184" s="22">
        <f>Raw_Data4[[#This Row],[SG]]</f>
        <v>149</v>
      </c>
      <c r="P184" s="34">
        <f>$Z$2*J184+$AA$2*K184+$AB$2*L184+$AC$2*M184+$AD$2*N184</f>
        <v>348.8</v>
      </c>
      <c r="Q184" s="359">
        <f>$Z$5*J184+$AA$5*K184+$AB$5*L184+$AC$5*M184+$AD$5*N184+$AE$5*O184</f>
        <v>470.59951646649392</v>
      </c>
      <c r="R184" s="226">
        <f>(($Z$9-(X184/40)*($Z$9))*VLOOKUP($I184,'2023'!$A$2:$I$278,8,FALSE))+((1-(($Z$9-(X184/40)*($Z$9))))*P184)</f>
        <v>322.3067494710391</v>
      </c>
      <c r="S184" s="14">
        <f>(($Z$9-(X184/40)*($Z$9))*VLOOKUP($I184,'2023'!$A$2:$I$278,9,FALSE))+((1-(($Z$9-(X184/40)*($Z$9))))*Q184)</f>
        <v>416.90253693773741</v>
      </c>
      <c r="X184" s="16">
        <f>VLOOKUP(I184,FEDEX!$A$2:$H$270,4,FALSE)</f>
        <v>9</v>
      </c>
      <c r="Z184" s="312"/>
    </row>
    <row r="185" spans="1:26">
      <c r="A185">
        <f>DIST!A185</f>
        <v>0</v>
      </c>
      <c r="B185">
        <f>VLOOKUP(Raw_Data4[[#This Row],[PLAYER NAME]],DIST!$A:$E,2,FALSE)</f>
        <v>0</v>
      </c>
      <c r="C185">
        <f>VLOOKUP(Raw_Data4[[#This Row],[PLAYER NAME]],ACC!$A:$E,2,FALSE)</f>
        <v>0</v>
      </c>
      <c r="D185">
        <f>VLOOKUP(Raw_Data4[[#This Row],[PLAYER NAME]],APP!$A:$E,2,FALSE)</f>
        <v>0</v>
      </c>
      <c r="E185">
        <f>VLOOKUP(Raw_Data4[[#This Row],[PLAYER NAME]],ARG!$A:$E,2,FALSE)</f>
        <v>0</v>
      </c>
      <c r="F185">
        <f>VLOOKUP(Raw_Data4[[#This Row],[PLAYER NAME]],PUTT!$A:$E,2,FALSE)</f>
        <v>0</v>
      </c>
      <c r="G185">
        <f>VLOOKUP(Raw_Data4[[#This Row],[PLAYER NAME]],SG!$A:$E,3,FALSE)</f>
        <v>0</v>
      </c>
      <c r="I185" s="200" t="s">
        <v>799</v>
      </c>
      <c r="J185">
        <f>VLOOKUP(Table30[[#This Row],[PLAYER NAME]],Table23[],2,FALSE)</f>
        <v>17</v>
      </c>
      <c r="K185">
        <f>VLOOKUP(Table30[[#This Row],[PLAYER NAME]],Table23[],3,FALSE)</f>
        <v>187</v>
      </c>
      <c r="L185">
        <f>VLOOKUP(Table30[[#This Row],[PLAYER NAME]],Table23[],4,FALSE)</f>
        <v>99</v>
      </c>
      <c r="M185">
        <f>VLOOKUP(Table30[[#This Row],[PLAYER NAME]],Table23[],5,FALSE)</f>
        <v>132</v>
      </c>
      <c r="N185">
        <f>VLOOKUP(Table30[[#This Row],[PLAYER NAME]],Table23[],6,FALSE)</f>
        <v>19</v>
      </c>
      <c r="O185">
        <f>VLOOKUP(Table30[[#This Row],[PLAYER NAME]],Table23[],7,FALSE)</f>
        <v>99</v>
      </c>
      <c r="P185" s="439">
        <f>VLOOKUP(Table30[[#This Row],[PLAYER NAME]],Table23[],8,FALSE)</f>
        <v>240.4</v>
      </c>
      <c r="Q185" s="440">
        <f>VLOOKUP(Table30[[#This Row],[PLAYER NAME]],Table23[],9,FALSE)</f>
        <v>375.95605469688064</v>
      </c>
      <c r="R185" s="226">
        <f>(($Z$9-(X185/40)*($Z$9))*VLOOKUP($I185,'2023'!$A$2:$I$278,8,FALSE))+((1-(($Z$9-(X185/40)*($Z$9))))*P185)</f>
        <v>240.4</v>
      </c>
      <c r="S185" s="14">
        <f>(($Z$9-(X185/40)*($Z$9))*VLOOKUP($I185,'2023'!$A$2:$I$278,9,FALSE))+((1-(($Z$9-(X185/40)*($Z$9))))*Q185)</f>
        <v>375.95605469688064</v>
      </c>
      <c r="X185" s="16">
        <v>0</v>
      </c>
      <c r="Z185" s="312"/>
    </row>
    <row r="186" spans="1:26">
      <c r="A186">
        <f>DIST!A186</f>
        <v>0</v>
      </c>
      <c r="B186">
        <f>VLOOKUP(Raw_Data4[[#This Row],[PLAYER NAME]],DIST!$A:$E,2,FALSE)</f>
        <v>0</v>
      </c>
      <c r="C186">
        <f>VLOOKUP(Raw_Data4[[#This Row],[PLAYER NAME]],ACC!$A:$E,2,FALSE)</f>
        <v>0</v>
      </c>
      <c r="D186">
        <f>VLOOKUP(Raw_Data4[[#This Row],[PLAYER NAME]],APP!$A:$E,2,FALSE)</f>
        <v>0</v>
      </c>
      <c r="E186">
        <f>VLOOKUP(Raw_Data4[[#This Row],[PLAYER NAME]],ARG!$A:$E,2,FALSE)</f>
        <v>0</v>
      </c>
      <c r="F186">
        <f>VLOOKUP(Raw_Data4[[#This Row],[PLAYER NAME]],PUTT!$A:$E,2,FALSE)</f>
        <v>0</v>
      </c>
      <c r="G186">
        <f>VLOOKUP(Raw_Data4[[#This Row],[PLAYER NAME]],SG!$A:$E,3,FALSE)</f>
        <v>0</v>
      </c>
      <c r="I186" s="200" t="s">
        <v>70</v>
      </c>
      <c r="J186">
        <f>VLOOKUP(Table30[[#This Row],[PLAYER NAME]],Table23[],2,FALSE)</f>
        <v>73</v>
      </c>
      <c r="K186">
        <f>VLOOKUP(Table30[[#This Row],[PLAYER NAME]],Table23[],3,FALSE)</f>
        <v>176</v>
      </c>
      <c r="L186">
        <f>VLOOKUP(Table30[[#This Row],[PLAYER NAME]],Table23[],4,FALSE)</f>
        <v>167</v>
      </c>
      <c r="M186">
        <f>VLOOKUP(Table30[[#This Row],[PLAYER NAME]],Table23[],5,FALSE)</f>
        <v>117</v>
      </c>
      <c r="N186">
        <f>VLOOKUP(Table30[[#This Row],[PLAYER NAME]],Table23[],6,FALSE)</f>
        <v>56</v>
      </c>
      <c r="O186">
        <f>VLOOKUP(Table30[[#This Row],[PLAYER NAME]],Table23[],7,FALSE)</f>
        <v>170</v>
      </c>
      <c r="P186" s="439">
        <f>VLOOKUP(Table30[[#This Row],[PLAYER NAME]],Table23[],8,FALSE)</f>
        <v>345.4</v>
      </c>
      <c r="Q186" s="440">
        <f>VLOOKUP(Table30[[#This Row],[PLAYER NAME]],Table23[],9,FALSE)</f>
        <v>543.9901547500782</v>
      </c>
      <c r="R186" s="226">
        <f>(($Z$9-(X186/40)*($Z$9))*VLOOKUP($I186,'2023'!$A$2:$I$278,8,FALSE))+((1-(($Z$9-(X186/40)*($Z$9))))*P186)</f>
        <v>345.4</v>
      </c>
      <c r="S186" s="14">
        <f>(($Z$9-(X186/40)*($Z$9))*VLOOKUP($I186,'2023'!$A$2:$I$278,9,FALSE))+((1-(($Z$9-(X186/40)*($Z$9))))*Q186)</f>
        <v>543.9901547500782</v>
      </c>
      <c r="X186" s="16">
        <f>VLOOKUP(I186,FEDEX!$A$2:$H$270,4,FALSE)</f>
        <v>1</v>
      </c>
      <c r="Z186" s="312"/>
    </row>
    <row r="187" spans="1:26">
      <c r="A187">
        <f>DIST!A187</f>
        <v>0</v>
      </c>
      <c r="B187">
        <f>VLOOKUP(Raw_Data4[[#This Row],[PLAYER NAME]],DIST!$A:$E,2,FALSE)</f>
        <v>0</v>
      </c>
      <c r="C187">
        <f>VLOOKUP(Raw_Data4[[#This Row],[PLAYER NAME]],ACC!$A:$E,2,FALSE)</f>
        <v>0</v>
      </c>
      <c r="D187">
        <f>VLOOKUP(Raw_Data4[[#This Row],[PLAYER NAME]],APP!$A:$E,2,FALSE)</f>
        <v>0</v>
      </c>
      <c r="E187">
        <f>VLOOKUP(Raw_Data4[[#This Row],[PLAYER NAME]],ARG!$A:$E,2,FALSE)</f>
        <v>0</v>
      </c>
      <c r="F187">
        <f>VLOOKUP(Raw_Data4[[#This Row],[PLAYER NAME]],PUTT!$A:$E,2,FALSE)</f>
        <v>0</v>
      </c>
      <c r="G187">
        <f>VLOOKUP(Raw_Data4[[#This Row],[PLAYER NAME]],SG!$A:$E,3,FALSE)</f>
        <v>0</v>
      </c>
      <c r="I187" s="200" t="s">
        <v>159</v>
      </c>
      <c r="J187">
        <f>VLOOKUP(Table30[[#This Row],[PLAYER NAME]],Table23[],2,FALSE)</f>
        <v>159</v>
      </c>
      <c r="K187">
        <f>VLOOKUP(Table30[[#This Row],[PLAYER NAME]],Table23[],3,FALSE)</f>
        <v>58</v>
      </c>
      <c r="L187">
        <f>VLOOKUP(Table30[[#This Row],[PLAYER NAME]],Table23[],4,FALSE)</f>
        <v>147</v>
      </c>
      <c r="M187">
        <f>VLOOKUP(Table30[[#This Row],[PLAYER NAME]],Table23[],5,FALSE)</f>
        <v>129</v>
      </c>
      <c r="N187">
        <f>VLOOKUP(Table30[[#This Row],[PLAYER NAME]],Table23[],6,FALSE)</f>
        <v>130</v>
      </c>
      <c r="O187">
        <f>VLOOKUP(Table30[[#This Row],[PLAYER NAME]],Table23[],7,FALSE)</f>
        <v>154</v>
      </c>
      <c r="P187" s="439">
        <f>VLOOKUP(Table30[[#This Row],[PLAYER NAME]],Table23[],8,FALSE)</f>
        <v>391.6</v>
      </c>
      <c r="Q187" s="440">
        <f>VLOOKUP(Table30[[#This Row],[PLAYER NAME]],Table23[],9,FALSE)</f>
        <v>551.78313431168704</v>
      </c>
      <c r="R187" s="226">
        <f>(($Z$9-(X187/40)*($Z$9))*VLOOKUP($I187,'2023'!$A$2:$I$278,8,FALSE))+((1-(($Z$9-(X187/40)*($Z$9))))*P187)</f>
        <v>391.6</v>
      </c>
      <c r="S187" s="14">
        <f>(($Z$9-(X187/40)*($Z$9))*VLOOKUP($I187,'2023'!$A$2:$I$278,9,FALSE))+((1-(($Z$9-(X187/40)*($Z$9))))*Q187)</f>
        <v>551.78313431168704</v>
      </c>
      <c r="X187" s="16">
        <f>VLOOKUP(I187,FEDEX!$A$2:$H$270,4,FALSE)</f>
        <v>1</v>
      </c>
      <c r="Z187" s="312"/>
    </row>
    <row r="188" spans="1:26">
      <c r="A188">
        <f>DIST!A188</f>
        <v>0</v>
      </c>
      <c r="B188">
        <f>VLOOKUP(Raw_Data4[[#This Row],[PLAYER NAME]],DIST!$A:$E,2,FALSE)</f>
        <v>0</v>
      </c>
      <c r="C188">
        <f>VLOOKUP(Raw_Data4[[#This Row],[PLAYER NAME]],ACC!$A:$E,2,FALSE)</f>
        <v>0</v>
      </c>
      <c r="D188">
        <f>VLOOKUP(Raw_Data4[[#This Row],[PLAYER NAME]],APP!$A:$E,2,FALSE)</f>
        <v>0</v>
      </c>
      <c r="E188">
        <f>VLOOKUP(Raw_Data4[[#This Row],[PLAYER NAME]],ARG!$A:$E,2,FALSE)</f>
        <v>0</v>
      </c>
      <c r="F188">
        <f>VLOOKUP(Raw_Data4[[#This Row],[PLAYER NAME]],PUTT!$A:$E,2,FALSE)</f>
        <v>0</v>
      </c>
      <c r="G188">
        <f>VLOOKUP(Raw_Data4[[#This Row],[PLAYER NAME]],SG!$A:$E,3,FALSE)</f>
        <v>0</v>
      </c>
      <c r="I188" s="200" t="s">
        <v>184</v>
      </c>
      <c r="J188">
        <f>VLOOKUP(Table30[[#This Row],[PLAYER NAME]],Table23[],2,FALSE)</f>
        <v>186</v>
      </c>
      <c r="K188">
        <f>VLOOKUP(Table30[[#This Row],[PLAYER NAME]],Table23[],3,FALSE)</f>
        <v>23</v>
      </c>
      <c r="L188">
        <f>VLOOKUP(Table30[[#This Row],[PLAYER NAME]],Table23[],4,FALSE)</f>
        <v>175</v>
      </c>
      <c r="M188">
        <f>VLOOKUP(Table30[[#This Row],[PLAYER NAME]],Table23[],5,FALSE)</f>
        <v>118</v>
      </c>
      <c r="N188">
        <f>VLOOKUP(Table30[[#This Row],[PLAYER NAME]],Table23[],6,FALSE)</f>
        <v>151</v>
      </c>
      <c r="O188">
        <f>VLOOKUP(Table30[[#This Row],[PLAYER NAME]],Table23[],7,FALSE)</f>
        <v>180</v>
      </c>
      <c r="P188" s="439">
        <f>VLOOKUP(Table30[[#This Row],[PLAYER NAME]],Table23[],8,FALSE)</f>
        <v>424.09999999999997</v>
      </c>
      <c r="Q188" s="440">
        <f>VLOOKUP(Table30[[#This Row],[PLAYER NAME]],Table23[],9,FALSE)</f>
        <v>605.08250884553058</v>
      </c>
      <c r="R188" s="226">
        <f>(($Z$9-(X188/40)*($Z$9))*VLOOKUP($I188,'2023'!$A$2:$I$278,8,FALSE))+((1-(($Z$9-(X188/40)*($Z$9))))*P188)</f>
        <v>424.09999999999991</v>
      </c>
      <c r="S188" s="14">
        <f>(($Z$9-(X188/40)*($Z$9))*VLOOKUP($I188,'2023'!$A$2:$I$278,9,FALSE))+((1-(($Z$9-(X188/40)*($Z$9))))*Q188)</f>
        <v>605.08250884553058</v>
      </c>
      <c r="X188" s="16">
        <f>VLOOKUP(I188,FEDEX!$A$2:$H$270,4,FALSE)</f>
        <v>1</v>
      </c>
      <c r="Z188" s="312"/>
    </row>
    <row r="189" spans="1:26">
      <c r="A189">
        <f>DIST!A189</f>
        <v>0</v>
      </c>
      <c r="B189">
        <f>VLOOKUP(Raw_Data4[[#This Row],[PLAYER NAME]],DIST!$A:$E,2,FALSE)</f>
        <v>0</v>
      </c>
      <c r="C189">
        <f>VLOOKUP(Raw_Data4[[#This Row],[PLAYER NAME]],ACC!$A:$E,2,FALSE)</f>
        <v>0</v>
      </c>
      <c r="D189">
        <f>VLOOKUP(Raw_Data4[[#This Row],[PLAYER NAME]],APP!$A:$E,2,FALSE)</f>
        <v>0</v>
      </c>
      <c r="E189">
        <f>VLOOKUP(Raw_Data4[[#This Row],[PLAYER NAME]],ARG!$A:$E,2,FALSE)</f>
        <v>0</v>
      </c>
      <c r="F189">
        <f>VLOOKUP(Raw_Data4[[#This Row],[PLAYER NAME]],PUTT!$A:$E,2,FALSE)</f>
        <v>0</v>
      </c>
      <c r="G189">
        <f>VLOOKUP(Raw_Data4[[#This Row],[PLAYER NAME]],SG!$A:$E,3,FALSE)</f>
        <v>0</v>
      </c>
      <c r="I189" s="200" t="s">
        <v>796</v>
      </c>
      <c r="J189">
        <f>VLOOKUP(Table30[[#This Row],[PLAYER NAME]],Table23[],2,FALSE)</f>
        <v>158</v>
      </c>
      <c r="K189">
        <f>VLOOKUP(Table30[[#This Row],[PLAYER NAME]],Table23[],3,FALSE)</f>
        <v>20</v>
      </c>
      <c r="L189">
        <f>VLOOKUP(Table30[[#This Row],[PLAYER NAME]],Table23[],4,FALSE)</f>
        <v>43</v>
      </c>
      <c r="M189">
        <f>VLOOKUP(Table30[[#This Row],[PLAYER NAME]],Table23[],5,FALSE)</f>
        <v>171</v>
      </c>
      <c r="N189">
        <f>VLOOKUP(Table30[[#This Row],[PLAYER NAME]],Table23[],6,FALSE)</f>
        <v>120</v>
      </c>
      <c r="O189">
        <f>VLOOKUP(Table30[[#This Row],[PLAYER NAME]],Table23[],7,FALSE)</f>
        <v>38</v>
      </c>
      <c r="P189" s="439">
        <f>VLOOKUP(Table30[[#This Row],[PLAYER NAME]],Table23[],8,FALSE)</f>
        <v>310.70000000000005</v>
      </c>
      <c r="Q189" s="440">
        <f>VLOOKUP(Table30[[#This Row],[PLAYER NAME]],Table23[],9,FALSE)</f>
        <v>348.69036940118735</v>
      </c>
      <c r="R189" s="226">
        <f>(($Z$9-(X189/40)*($Z$9))*VLOOKUP($I189,'2023'!$A$2:$I$278,8,FALSE))+((1-(($Z$9-(X189/40)*($Z$9))))*P189)</f>
        <v>310.70000000000005</v>
      </c>
      <c r="S189" s="14">
        <f>(($Z$9-(X189/40)*($Z$9))*VLOOKUP($I189,'2023'!$A$2:$I$278,9,FALSE))+((1-(($Z$9-(X189/40)*($Z$9))))*Q189)</f>
        <v>348.69036940118735</v>
      </c>
      <c r="X189" s="16">
        <v>0</v>
      </c>
      <c r="Z189" s="312"/>
    </row>
    <row r="190" spans="1:26">
      <c r="A190">
        <f>DIST!A190</f>
        <v>0</v>
      </c>
      <c r="B190">
        <f>VLOOKUP(Raw_Data4[[#This Row],[PLAYER NAME]],DIST!$A:$E,2,FALSE)</f>
        <v>0</v>
      </c>
      <c r="C190">
        <f>VLOOKUP(Raw_Data4[[#This Row],[PLAYER NAME]],ACC!$A:$E,2,FALSE)</f>
        <v>0</v>
      </c>
      <c r="D190">
        <f>VLOOKUP(Raw_Data4[[#This Row],[PLAYER NAME]],APP!$A:$E,2,FALSE)</f>
        <v>0</v>
      </c>
      <c r="E190">
        <f>VLOOKUP(Raw_Data4[[#This Row],[PLAYER NAME]],ARG!$A:$E,2,FALSE)</f>
        <v>0</v>
      </c>
      <c r="F190">
        <f>VLOOKUP(Raw_Data4[[#This Row],[PLAYER NAME]],PUTT!$A:$E,2,FALSE)</f>
        <v>0</v>
      </c>
      <c r="G190">
        <f>VLOOKUP(Raw_Data4[[#This Row],[PLAYER NAME]],SG!$A:$E,3,FALSE)</f>
        <v>0</v>
      </c>
      <c r="I190" s="200" t="s">
        <v>231</v>
      </c>
      <c r="J190">
        <f>VLOOKUP(Table30[[#This Row],[PLAYER NAME]],Table23[],2,FALSE)</f>
        <v>75</v>
      </c>
      <c r="K190">
        <f>VLOOKUP(Table30[[#This Row],[PLAYER NAME]],Table23[],3,FALSE)</f>
        <v>147</v>
      </c>
      <c r="L190">
        <f>VLOOKUP(Table30[[#This Row],[PLAYER NAME]],Table23[],4,FALSE)</f>
        <v>192</v>
      </c>
      <c r="M190">
        <f>VLOOKUP(Table30[[#This Row],[PLAYER NAME]],Table23[],5,FALSE)</f>
        <v>45</v>
      </c>
      <c r="N190">
        <f>VLOOKUP(Table30[[#This Row],[PLAYER NAME]],Table23[],6,FALSE)</f>
        <v>19</v>
      </c>
      <c r="O190">
        <f>VLOOKUP(Table30[[#This Row],[PLAYER NAME]],Table23[],7,FALSE)</f>
        <v>128</v>
      </c>
      <c r="P190" s="439">
        <f>VLOOKUP(Table30[[#This Row],[PLAYER NAME]],Table23[],8,FALSE)</f>
        <v>302.89999999999998</v>
      </c>
      <c r="Q190" s="440">
        <f>VLOOKUP(Table30[[#This Row],[PLAYER NAME]],Table23[],9,FALSE)</f>
        <v>447.09365475611315</v>
      </c>
      <c r="R190" s="226">
        <f>(($Z$9-(X190/40)*($Z$9))*VLOOKUP($I190,'2023'!$A$2:$I$278,8,FALSE))+((1-(($Z$9-(X190/40)*($Z$9))))*P190)</f>
        <v>302.89999999999998</v>
      </c>
      <c r="S190" s="14">
        <f>(($Z$9-(X190/40)*($Z$9))*VLOOKUP($I190,'2023'!$A$2:$I$278,9,FALSE))+((1-(($Z$9-(X190/40)*($Z$9))))*Q190)</f>
        <v>447.09365475611315</v>
      </c>
      <c r="X190" s="16">
        <v>0</v>
      </c>
      <c r="Z190" s="312"/>
    </row>
    <row r="191" spans="1:26">
      <c r="A191">
        <f>DIST!A191</f>
        <v>0</v>
      </c>
      <c r="B191">
        <f>VLOOKUP(Raw_Data4[[#This Row],[PLAYER NAME]],DIST!$A:$E,2,FALSE)</f>
        <v>0</v>
      </c>
      <c r="C191">
        <f>VLOOKUP(Raw_Data4[[#This Row],[PLAYER NAME]],ACC!$A:$E,2,FALSE)</f>
        <v>0</v>
      </c>
      <c r="D191">
        <f>VLOOKUP(Raw_Data4[[#This Row],[PLAYER NAME]],APP!$A:$E,2,FALSE)</f>
        <v>0</v>
      </c>
      <c r="E191">
        <f>VLOOKUP(Raw_Data4[[#This Row],[PLAYER NAME]],ARG!$A:$E,2,FALSE)</f>
        <v>0</v>
      </c>
      <c r="F191">
        <f>VLOOKUP(Raw_Data4[[#This Row],[PLAYER NAME]],PUTT!$A:$E,2,FALSE)</f>
        <v>0</v>
      </c>
      <c r="G191">
        <f>VLOOKUP(Raw_Data4[[#This Row],[PLAYER NAME]],SG!$A:$E,3,FALSE)</f>
        <v>0</v>
      </c>
      <c r="I191" s="200" t="s">
        <v>861</v>
      </c>
      <c r="J191">
        <f>VLOOKUP(Table30[[#This Row],[PLAYER NAME]],Table23[],2,FALSE)</f>
        <v>186</v>
      </c>
      <c r="K191">
        <f>VLOOKUP(Table30[[#This Row],[PLAYER NAME]],Table23[],3,FALSE)</f>
        <v>106</v>
      </c>
      <c r="L191">
        <f>VLOOKUP(Table30[[#This Row],[PLAYER NAME]],Table23[],4,FALSE)</f>
        <v>167</v>
      </c>
      <c r="M191">
        <f>VLOOKUP(Table30[[#This Row],[PLAYER NAME]],Table23[],5,FALSE)</f>
        <v>192</v>
      </c>
      <c r="N191">
        <f>VLOOKUP(Table30[[#This Row],[PLAYER NAME]],Table23[],6,FALSE)</f>
        <v>90</v>
      </c>
      <c r="O191">
        <f>VLOOKUP(Table30[[#This Row],[PLAYER NAME]],Table23[],7,FALSE)</f>
        <v>194</v>
      </c>
      <c r="P191" s="439">
        <f>VLOOKUP(Table30[[#This Row],[PLAYER NAME]],Table23[],8,FALSE)</f>
        <v>459.1</v>
      </c>
      <c r="Q191" s="440">
        <f>VLOOKUP(Table30[[#This Row],[PLAYER NAME]],Table23[],9,FALSE)</f>
        <v>666.63897560530677</v>
      </c>
      <c r="R191" s="226">
        <f>(($Z$9-(X191/40)*($Z$9))*VLOOKUP($I191,'2023'!$A$2:$I$278,8,FALSE))+((1-(($Z$9-(X191/40)*($Z$9))))*P191)</f>
        <v>459.1</v>
      </c>
      <c r="S191" s="14">
        <f>(($Z$9-(X191/40)*($Z$9))*VLOOKUP($I191,'2023'!$A$2:$I$278,9,FALSE))+((1-(($Z$9-(X191/40)*($Z$9))))*Q191)</f>
        <v>666.63897560530677</v>
      </c>
      <c r="X191" s="16">
        <f>VLOOKUP(I191,FEDEX!$A$2:$H$270,4,FALSE)</f>
        <v>1</v>
      </c>
      <c r="Z191" s="312"/>
    </row>
    <row r="192" spans="1:26">
      <c r="A192">
        <f>DIST!A192</f>
        <v>0</v>
      </c>
      <c r="B192">
        <f>VLOOKUP(Raw_Data4[[#This Row],[PLAYER NAME]],DIST!$A:$E,2,FALSE)</f>
        <v>0</v>
      </c>
      <c r="C192">
        <f>VLOOKUP(Raw_Data4[[#This Row],[PLAYER NAME]],ACC!$A:$E,2,FALSE)</f>
        <v>0</v>
      </c>
      <c r="D192">
        <f>VLOOKUP(Raw_Data4[[#This Row],[PLAYER NAME]],APP!$A:$E,2,FALSE)</f>
        <v>0</v>
      </c>
      <c r="E192">
        <f>VLOOKUP(Raw_Data4[[#This Row],[PLAYER NAME]],ARG!$A:$E,2,FALSE)</f>
        <v>0</v>
      </c>
      <c r="F192">
        <f>VLOOKUP(Raw_Data4[[#This Row],[PLAYER NAME]],PUTT!$A:$E,2,FALSE)</f>
        <v>0</v>
      </c>
      <c r="G192">
        <f>VLOOKUP(Raw_Data4[[#This Row],[PLAYER NAME]],SG!$A:$E,3,FALSE)</f>
        <v>0</v>
      </c>
      <c r="I192" s="200" t="s">
        <v>880</v>
      </c>
      <c r="J192">
        <f>VLOOKUP(Table30[[#This Row],[PLAYER NAME]],Table23[],2,FALSE)</f>
        <v>124</v>
      </c>
      <c r="K192">
        <f>VLOOKUP(Table30[[#This Row],[PLAYER NAME]],Table23[],3,FALSE)</f>
        <v>174</v>
      </c>
      <c r="L192">
        <f>VLOOKUP(Table30[[#This Row],[PLAYER NAME]],Table23[],4,FALSE)</f>
        <v>186</v>
      </c>
      <c r="M192">
        <f>VLOOKUP(Table30[[#This Row],[PLAYER NAME]],Table23[],5,FALSE)</f>
        <v>155</v>
      </c>
      <c r="N192">
        <f>VLOOKUP(Table30[[#This Row],[PLAYER NAME]],Table23[],6,FALSE)</f>
        <v>53</v>
      </c>
      <c r="O192">
        <f>VLOOKUP(Table30[[#This Row],[PLAYER NAME]],Table23[],7,FALSE)</f>
        <v>181</v>
      </c>
      <c r="P192" s="439">
        <f>VLOOKUP(Table30[[#This Row],[PLAYER NAME]],Table23[],8,FALSE)</f>
        <v>417.3</v>
      </c>
      <c r="Q192" s="440">
        <f>VLOOKUP(Table30[[#This Row],[PLAYER NAME]],Table23[],9,FALSE)</f>
        <v>623.23899708870772</v>
      </c>
      <c r="R192" s="226">
        <f>(($Z$9-(X192/40)*($Z$9))*VLOOKUP($I192,'2023'!$A$2:$I$278,8,FALSE))+((1-(($Z$9-(X192/40)*($Z$9))))*P192)</f>
        <v>417.30000000000007</v>
      </c>
      <c r="S192" s="14">
        <f>(($Z$9-(X192/40)*($Z$9))*VLOOKUP($I192,'2023'!$A$2:$I$278,9,FALSE))+((1-(($Z$9-(X192/40)*($Z$9))))*Q192)</f>
        <v>623.23899708870772</v>
      </c>
      <c r="X192" s="16">
        <f>VLOOKUP(I192,FEDEX!$A$2:$H$270,4,FALSE)</f>
        <v>1</v>
      </c>
      <c r="Z192" s="312"/>
    </row>
    <row r="193" spans="1:26">
      <c r="A193">
        <f>DIST!A193</f>
        <v>0</v>
      </c>
      <c r="B193">
        <f>VLOOKUP(Raw_Data4[[#This Row],[PLAYER NAME]],DIST!$A:$E,2,FALSE)</f>
        <v>0</v>
      </c>
      <c r="C193">
        <f>VLOOKUP(Raw_Data4[[#This Row],[PLAYER NAME]],ACC!$A:$E,2,FALSE)</f>
        <v>0</v>
      </c>
      <c r="D193">
        <f>VLOOKUP(Raw_Data4[[#This Row],[PLAYER NAME]],APP!$A:$E,2,FALSE)</f>
        <v>0</v>
      </c>
      <c r="E193">
        <f>VLOOKUP(Raw_Data4[[#This Row],[PLAYER NAME]],ARG!$A:$E,2,FALSE)</f>
        <v>0</v>
      </c>
      <c r="F193">
        <f>VLOOKUP(Raw_Data4[[#This Row],[PLAYER NAME]],PUTT!$A:$E,2,FALSE)</f>
        <v>0</v>
      </c>
      <c r="G193">
        <f>VLOOKUP(Raw_Data4[[#This Row],[PLAYER NAME]],SG!$A:$E,3,FALSE)</f>
        <v>0</v>
      </c>
      <c r="I193" s="200" t="s">
        <v>219</v>
      </c>
      <c r="J193">
        <f>VLOOKUP(Table30[[#This Row],[PLAYER NAME]],Table23[],2,FALSE)</f>
        <v>183</v>
      </c>
      <c r="K193">
        <f>VLOOKUP(Table30[[#This Row],[PLAYER NAME]],Table23[],3,FALSE)</f>
        <v>91</v>
      </c>
      <c r="L193">
        <f>VLOOKUP(Table30[[#This Row],[PLAYER NAME]],Table23[],4,FALSE)</f>
        <v>194</v>
      </c>
      <c r="M193">
        <f>VLOOKUP(Table30[[#This Row],[PLAYER NAME]],Table23[],5,FALSE)</f>
        <v>141</v>
      </c>
      <c r="N193">
        <f>VLOOKUP(Table30[[#This Row],[PLAYER NAME]],Table23[],6,FALSE)</f>
        <v>183</v>
      </c>
      <c r="O193">
        <f>VLOOKUP(Table30[[#This Row],[PLAYER NAME]],Table23[],7,FALSE)</f>
        <v>192</v>
      </c>
      <c r="P193" s="439">
        <f>VLOOKUP(Table30[[#This Row],[PLAYER NAME]],Table23[],8,FALSE)</f>
        <v>493.9</v>
      </c>
      <c r="Q193" s="440">
        <f>VLOOKUP(Table30[[#This Row],[PLAYER NAME]],Table23[],9,FALSE)</f>
        <v>695.72482329162608</v>
      </c>
      <c r="R193" s="226">
        <f>(($Z$9-(X193/40)*($Z$9))*VLOOKUP($I193,'2023'!$A$2:$I$278,8,FALSE))+((1-(($Z$9-(X193/40)*($Z$9))))*P193)</f>
        <v>493.9</v>
      </c>
      <c r="S193" s="14">
        <f>(($Z$9-(X193/40)*($Z$9))*VLOOKUP($I193,'2023'!$A$2:$I$278,9,FALSE))+((1-(($Z$9-(X193/40)*($Z$9))))*Q193)</f>
        <v>695.72482329162608</v>
      </c>
      <c r="X193" s="16">
        <v>0</v>
      </c>
      <c r="Z193" s="312"/>
    </row>
    <row r="194" spans="1:26">
      <c r="A194">
        <f>DIST!A194</f>
        <v>0</v>
      </c>
      <c r="B194">
        <f>VLOOKUP(Raw_Data4[[#This Row],[PLAYER NAME]],DIST!$A:$E,2,FALSE)</f>
        <v>0</v>
      </c>
      <c r="C194">
        <f>VLOOKUP(Raw_Data4[[#This Row],[PLAYER NAME]],ACC!$A:$E,2,FALSE)</f>
        <v>0</v>
      </c>
      <c r="D194">
        <f>VLOOKUP(Raw_Data4[[#This Row],[PLAYER NAME]],APP!$A:$E,2,FALSE)</f>
        <v>0</v>
      </c>
      <c r="E194">
        <f>VLOOKUP(Raw_Data4[[#This Row],[PLAYER NAME]],ARG!$A:$E,2,FALSE)</f>
        <v>0</v>
      </c>
      <c r="F194">
        <f>VLOOKUP(Raw_Data4[[#This Row],[PLAYER NAME]],PUTT!$A:$E,2,FALSE)</f>
        <v>0</v>
      </c>
      <c r="G194">
        <f>VLOOKUP(Raw_Data4[[#This Row],[PLAYER NAME]],SG!$A:$E,3,FALSE)</f>
        <v>0</v>
      </c>
      <c r="I194" s="200" t="s">
        <v>221</v>
      </c>
      <c r="J194">
        <f>VLOOKUP(Table30[[#This Row],[PLAYER NAME]],Table23[],2,FALSE)</f>
        <v>183</v>
      </c>
      <c r="K194">
        <f>VLOOKUP(Table30[[#This Row],[PLAYER NAME]],Table23[],3,FALSE)</f>
        <v>72</v>
      </c>
      <c r="L194">
        <f>VLOOKUP(Table30[[#This Row],[PLAYER NAME]],Table23[],4,FALSE)</f>
        <v>161</v>
      </c>
      <c r="M194">
        <f>VLOOKUP(Table30[[#This Row],[PLAYER NAME]],Table23[],5,FALSE)</f>
        <v>180</v>
      </c>
      <c r="N194">
        <f>VLOOKUP(Table30[[#This Row],[PLAYER NAME]],Table23[],6,FALSE)</f>
        <v>194</v>
      </c>
      <c r="O194">
        <f>VLOOKUP(Table30[[#This Row],[PLAYER NAME]],Table23[],7,FALSE)</f>
        <v>194</v>
      </c>
      <c r="P194" s="439">
        <f>VLOOKUP(Table30[[#This Row],[PLAYER NAME]],Table23[],8,FALSE)</f>
        <v>482.4</v>
      </c>
      <c r="Q194" s="440">
        <f>VLOOKUP(Table30[[#This Row],[PLAYER NAME]],Table23[],9,FALSE)</f>
        <v>689.70090123417003</v>
      </c>
      <c r="R194" s="226">
        <f>(($Z$9-(X194/40)*($Z$9))*VLOOKUP($I194,'2023'!$A$2:$I$278,8,FALSE))+((1-(($Z$9-(X194/40)*($Z$9))))*P194)</f>
        <v>482.4</v>
      </c>
      <c r="S194" s="14">
        <f>(($Z$9-(X194/40)*($Z$9))*VLOOKUP($I194,'2023'!$A$2:$I$278,9,FALSE))+((1-(($Z$9-(X194/40)*($Z$9))))*Q194)</f>
        <v>689.70090123417003</v>
      </c>
      <c r="X194" s="16">
        <f>VLOOKUP(I194,FEDEX!$A$2:$H$270,4,FALSE)</f>
        <v>1</v>
      </c>
      <c r="Z194" s="312"/>
    </row>
    <row r="195" spans="1:26">
      <c r="A195">
        <f>DIST!A195</f>
        <v>0</v>
      </c>
      <c r="B195">
        <f>VLOOKUP(Raw_Data4[[#This Row],[PLAYER NAME]],DIST!$A:$E,2,FALSE)</f>
        <v>0</v>
      </c>
      <c r="C195">
        <f>VLOOKUP(Raw_Data4[[#This Row],[PLAYER NAME]],ACC!$A:$E,2,FALSE)</f>
        <v>0</v>
      </c>
      <c r="D195">
        <f>VLOOKUP(Raw_Data4[[#This Row],[PLAYER NAME]],APP!$A:$E,2,FALSE)</f>
        <v>0</v>
      </c>
      <c r="E195">
        <f>VLOOKUP(Raw_Data4[[#This Row],[PLAYER NAME]],ARG!$A:$E,2,FALSE)</f>
        <v>0</v>
      </c>
      <c r="F195">
        <f>VLOOKUP(Raw_Data4[[#This Row],[PLAYER NAME]],PUTT!$A:$E,2,FALSE)</f>
        <v>0</v>
      </c>
      <c r="G195">
        <f>VLOOKUP(Raw_Data4[[#This Row],[PLAYER NAME]],SG!$A:$E,3,FALSE)</f>
        <v>0</v>
      </c>
      <c r="I195" s="200" t="s">
        <v>157</v>
      </c>
      <c r="J195">
        <f>VLOOKUP(Table30[[#This Row],[PLAYER NAME]],Table23[],2,FALSE)</f>
        <v>165</v>
      </c>
      <c r="K195">
        <f>VLOOKUP(Table30[[#This Row],[PLAYER NAME]],Table23[],3,FALSE)</f>
        <v>63</v>
      </c>
      <c r="L195">
        <f>VLOOKUP(Table30[[#This Row],[PLAYER NAME]],Table23[],4,FALSE)</f>
        <v>106</v>
      </c>
      <c r="M195">
        <f>VLOOKUP(Table30[[#This Row],[PLAYER NAME]],Table23[],5,FALSE)</f>
        <v>98</v>
      </c>
      <c r="N195">
        <f>VLOOKUP(Table30[[#This Row],[PLAYER NAME]],Table23[],6,FALSE)</f>
        <v>155</v>
      </c>
      <c r="O195">
        <f>VLOOKUP(Table30[[#This Row],[PLAYER NAME]],Table23[],7,FALSE)</f>
        <v>157</v>
      </c>
      <c r="P195" s="439">
        <f>VLOOKUP(Table30[[#This Row],[PLAYER NAME]],Table23[],8,FALSE)</f>
        <v>370.9</v>
      </c>
      <c r="Q195" s="440">
        <f>VLOOKUP(Table30[[#This Row],[PLAYER NAME]],Table23[],9,FALSE)</f>
        <v>520.80895625466906</v>
      </c>
      <c r="R195" s="226">
        <f>(($Z$9-(X195/40)*($Z$9))*VLOOKUP($I195,'2023'!$A$2:$I$278,8,FALSE))+((1-(($Z$9-(X195/40)*($Z$9))))*P195)</f>
        <v>370.9</v>
      </c>
      <c r="S195" s="14">
        <f>(($Z$9-(X195/40)*($Z$9))*VLOOKUP($I195,'2023'!$A$2:$I$278,9,FALSE))+((1-(($Z$9-(X195/40)*($Z$9))))*Q195)</f>
        <v>520.80895625466906</v>
      </c>
      <c r="X195" s="16">
        <f>VLOOKUP(I195,FEDEX!$A$2:$H$270,4,FALSE)</f>
        <v>3</v>
      </c>
      <c r="Z195" s="312"/>
    </row>
    <row r="196" spans="1:26">
      <c r="A196">
        <f>DIST!A196</f>
        <v>0</v>
      </c>
      <c r="B196">
        <f>VLOOKUP(Raw_Data4[[#This Row],[PLAYER NAME]],DIST!$A:$E,2,FALSE)</f>
        <v>0</v>
      </c>
      <c r="C196">
        <f>VLOOKUP(Raw_Data4[[#This Row],[PLAYER NAME]],ACC!$A:$E,2,FALSE)</f>
        <v>0</v>
      </c>
      <c r="D196">
        <f>VLOOKUP(Raw_Data4[[#This Row],[PLAYER NAME]],APP!$A:$E,2,FALSE)</f>
        <v>0</v>
      </c>
      <c r="E196">
        <f>VLOOKUP(Raw_Data4[[#This Row],[PLAYER NAME]],ARG!$A:$E,2,FALSE)</f>
        <v>0</v>
      </c>
      <c r="F196">
        <f>VLOOKUP(Raw_Data4[[#This Row],[PLAYER NAME]],PUTT!$A:$E,2,FALSE)</f>
        <v>0</v>
      </c>
      <c r="G196">
        <f>VLOOKUP(Raw_Data4[[#This Row],[PLAYER NAME]],SG!$A:$E,3,FALSE)</f>
        <v>0</v>
      </c>
      <c r="I196" s="200" t="s">
        <v>99</v>
      </c>
      <c r="J196">
        <f>VLOOKUP(Table30[[#This Row],[PLAYER NAME]],Table23[],2,FALSE)</f>
        <v>94</v>
      </c>
      <c r="K196">
        <f>VLOOKUP(Table30[[#This Row],[PLAYER NAME]],Table23[],3,FALSE)</f>
        <v>56</v>
      </c>
      <c r="L196">
        <f>VLOOKUP(Table30[[#This Row],[PLAYER NAME]],Table23[],4,FALSE)</f>
        <v>124</v>
      </c>
      <c r="M196">
        <f>VLOOKUP(Table30[[#This Row],[PLAYER NAME]],Table23[],5,FALSE)</f>
        <v>170</v>
      </c>
      <c r="N196">
        <f>VLOOKUP(Table30[[#This Row],[PLAYER NAME]],Table23[],6,FALSE)</f>
        <v>98</v>
      </c>
      <c r="O196">
        <f>VLOOKUP(Table30[[#This Row],[PLAYER NAME]],Table23[],7,FALSE)</f>
        <v>147</v>
      </c>
      <c r="P196" s="439">
        <f>VLOOKUP(Table30[[#This Row],[PLAYER NAME]],Table23[],8,FALSE)</f>
        <v>316.39999999999998</v>
      </c>
      <c r="Q196" s="440">
        <f>VLOOKUP(Table30[[#This Row],[PLAYER NAME]],Table23[],9,FALSE)</f>
        <v>491.84439732345311</v>
      </c>
      <c r="R196" s="226">
        <f>(($Z$9-(X196/40)*($Z$9))*VLOOKUP($I196,'2023'!$A$2:$I$278,8,FALSE))+((1-(($Z$9-(X196/40)*($Z$9))))*P196)</f>
        <v>316.39999999999998</v>
      </c>
      <c r="S196" s="14">
        <f>(($Z$9-(X196/40)*($Z$9))*VLOOKUP($I196,'2023'!$A$2:$I$278,9,FALSE))+((1-(($Z$9-(X196/40)*($Z$9))))*Q196)</f>
        <v>491.84439732345311</v>
      </c>
      <c r="X196" s="16">
        <f>VLOOKUP(I196,FEDEX!$A$2:$H$270,4,FALSE)</f>
        <v>2</v>
      </c>
      <c r="Z196" s="312"/>
    </row>
    <row r="197" spans="1:26">
      <c r="A197">
        <f>DIST!A197</f>
        <v>0</v>
      </c>
      <c r="B197">
        <f>VLOOKUP(Raw_Data4[[#This Row],[PLAYER NAME]],DIST!$A:$E,2,FALSE)</f>
        <v>0</v>
      </c>
      <c r="C197">
        <f>VLOOKUP(Raw_Data4[[#This Row],[PLAYER NAME]],ACC!$A:$E,2,FALSE)</f>
        <v>0</v>
      </c>
      <c r="D197">
        <f>VLOOKUP(Raw_Data4[[#This Row],[PLAYER NAME]],APP!$A:$E,2,FALSE)</f>
        <v>0</v>
      </c>
      <c r="E197">
        <f>VLOOKUP(Raw_Data4[[#This Row],[PLAYER NAME]],ARG!$A:$E,2,FALSE)</f>
        <v>0</v>
      </c>
      <c r="F197">
        <f>VLOOKUP(Raw_Data4[[#This Row],[PLAYER NAME]],PUTT!$A:$E,2,FALSE)</f>
        <v>0</v>
      </c>
      <c r="G197">
        <f>VLOOKUP(Raw_Data4[[#This Row],[PLAYER NAME]],SG!$A:$E,3,FALSE)</f>
        <v>0</v>
      </c>
      <c r="I197" s="200" t="s">
        <v>180</v>
      </c>
      <c r="J197">
        <f>VLOOKUP(Table30[[#This Row],[PLAYER NAME]],Table23[],2,FALSE)</f>
        <v>180</v>
      </c>
      <c r="K197">
        <f>VLOOKUP(Table30[[#This Row],[PLAYER NAME]],Table23[],3,FALSE)</f>
        <v>17</v>
      </c>
      <c r="L197">
        <f>VLOOKUP(Table30[[#This Row],[PLAYER NAME]],Table23[],4,FALSE)</f>
        <v>156</v>
      </c>
      <c r="M197">
        <f>VLOOKUP(Table30[[#This Row],[PLAYER NAME]],Table23[],5,FALSE)</f>
        <v>171</v>
      </c>
      <c r="N197">
        <f>VLOOKUP(Table30[[#This Row],[PLAYER NAME]],Table23[],6,FALSE)</f>
        <v>46</v>
      </c>
      <c r="O197">
        <f>VLOOKUP(Table30[[#This Row],[PLAYER NAME]],Table23[],7,FALSE)</f>
        <v>158</v>
      </c>
      <c r="P197" s="439">
        <f>VLOOKUP(Table30[[#This Row],[PLAYER NAME]],Table23[],8,FALSE)</f>
        <v>371.1</v>
      </c>
      <c r="Q197" s="440">
        <f>VLOOKUP(Table30[[#This Row],[PLAYER NAME]],Table23[],9,FALSE)</f>
        <v>537.57997755294286</v>
      </c>
      <c r="R197" s="226">
        <f>(($Z$9-(X197/40)*($Z$9))*VLOOKUP($I197,'2023'!$A$2:$I$278,8,FALSE))+((1-(($Z$9-(X197/40)*($Z$9))))*P197)</f>
        <v>371.1</v>
      </c>
      <c r="S197" s="14">
        <f>(($Z$9-(X197/40)*($Z$9))*VLOOKUP($I197,'2023'!$A$2:$I$278,9,FALSE))+((1-(($Z$9-(X197/40)*($Z$9))))*Q197)</f>
        <v>537.57997755294286</v>
      </c>
      <c r="X197" s="16">
        <v>0</v>
      </c>
      <c r="Z197" s="312"/>
    </row>
    <row r="198" spans="1:26">
      <c r="A198">
        <f>DIST!A198</f>
        <v>0</v>
      </c>
      <c r="B198">
        <f>VLOOKUP(Raw_Data4[[#This Row],[PLAYER NAME]],DIST!$A:$E,2,FALSE)</f>
        <v>0</v>
      </c>
      <c r="C198">
        <f>VLOOKUP(Raw_Data4[[#This Row],[PLAYER NAME]],ACC!$A:$E,2,FALSE)</f>
        <v>0</v>
      </c>
      <c r="D198">
        <f>VLOOKUP(Raw_Data4[[#This Row],[PLAYER NAME]],APP!$A:$E,2,FALSE)</f>
        <v>0</v>
      </c>
      <c r="E198">
        <f>VLOOKUP(Raw_Data4[[#This Row],[PLAYER NAME]],ARG!$A:$E,2,FALSE)</f>
        <v>0</v>
      </c>
      <c r="F198">
        <f>VLOOKUP(Raw_Data4[[#This Row],[PLAYER NAME]],PUTT!$A:$E,2,FALSE)</f>
        <v>0</v>
      </c>
      <c r="G198">
        <f>VLOOKUP(Raw_Data4[[#This Row],[PLAYER NAME]],SG!$A:$E,3,FALSE)</f>
        <v>0</v>
      </c>
      <c r="I198" s="200" t="s">
        <v>167</v>
      </c>
      <c r="J198">
        <f>VLOOKUP(Table30[[#This Row],[PLAYER NAME]],Table23[],2,FALSE)</f>
        <v>168</v>
      </c>
      <c r="K198">
        <f>VLOOKUP(Table30[[#This Row],[PLAYER NAME]],Table23[],3,FALSE)</f>
        <v>14</v>
      </c>
      <c r="L198">
        <f>VLOOKUP(Table30[[#This Row],[PLAYER NAME]],Table23[],4,FALSE)</f>
        <v>178</v>
      </c>
      <c r="M198">
        <f>VLOOKUP(Table30[[#This Row],[PLAYER NAME]],Table23[],5,FALSE)</f>
        <v>39</v>
      </c>
      <c r="N198">
        <f>VLOOKUP(Table30[[#This Row],[PLAYER NAME]],Table23[],6,FALSE)</f>
        <v>43</v>
      </c>
      <c r="O198">
        <f>VLOOKUP(Table30[[#This Row],[PLAYER NAME]],Table23[],7,FALSE)</f>
        <v>117</v>
      </c>
      <c r="P198" s="439">
        <f>VLOOKUP(Table30[[#This Row],[PLAYER NAME]],Table23[],8,FALSE)</f>
        <v>319.90000000000003</v>
      </c>
      <c r="Q198" s="440">
        <f>VLOOKUP(Table30[[#This Row],[PLAYER NAME]],Table23[],9,FALSE)</f>
        <v>424.90441800976157</v>
      </c>
      <c r="R198" s="226">
        <f>(($Z$9-(X198/40)*($Z$9))*VLOOKUP($I198,'2023'!$A$2:$I$278,8,FALSE))+((1-(($Z$9-(X198/40)*($Z$9))))*P198)</f>
        <v>319.90000000000003</v>
      </c>
      <c r="S198" s="14">
        <f>(($Z$9-(X198/40)*($Z$9))*VLOOKUP($I198,'2023'!$A$2:$I$278,9,FALSE))+((1-(($Z$9-(X198/40)*($Z$9))))*Q198)</f>
        <v>424.90441800976157</v>
      </c>
      <c r="X198" s="16">
        <f>VLOOKUP(I198,FEDEX!$A$2:$H$270,4,FALSE)</f>
        <v>5</v>
      </c>
      <c r="Z198" s="312"/>
    </row>
    <row r="199" spans="1:26">
      <c r="A199">
        <f>DIST!A199</f>
        <v>0</v>
      </c>
      <c r="B199">
        <f>VLOOKUP(Raw_Data4[[#This Row],[PLAYER NAME]],DIST!$A:$E,2,FALSE)</f>
        <v>0</v>
      </c>
      <c r="C199">
        <f>VLOOKUP(Raw_Data4[[#This Row],[PLAYER NAME]],ACC!$A:$E,2,FALSE)</f>
        <v>0</v>
      </c>
      <c r="D199">
        <f>VLOOKUP(Raw_Data4[[#This Row],[PLAYER NAME]],APP!$A:$E,2,FALSE)</f>
        <v>0</v>
      </c>
      <c r="E199">
        <f>VLOOKUP(Raw_Data4[[#This Row],[PLAYER NAME]],ARG!$A:$E,2,FALSE)</f>
        <v>0</v>
      </c>
      <c r="F199">
        <f>VLOOKUP(Raw_Data4[[#This Row],[PLAYER NAME]],PUTT!$A:$E,2,FALSE)</f>
        <v>0</v>
      </c>
      <c r="G199">
        <f>VLOOKUP(Raw_Data4[[#This Row],[PLAYER NAME]],SG!$A:$E,3,FALSE)</f>
        <v>0</v>
      </c>
      <c r="I199" s="200" t="s">
        <v>178</v>
      </c>
      <c r="J199">
        <f>VLOOKUP(Table30[[#This Row],[PLAYER NAME]],Table23[],2,FALSE)</f>
        <v>181</v>
      </c>
      <c r="K199">
        <f>VLOOKUP(Table30[[#This Row],[PLAYER NAME]],Table23[],3,FALSE)</f>
        <v>3</v>
      </c>
      <c r="L199">
        <f>VLOOKUP(Table30[[#This Row],[PLAYER NAME]],Table23[],4,FALSE)</f>
        <v>82</v>
      </c>
      <c r="M199">
        <f>VLOOKUP(Table30[[#This Row],[PLAYER NAME]],Table23[],5,FALSE)</f>
        <v>51</v>
      </c>
      <c r="N199">
        <f>VLOOKUP(Table30[[#This Row],[PLAYER NAME]],Table23[],6,FALSE)</f>
        <v>171</v>
      </c>
      <c r="O199">
        <f>VLOOKUP(Table30[[#This Row],[PLAYER NAME]],Table23[],7,FALSE)</f>
        <v>137</v>
      </c>
      <c r="P199" s="439">
        <f>VLOOKUP(Table30[[#This Row],[PLAYER NAME]],Table23[],8,FALSE)</f>
        <v>327.70000000000005</v>
      </c>
      <c r="Q199" s="440">
        <f>VLOOKUP(Table30[[#This Row],[PLAYER NAME]],Table23[],9,FALSE)</f>
        <v>440.60956720892096</v>
      </c>
      <c r="R199" s="226">
        <f>(($Z$9-(X199/40)*($Z$9))*VLOOKUP($I199,'2023'!$A$2:$I$278,8,FALSE))+((1-(($Z$9-(X199/40)*($Z$9))))*P199)</f>
        <v>327.70000000000005</v>
      </c>
      <c r="S199" s="14">
        <f>(($Z$9-(X199/40)*($Z$9))*VLOOKUP($I199,'2023'!$A$2:$I$278,9,FALSE))+((1-(($Z$9-(X199/40)*($Z$9))))*Q199)</f>
        <v>440.60956720892096</v>
      </c>
      <c r="X199" s="16">
        <v>0</v>
      </c>
      <c r="Z199" s="312"/>
    </row>
    <row r="200" spans="1:26">
      <c r="A200">
        <f>DIST!A200</f>
        <v>0</v>
      </c>
      <c r="B200">
        <f>VLOOKUP(Raw_Data4[[#This Row],[PLAYER NAME]],DIST!$A:$E,2,FALSE)</f>
        <v>0</v>
      </c>
      <c r="C200">
        <f>VLOOKUP(Raw_Data4[[#This Row],[PLAYER NAME]],ACC!$A:$E,2,FALSE)</f>
        <v>0</v>
      </c>
      <c r="D200">
        <f>VLOOKUP(Raw_Data4[[#This Row],[PLAYER NAME]],APP!$A:$E,2,FALSE)</f>
        <v>0</v>
      </c>
      <c r="E200">
        <f>VLOOKUP(Raw_Data4[[#This Row],[PLAYER NAME]],ARG!$A:$E,2,FALSE)</f>
        <v>0</v>
      </c>
      <c r="F200">
        <f>VLOOKUP(Raw_Data4[[#This Row],[PLAYER NAME]],PUTT!$A:$E,2,FALSE)</f>
        <v>0</v>
      </c>
      <c r="G200">
        <f>VLOOKUP(Raw_Data4[[#This Row],[PLAYER NAME]],SG!$A:$E,3,FALSE)</f>
        <v>0</v>
      </c>
      <c r="I200" s="200" t="s">
        <v>31</v>
      </c>
      <c r="J200">
        <f>VLOOKUP(Table30[[#This Row],[PLAYER NAME]],Table23[],2,FALSE)</f>
        <v>29</v>
      </c>
      <c r="K200">
        <f>VLOOKUP(Table30[[#This Row],[PLAYER NAME]],Table23[],3,FALSE)</f>
        <v>116</v>
      </c>
      <c r="L200">
        <f>VLOOKUP(Table30[[#This Row],[PLAYER NAME]],Table23[],4,FALSE)</f>
        <v>170</v>
      </c>
      <c r="M200">
        <f>VLOOKUP(Table30[[#This Row],[PLAYER NAME]],Table23[],5,FALSE)</f>
        <v>159</v>
      </c>
      <c r="N200">
        <f>VLOOKUP(Table30[[#This Row],[PLAYER NAME]],Table23[],6,FALSE)</f>
        <v>148</v>
      </c>
      <c r="O200">
        <f>VLOOKUP(Table30[[#This Row],[PLAYER NAME]],Table23[],7,FALSE)</f>
        <v>132</v>
      </c>
      <c r="P200" s="439">
        <f>VLOOKUP(Table30[[#This Row],[PLAYER NAME]],Table23[],8,FALSE)</f>
        <v>340.7</v>
      </c>
      <c r="Q200" s="440">
        <f>VLOOKUP(Table30[[#This Row],[PLAYER NAME]],Table23[],9,FALSE)</f>
        <v>524.36086930377076</v>
      </c>
      <c r="R200" s="226">
        <f>(($Z$9-(X200/40)*($Z$9))*VLOOKUP($I200,'2023'!$A$2:$I$278,8,FALSE))+((1-(($Z$9-(X200/40)*($Z$9))))*P200)</f>
        <v>340.7</v>
      </c>
      <c r="S200" s="14">
        <f>(($Z$9-(X200/40)*($Z$9))*VLOOKUP($I200,'2023'!$A$2:$I$278,9,FALSE))+((1-(($Z$9-(X200/40)*($Z$9))))*Q200)</f>
        <v>524.36086930377076</v>
      </c>
      <c r="X200" s="16">
        <f>VLOOKUP(I200,FEDEX!$A$2:$H$270,4,FALSE)</f>
        <v>2</v>
      </c>
      <c r="Z200" s="312"/>
    </row>
    <row r="201" spans="1:26">
      <c r="A201">
        <f>DIST!A201</f>
        <v>0</v>
      </c>
      <c r="B201">
        <f>VLOOKUP(Raw_Data4[[#This Row],[PLAYER NAME]],DIST!$A:$E,2,FALSE)</f>
        <v>0</v>
      </c>
      <c r="C201">
        <f>VLOOKUP(Raw_Data4[[#This Row],[PLAYER NAME]],ACC!$A:$E,2,FALSE)</f>
        <v>0</v>
      </c>
      <c r="D201">
        <f>VLOOKUP(Raw_Data4[[#This Row],[PLAYER NAME]],APP!$A:$E,2,FALSE)</f>
        <v>0</v>
      </c>
      <c r="E201">
        <f>VLOOKUP(Raw_Data4[[#This Row],[PLAYER NAME]],ARG!$A:$E,2,FALSE)</f>
        <v>0</v>
      </c>
      <c r="F201">
        <f>VLOOKUP(Raw_Data4[[#This Row],[PLAYER NAME]],PUTT!$A:$E,2,FALSE)</f>
        <v>0</v>
      </c>
      <c r="G201">
        <f>VLOOKUP(Raw_Data4[[#This Row],[PLAYER NAME]],SG!$A:$E,3,FALSE)</f>
        <v>0</v>
      </c>
      <c r="I201" s="200" t="s">
        <v>175</v>
      </c>
      <c r="J201">
        <f>VLOOKUP(Table30[[#This Row],[PLAYER NAME]],Table23[],2,FALSE)</f>
        <v>177</v>
      </c>
      <c r="K201">
        <f>VLOOKUP(Table30[[#This Row],[PLAYER NAME]],Table23[],3,FALSE)</f>
        <v>32</v>
      </c>
      <c r="L201">
        <f>VLOOKUP(Table30[[#This Row],[PLAYER NAME]],Table23[],4,FALSE)</f>
        <v>137</v>
      </c>
      <c r="M201">
        <f>VLOOKUP(Table30[[#This Row],[PLAYER NAME]],Table23[],5,FALSE)</f>
        <v>71</v>
      </c>
      <c r="N201">
        <f>VLOOKUP(Table30[[#This Row],[PLAYER NAME]],Table23[],6,FALSE)</f>
        <v>69</v>
      </c>
      <c r="O201">
        <f>VLOOKUP(Table30[[#This Row],[PLAYER NAME]],Table23[],7,FALSE)</f>
        <v>105</v>
      </c>
      <c r="P201" s="439">
        <f>VLOOKUP(Table30[[#This Row],[PLAYER NAME]],Table23[],8,FALSE)</f>
        <v>334.09999999999997</v>
      </c>
      <c r="Q201" s="440">
        <f>VLOOKUP(Table30[[#This Row],[PLAYER NAME]],Table23[],9,FALSE)</f>
        <v>425.83211422444185</v>
      </c>
      <c r="R201" s="226">
        <f>(($Z$9-(X201/40)*($Z$9))*VLOOKUP($I201,'2023'!$A$2:$I$278,8,FALSE))+((1-(($Z$9-(X201/40)*($Z$9))))*P201)</f>
        <v>334.09999999999997</v>
      </c>
      <c r="S201" s="14">
        <f>(($Z$9-(X201/40)*($Z$9))*VLOOKUP($I201,'2023'!$A$2:$I$278,9,FALSE))+((1-(($Z$9-(X201/40)*($Z$9))))*Q201)</f>
        <v>425.83211422444185</v>
      </c>
      <c r="X201" s="16">
        <f>VLOOKUP(I201,FEDEX!$A$2:$H$270,4,FALSE)</f>
        <v>3</v>
      </c>
      <c r="Z201" s="312"/>
    </row>
    <row r="202" spans="1:26">
      <c r="A202">
        <f>DIST!A202</f>
        <v>0</v>
      </c>
      <c r="B202">
        <f>VLOOKUP(Raw_Data4[[#This Row],[PLAYER NAME]],DIST!$A:$E,2,FALSE)</f>
        <v>0</v>
      </c>
      <c r="C202">
        <f>VLOOKUP(Raw_Data4[[#This Row],[PLAYER NAME]],ACC!$A:$E,2,FALSE)</f>
        <v>0</v>
      </c>
      <c r="D202">
        <f>VLOOKUP(Raw_Data4[[#This Row],[PLAYER NAME]],APP!$A:$E,2,FALSE)</f>
        <v>0</v>
      </c>
      <c r="E202">
        <f>VLOOKUP(Raw_Data4[[#This Row],[PLAYER NAME]],ARG!$A:$E,2,FALSE)</f>
        <v>0</v>
      </c>
      <c r="F202">
        <f>VLOOKUP(Raw_Data4[[#This Row],[PLAYER NAME]],PUTT!$A:$E,2,FALSE)</f>
        <v>0</v>
      </c>
      <c r="G202">
        <f>VLOOKUP(Raw_Data4[[#This Row],[PLAYER NAME]],SG!$A:$E,3,FALSE)</f>
        <v>0</v>
      </c>
      <c r="I202" s="200" t="s">
        <v>41</v>
      </c>
      <c r="J202">
        <f>VLOOKUP(Table30[[#This Row],[PLAYER NAME]],Table23[],2,FALSE)</f>
        <v>39</v>
      </c>
      <c r="K202">
        <f>VLOOKUP(Table30[[#This Row],[PLAYER NAME]],Table23[],3,FALSE)</f>
        <v>176</v>
      </c>
      <c r="L202">
        <f>VLOOKUP(Table30[[#This Row],[PLAYER NAME]],Table23[],4,FALSE)</f>
        <v>140</v>
      </c>
      <c r="M202">
        <f>VLOOKUP(Table30[[#This Row],[PLAYER NAME]],Table23[],5,FALSE)</f>
        <v>151</v>
      </c>
      <c r="N202">
        <f>VLOOKUP(Table30[[#This Row],[PLAYER NAME]],Table23[],6,FALSE)</f>
        <v>95</v>
      </c>
      <c r="O202">
        <f>VLOOKUP(Table30[[#This Row],[PLAYER NAME]],Table23[],7,FALSE)</f>
        <v>135</v>
      </c>
      <c r="P202" s="439">
        <f>VLOOKUP(Table30[[#This Row],[PLAYER NAME]],Table23[],8,FALSE)</f>
        <v>329</v>
      </c>
      <c r="Q202" s="440">
        <f>VLOOKUP(Table30[[#This Row],[PLAYER NAME]],Table23[],9,FALSE)</f>
        <v>505.8368832725817</v>
      </c>
      <c r="R202" s="226">
        <f>(($Z$9-(X202/40)*($Z$9))*VLOOKUP($I202,'2023'!$A$2:$I$278,8,FALSE))+((1-(($Z$9-(X202/40)*($Z$9))))*P202)</f>
        <v>329</v>
      </c>
      <c r="S202" s="14">
        <f>(($Z$9-(X202/40)*($Z$9))*VLOOKUP($I202,'2023'!$A$2:$I$278,9,FALSE))+((1-(($Z$9-(X202/40)*($Z$9))))*Q202)</f>
        <v>505.8368832725817</v>
      </c>
      <c r="X202" s="16">
        <f>VLOOKUP(I202,FEDEX!$A$2:$H$270,4,FALSE)</f>
        <v>2</v>
      </c>
      <c r="Z202" s="312"/>
    </row>
    <row r="203" spans="1:26">
      <c r="A203">
        <f>DIST!A203</f>
        <v>0</v>
      </c>
      <c r="B203">
        <f>VLOOKUP(Raw_Data4[[#This Row],[PLAYER NAME]],DIST!$A:$E,2,FALSE)</f>
        <v>0</v>
      </c>
      <c r="C203">
        <f>VLOOKUP(Raw_Data4[[#This Row],[PLAYER NAME]],ACC!$A:$E,2,FALSE)</f>
        <v>0</v>
      </c>
      <c r="D203">
        <f>VLOOKUP(Raw_Data4[[#This Row],[PLAYER NAME]],APP!$A:$E,2,FALSE)</f>
        <v>0</v>
      </c>
      <c r="E203">
        <f>VLOOKUP(Raw_Data4[[#This Row],[PLAYER NAME]],ARG!$A:$E,2,FALSE)</f>
        <v>0</v>
      </c>
      <c r="F203">
        <f>VLOOKUP(Raw_Data4[[#This Row],[PLAYER NAME]],PUTT!$A:$E,2,FALSE)</f>
        <v>0</v>
      </c>
      <c r="G203">
        <f>VLOOKUP(Raw_Data4[[#This Row],[PLAYER NAME]],SG!$A:$E,3,FALSE)</f>
        <v>0</v>
      </c>
      <c r="I203" s="200" t="s">
        <v>373</v>
      </c>
      <c r="J203">
        <f>VLOOKUP(Table30[[#This Row],[PLAYER NAME]],Table23[],2,FALSE)</f>
        <v>103</v>
      </c>
      <c r="K203">
        <f>VLOOKUP(Table30[[#This Row],[PLAYER NAME]],Table23[],3,FALSE)</f>
        <v>166</v>
      </c>
      <c r="L203">
        <f>VLOOKUP(Table30[[#This Row],[PLAYER NAME]],Table23[],4,FALSE)</f>
        <v>173</v>
      </c>
      <c r="M203">
        <f>VLOOKUP(Table30[[#This Row],[PLAYER NAME]],Table23[],5,FALSE)</f>
        <v>18</v>
      </c>
      <c r="N203">
        <f>VLOOKUP(Table30[[#This Row],[PLAYER NAME]],Table23[],6,FALSE)</f>
        <v>180</v>
      </c>
      <c r="O203">
        <f>VLOOKUP(Table30[[#This Row],[PLAYER NAME]],Table23[],7,FALSE)</f>
        <v>181</v>
      </c>
      <c r="P203" s="439">
        <f>VLOOKUP(Table30[[#This Row],[PLAYER NAME]],Table23[],8,FALSE)</f>
        <v>393.99999999999994</v>
      </c>
      <c r="Q203" s="440">
        <f>VLOOKUP(Table30[[#This Row],[PLAYER NAME]],Table23[],9,FALSE)</f>
        <v>578.69611161725675</v>
      </c>
      <c r="R203" s="226">
        <f>(($Z$9-(X203/40)*($Z$9))*VLOOKUP($I203,'2023'!$A$2:$I$278,8,FALSE))+((1-(($Z$9-(X203/40)*($Z$9))))*P203)</f>
        <v>393.99999999999994</v>
      </c>
      <c r="S203" s="14">
        <f>(($Z$9-(X203/40)*($Z$9))*VLOOKUP($I203,'2023'!$A$2:$I$278,9,FALSE))+((1-(($Z$9-(X203/40)*($Z$9))))*Q203)</f>
        <v>578.69611161725675</v>
      </c>
      <c r="X203" s="16">
        <v>0</v>
      </c>
      <c r="Z203" s="312"/>
    </row>
    <row r="204" spans="1:26">
      <c r="A204">
        <f>DIST!A204</f>
        <v>0</v>
      </c>
      <c r="B204">
        <f>VLOOKUP(Raw_Data4[[#This Row],[PLAYER NAME]],DIST!$A:$E,2,FALSE)</f>
        <v>0</v>
      </c>
      <c r="C204">
        <f>VLOOKUP(Raw_Data4[[#This Row],[PLAYER NAME]],ACC!$A:$E,2,FALSE)</f>
        <v>0</v>
      </c>
      <c r="D204">
        <f>VLOOKUP(Raw_Data4[[#This Row],[PLAYER NAME]],APP!$A:$E,2,FALSE)</f>
        <v>0</v>
      </c>
      <c r="E204">
        <f>VLOOKUP(Raw_Data4[[#This Row],[PLAYER NAME]],ARG!$A:$E,2,FALSE)</f>
        <v>0</v>
      </c>
      <c r="F204">
        <f>VLOOKUP(Raw_Data4[[#This Row],[PLAYER NAME]],PUTT!$A:$E,2,FALSE)</f>
        <v>0</v>
      </c>
      <c r="G204">
        <f>VLOOKUP(Raw_Data4[[#This Row],[PLAYER NAME]],SG!$A:$E,3,FALSE)</f>
        <v>0</v>
      </c>
      <c r="I204" s="200" t="s">
        <v>117</v>
      </c>
      <c r="J204">
        <f>VLOOKUP(Table30[[#This Row],[PLAYER NAME]],Table23[],2,FALSE)</f>
        <v>114</v>
      </c>
      <c r="K204">
        <f>VLOOKUP(Table30[[#This Row],[PLAYER NAME]],Table23[],3,FALSE)</f>
        <v>31</v>
      </c>
      <c r="L204">
        <f>VLOOKUP(Table30[[#This Row],[PLAYER NAME]],Table23[],4,FALSE)</f>
        <v>141</v>
      </c>
      <c r="M204">
        <f>VLOOKUP(Table30[[#This Row],[PLAYER NAME]],Table23[],5,FALSE)</f>
        <v>169</v>
      </c>
      <c r="N204">
        <f>VLOOKUP(Table30[[#This Row],[PLAYER NAME]],Table23[],6,FALSE)</f>
        <v>146</v>
      </c>
      <c r="O204">
        <f>VLOOKUP(Table30[[#This Row],[PLAYER NAME]],Table23[],7,FALSE)</f>
        <v>146</v>
      </c>
      <c r="P204" s="439">
        <f>VLOOKUP(Table30[[#This Row],[PLAYER NAME]],Table23[],8,FALSE)</f>
        <v>357.40000000000003</v>
      </c>
      <c r="Q204" s="440">
        <f>VLOOKUP(Table30[[#This Row],[PLAYER NAME]],Table23[],9,FALSE)</f>
        <v>529.60109319686126</v>
      </c>
      <c r="R204" s="226">
        <f>(($Z$9-(X204/40)*($Z$9))*VLOOKUP($I204,'2023'!$A$2:$I$278,8,FALSE))+((1-(($Z$9-(X204/40)*($Z$9))))*P204)</f>
        <v>357.40000000000003</v>
      </c>
      <c r="S204" s="14">
        <f>(($Z$9-(X204/40)*($Z$9))*VLOOKUP($I204,'2023'!$A$2:$I$278,9,FALSE))+((1-(($Z$9-(X204/40)*($Z$9))))*Q204)</f>
        <v>529.60109319686126</v>
      </c>
      <c r="X204" s="16">
        <f>VLOOKUP(I204,FEDEX!$A$2:$H$270,4,FALSE)</f>
        <v>4</v>
      </c>
      <c r="Z204" s="312"/>
    </row>
    <row r="205" spans="1:26">
      <c r="A205">
        <f>DIST!A205</f>
        <v>0</v>
      </c>
      <c r="B205">
        <f>VLOOKUP(Raw_Data4[[#This Row],[PLAYER NAME]],DIST!$A:$E,2,FALSE)</f>
        <v>0</v>
      </c>
      <c r="C205">
        <f>VLOOKUP(Raw_Data4[[#This Row],[PLAYER NAME]],ACC!$A:$E,2,FALSE)</f>
        <v>0</v>
      </c>
      <c r="D205">
        <f>VLOOKUP(Raw_Data4[[#This Row],[PLAYER NAME]],APP!$A:$E,2,FALSE)</f>
        <v>0</v>
      </c>
      <c r="E205">
        <f>VLOOKUP(Raw_Data4[[#This Row],[PLAYER NAME]],ARG!$A:$E,2,FALSE)</f>
        <v>0</v>
      </c>
      <c r="F205">
        <f>VLOOKUP(Raw_Data4[[#This Row],[PLAYER NAME]],PUTT!$A:$E,2,FALSE)</f>
        <v>0</v>
      </c>
      <c r="G205">
        <f>VLOOKUP(Raw_Data4[[#This Row],[PLAYER NAME]],SG!$A:$E,3,FALSE)</f>
        <v>0</v>
      </c>
      <c r="I205" s="200" t="s">
        <v>94</v>
      </c>
      <c r="J205">
        <f>VLOOKUP(Table30[[#This Row],[PLAYER NAME]],Table23[],2,FALSE)</f>
        <v>93</v>
      </c>
      <c r="K205">
        <f>VLOOKUP(Table30[[#This Row],[PLAYER NAME]],Table23[],3,FALSE)</f>
        <v>118</v>
      </c>
      <c r="L205">
        <f>VLOOKUP(Table30[[#This Row],[PLAYER NAME]],Table23[],4,FALSE)</f>
        <v>191</v>
      </c>
      <c r="M205">
        <f>VLOOKUP(Table30[[#This Row],[PLAYER NAME]],Table23[],5,FALSE)</f>
        <v>153</v>
      </c>
      <c r="N205">
        <f>VLOOKUP(Table30[[#This Row],[PLAYER NAME]],Table23[],6,FALSE)</f>
        <v>44</v>
      </c>
      <c r="O205">
        <f>VLOOKUP(Table30[[#This Row],[PLAYER NAME]],Table23[],7,FALSE)</f>
        <v>172</v>
      </c>
      <c r="P205" s="439">
        <f>VLOOKUP(Table30[[#This Row],[PLAYER NAME]],Table23[],8,FALSE)</f>
        <v>359.59999999999997</v>
      </c>
      <c r="Q205" s="440">
        <f>VLOOKUP(Table30[[#This Row],[PLAYER NAME]],Table23[],9,FALSE)</f>
        <v>565.22128469947961</v>
      </c>
      <c r="R205" s="226">
        <f>(($Z$9-(X205/40)*($Z$9))*VLOOKUP($I205,'2023'!$A$2:$I$278,8,FALSE))+((1-(($Z$9-(X205/40)*($Z$9))))*P205)</f>
        <v>359.59999999999997</v>
      </c>
      <c r="S205" s="14">
        <f>(($Z$9-(X205/40)*($Z$9))*VLOOKUP($I205,'2023'!$A$2:$I$278,9,FALSE))+((1-(($Z$9-(X205/40)*($Z$9))))*Q205)</f>
        <v>565.22128469947961</v>
      </c>
      <c r="X205" s="16">
        <f>VLOOKUP(I205,FEDEX!$A$2:$H$270,4,FALSE)</f>
        <v>3</v>
      </c>
      <c r="Z205" s="312"/>
    </row>
    <row r="206" spans="1:26">
      <c r="A206">
        <f>DIST!A206</f>
        <v>0</v>
      </c>
      <c r="B206">
        <f>VLOOKUP(Raw_Data4[[#This Row],[PLAYER NAME]],DIST!$A:$E,2,FALSE)</f>
        <v>0</v>
      </c>
      <c r="C206">
        <f>VLOOKUP(Raw_Data4[[#This Row],[PLAYER NAME]],ACC!$A:$E,2,FALSE)</f>
        <v>0</v>
      </c>
      <c r="D206">
        <f>VLOOKUP(Raw_Data4[[#This Row],[PLAYER NAME]],APP!$A:$E,2,FALSE)</f>
        <v>0</v>
      </c>
      <c r="E206">
        <f>VLOOKUP(Raw_Data4[[#This Row],[PLAYER NAME]],ARG!$A:$E,2,FALSE)</f>
        <v>0</v>
      </c>
      <c r="F206">
        <f>VLOOKUP(Raw_Data4[[#This Row],[PLAYER NAME]],PUTT!$A:$E,2,FALSE)</f>
        <v>0</v>
      </c>
      <c r="G206">
        <f>VLOOKUP(Raw_Data4[[#This Row],[PLAYER NAME]],SG!$A:$E,3,FALSE)</f>
        <v>0</v>
      </c>
      <c r="I206" s="200" t="s">
        <v>86</v>
      </c>
      <c r="J206">
        <f>VLOOKUP(Table30[[#This Row],[PLAYER NAME]],Table23[],2,FALSE)</f>
        <v>85</v>
      </c>
      <c r="K206">
        <f>VLOOKUP(Table30[[#This Row],[PLAYER NAME]],Table23[],3,FALSE)</f>
        <v>167</v>
      </c>
      <c r="L206">
        <f>VLOOKUP(Table30[[#This Row],[PLAYER NAME]],Table23[],4,FALSE)</f>
        <v>192</v>
      </c>
      <c r="M206">
        <f>VLOOKUP(Table30[[#This Row],[PLAYER NAME]],Table23[],5,FALSE)</f>
        <v>144</v>
      </c>
      <c r="N206">
        <f>VLOOKUP(Table30[[#This Row],[PLAYER NAME]],Table23[],6,FALSE)</f>
        <v>58</v>
      </c>
      <c r="O206">
        <f>VLOOKUP(Table30[[#This Row],[PLAYER NAME]],Table23[],7,FALSE)</f>
        <v>185</v>
      </c>
      <c r="P206" s="439">
        <f>VLOOKUP(Table30[[#This Row],[PLAYER NAME]],Table23[],8,FALSE)</f>
        <v>381</v>
      </c>
      <c r="Q206" s="440">
        <f>VLOOKUP(Table30[[#This Row],[PLAYER NAME]],Table23[],9,FALSE)</f>
        <v>600.39498836048301</v>
      </c>
      <c r="R206" s="226">
        <f>(($Z$9-(X206/40)*($Z$9))*VLOOKUP($I206,'2023'!$A$2:$I$278,8,FALSE))+((1-(($Z$9-(X206/40)*($Z$9))))*P206)</f>
        <v>381</v>
      </c>
      <c r="S206" s="14">
        <f>(($Z$9-(X206/40)*($Z$9))*VLOOKUP($I206,'2023'!$A$2:$I$278,9,FALSE))+((1-(($Z$9-(X206/40)*($Z$9))))*Q206)</f>
        <v>600.39498836048301</v>
      </c>
      <c r="X206" s="16">
        <v>0</v>
      </c>
      <c r="Z206" s="312"/>
    </row>
    <row r="207" spans="1:26">
      <c r="A207">
        <f>DIST!A207</f>
        <v>0</v>
      </c>
      <c r="B207">
        <f>VLOOKUP(Raw_Data4[[#This Row],[PLAYER NAME]],DIST!$A:$E,2,FALSE)</f>
        <v>0</v>
      </c>
      <c r="C207">
        <f>VLOOKUP(Raw_Data4[[#This Row],[PLAYER NAME]],ACC!$A:$E,2,FALSE)</f>
        <v>0</v>
      </c>
      <c r="D207">
        <f>VLOOKUP(Raw_Data4[[#This Row],[PLAYER NAME]],APP!$A:$E,2,FALSE)</f>
        <v>0</v>
      </c>
      <c r="E207">
        <f>VLOOKUP(Raw_Data4[[#This Row],[PLAYER NAME]],ARG!$A:$E,2,FALSE)</f>
        <v>0</v>
      </c>
      <c r="F207">
        <f>VLOOKUP(Raw_Data4[[#This Row],[PLAYER NAME]],PUTT!$A:$E,2,FALSE)</f>
        <v>0</v>
      </c>
      <c r="G207">
        <f>VLOOKUP(Raw_Data4[[#This Row],[PLAYER NAME]],SG!$A:$E,3,FALSE)</f>
        <v>0</v>
      </c>
      <c r="I207" s="200" t="s">
        <v>186</v>
      </c>
      <c r="J207">
        <f>VLOOKUP(Table30[[#This Row],[PLAYER NAME]],Table23[],2,FALSE)</f>
        <v>188</v>
      </c>
      <c r="K207">
        <f>VLOOKUP(Table30[[#This Row],[PLAYER NAME]],Table23[],3,FALSE)</f>
        <v>28</v>
      </c>
      <c r="L207">
        <f>VLOOKUP(Table30[[#This Row],[PLAYER NAME]],Table23[],4,FALSE)</f>
        <v>166</v>
      </c>
      <c r="M207">
        <f>VLOOKUP(Table30[[#This Row],[PLAYER NAME]],Table23[],5,FALSE)</f>
        <v>24</v>
      </c>
      <c r="N207">
        <f>VLOOKUP(Table30[[#This Row],[PLAYER NAME]],Table23[],6,FALSE)</f>
        <v>127</v>
      </c>
      <c r="O207">
        <f>VLOOKUP(Table30[[#This Row],[PLAYER NAME]],Table23[],7,FALSE)</f>
        <v>171</v>
      </c>
      <c r="P207" s="439">
        <f>VLOOKUP(Table30[[#This Row],[PLAYER NAME]],Table23[],8,FALSE)</f>
        <v>372.5</v>
      </c>
      <c r="Q207" s="440">
        <f>VLOOKUP(Table30[[#This Row],[PLAYER NAME]],Table23[],9,FALSE)</f>
        <v>523.01484888731295</v>
      </c>
      <c r="R207" s="226">
        <f>(($Z$9-(X207/40)*($Z$9))*VLOOKUP($I207,'2023'!$A$2:$I$278,8,FALSE))+((1-(($Z$9-(X207/40)*($Z$9))))*P207)</f>
        <v>372.5</v>
      </c>
      <c r="S207" s="14">
        <f>(($Z$9-(X207/40)*($Z$9))*VLOOKUP($I207,'2023'!$A$2:$I$278,9,FALSE))+((1-(($Z$9-(X207/40)*($Z$9))))*Q207)</f>
        <v>523.01484888731295</v>
      </c>
      <c r="X207" s="16">
        <f>VLOOKUP(I207,FEDEX!$A$2:$H$270,4,FALSE)</f>
        <v>3</v>
      </c>
      <c r="Z207" s="312"/>
    </row>
    <row r="208" spans="1:26">
      <c r="A208">
        <f>DIST!A208</f>
        <v>0</v>
      </c>
      <c r="B208">
        <f>VLOOKUP(Raw_Data4[[#This Row],[PLAYER NAME]],DIST!$A:$E,2,FALSE)</f>
        <v>0</v>
      </c>
      <c r="C208">
        <f>VLOOKUP(Raw_Data4[[#This Row],[PLAYER NAME]],ACC!$A:$E,2,FALSE)</f>
        <v>0</v>
      </c>
      <c r="D208">
        <f>VLOOKUP(Raw_Data4[[#This Row],[PLAYER NAME]],APP!$A:$E,2,FALSE)</f>
        <v>0</v>
      </c>
      <c r="E208">
        <f>VLOOKUP(Raw_Data4[[#This Row],[PLAYER NAME]],ARG!$A:$E,2,FALSE)</f>
        <v>0</v>
      </c>
      <c r="F208">
        <f>VLOOKUP(Raw_Data4[[#This Row],[PLAYER NAME]],PUTT!$A:$E,2,FALSE)</f>
        <v>0</v>
      </c>
      <c r="G208">
        <f>VLOOKUP(Raw_Data4[[#This Row],[PLAYER NAME]],SG!$A:$E,3,FALSE)</f>
        <v>0</v>
      </c>
      <c r="I208" s="200" t="s">
        <v>173</v>
      </c>
      <c r="J208">
        <f>VLOOKUP(Table30[[#This Row],[PLAYER NAME]],Table23[],2,FALSE)</f>
        <v>173</v>
      </c>
      <c r="K208">
        <f>VLOOKUP(Table30[[#This Row],[PLAYER NAME]],Table23[],3,FALSE)</f>
        <v>81</v>
      </c>
      <c r="L208">
        <f>VLOOKUP(Table30[[#This Row],[PLAYER NAME]],Table23[],4,FALSE)</f>
        <v>181</v>
      </c>
      <c r="M208">
        <f>VLOOKUP(Table30[[#This Row],[PLAYER NAME]],Table23[],5,FALSE)</f>
        <v>1</v>
      </c>
      <c r="N208">
        <f>VLOOKUP(Table30[[#This Row],[PLAYER NAME]],Table23[],6,FALSE)</f>
        <v>178</v>
      </c>
      <c r="O208">
        <f>VLOOKUP(Table30[[#This Row],[PLAYER NAME]],Table23[],7,FALSE)</f>
        <v>169</v>
      </c>
      <c r="P208" s="439">
        <f>VLOOKUP(Table30[[#This Row],[PLAYER NAME]],Table23[],8,FALSE)</f>
        <v>412.29999999999995</v>
      </c>
      <c r="Q208" s="440">
        <f>VLOOKUP(Table30[[#This Row],[PLAYER NAME]],Table23[],9,FALSE)</f>
        <v>563.44470433790582</v>
      </c>
      <c r="R208" s="226">
        <f>(($Z$9-(X208/40)*($Z$9))*VLOOKUP($I208,'2023'!$A$2:$I$278,8,FALSE))+((1-(($Z$9-(X208/40)*($Z$9))))*P208)</f>
        <v>412.29999999999995</v>
      </c>
      <c r="S208" s="14">
        <f>(($Z$9-(X208/40)*($Z$9))*VLOOKUP($I208,'2023'!$A$2:$I$278,9,FALSE))+((1-(($Z$9-(X208/40)*($Z$9))))*Q208)</f>
        <v>563.44470433790582</v>
      </c>
      <c r="X208" s="16">
        <v>0</v>
      </c>
      <c r="Z208" s="312"/>
    </row>
    <row r="209" spans="1:26">
      <c r="A209">
        <f>DIST!A209</f>
        <v>0</v>
      </c>
      <c r="B209">
        <f>VLOOKUP(Raw_Data4[[#This Row],[PLAYER NAME]],DIST!$A:$E,2,FALSE)</f>
        <v>0</v>
      </c>
      <c r="C209">
        <f>VLOOKUP(Raw_Data4[[#This Row],[PLAYER NAME]],ACC!$A:$E,2,FALSE)</f>
        <v>0</v>
      </c>
      <c r="D209">
        <f>VLOOKUP(Raw_Data4[[#This Row],[PLAYER NAME]],APP!$A:$E,2,FALSE)</f>
        <v>0</v>
      </c>
      <c r="E209">
        <f>VLOOKUP(Raw_Data4[[#This Row],[PLAYER NAME]],ARG!$A:$E,2,FALSE)</f>
        <v>0</v>
      </c>
      <c r="F209">
        <f>VLOOKUP(Raw_Data4[[#This Row],[PLAYER NAME]],PUTT!$A:$E,2,FALSE)</f>
        <v>0</v>
      </c>
      <c r="G209">
        <f>VLOOKUP(Raw_Data4[[#This Row],[PLAYER NAME]],SG!$A:$E,3,FALSE)</f>
        <v>0</v>
      </c>
      <c r="I209" s="200" t="s">
        <v>171</v>
      </c>
      <c r="J209">
        <f>VLOOKUP(Table30[[#This Row],[PLAYER NAME]],Table23[],2,FALSE)</f>
        <v>173</v>
      </c>
      <c r="K209">
        <f>VLOOKUP(Table30[[#This Row],[PLAYER NAME]],Table23[],3,FALSE)</f>
        <v>44</v>
      </c>
      <c r="L209">
        <f>VLOOKUP(Table30[[#This Row],[PLAYER NAME]],Table23[],4,FALSE)</f>
        <v>128</v>
      </c>
      <c r="M209">
        <f>VLOOKUP(Table30[[#This Row],[PLAYER NAME]],Table23[],5,FALSE)</f>
        <v>121</v>
      </c>
      <c r="N209">
        <f>VLOOKUP(Table30[[#This Row],[PLAYER NAME]],Table23[],6,FALSE)</f>
        <v>131</v>
      </c>
      <c r="O209">
        <f>VLOOKUP(Table30[[#This Row],[PLAYER NAME]],Table23[],7,FALSE)</f>
        <v>116</v>
      </c>
      <c r="P209" s="439">
        <f>VLOOKUP(Table30[[#This Row],[PLAYER NAME]],Table23[],8,FALSE)</f>
        <v>381.20000000000005</v>
      </c>
      <c r="Q209" s="440">
        <f>VLOOKUP(Table30[[#This Row],[PLAYER NAME]],Table23[],9,FALSE)</f>
        <v>495.22783707219833</v>
      </c>
      <c r="R209" s="226">
        <f>(($Z$9-(X209/40)*($Z$9))*VLOOKUP($I209,'2023'!$A$2:$I$278,8,FALSE))+((1-(($Z$9-(X209/40)*($Z$9))))*P209)</f>
        <v>381.20000000000005</v>
      </c>
      <c r="S209" s="14">
        <f>(($Z$9-(X209/40)*($Z$9))*VLOOKUP($I209,'2023'!$A$2:$I$278,9,FALSE))+((1-(($Z$9-(X209/40)*($Z$9))))*Q209)</f>
        <v>495.22783707219833</v>
      </c>
      <c r="X209" s="16">
        <v>0</v>
      </c>
      <c r="Z209" s="312"/>
    </row>
    <row r="210" spans="1:26">
      <c r="A210">
        <f>DIST!A210</f>
        <v>0</v>
      </c>
      <c r="B210">
        <f>VLOOKUP(Raw_Data4[[#This Row],[PLAYER NAME]],DIST!$A:$E,2,FALSE)</f>
        <v>0</v>
      </c>
      <c r="C210">
        <f>VLOOKUP(Raw_Data4[[#This Row],[PLAYER NAME]],ACC!$A:$E,2,FALSE)</f>
        <v>0</v>
      </c>
      <c r="D210">
        <f>VLOOKUP(Raw_Data4[[#This Row],[PLAYER NAME]],APP!$A:$E,2,FALSE)</f>
        <v>0</v>
      </c>
      <c r="E210">
        <f>VLOOKUP(Raw_Data4[[#This Row],[PLAYER NAME]],ARG!$A:$E,2,FALSE)</f>
        <v>0</v>
      </c>
      <c r="F210">
        <f>VLOOKUP(Raw_Data4[[#This Row],[PLAYER NAME]],PUTT!$A:$E,2,FALSE)</f>
        <v>0</v>
      </c>
      <c r="G210">
        <f>VLOOKUP(Raw_Data4[[#This Row],[PLAYER NAME]],SG!$A:$E,3,FALSE)</f>
        <v>0</v>
      </c>
      <c r="I210" s="200" t="s">
        <v>81</v>
      </c>
      <c r="J210">
        <f>VLOOKUP(Table30[[#This Row],[PLAYER NAME]],Table23[],2,FALSE)</f>
        <v>80</v>
      </c>
      <c r="K210">
        <f>VLOOKUP(Table30[[#This Row],[PLAYER NAME]],Table23[],3,FALSE)</f>
        <v>159</v>
      </c>
      <c r="L210">
        <f>VLOOKUP(Table30[[#This Row],[PLAYER NAME]],Table23[],4,FALSE)</f>
        <v>139</v>
      </c>
      <c r="M210">
        <f>VLOOKUP(Table30[[#This Row],[PLAYER NAME]],Table23[],5,FALSE)</f>
        <v>81</v>
      </c>
      <c r="N210">
        <f>VLOOKUP(Table30[[#This Row],[PLAYER NAME]],Table23[],6,FALSE)</f>
        <v>174</v>
      </c>
      <c r="O210">
        <f>VLOOKUP(Table30[[#This Row],[PLAYER NAME]],Table23[],7,FALSE)</f>
        <v>152</v>
      </c>
      <c r="P210" s="439">
        <f>VLOOKUP(Table30[[#This Row],[PLAYER NAME]],Table23[],8,FALSE)</f>
        <v>368.2</v>
      </c>
      <c r="Q210" s="440">
        <f>VLOOKUP(Table30[[#This Row],[PLAYER NAME]],Table23[],9,FALSE)</f>
        <v>538.06802021564965</v>
      </c>
      <c r="R210" s="226">
        <f>(($Z$9-(X210/40)*($Z$9))*VLOOKUP($I210,'2023'!$A$2:$I$278,8,FALSE))+((1-(($Z$9-(X210/40)*($Z$9))))*P210)</f>
        <v>368.2</v>
      </c>
      <c r="S210" s="14">
        <f>(($Z$9-(X210/40)*($Z$9))*VLOOKUP($I210,'2023'!$A$2:$I$278,9,FALSE))+((1-(($Z$9-(X210/40)*($Z$9))))*Q210)</f>
        <v>538.06802021564965</v>
      </c>
      <c r="X210" s="16">
        <f>VLOOKUP(I210,FEDEX!$A$2:$H$270,4,FALSE)</f>
        <v>2</v>
      </c>
      <c r="Z210" s="312"/>
    </row>
    <row r="211" spans="1:26">
      <c r="A211">
        <f>DIST!A211</f>
        <v>0</v>
      </c>
      <c r="B211">
        <f>VLOOKUP(Raw_Data4[[#This Row],[PLAYER NAME]],DIST!$A:$E,2,FALSE)</f>
        <v>0</v>
      </c>
      <c r="C211">
        <f>VLOOKUP(Raw_Data4[[#This Row],[PLAYER NAME]],ACC!$A:$E,2,FALSE)</f>
        <v>0</v>
      </c>
      <c r="D211">
        <f>VLOOKUP(Raw_Data4[[#This Row],[PLAYER NAME]],APP!$A:$E,2,FALSE)</f>
        <v>0</v>
      </c>
      <c r="E211">
        <f>VLOOKUP(Raw_Data4[[#This Row],[PLAYER NAME]],ARG!$A:$E,2,FALSE)</f>
        <v>0</v>
      </c>
      <c r="F211">
        <f>VLOOKUP(Raw_Data4[[#This Row],[PLAYER NAME]],PUTT!$A:$E,2,FALSE)</f>
        <v>0</v>
      </c>
      <c r="G211">
        <f>VLOOKUP(Raw_Data4[[#This Row],[PLAYER NAME]],SG!$A:$E,3,FALSE)</f>
        <v>0</v>
      </c>
      <c r="I211" s="200" t="s">
        <v>181</v>
      </c>
      <c r="J211">
        <f>VLOOKUP(Table30[[#This Row],[PLAYER NAME]],Table23[],2,FALSE)</f>
        <v>183</v>
      </c>
      <c r="K211">
        <f>VLOOKUP(Table30[[#This Row],[PLAYER NAME]],Table23[],3,FALSE)</f>
        <v>53</v>
      </c>
      <c r="L211">
        <f>VLOOKUP(Table30[[#This Row],[PLAYER NAME]],Table23[],4,FALSE)</f>
        <v>20</v>
      </c>
      <c r="M211">
        <f>VLOOKUP(Table30[[#This Row],[PLAYER NAME]],Table23[],5,FALSE)</f>
        <v>130</v>
      </c>
      <c r="N211">
        <f>VLOOKUP(Table30[[#This Row],[PLAYER NAME]],Table23[],6,FALSE)</f>
        <v>154</v>
      </c>
      <c r="O211">
        <f>VLOOKUP(Table30[[#This Row],[PLAYER NAME]],Table23[],7,FALSE)</f>
        <v>142</v>
      </c>
      <c r="P211" s="439">
        <f>VLOOKUP(Table30[[#This Row],[PLAYER NAME]],Table23[],8,FALSE)</f>
        <v>334.20000000000005</v>
      </c>
      <c r="Q211" s="440">
        <f>VLOOKUP(Table30[[#This Row],[PLAYER NAME]],Table23[],9,FALSE)</f>
        <v>458.39291928788714</v>
      </c>
      <c r="R211" s="226">
        <f>(($Z$9-(X211/40)*($Z$9))*VLOOKUP($I211,'2023'!$A$2:$I$278,8,FALSE))+((1-(($Z$9-(X211/40)*($Z$9))))*P211)</f>
        <v>334.20000000000005</v>
      </c>
      <c r="S211" s="14">
        <f>(($Z$9-(X211/40)*($Z$9))*VLOOKUP($I211,'2023'!$A$2:$I$278,9,FALSE))+((1-(($Z$9-(X211/40)*($Z$9))))*Q211)</f>
        <v>458.39291928788714</v>
      </c>
      <c r="X211" s="16">
        <v>0</v>
      </c>
      <c r="Z211" s="312"/>
    </row>
    <row r="212" spans="1:26">
      <c r="A212">
        <f>DIST!A212</f>
        <v>0</v>
      </c>
      <c r="B212">
        <f>VLOOKUP(Raw_Data4[[#This Row],[PLAYER NAME]],DIST!$A:$E,2,FALSE)</f>
        <v>0</v>
      </c>
      <c r="C212">
        <f>VLOOKUP(Raw_Data4[[#This Row],[PLAYER NAME]],ACC!$A:$E,2,FALSE)</f>
        <v>0</v>
      </c>
      <c r="D212">
        <f>VLOOKUP(Raw_Data4[[#This Row],[PLAYER NAME]],APP!$A:$E,2,FALSE)</f>
        <v>0</v>
      </c>
      <c r="E212">
        <f>VLOOKUP(Raw_Data4[[#This Row],[PLAYER NAME]],ARG!$A:$E,2,FALSE)</f>
        <v>0</v>
      </c>
      <c r="F212">
        <f>VLOOKUP(Raw_Data4[[#This Row],[PLAYER NAME]],PUTT!$A:$E,2,FALSE)</f>
        <v>0</v>
      </c>
      <c r="G212">
        <f>VLOOKUP(Raw_Data4[[#This Row],[PLAYER NAME]],SG!$A:$E,3,FALSE)</f>
        <v>0</v>
      </c>
      <c r="I212" s="200" t="s">
        <v>155</v>
      </c>
      <c r="J212">
        <f>VLOOKUP(Table30[[#This Row],[PLAYER NAME]],Table23[],2,FALSE)</f>
        <v>159</v>
      </c>
      <c r="K212">
        <f>VLOOKUP(Table30[[#This Row],[PLAYER NAME]],Table23[],3,FALSE)</f>
        <v>91</v>
      </c>
      <c r="L212">
        <f>VLOOKUP(Table30[[#This Row],[PLAYER NAME]],Table23[],4,FALSE)</f>
        <v>109</v>
      </c>
      <c r="M212">
        <f>VLOOKUP(Table30[[#This Row],[PLAYER NAME]],Table23[],5,FALSE)</f>
        <v>120</v>
      </c>
      <c r="N212">
        <f>VLOOKUP(Table30[[#This Row],[PLAYER NAME]],Table23[],6,FALSE)</f>
        <v>100</v>
      </c>
      <c r="O212">
        <f>VLOOKUP(Table30[[#This Row],[PLAYER NAME]],Table23[],7,FALSE)</f>
        <v>122</v>
      </c>
      <c r="P212" s="439">
        <f>VLOOKUP(Table30[[#This Row],[PLAYER NAME]],Table23[],8,FALSE)</f>
        <v>362.9</v>
      </c>
      <c r="Q212" s="440">
        <f>VLOOKUP(Table30[[#This Row],[PLAYER NAME]],Table23[],9,FALSE)</f>
        <v>483.17380081424596</v>
      </c>
      <c r="R212" s="226">
        <f>(($Z$9-(X212/40)*($Z$9))*VLOOKUP($I212,'2023'!$A$2:$I$278,8,FALSE))+((1-(($Z$9-(X212/40)*($Z$9))))*P212)</f>
        <v>362.9</v>
      </c>
      <c r="S212" s="14">
        <f>(($Z$9-(X212/40)*($Z$9))*VLOOKUP($I212,'2023'!$A$2:$I$278,9,FALSE))+((1-(($Z$9-(X212/40)*($Z$9))))*Q212)</f>
        <v>483.17380081424596</v>
      </c>
      <c r="X212" s="16">
        <f>VLOOKUP(I212,FEDEX!$A$2:$H$270,4,FALSE)</f>
        <v>2</v>
      </c>
      <c r="Z212" s="312"/>
    </row>
    <row r="213" spans="1:26">
      <c r="A213">
        <f>DIST!A213</f>
        <v>0</v>
      </c>
      <c r="B213">
        <f>VLOOKUP(Raw_Data4[[#This Row],[PLAYER NAME]],DIST!$A:$E,2,FALSE)</f>
        <v>0</v>
      </c>
      <c r="C213">
        <f>VLOOKUP(Raw_Data4[[#This Row],[PLAYER NAME]],ACC!$A:$E,2,FALSE)</f>
        <v>0</v>
      </c>
      <c r="D213">
        <f>VLOOKUP(Raw_Data4[[#This Row],[PLAYER NAME]],APP!$A:$E,2,FALSE)</f>
        <v>0</v>
      </c>
      <c r="E213">
        <f>VLOOKUP(Raw_Data4[[#This Row],[PLAYER NAME]],ARG!$A:$E,2,FALSE)</f>
        <v>0</v>
      </c>
      <c r="F213">
        <f>VLOOKUP(Raw_Data4[[#This Row],[PLAYER NAME]],PUTT!$A:$E,2,FALSE)</f>
        <v>0</v>
      </c>
      <c r="G213">
        <f>VLOOKUP(Raw_Data4[[#This Row],[PLAYER NAME]],SG!$A:$E,3,FALSE)</f>
        <v>0</v>
      </c>
      <c r="I213" s="200" t="s">
        <v>189</v>
      </c>
      <c r="J213">
        <f>VLOOKUP(Table30[[#This Row],[PLAYER NAME]],Table23[],2,FALSE)</f>
        <v>191</v>
      </c>
      <c r="K213">
        <f>VLOOKUP(Table30[[#This Row],[PLAYER NAME]],Table23[],3,FALSE)</f>
        <v>24</v>
      </c>
      <c r="L213">
        <f>VLOOKUP(Table30[[#This Row],[PLAYER NAME]],Table23[],4,FALSE)</f>
        <v>118</v>
      </c>
      <c r="M213">
        <f>VLOOKUP(Table30[[#This Row],[PLAYER NAME]],Table23[],5,FALSE)</f>
        <v>73</v>
      </c>
      <c r="N213">
        <f>VLOOKUP(Table30[[#This Row],[PLAYER NAME]],Table23[],6,FALSE)</f>
        <v>51</v>
      </c>
      <c r="O213">
        <f>VLOOKUP(Table30[[#This Row],[PLAYER NAME]],Table23[],7,FALSE)</f>
        <v>109</v>
      </c>
      <c r="P213" s="439">
        <f>VLOOKUP(Table30[[#This Row],[PLAYER NAME]],Table23[],8,FALSE)</f>
        <v>321.2</v>
      </c>
      <c r="Q213" s="440">
        <f>VLOOKUP(Table30[[#This Row],[PLAYER NAME]],Table23[],9,FALSE)</f>
        <v>410.40315915480653</v>
      </c>
      <c r="R213" s="226">
        <f>(($Z$9-(X213/40)*($Z$9))*VLOOKUP($I213,'2023'!$A$2:$I$278,8,FALSE))+((1-(($Z$9-(X213/40)*($Z$9))))*P213)</f>
        <v>321.2</v>
      </c>
      <c r="S213" s="14">
        <f>(($Z$9-(X213/40)*($Z$9))*VLOOKUP($I213,'2023'!$A$2:$I$278,9,FALSE))+((1-(($Z$9-(X213/40)*($Z$9))))*Q213)</f>
        <v>410.40315915480653</v>
      </c>
      <c r="X213" s="16">
        <v>0</v>
      </c>
      <c r="Z213" s="312"/>
    </row>
    <row r="214" spans="1:26">
      <c r="A214">
        <f>DIST!A214</f>
        <v>0</v>
      </c>
      <c r="B214">
        <f>VLOOKUP(Raw_Data4[[#This Row],[PLAYER NAME]],DIST!$A:$E,2,FALSE)</f>
        <v>0</v>
      </c>
      <c r="C214">
        <f>VLOOKUP(Raw_Data4[[#This Row],[PLAYER NAME]],ACC!$A:$E,2,FALSE)</f>
        <v>0</v>
      </c>
      <c r="D214">
        <f>VLOOKUP(Raw_Data4[[#This Row],[PLAYER NAME]],APP!$A:$E,2,FALSE)</f>
        <v>0</v>
      </c>
      <c r="E214">
        <f>VLOOKUP(Raw_Data4[[#This Row],[PLAYER NAME]],ARG!$A:$E,2,FALSE)</f>
        <v>0</v>
      </c>
      <c r="F214">
        <f>VLOOKUP(Raw_Data4[[#This Row],[PLAYER NAME]],PUTT!$A:$E,2,FALSE)</f>
        <v>0</v>
      </c>
      <c r="G214">
        <f>VLOOKUP(Raw_Data4[[#This Row],[PLAYER NAME]],SG!$A:$E,3,FALSE)</f>
        <v>0</v>
      </c>
      <c r="I214" s="200" t="s">
        <v>119</v>
      </c>
      <c r="J214">
        <f>VLOOKUP(Table30[[#This Row],[PLAYER NAME]],Table23[],2,FALSE)</f>
        <v>121</v>
      </c>
      <c r="K214">
        <f>VLOOKUP(Table30[[#This Row],[PLAYER NAME]],Table23[],3,FALSE)</f>
        <v>136</v>
      </c>
      <c r="L214">
        <f>VLOOKUP(Table30[[#This Row],[PLAYER NAME]],Table23[],4,FALSE)</f>
        <v>153</v>
      </c>
      <c r="M214">
        <f>VLOOKUP(Table30[[#This Row],[PLAYER NAME]],Table23[],5,FALSE)</f>
        <v>105</v>
      </c>
      <c r="N214">
        <f>VLOOKUP(Table30[[#This Row],[PLAYER NAME]],Table23[],6,FALSE)</f>
        <v>175</v>
      </c>
      <c r="O214">
        <f>VLOOKUP(Table30[[#This Row],[PLAYER NAME]],Table23[],7,FALSE)</f>
        <v>168</v>
      </c>
      <c r="P214" s="439">
        <f>VLOOKUP(Table30[[#This Row],[PLAYER NAME]],Table23[],8,FALSE)</f>
        <v>413.5</v>
      </c>
      <c r="Q214" s="440">
        <f>VLOOKUP(Table30[[#This Row],[PLAYER NAME]],Table23[],9,FALSE)</f>
        <v>595.00695776798716</v>
      </c>
      <c r="R214" s="226">
        <f>(($Z$9-(X214/40)*($Z$9))*VLOOKUP($I214,'2023'!$A$2:$I$278,8,FALSE))+((1-(($Z$9-(X214/40)*($Z$9))))*P214)</f>
        <v>413.5</v>
      </c>
      <c r="S214" s="14">
        <f>(($Z$9-(X214/40)*($Z$9))*VLOOKUP($I214,'2023'!$A$2:$I$278,9,FALSE))+((1-(($Z$9-(X214/40)*($Z$9))))*Q214)</f>
        <v>595.00695776798716</v>
      </c>
      <c r="X214" s="16">
        <v>0</v>
      </c>
      <c r="Z214" s="312"/>
    </row>
    <row r="215" spans="1:26">
      <c r="A215">
        <f>DIST!A215</f>
        <v>0</v>
      </c>
      <c r="B215">
        <f>VLOOKUP(Raw_Data4[[#This Row],[PLAYER NAME]],DIST!$A:$E,2,FALSE)</f>
        <v>0</v>
      </c>
      <c r="C215">
        <f>VLOOKUP(Raw_Data4[[#This Row],[PLAYER NAME]],ACC!$A:$E,2,FALSE)</f>
        <v>0</v>
      </c>
      <c r="D215">
        <f>VLOOKUP(Raw_Data4[[#This Row],[PLAYER NAME]],APP!$A:$E,2,FALSE)</f>
        <v>0</v>
      </c>
      <c r="E215">
        <f>VLOOKUP(Raw_Data4[[#This Row],[PLAYER NAME]],ARG!$A:$E,2,FALSE)</f>
        <v>0</v>
      </c>
      <c r="F215">
        <f>VLOOKUP(Raw_Data4[[#This Row],[PLAYER NAME]],PUTT!$A:$E,2,FALSE)</f>
        <v>0</v>
      </c>
      <c r="G215">
        <f>VLOOKUP(Raw_Data4[[#This Row],[PLAYER NAME]],SG!$A:$E,3,FALSE)</f>
        <v>0</v>
      </c>
      <c r="I215" s="200" t="s">
        <v>111</v>
      </c>
      <c r="J215">
        <f>VLOOKUP(Table30[[#This Row],[PLAYER NAME]],Table23[],2,FALSE)</f>
        <v>112</v>
      </c>
      <c r="K215">
        <f>VLOOKUP(Table30[[#This Row],[PLAYER NAME]],Table23[],3,FALSE)</f>
        <v>124</v>
      </c>
      <c r="L215">
        <f>VLOOKUP(Table30[[#This Row],[PLAYER NAME]],Table23[],4,FALSE)</f>
        <v>86</v>
      </c>
      <c r="M215">
        <f>VLOOKUP(Table30[[#This Row],[PLAYER NAME]],Table23[],5,FALSE)</f>
        <v>64</v>
      </c>
      <c r="N215">
        <f>VLOOKUP(Table30[[#This Row],[PLAYER NAME]],Table23[],6,FALSE)</f>
        <v>190</v>
      </c>
      <c r="O215">
        <f>VLOOKUP(Table30[[#This Row],[PLAYER NAME]],Table23[],7,FALSE)</f>
        <v>165</v>
      </c>
      <c r="P215" s="439">
        <f>VLOOKUP(Table30[[#This Row],[PLAYER NAME]],Table23[],8,FALSE)</f>
        <v>343.6</v>
      </c>
      <c r="Q215" s="440">
        <f>VLOOKUP(Table30[[#This Row],[PLAYER NAME]],Table23[],9,FALSE)</f>
        <v>507.01772971154077</v>
      </c>
      <c r="R215" s="226">
        <f>(($Z$9-(X215/40)*($Z$9))*VLOOKUP($I215,'2023'!$A$2:$I$278,8,FALSE))+((1-(($Z$9-(X215/40)*($Z$9))))*P215)</f>
        <v>343.6</v>
      </c>
      <c r="S215" s="14">
        <f>(($Z$9-(X215/40)*($Z$9))*VLOOKUP($I215,'2023'!$A$2:$I$278,9,FALSE))+((1-(($Z$9-(X215/40)*($Z$9))))*Q215)</f>
        <v>507.01772971154077</v>
      </c>
      <c r="X215" s="16">
        <v>0</v>
      </c>
      <c r="Z215" s="312"/>
    </row>
    <row r="216" spans="1:26">
      <c r="A216">
        <f>DIST!A216</f>
        <v>0</v>
      </c>
      <c r="B216">
        <f>VLOOKUP(Raw_Data4[[#This Row],[PLAYER NAME]],DIST!$A:$E,2,FALSE)</f>
        <v>0</v>
      </c>
      <c r="C216">
        <f>VLOOKUP(Raw_Data4[[#This Row],[PLAYER NAME]],ACC!$A:$E,2,FALSE)</f>
        <v>0</v>
      </c>
      <c r="D216">
        <f>VLOOKUP(Raw_Data4[[#This Row],[PLAYER NAME]],APP!$A:$E,2,FALSE)</f>
        <v>0</v>
      </c>
      <c r="E216">
        <f>VLOOKUP(Raw_Data4[[#This Row],[PLAYER NAME]],ARG!$A:$E,2,FALSE)</f>
        <v>0</v>
      </c>
      <c r="F216">
        <f>VLOOKUP(Raw_Data4[[#This Row],[PLAYER NAME]],PUTT!$A:$E,2,FALSE)</f>
        <v>0</v>
      </c>
      <c r="G216">
        <f>VLOOKUP(Raw_Data4[[#This Row],[PLAYER NAME]],SG!$A:$E,3,FALSE)</f>
        <v>0</v>
      </c>
      <c r="I216" s="200" t="s">
        <v>185</v>
      </c>
      <c r="J216">
        <f>VLOOKUP(Table30[[#This Row],[PLAYER NAME]],Table23[],2,FALSE)</f>
        <v>187</v>
      </c>
      <c r="K216">
        <f>VLOOKUP(Table30[[#This Row],[PLAYER NAME]],Table23[],3,FALSE)</f>
        <v>2</v>
      </c>
      <c r="L216">
        <f>VLOOKUP(Table30[[#This Row],[PLAYER NAME]],Table23[],4,FALSE)</f>
        <v>114</v>
      </c>
      <c r="M216">
        <f>VLOOKUP(Table30[[#This Row],[PLAYER NAME]],Table23[],5,FALSE)</f>
        <v>148</v>
      </c>
      <c r="N216">
        <f>VLOOKUP(Table30[[#This Row],[PLAYER NAME]],Table23[],6,FALSE)</f>
        <v>147</v>
      </c>
      <c r="O216">
        <f>VLOOKUP(Table30[[#This Row],[PLAYER NAME]],Table23[],7,FALSE)</f>
        <v>162</v>
      </c>
      <c r="P216" s="439">
        <f>VLOOKUP(Table30[[#This Row],[PLAYER NAME]],Table23[],8,FALSE)</f>
        <v>381.8</v>
      </c>
      <c r="Q216" s="440">
        <f>VLOOKUP(Table30[[#This Row],[PLAYER NAME]],Table23[],9,FALSE)</f>
        <v>541.84391844388756</v>
      </c>
      <c r="R216" s="226">
        <f>(($Z$9-(X216/40)*($Z$9))*VLOOKUP($I216,'2023'!$A$2:$I$278,8,FALSE))+((1-(($Z$9-(X216/40)*($Z$9))))*P216)</f>
        <v>381.8</v>
      </c>
      <c r="S216" s="14">
        <f>(($Z$9-(X216/40)*($Z$9))*VLOOKUP($I216,'2023'!$A$2:$I$278,9,FALSE))+((1-(($Z$9-(X216/40)*($Z$9))))*Q216)</f>
        <v>541.84391844388756</v>
      </c>
      <c r="X216" s="16">
        <v>0</v>
      </c>
      <c r="Z216" s="312"/>
    </row>
    <row r="217" spans="1:26">
      <c r="A217">
        <f>DIST!A217</f>
        <v>0</v>
      </c>
      <c r="B217">
        <f>VLOOKUP(Raw_Data4[[#This Row],[PLAYER NAME]],DIST!$A:$E,2,FALSE)</f>
        <v>0</v>
      </c>
      <c r="C217">
        <f>VLOOKUP(Raw_Data4[[#This Row],[PLAYER NAME]],ACC!$A:$E,2,FALSE)</f>
        <v>0</v>
      </c>
      <c r="D217">
        <f>VLOOKUP(Raw_Data4[[#This Row],[PLAYER NAME]],APP!$A:$E,2,FALSE)</f>
        <v>0</v>
      </c>
      <c r="E217">
        <f>VLOOKUP(Raw_Data4[[#This Row],[PLAYER NAME]],ARG!$A:$E,2,FALSE)</f>
        <v>0</v>
      </c>
      <c r="F217">
        <f>VLOOKUP(Raw_Data4[[#This Row],[PLAYER NAME]],PUTT!$A:$E,2,FALSE)</f>
        <v>0</v>
      </c>
      <c r="G217">
        <f>VLOOKUP(Raw_Data4[[#This Row],[PLAYER NAME]],SG!$A:$E,3,FALSE)</f>
        <v>0</v>
      </c>
      <c r="I217" s="200" t="s">
        <v>172</v>
      </c>
      <c r="J217">
        <f>VLOOKUP(Table30[[#This Row],[PLAYER NAME]],Table23[],2,FALSE)</f>
        <v>175</v>
      </c>
      <c r="K217">
        <f>VLOOKUP(Table30[[#This Row],[PLAYER NAME]],Table23[],3,FALSE)</f>
        <v>92</v>
      </c>
      <c r="L217">
        <f>VLOOKUP(Table30[[#This Row],[PLAYER NAME]],Table23[],4,FALSE)</f>
        <v>58</v>
      </c>
      <c r="M217">
        <f>VLOOKUP(Table30[[#This Row],[PLAYER NAME]],Table23[],5,FALSE)</f>
        <v>139</v>
      </c>
      <c r="N217">
        <f>VLOOKUP(Table30[[#This Row],[PLAYER NAME]],Table23[],6,FALSE)</f>
        <v>87</v>
      </c>
      <c r="O217">
        <f>VLOOKUP(Table30[[#This Row],[PLAYER NAME]],Table23[],7,FALSE)</f>
        <v>133</v>
      </c>
      <c r="P217" s="439">
        <f>VLOOKUP(Table30[[#This Row],[PLAYER NAME]],Table23[],8,FALSE)</f>
        <v>343.2</v>
      </c>
      <c r="Q217" s="440">
        <f>VLOOKUP(Table30[[#This Row],[PLAYER NAME]],Table23[],9,FALSE)</f>
        <v>466.39036548650682</v>
      </c>
      <c r="R217" s="226">
        <f>(($Z$9-(X217/40)*($Z$9))*VLOOKUP($I217,'2023'!$A$2:$I$278,8,FALSE))+((1-(($Z$9-(X217/40)*($Z$9))))*P217)</f>
        <v>343.2</v>
      </c>
      <c r="S217" s="14">
        <f>(($Z$9-(X217/40)*($Z$9))*VLOOKUP($I217,'2023'!$A$2:$I$278,9,FALSE))+((1-(($Z$9-(X217/40)*($Z$9))))*Q217)</f>
        <v>466.39036548650688</v>
      </c>
      <c r="X217" s="16">
        <f>VLOOKUP(I217,FEDEX!$A$2:$H$270,4,FALSE)</f>
        <v>1</v>
      </c>
      <c r="Z217" s="312"/>
    </row>
    <row r="218" spans="1:26">
      <c r="A218">
        <f>DIST!A218</f>
        <v>0</v>
      </c>
      <c r="B218">
        <f>VLOOKUP(Raw_Data4[[#This Row],[PLAYER NAME]],DIST!$A:$E,2,FALSE)</f>
        <v>0</v>
      </c>
      <c r="C218">
        <f>VLOOKUP(Raw_Data4[[#This Row],[PLAYER NAME]],ACC!$A:$E,2,FALSE)</f>
        <v>0</v>
      </c>
      <c r="D218">
        <f>VLOOKUP(Raw_Data4[[#This Row],[PLAYER NAME]],APP!$A:$E,2,FALSE)</f>
        <v>0</v>
      </c>
      <c r="E218">
        <f>VLOOKUP(Raw_Data4[[#This Row],[PLAYER NAME]],ARG!$A:$E,2,FALSE)</f>
        <v>0</v>
      </c>
      <c r="F218">
        <f>VLOOKUP(Raw_Data4[[#This Row],[PLAYER NAME]],PUTT!$A:$E,2,FALSE)</f>
        <v>0</v>
      </c>
      <c r="G218">
        <f>VLOOKUP(Raw_Data4[[#This Row],[PLAYER NAME]],SG!$A:$E,3,FALSE)</f>
        <v>0</v>
      </c>
      <c r="I218" s="200" t="s">
        <v>61</v>
      </c>
      <c r="J218">
        <f>VLOOKUP(Table30[[#This Row],[PLAYER NAME]],Table23[],2,FALSE)</f>
        <v>63</v>
      </c>
      <c r="K218">
        <f>VLOOKUP(Table30[[#This Row],[PLAYER NAME]],Table23[],3,FALSE)</f>
        <v>175</v>
      </c>
      <c r="L218">
        <f>VLOOKUP(Table30[[#This Row],[PLAYER NAME]],Table23[],4,FALSE)</f>
        <v>183</v>
      </c>
      <c r="M218">
        <f>VLOOKUP(Table30[[#This Row],[PLAYER NAME]],Table23[],5,FALSE)</f>
        <v>190</v>
      </c>
      <c r="N218">
        <f>VLOOKUP(Table30[[#This Row],[PLAYER NAME]],Table23[],6,FALSE)</f>
        <v>156</v>
      </c>
      <c r="O218">
        <f>VLOOKUP(Table30[[#This Row],[PLAYER NAME]],Table23[],7,FALSE)</f>
        <v>188</v>
      </c>
      <c r="P218" s="439">
        <f>VLOOKUP(Table30[[#This Row],[PLAYER NAME]],Table23[],8,FALSE)</f>
        <v>426.29999999999995</v>
      </c>
      <c r="Q218" s="440">
        <f>VLOOKUP(Table30[[#This Row],[PLAYER NAME]],Table23[],9,FALSE)</f>
        <v>664.89527283557982</v>
      </c>
      <c r="R218" s="226">
        <f>(($Z$9-(X218/40)*($Z$9))*VLOOKUP($I218,'2023'!$A$2:$I$278,8,FALSE))+((1-(($Z$9-(X218/40)*($Z$9))))*P218)</f>
        <v>426.29999999999995</v>
      </c>
      <c r="S218" s="14">
        <f>(($Z$9-(X218/40)*($Z$9))*VLOOKUP($I218,'2023'!$A$2:$I$278,9,FALSE))+((1-(($Z$9-(X218/40)*($Z$9))))*Q218)</f>
        <v>664.89527283557982</v>
      </c>
      <c r="X218" s="16">
        <v>0</v>
      </c>
      <c r="Z218" s="312"/>
    </row>
    <row r="219" spans="1:26">
      <c r="A219">
        <f>DIST!A219</f>
        <v>0</v>
      </c>
      <c r="B219">
        <f>VLOOKUP(Raw_Data4[[#This Row],[PLAYER NAME]],DIST!$A:$E,2,FALSE)</f>
        <v>0</v>
      </c>
      <c r="C219">
        <f>VLOOKUP(Raw_Data4[[#This Row],[PLAYER NAME]],ACC!$A:$E,2,FALSE)</f>
        <v>0</v>
      </c>
      <c r="D219">
        <f>VLOOKUP(Raw_Data4[[#This Row],[PLAYER NAME]],APP!$A:$E,2,FALSE)</f>
        <v>0</v>
      </c>
      <c r="E219">
        <f>VLOOKUP(Raw_Data4[[#This Row],[PLAYER NAME]],ARG!$A:$E,2,FALSE)</f>
        <v>0</v>
      </c>
      <c r="F219">
        <f>VLOOKUP(Raw_Data4[[#This Row],[PLAYER NAME]],PUTT!$A:$E,2,FALSE)</f>
        <v>0</v>
      </c>
      <c r="G219">
        <f>VLOOKUP(Raw_Data4[[#This Row],[PLAYER NAME]],SG!$A:$E,3,FALSE)</f>
        <v>0</v>
      </c>
      <c r="I219" s="200" t="s">
        <v>96</v>
      </c>
      <c r="J219">
        <f>VLOOKUP(Table30[[#This Row],[PLAYER NAME]],Table23[],2,FALSE)</f>
        <v>99</v>
      </c>
      <c r="K219">
        <f>VLOOKUP(Table30[[#This Row],[PLAYER NAME]],Table23[],3,FALSE)</f>
        <v>87</v>
      </c>
      <c r="L219">
        <f>VLOOKUP(Table30[[#This Row],[PLAYER NAME]],Table23[],4,FALSE)</f>
        <v>120</v>
      </c>
      <c r="M219">
        <f>VLOOKUP(Table30[[#This Row],[PLAYER NAME]],Table23[],5,FALSE)</f>
        <v>114</v>
      </c>
      <c r="N219">
        <f>VLOOKUP(Table30[[#This Row],[PLAYER NAME]],Table23[],6,FALSE)</f>
        <v>164</v>
      </c>
      <c r="O219">
        <f>VLOOKUP(Table30[[#This Row],[PLAYER NAME]],Table23[],7,FALSE)</f>
        <v>129</v>
      </c>
      <c r="P219" s="439">
        <f>VLOOKUP(Table30[[#This Row],[PLAYER NAME]],Table23[],8,FALSE)</f>
        <v>344.20000000000005</v>
      </c>
      <c r="Q219" s="440">
        <f>VLOOKUP(Table30[[#This Row],[PLAYER NAME]],Table23[],9,FALSE)</f>
        <v>489.68635242518576</v>
      </c>
      <c r="R219" s="226">
        <f>(($Z$9-(X219/40)*($Z$9))*VLOOKUP($I219,'2023'!$A$2:$I$278,8,FALSE))+((1-(($Z$9-(X219/40)*($Z$9))))*P219)</f>
        <v>344.20000000000005</v>
      </c>
      <c r="S219" s="14">
        <f>(($Z$9-(X219/40)*($Z$9))*VLOOKUP($I219,'2023'!$A$2:$I$278,9,FALSE))+((1-(($Z$9-(X219/40)*($Z$9))))*Q219)</f>
        <v>489.68635242518576</v>
      </c>
      <c r="X219" s="16">
        <f>VLOOKUP(I219,FEDEX!$A$2:$H$270,4,FALSE)</f>
        <v>2</v>
      </c>
      <c r="Z219" s="312"/>
    </row>
    <row r="220" spans="1:26">
      <c r="A220">
        <f>DIST!A220</f>
        <v>0</v>
      </c>
      <c r="B220">
        <f>VLOOKUP(Raw_Data4[[#This Row],[PLAYER NAME]],DIST!$A:$E,2,FALSE)</f>
        <v>0</v>
      </c>
      <c r="C220">
        <f>VLOOKUP(Raw_Data4[[#This Row],[PLAYER NAME]],ACC!$A:$E,2,FALSE)</f>
        <v>0</v>
      </c>
      <c r="D220">
        <f>VLOOKUP(Raw_Data4[[#This Row],[PLAYER NAME]],APP!$A:$E,2,FALSE)</f>
        <v>0</v>
      </c>
      <c r="E220">
        <f>VLOOKUP(Raw_Data4[[#This Row],[PLAYER NAME]],ARG!$A:$E,2,FALSE)</f>
        <v>0</v>
      </c>
      <c r="F220">
        <f>VLOOKUP(Raw_Data4[[#This Row],[PLAYER NAME]],PUTT!$A:$E,2,FALSE)</f>
        <v>0</v>
      </c>
      <c r="G220">
        <f>VLOOKUP(Raw_Data4[[#This Row],[PLAYER NAME]],SG!$A:$E,3,FALSE)</f>
        <v>0</v>
      </c>
      <c r="I220" s="200" t="s">
        <v>174</v>
      </c>
      <c r="J220">
        <f>VLOOKUP(Table30[[#This Row],[PLAYER NAME]],Table23[],2,FALSE)</f>
        <v>176</v>
      </c>
      <c r="K220">
        <f>VLOOKUP(Table30[[#This Row],[PLAYER NAME]],Table23[],3,FALSE)</f>
        <v>180</v>
      </c>
      <c r="L220">
        <f>VLOOKUP(Table30[[#This Row],[PLAYER NAME]],Table23[],4,FALSE)</f>
        <v>104</v>
      </c>
      <c r="M220">
        <f>VLOOKUP(Table30[[#This Row],[PLAYER NAME]],Table23[],5,FALSE)</f>
        <v>157</v>
      </c>
      <c r="N220">
        <f>VLOOKUP(Table30[[#This Row],[PLAYER NAME]],Table23[],6,FALSE)</f>
        <v>112</v>
      </c>
      <c r="O220">
        <f>VLOOKUP(Table30[[#This Row],[PLAYER NAME]],Table23[],7,FALSE)</f>
        <v>173</v>
      </c>
      <c r="P220" s="439">
        <f>VLOOKUP(Table30[[#This Row],[PLAYER NAME]],Table23[],8,FALSE)</f>
        <v>440</v>
      </c>
      <c r="Q220" s="440">
        <f>VLOOKUP(Table30[[#This Row],[PLAYER NAME]],Table23[],9,FALSE)</f>
        <v>613.6014060066442</v>
      </c>
      <c r="R220" s="226">
        <f>(($Z$9-(X220/40)*($Z$9))*VLOOKUP($I220,'2023'!$A$2:$I$278,8,FALSE))+((1-(($Z$9-(X220/40)*($Z$9))))*P220)</f>
        <v>440</v>
      </c>
      <c r="S220" s="14">
        <f>(($Z$9-(X220/40)*($Z$9))*VLOOKUP($I220,'2023'!$A$2:$I$278,9,FALSE))+((1-(($Z$9-(X220/40)*($Z$9))))*Q220)</f>
        <v>613.6014060066442</v>
      </c>
      <c r="X220" s="16">
        <v>0</v>
      </c>
      <c r="Z220" s="312"/>
    </row>
    <row r="221" spans="1:26">
      <c r="I221" s="200" t="s">
        <v>176</v>
      </c>
      <c r="J221">
        <f>VLOOKUP(Table30[[#This Row],[PLAYER NAME]],Table23[],2,FALSE)</f>
        <v>178</v>
      </c>
      <c r="K221">
        <f>VLOOKUP(Table30[[#This Row],[PLAYER NAME]],Table23[],3,FALSE)</f>
        <v>36</v>
      </c>
      <c r="L221">
        <f>VLOOKUP(Table30[[#This Row],[PLAYER NAME]],Table23[],4,FALSE)</f>
        <v>193</v>
      </c>
      <c r="M221">
        <f>VLOOKUP(Table30[[#This Row],[PLAYER NAME]],Table23[],5,FALSE)</f>
        <v>168</v>
      </c>
      <c r="N221">
        <f>VLOOKUP(Table30[[#This Row],[PLAYER NAME]],Table23[],6,FALSE)</f>
        <v>80</v>
      </c>
      <c r="O221">
        <f>VLOOKUP(Table30[[#This Row],[PLAYER NAME]],Table23[],7,FALSE)</f>
        <v>187</v>
      </c>
      <c r="P221" s="439">
        <f>VLOOKUP(Table30[[#This Row],[PLAYER NAME]],Table23[],8,FALSE)</f>
        <v>420.5</v>
      </c>
      <c r="Q221" s="440">
        <f>VLOOKUP(Table30[[#This Row],[PLAYER NAME]],Table23[],9,FALSE)</f>
        <v>621.90280844075323</v>
      </c>
      <c r="R221" s="226">
        <f>(($Z$9-(X221/40)*($Z$9))*VLOOKUP($I221,'2023'!$A$2:$I$278,8,FALSE))+((1-(($Z$9-(X221/40)*($Z$9))))*P221)</f>
        <v>420.5</v>
      </c>
      <c r="S221" s="14">
        <f>(($Z$9-(X221/40)*($Z$9))*VLOOKUP($I221,'2023'!$A$2:$I$278,9,FALSE))+((1-(($Z$9-(X221/40)*($Z$9))))*Q221)</f>
        <v>621.90280844075323</v>
      </c>
      <c r="X221" s="16">
        <v>0</v>
      </c>
      <c r="Z221" s="312"/>
    </row>
    <row r="222" spans="1:26">
      <c r="I222" s="200" t="s">
        <v>168</v>
      </c>
      <c r="J222">
        <f>VLOOKUP(Table30[[#This Row],[PLAYER NAME]],Table23[],2,FALSE)</f>
        <v>172</v>
      </c>
      <c r="K222">
        <f>VLOOKUP(Table30[[#This Row],[PLAYER NAME]],Table23[],3,FALSE)</f>
        <v>18</v>
      </c>
      <c r="L222">
        <f>VLOOKUP(Table30[[#This Row],[PLAYER NAME]],Table23[],4,FALSE)</f>
        <v>185</v>
      </c>
      <c r="M222">
        <f>VLOOKUP(Table30[[#This Row],[PLAYER NAME]],Table23[],5,FALSE)</f>
        <v>172</v>
      </c>
      <c r="N222">
        <f>VLOOKUP(Table30[[#This Row],[PLAYER NAME]],Table23[],6,FALSE)</f>
        <v>182</v>
      </c>
      <c r="O222">
        <f>VLOOKUP(Table30[[#This Row],[PLAYER NAME]],Table23[],7,FALSE)</f>
        <v>189</v>
      </c>
      <c r="P222" s="439">
        <f>VLOOKUP(Table30[[#This Row],[PLAYER NAME]],Table23[],8,FALSE)</f>
        <v>453.1</v>
      </c>
      <c r="Q222" s="440">
        <f>VLOOKUP(Table30[[#This Row],[PLAYER NAME]],Table23[],9,FALSE)</f>
        <v>660.00527503875469</v>
      </c>
      <c r="R222" s="226">
        <f>(($Z$9-(X222/40)*($Z$9))*VLOOKUP($I222,'2023'!$A$2:$I$278,8,FALSE))+((1-(($Z$9-(X222/40)*($Z$9))))*P222)</f>
        <v>453.1</v>
      </c>
      <c r="S222" s="14">
        <f>(($Z$9-(X222/40)*($Z$9))*VLOOKUP($I222,'2023'!$A$2:$I$278,9,FALSE))+((1-(($Z$9-(X222/40)*($Z$9))))*Q222)</f>
        <v>660.00527503875469</v>
      </c>
      <c r="X222" s="16">
        <f>VLOOKUP(I222,FEDEX!$A$2:$H$270,4,FALSE)</f>
        <v>1</v>
      </c>
      <c r="Z222" s="312"/>
    </row>
    <row r="223" spans="1:26">
      <c r="I223" s="200" t="s">
        <v>191</v>
      </c>
      <c r="J223">
        <f>VLOOKUP(Table30[[#This Row],[PLAYER NAME]],Table23[],2,FALSE)</f>
        <v>193</v>
      </c>
      <c r="K223">
        <f>VLOOKUP(Table30[[#This Row],[PLAYER NAME]],Table23[],3,FALSE)</f>
        <v>30</v>
      </c>
      <c r="L223">
        <f>VLOOKUP(Table30[[#This Row],[PLAYER NAME]],Table23[],4,FALSE)</f>
        <v>168</v>
      </c>
      <c r="M223">
        <f>VLOOKUP(Table30[[#This Row],[PLAYER NAME]],Table23[],5,FALSE)</f>
        <v>69</v>
      </c>
      <c r="N223">
        <f>VLOOKUP(Table30[[#This Row],[PLAYER NAME]],Table23[],6,FALSE)</f>
        <v>54</v>
      </c>
      <c r="O223">
        <f>VLOOKUP(Table30[[#This Row],[PLAYER NAME]],Table23[],7,FALSE)</f>
        <v>182</v>
      </c>
      <c r="P223" s="439">
        <f>VLOOKUP(Table30[[#This Row],[PLAYER NAME]],Table23[],8,FALSE)</f>
        <v>360.90000000000003</v>
      </c>
      <c r="Q223" s="440">
        <f>VLOOKUP(Table30[[#This Row],[PLAYER NAME]],Table23[],9,FALSE)</f>
        <v>528.92695315137985</v>
      </c>
      <c r="R223" s="226">
        <f>(($Z$9-(X223/40)*($Z$9))*VLOOKUP($I223,'2023'!$A$2:$I$278,8,FALSE))+((1-(($Z$9-(X223/40)*($Z$9))))*P223)</f>
        <v>360.90000000000003</v>
      </c>
      <c r="S223" s="14">
        <f>(($Z$9-(X223/40)*($Z$9))*VLOOKUP($I223,'2023'!$A$2:$I$278,9,FALSE))+((1-(($Z$9-(X223/40)*($Z$9))))*Q223)</f>
        <v>528.92695315137985</v>
      </c>
      <c r="X223" s="16">
        <f>VLOOKUP(I223,FEDEX!$A$2:$H$270,4,FALSE)</f>
        <v>1</v>
      </c>
      <c r="Z223" s="312"/>
    </row>
    <row r="224" spans="1:26">
      <c r="I224" s="200" t="s">
        <v>138</v>
      </c>
      <c r="J224">
        <f>VLOOKUP(Table30[[#This Row],[PLAYER NAME]],Table23[],2,FALSE)</f>
        <v>138</v>
      </c>
      <c r="K224">
        <f>VLOOKUP(Table30[[#This Row],[PLAYER NAME]],Table23[],3,FALSE)</f>
        <v>190</v>
      </c>
      <c r="L224">
        <f>VLOOKUP(Table30[[#This Row],[PLAYER NAME]],Table23[],4,FALSE)</f>
        <v>146</v>
      </c>
      <c r="M224">
        <f>VLOOKUP(Table30[[#This Row],[PLAYER NAME]],Table23[],5,FALSE)</f>
        <v>156</v>
      </c>
      <c r="N224">
        <f>VLOOKUP(Table30[[#This Row],[PLAYER NAME]],Table23[],6,FALSE)</f>
        <v>143</v>
      </c>
      <c r="O224">
        <f>VLOOKUP(Table30[[#This Row],[PLAYER NAME]],Table23[],7,FALSE)</f>
        <v>192</v>
      </c>
      <c r="P224" s="439">
        <f>VLOOKUP(Table30[[#This Row],[PLAYER NAME]],Table23[],8,FALSE)</f>
        <v>455.29999999999995</v>
      </c>
      <c r="Q224" s="440">
        <f>VLOOKUP(Table30[[#This Row],[PLAYER NAME]],Table23[],9,FALSE)</f>
        <v>664.78852640425248</v>
      </c>
      <c r="R224" s="226">
        <f>(($Z$9-(X224/40)*($Z$9))*VLOOKUP($I224,'2023'!$A$2:$I$278,8,FALSE))+((1-(($Z$9-(X224/40)*($Z$9))))*P224)</f>
        <v>455.29999999999995</v>
      </c>
      <c r="S224" s="14">
        <f>(($Z$9-(X224/40)*($Z$9))*VLOOKUP($I224,'2023'!$A$2:$I$278,9,FALSE))+((1-(($Z$9-(X224/40)*($Z$9))))*Q224)</f>
        <v>664.78852640425248</v>
      </c>
      <c r="X224" s="16">
        <v>0</v>
      </c>
      <c r="Z224" s="312"/>
    </row>
    <row r="225" spans="9:26">
      <c r="I225" s="200" t="s">
        <v>75</v>
      </c>
      <c r="J225">
        <f>VLOOKUP(Table30[[#This Row],[PLAYER NAME]],Table23[],2,FALSE)</f>
        <v>75</v>
      </c>
      <c r="K225">
        <f>VLOOKUP(Table30[[#This Row],[PLAYER NAME]],Table23[],3,FALSE)</f>
        <v>119</v>
      </c>
      <c r="L225">
        <f>VLOOKUP(Table30[[#This Row],[PLAYER NAME]],Table23[],4,FALSE)</f>
        <v>13</v>
      </c>
      <c r="M225">
        <f>VLOOKUP(Table30[[#This Row],[PLAYER NAME]],Table23[],5,FALSE)</f>
        <v>149</v>
      </c>
      <c r="N225">
        <f>VLOOKUP(Table30[[#This Row],[PLAYER NAME]],Table23[],6,FALSE)</f>
        <v>187</v>
      </c>
      <c r="O225">
        <f>VLOOKUP(Table30[[#This Row],[PLAYER NAME]],Table23[],7,FALSE)</f>
        <v>139</v>
      </c>
      <c r="P225" s="439">
        <f>VLOOKUP(Table30[[#This Row],[PLAYER NAME]],Table23[],8,FALSE)</f>
        <v>289.2</v>
      </c>
      <c r="Q225" s="440">
        <f>VLOOKUP(Table30[[#This Row],[PLAYER NAME]],Table23[],9,FALSE)</f>
        <v>443.61771626428856</v>
      </c>
      <c r="R225" s="226">
        <f>(($Z$9-(X225/40)*($Z$9))*VLOOKUP($I225,'2023'!$A$2:$I$278,8,FALSE))+((1-(($Z$9-(X225/40)*($Z$9))))*P225)</f>
        <v>289.2</v>
      </c>
      <c r="S225" s="14">
        <f>(($Z$9-(X225/40)*($Z$9))*VLOOKUP($I225,'2023'!$A$2:$I$278,9,FALSE))+((1-(($Z$9-(X225/40)*($Z$9))))*Q225)</f>
        <v>443.61771626428856</v>
      </c>
      <c r="X225" s="16">
        <v>0</v>
      </c>
      <c r="Z225" s="312"/>
    </row>
    <row r="226" spans="9:26">
      <c r="I226" s="200" t="s">
        <v>238</v>
      </c>
      <c r="J226">
        <f>VLOOKUP(Table30[[#This Row],[PLAYER NAME]],Table23[],2,FALSE)</f>
        <v>193</v>
      </c>
      <c r="K226">
        <f>VLOOKUP(Table30[[#This Row],[PLAYER NAME]],Table23[],3,FALSE)</f>
        <v>105</v>
      </c>
      <c r="L226">
        <f>VLOOKUP(Table30[[#This Row],[PLAYER NAME]],Table23[],4,FALSE)</f>
        <v>78</v>
      </c>
      <c r="M226">
        <f>VLOOKUP(Table30[[#This Row],[PLAYER NAME]],Table23[],5,FALSE)</f>
        <v>53</v>
      </c>
      <c r="N226">
        <f>VLOOKUP(Table30[[#This Row],[PLAYER NAME]],Table23[],6,FALSE)</f>
        <v>37</v>
      </c>
      <c r="O226">
        <f>VLOOKUP(Table30[[#This Row],[PLAYER NAME]],Table23[],7,FALSE)</f>
        <v>149</v>
      </c>
      <c r="P226" s="439">
        <f>VLOOKUP(Table30[[#This Row],[PLAYER NAME]],Table23[],8,FALSE)</f>
        <v>320.5</v>
      </c>
      <c r="Q226" s="440">
        <f>VLOOKUP(Table30[[#This Row],[PLAYER NAME]],Table23[],9,FALSE)</f>
        <v>439.02570951007215</v>
      </c>
      <c r="R226" s="226">
        <f>(($Z$9-(X226/40)*($Z$9))*VLOOKUP($I226,'2023'!$A$2:$I$278,8,FALSE))+((1-(($Z$9-(X226/40)*($Z$9))))*P226)</f>
        <v>320.5</v>
      </c>
      <c r="S226" s="14">
        <f>(($Z$9-(X226/40)*($Z$9))*VLOOKUP($I226,'2023'!$A$2:$I$278,9,FALSE))+((1-(($Z$9-(X226/40)*($Z$9))))*Q226)</f>
        <v>439.02570951007215</v>
      </c>
      <c r="X226" s="16">
        <v>0</v>
      </c>
      <c r="Z226" s="312"/>
    </row>
    <row r="227" spans="9:26">
      <c r="I227" t="s">
        <v>440</v>
      </c>
      <c r="J227">
        <f>VLOOKUP(Table30[[#This Row],[PLAYER NAME]],Table23[],2,FALSE)</f>
        <v>2</v>
      </c>
      <c r="K227">
        <f>VLOOKUP(Table30[[#This Row],[PLAYER NAME]],Table23[],3,FALSE)</f>
        <v>82</v>
      </c>
      <c r="L227">
        <f>VLOOKUP(Table30[[#This Row],[PLAYER NAME]],Table23[],4,FALSE)</f>
        <v>96</v>
      </c>
      <c r="M227">
        <f>VLOOKUP(Table30[[#This Row],[PLAYER NAME]],Table23[],5,FALSE)</f>
        <v>176</v>
      </c>
      <c r="N227">
        <f>VLOOKUP(Table30[[#This Row],[PLAYER NAME]],Table23[],6,FALSE)</f>
        <v>9</v>
      </c>
      <c r="O227">
        <f>VLOOKUP(Table30[[#This Row],[PLAYER NAME]],Table23[],7,FALSE)</f>
        <v>33</v>
      </c>
      <c r="P227" s="439">
        <f>VLOOKUP(Table30[[#This Row],[PLAYER NAME]],Table23[],8,FALSE)</f>
        <v>184.89999999999998</v>
      </c>
      <c r="Q227" s="440">
        <f>VLOOKUP(Table30[[#This Row],[PLAYER NAME]],Table23[],9,FALSE)</f>
        <v>266.96877062131011</v>
      </c>
      <c r="R227" s="226">
        <f>(($Z$9-(X227/40)*($Z$9))*VLOOKUP($I227,'2023'!$A$2:$I$278,8,FALSE))+((1-(($Z$9-(X227/40)*($Z$9))))*P227)</f>
        <v>184.89999999999998</v>
      </c>
      <c r="S227" s="14">
        <f>(($Z$9-(X227/40)*($Z$9))*VLOOKUP($I227,'2023'!$A$2:$I$278,9,FALSE))+((1-(($Z$9-(X227/40)*($Z$9))))*Q227)</f>
        <v>266.96877062131011</v>
      </c>
      <c r="X227" s="16">
        <v>0</v>
      </c>
      <c r="Z227" s="312"/>
    </row>
    <row r="228" spans="9:26">
      <c r="I228" t="s">
        <v>83</v>
      </c>
      <c r="J228">
        <f>VLOOKUP(Table30[[#This Row],[PLAYER NAME]],Table23[],2,FALSE)</f>
        <v>83</v>
      </c>
      <c r="K228">
        <f>VLOOKUP(Table30[[#This Row],[PLAYER NAME]],Table23[],3,FALSE)</f>
        <v>141</v>
      </c>
      <c r="L228">
        <f>VLOOKUP(Table30[[#This Row],[PLAYER NAME]],Table23[],4,FALSE)</f>
        <v>187</v>
      </c>
      <c r="M228">
        <f>VLOOKUP(Table30[[#This Row],[PLAYER NAME]],Table23[],5,FALSE)</f>
        <v>126</v>
      </c>
      <c r="N228">
        <f>VLOOKUP(Table30[[#This Row],[PLAYER NAME]],Table23[],6,FALSE)</f>
        <v>108</v>
      </c>
      <c r="O228">
        <f>VLOOKUP(Table30[[#This Row],[PLAYER NAME]],Table23[],7,FALSE)</f>
        <v>183</v>
      </c>
      <c r="P228" s="439">
        <f>VLOOKUP(Table30[[#This Row],[PLAYER NAME]],Table23[],8,FALSE)</f>
        <v>380.5</v>
      </c>
      <c r="Q228" s="440">
        <f>VLOOKUP(Table30[[#This Row],[PLAYER NAME]],Table23[],9,FALSE)</f>
        <v>595.1514435615652</v>
      </c>
      <c r="R228" s="226">
        <f>(($Z$9-(X228/40)*($Z$9))*VLOOKUP($I228,'2023'!$A$2:$I$278,8,FALSE))+((1-(($Z$9-(X228/40)*($Z$9))))*P228)</f>
        <v>380.5</v>
      </c>
      <c r="S228" s="14">
        <f>(($Z$9-(X228/40)*($Z$9))*VLOOKUP($I228,'2023'!$A$2:$I$278,9,FALSE))+((1-(($Z$9-(X228/40)*($Z$9))))*Q228)</f>
        <v>595.1514435615652</v>
      </c>
      <c r="X228" s="16">
        <f>VLOOKUP(I228,FEDEX!$A$2:$H$270,4,FALSE)</f>
        <v>4</v>
      </c>
      <c r="Z228" s="312"/>
    </row>
    <row r="229" spans="9:26">
      <c r="I229" t="s">
        <v>84</v>
      </c>
      <c r="J229">
        <f>VLOOKUP(Table30[[#This Row],[PLAYER NAME]],Table23[],2,FALSE)</f>
        <v>84</v>
      </c>
      <c r="K229">
        <f>VLOOKUP(Table30[[#This Row],[PLAYER NAME]],Table23[],3,FALSE)</f>
        <v>150</v>
      </c>
      <c r="L229">
        <f>VLOOKUP(Table30[[#This Row],[PLAYER NAME]],Table23[],4,FALSE)</f>
        <v>81</v>
      </c>
      <c r="M229">
        <f>VLOOKUP(Table30[[#This Row],[PLAYER NAME]],Table23[],5,FALSE)</f>
        <v>137</v>
      </c>
      <c r="N229">
        <f>VLOOKUP(Table30[[#This Row],[PLAYER NAME]],Table23[],6,FALSE)</f>
        <v>106</v>
      </c>
      <c r="O229">
        <f>VLOOKUP(Table30[[#This Row],[PLAYER NAME]],Table23[],7,FALSE)</f>
        <v>124</v>
      </c>
      <c r="P229" s="439">
        <f>VLOOKUP(Table30[[#This Row],[PLAYER NAME]],Table23[],8,FALSE)</f>
        <v>315.10000000000002</v>
      </c>
      <c r="Q229" s="440">
        <f>VLOOKUP(Table30[[#This Row],[PLAYER NAME]],Table23[],9,FALSE)</f>
        <v>457.55307722372385</v>
      </c>
      <c r="R229" s="226">
        <f>(($Z$9-(X229/40)*($Z$9))*VLOOKUP($I229,'2023'!$A$2:$I$278,8,FALSE))+((1-(($Z$9-(X229/40)*($Z$9))))*P229)</f>
        <v>315.10000000000002</v>
      </c>
      <c r="S229" s="14">
        <f>(($Z$9-(X229/40)*($Z$9))*VLOOKUP($I229,'2023'!$A$2:$I$278,9,FALSE))+((1-(($Z$9-(X229/40)*($Z$9))))*Q229)</f>
        <v>457.55307722372385</v>
      </c>
      <c r="X229" s="16">
        <f>VLOOKUP(I229,FEDEX!$A$2:$H$270,4,FALSE)</f>
        <v>5</v>
      </c>
      <c r="Z229" s="312"/>
    </row>
    <row r="230" spans="9:26">
      <c r="I230" t="s">
        <v>242</v>
      </c>
      <c r="J230">
        <f>VLOOKUP(Table30[[#This Row],[PLAYER NAME]],Table23[],2,FALSE)</f>
        <v>190</v>
      </c>
      <c r="K230">
        <f>VLOOKUP(Table30[[#This Row],[PLAYER NAME]],Table23[],3,FALSE)</f>
        <v>144</v>
      </c>
      <c r="L230">
        <f>VLOOKUP(Table30[[#This Row],[PLAYER NAME]],Table23[],4,FALSE)</f>
        <v>189</v>
      </c>
      <c r="M230">
        <f>VLOOKUP(Table30[[#This Row],[PLAYER NAME]],Table23[],5,FALSE)</f>
        <v>104</v>
      </c>
      <c r="N230">
        <f>VLOOKUP(Table30[[#This Row],[PLAYER NAME]],Table23[],6,FALSE)</f>
        <v>106</v>
      </c>
      <c r="O230">
        <f>VLOOKUP(Table30[[#This Row],[PLAYER NAME]],Table23[],7,FALSE)</f>
        <v>190</v>
      </c>
      <c r="P230" s="439">
        <f>VLOOKUP(Table30[[#This Row],[PLAYER NAME]],Table23[],8,FALSE)</f>
        <v>469.9</v>
      </c>
      <c r="Q230" s="440">
        <f>VLOOKUP(Table30[[#This Row],[PLAYER NAME]],Table23[],9,FALSE)</f>
        <v>657.88649903584576</v>
      </c>
      <c r="R230" s="226">
        <f>(($Z$9-(X230/40)*($Z$9))*VLOOKUP($I230,'2023'!$A$2:$I$278,8,FALSE))+((1-(($Z$9-(X230/40)*($Z$9))))*P230)</f>
        <v>469.9</v>
      </c>
      <c r="S230" s="14">
        <f>(($Z$9-(X230/40)*($Z$9))*VLOOKUP($I230,'2023'!$A$2:$I$278,9,FALSE))+((1-(($Z$9-(X230/40)*($Z$9))))*Q230)</f>
        <v>657.88649903584576</v>
      </c>
      <c r="X230" s="16">
        <f>VLOOKUP(I230,FEDEX!$A$2:$H$270,4,FALSE)</f>
        <v>7</v>
      </c>
      <c r="Z230" s="312"/>
    </row>
    <row r="231" spans="9:26">
      <c r="I231" t="s">
        <v>91</v>
      </c>
      <c r="J231">
        <f>VLOOKUP(Table30[[#This Row],[PLAYER NAME]],Table23[],2,FALSE)</f>
        <v>90</v>
      </c>
      <c r="K231">
        <f>VLOOKUP(Table30[[#This Row],[PLAYER NAME]],Table23[],3,FALSE)</f>
        <v>125</v>
      </c>
      <c r="L231">
        <f>VLOOKUP(Table30[[#This Row],[PLAYER NAME]],Table23[],4,FALSE)</f>
        <v>111</v>
      </c>
      <c r="M231">
        <f>VLOOKUP(Table30[[#This Row],[PLAYER NAME]],Table23[],5,FALSE)</f>
        <v>103</v>
      </c>
      <c r="N231">
        <f>VLOOKUP(Table30[[#This Row],[PLAYER NAME]],Table23[],6,FALSE)</f>
        <v>117</v>
      </c>
      <c r="O231">
        <f>VLOOKUP(Table30[[#This Row],[PLAYER NAME]],Table23[],7,FALSE)</f>
        <v>153</v>
      </c>
      <c r="P231" s="439">
        <f>VLOOKUP(Table30[[#This Row],[PLAYER NAME]],Table23[],8,FALSE)</f>
        <v>320.89999999999998</v>
      </c>
      <c r="Q231" s="440">
        <f>VLOOKUP(Table30[[#This Row],[PLAYER NAME]],Table23[],9,FALSE)</f>
        <v>488.31537315927426</v>
      </c>
      <c r="R231" s="226">
        <f>(($Z$9-(X231/40)*($Z$9))*VLOOKUP($I231,'2023'!$A$2:$I$278,8,FALSE))+((1-(($Z$9-(X231/40)*($Z$9))))*P231)</f>
        <v>320.89999999999998</v>
      </c>
      <c r="S231" s="14">
        <f>(($Z$9-(X231/40)*($Z$9))*VLOOKUP($I231,'2023'!$A$2:$I$278,9,FALSE))+((1-(($Z$9-(X231/40)*($Z$9))))*Q231)</f>
        <v>488.31537315927426</v>
      </c>
      <c r="X231" s="16">
        <f>VLOOKUP(I231,FEDEX!$A$2:$H$270,4,FALSE)</f>
        <v>7</v>
      </c>
      <c r="Z231" s="312"/>
    </row>
    <row r="232" spans="9:26">
      <c r="I232" t="s">
        <v>45</v>
      </c>
      <c r="J232">
        <f>VLOOKUP(Table30[[#This Row],[PLAYER NAME]],Table23[],2,FALSE)</f>
        <v>45</v>
      </c>
      <c r="K232">
        <f>VLOOKUP(Table30[[#This Row],[PLAYER NAME]],Table23[],3,FALSE)</f>
        <v>178</v>
      </c>
      <c r="L232">
        <f>VLOOKUP(Table30[[#This Row],[PLAYER NAME]],Table23[],4,FALSE)</f>
        <v>132</v>
      </c>
      <c r="M232">
        <f>VLOOKUP(Table30[[#This Row],[PLAYER NAME]],Table23[],5,FALSE)</f>
        <v>75</v>
      </c>
      <c r="N232">
        <f>VLOOKUP(Table30[[#This Row],[PLAYER NAME]],Table23[],6,FALSE)</f>
        <v>92</v>
      </c>
      <c r="O232">
        <f>VLOOKUP(Table30[[#This Row],[PLAYER NAME]],Table23[],7,FALSE)</f>
        <v>134</v>
      </c>
      <c r="P232" s="439">
        <f>VLOOKUP(Table30[[#This Row],[PLAYER NAME]],Table23[],8,FALSE)</f>
        <v>297.89999999999998</v>
      </c>
      <c r="Q232" s="440">
        <f>VLOOKUP(Table30[[#This Row],[PLAYER NAME]],Table23[],9,FALSE)</f>
        <v>455.42120736189406</v>
      </c>
      <c r="R232" s="226">
        <f>(($Z$9-(X232/40)*($Z$9))*VLOOKUP($I232,'2023'!$A$2:$I$278,8,FALSE))+((1-(($Z$9-(X232/40)*($Z$9))))*P232)</f>
        <v>297.89999999999998</v>
      </c>
      <c r="S232" s="14">
        <f>(($Z$9-(X232/40)*($Z$9))*VLOOKUP($I232,'2023'!$A$2:$I$278,9,FALSE))+((1-(($Z$9-(X232/40)*($Z$9))))*Q232)</f>
        <v>455.42120736189406</v>
      </c>
      <c r="X232" s="16">
        <v>0</v>
      </c>
      <c r="Z232" s="312"/>
    </row>
  </sheetData>
  <mergeCells count="2">
    <mergeCell ref="Z1:AE1"/>
    <mergeCell ref="Z4:AE4"/>
  </mergeCells>
  <conditionalFormatting sqref="J1:O1048576">
    <cfRule type="cellIs" dxfId="557" priority="23" operator="greaterThanOrEqual">
      <formula>101</formula>
    </cfRule>
    <cfRule type="cellIs" dxfId="556" priority="24" operator="between">
      <formula>51</formula>
      <formula>100.5</formula>
    </cfRule>
    <cfRule type="cellIs" dxfId="555" priority="25" operator="between">
      <formula>21</formula>
      <formula>50.5</formula>
    </cfRule>
    <cfRule type="cellIs" dxfId="554" priority="26" operator="lessThanOrEqual">
      <formula>20.5</formula>
    </cfRule>
  </conditionalFormatting>
  <conditionalFormatting sqref="X1:X1048576">
    <cfRule type="containsErrors" dxfId="553" priority="22">
      <formula>ISERROR(X1)</formula>
    </cfRule>
  </conditionalFormatting>
  <conditionalFormatting sqref="I1:I1048576">
    <cfRule type="duplicateValues" dxfId="552" priority="53889"/>
  </conditionalFormatting>
  <pageMargins left="0.7" right="0.7" top="0.75" bottom="0.75" header="0.3" footer="0.3"/>
  <pageSetup paperSize="9" orientation="portrait" r:id="rId1"/>
  <headerFooter>
    <oddHeader>&amp;C&amp;G</oddHeader>
    <oddFooter>&amp;C&amp;1#&amp;"Calibri"&amp;10&amp;KA80000CONFIDENTIAL</oddFooter>
  </headerFooter>
  <drawing r:id="rId2"/>
  <legacyDrawing r:id="rId3"/>
  <legacyDrawingHF r:id="rId4"/>
  <tableParts count="2">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B9DF5-8621-4F85-9134-AEF8C15E9B90}">
  <sheetPr codeName="Sheet15">
    <tabColor rgb="FF92D050"/>
  </sheetPr>
  <dimension ref="A1:V240"/>
  <sheetViews>
    <sheetView topLeftCell="A61" zoomScale="90" zoomScaleNormal="90" workbookViewId="0">
      <selection activeCell="A92" sqref="A92"/>
    </sheetView>
  </sheetViews>
  <sheetFormatPr defaultRowHeight="15"/>
  <cols>
    <col min="1" max="1" width="17.7109375" customWidth="1"/>
    <col min="2" max="2" width="17.140625" customWidth="1"/>
    <col min="7" max="7" width="9.5703125" bestFit="1" customWidth="1"/>
    <col min="8" max="8" width="10.140625" customWidth="1"/>
    <col min="9" max="9" width="12.5703125" bestFit="1" customWidth="1"/>
    <col min="10" max="10" width="16.140625" bestFit="1" customWidth="1"/>
    <col min="11" max="11" width="13.42578125" customWidth="1"/>
    <col min="12" max="12" width="14.7109375" customWidth="1"/>
    <col min="13" max="13" width="12" customWidth="1"/>
    <col min="14" max="14" width="12.28515625" bestFit="1" customWidth="1"/>
    <col min="15" max="15" width="11.28515625" customWidth="1"/>
    <col min="16" max="16" width="15.7109375" customWidth="1"/>
    <col min="17" max="18" width="8.42578125" bestFit="1" customWidth="1"/>
    <col min="20" max="20" width="15.140625" customWidth="1"/>
    <col min="22" max="22" width="26.42578125" customWidth="1"/>
  </cols>
  <sheetData>
    <row r="1" spans="1:22" ht="15.75" thickBot="1">
      <c r="A1" s="118" t="s">
        <v>0</v>
      </c>
      <c r="B1" s="6" t="s">
        <v>215</v>
      </c>
      <c r="C1" s="7" t="s">
        <v>263</v>
      </c>
      <c r="D1" s="7" t="s">
        <v>264</v>
      </c>
      <c r="E1" s="7" t="s">
        <v>265</v>
      </c>
      <c r="F1" s="7" t="s">
        <v>266</v>
      </c>
      <c r="G1" s="7" t="s">
        <v>267</v>
      </c>
      <c r="H1" s="7" t="s">
        <v>200</v>
      </c>
      <c r="I1" s="123" t="s">
        <v>201</v>
      </c>
      <c r="J1" s="124" t="s">
        <v>202</v>
      </c>
      <c r="K1" s="228" t="s">
        <v>532</v>
      </c>
      <c r="L1" s="229" t="s">
        <v>533</v>
      </c>
      <c r="M1" s="121" t="s">
        <v>324</v>
      </c>
      <c r="N1" s="124" t="s">
        <v>323</v>
      </c>
      <c r="O1" s="228" t="s">
        <v>528</v>
      </c>
      <c r="P1" s="229" t="s">
        <v>529</v>
      </c>
      <c r="Q1" s="122" t="s">
        <v>537</v>
      </c>
      <c r="R1" s="122" t="s">
        <v>536</v>
      </c>
      <c r="S1" s="344" t="s">
        <v>535</v>
      </c>
      <c r="T1" s="244" t="s">
        <v>566</v>
      </c>
      <c r="V1" s="21" t="s">
        <v>215</v>
      </c>
    </row>
    <row r="2" spans="1:22">
      <c r="A2" s="22" t="str">
        <f>'Raw Data'!I2</f>
        <v>Cameron Champ</v>
      </c>
      <c r="B2" s="137" t="e">
        <f t="shared" ref="B2:B65" si="0">VLOOKUP(A2,$V:$V,1,FALSE)</f>
        <v>#N/A</v>
      </c>
      <c r="C2">
        <f>'Raw Data'!J2</f>
        <v>1</v>
      </c>
      <c r="D2">
        <f>'Raw Data'!K2</f>
        <v>143</v>
      </c>
      <c r="E2">
        <f>'Raw Data'!L2</f>
        <v>179</v>
      </c>
      <c r="F2">
        <f>'Raw Data'!M2</f>
        <v>176</v>
      </c>
      <c r="G2">
        <f>'Raw Data'!N2</f>
        <v>25</v>
      </c>
      <c r="H2">
        <f>'Raw Data'!O2</f>
        <v>120</v>
      </c>
      <c r="I2">
        <f>'Raw Data'!P2</f>
        <v>280.60000000000002</v>
      </c>
      <c r="J2" s="14">
        <f>'Raw Data'!Q2</f>
        <v>462.0719040212586</v>
      </c>
      <c r="K2" s="14">
        <f>'Raw Data'!R2</f>
        <v>288.42544516207164</v>
      </c>
      <c r="L2" s="14">
        <f>'Raw Data'!S2</f>
        <v>489.62115606969746</v>
      </c>
      <c r="M2" s="16"/>
      <c r="Q2" s="23">
        <f>(VLOOKUP(A2,FEDEX!$A:$H,7,FALSE))/(VLOOKUP(A2,FEDEX!$A:$D,4,FALSE))</f>
        <v>0</v>
      </c>
      <c r="R2" s="23" t="e">
        <f>(VLOOKUP(B2,FEDEX!$A:$H,8,FALSE))/(VLOOKUP(B2,FEDEX!$A:$D,4,FALSE))</f>
        <v>#N/A</v>
      </c>
      <c r="S2" s="16" t="e">
        <f>VLOOKUP(B2,SG!$A:$F,6,FALSE)</f>
        <v>#N/A</v>
      </c>
      <c r="V2" t="str">
        <f>FIELD!G2</f>
        <v>Tyson Alexander</v>
      </c>
    </row>
    <row r="3" spans="1:22">
      <c r="A3" s="22" t="str">
        <f>'Raw Data'!I3</f>
        <v>Chris Gotterup</v>
      </c>
      <c r="B3" s="137" t="str">
        <f t="shared" si="0"/>
        <v>Chris Gotterup</v>
      </c>
      <c r="C3">
        <f>'Raw Data'!J3</f>
        <v>2</v>
      </c>
      <c r="D3">
        <f>'Raw Data'!K3</f>
        <v>182</v>
      </c>
      <c r="E3">
        <f>'Raw Data'!L3</f>
        <v>152</v>
      </c>
      <c r="F3">
        <f>'Raw Data'!M3</f>
        <v>122</v>
      </c>
      <c r="G3">
        <f>'Raw Data'!N3</f>
        <v>45</v>
      </c>
      <c r="H3">
        <f>'Raw Data'!O3</f>
        <v>108</v>
      </c>
      <c r="I3">
        <f>'Raw Data'!P3</f>
        <v>270.5</v>
      </c>
      <c r="J3" s="14">
        <f>'Raw Data'!Q3</f>
        <v>425.25928879807458</v>
      </c>
      <c r="K3" s="14" t="e">
        <f>'Raw Data'!R3</f>
        <v>#N/A</v>
      </c>
      <c r="L3" s="14" t="e">
        <f>'Raw Data'!S3</f>
        <v>#N/A</v>
      </c>
      <c r="M3" s="16"/>
      <c r="Q3" s="23">
        <f>(VLOOKUP(A3,FEDEX!$A:$H,7,FALSE))/(VLOOKUP(A3,FEDEX!$A:$D,4,FALSE))</f>
        <v>0</v>
      </c>
      <c r="R3" s="23">
        <f>(VLOOKUP(B3,FEDEX!$A:$H,8,FALSE))/(VLOOKUP(B3,FEDEX!$A:$D,4,FALSE))</f>
        <v>0</v>
      </c>
      <c r="S3" s="16">
        <f>VLOOKUP(B3,SG!$A:$F,6,FALSE)</f>
        <v>-18</v>
      </c>
      <c r="V3" t="str">
        <f>FIELD!G3</f>
        <v>Ryan Armour</v>
      </c>
    </row>
    <row r="4" spans="1:22">
      <c r="A4" s="22" t="str">
        <f>'Raw Data'!I4</f>
        <v>Kevin Dougherty</v>
      </c>
      <c r="B4" s="137" t="str">
        <f t="shared" si="0"/>
        <v>Kevin Dougherty</v>
      </c>
      <c r="C4">
        <f>'Raw Data'!J4</f>
        <v>3</v>
      </c>
      <c r="D4">
        <f>'Raw Data'!K4</f>
        <v>158</v>
      </c>
      <c r="E4">
        <f>'Raw Data'!L4</f>
        <v>114</v>
      </c>
      <c r="F4">
        <f>'Raw Data'!M4</f>
        <v>181</v>
      </c>
      <c r="G4">
        <f>'Raw Data'!N4</f>
        <v>77</v>
      </c>
      <c r="H4">
        <f>'Raw Data'!O4</f>
        <v>85</v>
      </c>
      <c r="I4">
        <f>'Raw Data'!P4</f>
        <v>272.39999999999998</v>
      </c>
      <c r="J4" s="14">
        <f>'Raw Data'!Q4</f>
        <v>411.16540351489198</v>
      </c>
      <c r="K4" s="14" t="e">
        <f>'Raw Data'!R4</f>
        <v>#N/A</v>
      </c>
      <c r="L4" s="14" t="e">
        <f>'Raw Data'!S4</f>
        <v>#N/A</v>
      </c>
      <c r="M4" s="16"/>
      <c r="Q4" s="23">
        <f>(VLOOKUP(A4,FEDEX!$A:$H,7,FALSE))/(VLOOKUP(A4,FEDEX!$A:$D,4,FALSE))</f>
        <v>0</v>
      </c>
      <c r="R4" s="23">
        <f>(VLOOKUP(B4,FEDEX!$A:$H,8,FALSE))/(VLOOKUP(B4,FEDEX!$A:$D,4,FALSE))</f>
        <v>0</v>
      </c>
      <c r="S4" s="16">
        <f>VLOOKUP(B4,SG!$A:$F,6,FALSE)</f>
        <v>24</v>
      </c>
      <c r="V4" t="str">
        <f>FIELD!G4</f>
        <v>Sangmoon Bae</v>
      </c>
    </row>
    <row r="5" spans="1:22">
      <c r="A5" s="22" t="str">
        <f>'Raw Data'!I5</f>
        <v>Rory McIlroy</v>
      </c>
      <c r="B5" s="137" t="e">
        <f t="shared" si="0"/>
        <v>#N/A</v>
      </c>
      <c r="C5">
        <f>'Raw Data'!J5</f>
        <v>4</v>
      </c>
      <c r="D5">
        <f>'Raw Data'!K5</f>
        <v>17</v>
      </c>
      <c r="E5">
        <f>'Raw Data'!L5</f>
        <v>61</v>
      </c>
      <c r="F5">
        <f>'Raw Data'!M5</f>
        <v>123</v>
      </c>
      <c r="G5">
        <f>'Raw Data'!N5</f>
        <v>78</v>
      </c>
      <c r="H5">
        <f>'Raw Data'!O5</f>
        <v>14</v>
      </c>
      <c r="I5">
        <f>'Raw Data'!P5</f>
        <v>143</v>
      </c>
      <c r="J5" s="14">
        <f>'Raw Data'!Q5</f>
        <v>191.26041074060163</v>
      </c>
      <c r="K5" s="14">
        <f>'Raw Data'!R5</f>
        <v>135.6945350756713</v>
      </c>
      <c r="L5" s="14">
        <f>'Raw Data'!S5</f>
        <v>160.5708116586604</v>
      </c>
      <c r="M5" s="16"/>
      <c r="Q5" s="23">
        <f>(VLOOKUP(A5,FEDEX!$A:$H,7,FALSE))/(VLOOKUP(A5,FEDEX!$A:$D,4,FALSE))</f>
        <v>0</v>
      </c>
      <c r="R5" s="23" t="e">
        <f>(VLOOKUP(B5,FEDEX!$A:$H,8,FALSE))/(VLOOKUP(B5,FEDEX!$A:$D,4,FALSE))</f>
        <v>#N/A</v>
      </c>
      <c r="S5" s="16" t="e">
        <f>VLOOKUP(B5,SG!$A:$F,6,FALSE)</f>
        <v>#N/A</v>
      </c>
      <c r="V5" t="str">
        <f>FIELD!G5</f>
        <v>Paul Barjon</v>
      </c>
    </row>
    <row r="6" spans="1:22">
      <c r="A6" s="22" t="str">
        <f>'Raw Data'!I6</f>
        <v>Carl Yuan</v>
      </c>
      <c r="B6" s="137" t="str">
        <f t="shared" si="0"/>
        <v>Carl Yuan</v>
      </c>
      <c r="C6">
        <f>'Raw Data'!J6</f>
        <v>5</v>
      </c>
      <c r="D6">
        <f>'Raw Data'!K6</f>
        <v>112</v>
      </c>
      <c r="E6">
        <f>'Raw Data'!L6</f>
        <v>131</v>
      </c>
      <c r="F6">
        <f>'Raw Data'!M6</f>
        <v>44</v>
      </c>
      <c r="G6">
        <f>'Raw Data'!N6</f>
        <v>133</v>
      </c>
      <c r="H6">
        <f>'Raw Data'!O6</f>
        <v>97</v>
      </c>
      <c r="I6">
        <f>'Raw Data'!P6</f>
        <v>236.29999999999998</v>
      </c>
      <c r="J6" s="14">
        <f>'Raw Data'!Q6</f>
        <v>362.29345769026048</v>
      </c>
      <c r="K6" s="14">
        <f>'Raw Data'!R6</f>
        <v>296.43236808749765</v>
      </c>
      <c r="L6" s="14">
        <f>'Raw Data'!S6</f>
        <v>456.28025579110471</v>
      </c>
      <c r="M6" s="16"/>
      <c r="Q6" s="23">
        <f>(VLOOKUP(A6,FEDEX!$A:$H,7,FALSE))/(VLOOKUP(A6,FEDEX!$A:$D,4,FALSE))</f>
        <v>0</v>
      </c>
      <c r="R6" s="23">
        <f>(VLOOKUP(B6,FEDEX!$A:$H,8,FALSE))/(VLOOKUP(B6,FEDEX!$A:$D,4,FALSE))</f>
        <v>0</v>
      </c>
      <c r="S6" s="16">
        <f>VLOOKUP(B6,SG!$A:$F,6,FALSE)</f>
        <v>29</v>
      </c>
      <c r="V6" t="str">
        <f>FIELD!G6</f>
        <v>Ricky Barnes</v>
      </c>
    </row>
    <row r="7" spans="1:22">
      <c r="A7" s="22" t="str">
        <f>'Raw Data'!I7</f>
        <v>Alejandro Tosti</v>
      </c>
      <c r="B7" s="137" t="e">
        <f t="shared" si="0"/>
        <v>#N/A</v>
      </c>
      <c r="C7">
        <f>'Raw Data'!J7</f>
        <v>6</v>
      </c>
      <c r="D7">
        <f>'Raw Data'!K7</f>
        <v>170</v>
      </c>
      <c r="E7">
        <f>'Raw Data'!L7</f>
        <v>173</v>
      </c>
      <c r="F7">
        <f>'Raw Data'!M7</f>
        <v>171</v>
      </c>
      <c r="G7">
        <f>'Raw Data'!N7</f>
        <v>133</v>
      </c>
      <c r="H7">
        <f>'Raw Data'!O7</f>
        <v>155</v>
      </c>
      <c r="I7">
        <f>'Raw Data'!P7</f>
        <v>346.4</v>
      </c>
      <c r="J7" s="14">
        <f>'Raw Data'!Q7</f>
        <v>561.89775637298874</v>
      </c>
      <c r="K7" s="14" t="e">
        <f>'Raw Data'!R7</f>
        <v>#N/A</v>
      </c>
      <c r="L7" s="14" t="e">
        <f>'Raw Data'!S7</f>
        <v>#N/A</v>
      </c>
      <c r="M7" s="16"/>
      <c r="Q7" s="23">
        <f>(VLOOKUP(A7,FEDEX!$A:$H,7,FALSE))/(VLOOKUP(A7,FEDEX!$A:$D,4,FALSE))</f>
        <v>0</v>
      </c>
      <c r="R7" s="23" t="e">
        <f>(VLOOKUP(B7,FEDEX!$A:$H,8,FALSE))/(VLOOKUP(B7,FEDEX!$A:$D,4,FALSE))</f>
        <v>#N/A</v>
      </c>
      <c r="S7" s="16" t="e">
        <f>VLOOKUP(B7,SG!$A:$F,6,FALSE)</f>
        <v>#N/A</v>
      </c>
      <c r="V7" t="str">
        <f>FIELD!G7</f>
        <v>Daniel Berger</v>
      </c>
    </row>
    <row r="8" spans="1:22" ht="15" customHeight="1">
      <c r="A8" s="22" t="str">
        <f>'Raw Data'!I8</f>
        <v>Wyndham Clark</v>
      </c>
      <c r="B8" s="137" t="e">
        <f t="shared" si="0"/>
        <v>#N/A</v>
      </c>
      <c r="C8">
        <f>'Raw Data'!J8</f>
        <v>7</v>
      </c>
      <c r="D8">
        <f>'Raw Data'!K8</f>
        <v>109</v>
      </c>
      <c r="E8">
        <f>'Raw Data'!L8</f>
        <v>33</v>
      </c>
      <c r="F8">
        <f>'Raw Data'!M8</f>
        <v>72</v>
      </c>
      <c r="G8">
        <f>'Raw Data'!N8</f>
        <v>15</v>
      </c>
      <c r="H8">
        <f>'Raw Data'!O8</f>
        <v>3</v>
      </c>
      <c r="I8">
        <f>'Raw Data'!P8</f>
        <v>120.19999999999999</v>
      </c>
      <c r="J8" s="14">
        <f>'Raw Data'!Q8</f>
        <v>140.86425535436575</v>
      </c>
      <c r="K8" s="14">
        <f>'Raw Data'!R8</f>
        <v>130.25466736942491</v>
      </c>
      <c r="L8" s="14">
        <f>'Raw Data'!S8</f>
        <v>150.0802234123164</v>
      </c>
      <c r="M8" s="16"/>
      <c r="Q8" s="23">
        <f>(VLOOKUP(A8,FEDEX!$A:$H,7,FALSE))/(VLOOKUP(A8,FEDEX!$A:$D,4,FALSE))</f>
        <v>0</v>
      </c>
      <c r="R8" s="23" t="e">
        <f>(VLOOKUP(B8,FEDEX!$A:$H,8,FALSE))/(VLOOKUP(B8,FEDEX!$A:$D,4,FALSE))</f>
        <v>#N/A</v>
      </c>
      <c r="S8" s="16" t="e">
        <f>VLOOKUP(B8,SG!$A:$F,6,FALSE)</f>
        <v>#N/A</v>
      </c>
      <c r="V8" t="str">
        <f>FIELD!G8</f>
        <v>Brandon Berry</v>
      </c>
    </row>
    <row r="9" spans="1:22">
      <c r="A9" s="22" t="str">
        <f>'Raw Data'!I9</f>
        <v>Vincent Norrman</v>
      </c>
      <c r="B9" s="137" t="e">
        <f t="shared" si="0"/>
        <v>#N/A</v>
      </c>
      <c r="C9">
        <f>'Raw Data'!J9</f>
        <v>8</v>
      </c>
      <c r="D9">
        <f>'Raw Data'!K9</f>
        <v>141</v>
      </c>
      <c r="E9">
        <f>'Raw Data'!L9</f>
        <v>154</v>
      </c>
      <c r="F9">
        <f>'Raw Data'!M9</f>
        <v>145</v>
      </c>
      <c r="G9">
        <f>'Raw Data'!N9</f>
        <v>180</v>
      </c>
      <c r="H9">
        <f>'Raw Data'!O9</f>
        <v>174</v>
      </c>
      <c r="I9">
        <f>'Raw Data'!P9</f>
        <v>333.5</v>
      </c>
      <c r="J9" s="14">
        <f>'Raw Data'!Q9</f>
        <v>560.46925991094088</v>
      </c>
      <c r="K9" s="14">
        <f>'Raw Data'!R9</f>
        <v>295.83489683834478</v>
      </c>
      <c r="L9" s="14">
        <f>'Raw Data'!S9</f>
        <v>465.26958535049448</v>
      </c>
      <c r="M9" s="16"/>
      <c r="Q9" s="23">
        <f>(VLOOKUP(A9,FEDEX!$A:$H,7,FALSE))/(VLOOKUP(A9,FEDEX!$A:$D,4,FALSE))</f>
        <v>0</v>
      </c>
      <c r="R9" s="23" t="e">
        <f>(VLOOKUP(B9,FEDEX!$A:$H,8,FALSE))/(VLOOKUP(B9,FEDEX!$A:$D,4,FALSE))</f>
        <v>#N/A</v>
      </c>
      <c r="S9" s="16" t="e">
        <f>VLOOKUP(B9,SG!$A:$F,6,FALSE)</f>
        <v>#N/A</v>
      </c>
      <c r="V9" t="str">
        <f>FIELD!G9</f>
        <v>Joseph Bramlett</v>
      </c>
    </row>
    <row r="10" spans="1:22" ht="15" customHeight="1">
      <c r="A10" s="22" t="str">
        <f>'Raw Data'!I10</f>
        <v>Taylor Pendrith</v>
      </c>
      <c r="B10" s="137" t="str">
        <f t="shared" si="0"/>
        <v>Taylor Pendrith</v>
      </c>
      <c r="C10">
        <f>'Raw Data'!J10</f>
        <v>9</v>
      </c>
      <c r="D10">
        <f>'Raw Data'!K10</f>
        <v>178</v>
      </c>
      <c r="E10">
        <f>'Raw Data'!L10</f>
        <v>121</v>
      </c>
      <c r="F10">
        <f>'Raw Data'!M10</f>
        <v>84</v>
      </c>
      <c r="G10">
        <f>'Raw Data'!N10</f>
        <v>22</v>
      </c>
      <c r="H10">
        <f>'Raw Data'!O10</f>
        <v>88</v>
      </c>
      <c r="I10">
        <f>'Raw Data'!P10</f>
        <v>226.39999999999998</v>
      </c>
      <c r="J10" s="14">
        <f>'Raw Data'!Q10</f>
        <v>346.59912310904326</v>
      </c>
      <c r="K10" s="14">
        <f>'Raw Data'!R10</f>
        <v>256.0852084240164</v>
      </c>
      <c r="L10" s="14">
        <f>'Raw Data'!S10</f>
        <v>378.72231522603965</v>
      </c>
      <c r="M10" s="16"/>
      <c r="Q10" s="23">
        <f>(VLOOKUP(A10,FEDEX!$A:$H,7,FALSE))/(VLOOKUP(A10,FEDEX!$A:$D,4,FALSE))</f>
        <v>0</v>
      </c>
      <c r="R10" s="23">
        <f>(VLOOKUP(B10,FEDEX!$A:$H,8,FALSE))/(VLOOKUP(B10,FEDEX!$A:$D,4,FALSE))</f>
        <v>0</v>
      </c>
      <c r="S10" s="16">
        <f>VLOOKUP(B10,SG!$A:$F,6,FALSE)</f>
        <v>-46</v>
      </c>
      <c r="V10" t="str">
        <f>FIELD!G10</f>
        <v>Ryan Brehm</v>
      </c>
    </row>
    <row r="11" spans="1:22" ht="15" customHeight="1">
      <c r="A11" s="22" t="str">
        <f>'Raw Data'!I11</f>
        <v>Min Woo Lee</v>
      </c>
      <c r="B11" s="137" t="e">
        <f t="shared" si="0"/>
        <v>#N/A</v>
      </c>
      <c r="C11">
        <f>'Raw Data'!J11</f>
        <v>10</v>
      </c>
      <c r="D11">
        <f>'Raw Data'!K11</f>
        <v>20</v>
      </c>
      <c r="E11">
        <f>'Raw Data'!L11</f>
        <v>133</v>
      </c>
      <c r="F11">
        <f>'Raw Data'!M11</f>
        <v>95</v>
      </c>
      <c r="G11">
        <f>'Raw Data'!N11</f>
        <v>154</v>
      </c>
      <c r="H11">
        <f>'Raw Data'!O11</f>
        <v>116</v>
      </c>
      <c r="I11">
        <f>'Raw Data'!P11</f>
        <v>227.1</v>
      </c>
      <c r="J11" s="14">
        <f>'Raw Data'!Q11</f>
        <v>381.89070417247461</v>
      </c>
      <c r="K11" s="14">
        <f>'Raw Data'!R11</f>
        <v>224.73863760021698</v>
      </c>
      <c r="L11" s="14">
        <f>'Raw Data'!S11</f>
        <v>325.11992049765354</v>
      </c>
      <c r="M11" s="16"/>
      <c r="Q11" s="23">
        <f>(VLOOKUP(A11,FEDEX!$A:$H,7,FALSE))/(VLOOKUP(A11,FEDEX!$A:$D,4,FALSE))</f>
        <v>0</v>
      </c>
      <c r="R11" s="23" t="e">
        <f>(VLOOKUP(B11,FEDEX!$A:$H,8,FALSE))/(VLOOKUP(B11,FEDEX!$A:$D,4,FALSE))</f>
        <v>#N/A</v>
      </c>
      <c r="S11" s="16" t="e">
        <f>VLOOKUP(B11,SG!$A:$F,6,FALSE)</f>
        <v>#N/A</v>
      </c>
      <c r="V11" t="str">
        <f>FIELD!G11</f>
        <v>Jacob Bridgeman</v>
      </c>
    </row>
    <row r="12" spans="1:22">
      <c r="A12" s="22" t="str">
        <f>'Raw Data'!I12</f>
        <v>Joseph Bramlett</v>
      </c>
      <c r="B12" s="137" t="str">
        <f t="shared" si="0"/>
        <v>Joseph Bramlett</v>
      </c>
      <c r="C12">
        <f>'Raw Data'!J12</f>
        <v>11</v>
      </c>
      <c r="D12">
        <f>'Raw Data'!K12</f>
        <v>166</v>
      </c>
      <c r="E12">
        <f>'Raw Data'!L12</f>
        <v>107</v>
      </c>
      <c r="F12">
        <f>'Raw Data'!M12</f>
        <v>62</v>
      </c>
      <c r="G12">
        <f>'Raw Data'!N12</f>
        <v>86</v>
      </c>
      <c r="H12">
        <f>'Raw Data'!O12</f>
        <v>64</v>
      </c>
      <c r="I12">
        <f>'Raw Data'!P12</f>
        <v>235.60000000000002</v>
      </c>
      <c r="J12" s="14">
        <f>'Raw Data'!Q12</f>
        <v>326.14568684594099</v>
      </c>
      <c r="K12" s="14">
        <f>'Raw Data'!R12</f>
        <v>234.87923531401972</v>
      </c>
      <c r="L12" s="14">
        <f>'Raw Data'!S12</f>
        <v>318.23177237534679</v>
      </c>
      <c r="M12" s="16"/>
      <c r="Q12" s="23">
        <f>(VLOOKUP(A12,FEDEX!$A:$H,7,FALSE))/(VLOOKUP(A12,FEDEX!$A:$D,4,FALSE))</f>
        <v>0</v>
      </c>
      <c r="R12" s="23">
        <f>(VLOOKUP(B12,FEDEX!$A:$H,8,FALSE))/(VLOOKUP(B12,FEDEX!$A:$D,4,FALSE))</f>
        <v>0</v>
      </c>
      <c r="S12" s="16">
        <f>VLOOKUP(B12,SG!$A:$F,6,FALSE)</f>
        <v>4</v>
      </c>
      <c r="V12" t="str">
        <f>FIELD!G12</f>
        <v>Wesley Bryan</v>
      </c>
    </row>
    <row r="13" spans="1:22">
      <c r="A13" s="22" t="str">
        <f>'Raw Data'!I13</f>
        <v>Garrick Higgo</v>
      </c>
      <c r="B13" s="137" t="str">
        <f t="shared" si="0"/>
        <v>Garrick Higgo</v>
      </c>
      <c r="C13">
        <f>'Raw Data'!J13</f>
        <v>11</v>
      </c>
      <c r="D13">
        <f>'Raw Data'!K13</f>
        <v>164</v>
      </c>
      <c r="E13">
        <f>'Raw Data'!L13</f>
        <v>146</v>
      </c>
      <c r="F13">
        <f>'Raw Data'!M13</f>
        <v>125</v>
      </c>
      <c r="G13">
        <f>'Raw Data'!N13</f>
        <v>39</v>
      </c>
      <c r="H13">
        <f>'Raw Data'!O13</f>
        <v>117</v>
      </c>
      <c r="I13">
        <f>'Raw Data'!P13</f>
        <v>263.60000000000002</v>
      </c>
      <c r="J13" s="14">
        <f>'Raw Data'!Q13</f>
        <v>424.52444848562902</v>
      </c>
      <c r="K13" s="14">
        <f>'Raw Data'!R13</f>
        <v>281.92801630064139</v>
      </c>
      <c r="L13" s="14">
        <f>'Raw Data'!S13</f>
        <v>426.49559939029621</v>
      </c>
      <c r="M13" s="16"/>
      <c r="Q13" s="23">
        <f>(VLOOKUP(A13,FEDEX!$A:$H,7,FALSE))/(VLOOKUP(A13,FEDEX!$A:$D,4,FALSE))</f>
        <v>0</v>
      </c>
      <c r="R13" s="23">
        <f>(VLOOKUP(B13,FEDEX!$A:$H,8,FALSE))/(VLOOKUP(B13,FEDEX!$A:$D,4,FALSE))</f>
        <v>0</v>
      </c>
      <c r="S13" s="16">
        <f>VLOOKUP(B13,SG!$A:$F,6,FALSE)</f>
        <v>14</v>
      </c>
      <c r="V13" t="str">
        <f>FIELD!G13</f>
        <v>Hayden Buckley</v>
      </c>
    </row>
    <row r="14" spans="1:22" ht="15" customHeight="1">
      <c r="A14" s="22" t="str">
        <f>'Raw Data'!I14</f>
        <v>Stephan Jaeger</v>
      </c>
      <c r="B14" s="137" t="e">
        <f t="shared" si="0"/>
        <v>#N/A</v>
      </c>
      <c r="C14">
        <f>'Raw Data'!J14</f>
        <v>11</v>
      </c>
      <c r="D14">
        <f>'Raw Data'!K14</f>
        <v>67</v>
      </c>
      <c r="E14">
        <f>'Raw Data'!L14</f>
        <v>69</v>
      </c>
      <c r="F14">
        <f>'Raw Data'!M14</f>
        <v>35</v>
      </c>
      <c r="G14">
        <f>'Raw Data'!N14</f>
        <v>69</v>
      </c>
      <c r="H14">
        <f>'Raw Data'!O14</f>
        <v>15</v>
      </c>
      <c r="I14">
        <f>'Raw Data'!P14</f>
        <v>140.19999999999999</v>
      </c>
      <c r="J14" s="14">
        <f>'Raw Data'!Q14</f>
        <v>170.54726586334175</v>
      </c>
      <c r="K14" s="14">
        <f>'Raw Data'!R14</f>
        <v>175.72340238045666</v>
      </c>
      <c r="L14" s="14">
        <f>'Raw Data'!S14</f>
        <v>204.22086630719036</v>
      </c>
      <c r="M14" s="16"/>
      <c r="Q14" s="23">
        <f>(VLOOKUP(A14,FEDEX!$A:$H,7,FALSE))/(VLOOKUP(A14,FEDEX!$A:$D,4,FALSE))</f>
        <v>0</v>
      </c>
      <c r="R14" s="23" t="e">
        <f>(VLOOKUP(B14,FEDEX!$A:$H,8,FALSE))/(VLOOKUP(B14,FEDEX!$A:$D,4,FALSE))</f>
        <v>#N/A</v>
      </c>
      <c r="S14" s="16" t="e">
        <f>VLOOKUP(B14,SG!$A:$F,6,FALSE)</f>
        <v>#N/A</v>
      </c>
      <c r="V14" t="str">
        <f>FIELD!G14</f>
        <v>Jonathan Byrd</v>
      </c>
    </row>
    <row r="15" spans="1:22">
      <c r="A15" s="22" t="str">
        <f>'Raw Data'!I15</f>
        <v>Gary Woodland</v>
      </c>
      <c r="B15" s="137" t="e">
        <f t="shared" si="0"/>
        <v>#N/A</v>
      </c>
      <c r="C15">
        <f>'Raw Data'!J15</f>
        <v>14</v>
      </c>
      <c r="D15">
        <f>'Raw Data'!K15</f>
        <v>165</v>
      </c>
      <c r="E15">
        <f>'Raw Data'!L15</f>
        <v>51</v>
      </c>
      <c r="F15">
        <f>'Raw Data'!M15</f>
        <v>128</v>
      </c>
      <c r="G15">
        <f>'Raw Data'!N15</f>
        <v>177</v>
      </c>
      <c r="H15">
        <f>'Raw Data'!O15</f>
        <v>156</v>
      </c>
      <c r="I15">
        <f>'Raw Data'!P15</f>
        <v>270.5</v>
      </c>
      <c r="J15" s="14">
        <f>'Raw Data'!Q15</f>
        <v>459.59547759847379</v>
      </c>
      <c r="K15" s="14">
        <f>'Raw Data'!R15</f>
        <v>254.59340982297329</v>
      </c>
      <c r="L15" s="14">
        <f>'Raw Data'!S15</f>
        <v>399.66844869877514</v>
      </c>
      <c r="M15" s="16"/>
      <c r="Q15" s="23">
        <f>(VLOOKUP(A15,FEDEX!$A:$H,7,FALSE))/(VLOOKUP(A15,FEDEX!$A:$D,4,FALSE))</f>
        <v>0</v>
      </c>
      <c r="R15" s="23" t="e">
        <f>(VLOOKUP(B15,FEDEX!$A:$H,8,FALSE))/(VLOOKUP(B15,FEDEX!$A:$D,4,FALSE))</f>
        <v>#N/A</v>
      </c>
      <c r="S15" s="16" t="e">
        <f>VLOOKUP(B15,SG!$A:$F,6,FALSE)</f>
        <v>#N/A</v>
      </c>
      <c r="V15" t="str">
        <f>FIELD!G15</f>
        <v>Jorge Campillo</v>
      </c>
    </row>
    <row r="16" spans="1:22">
      <c r="A16" s="22" t="str">
        <f>'Raw Data'!I16</f>
        <v>Byeong Hun An</v>
      </c>
      <c r="B16" s="137" t="e">
        <f t="shared" si="0"/>
        <v>#N/A</v>
      </c>
      <c r="C16">
        <f>'Raw Data'!J16</f>
        <v>15</v>
      </c>
      <c r="D16">
        <f>'Raw Data'!K16</f>
        <v>87</v>
      </c>
      <c r="E16">
        <f>'Raw Data'!L16</f>
        <v>77</v>
      </c>
      <c r="F16">
        <f>'Raw Data'!M16</f>
        <v>55</v>
      </c>
      <c r="G16">
        <f>'Raw Data'!N16</f>
        <v>101</v>
      </c>
      <c r="H16">
        <f>'Raw Data'!O16</f>
        <v>35</v>
      </c>
      <c r="I16">
        <f>'Raw Data'!P16</f>
        <v>183.4</v>
      </c>
      <c r="J16" s="14">
        <f>'Raw Data'!Q16</f>
        <v>238.52081991888124</v>
      </c>
      <c r="K16" s="14">
        <f>'Raw Data'!R16</f>
        <v>212.38503701477842</v>
      </c>
      <c r="L16" s="14">
        <f>'Raw Data'!S16</f>
        <v>267.91651735545435</v>
      </c>
      <c r="M16" s="16"/>
      <c r="Q16" s="23">
        <f>(VLOOKUP(A16,FEDEX!$A:$H,7,FALSE))/(VLOOKUP(A16,FEDEX!$A:$D,4,FALSE))</f>
        <v>0</v>
      </c>
      <c r="R16" s="23" t="e">
        <f>(VLOOKUP(B16,FEDEX!$A:$H,8,FALSE))/(VLOOKUP(B16,FEDEX!$A:$D,4,FALSE))</f>
        <v>#N/A</v>
      </c>
      <c r="S16" s="16" t="e">
        <f>VLOOKUP(B16,SG!$A:$F,6,FALSE)</f>
        <v>#N/A</v>
      </c>
      <c r="V16" t="str">
        <f>FIELD!G16</f>
        <v>Rafael Campos</v>
      </c>
    </row>
    <row r="17" spans="1:22">
      <c r="A17" s="22" t="str">
        <f>'Raw Data'!I17</f>
        <v>Jhonattan Vegas</v>
      </c>
      <c r="B17" s="137" t="str">
        <f t="shared" si="0"/>
        <v>Jhonattan Vegas</v>
      </c>
      <c r="C17">
        <f>'Raw Data'!J17</f>
        <v>16</v>
      </c>
      <c r="D17">
        <f>'Raw Data'!K17</f>
        <v>134</v>
      </c>
      <c r="E17">
        <f>'Raw Data'!L17</f>
        <v>21</v>
      </c>
      <c r="F17">
        <f>'Raw Data'!M17</f>
        <v>160</v>
      </c>
      <c r="G17">
        <f>'Raw Data'!N17</f>
        <v>179</v>
      </c>
      <c r="H17">
        <f>'Raw Data'!O17</f>
        <v>126</v>
      </c>
      <c r="I17">
        <f>'Raw Data'!P17</f>
        <v>249.60000000000002</v>
      </c>
      <c r="J17" s="14">
        <f>'Raw Data'!Q17</f>
        <v>410.44288657433356</v>
      </c>
      <c r="K17" s="14" t="e">
        <f>'Raw Data'!R17</f>
        <v>#N/A</v>
      </c>
      <c r="L17" s="14" t="e">
        <f>'Raw Data'!S17</f>
        <v>#N/A</v>
      </c>
      <c r="M17" s="16"/>
      <c r="Q17" s="23">
        <f>(VLOOKUP(A17,FEDEX!$A:$H,7,FALSE))/(VLOOKUP(A17,FEDEX!$A:$D,4,FALSE))</f>
        <v>0</v>
      </c>
      <c r="R17" s="23">
        <f>(VLOOKUP(B17,FEDEX!$A:$H,8,FALSE))/(VLOOKUP(B17,FEDEX!$A:$D,4,FALSE))</f>
        <v>0</v>
      </c>
      <c r="S17" s="16">
        <f>VLOOKUP(B17,SG!$A:$F,6,FALSE)</f>
        <v>13</v>
      </c>
      <c r="V17" t="str">
        <f>FIELD!G17</f>
        <v>Bud Cauley</v>
      </c>
    </row>
    <row r="18" spans="1:22">
      <c r="A18" s="22" t="str">
        <f>'Raw Data'!I18</f>
        <v>Wilson Furr</v>
      </c>
      <c r="B18" s="137" t="str">
        <f t="shared" si="0"/>
        <v>Wilson Furr</v>
      </c>
      <c r="C18">
        <f>'Raw Data'!J18</f>
        <v>17</v>
      </c>
      <c r="D18">
        <f>'Raw Data'!K18</f>
        <v>175</v>
      </c>
      <c r="E18">
        <f>'Raw Data'!L18</f>
        <v>171</v>
      </c>
      <c r="F18">
        <f>'Raw Data'!M18</f>
        <v>14</v>
      </c>
      <c r="G18">
        <f>'Raw Data'!N18</f>
        <v>31</v>
      </c>
      <c r="H18">
        <f>'Raw Data'!O18</f>
        <v>110</v>
      </c>
      <c r="I18">
        <f>'Raw Data'!P18</f>
        <v>243.6</v>
      </c>
      <c r="J18" s="14">
        <f>'Raw Data'!Q18</f>
        <v>376.68106914178225</v>
      </c>
      <c r="K18" s="14" t="e">
        <f>'Raw Data'!R18</f>
        <v>#N/A</v>
      </c>
      <c r="L18" s="14" t="e">
        <f>'Raw Data'!S18</f>
        <v>#N/A</v>
      </c>
      <c r="M18" s="16"/>
      <c r="Q18" s="23">
        <f>(VLOOKUP(A18,FEDEX!$A:$H,7,FALSE))/(VLOOKUP(A18,FEDEX!$A:$D,4,FALSE))</f>
        <v>0</v>
      </c>
      <c r="R18" s="23">
        <f>(VLOOKUP(B18,FEDEX!$A:$H,8,FALSE))/(VLOOKUP(B18,FEDEX!$A:$D,4,FALSE))</f>
        <v>0</v>
      </c>
      <c r="S18" s="16">
        <f>VLOOKUP(B18,SG!$A:$F,6,FALSE)</f>
        <v>0</v>
      </c>
      <c r="V18" t="str">
        <f>FIELD!G18</f>
        <v>Ryan Celano</v>
      </c>
    </row>
    <row r="19" spans="1:22">
      <c r="A19" s="22" t="str">
        <f>'Raw Data'!I19</f>
        <v>Lanto Griffin</v>
      </c>
      <c r="B19" s="137" t="str">
        <f t="shared" si="0"/>
        <v>Lanto Griffin</v>
      </c>
      <c r="C19">
        <f>'Raw Data'!J19</f>
        <v>18</v>
      </c>
      <c r="D19">
        <f>'Raw Data'!K19</f>
        <v>129</v>
      </c>
      <c r="E19">
        <f>'Raw Data'!L19</f>
        <v>82</v>
      </c>
      <c r="F19">
        <f>'Raw Data'!M19</f>
        <v>151</v>
      </c>
      <c r="G19">
        <f>'Raw Data'!N19</f>
        <v>139</v>
      </c>
      <c r="H19">
        <f>'Raw Data'!O19</f>
        <v>128</v>
      </c>
      <c r="I19">
        <f>'Raw Data'!P19</f>
        <v>268</v>
      </c>
      <c r="J19" s="14">
        <f>'Raw Data'!Q19</f>
        <v>436.31277177992092</v>
      </c>
      <c r="K19" s="14">
        <f>'Raw Data'!R19</f>
        <v>294.33365263420808</v>
      </c>
      <c r="L19" s="14">
        <f>'Raw Data'!S19</f>
        <v>466.79628227578712</v>
      </c>
      <c r="M19" s="16"/>
      <c r="Q19" s="23">
        <f>(VLOOKUP(A19,FEDEX!$A:$H,7,FALSE))/(VLOOKUP(A19,FEDEX!$A:$D,4,FALSE))</f>
        <v>0</v>
      </c>
      <c r="R19" s="23">
        <f>(VLOOKUP(B19,FEDEX!$A:$H,8,FALSE))/(VLOOKUP(B19,FEDEX!$A:$D,4,FALSE))</f>
        <v>0</v>
      </c>
      <c r="S19" s="16">
        <f>VLOOKUP(B19,SG!$A:$F,6,FALSE)</f>
        <v>12</v>
      </c>
      <c r="V19" t="str">
        <f>FIELD!G19</f>
        <v>Kevin Chappell</v>
      </c>
    </row>
    <row r="20" spans="1:22" ht="15" customHeight="1">
      <c r="A20" s="22" t="str">
        <f>'Raw Data'!I20</f>
        <v>Ludvig Åberg</v>
      </c>
      <c r="B20" s="137" t="e">
        <f t="shared" si="0"/>
        <v>#N/A</v>
      </c>
      <c r="C20">
        <f>'Raw Data'!J20</f>
        <v>19</v>
      </c>
      <c r="D20">
        <f>'Raw Data'!K20</f>
        <v>33</v>
      </c>
      <c r="E20">
        <f>'Raw Data'!L20</f>
        <v>26</v>
      </c>
      <c r="F20">
        <f>'Raw Data'!M20</f>
        <v>108</v>
      </c>
      <c r="G20">
        <f>'Raw Data'!N20</f>
        <v>76</v>
      </c>
      <c r="H20">
        <f>'Raw Data'!O20</f>
        <v>12</v>
      </c>
      <c r="I20">
        <f>'Raw Data'!P20</f>
        <v>133</v>
      </c>
      <c r="J20" s="14">
        <f>'Raw Data'!Q20</f>
        <v>167.03950199726233</v>
      </c>
      <c r="K20" s="14">
        <f>'Raw Data'!R20</f>
        <v>131.61681824547594</v>
      </c>
      <c r="L20" s="14">
        <f>'Raw Data'!S20</f>
        <v>164.78918372275578</v>
      </c>
      <c r="M20" s="16"/>
      <c r="Q20" s="23">
        <f>(VLOOKUP(A20,FEDEX!$A:$H,7,FALSE))/(VLOOKUP(A20,FEDEX!$A:$D,4,FALSE))</f>
        <v>0</v>
      </c>
      <c r="R20" s="23" t="e">
        <f>(VLOOKUP(B20,FEDEX!$A:$H,8,FALSE))/(VLOOKUP(B20,FEDEX!$A:$D,4,FALSE))</f>
        <v>#N/A</v>
      </c>
      <c r="S20" s="16" t="e">
        <f>VLOOKUP(B20,SG!$A:$F,6,FALSE)</f>
        <v>#N/A</v>
      </c>
      <c r="V20" t="str">
        <f>FIELD!G20</f>
        <v>Erik Compton</v>
      </c>
    </row>
    <row r="21" spans="1:22">
      <c r="A21" s="22" t="str">
        <f>'Raw Data'!I21</f>
        <v>Hayden Springer</v>
      </c>
      <c r="B21" s="137" t="str">
        <f t="shared" si="0"/>
        <v>Hayden Springer</v>
      </c>
      <c r="C21">
        <f>'Raw Data'!J21</f>
        <v>20</v>
      </c>
      <c r="D21">
        <f>'Raw Data'!K21</f>
        <v>147</v>
      </c>
      <c r="E21">
        <f>'Raw Data'!L21</f>
        <v>147</v>
      </c>
      <c r="F21">
        <f>'Raw Data'!M21</f>
        <v>81</v>
      </c>
      <c r="G21">
        <f>'Raw Data'!N21</f>
        <v>41</v>
      </c>
      <c r="H21">
        <f>'Raw Data'!O21</f>
        <v>62</v>
      </c>
      <c r="I21">
        <f>'Raw Data'!P21</f>
        <v>247.29999999999998</v>
      </c>
      <c r="J21" s="14">
        <f>'Raw Data'!Q21</f>
        <v>341.99609967559826</v>
      </c>
      <c r="K21" s="14" t="e">
        <f>'Raw Data'!R21</f>
        <v>#N/A</v>
      </c>
      <c r="L21" s="14" t="e">
        <f>'Raw Data'!S21</f>
        <v>#N/A</v>
      </c>
      <c r="M21" s="16"/>
      <c r="Q21" s="23">
        <f>(VLOOKUP(A21,FEDEX!$A:$H,7,FALSE))/(VLOOKUP(A21,FEDEX!$A:$D,4,FALSE))</f>
        <v>0</v>
      </c>
      <c r="R21" s="23">
        <f>(VLOOKUP(B21,FEDEX!$A:$H,8,FALSE))/(VLOOKUP(B21,FEDEX!$A:$D,4,FALSE))</f>
        <v>0</v>
      </c>
      <c r="S21" s="16">
        <f>VLOOKUP(B21,SG!$A:$F,6,FALSE)</f>
        <v>-55</v>
      </c>
      <c r="V21" t="str">
        <f>FIELD!G21</f>
        <v>Parker Coody</v>
      </c>
    </row>
    <row r="22" spans="1:22" ht="15" customHeight="1">
      <c r="A22" s="22" t="str">
        <f>'Raw Data'!I22</f>
        <v>Nicolai Højgaard</v>
      </c>
      <c r="B22" s="137" t="str">
        <f t="shared" si="0"/>
        <v>Nicolai Højgaard</v>
      </c>
      <c r="C22">
        <f>'Raw Data'!J22</f>
        <v>21</v>
      </c>
      <c r="D22">
        <f>'Raw Data'!K22</f>
        <v>46</v>
      </c>
      <c r="E22">
        <f>'Raw Data'!L22</f>
        <v>65</v>
      </c>
      <c r="F22">
        <f>'Raw Data'!M22</f>
        <v>170</v>
      </c>
      <c r="G22">
        <f>'Raw Data'!N22</f>
        <v>153</v>
      </c>
      <c r="H22">
        <f>'Raw Data'!O22</f>
        <v>124</v>
      </c>
      <c r="I22">
        <f>'Raw Data'!P22</f>
        <v>231.9</v>
      </c>
      <c r="J22" s="14">
        <f>'Raw Data'!Q22</f>
        <v>397.18682749626191</v>
      </c>
      <c r="K22" s="14">
        <f>'Raw Data'!R22</f>
        <v>204.44229767694173</v>
      </c>
      <c r="L22" s="14">
        <f>'Raw Data'!S22</f>
        <v>314.00383766170842</v>
      </c>
      <c r="M22" s="16"/>
      <c r="Q22" s="23">
        <f>(VLOOKUP(A22,FEDEX!$A:$H,7,FALSE))/(VLOOKUP(A22,FEDEX!$A:$D,4,FALSE))</f>
        <v>0</v>
      </c>
      <c r="R22" s="23">
        <f>(VLOOKUP(B22,FEDEX!$A:$H,8,FALSE))/(VLOOKUP(B22,FEDEX!$A:$D,4,FALSE))</f>
        <v>0</v>
      </c>
      <c r="S22" s="16">
        <f>VLOOKUP(B22,SG!$A:$F,6,FALSE)</f>
        <v>-76</v>
      </c>
      <c r="V22" t="str">
        <f>FIELD!G22</f>
        <v>Pierceson Coody</v>
      </c>
    </row>
    <row r="23" spans="1:22">
      <c r="A23" s="22" t="str">
        <f>'Raw Data'!I23</f>
        <v>Callum Tarren</v>
      </c>
      <c r="B23" s="137" t="str">
        <f t="shared" si="0"/>
        <v>Callum Tarren</v>
      </c>
      <c r="C23">
        <f>'Raw Data'!J23</f>
        <v>22</v>
      </c>
      <c r="D23">
        <f>'Raw Data'!K23</f>
        <v>180</v>
      </c>
      <c r="E23">
        <f>'Raw Data'!L23</f>
        <v>161</v>
      </c>
      <c r="F23">
        <f>'Raw Data'!M23</f>
        <v>163</v>
      </c>
      <c r="G23">
        <f>'Raw Data'!N23</f>
        <v>120</v>
      </c>
      <c r="H23">
        <f>'Raw Data'!O23</f>
        <v>175</v>
      </c>
      <c r="I23">
        <f>'Raw Data'!P23</f>
        <v>347.7</v>
      </c>
      <c r="J23" s="14">
        <f>'Raw Data'!Q23</f>
        <v>575.17551385113745</v>
      </c>
      <c r="K23" s="14">
        <f>'Raw Data'!R23</f>
        <v>321.70098811285419</v>
      </c>
      <c r="L23" s="14">
        <f>'Raw Data'!S23</f>
        <v>510.63028799237628</v>
      </c>
      <c r="M23" s="16"/>
      <c r="Q23" s="23">
        <f>(VLOOKUP(A23,FEDEX!$A:$H,7,FALSE))/(VLOOKUP(A23,FEDEX!$A:$D,4,FALSE))</f>
        <v>0</v>
      </c>
      <c r="R23" s="23">
        <f>(VLOOKUP(B23,FEDEX!$A:$H,8,FALSE))/(VLOOKUP(B23,FEDEX!$A:$D,4,FALSE))</f>
        <v>0</v>
      </c>
      <c r="S23" s="16">
        <f>VLOOKUP(B23,SG!$A:$F,6,FALSE)</f>
        <v>3</v>
      </c>
      <c r="V23" t="str">
        <f>FIELD!G23</f>
        <v>Austin Cook</v>
      </c>
    </row>
    <row r="24" spans="1:22" ht="15" customHeight="1">
      <c r="A24" s="22" t="str">
        <f>'Raw Data'!I24</f>
        <v>Rico Hoey</v>
      </c>
      <c r="B24" s="137" t="str">
        <f t="shared" si="0"/>
        <v>Rico Hoey</v>
      </c>
      <c r="C24">
        <f>'Raw Data'!J24</f>
        <v>23</v>
      </c>
      <c r="D24">
        <f>'Raw Data'!K24</f>
        <v>128</v>
      </c>
      <c r="E24">
        <f>'Raw Data'!L24</f>
        <v>44</v>
      </c>
      <c r="F24">
        <f>'Raw Data'!M24</f>
        <v>153</v>
      </c>
      <c r="G24">
        <f>'Raw Data'!N24</f>
        <v>178</v>
      </c>
      <c r="H24">
        <f>'Raw Data'!O24</f>
        <v>125</v>
      </c>
      <c r="I24">
        <f>'Raw Data'!P24</f>
        <v>265.7</v>
      </c>
      <c r="J24" s="14">
        <f>'Raw Data'!Q24</f>
        <v>425.45576051556253</v>
      </c>
      <c r="K24" s="14" t="e">
        <f>'Raw Data'!R24</f>
        <v>#N/A</v>
      </c>
      <c r="L24" s="14" t="e">
        <f>'Raw Data'!S24</f>
        <v>#N/A</v>
      </c>
      <c r="M24" s="16"/>
      <c r="Q24" s="23">
        <f>(VLOOKUP(A24,FEDEX!$A:$H,7,FALSE))/(VLOOKUP(A24,FEDEX!$A:$D,4,FALSE))</f>
        <v>0</v>
      </c>
      <c r="R24" s="23">
        <f>(VLOOKUP(B24,FEDEX!$A:$H,8,FALSE))/(VLOOKUP(B24,FEDEX!$A:$D,4,FALSE))</f>
        <v>0</v>
      </c>
      <c r="S24" s="16">
        <f>VLOOKUP(B24,SG!$A:$F,6,FALSE)</f>
        <v>30</v>
      </c>
      <c r="V24" t="str">
        <f>FIELD!G24</f>
        <v>Trace Crowe</v>
      </c>
    </row>
    <row r="25" spans="1:22" ht="15" customHeight="1">
      <c r="A25" s="22" t="str">
        <f>'Raw Data'!I25</f>
        <v>Kevin Yu</v>
      </c>
      <c r="B25" s="137" t="str">
        <f t="shared" si="0"/>
        <v>Kevin Yu</v>
      </c>
      <c r="C25">
        <f>'Raw Data'!J25</f>
        <v>23</v>
      </c>
      <c r="D25">
        <f>'Raw Data'!K25</f>
        <v>103</v>
      </c>
      <c r="E25">
        <f>'Raw Data'!L25</f>
        <v>40</v>
      </c>
      <c r="F25">
        <f>'Raw Data'!M25</f>
        <v>180</v>
      </c>
      <c r="G25">
        <f>'Raw Data'!N25</f>
        <v>169</v>
      </c>
      <c r="H25">
        <f>'Raw Data'!O25</f>
        <v>115</v>
      </c>
      <c r="I25">
        <f>'Raw Data'!P25</f>
        <v>256.7</v>
      </c>
      <c r="J25" s="14">
        <f>'Raw Data'!Q25</f>
        <v>411.20490989202995</v>
      </c>
      <c r="K25" s="14">
        <f>'Raw Data'!R25</f>
        <v>247.74192461710223</v>
      </c>
      <c r="L25" s="14">
        <f>'Raw Data'!S25</f>
        <v>378.62932492495349</v>
      </c>
      <c r="M25" s="16"/>
      <c r="Q25" s="23">
        <f>(VLOOKUP(A25,FEDEX!$A:$H,7,FALSE))/(VLOOKUP(A25,FEDEX!$A:$D,4,FALSE))</f>
        <v>0</v>
      </c>
      <c r="R25" s="23">
        <f>(VLOOKUP(B25,FEDEX!$A:$H,8,FALSE))/(VLOOKUP(B25,FEDEX!$A:$D,4,FALSE))</f>
        <v>0</v>
      </c>
      <c r="S25" s="16">
        <f>VLOOKUP(B25,SG!$A:$F,6,FALSE)</f>
        <v>10</v>
      </c>
      <c r="V25" t="str">
        <f>FIELD!G25</f>
        <v>MJ Daffue</v>
      </c>
    </row>
    <row r="26" spans="1:22">
      <c r="A26" s="22" t="str">
        <f>'Raw Data'!I26</f>
        <v>Paul Barjon</v>
      </c>
      <c r="B26" s="137" t="str">
        <f t="shared" si="0"/>
        <v>Paul Barjon</v>
      </c>
      <c r="C26">
        <f>'Raw Data'!J26</f>
        <v>25</v>
      </c>
      <c r="D26">
        <f>'Raw Data'!K26</f>
        <v>168</v>
      </c>
      <c r="E26">
        <f>'Raw Data'!L26</f>
        <v>165</v>
      </c>
      <c r="F26">
        <f>'Raw Data'!M26</f>
        <v>179</v>
      </c>
      <c r="G26">
        <f>'Raw Data'!N26</f>
        <v>156</v>
      </c>
      <c r="H26">
        <f>'Raw Data'!O26</f>
        <v>179</v>
      </c>
      <c r="I26">
        <f>'Raw Data'!P26</f>
        <v>371.6</v>
      </c>
      <c r="J26" s="14">
        <f>'Raw Data'!Q26</f>
        <v>606.84848991051661</v>
      </c>
      <c r="K26" s="14" t="e">
        <f>'Raw Data'!R26</f>
        <v>#N/A</v>
      </c>
      <c r="L26" s="14" t="e">
        <f>'Raw Data'!S26</f>
        <v>#N/A</v>
      </c>
      <c r="M26" s="16"/>
      <c r="Q26" s="23">
        <f>(VLOOKUP(A26,FEDEX!$A:$H,7,FALSE))/(VLOOKUP(A26,FEDEX!$A:$D,4,FALSE))</f>
        <v>0</v>
      </c>
      <c r="R26" s="23">
        <f>(VLOOKUP(B26,FEDEX!$A:$H,8,FALSE))/(VLOOKUP(B26,FEDEX!$A:$D,4,FALSE))</f>
        <v>0</v>
      </c>
      <c r="S26" s="16">
        <f>VLOOKUP(B26,SG!$A:$F,6,FALSE)</f>
        <v>-4</v>
      </c>
      <c r="V26" t="str">
        <f>FIELD!G26</f>
        <v>Joel Dahmen</v>
      </c>
    </row>
    <row r="27" spans="1:22">
      <c r="A27" s="22" t="str">
        <f>'Raw Data'!I27</f>
        <v>Keith Mitchell</v>
      </c>
      <c r="B27" s="137" t="e">
        <f t="shared" si="0"/>
        <v>#N/A</v>
      </c>
      <c r="C27">
        <f>'Raw Data'!J27</f>
        <v>26</v>
      </c>
      <c r="D27">
        <f>'Raw Data'!K27</f>
        <v>95</v>
      </c>
      <c r="E27">
        <f>'Raw Data'!L27</f>
        <v>11</v>
      </c>
      <c r="F27">
        <f>'Raw Data'!M27</f>
        <v>142</v>
      </c>
      <c r="G27">
        <f>'Raw Data'!N27</f>
        <v>142</v>
      </c>
      <c r="H27">
        <f>'Raw Data'!O27</f>
        <v>23</v>
      </c>
      <c r="I27">
        <f>'Raw Data'!P27</f>
        <v>206.4</v>
      </c>
      <c r="J27" s="14">
        <f>'Raw Data'!Q27</f>
        <v>255.64805363833938</v>
      </c>
      <c r="K27" s="14">
        <f>'Raw Data'!R27</f>
        <v>222.87290528743978</v>
      </c>
      <c r="L27" s="14">
        <f>'Raw Data'!S27</f>
        <v>298.54476853619065</v>
      </c>
      <c r="M27" s="16"/>
      <c r="Q27" s="23">
        <f>(VLOOKUP(A27,FEDEX!$A:$H,7,FALSE))/(VLOOKUP(A27,FEDEX!$A:$D,4,FALSE))</f>
        <v>0</v>
      </c>
      <c r="R27" s="23" t="e">
        <f>(VLOOKUP(B27,FEDEX!$A:$H,8,FALSE))/(VLOOKUP(B27,FEDEX!$A:$D,4,FALSE))</f>
        <v>#N/A</v>
      </c>
      <c r="S27" s="16" t="e">
        <f>VLOOKUP(B27,SG!$A:$F,6,FALSE)</f>
        <v>#N/A</v>
      </c>
      <c r="V27" t="str">
        <f>FIELD!G27</f>
        <v>Joe Deraney</v>
      </c>
    </row>
    <row r="28" spans="1:22">
      <c r="A28" s="22" t="str">
        <f>'Raw Data'!I28</f>
        <v>Pierceson Coody</v>
      </c>
      <c r="B28" s="137" t="str">
        <f t="shared" si="0"/>
        <v>Pierceson Coody</v>
      </c>
      <c r="C28">
        <f>'Raw Data'!J28</f>
        <v>27</v>
      </c>
      <c r="D28">
        <f>'Raw Data'!K28</f>
        <v>159</v>
      </c>
      <c r="E28">
        <f>'Raw Data'!L28</f>
        <v>175</v>
      </c>
      <c r="F28">
        <f>'Raw Data'!M28</f>
        <v>175</v>
      </c>
      <c r="G28">
        <f>'Raw Data'!N28</f>
        <v>14</v>
      </c>
      <c r="H28">
        <f>'Raw Data'!O28</f>
        <v>170</v>
      </c>
      <c r="I28">
        <f>'Raw Data'!P28</f>
        <v>303.29999999999995</v>
      </c>
      <c r="J28" s="14">
        <f>'Raw Data'!Q28</f>
        <v>526.60169742644791</v>
      </c>
      <c r="K28" s="14" t="e">
        <f>'Raw Data'!R28</f>
        <v>#N/A</v>
      </c>
      <c r="L28" s="14" t="e">
        <f>'Raw Data'!S28</f>
        <v>#N/A</v>
      </c>
      <c r="M28" s="16"/>
      <c r="Q28" s="23">
        <f>(VLOOKUP(A28,FEDEX!$A:$H,7,FALSE))/(VLOOKUP(A28,FEDEX!$A:$D,4,FALSE))</f>
        <v>0</v>
      </c>
      <c r="R28" s="23">
        <f>(VLOOKUP(B28,FEDEX!$A:$H,8,FALSE))/(VLOOKUP(B28,FEDEX!$A:$D,4,FALSE))</f>
        <v>0</v>
      </c>
      <c r="S28" s="16">
        <f>VLOOKUP(B28,SG!$A:$F,6,FALSE)</f>
        <v>11</v>
      </c>
      <c r="V28" t="str">
        <f>FIELD!G28</f>
        <v>Zecheng Dou</v>
      </c>
    </row>
    <row r="29" spans="1:22">
      <c r="A29" s="22" t="str">
        <f>'Raw Data'!I29</f>
        <v>Jake Knapp</v>
      </c>
      <c r="B29" s="137" t="e">
        <f t="shared" si="0"/>
        <v>#N/A</v>
      </c>
      <c r="C29">
        <f>'Raw Data'!J29</f>
        <v>27</v>
      </c>
      <c r="D29">
        <f>'Raw Data'!K29</f>
        <v>80</v>
      </c>
      <c r="E29">
        <f>'Raw Data'!L29</f>
        <v>18</v>
      </c>
      <c r="F29">
        <f>'Raw Data'!M29</f>
        <v>58</v>
      </c>
      <c r="G29">
        <f>'Raw Data'!N29</f>
        <v>61</v>
      </c>
      <c r="H29">
        <f>'Raw Data'!O29</f>
        <v>36</v>
      </c>
      <c r="I29">
        <f>'Raw Data'!P29</f>
        <v>130.6</v>
      </c>
      <c r="J29" s="14">
        <f>'Raw Data'!Q29</f>
        <v>174.77490806448611</v>
      </c>
      <c r="K29" s="14" t="e">
        <f>'Raw Data'!R29</f>
        <v>#N/A</v>
      </c>
      <c r="L29" s="14" t="e">
        <f>'Raw Data'!S29</f>
        <v>#N/A</v>
      </c>
      <c r="M29" s="16"/>
      <c r="Q29" s="23">
        <f>(VLOOKUP(A29,FEDEX!$A:$H,7,FALSE))/(VLOOKUP(A29,FEDEX!$A:$D,4,FALSE))</f>
        <v>0</v>
      </c>
      <c r="R29" s="23" t="e">
        <f>(VLOOKUP(B29,FEDEX!$A:$H,8,FALSE))/(VLOOKUP(B29,FEDEX!$A:$D,4,FALSE))</f>
        <v>#N/A</v>
      </c>
      <c r="S29" s="16" t="e">
        <f>VLOOKUP(B29,SG!$A:$F,6,FALSE)</f>
        <v>#N/A</v>
      </c>
      <c r="V29" t="str">
        <f>FIELD!G29</f>
        <v>Kevin Dougherty</v>
      </c>
    </row>
    <row r="30" spans="1:22" ht="15" customHeight="1">
      <c r="A30" s="22" t="str">
        <f>'Raw Data'!I30</f>
        <v>Sam Stevens</v>
      </c>
      <c r="B30" s="137" t="str">
        <f t="shared" si="0"/>
        <v>Sam Stevens</v>
      </c>
      <c r="C30">
        <f>'Raw Data'!J30</f>
        <v>27</v>
      </c>
      <c r="D30">
        <f>'Raw Data'!K30</f>
        <v>161</v>
      </c>
      <c r="E30">
        <f>'Raw Data'!L30</f>
        <v>136</v>
      </c>
      <c r="F30">
        <f>'Raw Data'!M30</f>
        <v>87</v>
      </c>
      <c r="G30">
        <f>'Raw Data'!N30</f>
        <v>66</v>
      </c>
      <c r="H30">
        <f>'Raw Data'!O30</f>
        <v>83</v>
      </c>
      <c r="I30">
        <f>'Raw Data'!P30</f>
        <v>267.8</v>
      </c>
      <c r="J30" s="14">
        <f>'Raw Data'!Q30</f>
        <v>381.74367832089183</v>
      </c>
      <c r="K30" s="14">
        <f>'Raw Data'!R30</f>
        <v>278.15155377579299</v>
      </c>
      <c r="L30" s="14">
        <f>'Raw Data'!S30</f>
        <v>394.38101689153018</v>
      </c>
      <c r="M30" s="16"/>
      <c r="Q30" s="23">
        <f>(VLOOKUP(A30,FEDEX!$A:$H,7,FALSE))/(VLOOKUP(A30,FEDEX!$A:$D,4,FALSE))</f>
        <v>0</v>
      </c>
      <c r="R30" s="23">
        <f>(VLOOKUP(B30,FEDEX!$A:$H,8,FALSE))/(VLOOKUP(B30,FEDEX!$A:$D,4,FALSE))</f>
        <v>0</v>
      </c>
      <c r="S30" s="16">
        <f>VLOOKUP(B30,SG!$A:$F,6,FALSE)</f>
        <v>-11</v>
      </c>
      <c r="V30" t="str">
        <f>FIELD!G30</f>
        <v>Jason Dufner</v>
      </c>
    </row>
    <row r="31" spans="1:22">
      <c r="A31" s="22" t="str">
        <f>'Raw Data'!I31</f>
        <v>Ryan Fox</v>
      </c>
      <c r="B31" s="137" t="e">
        <f t="shared" si="0"/>
        <v>#N/A</v>
      </c>
      <c r="C31">
        <f>'Raw Data'!J31</f>
        <v>30</v>
      </c>
      <c r="D31">
        <f>'Raw Data'!K31</f>
        <v>125</v>
      </c>
      <c r="E31">
        <f>'Raw Data'!L31</f>
        <v>87</v>
      </c>
      <c r="F31">
        <f>'Raw Data'!M31</f>
        <v>139</v>
      </c>
      <c r="G31">
        <f>'Raw Data'!N31</f>
        <v>89</v>
      </c>
      <c r="H31">
        <f>'Raw Data'!O31</f>
        <v>142</v>
      </c>
      <c r="I31">
        <f>'Raw Data'!P31</f>
        <v>250.5</v>
      </c>
      <c r="J31" s="14">
        <f>'Raw Data'!Q31</f>
        <v>426.72521719907616</v>
      </c>
      <c r="K31" s="14">
        <f>'Raw Data'!R31</f>
        <v>247.94643368395558</v>
      </c>
      <c r="L31" s="14">
        <f>'Raw Data'!S31</f>
        <v>376.67770821999875</v>
      </c>
      <c r="M31" s="16"/>
      <c r="Q31" s="23">
        <f>(VLOOKUP(A31,FEDEX!$A:$H,7,FALSE))/(VLOOKUP(A31,FEDEX!$A:$D,4,FALSE))</f>
        <v>0</v>
      </c>
      <c r="R31" s="23" t="e">
        <f>(VLOOKUP(B31,FEDEX!$A:$H,8,FALSE))/(VLOOKUP(B31,FEDEX!$A:$D,4,FALSE))</f>
        <v>#N/A</v>
      </c>
      <c r="S31" s="16" t="e">
        <f>VLOOKUP(B31,SG!$A:$F,6,FALSE)</f>
        <v>#N/A</v>
      </c>
      <c r="V31" t="str">
        <f>FIELD!G31</f>
        <v>Adrien Dumont de Chassart</v>
      </c>
    </row>
    <row r="32" spans="1:22">
      <c r="A32" s="22" t="str">
        <f>'Raw Data'!I32</f>
        <v>Max Greyserman</v>
      </c>
      <c r="B32" s="137" t="str">
        <f t="shared" si="0"/>
        <v>Max Greyserman</v>
      </c>
      <c r="C32">
        <f>'Raw Data'!J32</f>
        <v>30</v>
      </c>
      <c r="D32">
        <f>'Raw Data'!K32</f>
        <v>139</v>
      </c>
      <c r="E32">
        <f>'Raw Data'!L32</f>
        <v>63</v>
      </c>
      <c r="F32">
        <f>'Raw Data'!M32</f>
        <v>83</v>
      </c>
      <c r="G32">
        <f>'Raw Data'!N32</f>
        <v>81</v>
      </c>
      <c r="H32">
        <f>'Raw Data'!O32</f>
        <v>59</v>
      </c>
      <c r="I32">
        <f>'Raw Data'!P32</f>
        <v>214.3</v>
      </c>
      <c r="J32" s="14">
        <f>'Raw Data'!Q32</f>
        <v>292.53220891762896</v>
      </c>
      <c r="K32" s="14" t="e">
        <f>'Raw Data'!R32</f>
        <v>#N/A</v>
      </c>
      <c r="L32" s="14" t="e">
        <f>'Raw Data'!S32</f>
        <v>#N/A</v>
      </c>
      <c r="M32" s="16"/>
      <c r="Q32" s="23">
        <f>(VLOOKUP(A32,FEDEX!$A:$H,7,FALSE))/(VLOOKUP(A32,FEDEX!$A:$D,4,FALSE))</f>
        <v>0</v>
      </c>
      <c r="R32" s="23">
        <f>(VLOOKUP(B32,FEDEX!$A:$H,8,FALSE))/(VLOOKUP(B32,FEDEX!$A:$D,4,FALSE))</f>
        <v>0</v>
      </c>
      <c r="S32" s="16">
        <f>VLOOKUP(B32,SG!$A:$F,6,FALSE)</f>
        <v>51</v>
      </c>
      <c r="V32" t="str">
        <f>FIELD!G32</f>
        <v>Tyler Duncan</v>
      </c>
    </row>
    <row r="33" spans="1:22" ht="15" customHeight="1">
      <c r="A33" s="22" t="str">
        <f>'Raw Data'!I33</f>
        <v>Ryan McCormick</v>
      </c>
      <c r="B33" s="137" t="str">
        <f t="shared" si="0"/>
        <v>Ryan McCormick</v>
      </c>
      <c r="C33">
        <f>'Raw Data'!J33</f>
        <v>32</v>
      </c>
      <c r="D33">
        <f>'Raw Data'!K33</f>
        <v>181</v>
      </c>
      <c r="E33">
        <f>'Raw Data'!L33</f>
        <v>155</v>
      </c>
      <c r="F33">
        <f>'Raw Data'!M33</f>
        <v>99</v>
      </c>
      <c r="G33">
        <f>'Raw Data'!N33</f>
        <v>124</v>
      </c>
      <c r="H33">
        <f>'Raw Data'!O33</f>
        <v>173</v>
      </c>
      <c r="I33">
        <f>'Raw Data'!P33</f>
        <v>329.40000000000003</v>
      </c>
      <c r="J33" s="14">
        <f>'Raw Data'!Q33</f>
        <v>538.33514609198437</v>
      </c>
      <c r="K33" s="14" t="e">
        <f>'Raw Data'!R33</f>
        <v>#N/A</v>
      </c>
      <c r="L33" s="14" t="e">
        <f>'Raw Data'!S33</f>
        <v>#N/A</v>
      </c>
      <c r="M33" s="16"/>
      <c r="Q33" s="23">
        <f>(VLOOKUP(A33,FEDEX!$A:$H,7,FALSE))/(VLOOKUP(A33,FEDEX!$A:$D,4,FALSE))</f>
        <v>0</v>
      </c>
      <c r="R33" s="23">
        <f>(VLOOKUP(B33,FEDEX!$A:$H,8,FALSE))/(VLOOKUP(B33,FEDEX!$A:$D,4,FALSE))</f>
        <v>0</v>
      </c>
      <c r="S33" s="16">
        <f>VLOOKUP(B33,SG!$A:$F,6,FALSE)</f>
        <v>-100</v>
      </c>
      <c r="V33" t="str">
        <f>FIELD!G33</f>
        <v>Nico Echavarria</v>
      </c>
    </row>
    <row r="34" spans="1:22">
      <c r="A34" s="22" t="str">
        <f>'Raw Data'!I34</f>
        <v>Patrick Rodgers</v>
      </c>
      <c r="B34" s="137" t="e">
        <f t="shared" si="0"/>
        <v>#N/A</v>
      </c>
      <c r="C34">
        <f>'Raw Data'!J34</f>
        <v>32</v>
      </c>
      <c r="D34">
        <f>'Raw Data'!K34</f>
        <v>140</v>
      </c>
      <c r="E34">
        <f>'Raw Data'!L34</f>
        <v>118</v>
      </c>
      <c r="F34">
        <f>'Raw Data'!M34</f>
        <v>75</v>
      </c>
      <c r="G34">
        <f>'Raw Data'!N34</f>
        <v>123</v>
      </c>
      <c r="H34">
        <f>'Raw Data'!O34</f>
        <v>103</v>
      </c>
      <c r="I34">
        <f>'Raw Data'!P34</f>
        <v>272.89999999999998</v>
      </c>
      <c r="J34" s="14">
        <f>'Raw Data'!Q34</f>
        <v>401.68693962834629</v>
      </c>
      <c r="K34" s="14">
        <f>'Raw Data'!R34</f>
        <v>261.40380325861452</v>
      </c>
      <c r="L34" s="14">
        <f>'Raw Data'!S34</f>
        <v>363.09638169606768</v>
      </c>
      <c r="M34" s="16"/>
      <c r="Q34" s="23">
        <f>(VLOOKUP(A34,FEDEX!$A:$H,7,FALSE))/(VLOOKUP(A34,FEDEX!$A:$D,4,FALSE))</f>
        <v>0</v>
      </c>
      <c r="R34" s="23" t="e">
        <f>(VLOOKUP(B34,FEDEX!$A:$H,8,FALSE))/(VLOOKUP(B34,FEDEX!$A:$D,4,FALSE))</f>
        <v>#N/A</v>
      </c>
      <c r="S34" s="16" t="e">
        <f>VLOOKUP(B34,SG!$A:$F,6,FALSE)</f>
        <v>#N/A</v>
      </c>
      <c r="V34" t="str">
        <f>FIELD!G34</f>
        <v>Harrison Endycott</v>
      </c>
    </row>
    <row r="35" spans="1:22">
      <c r="A35" s="22" t="str">
        <f>'Raw Data'!I35</f>
        <v>Jimmy Stanger</v>
      </c>
      <c r="B35" s="137" t="str">
        <f t="shared" si="0"/>
        <v>Jimmy Stanger</v>
      </c>
      <c r="C35">
        <f>'Raw Data'!J35</f>
        <v>32</v>
      </c>
      <c r="D35">
        <f>'Raw Data'!K35</f>
        <v>101</v>
      </c>
      <c r="E35">
        <f>'Raw Data'!L35</f>
        <v>158</v>
      </c>
      <c r="F35">
        <f>'Raw Data'!M35</f>
        <v>92</v>
      </c>
      <c r="G35">
        <f>'Raw Data'!N35</f>
        <v>92</v>
      </c>
      <c r="H35">
        <f>'Raw Data'!O35</f>
        <v>87</v>
      </c>
      <c r="I35">
        <f>'Raw Data'!P35</f>
        <v>272.7</v>
      </c>
      <c r="J35" s="14">
        <f>'Raw Data'!Q35</f>
        <v>394.01783913313329</v>
      </c>
      <c r="K35" s="14" t="e">
        <f>'Raw Data'!R35</f>
        <v>#N/A</v>
      </c>
      <c r="L35" s="14" t="e">
        <f>'Raw Data'!S35</f>
        <v>#N/A</v>
      </c>
      <c r="M35" s="16"/>
      <c r="Q35" s="23">
        <f>(VLOOKUP(A35,FEDEX!$A:$H,7,FALSE))/(VLOOKUP(A35,FEDEX!$A:$D,4,FALSE))</f>
        <v>0</v>
      </c>
      <c r="R35" s="23">
        <f>(VLOOKUP(B35,FEDEX!$A:$H,8,FALSE))/(VLOOKUP(B35,FEDEX!$A:$D,4,FALSE))</f>
        <v>0</v>
      </c>
      <c r="S35" s="16">
        <f>VLOOKUP(B35,SG!$A:$F,6,FALSE)</f>
        <v>8</v>
      </c>
      <c r="V35" t="str">
        <f>FIELD!G35</f>
        <v>Patrick Fishburn</v>
      </c>
    </row>
    <row r="36" spans="1:22">
      <c r="A36" s="22" t="str">
        <f>'Raw Data'!I36</f>
        <v>Tony Finau</v>
      </c>
      <c r="B36" s="137" t="e">
        <f t="shared" si="0"/>
        <v>#N/A</v>
      </c>
      <c r="C36">
        <f>'Raw Data'!J36</f>
        <v>35</v>
      </c>
      <c r="D36">
        <f>'Raw Data'!K36</f>
        <v>44</v>
      </c>
      <c r="E36">
        <f>'Raw Data'!L36</f>
        <v>7</v>
      </c>
      <c r="F36">
        <f>'Raw Data'!M36</f>
        <v>32</v>
      </c>
      <c r="G36">
        <f>'Raw Data'!N36</f>
        <v>160</v>
      </c>
      <c r="H36">
        <f>'Raw Data'!O36</f>
        <v>28</v>
      </c>
      <c r="I36">
        <f>'Raw Data'!P36</f>
        <v>151.19999999999999</v>
      </c>
      <c r="J36" s="14">
        <f>'Raw Data'!Q36</f>
        <v>180.44592119207954</v>
      </c>
      <c r="K36" s="14">
        <f>'Raw Data'!R36</f>
        <v>170.14581460291021</v>
      </c>
      <c r="L36" s="14">
        <f>'Raw Data'!S36</f>
        <v>189.54433157418424</v>
      </c>
      <c r="M36" s="16"/>
      <c r="Q36" s="23">
        <f>(VLOOKUP(A36,FEDEX!$A:$H,7,FALSE))/(VLOOKUP(A36,FEDEX!$A:$D,4,FALSE))</f>
        <v>0</v>
      </c>
      <c r="R36" s="23" t="e">
        <f>(VLOOKUP(B36,FEDEX!$A:$H,8,FALSE))/(VLOOKUP(B36,FEDEX!$A:$D,4,FALSE))</f>
        <v>#N/A</v>
      </c>
      <c r="S36" s="16" t="e">
        <f>VLOOKUP(B36,SG!$A:$F,6,FALSE)</f>
        <v>#N/A</v>
      </c>
      <c r="V36" t="str">
        <f>FIELD!G36</f>
        <v>Alex Fitzpatrick</v>
      </c>
    </row>
    <row r="37" spans="1:22">
      <c r="A37" s="22" t="str">
        <f>'Raw Data'!I37</f>
        <v>Ryan Brehm</v>
      </c>
      <c r="B37" s="137" t="str">
        <f t="shared" si="0"/>
        <v>Ryan Brehm</v>
      </c>
      <c r="C37">
        <f>'Raw Data'!J37</f>
        <v>36</v>
      </c>
      <c r="D37">
        <f>'Raw Data'!K37</f>
        <v>172</v>
      </c>
      <c r="E37">
        <f>'Raw Data'!L37</f>
        <v>168</v>
      </c>
      <c r="F37">
        <f>'Raw Data'!M37</f>
        <v>159</v>
      </c>
      <c r="G37">
        <f>'Raw Data'!N37</f>
        <v>68</v>
      </c>
      <c r="H37">
        <f>'Raw Data'!O37</f>
        <v>163</v>
      </c>
      <c r="I37">
        <f>'Raw Data'!P37</f>
        <v>333.6</v>
      </c>
      <c r="J37" s="14">
        <f>'Raw Data'!Q37</f>
        <v>544.31078016412221</v>
      </c>
      <c r="K37" s="14">
        <f>'Raw Data'!R37</f>
        <v>348.6330920218744</v>
      </c>
      <c r="L37" s="14">
        <f>'Raw Data'!S37</f>
        <v>573.64993449888448</v>
      </c>
      <c r="M37" s="16"/>
      <c r="Q37" s="23">
        <f>(VLOOKUP(A37,FEDEX!$A:$H,7,FALSE))/(VLOOKUP(A37,FEDEX!$A:$D,4,FALSE))</f>
        <v>0</v>
      </c>
      <c r="R37" s="23">
        <f>(VLOOKUP(B37,FEDEX!$A:$H,8,FALSE))/(VLOOKUP(B37,FEDEX!$A:$D,4,FALSE))</f>
        <v>0</v>
      </c>
      <c r="S37" s="16">
        <f>VLOOKUP(B37,SG!$A:$F,6,FALSE)</f>
        <v>14</v>
      </c>
      <c r="V37" t="str">
        <f>FIELD!G37</f>
        <v>Wilson Furr</v>
      </c>
    </row>
    <row r="38" spans="1:22">
      <c r="A38" s="22" t="str">
        <f>'Raw Data'!I38</f>
        <v>Kurt Kitayama</v>
      </c>
      <c r="B38" s="137" t="e">
        <f t="shared" si="0"/>
        <v>#N/A</v>
      </c>
      <c r="C38">
        <f>'Raw Data'!J38</f>
        <v>37</v>
      </c>
      <c r="D38">
        <f>'Raw Data'!K38</f>
        <v>44</v>
      </c>
      <c r="E38">
        <f>'Raw Data'!L38</f>
        <v>34</v>
      </c>
      <c r="F38">
        <f>'Raw Data'!M38</f>
        <v>135</v>
      </c>
      <c r="G38">
        <f>'Raw Data'!N38</f>
        <v>109</v>
      </c>
      <c r="H38">
        <f>'Raw Data'!O38</f>
        <v>46</v>
      </c>
      <c r="I38">
        <f>'Raw Data'!P38</f>
        <v>187.6</v>
      </c>
      <c r="J38" s="14">
        <f>'Raw Data'!Q38</f>
        <v>258.01409575680498</v>
      </c>
      <c r="K38" s="14">
        <f>'Raw Data'!R38</f>
        <v>228.45706105671073</v>
      </c>
      <c r="L38" s="14">
        <f>'Raw Data'!S38</f>
        <v>318.03561985708768</v>
      </c>
      <c r="M38" s="16"/>
      <c r="Q38" s="23">
        <f>(VLOOKUP(A38,FEDEX!$A:$H,7,FALSE))/(VLOOKUP(A38,FEDEX!$A:$D,4,FALSE))</f>
        <v>0</v>
      </c>
      <c r="R38" s="23" t="e">
        <f>(VLOOKUP(B38,FEDEX!$A:$H,8,FALSE))/(VLOOKUP(B38,FEDEX!$A:$D,4,FALSE))</f>
        <v>#N/A</v>
      </c>
      <c r="S38" s="16" t="e">
        <f>VLOOKUP(B38,SG!$A:$F,6,FALSE)</f>
        <v>#N/A</v>
      </c>
      <c r="V38" t="str">
        <f>FIELD!G38</f>
        <v>Tommy Gainey</v>
      </c>
    </row>
    <row r="39" spans="1:22" ht="15" customHeight="1">
      <c r="A39" s="22" t="str">
        <f>'Raw Data'!I39</f>
        <v>Norman Xiong</v>
      </c>
      <c r="B39" s="137" t="e">
        <f t="shared" si="0"/>
        <v>#N/A</v>
      </c>
      <c r="C39">
        <f>'Raw Data'!J39</f>
        <v>37</v>
      </c>
      <c r="D39">
        <f>'Raw Data'!K39</f>
        <v>119</v>
      </c>
      <c r="E39">
        <f>'Raw Data'!L39</f>
        <v>183</v>
      </c>
      <c r="F39">
        <f>'Raw Data'!M39</f>
        <v>136</v>
      </c>
      <c r="G39">
        <f>'Raw Data'!N39</f>
        <v>48</v>
      </c>
      <c r="H39">
        <f>'Raw Data'!O39</f>
        <v>162</v>
      </c>
      <c r="I39">
        <f>'Raw Data'!P39</f>
        <v>299.3</v>
      </c>
      <c r="J39" s="14">
        <f>'Raw Data'!Q39</f>
        <v>505.80962352882921</v>
      </c>
      <c r="K39" s="14" t="e">
        <f>'Raw Data'!R39</f>
        <v>#N/A</v>
      </c>
      <c r="L39" s="14" t="e">
        <f>'Raw Data'!S39</f>
        <v>#N/A</v>
      </c>
      <c r="M39" s="16"/>
      <c r="Q39" s="23">
        <f>(VLOOKUP(A39,FEDEX!$A:$H,7,FALSE))/(VLOOKUP(A39,FEDEX!$A:$D,4,FALSE))</f>
        <v>0</v>
      </c>
      <c r="R39" s="23" t="e">
        <f>(VLOOKUP(B39,FEDEX!$A:$H,8,FALSE))/(VLOOKUP(B39,FEDEX!$A:$D,4,FALSE))</f>
        <v>#N/A</v>
      </c>
      <c r="S39" s="16" t="e">
        <f>VLOOKUP(B39,SG!$A:$F,6,FALSE)</f>
        <v>#N/A</v>
      </c>
      <c r="V39" t="str">
        <f>FIELD!G39</f>
        <v>Doug Ghim</v>
      </c>
    </row>
    <row r="40" spans="1:22">
      <c r="A40" s="22" t="str">
        <f>'Raw Data'!I40</f>
        <v>Justin Thomas</v>
      </c>
      <c r="B40" s="137" t="e">
        <f t="shared" si="0"/>
        <v>#N/A</v>
      </c>
      <c r="C40">
        <f>'Raw Data'!J40</f>
        <v>39</v>
      </c>
      <c r="D40">
        <f>'Raw Data'!K40</f>
        <v>97</v>
      </c>
      <c r="E40">
        <f>'Raw Data'!L40</f>
        <v>6</v>
      </c>
      <c r="F40">
        <f>'Raw Data'!M40</f>
        <v>39</v>
      </c>
      <c r="G40">
        <f>'Raw Data'!N40</f>
        <v>171</v>
      </c>
      <c r="H40">
        <f>'Raw Data'!O40</f>
        <v>56</v>
      </c>
      <c r="I40">
        <f>'Raw Data'!P40</f>
        <v>188.9</v>
      </c>
      <c r="J40" s="14">
        <f>'Raw Data'!Q40</f>
        <v>246.52195885831887</v>
      </c>
      <c r="K40" s="14">
        <f>'Raw Data'!R40</f>
        <v>199.1691806688238</v>
      </c>
      <c r="L40" s="14">
        <f>'Raw Data'!S40</f>
        <v>239.24788718850436</v>
      </c>
      <c r="M40" s="16"/>
      <c r="Q40" s="23">
        <f>(VLOOKUP(A40,FEDEX!$A:$H,7,FALSE))/(VLOOKUP(A40,FEDEX!$A:$D,4,FALSE))</f>
        <v>0</v>
      </c>
      <c r="R40" s="23" t="e">
        <f>(VLOOKUP(B40,FEDEX!$A:$H,8,FALSE))/(VLOOKUP(B40,FEDEX!$A:$D,4,FALSE))</f>
        <v>#N/A</v>
      </c>
      <c r="S40" s="16" t="e">
        <f>VLOOKUP(B40,SG!$A:$F,6,FALSE)</f>
        <v>#N/A</v>
      </c>
      <c r="V40" t="str">
        <f>FIELD!G40</f>
        <v>Chris Gotterup</v>
      </c>
    </row>
    <row r="41" spans="1:22" ht="15" customHeight="1">
      <c r="A41" s="22" t="str">
        <f>'Raw Data'!I41</f>
        <v>Patrick Fishburn</v>
      </c>
      <c r="B41" s="137" t="str">
        <f t="shared" si="0"/>
        <v>Patrick Fishburn</v>
      </c>
      <c r="C41">
        <f>'Raw Data'!J41</f>
        <v>40</v>
      </c>
      <c r="D41">
        <f>'Raw Data'!K41</f>
        <v>137</v>
      </c>
      <c r="E41">
        <f>'Raw Data'!L41</f>
        <v>170</v>
      </c>
      <c r="F41">
        <f>'Raw Data'!M41</f>
        <v>182</v>
      </c>
      <c r="G41">
        <f>'Raw Data'!N41</f>
        <v>97</v>
      </c>
      <c r="H41">
        <f>'Raw Data'!O41</f>
        <v>169</v>
      </c>
      <c r="I41">
        <f>'Raw Data'!P41</f>
        <v>344.8</v>
      </c>
      <c r="J41" s="14">
        <f>'Raw Data'!Q41</f>
        <v>566.01565172047935</v>
      </c>
      <c r="K41" s="14" t="e">
        <f>'Raw Data'!R41</f>
        <v>#N/A</v>
      </c>
      <c r="L41" s="14" t="e">
        <f>'Raw Data'!S41</f>
        <v>#N/A</v>
      </c>
      <c r="M41" s="16"/>
      <c r="Q41" s="23">
        <f>(VLOOKUP(A41,FEDEX!$A:$H,7,FALSE))/(VLOOKUP(A41,FEDEX!$A:$D,4,FALSE))</f>
        <v>0</v>
      </c>
      <c r="R41" s="23">
        <f>(VLOOKUP(B41,FEDEX!$A:$H,8,FALSE))/(VLOOKUP(B41,FEDEX!$A:$D,4,FALSE))</f>
        <v>0</v>
      </c>
      <c r="S41" s="16">
        <f>VLOOKUP(B41,SG!$A:$F,6,FALSE)</f>
        <v>5</v>
      </c>
      <c r="V41" t="str">
        <f>FIELD!G41</f>
        <v>Max Greyserman</v>
      </c>
    </row>
    <row r="42" spans="1:22">
      <c r="A42" s="22" t="str">
        <f>'Raw Data'!I42</f>
        <v>Adrien Dumont de Chassart</v>
      </c>
      <c r="B42" s="137" t="str">
        <f t="shared" si="0"/>
        <v>Adrien Dumont de Chassart</v>
      </c>
      <c r="C42">
        <f>'Raw Data'!J42</f>
        <v>41</v>
      </c>
      <c r="D42">
        <f>'Raw Data'!K42</f>
        <v>162</v>
      </c>
      <c r="E42">
        <f>'Raw Data'!L42</f>
        <v>174</v>
      </c>
      <c r="F42">
        <f>'Raw Data'!M42</f>
        <v>178</v>
      </c>
      <c r="G42">
        <f>'Raw Data'!N42</f>
        <v>173</v>
      </c>
      <c r="H42">
        <f>'Raw Data'!O42</f>
        <v>183</v>
      </c>
      <c r="I42">
        <f>'Raw Data'!P42</f>
        <v>397.4</v>
      </c>
      <c r="J42" s="14">
        <f>'Raw Data'!Q42</f>
        <v>633.69273322871629</v>
      </c>
      <c r="K42" s="14" t="e">
        <f>'Raw Data'!R42</f>
        <v>#N/A</v>
      </c>
      <c r="L42" s="14" t="e">
        <f>'Raw Data'!S42</f>
        <v>#N/A</v>
      </c>
      <c r="M42" s="16"/>
      <c r="Q42" s="23">
        <f>(VLOOKUP(A42,FEDEX!$A:$H,7,FALSE))/(VLOOKUP(A42,FEDEX!$A:$D,4,FALSE))</f>
        <v>0</v>
      </c>
      <c r="R42" s="23">
        <f>(VLOOKUP(B42,FEDEX!$A:$H,8,FALSE))/(VLOOKUP(B42,FEDEX!$A:$D,4,FALSE))</f>
        <v>0</v>
      </c>
      <c r="S42" s="16">
        <f>VLOOKUP(B42,SG!$A:$F,6,FALSE)</f>
        <v>2</v>
      </c>
      <c r="V42" t="str">
        <f>FIELD!G42</f>
        <v>Cody Gribble</v>
      </c>
    </row>
    <row r="43" spans="1:22" ht="15" customHeight="1">
      <c r="A43" s="22" t="str">
        <f>'Raw Data'!I43</f>
        <v>Mac Meissner</v>
      </c>
      <c r="B43" s="137" t="str">
        <f t="shared" si="0"/>
        <v>Mac Meissner</v>
      </c>
      <c r="C43">
        <f>'Raw Data'!J43</f>
        <v>41</v>
      </c>
      <c r="D43">
        <f>'Raw Data'!K43</f>
        <v>163</v>
      </c>
      <c r="E43">
        <f>'Raw Data'!L43</f>
        <v>85</v>
      </c>
      <c r="F43">
        <f>'Raw Data'!M43</f>
        <v>23</v>
      </c>
      <c r="G43">
        <f>'Raw Data'!N43</f>
        <v>95</v>
      </c>
      <c r="H43">
        <f>'Raw Data'!O43</f>
        <v>74</v>
      </c>
      <c r="I43">
        <f>'Raw Data'!P43</f>
        <v>234.6</v>
      </c>
      <c r="J43" s="14">
        <f>'Raw Data'!Q43</f>
        <v>316.01782263950804</v>
      </c>
      <c r="K43" s="14" t="e">
        <f>'Raw Data'!R43</f>
        <v>#N/A</v>
      </c>
      <c r="L43" s="14" t="e">
        <f>'Raw Data'!S43</f>
        <v>#N/A</v>
      </c>
      <c r="M43" s="16"/>
      <c r="Q43" s="23">
        <f>(VLOOKUP(A43,FEDEX!$A:$H,7,FALSE))/(VLOOKUP(A43,FEDEX!$A:$D,4,FALSE))</f>
        <v>0</v>
      </c>
      <c r="R43" s="23">
        <f>(VLOOKUP(B43,FEDEX!$A:$H,8,FALSE))/(VLOOKUP(B43,FEDEX!$A:$D,4,FALSE))</f>
        <v>0</v>
      </c>
      <c r="S43" s="16">
        <f>VLOOKUP(B43,SG!$A:$F,6,FALSE)</f>
        <v>75</v>
      </c>
      <c r="V43" t="str">
        <f>FIELD!G43</f>
        <v>Ben Griffin</v>
      </c>
    </row>
    <row r="44" spans="1:22" ht="15" customHeight="1">
      <c r="A44" s="22" t="str">
        <f>'Raw Data'!I44</f>
        <v>Matti Schmid</v>
      </c>
      <c r="B44" s="137" t="str">
        <f t="shared" si="0"/>
        <v>Matti Schmid</v>
      </c>
      <c r="C44">
        <f>'Raw Data'!J44</f>
        <v>43</v>
      </c>
      <c r="D44">
        <f>'Raw Data'!K44</f>
        <v>143</v>
      </c>
      <c r="E44">
        <f>'Raw Data'!L44</f>
        <v>124</v>
      </c>
      <c r="F44">
        <f>'Raw Data'!M44</f>
        <v>148</v>
      </c>
      <c r="G44">
        <f>'Raw Data'!N44</f>
        <v>67</v>
      </c>
      <c r="H44">
        <f>'Raw Data'!O44</f>
        <v>112</v>
      </c>
      <c r="I44">
        <f>'Raw Data'!P44</f>
        <v>289.7</v>
      </c>
      <c r="J44" s="14">
        <f>'Raw Data'!Q44</f>
        <v>438.97493857569691</v>
      </c>
      <c r="K44" s="14">
        <f>'Raw Data'!R44</f>
        <v>268.89735827749297</v>
      </c>
      <c r="L44" s="14">
        <f>'Raw Data'!S44</f>
        <v>432.14809139081945</v>
      </c>
      <c r="M44" s="16"/>
      <c r="Q44" s="23">
        <f>(VLOOKUP(A44,FEDEX!$A:$H,7,FALSE))/(VLOOKUP(A44,FEDEX!$A:$D,4,FALSE))</f>
        <v>0</v>
      </c>
      <c r="R44" s="23">
        <f>(VLOOKUP(B44,FEDEX!$A:$H,8,FALSE))/(VLOOKUP(B44,FEDEX!$A:$D,4,FALSE))</f>
        <v>0</v>
      </c>
      <c r="S44" s="16">
        <f>VLOOKUP(B44,SG!$A:$F,6,FALSE)</f>
        <v>67</v>
      </c>
      <c r="V44" t="str">
        <f>FIELD!G44</f>
        <v>Lanto Griffin</v>
      </c>
    </row>
    <row r="45" spans="1:22" ht="15" customHeight="1">
      <c r="A45" s="22" t="str">
        <f>'Raw Data'!I45</f>
        <v>Rafael Campos</v>
      </c>
      <c r="B45" s="137" t="str">
        <f t="shared" si="0"/>
        <v>Rafael Campos</v>
      </c>
      <c r="C45">
        <f>'Raw Data'!J45</f>
        <v>44</v>
      </c>
      <c r="D45">
        <f>'Raw Data'!K45</f>
        <v>123</v>
      </c>
      <c r="E45">
        <f>'Raw Data'!L45</f>
        <v>140</v>
      </c>
      <c r="F45">
        <f>'Raw Data'!M45</f>
        <v>157</v>
      </c>
      <c r="G45">
        <f>'Raw Data'!N45</f>
        <v>137</v>
      </c>
      <c r="H45">
        <f>'Raw Data'!O45</f>
        <v>147</v>
      </c>
      <c r="I45">
        <f>'Raw Data'!P45</f>
        <v>330.4</v>
      </c>
      <c r="J45" s="14">
        <f>'Raw Data'!Q45</f>
        <v>520.01267112920971</v>
      </c>
      <c r="K45" s="14" t="e">
        <f>'Raw Data'!R45</f>
        <v>#N/A</v>
      </c>
      <c r="L45" s="14" t="e">
        <f>'Raw Data'!S45</f>
        <v>#N/A</v>
      </c>
      <c r="M45" s="16"/>
      <c r="Q45" s="23">
        <f>(VLOOKUP(A45,FEDEX!$A:$H,7,FALSE))/(VLOOKUP(A45,FEDEX!$A:$D,4,FALSE))</f>
        <v>0</v>
      </c>
      <c r="R45" s="23">
        <f>(VLOOKUP(B45,FEDEX!$A:$H,8,FALSE))/(VLOOKUP(B45,FEDEX!$A:$D,4,FALSE))</f>
        <v>0</v>
      </c>
      <c r="S45" s="16">
        <f>VLOOKUP(B45,SG!$A:$F,6,FALSE)</f>
        <v>-128</v>
      </c>
      <c r="V45" t="str">
        <f>FIELD!G45</f>
        <v>Juan Jose Guerra</v>
      </c>
    </row>
    <row r="46" spans="1:22" ht="15" customHeight="1">
      <c r="A46" s="22" t="str">
        <f>'Raw Data'!I46</f>
        <v>Maverick McNealy</v>
      </c>
      <c r="B46" s="137" t="e">
        <f t="shared" si="0"/>
        <v>#N/A</v>
      </c>
      <c r="C46">
        <f>'Raw Data'!J46</f>
        <v>44</v>
      </c>
      <c r="D46">
        <f>'Raw Data'!K46</f>
        <v>120</v>
      </c>
      <c r="E46">
        <f>'Raw Data'!L46</f>
        <v>126</v>
      </c>
      <c r="F46">
        <f>'Raw Data'!M46</f>
        <v>22</v>
      </c>
      <c r="G46">
        <f>'Raw Data'!N46</f>
        <v>36</v>
      </c>
      <c r="H46">
        <f>'Raw Data'!O46</f>
        <v>17</v>
      </c>
      <c r="I46">
        <f>'Raw Data'!P46</f>
        <v>214.6</v>
      </c>
      <c r="J46" s="14">
        <f>'Raw Data'!Q46</f>
        <v>242.6129969995481</v>
      </c>
      <c r="K46" s="14">
        <f>'Raw Data'!R46</f>
        <v>260.36855755974779</v>
      </c>
      <c r="L46" s="14">
        <f>'Raw Data'!S46</f>
        <v>319.95745190884094</v>
      </c>
      <c r="M46" s="16"/>
      <c r="Q46" s="23">
        <f>(VLOOKUP(A46,FEDEX!$A:$H,7,FALSE))/(VLOOKUP(A46,FEDEX!$A:$D,4,FALSE))</f>
        <v>0</v>
      </c>
      <c r="R46" s="23" t="e">
        <f>(VLOOKUP(B46,FEDEX!$A:$H,8,FALSE))/(VLOOKUP(B46,FEDEX!$A:$D,4,FALSE))</f>
        <v>#N/A</v>
      </c>
      <c r="S46" s="16" t="e">
        <f>VLOOKUP(B46,SG!$A:$F,6,FALSE)</f>
        <v>#N/A</v>
      </c>
      <c r="V46" t="str">
        <f>FIELD!G46</f>
        <v>Scott Gutschewski</v>
      </c>
    </row>
    <row r="47" spans="1:22" ht="15" customHeight="1">
      <c r="A47" s="22" t="str">
        <f>'Raw Data'!I47</f>
        <v>Xander Schauffele</v>
      </c>
      <c r="B47" s="137" t="e">
        <f t="shared" si="0"/>
        <v>#N/A</v>
      </c>
      <c r="C47">
        <f>'Raw Data'!J47</f>
        <v>44</v>
      </c>
      <c r="D47">
        <f>'Raw Data'!K47</f>
        <v>31</v>
      </c>
      <c r="E47">
        <f>'Raw Data'!L47</f>
        <v>19</v>
      </c>
      <c r="F47">
        <f>'Raw Data'!M47</f>
        <v>8</v>
      </c>
      <c r="G47">
        <f>'Raw Data'!N47</f>
        <v>79</v>
      </c>
      <c r="H47">
        <f>'Raw Data'!O47</f>
        <v>2</v>
      </c>
      <c r="I47">
        <f>'Raw Data'!P47</f>
        <v>111.10000000000001</v>
      </c>
      <c r="J47" s="14">
        <f>'Raw Data'!Q47</f>
        <v>106.98877491406319</v>
      </c>
      <c r="K47" s="14">
        <f>'Raw Data'!R47</f>
        <v>140.99800561702011</v>
      </c>
      <c r="L47" s="14">
        <f>'Raw Data'!S47</f>
        <v>140.69247463770387</v>
      </c>
      <c r="M47" s="16"/>
      <c r="Q47" s="23">
        <f>(VLOOKUP(A47,FEDEX!$A:$H,7,FALSE))/(VLOOKUP(A47,FEDEX!$A:$D,4,FALSE))</f>
        <v>0</v>
      </c>
      <c r="R47" s="23" t="e">
        <f>(VLOOKUP(B47,FEDEX!$A:$H,8,FALSE))/(VLOOKUP(B47,FEDEX!$A:$D,4,FALSE))</f>
        <v>#N/A</v>
      </c>
      <c r="S47" s="16" t="e">
        <f>VLOOKUP(B47,SG!$A:$F,6,FALSE)</f>
        <v>#N/A</v>
      </c>
      <c r="V47" t="str">
        <f>FIELD!G47</f>
        <v>Bill Haas</v>
      </c>
    </row>
    <row r="48" spans="1:22">
      <c r="A48" s="22" t="str">
        <f>'Raw Data'!I48</f>
        <v>Sam Burns</v>
      </c>
      <c r="B48" s="137" t="e">
        <f t="shared" si="0"/>
        <v>#N/A</v>
      </c>
      <c r="C48">
        <f>'Raw Data'!J48</f>
        <v>47</v>
      </c>
      <c r="D48">
        <f>'Raw Data'!K48</f>
        <v>54</v>
      </c>
      <c r="E48">
        <f>'Raw Data'!L48</f>
        <v>55</v>
      </c>
      <c r="F48">
        <f>'Raw Data'!M48</f>
        <v>141</v>
      </c>
      <c r="G48">
        <f>'Raw Data'!N48</f>
        <v>21</v>
      </c>
      <c r="H48">
        <f>'Raw Data'!O48</f>
        <v>22</v>
      </c>
      <c r="I48">
        <f>'Raw Data'!P48</f>
        <v>174.70000000000002</v>
      </c>
      <c r="J48" s="14">
        <f>'Raw Data'!Q48</f>
        <v>220.70206535610552</v>
      </c>
      <c r="K48" s="14">
        <f>'Raw Data'!R48</f>
        <v>199.33127509017848</v>
      </c>
      <c r="L48" s="14">
        <f>'Raw Data'!S48</f>
        <v>254.59711436221477</v>
      </c>
      <c r="M48" s="16"/>
      <c r="Q48" s="23">
        <f>(VLOOKUP(A48,FEDEX!$A:$H,7,FALSE))/(VLOOKUP(A48,FEDEX!$A:$D,4,FALSE))</f>
        <v>0</v>
      </c>
      <c r="R48" s="23" t="e">
        <f>(VLOOKUP(B48,FEDEX!$A:$H,8,FALSE))/(VLOOKUP(B48,FEDEX!$A:$D,4,FALSE))</f>
        <v>#N/A</v>
      </c>
      <c r="S48" s="16" t="e">
        <f>VLOOKUP(B48,SG!$A:$F,6,FALSE)</f>
        <v>#N/A</v>
      </c>
      <c r="V48" t="str">
        <f>FIELD!G48</f>
        <v>James Hahn</v>
      </c>
    </row>
    <row r="49" spans="1:22">
      <c r="A49" s="22" t="str">
        <f>'Raw Data'!I49</f>
        <v>Nick Dunlap</v>
      </c>
      <c r="B49" s="137" t="e">
        <f t="shared" si="0"/>
        <v>#N/A</v>
      </c>
      <c r="C49">
        <f>'Raw Data'!J49</f>
        <v>48</v>
      </c>
      <c r="D49">
        <f>'Raw Data'!K49</f>
        <v>146</v>
      </c>
      <c r="E49">
        <f>'Raw Data'!L49</f>
        <v>128</v>
      </c>
      <c r="F49">
        <f>'Raw Data'!M49</f>
        <v>119</v>
      </c>
      <c r="G49">
        <f>'Raw Data'!N49</f>
        <v>24</v>
      </c>
      <c r="H49">
        <f>'Raw Data'!O49</f>
        <v>145</v>
      </c>
      <c r="I49">
        <f>'Raw Data'!P49</f>
        <v>265.39999999999998</v>
      </c>
      <c r="J49" s="14">
        <f>'Raw Data'!Q49</f>
        <v>440.055598784587</v>
      </c>
      <c r="K49" s="14" t="e">
        <f>'Raw Data'!R49</f>
        <v>#N/A</v>
      </c>
      <c r="L49" s="14" t="e">
        <f>'Raw Data'!S49</f>
        <v>#N/A</v>
      </c>
      <c r="M49" s="16"/>
      <c r="Q49" s="23">
        <f>(VLOOKUP(A49,FEDEX!$A:$H,7,FALSE))/(VLOOKUP(A49,FEDEX!$A:$D,4,FALSE))</f>
        <v>0</v>
      </c>
      <c r="R49" s="23" t="e">
        <f>(VLOOKUP(B49,FEDEX!$A:$H,8,FALSE))/(VLOOKUP(B49,FEDEX!$A:$D,4,FALSE))</f>
        <v>#N/A</v>
      </c>
      <c r="S49" s="16" t="e">
        <f>VLOOKUP(B49,SG!$A:$F,6,FALSE)</f>
        <v>#N/A</v>
      </c>
      <c r="V49" t="str">
        <f>FIELD!G49</f>
        <v>Blaine Hale, Jr.</v>
      </c>
    </row>
    <row r="50" spans="1:22">
      <c r="A50" s="22" t="str">
        <f>'Raw Data'!I50</f>
        <v>Parker Coody</v>
      </c>
      <c r="B50" s="137" t="str">
        <f t="shared" si="0"/>
        <v>Parker Coody</v>
      </c>
      <c r="C50">
        <f>'Raw Data'!J50</f>
        <v>49</v>
      </c>
      <c r="D50">
        <f>'Raw Data'!K50</f>
        <v>167</v>
      </c>
      <c r="E50">
        <f>'Raw Data'!L50</f>
        <v>37</v>
      </c>
      <c r="F50">
        <f>'Raw Data'!M50</f>
        <v>105</v>
      </c>
      <c r="G50">
        <f>'Raw Data'!N50</f>
        <v>114</v>
      </c>
      <c r="H50">
        <f>'Raw Data'!O50</f>
        <v>72</v>
      </c>
      <c r="I50">
        <f>'Raw Data'!P50</f>
        <v>252.5</v>
      </c>
      <c r="J50" s="14">
        <f>'Raw Data'!Q50</f>
        <v>339.95505349005481</v>
      </c>
      <c r="K50" s="14" t="e">
        <f>'Raw Data'!R50</f>
        <v>#N/A</v>
      </c>
      <c r="L50" s="14" t="e">
        <f>'Raw Data'!S50</f>
        <v>#N/A</v>
      </c>
      <c r="M50" s="16"/>
      <c r="Q50" s="23">
        <f>(VLOOKUP(A50,FEDEX!$A:$H,7,FALSE))/(VLOOKUP(A50,FEDEX!$A:$D,4,FALSE))</f>
        <v>0</v>
      </c>
      <c r="R50" s="23">
        <f>(VLOOKUP(B50,FEDEX!$A:$H,8,FALSE))/(VLOOKUP(B50,FEDEX!$A:$D,4,FALSE))</f>
        <v>0</v>
      </c>
      <c r="S50" s="16">
        <f>VLOOKUP(B50,SG!$A:$F,6,FALSE)</f>
        <v>-20</v>
      </c>
      <c r="V50" t="str">
        <f>FIELD!G50</f>
        <v>Paul Haley II</v>
      </c>
    </row>
    <row r="51" spans="1:22" ht="15" customHeight="1">
      <c r="A51" s="22" t="str">
        <f>'Raw Data'!I51</f>
        <v>Sami Valimaki</v>
      </c>
      <c r="B51" s="137" t="e">
        <f t="shared" si="0"/>
        <v>#N/A</v>
      </c>
      <c r="C51">
        <f>'Raw Data'!J51</f>
        <v>50</v>
      </c>
      <c r="D51">
        <f>'Raw Data'!K51</f>
        <v>84</v>
      </c>
      <c r="E51">
        <f>'Raw Data'!L51</f>
        <v>100</v>
      </c>
      <c r="F51">
        <f>'Raw Data'!M51</f>
        <v>146</v>
      </c>
      <c r="G51">
        <f>'Raw Data'!N51</f>
        <v>62</v>
      </c>
      <c r="H51">
        <f>'Raw Data'!O51</f>
        <v>76</v>
      </c>
      <c r="I51">
        <f>'Raw Data'!P51</f>
        <v>246.4</v>
      </c>
      <c r="J51" s="14">
        <f>'Raw Data'!Q51</f>
        <v>353.85811404379939</v>
      </c>
      <c r="K51" s="14">
        <f>'Raw Data'!R51</f>
        <v>285.1290891266737</v>
      </c>
      <c r="L51" s="14">
        <f>'Raw Data'!S51</f>
        <v>424.57884075466956</v>
      </c>
      <c r="M51" s="16"/>
      <c r="Q51" s="23">
        <f>(VLOOKUP(A51,FEDEX!$A:$H,7,FALSE))/(VLOOKUP(A51,FEDEX!$A:$D,4,FALSE))</f>
        <v>0</v>
      </c>
      <c r="R51" s="23" t="e">
        <f>(VLOOKUP(B51,FEDEX!$A:$H,8,FALSE))/(VLOOKUP(B51,FEDEX!$A:$D,4,FALSE))</f>
        <v>#N/A</v>
      </c>
      <c r="S51" s="16" t="e">
        <f>VLOOKUP(B51,SG!$A:$F,6,FALSE)</f>
        <v>#N/A</v>
      </c>
      <c r="V51" t="str">
        <f>FIELD!G51</f>
        <v>Nick Hardy</v>
      </c>
    </row>
    <row r="52" spans="1:22" ht="15" customHeight="1">
      <c r="A52" s="22" t="str">
        <f>'Raw Data'!I52</f>
        <v>Davis Thompson</v>
      </c>
      <c r="B52" s="137" t="str">
        <f t="shared" si="0"/>
        <v>Davis Thompson</v>
      </c>
      <c r="C52">
        <f>'Raw Data'!J52</f>
        <v>51</v>
      </c>
      <c r="D52">
        <f>'Raw Data'!K52</f>
        <v>136</v>
      </c>
      <c r="E52">
        <f>'Raw Data'!L52</f>
        <v>50</v>
      </c>
      <c r="F52">
        <f>'Raw Data'!M52</f>
        <v>28</v>
      </c>
      <c r="G52">
        <f>'Raw Data'!N52</f>
        <v>64</v>
      </c>
      <c r="H52">
        <f>'Raw Data'!O52</f>
        <v>50</v>
      </c>
      <c r="I52">
        <f>'Raw Data'!P52</f>
        <v>192.1</v>
      </c>
      <c r="J52" s="14">
        <f>'Raw Data'!Q52</f>
        <v>242.15610726721715</v>
      </c>
      <c r="K52" s="14">
        <f>'Raw Data'!R52</f>
        <v>237.04482649005604</v>
      </c>
      <c r="L52" s="14">
        <f>'Raw Data'!S52</f>
        <v>325.88831583032902</v>
      </c>
      <c r="M52" s="16"/>
      <c r="Q52" s="23">
        <f>(VLOOKUP(A52,FEDEX!$A:$H,7,FALSE))/(VLOOKUP(A52,FEDEX!$A:$D,4,FALSE))</f>
        <v>0</v>
      </c>
      <c r="R52" s="23">
        <f>(VLOOKUP(B52,FEDEX!$A:$H,8,FALSE))/(VLOOKUP(B52,FEDEX!$A:$D,4,FALSE))</f>
        <v>0</v>
      </c>
      <c r="S52" s="16">
        <f>VLOOKUP(B52,SG!$A:$F,6,FALSE)</f>
        <v>-9</v>
      </c>
      <c r="V52" t="str">
        <f>FIELD!G52</f>
        <v>Jim Herman</v>
      </c>
    </row>
    <row r="53" spans="1:22" ht="15" customHeight="1">
      <c r="A53" s="22" t="str">
        <f>'Raw Data'!I53</f>
        <v>Thomas Detry</v>
      </c>
      <c r="B53" s="137" t="e">
        <f t="shared" si="0"/>
        <v>#N/A</v>
      </c>
      <c r="C53">
        <f>'Raw Data'!J53</f>
        <v>52</v>
      </c>
      <c r="D53">
        <f>'Raw Data'!K53</f>
        <v>116</v>
      </c>
      <c r="E53">
        <f>'Raw Data'!L53</f>
        <v>138</v>
      </c>
      <c r="F53">
        <f>'Raw Data'!M53</f>
        <v>156</v>
      </c>
      <c r="G53">
        <f>'Raw Data'!N53</f>
        <v>33</v>
      </c>
      <c r="H53">
        <f>'Raw Data'!O53</f>
        <v>90</v>
      </c>
      <c r="I53">
        <f>'Raw Data'!P53</f>
        <v>280.3</v>
      </c>
      <c r="J53" s="14">
        <f>'Raw Data'!Q53</f>
        <v>408.02049522395498</v>
      </c>
      <c r="K53" s="14">
        <f>'Raw Data'!R53</f>
        <v>259.65867227864095</v>
      </c>
      <c r="L53" s="14">
        <f>'Raw Data'!S53</f>
        <v>370.94581278346971</v>
      </c>
      <c r="M53" s="16"/>
      <c r="Q53" s="23">
        <f>(VLOOKUP(A53,FEDEX!$A:$H,7,FALSE))/(VLOOKUP(A53,FEDEX!$A:$D,4,FALSE))</f>
        <v>0</v>
      </c>
      <c r="R53" s="23" t="e">
        <f>(VLOOKUP(B53,FEDEX!$A:$H,8,FALSE))/(VLOOKUP(B53,FEDEX!$A:$D,4,FALSE))</f>
        <v>#N/A</v>
      </c>
      <c r="S53" s="16" t="e">
        <f>VLOOKUP(B53,SG!$A:$F,6,FALSE)</f>
        <v>#N/A</v>
      </c>
      <c r="V53" t="str">
        <f>FIELD!G53</f>
        <v>Justin Hicks</v>
      </c>
    </row>
    <row r="54" spans="1:22" ht="15" customHeight="1">
      <c r="A54" s="22" t="str">
        <f>'Raw Data'!I54</f>
        <v>Erik van Rooyen</v>
      </c>
      <c r="B54" s="137" t="e">
        <f t="shared" si="0"/>
        <v>#N/A</v>
      </c>
      <c r="C54">
        <f>'Raw Data'!J54</f>
        <v>53</v>
      </c>
      <c r="D54">
        <f>'Raw Data'!K54</f>
        <v>47</v>
      </c>
      <c r="E54">
        <f>'Raw Data'!L54</f>
        <v>48</v>
      </c>
      <c r="F54">
        <f>'Raw Data'!M54</f>
        <v>138</v>
      </c>
      <c r="G54">
        <f>'Raw Data'!N54</f>
        <v>34</v>
      </c>
      <c r="H54">
        <f>'Raw Data'!O54</f>
        <v>24</v>
      </c>
      <c r="I54">
        <f>'Raw Data'!P54</f>
        <v>177</v>
      </c>
      <c r="J54" s="14">
        <f>'Raw Data'!Q54</f>
        <v>222.02472125795026</v>
      </c>
      <c r="K54" s="14">
        <f>'Raw Data'!R54</f>
        <v>248.7641372341032</v>
      </c>
      <c r="L54" s="14">
        <f>'Raw Data'!S54</f>
        <v>367.21717793429559</v>
      </c>
      <c r="M54" s="16"/>
      <c r="Q54" s="23">
        <f>(VLOOKUP(A54,FEDEX!$A:$H,7,FALSE))/(VLOOKUP(A54,FEDEX!$A:$D,4,FALSE))</f>
        <v>0</v>
      </c>
      <c r="R54" s="23" t="e">
        <f>(VLOOKUP(B54,FEDEX!$A:$H,8,FALSE))/(VLOOKUP(B54,FEDEX!$A:$D,4,FALSE))</f>
        <v>#N/A</v>
      </c>
      <c r="S54" s="16" t="e">
        <f>VLOOKUP(B54,SG!$A:$F,6,FALSE)</f>
        <v>#N/A</v>
      </c>
      <c r="V54" t="str">
        <f>FIELD!G54</f>
        <v>Garrick Higgo</v>
      </c>
    </row>
    <row r="55" spans="1:22">
      <c r="A55" s="22" t="str">
        <f>'Raw Data'!I55</f>
        <v>Victor Perez</v>
      </c>
      <c r="B55" s="137" t="str">
        <f t="shared" si="0"/>
        <v>Victor Perez</v>
      </c>
      <c r="C55">
        <f>'Raw Data'!J55</f>
        <v>54</v>
      </c>
      <c r="D55">
        <f>'Raw Data'!K55</f>
        <v>98</v>
      </c>
      <c r="E55">
        <f>'Raw Data'!L55</f>
        <v>17</v>
      </c>
      <c r="F55">
        <f>'Raw Data'!M55</f>
        <v>113</v>
      </c>
      <c r="G55">
        <f>'Raw Data'!N55</f>
        <v>132</v>
      </c>
      <c r="H55">
        <f>'Raw Data'!O55</f>
        <v>55</v>
      </c>
      <c r="I55">
        <f>'Raw Data'!P55</f>
        <v>220.7</v>
      </c>
      <c r="J55" s="14">
        <f>'Raw Data'!Q55</f>
        <v>288.98844326625937</v>
      </c>
      <c r="K55" s="14">
        <f>'Raw Data'!R55</f>
        <v>259.9645143219733</v>
      </c>
      <c r="L55" s="14">
        <f>'Raw Data'!S55</f>
        <v>354.81535712704482</v>
      </c>
      <c r="M55" s="16"/>
      <c r="Q55" s="23">
        <f>(VLOOKUP(A55,FEDEX!$A:$H,7,FALSE))/(VLOOKUP(A55,FEDEX!$A:$D,4,FALSE))</f>
        <v>0</v>
      </c>
      <c r="R55" s="23">
        <f>(VLOOKUP(B55,FEDEX!$A:$H,8,FALSE))/(VLOOKUP(B55,FEDEX!$A:$D,4,FALSE))</f>
        <v>0</v>
      </c>
      <c r="S55" s="16">
        <f>VLOOKUP(B55,SG!$A:$F,6,FALSE)</f>
        <v>27</v>
      </c>
      <c r="V55" t="str">
        <f>FIELD!G55</f>
        <v>Harry Higgs</v>
      </c>
    </row>
    <row r="56" spans="1:22" ht="15" customHeight="1">
      <c r="A56" s="22" t="str">
        <f>'Raw Data'!I56</f>
        <v>Matt Fitzpatrick</v>
      </c>
      <c r="B56" s="137" t="e">
        <f t="shared" si="0"/>
        <v>#N/A</v>
      </c>
      <c r="C56">
        <f>'Raw Data'!J56</f>
        <v>55</v>
      </c>
      <c r="D56">
        <f>'Raw Data'!K56</f>
        <v>29</v>
      </c>
      <c r="E56">
        <f>'Raw Data'!L56</f>
        <v>90</v>
      </c>
      <c r="F56">
        <f>'Raw Data'!M56</f>
        <v>80</v>
      </c>
      <c r="G56">
        <f>'Raw Data'!N56</f>
        <v>27</v>
      </c>
      <c r="H56">
        <f>'Raw Data'!O56</f>
        <v>41</v>
      </c>
      <c r="I56">
        <f>'Raw Data'!P56</f>
        <v>172.5</v>
      </c>
      <c r="J56" s="14">
        <f>'Raw Data'!Q56</f>
        <v>228.02865434502073</v>
      </c>
      <c r="K56" s="14">
        <f>'Raw Data'!R56</f>
        <v>201.74245297405707</v>
      </c>
      <c r="L56" s="14">
        <f>'Raw Data'!S56</f>
        <v>241.69449622842828</v>
      </c>
      <c r="M56" s="16"/>
      <c r="Q56" s="23">
        <f>(VLOOKUP(A56,FEDEX!$A:$H,7,FALSE))/(VLOOKUP(A56,FEDEX!$A:$D,4,FALSE))</f>
        <v>0</v>
      </c>
      <c r="R56" s="23" t="e">
        <f>(VLOOKUP(B56,FEDEX!$A:$H,8,FALSE))/(VLOOKUP(B56,FEDEX!$A:$D,4,FALSE))</f>
        <v>#N/A</v>
      </c>
      <c r="S56" s="16" t="e">
        <f>VLOOKUP(B56,SG!$A:$F,6,FALSE)</f>
        <v>#N/A</v>
      </c>
      <c r="V56" t="str">
        <f>FIELD!G56</f>
        <v>Joe Highsmith</v>
      </c>
    </row>
    <row r="57" spans="1:22">
      <c r="A57" s="22" t="str">
        <f>'Raw Data'!I57</f>
        <v>Grayson Murray</v>
      </c>
      <c r="B57" s="137" t="e">
        <f t="shared" si="0"/>
        <v>#N/A</v>
      </c>
      <c r="C57">
        <f>'Raw Data'!J57</f>
        <v>55</v>
      </c>
      <c r="D57">
        <f>'Raw Data'!K57</f>
        <v>7</v>
      </c>
      <c r="E57">
        <f>'Raw Data'!L57</f>
        <v>99</v>
      </c>
      <c r="F57">
        <f>'Raw Data'!M57</f>
        <v>77</v>
      </c>
      <c r="G57">
        <f>'Raw Data'!N57</f>
        <v>138</v>
      </c>
      <c r="H57">
        <f>'Raw Data'!O57</f>
        <v>108</v>
      </c>
      <c r="I57">
        <f>'Raw Data'!P57</f>
        <v>222.1</v>
      </c>
      <c r="J57" s="14">
        <f>'Raw Data'!Q57</f>
        <v>347.674536122902</v>
      </c>
      <c r="K57" s="14">
        <f>'Raw Data'!R57</f>
        <v>312.27281053531857</v>
      </c>
      <c r="L57" s="14">
        <f>'Raw Data'!S57</f>
        <v>499.81347200168</v>
      </c>
      <c r="M57" s="16"/>
      <c r="Q57" s="23">
        <f>(VLOOKUP(A57,FEDEX!$A:$H,7,FALSE))/(VLOOKUP(A57,FEDEX!$A:$D,4,FALSE))</f>
        <v>0</v>
      </c>
      <c r="R57" s="23" t="e">
        <f>(VLOOKUP(B57,FEDEX!$A:$H,8,FALSE))/(VLOOKUP(B57,FEDEX!$A:$D,4,FALSE))</f>
        <v>#N/A</v>
      </c>
      <c r="S57" s="16" t="e">
        <f>VLOOKUP(B57,SG!$A:$F,6,FALSE)</f>
        <v>#N/A</v>
      </c>
      <c r="V57" t="str">
        <f>FIELD!G57</f>
        <v>Rico Hoey</v>
      </c>
    </row>
    <row r="58" spans="1:22" ht="15" customHeight="1">
      <c r="A58" s="22" t="str">
        <f>'Raw Data'!I58</f>
        <v>Adam Scott</v>
      </c>
      <c r="B58" s="137" t="e">
        <f t="shared" si="0"/>
        <v>#N/A</v>
      </c>
      <c r="C58">
        <f>'Raw Data'!J58</f>
        <v>55</v>
      </c>
      <c r="D58">
        <f>'Raw Data'!K58</f>
        <v>37</v>
      </c>
      <c r="E58">
        <f>'Raw Data'!L58</f>
        <v>83</v>
      </c>
      <c r="F58">
        <f>'Raw Data'!M58</f>
        <v>129</v>
      </c>
      <c r="G58">
        <f>'Raw Data'!N58</f>
        <v>20</v>
      </c>
      <c r="H58">
        <f>'Raw Data'!O58</f>
        <v>31</v>
      </c>
      <c r="I58">
        <f>'Raw Data'!P58</f>
        <v>187.7</v>
      </c>
      <c r="J58" s="14">
        <f>'Raw Data'!Q58</f>
        <v>242.04366003727634</v>
      </c>
      <c r="K58" s="14">
        <f>'Raw Data'!R58</f>
        <v>208.65365908528383</v>
      </c>
      <c r="L58" s="14">
        <f>'Raw Data'!S58</f>
        <v>256.8658426341226</v>
      </c>
      <c r="M58" s="16"/>
      <c r="Q58" s="23">
        <f>(VLOOKUP(A58,FEDEX!$A:$H,7,FALSE))/(VLOOKUP(A58,FEDEX!$A:$D,4,FALSE))</f>
        <v>0</v>
      </c>
      <c r="R58" s="23" t="e">
        <f>(VLOOKUP(B58,FEDEX!$A:$H,8,FALSE))/(VLOOKUP(B58,FEDEX!$A:$D,4,FALSE))</f>
        <v>#N/A</v>
      </c>
      <c r="S58" s="16" t="e">
        <f>VLOOKUP(B58,SG!$A:$F,6,FALSE)</f>
        <v>#N/A</v>
      </c>
      <c r="V58" t="str">
        <f>FIELD!G58</f>
        <v>Charley Hoffman</v>
      </c>
    </row>
    <row r="59" spans="1:22" ht="15" customHeight="1">
      <c r="A59" s="22" t="str">
        <f>'Raw Data'!I59</f>
        <v>Jordan Spieth</v>
      </c>
      <c r="B59" s="137" t="e">
        <f t="shared" si="0"/>
        <v>#N/A</v>
      </c>
      <c r="C59">
        <f>'Raw Data'!J59</f>
        <v>58</v>
      </c>
      <c r="D59">
        <f>'Raw Data'!K59</f>
        <v>66</v>
      </c>
      <c r="E59">
        <f>'Raw Data'!L59</f>
        <v>98</v>
      </c>
      <c r="F59">
        <f>'Raw Data'!M59</f>
        <v>53</v>
      </c>
      <c r="G59">
        <f>'Raw Data'!N59</f>
        <v>12</v>
      </c>
      <c r="H59">
        <f>'Raw Data'!O59</f>
        <v>8</v>
      </c>
      <c r="I59">
        <f>'Raw Data'!P59</f>
        <v>181</v>
      </c>
      <c r="J59" s="14">
        <f>'Raw Data'!Q59</f>
        <v>198.00623675875664</v>
      </c>
      <c r="K59" s="14">
        <f>'Raw Data'!R59</f>
        <v>209.99361754675436</v>
      </c>
      <c r="L59" s="14">
        <f>'Raw Data'!S59</f>
        <v>236.59455330511406</v>
      </c>
      <c r="M59" s="16"/>
      <c r="Q59" s="23">
        <f>(VLOOKUP(A59,FEDEX!$A:$H,7,FALSE))/(VLOOKUP(A59,FEDEX!$A:$D,4,FALSE))</f>
        <v>0</v>
      </c>
      <c r="R59" s="23" t="e">
        <f>(VLOOKUP(B59,FEDEX!$A:$H,8,FALSE))/(VLOOKUP(B59,FEDEX!$A:$D,4,FALSE))</f>
        <v>#N/A</v>
      </c>
      <c r="S59" s="16" t="e">
        <f>VLOOKUP(B59,SG!$A:$F,6,FALSE)</f>
        <v>#N/A</v>
      </c>
      <c r="V59" t="str">
        <f>FIELD!G59</f>
        <v>Nicolai Højgaard</v>
      </c>
    </row>
    <row r="60" spans="1:22">
      <c r="A60" s="22" t="str">
        <f>'Raw Data'!I60</f>
        <v>Andrew Novak</v>
      </c>
      <c r="B60" s="137" t="e">
        <f t="shared" si="0"/>
        <v>#N/A</v>
      </c>
      <c r="C60">
        <f>'Raw Data'!J60</f>
        <v>59</v>
      </c>
      <c r="D60">
        <f>'Raw Data'!K60</f>
        <v>126</v>
      </c>
      <c r="E60">
        <f>'Raw Data'!L60</f>
        <v>14</v>
      </c>
      <c r="F60">
        <f>'Raw Data'!M60</f>
        <v>25</v>
      </c>
      <c r="G60">
        <f>'Raw Data'!N60</f>
        <v>113</v>
      </c>
      <c r="H60">
        <f>'Raw Data'!O60</f>
        <v>28</v>
      </c>
      <c r="I60">
        <f>'Raw Data'!P60</f>
        <v>192.39999999999998</v>
      </c>
      <c r="J60" s="14">
        <f>'Raw Data'!Q60</f>
        <v>213.56090543025238</v>
      </c>
      <c r="K60" s="14">
        <f>'Raw Data'!R60</f>
        <v>235.43994839139384</v>
      </c>
      <c r="L60" s="14">
        <f>'Raw Data'!S60</f>
        <v>283.7405881410757</v>
      </c>
      <c r="M60" s="16"/>
      <c r="Q60" s="23">
        <f>(VLOOKUP(A60,FEDEX!$A:$H,7,FALSE))/(VLOOKUP(A60,FEDEX!$A:$D,4,FALSE))</f>
        <v>0</v>
      </c>
      <c r="R60" s="23" t="e">
        <f>(VLOOKUP(B60,FEDEX!$A:$H,8,FALSE))/(VLOOKUP(B60,FEDEX!$A:$D,4,FALSE))</f>
        <v>#N/A</v>
      </c>
      <c r="S60" s="16" t="e">
        <f>VLOOKUP(B60,SG!$A:$F,6,FALSE)</f>
        <v>#N/A</v>
      </c>
      <c r="V60" t="str">
        <f>FIELD!G60</f>
        <v>Billy Horschel</v>
      </c>
    </row>
    <row r="61" spans="1:22">
      <c r="A61" s="22" t="str">
        <f>'Raw Data'!I61</f>
        <v>Davis Riley</v>
      </c>
      <c r="B61" s="137" t="e">
        <f t="shared" si="0"/>
        <v>#N/A</v>
      </c>
      <c r="C61">
        <f>'Raw Data'!J61</f>
        <v>59</v>
      </c>
      <c r="D61">
        <f>'Raw Data'!K61</f>
        <v>132</v>
      </c>
      <c r="E61">
        <f>'Raw Data'!L61</f>
        <v>130</v>
      </c>
      <c r="F61">
        <f>'Raw Data'!M61</f>
        <v>126</v>
      </c>
      <c r="G61">
        <f>'Raw Data'!N61</f>
        <v>104</v>
      </c>
      <c r="H61">
        <f>'Raw Data'!O61</f>
        <v>171</v>
      </c>
      <c r="I61">
        <f>'Raw Data'!P61</f>
        <v>312.5</v>
      </c>
      <c r="J61" s="14">
        <f>'Raw Data'!Q61</f>
        <v>513.54806103558644</v>
      </c>
      <c r="K61" s="14">
        <f>'Raw Data'!R61</f>
        <v>286.62111556051758</v>
      </c>
      <c r="L61" s="14">
        <f>'Raw Data'!S61</f>
        <v>460.85395292488732</v>
      </c>
      <c r="M61" s="16"/>
      <c r="Q61" s="23">
        <f>(VLOOKUP(A61,FEDEX!$A:$H,7,FALSE))/(VLOOKUP(A61,FEDEX!$A:$D,4,FALSE))</f>
        <v>0</v>
      </c>
      <c r="R61" s="23" t="e">
        <f>(VLOOKUP(B61,FEDEX!$A:$H,8,FALSE))/(VLOOKUP(B61,FEDEX!$A:$D,4,FALSE))</f>
        <v>#N/A</v>
      </c>
      <c r="S61" s="16" t="e">
        <f>VLOOKUP(B61,SG!$A:$F,6,FALSE)</f>
        <v>#N/A</v>
      </c>
      <c r="V61" t="str">
        <f>FIELD!G61</f>
        <v>Mark Hubbard</v>
      </c>
    </row>
    <row r="62" spans="1:22">
      <c r="A62" s="22" t="str">
        <f>'Raw Data'!I62</f>
        <v>Alex Smalley</v>
      </c>
      <c r="B62" s="137" t="str">
        <f t="shared" si="0"/>
        <v>Alex Smalley</v>
      </c>
      <c r="C62">
        <f>'Raw Data'!J62</f>
        <v>59</v>
      </c>
      <c r="D62">
        <f>'Raw Data'!K62</f>
        <v>148</v>
      </c>
      <c r="E62">
        <f>'Raw Data'!L62</f>
        <v>116</v>
      </c>
      <c r="F62">
        <f>'Raw Data'!M62</f>
        <v>165</v>
      </c>
      <c r="G62">
        <f>'Raw Data'!N62</f>
        <v>183</v>
      </c>
      <c r="H62">
        <f>'Raw Data'!O62</f>
        <v>177</v>
      </c>
      <c r="I62">
        <f>'Raw Data'!P62</f>
        <v>365.79999999999995</v>
      </c>
      <c r="J62" s="14">
        <f>'Raw Data'!Q62</f>
        <v>580.45123532696493</v>
      </c>
      <c r="K62" s="14">
        <f>'Raw Data'!R62</f>
        <v>318.12313212879968</v>
      </c>
      <c r="L62" s="14">
        <f>'Raw Data'!S62</f>
        <v>463.27878454158395</v>
      </c>
      <c r="M62" s="16"/>
      <c r="Q62" s="23">
        <f>(VLOOKUP(A62,FEDEX!$A:$H,7,FALSE))/(VLOOKUP(A62,FEDEX!$A:$D,4,FALSE))</f>
        <v>0</v>
      </c>
      <c r="R62" s="23">
        <f>(VLOOKUP(B62,FEDEX!$A:$H,8,FALSE))/(VLOOKUP(B62,FEDEX!$A:$D,4,FALSE))</f>
        <v>0</v>
      </c>
      <c r="S62" s="16">
        <f>VLOOKUP(B62,SG!$A:$F,6,FALSE)</f>
        <v>-9</v>
      </c>
      <c r="V62" t="str">
        <f>FIELD!G62</f>
        <v>Chase Johnson</v>
      </c>
    </row>
    <row r="63" spans="1:22" ht="15" customHeight="1">
      <c r="A63" s="22" t="str">
        <f>'Raw Data'!I63</f>
        <v>Sahith Theegala</v>
      </c>
      <c r="B63" s="137" t="e">
        <f t="shared" si="0"/>
        <v>#N/A</v>
      </c>
      <c r="C63">
        <f>'Raw Data'!J63</f>
        <v>59</v>
      </c>
      <c r="D63">
        <f>'Raw Data'!K63</f>
        <v>61</v>
      </c>
      <c r="E63">
        <f>'Raw Data'!L63</f>
        <v>49</v>
      </c>
      <c r="F63">
        <f>'Raw Data'!M63</f>
        <v>108</v>
      </c>
      <c r="G63">
        <f>'Raw Data'!N63</f>
        <v>13</v>
      </c>
      <c r="H63">
        <f>'Raw Data'!O63</f>
        <v>5</v>
      </c>
      <c r="I63">
        <f>'Raw Data'!P63</f>
        <v>167.6</v>
      </c>
      <c r="J63" s="14">
        <f>'Raw Data'!Q63</f>
        <v>185.55834025909419</v>
      </c>
      <c r="K63" s="14">
        <f>'Raw Data'!R63</f>
        <v>186.70026417847743</v>
      </c>
      <c r="L63" s="14">
        <f>'Raw Data'!S63</f>
        <v>211.02260397242617</v>
      </c>
      <c r="M63" s="16"/>
      <c r="Q63" s="23">
        <f>(VLOOKUP(A63,FEDEX!$A:$H,7,FALSE))/(VLOOKUP(A63,FEDEX!$A:$D,4,FALSE))</f>
        <v>0</v>
      </c>
      <c r="R63" s="23" t="e">
        <f>(VLOOKUP(B63,FEDEX!$A:$H,8,FALSE))/(VLOOKUP(B63,FEDEX!$A:$D,4,FALSE))</f>
        <v>#N/A</v>
      </c>
      <c r="S63" s="16" t="e">
        <f>VLOOKUP(B63,SG!$A:$F,6,FALSE)</f>
        <v>#N/A</v>
      </c>
      <c r="V63" t="str">
        <f>FIELD!G63</f>
        <v>Sung Kang</v>
      </c>
    </row>
    <row r="64" spans="1:22">
      <c r="A64" s="22" t="str">
        <f>'Raw Data'!I64</f>
        <v>Cameron Young</v>
      </c>
      <c r="B64" s="137" t="e">
        <f t="shared" si="0"/>
        <v>#N/A</v>
      </c>
      <c r="C64">
        <f>'Raw Data'!J64</f>
        <v>59</v>
      </c>
      <c r="D64">
        <f>'Raw Data'!K64</f>
        <v>28</v>
      </c>
      <c r="E64">
        <f>'Raw Data'!L64</f>
        <v>15</v>
      </c>
      <c r="F64">
        <f>'Raw Data'!M64</f>
        <v>133</v>
      </c>
      <c r="G64">
        <f>'Raw Data'!N64</f>
        <v>115</v>
      </c>
      <c r="H64">
        <f>'Raw Data'!O64</f>
        <v>30</v>
      </c>
      <c r="I64">
        <f>'Raw Data'!P64</f>
        <v>188.3</v>
      </c>
      <c r="J64" s="14">
        <f>'Raw Data'!Q64</f>
        <v>233.68654042943314</v>
      </c>
      <c r="K64" s="14">
        <f>'Raw Data'!R64</f>
        <v>221.28356491557378</v>
      </c>
      <c r="L64" s="14">
        <f>'Raw Data'!S64</f>
        <v>302.46701461423402</v>
      </c>
      <c r="M64" s="16"/>
      <c r="Q64" s="23">
        <f>(VLOOKUP(A64,FEDEX!$A:$H,7,FALSE))/(VLOOKUP(A64,FEDEX!$A:$D,4,FALSE))</f>
        <v>0</v>
      </c>
      <c r="R64" s="23" t="e">
        <f>(VLOOKUP(B64,FEDEX!$A:$H,8,FALSE))/(VLOOKUP(B64,FEDEX!$A:$D,4,FALSE))</f>
        <v>#N/A</v>
      </c>
      <c r="S64" s="16" t="e">
        <f>VLOOKUP(B64,SG!$A:$F,6,FALSE)</f>
        <v>#N/A</v>
      </c>
      <c r="V64" t="str">
        <f>FIELD!G64</f>
        <v>Chan Kim</v>
      </c>
    </row>
    <row r="65" spans="1:22">
      <c r="A65" s="22" t="str">
        <f>'Raw Data'!I65</f>
        <v>Tyson Alexander</v>
      </c>
      <c r="B65" s="137" t="str">
        <f t="shared" si="0"/>
        <v>Tyson Alexander</v>
      </c>
      <c r="C65">
        <f>'Raw Data'!J65</f>
        <v>64</v>
      </c>
      <c r="D65">
        <f>'Raw Data'!K65</f>
        <v>151</v>
      </c>
      <c r="E65">
        <f>'Raw Data'!L65</f>
        <v>76</v>
      </c>
      <c r="F65">
        <f>'Raw Data'!M65</f>
        <v>57</v>
      </c>
      <c r="G65">
        <f>'Raw Data'!N65</f>
        <v>49</v>
      </c>
      <c r="H65">
        <f>'Raw Data'!O65</f>
        <v>68</v>
      </c>
      <c r="I65">
        <f>'Raw Data'!P65</f>
        <v>233.6</v>
      </c>
      <c r="J65" s="14">
        <f>'Raw Data'!Q65</f>
        <v>307.35678778198917</v>
      </c>
      <c r="K65" s="14">
        <f>'Raw Data'!R65</f>
        <v>322.76888829413178</v>
      </c>
      <c r="L65" s="14">
        <f>'Raw Data'!S65</f>
        <v>457.10747049374527</v>
      </c>
      <c r="M65" s="16"/>
      <c r="Q65" s="23">
        <f>(VLOOKUP(A65,FEDEX!$A:$H,7,FALSE))/(VLOOKUP(A65,FEDEX!$A:$D,4,FALSE))</f>
        <v>0</v>
      </c>
      <c r="R65" s="23">
        <f>(VLOOKUP(B65,FEDEX!$A:$H,8,FALSE))/(VLOOKUP(B65,FEDEX!$A:$D,4,FALSE))</f>
        <v>0</v>
      </c>
      <c r="S65" s="16">
        <f>VLOOKUP(B65,SG!$A:$F,6,FALSE)</f>
        <v>12</v>
      </c>
      <c r="V65" t="str">
        <f>FIELD!G65</f>
        <v>Michael Kim</v>
      </c>
    </row>
    <row r="66" spans="1:22" ht="15" customHeight="1">
      <c r="A66" s="22" t="str">
        <f>'Raw Data'!I66</f>
        <v>Viktor Hovland</v>
      </c>
      <c r="B66" s="137" t="e">
        <f t="shared" ref="B66:B129" si="1">VLOOKUP(A66,$V:$V,1,FALSE)</f>
        <v>#N/A</v>
      </c>
      <c r="C66">
        <f>'Raw Data'!J66</f>
        <v>65</v>
      </c>
      <c r="D66">
        <f>'Raw Data'!K66</f>
        <v>59</v>
      </c>
      <c r="E66">
        <f>'Raw Data'!L66</f>
        <v>104</v>
      </c>
      <c r="F66">
        <f>'Raw Data'!M66</f>
        <v>183</v>
      </c>
      <c r="G66">
        <f>'Raw Data'!N66</f>
        <v>58</v>
      </c>
      <c r="H66">
        <f>'Raw Data'!O66</f>
        <v>119</v>
      </c>
      <c r="I66">
        <f>'Raw Data'!P66</f>
        <v>263</v>
      </c>
      <c r="J66" s="14">
        <f>'Raw Data'!Q66</f>
        <v>417.36238905311956</v>
      </c>
      <c r="K66" s="14">
        <f>'Raw Data'!R66</f>
        <v>184.63914978278203</v>
      </c>
      <c r="L66" s="14">
        <f>'Raw Data'!S66</f>
        <v>258.3155238374826</v>
      </c>
      <c r="M66" s="16"/>
      <c r="Q66" s="23">
        <f>(VLOOKUP(A66,FEDEX!$A:$H,7,FALSE))/(VLOOKUP(A66,FEDEX!$A:$D,4,FALSE))</f>
        <v>0</v>
      </c>
      <c r="R66" s="23" t="e">
        <f>(VLOOKUP(B66,FEDEX!$A:$H,8,FALSE))/(VLOOKUP(B66,FEDEX!$A:$D,4,FALSE))</f>
        <v>#N/A</v>
      </c>
      <c r="S66" s="16" t="e">
        <f>VLOOKUP(B66,SG!$A:$F,6,FALSE)</f>
        <v>#N/A</v>
      </c>
      <c r="V66" t="str">
        <f>FIELD!G66</f>
        <v>S.H. Kim</v>
      </c>
    </row>
    <row r="67" spans="1:22">
      <c r="A67" s="22" t="str">
        <f>'Raw Data'!I67</f>
        <v>David Skinns</v>
      </c>
      <c r="B67" s="137" t="e">
        <f t="shared" si="1"/>
        <v>#N/A</v>
      </c>
      <c r="C67">
        <f>'Raw Data'!J67</f>
        <v>66</v>
      </c>
      <c r="D67">
        <f>'Raw Data'!K67</f>
        <v>149</v>
      </c>
      <c r="E67">
        <f>'Raw Data'!L67</f>
        <v>91</v>
      </c>
      <c r="F67">
        <f>'Raw Data'!M67</f>
        <v>66</v>
      </c>
      <c r="G67">
        <f>'Raw Data'!N67</f>
        <v>108</v>
      </c>
      <c r="H67">
        <f>'Raw Data'!O67</f>
        <v>99</v>
      </c>
      <c r="I67">
        <f>'Raw Data'!P67</f>
        <v>278</v>
      </c>
      <c r="J67" s="14">
        <f>'Raw Data'!Q67</f>
        <v>387.43018894044076</v>
      </c>
      <c r="K67" s="14" t="e">
        <f>'Raw Data'!R67</f>
        <v>#N/A</v>
      </c>
      <c r="L67" s="14" t="e">
        <f>'Raw Data'!S67</f>
        <v>#N/A</v>
      </c>
      <c r="M67" s="16"/>
      <c r="Q67" s="23">
        <f>(VLOOKUP(A67,FEDEX!$A:$H,7,FALSE))/(VLOOKUP(A67,FEDEX!$A:$D,4,FALSE))</f>
        <v>0</v>
      </c>
      <c r="R67" s="23" t="e">
        <f>(VLOOKUP(B67,FEDEX!$A:$H,8,FALSE))/(VLOOKUP(B67,FEDEX!$A:$D,4,FALSE))</f>
        <v>#N/A</v>
      </c>
      <c r="S67" s="16" t="e">
        <f>VLOOKUP(B67,SG!$A:$F,6,FALSE)</f>
        <v>#N/A</v>
      </c>
      <c r="V67" t="str">
        <f>FIELD!G67</f>
        <v>Patton Kizzire</v>
      </c>
    </row>
    <row r="68" spans="1:22" ht="15" customHeight="1">
      <c r="A68" s="22" t="str">
        <f>'Raw Data'!I68</f>
        <v>Max Homa</v>
      </c>
      <c r="B68" s="137" t="e">
        <f t="shared" si="1"/>
        <v>#N/A</v>
      </c>
      <c r="C68">
        <f>'Raw Data'!J68</f>
        <v>67</v>
      </c>
      <c r="D68">
        <f>'Raw Data'!K68</f>
        <v>63</v>
      </c>
      <c r="E68">
        <f>'Raw Data'!L68</f>
        <v>54</v>
      </c>
      <c r="F68">
        <f>'Raw Data'!M68</f>
        <v>48</v>
      </c>
      <c r="G68">
        <f>'Raw Data'!N68</f>
        <v>51</v>
      </c>
      <c r="H68">
        <f>'Raw Data'!O68</f>
        <v>37</v>
      </c>
      <c r="I68">
        <f>'Raw Data'!P68</f>
        <v>174.3</v>
      </c>
      <c r="J68" s="14">
        <f>'Raw Data'!Q68</f>
        <v>211.37118139571558</v>
      </c>
      <c r="K68" s="14">
        <f>'Raw Data'!R68</f>
        <v>154.29706385765206</v>
      </c>
      <c r="L68" s="14">
        <f>'Raw Data'!S68</f>
        <v>172.93720735765584</v>
      </c>
      <c r="M68" s="16"/>
      <c r="Q68" s="23">
        <f>(VLOOKUP(A68,FEDEX!$A:$H,7,FALSE))/(VLOOKUP(A68,FEDEX!$A:$D,4,FALSE))</f>
        <v>0</v>
      </c>
      <c r="R68" s="23" t="e">
        <f>(VLOOKUP(B68,FEDEX!$A:$H,8,FALSE))/(VLOOKUP(B68,FEDEX!$A:$D,4,FALSE))</f>
        <v>#N/A</v>
      </c>
      <c r="S68" s="16" t="e">
        <f>VLOOKUP(B68,SG!$A:$F,6,FALSE)</f>
        <v>#N/A</v>
      </c>
      <c r="V68" t="str">
        <f>FIELD!G68</f>
        <v>Russell Knox</v>
      </c>
    </row>
    <row r="69" spans="1:22">
      <c r="A69" s="22" t="str">
        <f>'Raw Data'!I69</f>
        <v>Matt Wallace</v>
      </c>
      <c r="B69" s="137" t="e">
        <f t="shared" si="1"/>
        <v>#N/A</v>
      </c>
      <c r="C69">
        <f>'Raw Data'!J69</f>
        <v>67</v>
      </c>
      <c r="D69">
        <f>'Raw Data'!K69</f>
        <v>174</v>
      </c>
      <c r="E69">
        <f>'Raw Data'!L69</f>
        <v>96</v>
      </c>
      <c r="F69">
        <f>'Raw Data'!M69</f>
        <v>82</v>
      </c>
      <c r="G69">
        <f>'Raw Data'!N69</f>
        <v>53</v>
      </c>
      <c r="H69">
        <f>'Raw Data'!O69</f>
        <v>121</v>
      </c>
      <c r="I69">
        <f>'Raw Data'!P69</f>
        <v>273.8</v>
      </c>
      <c r="J69" s="14">
        <f>'Raw Data'!Q69</f>
        <v>407.73650798559868</v>
      </c>
      <c r="K69" s="14">
        <f>'Raw Data'!R69</f>
        <v>269.57837826782981</v>
      </c>
      <c r="L69" s="14">
        <f>'Raw Data'!S69</f>
        <v>389.41322210160456</v>
      </c>
      <c r="M69" s="16"/>
      <c r="Q69" s="23">
        <f>(VLOOKUP(A69,FEDEX!$A:$H,7,FALSE))/(VLOOKUP(A69,FEDEX!$A:$D,4,FALSE))</f>
        <v>0</v>
      </c>
      <c r="R69" s="23" t="e">
        <f>(VLOOKUP(B69,FEDEX!$A:$H,8,FALSE))/(VLOOKUP(B69,FEDEX!$A:$D,4,FALSE))</f>
        <v>#N/A</v>
      </c>
      <c r="S69" s="16" t="e">
        <f>VLOOKUP(B69,SG!$A:$F,6,FALSE)</f>
        <v>#N/A</v>
      </c>
      <c r="V69" t="str">
        <f>FIELD!G69</f>
        <v>Ben Kohles</v>
      </c>
    </row>
    <row r="70" spans="1:22" ht="15" customHeight="1">
      <c r="A70" s="22" t="str">
        <f>'Raw Data'!I70</f>
        <v>Erik Barnes</v>
      </c>
      <c r="B70" s="137" t="e">
        <f t="shared" si="1"/>
        <v>#N/A</v>
      </c>
      <c r="C70">
        <f>'Raw Data'!J70</f>
        <v>69</v>
      </c>
      <c r="D70">
        <f>'Raw Data'!K70</f>
        <v>124</v>
      </c>
      <c r="E70">
        <f>'Raw Data'!L70</f>
        <v>88</v>
      </c>
      <c r="F70">
        <f>'Raw Data'!M70</f>
        <v>69</v>
      </c>
      <c r="G70">
        <f>'Raw Data'!N70</f>
        <v>83</v>
      </c>
      <c r="H70">
        <f>'Raw Data'!O70</f>
        <v>106</v>
      </c>
      <c r="I70">
        <f>'Raw Data'!P70</f>
        <v>254.79999999999998</v>
      </c>
      <c r="J70" s="14">
        <f>'Raw Data'!Q70</f>
        <v>370.07499935387017</v>
      </c>
      <c r="K70" s="14" t="e">
        <f>'Raw Data'!R70</f>
        <v>#N/A</v>
      </c>
      <c r="L70" s="14" t="e">
        <f>'Raw Data'!S70</f>
        <v>#N/A</v>
      </c>
      <c r="M70" s="16"/>
      <c r="Q70" s="23">
        <f>(VLOOKUP(A70,FEDEX!$A:$H,7,FALSE))/(VLOOKUP(A70,FEDEX!$A:$D,4,FALSE))</f>
        <v>0</v>
      </c>
      <c r="R70" s="23" t="e">
        <f>(VLOOKUP(B70,FEDEX!$A:$H,8,FALSE))/(VLOOKUP(B70,FEDEX!$A:$D,4,FALSE))</f>
        <v>#N/A</v>
      </c>
      <c r="S70" s="16" t="e">
        <f>VLOOKUP(B70,SG!$A:$F,6,FALSE)</f>
        <v>#N/A</v>
      </c>
      <c r="V70" t="str">
        <f>FIELD!G70</f>
        <v>Peter Kuest</v>
      </c>
    </row>
    <row r="71" spans="1:22" ht="15" customHeight="1">
      <c r="A71" s="22" t="str">
        <f>'Raw Data'!I71</f>
        <v>Ryan Palmer</v>
      </c>
      <c r="B71" s="137" t="str">
        <f t="shared" si="1"/>
        <v>Ryan Palmer</v>
      </c>
      <c r="C71">
        <f>'Raw Data'!J71</f>
        <v>69</v>
      </c>
      <c r="D71">
        <f>'Raw Data'!K71</f>
        <v>51</v>
      </c>
      <c r="E71">
        <f>'Raw Data'!L71</f>
        <v>111</v>
      </c>
      <c r="F71">
        <f>'Raw Data'!M71</f>
        <v>106</v>
      </c>
      <c r="G71">
        <f>'Raw Data'!N71</f>
        <v>174</v>
      </c>
      <c r="H71">
        <f>'Raw Data'!O71</f>
        <v>146</v>
      </c>
      <c r="I71">
        <f>'Raw Data'!P71</f>
        <v>294.7</v>
      </c>
      <c r="J71" s="14">
        <f>'Raw Data'!Q71</f>
        <v>462.76602714336951</v>
      </c>
      <c r="K71" s="14">
        <f>'Raw Data'!R71</f>
        <v>297.07852346373488</v>
      </c>
      <c r="L71" s="14">
        <f>'Raw Data'!S71</f>
        <v>444.41967168407621</v>
      </c>
      <c r="M71" s="16"/>
      <c r="Q71" s="23">
        <f>(VLOOKUP(A71,FEDEX!$A:$H,7,FALSE))/(VLOOKUP(A71,FEDEX!$A:$D,4,FALSE))</f>
        <v>0</v>
      </c>
      <c r="R71" s="23">
        <f>(VLOOKUP(B71,FEDEX!$A:$H,8,FALSE))/(VLOOKUP(B71,FEDEX!$A:$D,4,FALSE))</f>
        <v>0</v>
      </c>
      <c r="S71" s="16">
        <f>VLOOKUP(B71,SG!$A:$F,6,FALSE)</f>
        <v>-17</v>
      </c>
      <c r="V71" t="str">
        <f>FIELD!G71</f>
        <v>Andrew Landry</v>
      </c>
    </row>
    <row r="72" spans="1:22">
      <c r="A72" s="22" t="str">
        <f>'Raw Data'!I72</f>
        <v>Adam Schenk</v>
      </c>
      <c r="B72" s="137" t="e">
        <f t="shared" si="1"/>
        <v>#N/A</v>
      </c>
      <c r="C72">
        <f>'Raw Data'!J72</f>
        <v>71</v>
      </c>
      <c r="D72">
        <f>'Raw Data'!K72</f>
        <v>39</v>
      </c>
      <c r="E72">
        <f>'Raw Data'!L72</f>
        <v>153</v>
      </c>
      <c r="F72">
        <f>'Raw Data'!M72</f>
        <v>28</v>
      </c>
      <c r="G72">
        <f>'Raw Data'!N72</f>
        <v>38</v>
      </c>
      <c r="H72">
        <f>'Raw Data'!O72</f>
        <v>47</v>
      </c>
      <c r="I72">
        <f>'Raw Data'!P72</f>
        <v>220.7</v>
      </c>
      <c r="J72" s="14">
        <f>'Raw Data'!Q72</f>
        <v>276.45803554651491</v>
      </c>
      <c r="K72" s="14">
        <f>'Raw Data'!R72</f>
        <v>221.0844078325228</v>
      </c>
      <c r="L72" s="14">
        <f>'Raw Data'!S72</f>
        <v>277.16335954042739</v>
      </c>
      <c r="M72" s="16"/>
      <c r="Q72" s="23">
        <f>(VLOOKUP(A72,FEDEX!$A:$H,7,FALSE))/(VLOOKUP(A72,FEDEX!$A:$D,4,FALSE))</f>
        <v>0</v>
      </c>
      <c r="R72" s="23" t="e">
        <f>(VLOOKUP(B72,FEDEX!$A:$H,8,FALSE))/(VLOOKUP(B72,FEDEX!$A:$D,4,FALSE))</f>
        <v>#N/A</v>
      </c>
      <c r="S72" s="16" t="e">
        <f>VLOOKUP(B72,SG!$A:$F,6,FALSE)</f>
        <v>#N/A</v>
      </c>
      <c r="V72" t="str">
        <f>FIELD!G72</f>
        <v>Nate Lashley</v>
      </c>
    </row>
    <row r="73" spans="1:22" ht="15" customHeight="1">
      <c r="A73" s="22" t="str">
        <f>'Raw Data'!I73</f>
        <v>Nick Hardy</v>
      </c>
      <c r="B73" s="137" t="str">
        <f t="shared" si="1"/>
        <v>Nick Hardy</v>
      </c>
      <c r="C73">
        <f>'Raw Data'!J73</f>
        <v>72</v>
      </c>
      <c r="D73">
        <f>'Raw Data'!K73</f>
        <v>145</v>
      </c>
      <c r="E73">
        <f>'Raw Data'!L73</f>
        <v>120</v>
      </c>
      <c r="F73">
        <f>'Raw Data'!M73</f>
        <v>172</v>
      </c>
      <c r="G73">
        <f>'Raw Data'!N73</f>
        <v>74</v>
      </c>
      <c r="H73">
        <f>'Raw Data'!O73</f>
        <v>134</v>
      </c>
      <c r="I73">
        <f>'Raw Data'!P73</f>
        <v>327.10000000000002</v>
      </c>
      <c r="J73" s="14">
        <f>'Raw Data'!Q73</f>
        <v>494.85744914130032</v>
      </c>
      <c r="K73" s="14">
        <f>'Raw Data'!R73</f>
        <v>287.93330374255254</v>
      </c>
      <c r="L73" s="14">
        <f>'Raw Data'!S73</f>
        <v>436.62933056471149</v>
      </c>
      <c r="M73" s="16"/>
      <c r="Q73" s="23">
        <f>(VLOOKUP(A73,FEDEX!$A:$H,7,FALSE))/(VLOOKUP(A73,FEDEX!$A:$D,4,FALSE))</f>
        <v>0</v>
      </c>
      <c r="R73" s="23">
        <f>(VLOOKUP(B73,FEDEX!$A:$H,8,FALSE))/(VLOOKUP(B73,FEDEX!$A:$D,4,FALSE))</f>
        <v>0</v>
      </c>
      <c r="S73" s="16">
        <f>VLOOKUP(B73,SG!$A:$F,6,FALSE)</f>
        <v>0</v>
      </c>
      <c r="V73" t="str">
        <f>FIELD!G73</f>
        <v>Thriston Lawrence</v>
      </c>
    </row>
    <row r="74" spans="1:22" ht="15" customHeight="1">
      <c r="A74" s="22" t="str">
        <f>'Raw Data'!I74</f>
        <v>Charley Hoffman</v>
      </c>
      <c r="B74" s="137" t="str">
        <f t="shared" si="1"/>
        <v>Charley Hoffman</v>
      </c>
      <c r="C74">
        <f>'Raw Data'!J74</f>
        <v>72</v>
      </c>
      <c r="D74">
        <f>'Raw Data'!K74</f>
        <v>157</v>
      </c>
      <c r="E74">
        <f>'Raw Data'!L74</f>
        <v>78</v>
      </c>
      <c r="F74">
        <f>'Raw Data'!M74</f>
        <v>96</v>
      </c>
      <c r="G74">
        <f>'Raw Data'!N74</f>
        <v>110</v>
      </c>
      <c r="H74">
        <f>'Raw Data'!O74</f>
        <v>93</v>
      </c>
      <c r="I74">
        <f>'Raw Data'!P74</f>
        <v>291.3</v>
      </c>
      <c r="J74" s="14">
        <f>'Raw Data'!Q74</f>
        <v>397.36569396029262</v>
      </c>
      <c r="K74" s="14">
        <f>'Raw Data'!R74</f>
        <v>284.01169613962321</v>
      </c>
      <c r="L74" s="14">
        <f>'Raw Data'!S74</f>
        <v>406.53356560483229</v>
      </c>
      <c r="M74" s="16"/>
      <c r="Q74" s="23">
        <f>(VLOOKUP(A74,FEDEX!$A:$H,7,FALSE))/(VLOOKUP(A74,FEDEX!$A:$D,4,FALSE))</f>
        <v>0</v>
      </c>
      <c r="R74" s="23">
        <f>(VLOOKUP(B74,FEDEX!$A:$H,8,FALSE))/(VLOOKUP(B74,FEDEX!$A:$D,4,FALSE))</f>
        <v>0</v>
      </c>
      <c r="S74" s="16">
        <f>VLOOKUP(B74,SG!$A:$F,6,FALSE)</f>
        <v>-29</v>
      </c>
      <c r="V74" t="str">
        <f>FIELD!G74</f>
        <v>K.H. Lee</v>
      </c>
    </row>
    <row r="75" spans="1:22">
      <c r="A75" s="22" t="str">
        <f>'Raw Data'!I75</f>
        <v>Jason Day</v>
      </c>
      <c r="B75" s="137" t="e">
        <f t="shared" si="1"/>
        <v>#N/A</v>
      </c>
      <c r="C75">
        <f>'Raw Data'!J75</f>
        <v>74</v>
      </c>
      <c r="D75">
        <f>'Raw Data'!K75</f>
        <v>34</v>
      </c>
      <c r="E75">
        <f>'Raw Data'!L75</f>
        <v>141</v>
      </c>
      <c r="F75">
        <f>'Raw Data'!M75</f>
        <v>9</v>
      </c>
      <c r="G75">
        <f>'Raw Data'!N75</f>
        <v>43</v>
      </c>
      <c r="H75">
        <f>'Raw Data'!O75</f>
        <v>34</v>
      </c>
      <c r="I75">
        <f>'Raw Data'!P75</f>
        <v>207.4</v>
      </c>
      <c r="J75" s="14">
        <f>'Raw Data'!Q75</f>
        <v>243.86700726664148</v>
      </c>
      <c r="K75" s="14">
        <f>'Raw Data'!R75</f>
        <v>207.13400350874537</v>
      </c>
      <c r="L75" s="14">
        <f>'Raw Data'!S75</f>
        <v>241.97932107638263</v>
      </c>
      <c r="M75" s="16"/>
      <c r="Q75" s="23">
        <f>(VLOOKUP(A75,FEDEX!$A:$H,7,FALSE))/(VLOOKUP(A75,FEDEX!$A:$D,4,FALSE))</f>
        <v>0</v>
      </c>
      <c r="R75" s="23" t="e">
        <f>(VLOOKUP(B75,FEDEX!$A:$H,8,FALSE))/(VLOOKUP(B75,FEDEX!$A:$D,4,FALSE))</f>
        <v>#N/A</v>
      </c>
      <c r="S75" s="16" t="e">
        <f>VLOOKUP(B75,SG!$A:$F,6,FALSE)</f>
        <v>#N/A</v>
      </c>
      <c r="V75" t="str">
        <f>FIELD!G75</f>
        <v>David Lipsky</v>
      </c>
    </row>
    <row r="76" spans="1:22">
      <c r="A76" s="22" t="str">
        <f>'Raw Data'!I76</f>
        <v>K.H. Lee</v>
      </c>
      <c r="B76" s="137" t="str">
        <f t="shared" si="1"/>
        <v>K.H. Lee</v>
      </c>
      <c r="C76">
        <f>'Raw Data'!J76</f>
        <v>75</v>
      </c>
      <c r="D76">
        <f>'Raw Data'!K76</f>
        <v>93</v>
      </c>
      <c r="E76">
        <f>'Raw Data'!L76</f>
        <v>135</v>
      </c>
      <c r="F76">
        <f>'Raw Data'!M76</f>
        <v>42</v>
      </c>
      <c r="G76">
        <f>'Raw Data'!N76</f>
        <v>84</v>
      </c>
      <c r="H76">
        <f>'Raw Data'!O76</f>
        <v>77</v>
      </c>
      <c r="I76">
        <f>'Raw Data'!P76</f>
        <v>267.3</v>
      </c>
      <c r="J76" s="14">
        <f>'Raw Data'!Q76</f>
        <v>353.1768559315849</v>
      </c>
      <c r="K76" s="14">
        <f>'Raw Data'!R76</f>
        <v>262.56354634927243</v>
      </c>
      <c r="L76" s="14">
        <f>'Raw Data'!S76</f>
        <v>339.61411670808189</v>
      </c>
      <c r="M76" s="16"/>
      <c r="Q76" s="23">
        <f>(VLOOKUP(A76,FEDEX!$A:$H,7,FALSE))/(VLOOKUP(A76,FEDEX!$A:$D,4,FALSE))</f>
        <v>0</v>
      </c>
      <c r="R76" s="23">
        <f>(VLOOKUP(B76,FEDEX!$A:$H,8,FALSE))/(VLOOKUP(B76,FEDEX!$A:$D,4,FALSE))</f>
        <v>0</v>
      </c>
      <c r="S76" s="16">
        <f>VLOOKUP(B76,SG!$A:$F,6,FALSE)</f>
        <v>-12</v>
      </c>
      <c r="V76" t="str">
        <f>FIELD!G76</f>
        <v>Adam Long</v>
      </c>
    </row>
    <row r="77" spans="1:22" ht="15" customHeight="1">
      <c r="A77" s="22" t="str">
        <f>'Raw Data'!I77</f>
        <v>Robert MacIntyre</v>
      </c>
      <c r="B77" s="137" t="e">
        <f t="shared" si="1"/>
        <v>#N/A</v>
      </c>
      <c r="C77">
        <f>'Raw Data'!J77</f>
        <v>76</v>
      </c>
      <c r="D77">
        <f>'Raw Data'!K77</f>
        <v>133</v>
      </c>
      <c r="E77">
        <f>'Raw Data'!L77</f>
        <v>102</v>
      </c>
      <c r="F77">
        <f>'Raw Data'!M77</f>
        <v>91</v>
      </c>
      <c r="G77">
        <f>'Raw Data'!N77</f>
        <v>152</v>
      </c>
      <c r="H77">
        <f>'Raw Data'!O77</f>
        <v>130</v>
      </c>
      <c r="I77">
        <f>'Raw Data'!P77</f>
        <v>318.70000000000005</v>
      </c>
      <c r="J77" s="14">
        <f>'Raw Data'!Q77</f>
        <v>463.97932329539765</v>
      </c>
      <c r="K77" s="14">
        <f>'Raw Data'!R77</f>
        <v>275.24818607376028</v>
      </c>
      <c r="L77" s="14">
        <f>'Raw Data'!S77</f>
        <v>371.77383356122141</v>
      </c>
      <c r="M77" s="16"/>
      <c r="Q77" s="23">
        <f>(VLOOKUP(A77,FEDEX!$A:$H,7,FALSE))/(VLOOKUP(A77,FEDEX!$A:$D,4,FALSE))</f>
        <v>0</v>
      </c>
      <c r="R77" s="23" t="e">
        <f>(VLOOKUP(B77,FEDEX!$A:$H,8,FALSE))/(VLOOKUP(B77,FEDEX!$A:$D,4,FALSE))</f>
        <v>#N/A</v>
      </c>
      <c r="S77" s="16" t="e">
        <f>VLOOKUP(B77,SG!$A:$F,6,FALSE)</f>
        <v>#N/A</v>
      </c>
      <c r="V77" t="str">
        <f>FIELD!G77</f>
        <v>Thomas Longbella</v>
      </c>
    </row>
    <row r="78" spans="1:22">
      <c r="A78" s="22" t="str">
        <f>'Raw Data'!I78</f>
        <v>Scottie Scheffler</v>
      </c>
      <c r="B78" s="137" t="e">
        <f t="shared" si="1"/>
        <v>#N/A</v>
      </c>
      <c r="C78">
        <f>'Raw Data'!J78</f>
        <v>76</v>
      </c>
      <c r="D78">
        <f>'Raw Data'!K78</f>
        <v>14</v>
      </c>
      <c r="E78">
        <f>'Raw Data'!L78</f>
        <v>1</v>
      </c>
      <c r="F78">
        <f>'Raw Data'!M78</f>
        <v>5</v>
      </c>
      <c r="G78">
        <f>'Raw Data'!N78</f>
        <v>96</v>
      </c>
      <c r="H78">
        <f>'Raw Data'!O78</f>
        <v>1</v>
      </c>
      <c r="I78">
        <f>'Raw Data'!P78</f>
        <v>126.10000000000001</v>
      </c>
      <c r="J78" s="14">
        <f>'Raw Data'!Q78</f>
        <v>109.38418308529688</v>
      </c>
      <c r="K78" s="14">
        <f>'Raw Data'!R78</f>
        <v>135.40987719391197</v>
      </c>
      <c r="L78" s="14">
        <f>'Raw Data'!S78</f>
        <v>126.00478690833329</v>
      </c>
      <c r="M78" s="16"/>
      <c r="Q78" s="23">
        <f>(VLOOKUP(A78,FEDEX!$A:$H,7,FALSE))/(VLOOKUP(A78,FEDEX!$A:$D,4,FALSE))</f>
        <v>0</v>
      </c>
      <c r="R78" s="23" t="e">
        <f>(VLOOKUP(B78,FEDEX!$A:$H,8,FALSE))/(VLOOKUP(B78,FEDEX!$A:$D,4,FALSE))</f>
        <v>#N/A</v>
      </c>
      <c r="S78" s="16" t="e">
        <f>VLOOKUP(B78,SG!$A:$F,6,FALSE)</f>
        <v>#N/A</v>
      </c>
      <c r="V78" t="str">
        <f>FIELD!G78</f>
        <v>Justin Lower</v>
      </c>
    </row>
    <row r="79" spans="1:22">
      <c r="A79" s="22" t="str">
        <f>'Raw Data'!I79</f>
        <v>Bronson Burgoon</v>
      </c>
      <c r="B79" s="137" t="e">
        <f t="shared" si="1"/>
        <v>#N/A</v>
      </c>
      <c r="C79">
        <f>'Raw Data'!J79</f>
        <v>78</v>
      </c>
      <c r="D79">
        <f>'Raw Data'!K79</f>
        <v>131</v>
      </c>
      <c r="E79">
        <f>'Raw Data'!L79</f>
        <v>127</v>
      </c>
      <c r="F79">
        <f>'Raw Data'!M79</f>
        <v>137</v>
      </c>
      <c r="G79">
        <f>'Raw Data'!N79</f>
        <v>164</v>
      </c>
      <c r="H79">
        <f>'Raw Data'!O79</f>
        <v>157</v>
      </c>
      <c r="I79">
        <f>'Raw Data'!P79</f>
        <v>361.4</v>
      </c>
      <c r="J79" s="14">
        <f>'Raw Data'!Q79</f>
        <v>546.30680212563607</v>
      </c>
      <c r="K79" s="14" t="e">
        <f>'Raw Data'!R79</f>
        <v>#N/A</v>
      </c>
      <c r="L79" s="14" t="e">
        <f>'Raw Data'!S79</f>
        <v>#N/A</v>
      </c>
      <c r="M79" s="16"/>
      <c r="Q79" s="23">
        <f>(VLOOKUP(A79,FEDEX!$A:$H,7,FALSE))/(VLOOKUP(A79,FEDEX!$A:$D,4,FALSE))</f>
        <v>0</v>
      </c>
      <c r="R79" s="23" t="e">
        <f>(VLOOKUP(B79,FEDEX!$A:$H,8,FALSE))/(VLOOKUP(B79,FEDEX!$A:$D,4,FALSE))</f>
        <v>#N/A</v>
      </c>
      <c r="S79" s="16" t="e">
        <f>VLOOKUP(B79,SG!$A:$F,6,FALSE)</f>
        <v>#N/A</v>
      </c>
      <c r="V79" t="str">
        <f>FIELD!G79</f>
        <v>Ben Martin</v>
      </c>
    </row>
    <row r="80" spans="1:22">
      <c r="A80" s="22" t="str">
        <f>'Raw Data'!I80</f>
        <v>S.H. Kim</v>
      </c>
      <c r="B80" s="137" t="str">
        <f t="shared" si="1"/>
        <v>S.H. Kim</v>
      </c>
      <c r="C80">
        <f>'Raw Data'!J80</f>
        <v>79</v>
      </c>
      <c r="D80">
        <f>'Raw Data'!K80</f>
        <v>177</v>
      </c>
      <c r="E80">
        <f>'Raw Data'!L80</f>
        <v>144</v>
      </c>
      <c r="F80">
        <f>'Raw Data'!M80</f>
        <v>11</v>
      </c>
      <c r="G80">
        <f>'Raw Data'!N80</f>
        <v>30</v>
      </c>
      <c r="H80">
        <f>'Raw Data'!O80</f>
        <v>78</v>
      </c>
      <c r="I80">
        <f>'Raw Data'!P80</f>
        <v>279.8</v>
      </c>
      <c r="J80" s="14">
        <f>'Raw Data'!Q80</f>
        <v>359.34583888818077</v>
      </c>
      <c r="K80" s="14">
        <f>'Raw Data'!R80</f>
        <v>272.15989432860903</v>
      </c>
      <c r="L80" s="14">
        <f>'Raw Data'!S80</f>
        <v>354.12114733294624</v>
      </c>
      <c r="M80" s="16"/>
      <c r="Q80" s="23">
        <f>(VLOOKUP(A80,FEDEX!$A:$H,7,FALSE))/(VLOOKUP(A80,FEDEX!$A:$D,4,FALSE))</f>
        <v>0</v>
      </c>
      <c r="R80" s="23">
        <f>(VLOOKUP(B80,FEDEX!$A:$H,8,FALSE))/(VLOOKUP(B80,FEDEX!$A:$D,4,FALSE))</f>
        <v>0</v>
      </c>
      <c r="S80" s="16">
        <f>VLOOKUP(B80,SG!$A:$F,6,FALSE)</f>
        <v>28</v>
      </c>
      <c r="V80" t="str">
        <f>FIELD!G80</f>
        <v>Ryan McCormick</v>
      </c>
    </row>
    <row r="81" spans="1:22">
      <c r="A81" s="22" t="str">
        <f>'Raw Data'!I81</f>
        <v>Taylor Moore</v>
      </c>
      <c r="B81" s="137" t="e">
        <f t="shared" si="1"/>
        <v>#N/A</v>
      </c>
      <c r="C81">
        <f>'Raw Data'!J81</f>
        <v>79</v>
      </c>
      <c r="D81">
        <f>'Raw Data'!K81</f>
        <v>71</v>
      </c>
      <c r="E81">
        <f>'Raw Data'!L81</f>
        <v>59</v>
      </c>
      <c r="F81">
        <f>'Raw Data'!M81</f>
        <v>31</v>
      </c>
      <c r="G81">
        <f>'Raw Data'!N81</f>
        <v>93</v>
      </c>
      <c r="H81">
        <f>'Raw Data'!O81</f>
        <v>45</v>
      </c>
      <c r="I81">
        <f>'Raw Data'!P81</f>
        <v>206.8</v>
      </c>
      <c r="J81" s="14">
        <f>'Raw Data'!Q81</f>
        <v>246.71131866148647</v>
      </c>
      <c r="K81" s="14">
        <f>'Raw Data'!R81</f>
        <v>228.42294057940842</v>
      </c>
      <c r="L81" s="14">
        <f>'Raw Data'!S81</f>
        <v>298.2998202948977</v>
      </c>
      <c r="M81" s="16"/>
      <c r="Q81" s="23">
        <f>(VLOOKUP(A81,FEDEX!$A:$H,7,FALSE))/(VLOOKUP(A81,FEDEX!$A:$D,4,FALSE))</f>
        <v>0</v>
      </c>
      <c r="R81" s="23" t="e">
        <f>(VLOOKUP(B81,FEDEX!$A:$H,8,FALSE))/(VLOOKUP(B81,FEDEX!$A:$D,4,FALSE))</f>
        <v>#N/A</v>
      </c>
      <c r="S81" s="16" t="e">
        <f>VLOOKUP(B81,SG!$A:$F,6,FALSE)</f>
        <v>#N/A</v>
      </c>
      <c r="V81" t="str">
        <f>FIELD!G81</f>
        <v>William McGirt</v>
      </c>
    </row>
    <row r="82" spans="1:22" ht="15" customHeight="1">
      <c r="A82" s="22" t="str">
        <f>'Raw Data'!I82</f>
        <v>Akshay Bhatia</v>
      </c>
      <c r="B82" s="137" t="e">
        <f t="shared" si="1"/>
        <v>#N/A</v>
      </c>
      <c r="C82">
        <f>'Raw Data'!J82</f>
        <v>81</v>
      </c>
      <c r="D82">
        <f>'Raw Data'!K82</f>
        <v>16</v>
      </c>
      <c r="E82">
        <f>'Raw Data'!L82</f>
        <v>12</v>
      </c>
      <c r="F82">
        <f>'Raw Data'!M82</f>
        <v>87</v>
      </c>
      <c r="G82">
        <f>'Raw Data'!N82</f>
        <v>47</v>
      </c>
      <c r="H82">
        <f>'Raw Data'!O82</f>
        <v>4</v>
      </c>
      <c r="I82">
        <f>'Raw Data'!P82</f>
        <v>147.60000000000002</v>
      </c>
      <c r="J82" s="14">
        <f>'Raw Data'!Q82</f>
        <v>149.71542274911999</v>
      </c>
      <c r="K82" s="14">
        <f>'Raw Data'!R82</f>
        <v>192.53967817087045</v>
      </c>
      <c r="L82" s="14">
        <f>'Raw Data'!S82</f>
        <v>242.06164238884941</v>
      </c>
      <c r="M82" s="16"/>
      <c r="Q82" s="23">
        <f>(VLOOKUP(A82,FEDEX!$A:$H,7,FALSE))/(VLOOKUP(A82,FEDEX!$A:$D,4,FALSE))</f>
        <v>0</v>
      </c>
      <c r="R82" s="23" t="e">
        <f>(VLOOKUP(B82,FEDEX!$A:$H,8,FALSE))/(VLOOKUP(B82,FEDEX!$A:$D,4,FALSE))</f>
        <v>#N/A</v>
      </c>
      <c r="S82" s="16" t="e">
        <f>VLOOKUP(B82,SG!$A:$F,6,FALSE)</f>
        <v>#N/A</v>
      </c>
      <c r="V82" t="str">
        <f>FIELD!G82</f>
        <v>George McNeill</v>
      </c>
    </row>
    <row r="83" spans="1:22" ht="15" customHeight="1">
      <c r="A83" s="22" t="str">
        <f>'Raw Data'!I83</f>
        <v>Justin Suh</v>
      </c>
      <c r="B83" s="137" t="str">
        <f t="shared" si="1"/>
        <v>Justin Suh</v>
      </c>
      <c r="C83">
        <f>'Raw Data'!J83</f>
        <v>81</v>
      </c>
      <c r="D83">
        <f>'Raw Data'!K83</f>
        <v>118</v>
      </c>
      <c r="E83">
        <f>'Raw Data'!L83</f>
        <v>180</v>
      </c>
      <c r="F83">
        <f>'Raw Data'!M83</f>
        <v>173</v>
      </c>
      <c r="G83">
        <f>'Raw Data'!N83</f>
        <v>8</v>
      </c>
      <c r="H83">
        <f>'Raw Data'!O83</f>
        <v>158</v>
      </c>
      <c r="I83">
        <f>'Raw Data'!P83</f>
        <v>331.09999999999997</v>
      </c>
      <c r="J83" s="14">
        <f>'Raw Data'!Q83</f>
        <v>527.75757382050733</v>
      </c>
      <c r="K83" s="14">
        <f>'Raw Data'!R83</f>
        <v>308.08701324048673</v>
      </c>
      <c r="L83" s="14">
        <f>'Raw Data'!S83</f>
        <v>466.57551187536183</v>
      </c>
      <c r="M83" s="16"/>
      <c r="Q83" s="23">
        <f>(VLOOKUP(A83,FEDEX!$A:$H,7,FALSE))/(VLOOKUP(A83,FEDEX!$A:$D,4,FALSE))</f>
        <v>0</v>
      </c>
      <c r="R83" s="23">
        <f>(VLOOKUP(B83,FEDEX!$A:$H,8,FALSE))/(VLOOKUP(B83,FEDEX!$A:$D,4,FALSE))</f>
        <v>0</v>
      </c>
      <c r="S83" s="16">
        <f>VLOOKUP(B83,SG!$A:$F,6,FALSE)</f>
        <v>0</v>
      </c>
      <c r="V83" t="str">
        <f>FIELD!G83</f>
        <v>Mac Meissner</v>
      </c>
    </row>
    <row r="84" spans="1:22" ht="15" customHeight="1">
      <c r="A84" s="22" t="str">
        <f>'Raw Data'!I84</f>
        <v>Joe Highsmith</v>
      </c>
      <c r="B84" s="137" t="str">
        <f t="shared" si="1"/>
        <v>Joe Highsmith</v>
      </c>
      <c r="C84">
        <f>'Raw Data'!J84</f>
        <v>83</v>
      </c>
      <c r="D84">
        <f>'Raw Data'!K84</f>
        <v>155</v>
      </c>
      <c r="E84">
        <f>'Raw Data'!L84</f>
        <v>160</v>
      </c>
      <c r="F84">
        <f>'Raw Data'!M84</f>
        <v>27</v>
      </c>
      <c r="G84">
        <f>'Raw Data'!N84</f>
        <v>136</v>
      </c>
      <c r="H84">
        <f>'Raw Data'!O84</f>
        <v>168</v>
      </c>
      <c r="I84">
        <f>'Raw Data'!P84</f>
        <v>343</v>
      </c>
      <c r="J84" s="14">
        <f>'Raw Data'!Q84</f>
        <v>519.24823299115428</v>
      </c>
      <c r="K84" s="14" t="e">
        <f>'Raw Data'!R84</f>
        <v>#N/A</v>
      </c>
      <c r="L84" s="14" t="e">
        <f>'Raw Data'!S84</f>
        <v>#N/A</v>
      </c>
      <c r="M84" s="16"/>
      <c r="Q84" s="23">
        <f>(VLOOKUP(A84,FEDEX!$A:$H,7,FALSE))/(VLOOKUP(A84,FEDEX!$A:$D,4,FALSE))</f>
        <v>0</v>
      </c>
      <c r="R84" s="23">
        <f>(VLOOKUP(B84,FEDEX!$A:$H,8,FALSE))/(VLOOKUP(B84,FEDEX!$A:$D,4,FALSE))</f>
        <v>0</v>
      </c>
      <c r="S84" s="16">
        <f>VLOOKUP(B84,SG!$A:$F,6,FALSE)</f>
        <v>14</v>
      </c>
      <c r="V84" t="str">
        <f>FIELD!G84</f>
        <v>Troy Merritt</v>
      </c>
    </row>
    <row r="85" spans="1:22">
      <c r="A85" s="22" t="str">
        <f>'Raw Data'!I85</f>
        <v>Chesson Hadley</v>
      </c>
      <c r="B85" s="137" t="e">
        <f t="shared" si="1"/>
        <v>#N/A</v>
      </c>
      <c r="C85">
        <f>'Raw Data'!J85</f>
        <v>84</v>
      </c>
      <c r="D85">
        <f>'Raw Data'!K85</f>
        <v>150</v>
      </c>
      <c r="E85">
        <f>'Raw Data'!L85</f>
        <v>123</v>
      </c>
      <c r="F85">
        <f>'Raw Data'!M85</f>
        <v>127</v>
      </c>
      <c r="G85">
        <f>'Raw Data'!N85</f>
        <v>35</v>
      </c>
      <c r="H85">
        <f>'Raw Data'!O85</f>
        <v>89</v>
      </c>
      <c r="I85">
        <f>'Raw Data'!P85</f>
        <v>305</v>
      </c>
      <c r="J85" s="14">
        <f>'Raw Data'!Q85</f>
        <v>414.89900410912179</v>
      </c>
      <c r="K85" s="14">
        <f>'Raw Data'!R85</f>
        <v>289.46580491072979</v>
      </c>
      <c r="L85" s="14">
        <f>'Raw Data'!S85</f>
        <v>394.68392940884235</v>
      </c>
      <c r="M85" s="16"/>
      <c r="Q85" s="23">
        <f>(VLOOKUP(A85,FEDEX!$A:$H,7,FALSE))/(VLOOKUP(A85,FEDEX!$A:$D,4,FALSE))</f>
        <v>0</v>
      </c>
      <c r="R85" s="23" t="e">
        <f>(VLOOKUP(B85,FEDEX!$A:$H,8,FALSE))/(VLOOKUP(B85,FEDEX!$A:$D,4,FALSE))</f>
        <v>#N/A</v>
      </c>
      <c r="S85" s="16" t="e">
        <f>VLOOKUP(B85,SG!$A:$F,6,FALSE)</f>
        <v>#N/A</v>
      </c>
      <c r="V85" t="str">
        <f>FIELD!G85</f>
        <v>Francesco Molinari</v>
      </c>
    </row>
    <row r="86" spans="1:22">
      <c r="A86" s="22" t="str">
        <f>'Raw Data'!I86</f>
        <v>Vince Whaley</v>
      </c>
      <c r="B86" s="137" t="str">
        <f t="shared" si="1"/>
        <v>Vince Whaley</v>
      </c>
      <c r="C86">
        <f>'Raw Data'!J86</f>
        <v>85</v>
      </c>
      <c r="D86">
        <f>'Raw Data'!K86</f>
        <v>179</v>
      </c>
      <c r="E86">
        <f>'Raw Data'!L86</f>
        <v>145</v>
      </c>
      <c r="F86">
        <f>'Raw Data'!M86</f>
        <v>72</v>
      </c>
      <c r="G86">
        <f>'Raw Data'!N86</f>
        <v>155</v>
      </c>
      <c r="H86">
        <f>'Raw Data'!O86</f>
        <v>172</v>
      </c>
      <c r="I86">
        <f>'Raw Data'!P86</f>
        <v>373.8</v>
      </c>
      <c r="J86" s="14">
        <f>'Raw Data'!Q86</f>
        <v>560.89935909371604</v>
      </c>
      <c r="K86" s="14">
        <f>'Raw Data'!R86</f>
        <v>369.22486035042039</v>
      </c>
      <c r="L86" s="14">
        <f>'Raw Data'!S86</f>
        <v>555.16403469407817</v>
      </c>
      <c r="M86" s="16"/>
      <c r="Q86" s="23">
        <f>(VLOOKUP(A86,FEDEX!$A:$H,7,FALSE))/(VLOOKUP(A86,FEDEX!$A:$D,4,FALSE))</f>
        <v>0</v>
      </c>
      <c r="R86" s="23">
        <f>(VLOOKUP(B86,FEDEX!$A:$H,8,FALSE))/(VLOOKUP(B86,FEDEX!$A:$D,4,FALSE))</f>
        <v>0</v>
      </c>
      <c r="S86" s="16">
        <f>VLOOKUP(B86,SG!$A:$F,6,FALSE)</f>
        <v>12</v>
      </c>
      <c r="V86" t="str">
        <f>FIELD!G86</f>
        <v>Matt NeSmith</v>
      </c>
    </row>
    <row r="87" spans="1:22" ht="15" customHeight="1">
      <c r="A87" s="22" t="str">
        <f>'Raw Data'!I87</f>
        <v>Michael Kim</v>
      </c>
      <c r="B87" s="137" t="str">
        <f t="shared" si="1"/>
        <v>Michael Kim</v>
      </c>
      <c r="C87">
        <f>'Raw Data'!J87</f>
        <v>86</v>
      </c>
      <c r="D87">
        <f>'Raw Data'!K87</f>
        <v>171</v>
      </c>
      <c r="E87">
        <f>'Raw Data'!L87</f>
        <v>86</v>
      </c>
      <c r="F87">
        <f>'Raw Data'!M87</f>
        <v>101</v>
      </c>
      <c r="G87">
        <f>'Raw Data'!N87</f>
        <v>84</v>
      </c>
      <c r="H87">
        <f>'Raw Data'!O87</f>
        <v>137</v>
      </c>
      <c r="I87">
        <f>'Raw Data'!P87</f>
        <v>305.5</v>
      </c>
      <c r="J87" s="14">
        <f>'Raw Data'!Q87</f>
        <v>453.31030340678421</v>
      </c>
      <c r="K87" s="14">
        <f>'Raw Data'!R87</f>
        <v>265.78586580248657</v>
      </c>
      <c r="L87" s="14">
        <f>'Raw Data'!S87</f>
        <v>381.81513631446632</v>
      </c>
      <c r="M87" s="16"/>
      <c r="Q87" s="23">
        <f>(VLOOKUP(A87,FEDEX!$A:$H,7,FALSE))/(VLOOKUP(A87,FEDEX!$A:$D,4,FALSE))</f>
        <v>0</v>
      </c>
      <c r="R87" s="23">
        <f>(VLOOKUP(B87,FEDEX!$A:$H,8,FALSE))/(VLOOKUP(B87,FEDEX!$A:$D,4,FALSE))</f>
        <v>0</v>
      </c>
      <c r="S87" s="16">
        <f>VLOOKUP(B87,SG!$A:$F,6,FALSE)</f>
        <v>6</v>
      </c>
      <c r="V87" t="str">
        <f>FIELD!G87</f>
        <v>Alex Noren</v>
      </c>
    </row>
    <row r="88" spans="1:22">
      <c r="A88" s="22" t="str">
        <f>'Raw Data'!I88</f>
        <v>Luke List</v>
      </c>
      <c r="B88" s="137" t="e">
        <f t="shared" si="1"/>
        <v>#N/A</v>
      </c>
      <c r="C88">
        <f>'Raw Data'!J88</f>
        <v>87</v>
      </c>
      <c r="D88">
        <f>'Raw Data'!K88</f>
        <v>76</v>
      </c>
      <c r="E88">
        <f>'Raw Data'!L88</f>
        <v>36</v>
      </c>
      <c r="F88">
        <f>'Raw Data'!M88</f>
        <v>164</v>
      </c>
      <c r="G88">
        <f>'Raw Data'!N88</f>
        <v>121</v>
      </c>
      <c r="H88">
        <f>'Raw Data'!O88</f>
        <v>114</v>
      </c>
      <c r="I88">
        <f>'Raw Data'!P88</f>
        <v>267.60000000000002</v>
      </c>
      <c r="J88" s="14">
        <f>'Raw Data'!Q88</f>
        <v>398.67731912638442</v>
      </c>
      <c r="K88" s="14">
        <f>'Raw Data'!R88</f>
        <v>278.94689548500384</v>
      </c>
      <c r="L88" s="14">
        <f>'Raw Data'!S88</f>
        <v>407.44063998972081</v>
      </c>
      <c r="M88" s="16"/>
      <c r="Q88" s="23">
        <f>(VLOOKUP(A88,FEDEX!$A:$H,7,FALSE))/(VLOOKUP(A88,FEDEX!$A:$D,4,FALSE))</f>
        <v>0</v>
      </c>
      <c r="R88" s="23" t="e">
        <f>(VLOOKUP(B88,FEDEX!$A:$H,8,FALSE))/(VLOOKUP(B88,FEDEX!$A:$D,4,FALSE))</f>
        <v>#N/A</v>
      </c>
      <c r="S88" s="16" t="e">
        <f>VLOOKUP(B88,SG!$A:$F,6,FALSE)</f>
        <v>#N/A</v>
      </c>
      <c r="V88" t="str">
        <f>FIELD!G88</f>
        <v>Henrik Norlander</v>
      </c>
    </row>
    <row r="89" spans="1:22">
      <c r="A89" s="22" t="str">
        <f>'Raw Data'!I89</f>
        <v>Keegan Bradley</v>
      </c>
      <c r="B89" s="137" t="e">
        <f t="shared" si="1"/>
        <v>#N/A</v>
      </c>
      <c r="C89">
        <f>'Raw Data'!J89</f>
        <v>88</v>
      </c>
      <c r="D89">
        <f>'Raw Data'!K89</f>
        <v>57</v>
      </c>
      <c r="E89">
        <f>'Raw Data'!L89</f>
        <v>47</v>
      </c>
      <c r="F89">
        <f>'Raw Data'!M89</f>
        <v>67</v>
      </c>
      <c r="G89">
        <f>'Raw Data'!N89</f>
        <v>165</v>
      </c>
      <c r="H89">
        <f>'Raw Data'!O89</f>
        <v>95</v>
      </c>
      <c r="I89">
        <f>'Raw Data'!P89</f>
        <v>249.9</v>
      </c>
      <c r="J89" s="14">
        <f>'Raw Data'!Q89</f>
        <v>344.48719555802467</v>
      </c>
      <c r="K89" s="14">
        <f>'Raw Data'!R89</f>
        <v>223.72594526054468</v>
      </c>
      <c r="L89" s="14">
        <f>'Raw Data'!S89</f>
        <v>289.59293323148052</v>
      </c>
      <c r="M89" s="16"/>
      <c r="Q89" s="23">
        <f>(VLOOKUP(A89,FEDEX!$A:$H,7,FALSE))/(VLOOKUP(A89,FEDEX!$A:$D,4,FALSE))</f>
        <v>0</v>
      </c>
      <c r="R89" s="23" t="e">
        <f>(VLOOKUP(B89,FEDEX!$A:$H,8,FALSE))/(VLOOKUP(B89,FEDEX!$A:$D,4,FALSE))</f>
        <v>#N/A</v>
      </c>
      <c r="S89" s="16" t="e">
        <f>VLOOKUP(B89,SG!$A:$F,6,FALSE)</f>
        <v>#N/A</v>
      </c>
      <c r="V89" t="str">
        <f>FIELD!G89</f>
        <v>Sean O'Hair</v>
      </c>
    </row>
    <row r="90" spans="1:22" ht="15" customHeight="1">
      <c r="A90" s="22" t="str">
        <f>'Raw Data'!I90</f>
        <v>Harris English</v>
      </c>
      <c r="B90" s="137" t="e">
        <f t="shared" si="1"/>
        <v>#N/A</v>
      </c>
      <c r="C90">
        <f>'Raw Data'!J90</f>
        <v>89</v>
      </c>
      <c r="D90">
        <f>'Raw Data'!K90</f>
        <v>19</v>
      </c>
      <c r="E90">
        <f>'Raw Data'!L90</f>
        <v>112</v>
      </c>
      <c r="F90">
        <f>'Raw Data'!M90</f>
        <v>38</v>
      </c>
      <c r="G90">
        <f>'Raw Data'!N90</f>
        <v>27</v>
      </c>
      <c r="H90">
        <f>'Raw Data'!O90</f>
        <v>33</v>
      </c>
      <c r="I90">
        <f>'Raw Data'!P90</f>
        <v>196.7</v>
      </c>
      <c r="J90" s="14">
        <f>'Raw Data'!Q90</f>
        <v>229.47719693078221</v>
      </c>
      <c r="K90" s="14">
        <f>'Raw Data'!R90</f>
        <v>212.7627558589891</v>
      </c>
      <c r="L90" s="14">
        <f>'Raw Data'!S90</f>
        <v>250.36085269932093</v>
      </c>
      <c r="M90" s="16"/>
      <c r="Q90" s="23">
        <f>(VLOOKUP(A90,FEDEX!$A:$H,7,FALSE))/(VLOOKUP(A90,FEDEX!$A:$D,4,FALSE))</f>
        <v>0</v>
      </c>
      <c r="R90" s="23" t="e">
        <f>(VLOOKUP(B90,FEDEX!$A:$H,8,FALSE))/(VLOOKUP(B90,FEDEX!$A:$D,4,FALSE))</f>
        <v>#N/A</v>
      </c>
      <c r="S90" s="16" t="e">
        <f>VLOOKUP(B90,SG!$A:$F,6,FALSE)</f>
        <v>#N/A</v>
      </c>
      <c r="V90" t="str">
        <f>FIELD!G90</f>
        <v>Jeff Overton</v>
      </c>
    </row>
    <row r="91" spans="1:22" ht="15" customHeight="1">
      <c r="A91" s="22" t="str">
        <f>'Raw Data'!I91</f>
        <v>Hideki Matsuyama</v>
      </c>
      <c r="B91" s="137" t="e">
        <f t="shared" si="1"/>
        <v>#N/A</v>
      </c>
      <c r="C91">
        <f>'Raw Data'!J91</f>
        <v>90</v>
      </c>
      <c r="D91">
        <f>'Raw Data'!K91</f>
        <v>65</v>
      </c>
      <c r="E91">
        <f>'Raw Data'!L91</f>
        <v>31</v>
      </c>
      <c r="F91">
        <f>'Raw Data'!M91</f>
        <v>1</v>
      </c>
      <c r="G91">
        <f>'Raw Data'!N91</f>
        <v>143</v>
      </c>
      <c r="H91">
        <f>'Raw Data'!O91</f>
        <v>11</v>
      </c>
      <c r="I91">
        <f>'Raw Data'!P91</f>
        <v>207.1</v>
      </c>
      <c r="J91" s="14">
        <f>'Raw Data'!Q91</f>
        <v>200.95753944585158</v>
      </c>
      <c r="K91" s="14">
        <f>'Raw Data'!R91</f>
        <v>222.69940713228749</v>
      </c>
      <c r="L91" s="14">
        <f>'Raw Data'!S91</f>
        <v>217.08222431238283</v>
      </c>
      <c r="M91" s="16"/>
      <c r="Q91" s="23">
        <f>(VLOOKUP(A91,FEDEX!$A:$H,7,FALSE))/(VLOOKUP(A91,FEDEX!$A:$D,4,FALSE))</f>
        <v>0</v>
      </c>
      <c r="R91" s="23" t="e">
        <f>(VLOOKUP(B91,FEDEX!$A:$H,8,FALSE))/(VLOOKUP(B91,FEDEX!$A:$D,4,FALSE))</f>
        <v>#N/A</v>
      </c>
      <c r="S91" s="16" t="e">
        <f>VLOOKUP(B91,SG!$A:$F,6,FALSE)</f>
        <v>#N/A</v>
      </c>
      <c r="V91" t="str">
        <f>FIELD!G91</f>
        <v>Ryan Palmer</v>
      </c>
    </row>
    <row r="92" spans="1:22" ht="15" customHeight="1">
      <c r="A92" s="22" t="str">
        <f>'Raw Data'!I92</f>
        <v>Ben Taylor</v>
      </c>
      <c r="B92" s="137" t="e">
        <f t="shared" si="1"/>
        <v>#N/A</v>
      </c>
      <c r="C92">
        <f>'Raw Data'!J92</f>
        <v>91</v>
      </c>
      <c r="D92">
        <f>'Raw Data'!K92</f>
        <v>183</v>
      </c>
      <c r="E92">
        <f>'Raw Data'!L92</f>
        <v>178</v>
      </c>
      <c r="F92">
        <f>'Raw Data'!M92</f>
        <v>93</v>
      </c>
      <c r="G92">
        <f>'Raw Data'!N92</f>
        <v>106</v>
      </c>
      <c r="H92">
        <f>'Raw Data'!O92</f>
        <v>178</v>
      </c>
      <c r="I92">
        <f>'Raw Data'!P92</f>
        <v>388.2</v>
      </c>
      <c r="J92" s="14">
        <f>'Raw Data'!Q92</f>
        <v>587.58207014360323</v>
      </c>
      <c r="K92" s="14">
        <f>'Raw Data'!R92</f>
        <v>342.53440882396364</v>
      </c>
      <c r="L92" s="14">
        <f>'Raw Data'!S92</f>
        <v>511.59758669505288</v>
      </c>
      <c r="M92" s="16"/>
      <c r="Q92" s="23">
        <f>(VLOOKUP(A92,FEDEX!$A:$H,7,FALSE))/(VLOOKUP(A92,FEDEX!$A:$D,4,FALSE))</f>
        <v>0</v>
      </c>
      <c r="R92" s="23" t="e">
        <f>(VLOOKUP(B92,FEDEX!$A:$H,8,FALSE))/(VLOOKUP(B92,FEDEX!$A:$D,4,FALSE))</f>
        <v>#N/A</v>
      </c>
      <c r="S92" s="16" t="e">
        <f>VLOOKUP(B92,SG!$A:$F,6,FALSE)</f>
        <v>#N/A</v>
      </c>
      <c r="V92" t="str">
        <f>FIELD!G92</f>
        <v>Taylor Pendrith</v>
      </c>
    </row>
    <row r="93" spans="1:22">
      <c r="A93" s="22" t="str">
        <f>'Raw Data'!I93</f>
        <v>Matthieu Pavon</v>
      </c>
      <c r="B93" s="137" t="e">
        <f t="shared" si="1"/>
        <v>#N/A</v>
      </c>
      <c r="C93">
        <f>'Raw Data'!J93</f>
        <v>92</v>
      </c>
      <c r="D93">
        <f>'Raw Data'!K93</f>
        <v>8</v>
      </c>
      <c r="E93">
        <f>'Raw Data'!L93</f>
        <v>25</v>
      </c>
      <c r="F93">
        <f>'Raw Data'!M93</f>
        <v>144</v>
      </c>
      <c r="G93">
        <f>'Raw Data'!N93</f>
        <v>6</v>
      </c>
      <c r="H93">
        <f>'Raw Data'!O93</f>
        <v>6</v>
      </c>
      <c r="I93">
        <f>'Raw Data'!P93</f>
        <v>164.9</v>
      </c>
      <c r="J93" s="14">
        <f>'Raw Data'!Q93</f>
        <v>178.57324439807923</v>
      </c>
      <c r="K93" s="14">
        <f>'Raw Data'!R93</f>
        <v>199.71636654563792</v>
      </c>
      <c r="L93" s="14">
        <f>'Raw Data'!S93</f>
        <v>272.45744456943834</v>
      </c>
      <c r="M93" s="16"/>
      <c r="Q93" s="23">
        <f>(VLOOKUP(A93,FEDEX!$A:$H,7,FALSE))/(VLOOKUP(A93,FEDEX!$A:$D,4,FALSE))</f>
        <v>0</v>
      </c>
      <c r="R93" s="23" t="e">
        <f>(VLOOKUP(B93,FEDEX!$A:$H,8,FALSE))/(VLOOKUP(B93,FEDEX!$A:$D,4,FALSE))</f>
        <v>#N/A</v>
      </c>
      <c r="S93" s="16" t="e">
        <f>VLOOKUP(B93,SG!$A:$F,6,FALSE)</f>
        <v>#N/A</v>
      </c>
      <c r="V93" t="str">
        <f>FIELD!G93</f>
        <v>Raul Pereda</v>
      </c>
    </row>
    <row r="94" spans="1:22" ht="15" customHeight="1">
      <c r="A94" s="22" t="str">
        <f>'Raw Data'!I94</f>
        <v>Adam Svensson</v>
      </c>
      <c r="B94" s="137" t="e">
        <f t="shared" si="1"/>
        <v>#N/A</v>
      </c>
      <c r="C94">
        <f>'Raw Data'!J94</f>
        <v>92</v>
      </c>
      <c r="D94">
        <f>'Raw Data'!K94</f>
        <v>100</v>
      </c>
      <c r="E94">
        <f>'Raw Data'!L94</f>
        <v>38</v>
      </c>
      <c r="F94">
        <f>'Raw Data'!M94</f>
        <v>107</v>
      </c>
      <c r="G94">
        <f>'Raw Data'!N94</f>
        <v>166</v>
      </c>
      <c r="H94">
        <f>'Raw Data'!O94</f>
        <v>136</v>
      </c>
      <c r="I94">
        <f>'Raw Data'!P94</f>
        <v>285.20000000000005</v>
      </c>
      <c r="J94" s="14">
        <f>'Raw Data'!Q94</f>
        <v>426.53044015973484</v>
      </c>
      <c r="K94" s="14">
        <f>'Raw Data'!R94</f>
        <v>262.80824375554596</v>
      </c>
      <c r="L94" s="14">
        <f>'Raw Data'!S94</f>
        <v>347.17714638220536</v>
      </c>
      <c r="M94" s="16"/>
      <c r="Q94" s="23">
        <f>(VLOOKUP(A94,FEDEX!$A:$H,7,FALSE))/(VLOOKUP(A94,FEDEX!$A:$D,4,FALSE))</f>
        <v>0</v>
      </c>
      <c r="R94" s="23" t="e">
        <f>(VLOOKUP(B94,FEDEX!$A:$H,8,FALSE))/(VLOOKUP(B94,FEDEX!$A:$D,4,FALSE))</f>
        <v>#N/A</v>
      </c>
      <c r="S94" s="16" t="e">
        <f>VLOOKUP(B94,SG!$A:$F,6,FALSE)</f>
        <v>#N/A</v>
      </c>
      <c r="V94" t="str">
        <f>FIELD!G94</f>
        <v>Victor Perez</v>
      </c>
    </row>
    <row r="95" spans="1:22" ht="15" customHeight="1">
      <c r="A95" s="22" t="str">
        <f>'Raw Data'!I95</f>
        <v>Corey Conners</v>
      </c>
      <c r="B95" s="137" t="e">
        <f t="shared" si="1"/>
        <v>#N/A</v>
      </c>
      <c r="C95">
        <f>'Raw Data'!J95</f>
        <v>94</v>
      </c>
      <c r="D95">
        <f>'Raw Data'!K95</f>
        <v>21</v>
      </c>
      <c r="E95">
        <f>'Raw Data'!L95</f>
        <v>4</v>
      </c>
      <c r="F95">
        <f>'Raw Data'!M95</f>
        <v>130</v>
      </c>
      <c r="G95">
        <f>'Raw Data'!N95</f>
        <v>158</v>
      </c>
      <c r="H95">
        <f>'Raw Data'!O95</f>
        <v>38</v>
      </c>
      <c r="I95">
        <f>'Raw Data'!P95</f>
        <v>228.9</v>
      </c>
      <c r="J95" s="14">
        <f>'Raw Data'!Q95</f>
        <v>271.39954096974958</v>
      </c>
      <c r="K95" s="14">
        <f>'Raw Data'!R95</f>
        <v>242.07969711506797</v>
      </c>
      <c r="L95" s="14">
        <f>'Raw Data'!S95</f>
        <v>278.04712469889205</v>
      </c>
      <c r="M95" s="16"/>
      <c r="Q95" s="23">
        <f>(VLOOKUP(A95,FEDEX!$A:$H,7,FALSE))/(VLOOKUP(A95,FEDEX!$A:$D,4,FALSE))</f>
        <v>0</v>
      </c>
      <c r="R95" s="23" t="e">
        <f>(VLOOKUP(B95,FEDEX!$A:$H,8,FALSE))/(VLOOKUP(B95,FEDEX!$A:$D,4,FALSE))</f>
        <v>#N/A</v>
      </c>
      <c r="S95" s="16" t="e">
        <f>VLOOKUP(B95,SG!$A:$F,6,FALSE)</f>
        <v>#N/A</v>
      </c>
      <c r="V95" t="str">
        <f>FIELD!G95</f>
        <v>Scott Piercy</v>
      </c>
    </row>
    <row r="96" spans="1:22" ht="15" customHeight="1">
      <c r="A96" s="22" t="str">
        <f>'Raw Data'!I96</f>
        <v>Beau Hossler</v>
      </c>
      <c r="B96" s="137" t="e">
        <f t="shared" si="1"/>
        <v>#N/A</v>
      </c>
      <c r="C96">
        <f>'Raw Data'!J96</f>
        <v>95</v>
      </c>
      <c r="D96">
        <f>'Raw Data'!K96</f>
        <v>135</v>
      </c>
      <c r="E96">
        <f>'Raw Data'!L96</f>
        <v>147</v>
      </c>
      <c r="F96">
        <f>'Raw Data'!M96</f>
        <v>48</v>
      </c>
      <c r="G96">
        <f>'Raw Data'!N96</f>
        <v>31</v>
      </c>
      <c r="H96">
        <f>'Raw Data'!O96</f>
        <v>65</v>
      </c>
      <c r="I96">
        <f>'Raw Data'!P96</f>
        <v>290.59999999999997</v>
      </c>
      <c r="J96" s="14">
        <f>'Raw Data'!Q96</f>
        <v>360.75108297009905</v>
      </c>
      <c r="K96" s="14">
        <f>'Raw Data'!R96</f>
        <v>277.36881969307626</v>
      </c>
      <c r="L96" s="14">
        <f>'Raw Data'!S96</f>
        <v>350.54504619178061</v>
      </c>
      <c r="M96" s="16"/>
      <c r="Q96" s="23">
        <f>(VLOOKUP(A96,FEDEX!$A:$H,7,FALSE))/(VLOOKUP(A96,FEDEX!$A:$D,4,FALSE))</f>
        <v>0</v>
      </c>
      <c r="R96" s="23" t="e">
        <f>(VLOOKUP(B96,FEDEX!$A:$H,8,FALSE))/(VLOOKUP(B96,FEDEX!$A:$D,4,FALSE))</f>
        <v>#N/A</v>
      </c>
      <c r="S96" s="16" t="e">
        <f>VLOOKUP(B96,SG!$A:$F,6,FALSE)</f>
        <v>#N/A</v>
      </c>
      <c r="V96" t="str">
        <f>FIELD!G96</f>
        <v>D.A. Points</v>
      </c>
    </row>
    <row r="97" spans="1:22">
      <c r="A97" s="22" t="str">
        <f>'Raw Data'!I97</f>
        <v>Trace Crowe</v>
      </c>
      <c r="B97" s="137" t="str">
        <f t="shared" si="1"/>
        <v>Trace Crowe</v>
      </c>
      <c r="C97">
        <f>'Raw Data'!J97</f>
        <v>96</v>
      </c>
      <c r="D97">
        <f>'Raw Data'!K97</f>
        <v>160</v>
      </c>
      <c r="E97">
        <f>'Raw Data'!L97</f>
        <v>177</v>
      </c>
      <c r="F97">
        <f>'Raw Data'!M97</f>
        <v>162</v>
      </c>
      <c r="G97">
        <f>'Raw Data'!N97</f>
        <v>44</v>
      </c>
      <c r="H97">
        <f>'Raw Data'!O97</f>
        <v>152</v>
      </c>
      <c r="I97">
        <f>'Raw Data'!P97</f>
        <v>377.1</v>
      </c>
      <c r="J97" s="14">
        <f>'Raw Data'!Q97</f>
        <v>561.70031958857601</v>
      </c>
      <c r="K97" s="14" t="e">
        <f>'Raw Data'!R97</f>
        <v>#N/A</v>
      </c>
      <c r="L97" s="14" t="e">
        <f>'Raw Data'!S97</f>
        <v>#N/A</v>
      </c>
      <c r="M97" s="16"/>
      <c r="Q97" s="23">
        <f>(VLOOKUP(A97,FEDEX!$A:$H,7,FALSE))/(VLOOKUP(A97,FEDEX!$A:$D,4,FALSE))</f>
        <v>0</v>
      </c>
      <c r="R97" s="23">
        <f>(VLOOKUP(B97,FEDEX!$A:$H,8,FALSE))/(VLOOKUP(B97,FEDEX!$A:$D,4,FALSE))</f>
        <v>0</v>
      </c>
      <c r="S97" s="16">
        <f>VLOOKUP(B97,SG!$A:$F,6,FALSE)</f>
        <v>-56</v>
      </c>
      <c r="V97" t="str">
        <f>FIELD!G97</f>
        <v>Willy Pumarol</v>
      </c>
    </row>
    <row r="98" spans="1:22" ht="15" customHeight="1">
      <c r="A98" s="22" t="str">
        <f>'Raw Data'!I98</f>
        <v>Adam Hadwin</v>
      </c>
      <c r="B98" s="137" t="e">
        <f t="shared" si="1"/>
        <v>#N/A</v>
      </c>
      <c r="C98">
        <f>'Raw Data'!J98</f>
        <v>97</v>
      </c>
      <c r="D98">
        <f>'Raw Data'!K98</f>
        <v>25</v>
      </c>
      <c r="E98">
        <f>'Raw Data'!L98</f>
        <v>106</v>
      </c>
      <c r="F98">
        <f>'Raw Data'!M98</f>
        <v>90</v>
      </c>
      <c r="G98">
        <f>'Raw Data'!N98</f>
        <v>59</v>
      </c>
      <c r="H98">
        <f>'Raw Data'!O98</f>
        <v>81</v>
      </c>
      <c r="I98">
        <f>'Raw Data'!P98</f>
        <v>239.5</v>
      </c>
      <c r="J98" s="14">
        <f>'Raw Data'!Q98</f>
        <v>328.47421801654434</v>
      </c>
      <c r="K98" s="14">
        <f>'Raw Data'!R98</f>
        <v>238.4703361628853</v>
      </c>
      <c r="L98" s="14">
        <f>'Raw Data'!S98</f>
        <v>295.49358332724353</v>
      </c>
      <c r="M98" s="16"/>
      <c r="Q98" s="23">
        <f>(VLOOKUP(A98,FEDEX!$A:$H,7,FALSE))/(VLOOKUP(A98,FEDEX!$A:$D,4,FALSE))</f>
        <v>0</v>
      </c>
      <c r="R98" s="23" t="e">
        <f>(VLOOKUP(B98,FEDEX!$A:$H,8,FALSE))/(VLOOKUP(B98,FEDEX!$A:$D,4,FALSE))</f>
        <v>#N/A</v>
      </c>
      <c r="S98" s="16" t="e">
        <f>VLOOKUP(B98,SG!$A:$F,6,FALSE)</f>
        <v>#N/A</v>
      </c>
      <c r="V98" t="str">
        <f>FIELD!G98</f>
        <v>Aaron Rai</v>
      </c>
    </row>
    <row r="99" spans="1:22">
      <c r="A99" s="22" t="str">
        <f>'Raw Data'!I99</f>
        <v>Will Zalatoris</v>
      </c>
      <c r="B99" s="137" t="e">
        <f t="shared" si="1"/>
        <v>#N/A</v>
      </c>
      <c r="C99">
        <f>'Raw Data'!J99</f>
        <v>98</v>
      </c>
      <c r="D99">
        <f>'Raw Data'!K99</f>
        <v>10</v>
      </c>
      <c r="E99">
        <f>'Raw Data'!L99</f>
        <v>8</v>
      </c>
      <c r="F99">
        <f>'Raw Data'!M99</f>
        <v>108</v>
      </c>
      <c r="G99">
        <f>'Raw Data'!N99</f>
        <v>144</v>
      </c>
      <c r="H99">
        <f>'Raw Data'!O99</f>
        <v>52</v>
      </c>
      <c r="I99">
        <f>'Raw Data'!P99</f>
        <v>214</v>
      </c>
      <c r="J99" s="14">
        <f>'Raw Data'!Q99</f>
        <v>265.20518129122036</v>
      </c>
      <c r="K99" s="14">
        <f>'Raw Data'!R99</f>
        <v>254.36282241489567</v>
      </c>
      <c r="L99" s="14">
        <f>'Raw Data'!S99</f>
        <v>354.20248463502537</v>
      </c>
      <c r="M99" s="16"/>
      <c r="Q99" s="23">
        <f>(VLOOKUP(A99,FEDEX!$A:$H,7,FALSE))/(VLOOKUP(A99,FEDEX!$A:$D,4,FALSE))</f>
        <v>0</v>
      </c>
      <c r="R99" s="23" t="e">
        <f>(VLOOKUP(B99,FEDEX!$A:$H,8,FALSE))/(VLOOKUP(B99,FEDEX!$A:$D,4,FALSE))</f>
        <v>#N/A</v>
      </c>
      <c r="S99" s="16" t="e">
        <f>VLOOKUP(B99,SG!$A:$F,6,FALSE)</f>
        <v>#N/A</v>
      </c>
      <c r="V99" t="str">
        <f>FIELD!G99</f>
        <v>Chad Ramey</v>
      </c>
    </row>
    <row r="100" spans="1:22">
      <c r="A100" s="22" t="str">
        <f>'Raw Data'!I100</f>
        <v>Rickie Fowler</v>
      </c>
      <c r="B100" s="137" t="e">
        <f t="shared" si="1"/>
        <v>#N/A</v>
      </c>
      <c r="C100">
        <f>'Raw Data'!J100</f>
        <v>99</v>
      </c>
      <c r="D100">
        <f>'Raw Data'!K100</f>
        <v>49</v>
      </c>
      <c r="E100">
        <f>'Raw Data'!L100</f>
        <v>132</v>
      </c>
      <c r="F100">
        <f>'Raw Data'!M100</f>
        <v>70</v>
      </c>
      <c r="G100">
        <f>'Raw Data'!N100</f>
        <v>122</v>
      </c>
      <c r="H100">
        <f>'Raw Data'!O100</f>
        <v>161</v>
      </c>
      <c r="I100">
        <f>'Raw Data'!P100</f>
        <v>295</v>
      </c>
      <c r="J100" s="14">
        <f>'Raw Data'!Q100</f>
        <v>464.38268826037682</v>
      </c>
      <c r="K100" s="14">
        <f>'Raw Data'!R100</f>
        <v>209.48641832762536</v>
      </c>
      <c r="L100" s="14">
        <f>'Raw Data'!S100</f>
        <v>295.51619640568038</v>
      </c>
      <c r="M100" s="16"/>
      <c r="Q100" s="23">
        <f>(VLOOKUP(A100,FEDEX!$A:$H,7,FALSE))/(VLOOKUP(A100,FEDEX!$A:$D,4,FALSE))</f>
        <v>0</v>
      </c>
      <c r="R100" s="23" t="e">
        <f>(VLOOKUP(B100,FEDEX!$A:$H,8,FALSE))/(VLOOKUP(B100,FEDEX!$A:$D,4,FALSE))</f>
        <v>#N/A</v>
      </c>
      <c r="S100" s="16" t="e">
        <f>VLOOKUP(B100,SG!$A:$F,6,FALSE)</f>
        <v>#N/A</v>
      </c>
      <c r="V100" t="str">
        <f>FIELD!G100</f>
        <v>Chez Reavie</v>
      </c>
    </row>
    <row r="101" spans="1:22">
      <c r="A101" s="22" t="str">
        <f>'Raw Data'!I101</f>
        <v>Billy Horschel</v>
      </c>
      <c r="B101" s="137" t="str">
        <f t="shared" si="1"/>
        <v>Billy Horschel</v>
      </c>
      <c r="C101">
        <f>'Raw Data'!J101</f>
        <v>100</v>
      </c>
      <c r="D101">
        <f>'Raw Data'!K101</f>
        <v>84</v>
      </c>
      <c r="E101">
        <f>'Raw Data'!L101</f>
        <v>73</v>
      </c>
      <c r="F101">
        <f>'Raw Data'!M101</f>
        <v>61</v>
      </c>
      <c r="G101">
        <f>'Raw Data'!N101</f>
        <v>18</v>
      </c>
      <c r="H101">
        <f>'Raw Data'!O101</f>
        <v>10</v>
      </c>
      <c r="I101">
        <f>'Raw Data'!P101</f>
        <v>216.5</v>
      </c>
      <c r="J101" s="14">
        <f>'Raw Data'!Q101</f>
        <v>222.13166037076235</v>
      </c>
      <c r="K101" s="14">
        <f>'Raw Data'!R101</f>
        <v>252.62232351237839</v>
      </c>
      <c r="L101" s="14">
        <f>'Raw Data'!S101</f>
        <v>313.21087787002693</v>
      </c>
      <c r="M101" s="16"/>
      <c r="Q101" s="23">
        <f>(VLOOKUP(A101,FEDEX!$A:$H,7,FALSE))/(VLOOKUP(A101,FEDEX!$A:$D,4,FALSE))</f>
        <v>0</v>
      </c>
      <c r="R101" s="23">
        <f>(VLOOKUP(B101,FEDEX!$A:$H,8,FALSE))/(VLOOKUP(B101,FEDEX!$A:$D,4,FALSE))</f>
        <v>0</v>
      </c>
      <c r="S101" s="16">
        <f>VLOOKUP(B101,SG!$A:$F,6,FALSE)</f>
        <v>4</v>
      </c>
      <c r="V101" t="str">
        <f>FIELD!G101</f>
        <v>Sam Ryder</v>
      </c>
    </row>
    <row r="102" spans="1:22">
      <c r="A102" s="22" t="str">
        <f>'Raw Data'!I102</f>
        <v>Jorge Campillo</v>
      </c>
      <c r="B102" s="137" t="str">
        <f t="shared" si="1"/>
        <v>Jorge Campillo</v>
      </c>
      <c r="C102">
        <f>'Raw Data'!J102</f>
        <v>101</v>
      </c>
      <c r="D102">
        <f>'Raw Data'!K102</f>
        <v>90</v>
      </c>
      <c r="E102">
        <f>'Raw Data'!L102</f>
        <v>93</v>
      </c>
      <c r="F102">
        <f>'Raw Data'!M102</f>
        <v>12</v>
      </c>
      <c r="G102">
        <f>'Raw Data'!N102</f>
        <v>105</v>
      </c>
      <c r="H102">
        <f>'Raw Data'!O102</f>
        <v>75</v>
      </c>
      <c r="I102">
        <f>'Raw Data'!P102</f>
        <v>258.3</v>
      </c>
      <c r="J102" s="14">
        <f>'Raw Data'!Q102</f>
        <v>323.38345557570665</v>
      </c>
      <c r="K102" s="14">
        <f>'Raw Data'!R102</f>
        <v>282.981042175639</v>
      </c>
      <c r="L102" s="14">
        <f>'Raw Data'!S102</f>
        <v>348.09983580878276</v>
      </c>
      <c r="M102" s="16"/>
      <c r="Q102" s="23">
        <f>(VLOOKUP(A102,FEDEX!$A:$H,7,FALSE))/(VLOOKUP(A102,FEDEX!$A:$D,4,FALSE))</f>
        <v>0</v>
      </c>
      <c r="R102" s="23">
        <f>(VLOOKUP(B102,FEDEX!$A:$H,8,FALSE))/(VLOOKUP(B102,FEDEX!$A:$D,4,FALSE))</f>
        <v>0</v>
      </c>
      <c r="S102" s="16">
        <f>VLOOKUP(B102,SG!$A:$F,6,FALSE)</f>
        <v>-38</v>
      </c>
      <c r="V102" t="str">
        <f>FIELD!G102</f>
        <v>Julio Santos</v>
      </c>
    </row>
    <row r="103" spans="1:22" ht="15" customHeight="1">
      <c r="A103" s="22" t="str">
        <f>'Raw Data'!I103</f>
        <v>Austin Eckroat</v>
      </c>
      <c r="B103" s="137" t="e">
        <f t="shared" si="1"/>
        <v>#N/A</v>
      </c>
      <c r="C103">
        <f>'Raw Data'!J103</f>
        <v>101</v>
      </c>
      <c r="D103">
        <f>'Raw Data'!K103</f>
        <v>26</v>
      </c>
      <c r="E103">
        <f>'Raw Data'!L103</f>
        <v>10</v>
      </c>
      <c r="F103">
        <f>'Raw Data'!M103</f>
        <v>65</v>
      </c>
      <c r="G103">
        <f>'Raw Data'!N103</f>
        <v>119</v>
      </c>
      <c r="H103">
        <f>'Raw Data'!O103</f>
        <v>26</v>
      </c>
      <c r="I103">
        <f>'Raw Data'!P103</f>
        <v>196.4</v>
      </c>
      <c r="J103" s="14">
        <f>'Raw Data'!Q103</f>
        <v>211.77569261695518</v>
      </c>
      <c r="K103" s="14">
        <f>'Raw Data'!R103</f>
        <v>228.37106214241101</v>
      </c>
      <c r="L103" s="14">
        <f>'Raw Data'!S103</f>
        <v>278.85699819183867</v>
      </c>
      <c r="M103" s="16"/>
      <c r="Q103" s="23">
        <f>(VLOOKUP(A103,FEDEX!$A:$H,7,FALSE))/(VLOOKUP(A103,FEDEX!$A:$D,4,FALSE))</f>
        <v>0</v>
      </c>
      <c r="R103" s="23" t="e">
        <f>(VLOOKUP(B103,FEDEX!$A:$H,8,FALSE))/(VLOOKUP(B103,FEDEX!$A:$D,4,FALSE))</f>
        <v>#N/A</v>
      </c>
      <c r="S103" s="16" t="e">
        <f>VLOOKUP(B103,SG!$A:$F,6,FALSE)</f>
        <v>#N/A</v>
      </c>
      <c r="V103" t="str">
        <f>FIELD!G103</f>
        <v>Matti Schmid</v>
      </c>
    </row>
    <row r="104" spans="1:22" ht="15" customHeight="1">
      <c r="A104" s="22" t="str">
        <f>'Raw Data'!I104</f>
        <v>Eric Cole</v>
      </c>
      <c r="B104" s="137" t="e">
        <f t="shared" si="1"/>
        <v>#N/A</v>
      </c>
      <c r="C104">
        <f>'Raw Data'!J104</f>
        <v>103</v>
      </c>
      <c r="D104">
        <f>'Raw Data'!K104</f>
        <v>55</v>
      </c>
      <c r="E104">
        <f>'Raw Data'!L104</f>
        <v>53</v>
      </c>
      <c r="F104">
        <f>'Raw Data'!M104</f>
        <v>104</v>
      </c>
      <c r="G104">
        <f>'Raw Data'!N104</f>
        <v>42</v>
      </c>
      <c r="H104">
        <f>'Raw Data'!O104</f>
        <v>63</v>
      </c>
      <c r="I104">
        <f>'Raw Data'!P104</f>
        <v>219.9</v>
      </c>
      <c r="J104" s="14">
        <f>'Raw Data'!Q104</f>
        <v>284.13294687564525</v>
      </c>
      <c r="K104" s="14">
        <f>'Raw Data'!R104</f>
        <v>215.03483836963312</v>
      </c>
      <c r="L104" s="14">
        <f>'Raw Data'!S104</f>
        <v>245.3538822868052</v>
      </c>
      <c r="M104" s="16"/>
      <c r="Q104" s="23">
        <f>(VLOOKUP(A104,FEDEX!$A:$H,7,FALSE))/(VLOOKUP(A104,FEDEX!$A:$D,4,FALSE))</f>
        <v>0</v>
      </c>
      <c r="R104" s="23" t="e">
        <f>(VLOOKUP(B104,FEDEX!$A:$H,8,FALSE))/(VLOOKUP(B104,FEDEX!$A:$D,4,FALSE))</f>
        <v>#N/A</v>
      </c>
      <c r="S104" s="16" t="e">
        <f>VLOOKUP(B104,SG!$A:$F,6,FALSE)</f>
        <v>#N/A</v>
      </c>
      <c r="V104" t="str">
        <f>FIELD!G104</f>
        <v>Herman Wibe Sekne(a)</v>
      </c>
    </row>
    <row r="105" spans="1:22">
      <c r="A105" s="22" t="str">
        <f>'Raw Data'!I105</f>
        <v>Chandler Phillips</v>
      </c>
      <c r="B105" s="137" t="e">
        <f t="shared" si="1"/>
        <v>#N/A</v>
      </c>
      <c r="C105">
        <f>'Raw Data'!J105</f>
        <v>103</v>
      </c>
      <c r="D105">
        <f>'Raw Data'!K105</f>
        <v>111</v>
      </c>
      <c r="E105">
        <f>'Raw Data'!L105</f>
        <v>22</v>
      </c>
      <c r="F105">
        <f>'Raw Data'!M105</f>
        <v>86</v>
      </c>
      <c r="G105">
        <f>'Raw Data'!N105</f>
        <v>56</v>
      </c>
      <c r="H105">
        <f>'Raw Data'!O105</f>
        <v>43</v>
      </c>
      <c r="I105">
        <f>'Raw Data'!P105</f>
        <v>226</v>
      </c>
      <c r="J105" s="14">
        <f>'Raw Data'!Q105</f>
        <v>262.40832099052392</v>
      </c>
      <c r="K105" s="14" t="e">
        <f>'Raw Data'!R105</f>
        <v>#N/A</v>
      </c>
      <c r="L105" s="14" t="e">
        <f>'Raw Data'!S105</f>
        <v>#N/A</v>
      </c>
      <c r="M105" s="16"/>
      <c r="Q105" s="23">
        <f>(VLOOKUP(A105,FEDEX!$A:$H,7,FALSE))/(VLOOKUP(A105,FEDEX!$A:$D,4,FALSE))</f>
        <v>0</v>
      </c>
      <c r="R105" s="23" t="e">
        <f>(VLOOKUP(B105,FEDEX!$A:$H,8,FALSE))/(VLOOKUP(B105,FEDEX!$A:$D,4,FALSE))</f>
        <v>#N/A</v>
      </c>
      <c r="S105" s="16" t="e">
        <f>VLOOKUP(B105,SG!$A:$F,6,FALSE)</f>
        <v>#N/A</v>
      </c>
      <c r="V105" t="str">
        <f>FIELD!G105</f>
        <v>Braden Shattuck</v>
      </c>
    </row>
    <row r="106" spans="1:22">
      <c r="A106" s="22" t="str">
        <f>'Raw Data'!I106</f>
        <v>Thorbjørn Olesen</v>
      </c>
      <c r="B106" s="137" t="e">
        <f t="shared" si="1"/>
        <v>#N/A</v>
      </c>
      <c r="C106">
        <f>'Raw Data'!J106</f>
        <v>105</v>
      </c>
      <c r="D106">
        <f>'Raw Data'!K106</f>
        <v>11</v>
      </c>
      <c r="E106">
        <f>'Raw Data'!L106</f>
        <v>69</v>
      </c>
      <c r="F106">
        <f>'Raw Data'!M106</f>
        <v>30</v>
      </c>
      <c r="G106">
        <f>'Raw Data'!N106</f>
        <v>129</v>
      </c>
      <c r="H106">
        <f>'Raw Data'!O106</f>
        <v>129</v>
      </c>
      <c r="I106">
        <f>'Raw Data'!P106</f>
        <v>224.8</v>
      </c>
      <c r="J106" s="14">
        <f>'Raw Data'!Q106</f>
        <v>343.59051245087261</v>
      </c>
      <c r="K106" s="14">
        <f>'Raw Data'!R106</f>
        <v>243.58793281455263</v>
      </c>
      <c r="L106" s="14">
        <f>'Raw Data'!S106</f>
        <v>325.92550174094174</v>
      </c>
      <c r="M106" s="16"/>
      <c r="Q106" s="23">
        <f>(VLOOKUP(A106,FEDEX!$A:$H,7,FALSE))/(VLOOKUP(A106,FEDEX!$A:$D,4,FALSE))</f>
        <v>0</v>
      </c>
      <c r="R106" s="23" t="e">
        <f>(VLOOKUP(B106,FEDEX!$A:$H,8,FALSE))/(VLOOKUP(B106,FEDEX!$A:$D,4,FALSE))</f>
        <v>#N/A</v>
      </c>
      <c r="S106" s="16" t="e">
        <f>VLOOKUP(B106,SG!$A:$F,6,FALSE)</f>
        <v>#N/A</v>
      </c>
      <c r="V106" t="str">
        <f>FIELD!G106</f>
        <v>Greyson Sigg</v>
      </c>
    </row>
    <row r="107" spans="1:22" ht="15" customHeight="1">
      <c r="A107" s="22" t="str">
        <f>'Raw Data'!I107</f>
        <v>Justin Lower</v>
      </c>
      <c r="B107" s="137" t="str">
        <f t="shared" si="1"/>
        <v>Justin Lower</v>
      </c>
      <c r="C107">
        <f>'Raw Data'!J107</f>
        <v>106</v>
      </c>
      <c r="D107">
        <f>'Raw Data'!K107</f>
        <v>130</v>
      </c>
      <c r="E107">
        <f>'Raw Data'!L107</f>
        <v>41</v>
      </c>
      <c r="F107">
        <f>'Raw Data'!M107</f>
        <v>114</v>
      </c>
      <c r="G107">
        <f>'Raw Data'!N107</f>
        <v>82</v>
      </c>
      <c r="H107">
        <f>'Raw Data'!O107</f>
        <v>73</v>
      </c>
      <c r="I107">
        <f>'Raw Data'!P107</f>
        <v>275.7</v>
      </c>
      <c r="J107" s="14">
        <f>'Raw Data'!Q107</f>
        <v>350.22579894067849</v>
      </c>
      <c r="K107" s="14">
        <f>'Raw Data'!R107</f>
        <v>303.51980077244366</v>
      </c>
      <c r="L107" s="14">
        <f>'Raw Data'!S107</f>
        <v>396.76256725675182</v>
      </c>
      <c r="M107" s="16"/>
      <c r="Q107" s="23">
        <f>(VLOOKUP(A107,FEDEX!$A:$H,7,FALSE))/(VLOOKUP(A107,FEDEX!$A:$D,4,FALSE))</f>
        <v>0</v>
      </c>
      <c r="R107" s="23">
        <f>(VLOOKUP(B107,FEDEX!$A:$H,8,FALSE))/(VLOOKUP(B107,FEDEX!$A:$D,4,FALSE))</f>
        <v>0</v>
      </c>
      <c r="S107" s="16">
        <f>VLOOKUP(B107,SG!$A:$F,6,FALSE)</f>
        <v>-3</v>
      </c>
      <c r="V107" t="str">
        <f>FIELD!G107</f>
        <v>Hiram Silfa</v>
      </c>
    </row>
    <row r="108" spans="1:22" ht="15" customHeight="1">
      <c r="A108" s="22" t="str">
        <f>'Raw Data'!I108</f>
        <v>Webb Simpson</v>
      </c>
      <c r="B108" s="137" t="e">
        <f t="shared" si="1"/>
        <v>#N/A</v>
      </c>
      <c r="C108">
        <f>'Raw Data'!J108</f>
        <v>106</v>
      </c>
      <c r="D108">
        <f>'Raw Data'!K108</f>
        <v>82</v>
      </c>
      <c r="E108">
        <f>'Raw Data'!L108</f>
        <v>142</v>
      </c>
      <c r="F108">
        <f>'Raw Data'!M108</f>
        <v>46</v>
      </c>
      <c r="G108">
        <f>'Raw Data'!N108</f>
        <v>146</v>
      </c>
      <c r="H108">
        <f>'Raw Data'!O108</f>
        <v>101</v>
      </c>
      <c r="I108">
        <f>'Raw Data'!P108</f>
        <v>327.20000000000005</v>
      </c>
      <c r="J108" s="14">
        <f>'Raw Data'!Q108</f>
        <v>431.68650694545562</v>
      </c>
      <c r="K108" s="14">
        <f>'Raw Data'!R108</f>
        <v>311.85457661420082</v>
      </c>
      <c r="L108" s="14">
        <f>'Raw Data'!S108</f>
        <v>449.06346565186607</v>
      </c>
      <c r="M108" s="16"/>
      <c r="Q108" s="23">
        <f>(VLOOKUP(A108,FEDEX!$A:$H,7,FALSE))/(VLOOKUP(A108,FEDEX!$A:$D,4,FALSE))</f>
        <v>0</v>
      </c>
      <c r="R108" s="23" t="e">
        <f>(VLOOKUP(B108,FEDEX!$A:$H,8,FALSE))/(VLOOKUP(B108,FEDEX!$A:$D,4,FALSE))</f>
        <v>#N/A</v>
      </c>
      <c r="S108" s="16" t="e">
        <f>VLOOKUP(B108,SG!$A:$F,6,FALSE)</f>
        <v>#N/A</v>
      </c>
      <c r="V108" t="str">
        <f>FIELD!G108</f>
        <v>Ben Silverman</v>
      </c>
    </row>
    <row r="109" spans="1:22" ht="15" customHeight="1">
      <c r="A109" s="22" t="str">
        <f>'Raw Data'!I109</f>
        <v>Cam Davis</v>
      </c>
      <c r="B109" s="137" t="e">
        <f t="shared" si="1"/>
        <v>#N/A</v>
      </c>
      <c r="C109">
        <f>'Raw Data'!J109</f>
        <v>108</v>
      </c>
      <c r="D109">
        <f>'Raw Data'!K109</f>
        <v>22</v>
      </c>
      <c r="E109">
        <f>'Raw Data'!L109</f>
        <v>114</v>
      </c>
      <c r="F109">
        <f>'Raw Data'!M109</f>
        <v>152</v>
      </c>
      <c r="G109">
        <f>'Raw Data'!N109</f>
        <v>88</v>
      </c>
      <c r="H109">
        <f>'Raw Data'!O109</f>
        <v>150</v>
      </c>
      <c r="I109">
        <f>'Raw Data'!P109</f>
        <v>292.8</v>
      </c>
      <c r="J109" s="14">
        <f>'Raw Data'!Q109</f>
        <v>462.119039130212</v>
      </c>
      <c r="K109" s="14">
        <f>'Raw Data'!R109</f>
        <v>260.08243157568086</v>
      </c>
      <c r="L109" s="14">
        <f>'Raw Data'!S109</f>
        <v>366.13728064964789</v>
      </c>
      <c r="M109" s="16"/>
      <c r="Q109" s="23">
        <f>(VLOOKUP(A109,FEDEX!$A:$H,7,FALSE))/(VLOOKUP(A109,FEDEX!$A:$D,4,FALSE))</f>
        <v>0</v>
      </c>
      <c r="R109" s="23" t="e">
        <f>(VLOOKUP(B109,FEDEX!$A:$H,8,FALSE))/(VLOOKUP(B109,FEDEX!$A:$D,4,FALSE))</f>
        <v>#N/A</v>
      </c>
      <c r="S109" s="16" t="e">
        <f>VLOOKUP(B109,SG!$A:$F,6,FALSE)</f>
        <v>#N/A</v>
      </c>
      <c r="V109" t="str">
        <f>FIELD!G109</f>
        <v>Roger Sloan</v>
      </c>
    </row>
    <row r="110" spans="1:22">
      <c r="A110" s="22" t="str">
        <f>'Raw Data'!I110</f>
        <v>Chan Kim</v>
      </c>
      <c r="B110" s="137" t="str">
        <f t="shared" si="1"/>
        <v>Chan Kim</v>
      </c>
      <c r="C110">
        <f>'Raw Data'!J110</f>
        <v>108</v>
      </c>
      <c r="D110">
        <f>'Raw Data'!K110</f>
        <v>78</v>
      </c>
      <c r="E110">
        <f>'Raw Data'!L110</f>
        <v>57</v>
      </c>
      <c r="F110">
        <f>'Raw Data'!M110</f>
        <v>79</v>
      </c>
      <c r="G110">
        <f>'Raw Data'!N110</f>
        <v>117</v>
      </c>
      <c r="H110">
        <f>'Raw Data'!O110</f>
        <v>70</v>
      </c>
      <c r="I110">
        <f>'Raw Data'!P110</f>
        <v>266.2</v>
      </c>
      <c r="J110" s="14">
        <f>'Raw Data'!Q110</f>
        <v>333.1182991085476</v>
      </c>
      <c r="K110" s="14" t="e">
        <f>'Raw Data'!R110</f>
        <v>#N/A</v>
      </c>
      <c r="L110" s="14" t="e">
        <f>'Raw Data'!S110</f>
        <v>#N/A</v>
      </c>
      <c r="M110" s="16"/>
      <c r="Q110" s="23">
        <f>(VLOOKUP(A110,FEDEX!$A:$H,7,FALSE))/(VLOOKUP(A110,FEDEX!$A:$D,4,FALSE))</f>
        <v>0</v>
      </c>
      <c r="R110" s="23">
        <f>(VLOOKUP(B110,FEDEX!$A:$H,8,FALSE))/(VLOOKUP(B110,FEDEX!$A:$D,4,FALSE))</f>
        <v>0</v>
      </c>
      <c r="S110" s="16">
        <f>VLOOKUP(B110,SG!$A:$F,6,FALSE)</f>
        <v>-25</v>
      </c>
      <c r="V110" t="str">
        <f>FIELD!G110</f>
        <v>Alex Smalley</v>
      </c>
    </row>
    <row r="111" spans="1:22">
      <c r="A111" s="22" t="str">
        <f>'Raw Data'!I111</f>
        <v>Chris Kirk</v>
      </c>
      <c r="B111" s="137" t="e">
        <f t="shared" si="1"/>
        <v>#N/A</v>
      </c>
      <c r="C111">
        <f>'Raw Data'!J111</f>
        <v>108</v>
      </c>
      <c r="D111">
        <f>'Raw Data'!K111</f>
        <v>15</v>
      </c>
      <c r="E111">
        <f>'Raw Data'!L111</f>
        <v>38</v>
      </c>
      <c r="F111">
        <f>'Raw Data'!M111</f>
        <v>37</v>
      </c>
      <c r="G111">
        <f>'Raw Data'!N111</f>
        <v>145</v>
      </c>
      <c r="H111">
        <f>'Raw Data'!O111</f>
        <v>25</v>
      </c>
      <c r="I111">
        <f>'Raw Data'!P111</f>
        <v>218.60000000000002</v>
      </c>
      <c r="J111" s="14">
        <f>'Raw Data'!Q111</f>
        <v>229.90660275089184</v>
      </c>
      <c r="K111" s="14">
        <f>'Raw Data'!R111</f>
        <v>221.47276210554998</v>
      </c>
      <c r="L111" s="14">
        <f>'Raw Data'!S111</f>
        <v>228.22500106680184</v>
      </c>
      <c r="M111" s="16"/>
      <c r="Q111" s="23">
        <f>(VLOOKUP(A111,FEDEX!$A:$H,7,FALSE))/(VLOOKUP(A111,FEDEX!$A:$D,4,FALSE))</f>
        <v>0</v>
      </c>
      <c r="R111" s="23" t="e">
        <f>(VLOOKUP(B111,FEDEX!$A:$H,8,FALSE))/(VLOOKUP(B111,FEDEX!$A:$D,4,FALSE))</f>
        <v>#N/A</v>
      </c>
      <c r="S111" s="16" t="e">
        <f>VLOOKUP(B111,SG!$A:$F,6,FALSE)</f>
        <v>#N/A</v>
      </c>
      <c r="V111" t="str">
        <f>FIELD!G111</f>
        <v>Austin Smotherman</v>
      </c>
    </row>
    <row r="112" spans="1:22">
      <c r="A112" s="22" t="str">
        <f>'Raw Data'!I112</f>
        <v>Scott Stallings</v>
      </c>
      <c r="B112" s="137" t="e">
        <f t="shared" si="1"/>
        <v>#N/A</v>
      </c>
      <c r="C112">
        <f>'Raw Data'!J112</f>
        <v>108</v>
      </c>
      <c r="D112">
        <f>'Raw Data'!K112</f>
        <v>153</v>
      </c>
      <c r="E112">
        <f>'Raw Data'!L112</f>
        <v>23</v>
      </c>
      <c r="F112">
        <f>'Raw Data'!M112</f>
        <v>52</v>
      </c>
      <c r="G112">
        <f>'Raw Data'!N112</f>
        <v>162</v>
      </c>
      <c r="H112">
        <f>'Raw Data'!O112</f>
        <v>107</v>
      </c>
      <c r="I112">
        <f>'Raw Data'!P112</f>
        <v>291.60000000000002</v>
      </c>
      <c r="J112" s="14">
        <f>'Raw Data'!Q112</f>
        <v>386.07961003303012</v>
      </c>
      <c r="K112" s="14">
        <f>'Raw Data'!R112</f>
        <v>325.75394947709412</v>
      </c>
      <c r="L112" s="14">
        <f>'Raw Data'!S112</f>
        <v>452.90207933383294</v>
      </c>
      <c r="M112" s="16"/>
      <c r="Q112" s="23">
        <f>(VLOOKUP(A112,FEDEX!$A:$H,7,FALSE))/(VLOOKUP(A112,FEDEX!$A:$D,4,FALSE))</f>
        <v>0</v>
      </c>
      <c r="R112" s="23" t="e">
        <f>(VLOOKUP(B112,FEDEX!$A:$H,8,FALSE))/(VLOOKUP(B112,FEDEX!$A:$D,4,FALSE))</f>
        <v>#N/A</v>
      </c>
      <c r="S112" s="16" t="e">
        <f>VLOOKUP(B112,SG!$A:$F,6,FALSE)</f>
        <v>#N/A</v>
      </c>
      <c r="V112" t="str">
        <f>FIELD!G112</f>
        <v>Hayden Springer</v>
      </c>
    </row>
    <row r="113" spans="1:22" ht="15" customHeight="1">
      <c r="A113" s="22" t="str">
        <f>'Raw Data'!I113</f>
        <v>Tommy Fleetwood</v>
      </c>
      <c r="B113" s="137" t="e">
        <f t="shared" si="1"/>
        <v>#N/A</v>
      </c>
      <c r="C113">
        <f>'Raw Data'!J113</f>
        <v>112</v>
      </c>
      <c r="D113">
        <f>'Raw Data'!K113</f>
        <v>2</v>
      </c>
      <c r="E113">
        <f>'Raw Data'!L113</f>
        <v>165</v>
      </c>
      <c r="F113">
        <f>'Raw Data'!M113</f>
        <v>24</v>
      </c>
      <c r="G113">
        <f>'Raw Data'!N113</f>
        <v>73</v>
      </c>
      <c r="H113">
        <f>'Raw Data'!O113</f>
        <v>98</v>
      </c>
      <c r="I113">
        <f>'Raw Data'!P113</f>
        <v>263.39999999999998</v>
      </c>
      <c r="J113" s="14">
        <f>'Raw Data'!Q113</f>
        <v>360.54834600621706</v>
      </c>
      <c r="K113" s="14">
        <f>'Raw Data'!R113</f>
        <v>191.42134946649787</v>
      </c>
      <c r="L113" s="14">
        <f>'Raw Data'!S113</f>
        <v>227.24029895265252</v>
      </c>
      <c r="M113" s="16"/>
      <c r="Q113" s="23">
        <f>(VLOOKUP(A113,FEDEX!$A:$H,7,FALSE))/(VLOOKUP(A113,FEDEX!$A:$D,4,FALSE))</f>
        <v>0</v>
      </c>
      <c r="R113" s="23" t="e">
        <f>(VLOOKUP(B113,FEDEX!$A:$H,8,FALSE))/(VLOOKUP(B113,FEDEX!$A:$D,4,FALSE))</f>
        <v>#N/A</v>
      </c>
      <c r="S113" s="16" t="e">
        <f>VLOOKUP(B113,SG!$A:$F,6,FALSE)</f>
        <v>#N/A</v>
      </c>
      <c r="V113" t="str">
        <f>FIELD!G113</f>
        <v>Jimmy Stanger</v>
      </c>
    </row>
    <row r="114" spans="1:22" ht="15" customHeight="1">
      <c r="A114" s="22" t="str">
        <f>'Raw Data'!I114</f>
        <v>Patrick Cantlay</v>
      </c>
      <c r="B114" s="137" t="e">
        <f t="shared" si="1"/>
        <v>#N/A</v>
      </c>
      <c r="C114">
        <f>'Raw Data'!J114</f>
        <v>113</v>
      </c>
      <c r="D114">
        <f>'Raw Data'!K114</f>
        <v>36</v>
      </c>
      <c r="E114">
        <f>'Raw Data'!L114</f>
        <v>149</v>
      </c>
      <c r="F114">
        <f>'Raw Data'!M114</f>
        <v>102</v>
      </c>
      <c r="G114">
        <f>'Raw Data'!N114</f>
        <v>57</v>
      </c>
      <c r="H114">
        <f>'Raw Data'!O114</f>
        <v>91</v>
      </c>
      <c r="I114">
        <f>'Raw Data'!P114</f>
        <v>293.3</v>
      </c>
      <c r="J114" s="14">
        <f>'Raw Data'!Q114</f>
        <v>396.39422584531593</v>
      </c>
      <c r="K114" s="14">
        <f>'Raw Data'!R114</f>
        <v>189.23530819560909</v>
      </c>
      <c r="L114" s="14">
        <f>'Raw Data'!S114</f>
        <v>239.93133912385264</v>
      </c>
      <c r="M114" s="16"/>
      <c r="Q114" s="23">
        <f>(VLOOKUP(A114,FEDEX!$A:$H,7,FALSE))/(VLOOKUP(A114,FEDEX!$A:$D,4,FALSE))</f>
        <v>0</v>
      </c>
      <c r="R114" s="23" t="e">
        <f>(VLOOKUP(B114,FEDEX!$A:$H,8,FALSE))/(VLOOKUP(B114,FEDEX!$A:$D,4,FALSE))</f>
        <v>#N/A</v>
      </c>
      <c r="S114" s="16" t="e">
        <f>VLOOKUP(B114,SG!$A:$F,6,FALSE)</f>
        <v>#N/A</v>
      </c>
      <c r="V114" t="str">
        <f>FIELD!G114</f>
        <v>Kyle Stanley</v>
      </c>
    </row>
    <row r="115" spans="1:22" ht="15" customHeight="1">
      <c r="A115" s="22" t="str">
        <f>'Raw Data'!I115</f>
        <v>Shane Lowry</v>
      </c>
      <c r="B115" s="137" t="e">
        <f t="shared" si="1"/>
        <v>#N/A</v>
      </c>
      <c r="C115">
        <f>'Raw Data'!J115</f>
        <v>114</v>
      </c>
      <c r="D115">
        <f>'Raw Data'!K115</f>
        <v>1</v>
      </c>
      <c r="E115">
        <f>'Raw Data'!L115</f>
        <v>3</v>
      </c>
      <c r="F115">
        <f>'Raw Data'!M115</f>
        <v>63</v>
      </c>
      <c r="G115">
        <f>'Raw Data'!N115</f>
        <v>99</v>
      </c>
      <c r="H115">
        <f>'Raw Data'!O115</f>
        <v>7</v>
      </c>
      <c r="I115">
        <f>'Raw Data'!P115</f>
        <v>179.9</v>
      </c>
      <c r="J115" s="14">
        <f>'Raw Data'!Q115</f>
        <v>170.88883930706061</v>
      </c>
      <c r="K115" s="14">
        <f>'Raw Data'!R115</f>
        <v>187.20546492432871</v>
      </c>
      <c r="L115" s="14">
        <f>'Raw Data'!S115</f>
        <v>201.74782843144004</v>
      </c>
      <c r="M115" s="16"/>
      <c r="Q115" s="23">
        <f>(VLOOKUP(A115,FEDEX!$A:$H,7,FALSE))/(VLOOKUP(A115,FEDEX!$A:$D,4,FALSE))</f>
        <v>0</v>
      </c>
      <c r="R115" s="23" t="e">
        <f>(VLOOKUP(B115,FEDEX!$A:$H,8,FALSE))/(VLOOKUP(B115,FEDEX!$A:$D,4,FALSE))</f>
        <v>#N/A</v>
      </c>
      <c r="S115" s="16" t="e">
        <f>VLOOKUP(B115,SG!$A:$F,6,FALSE)</f>
        <v>#N/A</v>
      </c>
      <c r="V115" t="str">
        <f>FIELD!G115</f>
        <v>Sam Stevens</v>
      </c>
    </row>
    <row r="116" spans="1:22">
      <c r="A116" s="22" t="str">
        <f>'Raw Data'!I116</f>
        <v>Justin Rose</v>
      </c>
      <c r="B116" s="137" t="e">
        <f t="shared" si="1"/>
        <v>#N/A</v>
      </c>
      <c r="C116">
        <f>'Raw Data'!J116</f>
        <v>114</v>
      </c>
      <c r="D116">
        <f>'Raw Data'!K116</f>
        <v>43</v>
      </c>
      <c r="E116">
        <f>'Raw Data'!L116</f>
        <v>172</v>
      </c>
      <c r="F116">
        <f>'Raw Data'!M116</f>
        <v>89</v>
      </c>
      <c r="G116">
        <f>'Raw Data'!N116</f>
        <v>55</v>
      </c>
      <c r="H116">
        <f>'Raw Data'!O116</f>
        <v>148</v>
      </c>
      <c r="I116">
        <f>'Raw Data'!P116</f>
        <v>307.60000000000002</v>
      </c>
      <c r="J116" s="14">
        <f>'Raw Data'!Q116</f>
        <v>468.00616500259571</v>
      </c>
      <c r="K116" s="14">
        <f>'Raw Data'!R116</f>
        <v>242.74490711293635</v>
      </c>
      <c r="L116" s="14">
        <f>'Raw Data'!S116</f>
        <v>304.8477687370206</v>
      </c>
      <c r="M116" s="16"/>
      <c r="Q116" s="23">
        <f>(VLOOKUP(A116,FEDEX!$A:$H,7,FALSE))/(VLOOKUP(A116,FEDEX!$A:$D,4,FALSE))</f>
        <v>0</v>
      </c>
      <c r="R116" s="23" t="e">
        <f>(VLOOKUP(B116,FEDEX!$A:$H,8,FALSE))/(VLOOKUP(B116,FEDEX!$A:$D,4,FALSE))</f>
        <v>#N/A</v>
      </c>
      <c r="S116" s="16" t="e">
        <f>VLOOKUP(B116,SG!$A:$F,6,FALSE)</f>
        <v>#N/A</v>
      </c>
      <c r="V116" t="str">
        <f>FIELD!G116</f>
        <v>Robert Streb</v>
      </c>
    </row>
    <row r="117" spans="1:22">
      <c r="A117" s="22" t="str">
        <f>'Raw Data'!I117</f>
        <v>Seamus Power</v>
      </c>
      <c r="B117" s="137" t="e">
        <f t="shared" si="1"/>
        <v>#N/A</v>
      </c>
      <c r="C117">
        <f>'Raw Data'!J117</f>
        <v>116</v>
      </c>
      <c r="D117">
        <f>'Raw Data'!K117</f>
        <v>92</v>
      </c>
      <c r="E117">
        <f>'Raw Data'!L117</f>
        <v>97</v>
      </c>
      <c r="F117">
        <f>'Raw Data'!M117</f>
        <v>71</v>
      </c>
      <c r="G117">
        <f>'Raw Data'!N117</f>
        <v>150</v>
      </c>
      <c r="H117">
        <f>'Raw Data'!O117</f>
        <v>140</v>
      </c>
      <c r="I117">
        <f>'Raw Data'!P117</f>
        <v>321.70000000000005</v>
      </c>
      <c r="J117" s="14">
        <f>'Raw Data'!Q117</f>
        <v>461.18366564047852</v>
      </c>
      <c r="K117" s="14">
        <f>'Raw Data'!R117</f>
        <v>319.28028998278052</v>
      </c>
      <c r="L117" s="14">
        <f>'Raw Data'!S117</f>
        <v>448.01295032844473</v>
      </c>
      <c r="M117" s="16"/>
      <c r="Q117" s="23">
        <f>(VLOOKUP(A117,FEDEX!$A:$H,7,FALSE))/(VLOOKUP(A117,FEDEX!$A:$D,4,FALSE))</f>
        <v>0</v>
      </c>
      <c r="R117" s="23" t="e">
        <f>(VLOOKUP(B117,FEDEX!$A:$H,8,FALSE))/(VLOOKUP(B117,FEDEX!$A:$D,4,FALSE))</f>
        <v>#N/A</v>
      </c>
      <c r="S117" s="16" t="e">
        <f>VLOOKUP(B117,SG!$A:$F,6,FALSE)</f>
        <v>#N/A</v>
      </c>
      <c r="V117" t="str">
        <f>FIELD!G117</f>
        <v>Brian Stuard</v>
      </c>
    </row>
    <row r="118" spans="1:22">
      <c r="A118" s="22" t="str">
        <f>'Raw Data'!I118</f>
        <v>Josh Teater</v>
      </c>
      <c r="B118" s="137" t="str">
        <f t="shared" si="1"/>
        <v>Josh Teater</v>
      </c>
      <c r="C118">
        <f>'Raw Data'!J118</f>
        <v>116</v>
      </c>
      <c r="D118">
        <f>'Raw Data'!K118</f>
        <v>115</v>
      </c>
      <c r="E118">
        <f>'Raw Data'!L118</f>
        <v>151</v>
      </c>
      <c r="F118">
        <f>'Raw Data'!M118</f>
        <v>10</v>
      </c>
      <c r="G118">
        <f>'Raw Data'!N118</f>
        <v>175</v>
      </c>
      <c r="H118">
        <f>'Raw Data'!O118</f>
        <v>166</v>
      </c>
      <c r="I118">
        <f>'Raw Data'!P118</f>
        <v>359.1</v>
      </c>
      <c r="J118" s="14">
        <f>'Raw Data'!Q118</f>
        <v>520.38777910088129</v>
      </c>
      <c r="K118" s="14" t="e">
        <f>'Raw Data'!R118</f>
        <v>#N/A</v>
      </c>
      <c r="L118" s="14" t="e">
        <f>'Raw Data'!S118</f>
        <v>#N/A</v>
      </c>
      <c r="M118" s="16"/>
      <c r="Q118" s="23">
        <f>(VLOOKUP(A118,FEDEX!$A:$H,7,FALSE))/(VLOOKUP(A118,FEDEX!$A:$D,4,FALSE))</f>
        <v>0</v>
      </c>
      <c r="R118" s="23">
        <f>(VLOOKUP(B118,FEDEX!$A:$H,8,FALSE))/(VLOOKUP(B118,FEDEX!$A:$D,4,FALSE))</f>
        <v>0</v>
      </c>
      <c r="S118" s="16">
        <f>VLOOKUP(B118,SG!$A:$F,6,FALSE)</f>
        <v>-9</v>
      </c>
      <c r="V118" t="str">
        <f>FIELD!G118</f>
        <v>Justin Suh</v>
      </c>
    </row>
    <row r="119" spans="1:22">
      <c r="A119" s="22" t="str">
        <f>'Raw Data'!I119</f>
        <v>Brandon Wu</v>
      </c>
      <c r="B119" s="137" t="str">
        <f t="shared" si="1"/>
        <v>Brandon Wu</v>
      </c>
      <c r="C119">
        <f>'Raw Data'!J119</f>
        <v>116</v>
      </c>
      <c r="D119">
        <f>'Raw Data'!K119</f>
        <v>99</v>
      </c>
      <c r="E119">
        <f>'Raw Data'!L119</f>
        <v>105</v>
      </c>
      <c r="F119">
        <f>'Raw Data'!M119</f>
        <v>120</v>
      </c>
      <c r="G119">
        <f>'Raw Data'!N119</f>
        <v>90</v>
      </c>
      <c r="H119">
        <f>'Raw Data'!O119</f>
        <v>135</v>
      </c>
      <c r="I119">
        <f>'Raw Data'!P119</f>
        <v>320.39999999999998</v>
      </c>
      <c r="J119" s="14">
        <f>'Raw Data'!Q119</f>
        <v>464.71246476282619</v>
      </c>
      <c r="K119" s="14">
        <f>'Raw Data'!R119</f>
        <v>326.783915790111</v>
      </c>
      <c r="L119" s="14">
        <f>'Raw Data'!S119</f>
        <v>447.0873579138983</v>
      </c>
      <c r="M119" s="16"/>
      <c r="Q119" s="23">
        <f>(VLOOKUP(A119,FEDEX!$A:$H,7,FALSE))/(VLOOKUP(A119,FEDEX!$A:$D,4,FALSE))</f>
        <v>0</v>
      </c>
      <c r="R119" s="23">
        <f>(VLOOKUP(B119,FEDEX!$A:$H,8,FALSE))/(VLOOKUP(B119,FEDEX!$A:$D,4,FALSE))</f>
        <v>0</v>
      </c>
      <c r="S119" s="16">
        <f>VLOOKUP(B119,SG!$A:$F,6,FALSE)</f>
        <v>-42</v>
      </c>
      <c r="V119" t="str">
        <f>FIELD!G119</f>
        <v>Callum Tarren</v>
      </c>
    </row>
    <row r="120" spans="1:22">
      <c r="A120" s="22" t="str">
        <f>'Raw Data'!I120</f>
        <v>Tom Whitney</v>
      </c>
      <c r="B120" s="137" t="str">
        <f t="shared" si="1"/>
        <v>Tom Whitney</v>
      </c>
      <c r="C120">
        <f>'Raw Data'!J120</f>
        <v>119</v>
      </c>
      <c r="D120">
        <f>'Raw Data'!K120</f>
        <v>95</v>
      </c>
      <c r="E120">
        <f>'Raw Data'!L120</f>
        <v>81</v>
      </c>
      <c r="F120">
        <f>'Raw Data'!M120</f>
        <v>177</v>
      </c>
      <c r="G120">
        <f>'Raw Data'!N120</f>
        <v>100</v>
      </c>
      <c r="H120">
        <f>'Raw Data'!O120</f>
        <v>127</v>
      </c>
      <c r="I120">
        <f>'Raw Data'!P120</f>
        <v>332.1</v>
      </c>
      <c r="J120" s="14">
        <f>'Raw Data'!Q120</f>
        <v>475.97580094994623</v>
      </c>
      <c r="K120" s="14" t="e">
        <f>'Raw Data'!R120</f>
        <v>#N/A</v>
      </c>
      <c r="L120" s="14" t="e">
        <f>'Raw Data'!S120</f>
        <v>#N/A</v>
      </c>
      <c r="M120" s="16"/>
      <c r="Q120" s="23">
        <f>(VLOOKUP(A120,FEDEX!$A:$H,7,FALSE))/(VLOOKUP(A120,FEDEX!$A:$D,4,FALSE))</f>
        <v>0</v>
      </c>
      <c r="R120" s="23">
        <f>(VLOOKUP(B120,FEDEX!$A:$H,8,FALSE))/(VLOOKUP(B120,FEDEX!$A:$D,4,FALSE))</f>
        <v>0</v>
      </c>
      <c r="S120" s="16">
        <f>VLOOKUP(B120,SG!$A:$F,6,FALSE)</f>
        <v>-7</v>
      </c>
      <c r="V120" t="str">
        <f>FIELD!G120</f>
        <v>Josh Teater</v>
      </c>
    </row>
    <row r="121" spans="1:22">
      <c r="A121" s="22" t="str">
        <f>'Raw Data'!I121</f>
        <v>Hayden Buckley</v>
      </c>
      <c r="B121" s="137" t="str">
        <f t="shared" si="1"/>
        <v>Hayden Buckley</v>
      </c>
      <c r="C121">
        <f>'Raw Data'!J121</f>
        <v>120</v>
      </c>
      <c r="D121">
        <f>'Raw Data'!K121</f>
        <v>94</v>
      </c>
      <c r="E121">
        <f>'Raw Data'!L121</f>
        <v>167</v>
      </c>
      <c r="F121">
        <f>'Raw Data'!M121</f>
        <v>147</v>
      </c>
      <c r="G121">
        <f>'Raw Data'!N121</f>
        <v>103</v>
      </c>
      <c r="H121">
        <f>'Raw Data'!O121</f>
        <v>167</v>
      </c>
      <c r="I121">
        <f>'Raw Data'!P121</f>
        <v>382.2</v>
      </c>
      <c r="J121" s="14">
        <f>'Raw Data'!Q121</f>
        <v>572.02324158611896</v>
      </c>
      <c r="K121" s="14">
        <f>'Raw Data'!R121</f>
        <v>331.33460644653451</v>
      </c>
      <c r="L121" s="14">
        <f>'Raw Data'!S121</f>
        <v>497.72765584674096</v>
      </c>
      <c r="M121" s="16"/>
      <c r="Q121" s="23">
        <f>(VLOOKUP(A121,FEDEX!$A:$H,7,FALSE))/(VLOOKUP(A121,FEDEX!$A:$D,4,FALSE))</f>
        <v>0</v>
      </c>
      <c r="R121" s="23">
        <f>(VLOOKUP(B121,FEDEX!$A:$H,8,FALSE))/(VLOOKUP(B121,FEDEX!$A:$D,4,FALSE))</f>
        <v>0</v>
      </c>
      <c r="S121" s="16">
        <f>VLOOKUP(B121,SG!$A:$F,6,FALSE)</f>
        <v>-15</v>
      </c>
      <c r="V121" t="str">
        <f>FIELD!G121</f>
        <v>Davis Thompson</v>
      </c>
    </row>
    <row r="122" spans="1:22">
      <c r="A122" s="22" t="str">
        <f>'Raw Data'!I122</f>
        <v>Ryo Hisatsune</v>
      </c>
      <c r="B122" s="137" t="e">
        <f t="shared" si="1"/>
        <v>#N/A</v>
      </c>
      <c r="C122">
        <f>'Raw Data'!J122</f>
        <v>120</v>
      </c>
      <c r="D122">
        <f>'Raw Data'!K122</f>
        <v>58</v>
      </c>
      <c r="E122">
        <f>'Raw Data'!L122</f>
        <v>75</v>
      </c>
      <c r="F122">
        <f>'Raw Data'!M122</f>
        <v>33</v>
      </c>
      <c r="G122">
        <f>'Raw Data'!N122</f>
        <v>116</v>
      </c>
      <c r="H122">
        <f>'Raw Data'!O122</f>
        <v>92</v>
      </c>
      <c r="I122">
        <f>'Raw Data'!P122</f>
        <v>260.7</v>
      </c>
      <c r="J122" s="14">
        <f>'Raw Data'!Q122</f>
        <v>339.52005840483582</v>
      </c>
      <c r="K122" s="14">
        <f>'Raw Data'!R122</f>
        <v>284.19006433737638</v>
      </c>
      <c r="L122" s="14">
        <f>'Raw Data'!S122</f>
        <v>375.69793464617294</v>
      </c>
      <c r="M122" s="16"/>
      <c r="Q122" s="23">
        <f>(VLOOKUP(A122,FEDEX!$A:$H,7,FALSE))/(VLOOKUP(A122,FEDEX!$A:$D,4,FALSE))</f>
        <v>0</v>
      </c>
      <c r="R122" s="23" t="e">
        <f>(VLOOKUP(B122,FEDEX!$A:$H,8,FALSE))/(VLOOKUP(B122,FEDEX!$A:$D,4,FALSE))</f>
        <v>#N/A</v>
      </c>
      <c r="S122" s="16" t="e">
        <f>VLOOKUP(B122,SG!$A:$F,6,FALSE)</f>
        <v>#N/A</v>
      </c>
      <c r="V122" t="str">
        <f>FIELD!G122</f>
        <v>Martin Trainer</v>
      </c>
    </row>
    <row r="123" spans="1:22">
      <c r="A123" s="22" t="str">
        <f>'Raw Data'!I123</f>
        <v>Taylor Montgomery</v>
      </c>
      <c r="B123" s="137" t="e">
        <f t="shared" si="1"/>
        <v>#N/A</v>
      </c>
      <c r="C123">
        <f>'Raw Data'!J123</f>
        <v>120</v>
      </c>
      <c r="D123">
        <f>'Raw Data'!K123</f>
        <v>173</v>
      </c>
      <c r="E123">
        <f>'Raw Data'!L123</f>
        <v>142</v>
      </c>
      <c r="F123">
        <f>'Raw Data'!M123</f>
        <v>51</v>
      </c>
      <c r="G123">
        <f>'Raw Data'!N123</f>
        <v>1</v>
      </c>
      <c r="H123">
        <f>'Raw Data'!O123</f>
        <v>71</v>
      </c>
      <c r="I123">
        <f>'Raw Data'!P123</f>
        <v>314.79999999999995</v>
      </c>
      <c r="J123" s="14">
        <f>'Raw Data'!Q123</f>
        <v>383.307517912805</v>
      </c>
      <c r="K123" s="14">
        <f>'Raw Data'!R123</f>
        <v>297.1326846615072</v>
      </c>
      <c r="L123" s="14">
        <f>'Raw Data'!S123</f>
        <v>365.81670451675473</v>
      </c>
      <c r="M123" s="16"/>
      <c r="Q123" s="23">
        <f>(VLOOKUP(A123,FEDEX!$A:$H,7,FALSE))/(VLOOKUP(A123,FEDEX!$A:$D,4,FALSE))</f>
        <v>0</v>
      </c>
      <c r="R123" s="23" t="e">
        <f>(VLOOKUP(B123,FEDEX!$A:$H,8,FALSE))/(VLOOKUP(B123,FEDEX!$A:$D,4,FALSE))</f>
        <v>#N/A</v>
      </c>
      <c r="S123" s="16" t="e">
        <f>VLOOKUP(B123,SG!$A:$F,6,FALSE)</f>
        <v>#N/A</v>
      </c>
      <c r="V123" t="str">
        <f>FIELD!G123</f>
        <v>Kevin Tway</v>
      </c>
    </row>
    <row r="124" spans="1:22">
      <c r="A124" s="22" t="str">
        <f>'Raw Data'!I124</f>
        <v>Harry Hall</v>
      </c>
      <c r="B124" s="137" t="e">
        <f t="shared" si="1"/>
        <v>#N/A</v>
      </c>
      <c r="C124">
        <f>'Raw Data'!J124</f>
        <v>123</v>
      </c>
      <c r="D124">
        <f>'Raw Data'!K124</f>
        <v>156</v>
      </c>
      <c r="E124">
        <f>'Raw Data'!L124</f>
        <v>92</v>
      </c>
      <c r="F124">
        <f>'Raw Data'!M124</f>
        <v>20</v>
      </c>
      <c r="G124">
        <f>'Raw Data'!N124</f>
        <v>112</v>
      </c>
      <c r="H124">
        <f>'Raw Data'!O124</f>
        <v>100</v>
      </c>
      <c r="I124">
        <f>'Raw Data'!P124</f>
        <v>317.09999999999997</v>
      </c>
      <c r="J124" s="14">
        <f>'Raw Data'!Q124</f>
        <v>402.71760090956877</v>
      </c>
      <c r="K124" s="14">
        <f>'Raw Data'!R124</f>
        <v>313.91490653052523</v>
      </c>
      <c r="L124" s="14">
        <f>'Raw Data'!S124</f>
        <v>406.79157692775453</v>
      </c>
      <c r="M124" s="16"/>
      <c r="Q124" s="23">
        <f>(VLOOKUP(A124,FEDEX!$A:$H,7,FALSE))/(VLOOKUP(A124,FEDEX!$A:$D,4,FALSE))</f>
        <v>0</v>
      </c>
      <c r="R124" s="23" t="e">
        <f>(VLOOKUP(B124,FEDEX!$A:$H,8,FALSE))/(VLOOKUP(B124,FEDEX!$A:$D,4,FALSE))</f>
        <v>#N/A</v>
      </c>
      <c r="S124" s="16" t="e">
        <f>VLOOKUP(B124,SG!$A:$F,6,FALSE)</f>
        <v>#N/A</v>
      </c>
      <c r="V124" t="str">
        <f>FIELD!G124</f>
        <v>Jhonattan Vegas</v>
      </c>
    </row>
    <row r="125" spans="1:22">
      <c r="A125" s="22" t="str">
        <f>'Raw Data'!I125</f>
        <v>Kevin Streelman</v>
      </c>
      <c r="B125" s="137" t="e">
        <f t="shared" si="1"/>
        <v>#N/A</v>
      </c>
      <c r="C125">
        <f>'Raw Data'!J125</f>
        <v>124</v>
      </c>
      <c r="D125">
        <f>'Raw Data'!K125</f>
        <v>138</v>
      </c>
      <c r="E125">
        <f>'Raw Data'!L125</f>
        <v>122</v>
      </c>
      <c r="F125">
        <f>'Raw Data'!M125</f>
        <v>116</v>
      </c>
      <c r="G125">
        <f>'Raw Data'!N125</f>
        <v>147</v>
      </c>
      <c r="H125">
        <f>'Raw Data'!O125</f>
        <v>133</v>
      </c>
      <c r="I125">
        <f>'Raw Data'!P125</f>
        <v>385.9</v>
      </c>
      <c r="J125" s="14">
        <f>'Raw Data'!Q125</f>
        <v>528.80387554801894</v>
      </c>
      <c r="K125" s="14">
        <f>'Raw Data'!R125</f>
        <v>338.17851336252465</v>
      </c>
      <c r="L125" s="14">
        <f>'Raw Data'!S125</f>
        <v>447.40733195767041</v>
      </c>
      <c r="M125" s="16"/>
      <c r="Q125" s="23">
        <f>(VLOOKUP(A125,FEDEX!$A:$H,7,FALSE))/(VLOOKUP(A125,FEDEX!$A:$D,4,FALSE))</f>
        <v>0</v>
      </c>
      <c r="R125" s="23" t="e">
        <f>(VLOOKUP(B125,FEDEX!$A:$H,8,FALSE))/(VLOOKUP(B125,FEDEX!$A:$D,4,FALSE))</f>
        <v>#N/A</v>
      </c>
      <c r="S125" s="16" t="e">
        <f>VLOOKUP(B125,SG!$A:$F,6,FALSE)</f>
        <v>#N/A</v>
      </c>
      <c r="V125" t="str">
        <f>FIELD!G125</f>
        <v>Jimmy Walker</v>
      </c>
    </row>
    <row r="126" spans="1:22">
      <c r="A126" s="22" t="str">
        <f>'Raw Data'!I126</f>
        <v>Mackenzie Hughes</v>
      </c>
      <c r="B126" s="137" t="e">
        <f t="shared" si="1"/>
        <v>#N/A</v>
      </c>
      <c r="C126">
        <f>'Raw Data'!J126</f>
        <v>125</v>
      </c>
      <c r="D126">
        <f>'Raw Data'!K126</f>
        <v>152</v>
      </c>
      <c r="E126">
        <f>'Raw Data'!L126</f>
        <v>125</v>
      </c>
      <c r="F126">
        <f>'Raw Data'!M126</f>
        <v>4</v>
      </c>
      <c r="G126">
        <f>'Raw Data'!N126</f>
        <v>75</v>
      </c>
      <c r="H126">
        <f>'Raw Data'!O126</f>
        <v>54</v>
      </c>
      <c r="I126">
        <f>'Raw Data'!P126</f>
        <v>315.10000000000002</v>
      </c>
      <c r="J126" s="14">
        <f>'Raw Data'!Q126</f>
        <v>354.83472474243416</v>
      </c>
      <c r="K126" s="14">
        <f>'Raw Data'!R126</f>
        <v>306.26891649034644</v>
      </c>
      <c r="L126" s="14">
        <f>'Raw Data'!S126</f>
        <v>368.1230727832243</v>
      </c>
      <c r="M126" s="16"/>
      <c r="Q126" s="23">
        <f>(VLOOKUP(A126,FEDEX!$A:$H,7,FALSE))/(VLOOKUP(A126,FEDEX!$A:$D,4,FALSE))</f>
        <v>0</v>
      </c>
      <c r="R126" s="23" t="e">
        <f>(VLOOKUP(B126,FEDEX!$A:$H,8,FALSE))/(VLOOKUP(B126,FEDEX!$A:$D,4,FALSE))</f>
        <v>#N/A</v>
      </c>
      <c r="S126" s="16" t="e">
        <f>VLOOKUP(B126,SG!$A:$F,6,FALSE)</f>
        <v>#N/A</v>
      </c>
      <c r="V126" t="str">
        <f>FIELD!G126</f>
        <v>Nick Watney</v>
      </c>
    </row>
    <row r="127" spans="1:22">
      <c r="A127" s="22" t="str">
        <f>'Raw Data'!I127</f>
        <v>Jacob Bridgeman</v>
      </c>
      <c r="B127" s="137" t="str">
        <f t="shared" si="1"/>
        <v>Jacob Bridgeman</v>
      </c>
      <c r="C127">
        <f>'Raw Data'!J127</f>
        <v>126</v>
      </c>
      <c r="D127">
        <f>'Raw Data'!K127</f>
        <v>122</v>
      </c>
      <c r="E127">
        <f>'Raw Data'!L127</f>
        <v>60</v>
      </c>
      <c r="F127">
        <f>'Raw Data'!M127</f>
        <v>124</v>
      </c>
      <c r="G127">
        <f>'Raw Data'!N127</f>
        <v>37</v>
      </c>
      <c r="H127">
        <f>'Raw Data'!O127</f>
        <v>82</v>
      </c>
      <c r="I127">
        <f>'Raw Data'!P127</f>
        <v>284.5</v>
      </c>
      <c r="J127" s="14">
        <f>'Raw Data'!Q127</f>
        <v>366.31802736542357</v>
      </c>
      <c r="K127" s="14" t="e">
        <f>'Raw Data'!R127</f>
        <v>#N/A</v>
      </c>
      <c r="L127" s="14" t="e">
        <f>'Raw Data'!S127</f>
        <v>#N/A</v>
      </c>
      <c r="M127" s="16"/>
      <c r="Q127" s="23">
        <f>(VLOOKUP(A127,FEDEX!$A:$H,7,FALSE))/(VLOOKUP(A127,FEDEX!$A:$D,4,FALSE))</f>
        <v>0</v>
      </c>
      <c r="R127" s="23">
        <f>(VLOOKUP(B127,FEDEX!$A:$H,8,FALSE))/(VLOOKUP(B127,FEDEX!$A:$D,4,FALSE))</f>
        <v>0</v>
      </c>
      <c r="S127" s="16">
        <f>VLOOKUP(B127,SG!$A:$F,6,FALSE)</f>
        <v>15</v>
      </c>
      <c r="V127" t="str">
        <f>FIELD!G127</f>
        <v>Richy Werenski</v>
      </c>
    </row>
    <row r="128" spans="1:22">
      <c r="A128" s="22" t="str">
        <f>'Raw Data'!I128</f>
        <v>Tyler Duncan</v>
      </c>
      <c r="B128" s="137" t="str">
        <f t="shared" si="1"/>
        <v>Tyler Duncan</v>
      </c>
      <c r="C128">
        <f>'Raw Data'!J128</f>
        <v>127</v>
      </c>
      <c r="D128">
        <f>'Raw Data'!K128</f>
        <v>48</v>
      </c>
      <c r="E128">
        <f>'Raw Data'!L128</f>
        <v>156</v>
      </c>
      <c r="F128">
        <f>'Raw Data'!M128</f>
        <v>97</v>
      </c>
      <c r="G128">
        <f>'Raw Data'!N128</f>
        <v>167</v>
      </c>
      <c r="H128">
        <f>'Raw Data'!O128</f>
        <v>151</v>
      </c>
      <c r="I128">
        <f>'Raw Data'!P128</f>
        <v>369.8</v>
      </c>
      <c r="J128" s="14">
        <f>'Raw Data'!Q128</f>
        <v>531.35139983977456</v>
      </c>
      <c r="K128" s="14">
        <f>'Raw Data'!R128</f>
        <v>349.87600475183086</v>
      </c>
      <c r="L128" s="14">
        <f>'Raw Data'!S128</f>
        <v>500.77884994307954</v>
      </c>
      <c r="M128" s="16"/>
      <c r="Q128" s="23">
        <f>(VLOOKUP(A128,FEDEX!$A:$H,7,FALSE))/(VLOOKUP(A128,FEDEX!$A:$D,4,FALSE))</f>
        <v>0</v>
      </c>
      <c r="R128" s="23">
        <f>(VLOOKUP(B128,FEDEX!$A:$H,8,FALSE))/(VLOOKUP(B128,FEDEX!$A:$D,4,FALSE))</f>
        <v>0</v>
      </c>
      <c r="S128" s="16">
        <f>VLOOKUP(B128,SG!$A:$F,6,FALSE)</f>
        <v>-1</v>
      </c>
      <c r="V128" t="str">
        <f>FIELD!G128</f>
        <v>Vince Whaley</v>
      </c>
    </row>
    <row r="129" spans="1:22">
      <c r="A129" s="22" t="str">
        <f>'Raw Data'!I129</f>
        <v>C.T. Pan</v>
      </c>
      <c r="B129" s="137" t="e">
        <f t="shared" si="1"/>
        <v>#N/A</v>
      </c>
      <c r="C129">
        <f>'Raw Data'!J129</f>
        <v>128</v>
      </c>
      <c r="D129">
        <f>'Raw Data'!K129</f>
        <v>75</v>
      </c>
      <c r="E129">
        <f>'Raw Data'!L129</f>
        <v>64</v>
      </c>
      <c r="F129">
        <f>'Raw Data'!M129</f>
        <v>41</v>
      </c>
      <c r="G129">
        <f>'Raw Data'!N129</f>
        <v>87</v>
      </c>
      <c r="H129">
        <f>'Raw Data'!O129</f>
        <v>66</v>
      </c>
      <c r="I129">
        <f>'Raw Data'!P129</f>
        <v>257.39999999999998</v>
      </c>
      <c r="J129" s="14">
        <f>'Raw Data'!Q129</f>
        <v>307.4505894766732</v>
      </c>
      <c r="K129" s="14">
        <f>'Raw Data'!R129</f>
        <v>273.70987517989664</v>
      </c>
      <c r="L129" s="14">
        <f>'Raw Data'!S129</f>
        <v>349.96724121678579</v>
      </c>
      <c r="M129" s="16"/>
      <c r="Q129" s="23">
        <f>(VLOOKUP(A129,FEDEX!$A:$H,7,FALSE))/(VLOOKUP(A129,FEDEX!$A:$D,4,FALSE))</f>
        <v>0</v>
      </c>
      <c r="R129" s="23" t="e">
        <f>(VLOOKUP(B129,FEDEX!$A:$H,8,FALSE))/(VLOOKUP(B129,FEDEX!$A:$D,4,FALSE))</f>
        <v>#N/A</v>
      </c>
      <c r="S129" s="16" t="e">
        <f>VLOOKUP(B129,SG!$A:$F,6,FALSE)</f>
        <v>#N/A</v>
      </c>
      <c r="V129" t="str">
        <f>FIELD!G129</f>
        <v>Tom Whitney</v>
      </c>
    </row>
    <row r="130" spans="1:22">
      <c r="A130" s="22" t="str">
        <f>'Raw Data'!I130</f>
        <v>Bud Cauley</v>
      </c>
      <c r="B130" s="137" t="str">
        <f t="shared" ref="B130:B193" si="2">VLOOKUP(A130,$V:$V,1,FALSE)</f>
        <v>Bud Cauley</v>
      </c>
      <c r="C130">
        <f>'Raw Data'!J130</f>
        <v>129</v>
      </c>
      <c r="D130">
        <f>'Raw Data'!K130</f>
        <v>102</v>
      </c>
      <c r="E130">
        <f>'Raw Data'!L130</f>
        <v>30</v>
      </c>
      <c r="F130">
        <f>'Raw Data'!M130</f>
        <v>75</v>
      </c>
      <c r="G130">
        <f>'Raw Data'!N130</f>
        <v>133</v>
      </c>
      <c r="H130">
        <f>'Raw Data'!O130</f>
        <v>57</v>
      </c>
      <c r="I130">
        <f>'Raw Data'!P130</f>
        <v>284.60000000000002</v>
      </c>
      <c r="J130" s="14">
        <f>'Raw Data'!Q130</f>
        <v>328.40157628026691</v>
      </c>
      <c r="K130" s="14" t="e">
        <f>'Raw Data'!R130</f>
        <v>#N/A</v>
      </c>
      <c r="L130" s="14" t="e">
        <f>'Raw Data'!S130</f>
        <v>#N/A</v>
      </c>
      <c r="M130" s="16"/>
      <c r="Q130" s="23">
        <f>(VLOOKUP(A130,FEDEX!$A:$H,7,FALSE))/(VLOOKUP(A130,FEDEX!$A:$D,4,FALSE))</f>
        <v>0</v>
      </c>
      <c r="R130" s="23">
        <f>(VLOOKUP(B130,FEDEX!$A:$H,8,FALSE))/(VLOOKUP(B130,FEDEX!$A:$D,4,FALSE))</f>
        <v>0</v>
      </c>
      <c r="S130" s="16">
        <f>VLOOKUP(B130,SG!$A:$F,6,FALSE)</f>
        <v>13</v>
      </c>
      <c r="V130" t="str">
        <f>FIELD!G130</f>
        <v>Brandon Wu</v>
      </c>
    </row>
    <row r="131" spans="1:22">
      <c r="A131" s="22" t="str">
        <f>'Raw Data'!I131</f>
        <v>Stewart Cink</v>
      </c>
      <c r="B131" s="137" t="e">
        <f t="shared" si="2"/>
        <v>#N/A</v>
      </c>
      <c r="C131">
        <f>'Raw Data'!J131</f>
        <v>129</v>
      </c>
      <c r="D131">
        <f>'Raw Data'!K131</f>
        <v>176</v>
      </c>
      <c r="E131">
        <f>'Raw Data'!L131</f>
        <v>89</v>
      </c>
      <c r="F131">
        <f>'Raw Data'!M131</f>
        <v>99</v>
      </c>
      <c r="G131">
        <f>'Raw Data'!N131</f>
        <v>11</v>
      </c>
      <c r="H131">
        <f>'Raw Data'!O131</f>
        <v>84</v>
      </c>
      <c r="I131">
        <f>'Raw Data'!P131</f>
        <v>311.50000000000006</v>
      </c>
      <c r="J131" s="14">
        <f>'Raw Data'!Q131</f>
        <v>392.95031680410523</v>
      </c>
      <c r="K131" s="14">
        <f>'Raw Data'!R131</f>
        <v>312.9586904359125</v>
      </c>
      <c r="L131" s="14">
        <f>'Raw Data'!S131</f>
        <v>449.5300626371386</v>
      </c>
      <c r="M131" s="16"/>
      <c r="Q131" s="23">
        <f>(VLOOKUP(A131,FEDEX!$A:$H,7,FALSE))/(VLOOKUP(A131,FEDEX!$A:$D,4,FALSE))</f>
        <v>0</v>
      </c>
      <c r="R131" s="23" t="e">
        <f>(VLOOKUP(B131,FEDEX!$A:$H,8,FALSE))/(VLOOKUP(B131,FEDEX!$A:$D,4,FALSE))</f>
        <v>#N/A</v>
      </c>
      <c r="S131" s="16" t="e">
        <f>VLOOKUP(B131,SG!$A:$F,6,FALSE)</f>
        <v>#N/A</v>
      </c>
      <c r="V131" t="str">
        <f>FIELD!G131</f>
        <v>Carson Young</v>
      </c>
    </row>
    <row r="132" spans="1:22">
      <c r="A132" s="22" t="str">
        <f>'Raw Data'!I132</f>
        <v>Ben Griffin</v>
      </c>
      <c r="B132" s="137" t="str">
        <f t="shared" si="2"/>
        <v>Ben Griffin</v>
      </c>
      <c r="C132">
        <f>'Raw Data'!J132</f>
        <v>129</v>
      </c>
      <c r="D132">
        <f>'Raw Data'!K132</f>
        <v>154</v>
      </c>
      <c r="E132">
        <f>'Raw Data'!L132</f>
        <v>117</v>
      </c>
      <c r="F132">
        <f>'Raw Data'!M132</f>
        <v>13</v>
      </c>
      <c r="G132">
        <f>'Raw Data'!N132</f>
        <v>50</v>
      </c>
      <c r="H132">
        <f>'Raw Data'!O132</f>
        <v>69</v>
      </c>
      <c r="I132">
        <f>'Raw Data'!P132</f>
        <v>305.2</v>
      </c>
      <c r="J132" s="14">
        <f>'Raw Data'!Q132</f>
        <v>358.99245153738838</v>
      </c>
      <c r="K132" s="14">
        <f>'Raw Data'!R132</f>
        <v>276.70576941424622</v>
      </c>
      <c r="L132" s="14">
        <f>'Raw Data'!S132</f>
        <v>319.629119204593</v>
      </c>
      <c r="M132" s="16"/>
      <c r="Q132" s="23">
        <f>(VLOOKUP(A132,FEDEX!$A:$H,7,FALSE))/(VLOOKUP(A132,FEDEX!$A:$D,4,FALSE))</f>
        <v>0</v>
      </c>
      <c r="R132" s="23">
        <f>(VLOOKUP(B132,FEDEX!$A:$H,8,FALSE))/(VLOOKUP(B132,FEDEX!$A:$D,4,FALSE))</f>
        <v>0</v>
      </c>
      <c r="S132" s="16">
        <f>VLOOKUP(B132,SG!$A:$F,6,FALSE)</f>
        <v>53</v>
      </c>
      <c r="V132" t="str">
        <f>FIELD!G132</f>
        <v>Kevin Yu</v>
      </c>
    </row>
    <row r="133" spans="1:22">
      <c r="A133" s="22" t="str">
        <f>'Raw Data'!I133</f>
        <v>Lee Hodges</v>
      </c>
      <c r="B133" s="137" t="e">
        <f t="shared" si="2"/>
        <v>#N/A</v>
      </c>
      <c r="C133">
        <f>'Raw Data'!J133</f>
        <v>129</v>
      </c>
      <c r="D133">
        <f>'Raw Data'!K133</f>
        <v>24</v>
      </c>
      <c r="E133">
        <f>'Raw Data'!L133</f>
        <v>62</v>
      </c>
      <c r="F133">
        <f>'Raw Data'!M133</f>
        <v>167</v>
      </c>
      <c r="G133">
        <f>'Raw Data'!N133</f>
        <v>111</v>
      </c>
      <c r="H133">
        <f>'Raw Data'!O133</f>
        <v>139</v>
      </c>
      <c r="I133">
        <f>'Raw Data'!P133</f>
        <v>293.8</v>
      </c>
      <c r="J133" s="14">
        <f>'Raw Data'!Q133</f>
        <v>442.46782391616341</v>
      </c>
      <c r="K133" s="14">
        <f>'Raw Data'!R133</f>
        <v>284.33395712412567</v>
      </c>
      <c r="L133" s="14">
        <f>'Raw Data'!S133</f>
        <v>401.15211940443419</v>
      </c>
      <c r="M133" s="16"/>
      <c r="Q133" s="23">
        <f>(VLOOKUP(A133,FEDEX!$A:$H,7,FALSE))/(VLOOKUP(A133,FEDEX!$A:$D,4,FALSE))</f>
        <v>0</v>
      </c>
      <c r="R133" s="23" t="e">
        <f>(VLOOKUP(B133,FEDEX!$A:$H,8,FALSE))/(VLOOKUP(B133,FEDEX!$A:$D,4,FALSE))</f>
        <v>#N/A</v>
      </c>
      <c r="S133" s="16" t="e">
        <f>VLOOKUP(B133,SG!$A:$F,6,FALSE)</f>
        <v>#N/A</v>
      </c>
      <c r="V133" t="str">
        <f>FIELD!G133</f>
        <v>Carl Yuan</v>
      </c>
    </row>
    <row r="134" spans="1:22">
      <c r="A134" s="22" t="str">
        <f>'Raw Data'!I134</f>
        <v>Tom Kim</v>
      </c>
      <c r="B134" s="137" t="e">
        <f t="shared" si="2"/>
        <v>#N/A</v>
      </c>
      <c r="C134">
        <f>'Raw Data'!J134</f>
        <v>133</v>
      </c>
      <c r="D134">
        <f>'Raw Data'!K134</f>
        <v>18</v>
      </c>
      <c r="E134">
        <f>'Raw Data'!L134</f>
        <v>109</v>
      </c>
      <c r="F134">
        <f>'Raw Data'!M134</f>
        <v>103</v>
      </c>
      <c r="G134">
        <f>'Raw Data'!N134</f>
        <v>130</v>
      </c>
      <c r="H134">
        <f>'Raw Data'!O134</f>
        <v>143</v>
      </c>
      <c r="I134">
        <f>'Raw Data'!P134</f>
        <v>311.2</v>
      </c>
      <c r="J134" s="14">
        <f>'Raw Data'!Q134</f>
        <v>456.85730578386949</v>
      </c>
      <c r="K134" s="14">
        <f>'Raw Data'!R134</f>
        <v>251.68543021477115</v>
      </c>
      <c r="L134" s="14">
        <f>'Raw Data'!S134</f>
        <v>326.26840799906745</v>
      </c>
      <c r="M134" s="16"/>
      <c r="Q134" s="23">
        <f>(VLOOKUP(A134,FEDEX!$A:$H,7,FALSE))/(VLOOKUP(A134,FEDEX!$A:$D,4,FALSE))</f>
        <v>0</v>
      </c>
      <c r="R134" s="23" t="e">
        <f>(VLOOKUP(B134,FEDEX!$A:$H,8,FALSE))/(VLOOKUP(B134,FEDEX!$A:$D,4,FALSE))</f>
        <v>#N/A</v>
      </c>
      <c r="S134" s="16" t="e">
        <f>VLOOKUP(B134,SG!$A:$F,6,FALSE)</f>
        <v>#N/A</v>
      </c>
      <c r="V134">
        <f>FIELD!G134</f>
        <v>0</v>
      </c>
    </row>
    <row r="135" spans="1:22">
      <c r="A135" s="22" t="str">
        <f>'Raw Data'!I135</f>
        <v>Carson Young</v>
      </c>
      <c r="B135" s="137" t="str">
        <f t="shared" si="2"/>
        <v>Carson Young</v>
      </c>
      <c r="C135">
        <f>'Raw Data'!J135</f>
        <v>134</v>
      </c>
      <c r="D135">
        <f>'Raw Data'!K135</f>
        <v>60</v>
      </c>
      <c r="E135">
        <f>'Raw Data'!L135</f>
        <v>56</v>
      </c>
      <c r="F135">
        <f>'Raw Data'!M135</f>
        <v>155</v>
      </c>
      <c r="G135">
        <f>'Raw Data'!N135</f>
        <v>102</v>
      </c>
      <c r="H135">
        <f>'Raw Data'!O135</f>
        <v>102</v>
      </c>
      <c r="I135">
        <f>'Raw Data'!P135</f>
        <v>302.8</v>
      </c>
      <c r="J135" s="14">
        <f>'Raw Data'!Q135</f>
        <v>409.57879322494222</v>
      </c>
      <c r="K135" s="14">
        <f>'Raw Data'!R135</f>
        <v>309.02946621454385</v>
      </c>
      <c r="L135" s="14">
        <f>'Raw Data'!S135</f>
        <v>431.01861610491261</v>
      </c>
      <c r="M135" s="16"/>
      <c r="Q135" s="23">
        <f>(VLOOKUP(A135,FEDEX!$A:$H,7,FALSE))/(VLOOKUP(A135,FEDEX!$A:$D,4,FALSE))</f>
        <v>0</v>
      </c>
      <c r="R135" s="23">
        <f>(VLOOKUP(B135,FEDEX!$A:$H,8,FALSE))/(VLOOKUP(B135,FEDEX!$A:$D,4,FALSE))</f>
        <v>0</v>
      </c>
      <c r="S135" s="16">
        <f>VLOOKUP(B135,SG!$A:$F,6,FALSE)</f>
        <v>-45</v>
      </c>
      <c r="V135">
        <f>FIELD!G135</f>
        <v>0</v>
      </c>
    </row>
    <row r="136" spans="1:22">
      <c r="A136" s="22" t="str">
        <f>'Raw Data'!I136</f>
        <v>Alex Noren</v>
      </c>
      <c r="B136" s="137" t="str">
        <f t="shared" si="2"/>
        <v>Alex Noren</v>
      </c>
      <c r="C136">
        <f>'Raw Data'!J136</f>
        <v>135</v>
      </c>
      <c r="D136">
        <f>'Raw Data'!K136</f>
        <v>62</v>
      </c>
      <c r="E136">
        <f>'Raw Data'!L136</f>
        <v>46</v>
      </c>
      <c r="F136">
        <f>'Raw Data'!M136</f>
        <v>18</v>
      </c>
      <c r="G136">
        <f>'Raw Data'!N136</f>
        <v>63</v>
      </c>
      <c r="H136">
        <f>'Raw Data'!O136</f>
        <v>9</v>
      </c>
      <c r="I136">
        <f>'Raw Data'!P136</f>
        <v>223.39999999999998</v>
      </c>
      <c r="J136" s="14">
        <f>'Raw Data'!Q136</f>
        <v>206.78035977240245</v>
      </c>
      <c r="K136" s="14">
        <f>'Raw Data'!R136</f>
        <v>226.53017806482865</v>
      </c>
      <c r="L136" s="14">
        <f>'Raw Data'!S136</f>
        <v>239.16472395660691</v>
      </c>
      <c r="M136" s="16"/>
      <c r="Q136" s="23">
        <f>(VLOOKUP(A136,FEDEX!$A:$H,7,FALSE))/(VLOOKUP(A136,FEDEX!$A:$D,4,FALSE))</f>
        <v>0</v>
      </c>
      <c r="R136" s="23">
        <f>(VLOOKUP(B136,FEDEX!$A:$H,8,FALSE))/(VLOOKUP(B136,FEDEX!$A:$D,4,FALSE))</f>
        <v>0</v>
      </c>
      <c r="S136" s="16">
        <f>VLOOKUP(B136,SG!$A:$F,6,FALSE)</f>
        <v>35</v>
      </c>
      <c r="V136">
        <f>FIELD!G136</f>
        <v>0</v>
      </c>
    </row>
    <row r="137" spans="1:22">
      <c r="A137" s="22" t="str">
        <f>'Raw Data'!I137</f>
        <v>Tom Hoge</v>
      </c>
      <c r="B137" s="137" t="e">
        <f t="shared" si="2"/>
        <v>#N/A</v>
      </c>
      <c r="C137">
        <f>'Raw Data'!J137</f>
        <v>136</v>
      </c>
      <c r="D137">
        <f>'Raw Data'!K137</f>
        <v>104</v>
      </c>
      <c r="E137">
        <f>'Raw Data'!L137</f>
        <v>2</v>
      </c>
      <c r="F137">
        <f>'Raw Data'!M137</f>
        <v>168</v>
      </c>
      <c r="G137">
        <f>'Raw Data'!N137</f>
        <v>26</v>
      </c>
      <c r="H137">
        <f>'Raw Data'!O137</f>
        <v>19</v>
      </c>
      <c r="I137">
        <f>'Raw Data'!P137</f>
        <v>256</v>
      </c>
      <c r="J137" s="14">
        <f>'Raw Data'!Q137</f>
        <v>272.52870113847928</v>
      </c>
      <c r="K137" s="14">
        <f>'Raw Data'!R137</f>
        <v>265.2069108102005</v>
      </c>
      <c r="L137" s="14">
        <f>'Raw Data'!S137</f>
        <v>300.20662008738543</v>
      </c>
      <c r="M137" s="16"/>
      <c r="Q137" s="23">
        <f>(VLOOKUP(A137,FEDEX!$A:$H,7,FALSE))/(VLOOKUP(A137,FEDEX!$A:$D,4,FALSE))</f>
        <v>0</v>
      </c>
      <c r="R137" s="23" t="e">
        <f>(VLOOKUP(B137,FEDEX!$A:$H,8,FALSE))/(VLOOKUP(B137,FEDEX!$A:$D,4,FALSE))</f>
        <v>#N/A</v>
      </c>
      <c r="S137" s="16" t="e">
        <f>VLOOKUP(B137,SG!$A:$F,6,FALSE)</f>
        <v>#N/A</v>
      </c>
      <c r="V137">
        <f>FIELD!G137</f>
        <v>0</v>
      </c>
    </row>
    <row r="138" spans="1:22">
      <c r="A138" s="22" t="str">
        <f>'Raw Data'!I138</f>
        <v>Peter Malnati</v>
      </c>
      <c r="B138" s="137" t="e">
        <f t="shared" si="2"/>
        <v>#N/A</v>
      </c>
      <c r="C138">
        <f>'Raw Data'!J138</f>
        <v>137</v>
      </c>
      <c r="D138">
        <f>'Raw Data'!K138</f>
        <v>127</v>
      </c>
      <c r="E138">
        <f>'Raw Data'!L138</f>
        <v>58</v>
      </c>
      <c r="F138">
        <f>'Raw Data'!M138</f>
        <v>78</v>
      </c>
      <c r="G138">
        <f>'Raw Data'!N138</f>
        <v>4</v>
      </c>
      <c r="H138">
        <f>'Raw Data'!O138</f>
        <v>42</v>
      </c>
      <c r="I138">
        <f>'Raw Data'!P138</f>
        <v>260.60000000000002</v>
      </c>
      <c r="J138" s="14">
        <f>'Raw Data'!Q138</f>
        <v>289.04579500680904</v>
      </c>
      <c r="K138" s="14">
        <f>'Raw Data'!R138</f>
        <v>310.12683056521638</v>
      </c>
      <c r="L138" s="14">
        <f>'Raw Data'!S138</f>
        <v>383.10787122371346</v>
      </c>
      <c r="M138" s="16"/>
      <c r="Q138" s="23">
        <f>(VLOOKUP(A138,FEDEX!$A:$H,7,FALSE))/(VLOOKUP(A138,FEDEX!$A:$D,4,FALSE))</f>
        <v>0</v>
      </c>
      <c r="R138" s="23" t="e">
        <f>(VLOOKUP(B138,FEDEX!$A:$H,8,FALSE))/(VLOOKUP(B138,FEDEX!$A:$D,4,FALSE))</f>
        <v>#N/A</v>
      </c>
      <c r="S138" s="16" t="e">
        <f>VLOOKUP(B138,SG!$A:$F,6,FALSE)</f>
        <v>#N/A</v>
      </c>
      <c r="V138">
        <f>FIELD!G138</f>
        <v>0</v>
      </c>
    </row>
    <row r="139" spans="1:22">
      <c r="A139" s="22" t="str">
        <f>'Raw Data'!I139</f>
        <v>Nate Lashley</v>
      </c>
      <c r="B139" s="137" t="str">
        <f t="shared" si="2"/>
        <v>Nate Lashley</v>
      </c>
      <c r="C139">
        <f>'Raw Data'!J139</f>
        <v>138</v>
      </c>
      <c r="D139">
        <f>'Raw Data'!K139</f>
        <v>35</v>
      </c>
      <c r="E139">
        <f>'Raw Data'!L139</f>
        <v>42</v>
      </c>
      <c r="F139">
        <f>'Raw Data'!M139</f>
        <v>34</v>
      </c>
      <c r="G139">
        <f>'Raw Data'!N139</f>
        <v>91</v>
      </c>
      <c r="H139">
        <f>'Raw Data'!O139</f>
        <v>39</v>
      </c>
      <c r="I139">
        <f>'Raw Data'!P139</f>
        <v>230.2</v>
      </c>
      <c r="J139" s="14">
        <f>'Raw Data'!Q139</f>
        <v>246.05389661147191</v>
      </c>
      <c r="K139" s="14">
        <f>'Raw Data'!R139</f>
        <v>245.38754159744161</v>
      </c>
      <c r="L139" s="14">
        <f>'Raw Data'!S139</f>
        <v>284.51204078752414</v>
      </c>
      <c r="M139" s="16"/>
      <c r="Q139" s="23">
        <f>(VLOOKUP(A139,FEDEX!$A:$H,7,FALSE))/(VLOOKUP(A139,FEDEX!$A:$D,4,FALSE))</f>
        <v>0</v>
      </c>
      <c r="R139" s="23">
        <f>(VLOOKUP(B139,FEDEX!$A:$H,8,FALSE))/(VLOOKUP(B139,FEDEX!$A:$D,4,FALSE))</f>
        <v>0</v>
      </c>
      <c r="S139" s="16">
        <f>VLOOKUP(B139,SG!$A:$F,6,FALSE)</f>
        <v>80</v>
      </c>
      <c r="V139">
        <f>FIELD!G139</f>
        <v>0</v>
      </c>
    </row>
    <row r="140" spans="1:22">
      <c r="A140" s="22" t="str">
        <f>'Raw Data'!I140</f>
        <v>J.J. Spaun</v>
      </c>
      <c r="B140" s="137" t="e">
        <f t="shared" si="2"/>
        <v>#N/A</v>
      </c>
      <c r="C140">
        <f>'Raw Data'!J140</f>
        <v>139</v>
      </c>
      <c r="D140">
        <f>'Raw Data'!K140</f>
        <v>121</v>
      </c>
      <c r="E140">
        <f>'Raw Data'!L140</f>
        <v>84</v>
      </c>
      <c r="F140">
        <f>'Raw Data'!M140</f>
        <v>132</v>
      </c>
      <c r="G140">
        <f>'Raw Data'!N140</f>
        <v>147</v>
      </c>
      <c r="H140">
        <f>'Raw Data'!O140</f>
        <v>153</v>
      </c>
      <c r="I140">
        <f>'Raw Data'!P140</f>
        <v>370.70000000000005</v>
      </c>
      <c r="J140" s="14">
        <f>'Raw Data'!Q140</f>
        <v>527.32776580594532</v>
      </c>
      <c r="K140" s="14">
        <f>'Raw Data'!R140</f>
        <v>307.01529167445671</v>
      </c>
      <c r="L140" s="14">
        <f>'Raw Data'!S140</f>
        <v>402.20080450070543</v>
      </c>
      <c r="M140" s="16"/>
      <c r="Q140" s="23">
        <f>(VLOOKUP(A140,FEDEX!$A:$H,7,FALSE))/(VLOOKUP(A140,FEDEX!$A:$D,4,FALSE))</f>
        <v>0</v>
      </c>
      <c r="R140" s="23" t="e">
        <f>(VLOOKUP(B140,FEDEX!$A:$H,8,FALSE))/(VLOOKUP(B140,FEDEX!$A:$D,4,FALSE))</f>
        <v>#N/A</v>
      </c>
      <c r="S140" s="16" t="e">
        <f>VLOOKUP(B140,SG!$A:$F,6,FALSE)</f>
        <v>#N/A</v>
      </c>
      <c r="V140">
        <f>FIELD!G140</f>
        <v>0</v>
      </c>
    </row>
    <row r="141" spans="1:22">
      <c r="A141" s="22" t="str">
        <f>'Raw Data'!I141</f>
        <v>Matt NeSmith</v>
      </c>
      <c r="B141" s="137" t="str">
        <f t="shared" si="2"/>
        <v>Matt NeSmith</v>
      </c>
      <c r="C141">
        <f>'Raw Data'!J141</f>
        <v>140</v>
      </c>
      <c r="D141">
        <f>'Raw Data'!K141</f>
        <v>105</v>
      </c>
      <c r="E141">
        <f>'Raw Data'!L141</f>
        <v>139</v>
      </c>
      <c r="F141">
        <f>'Raw Data'!M141</f>
        <v>149</v>
      </c>
      <c r="G141">
        <f>'Raw Data'!N141</f>
        <v>157</v>
      </c>
      <c r="H141">
        <f>'Raw Data'!O141</f>
        <v>164</v>
      </c>
      <c r="I141">
        <f>'Raw Data'!P141</f>
        <v>413.90000000000003</v>
      </c>
      <c r="J141" s="14">
        <f>'Raw Data'!Q141</f>
        <v>592.77589391926722</v>
      </c>
      <c r="K141" s="14">
        <f>'Raw Data'!R141</f>
        <v>353.20131680208931</v>
      </c>
      <c r="L141" s="14">
        <f>'Raw Data'!S141</f>
        <v>491.25845980193446</v>
      </c>
      <c r="M141" s="16"/>
      <c r="Q141" s="23">
        <f>(VLOOKUP(A141,FEDEX!$A:$H,7,FALSE))/(VLOOKUP(A141,FEDEX!$A:$D,4,FALSE))</f>
        <v>0</v>
      </c>
      <c r="R141" s="23">
        <f>(VLOOKUP(B141,FEDEX!$A:$H,8,FALSE))/(VLOOKUP(B141,FEDEX!$A:$D,4,FALSE))</f>
        <v>0</v>
      </c>
      <c r="S141" s="16">
        <f>VLOOKUP(B141,SG!$A:$F,6,FALSE)</f>
        <v>1</v>
      </c>
      <c r="V141">
        <f>FIELD!G141</f>
        <v>0</v>
      </c>
    </row>
    <row r="142" spans="1:22">
      <c r="A142" s="22" t="str">
        <f>'Raw Data'!I142</f>
        <v>Robby Shelton</v>
      </c>
      <c r="B142" s="137" t="e">
        <f t="shared" si="2"/>
        <v>#N/A</v>
      </c>
      <c r="C142">
        <f>'Raw Data'!J142</f>
        <v>140</v>
      </c>
      <c r="D142">
        <f>'Raw Data'!K142</f>
        <v>114</v>
      </c>
      <c r="E142">
        <f>'Raw Data'!L142</f>
        <v>79</v>
      </c>
      <c r="F142">
        <f>'Raw Data'!M142</f>
        <v>19</v>
      </c>
      <c r="G142">
        <f>'Raw Data'!N142</f>
        <v>118</v>
      </c>
      <c r="H142">
        <f>'Raw Data'!O142</f>
        <v>131</v>
      </c>
      <c r="I142">
        <f>'Raw Data'!P142</f>
        <v>304.89999999999998</v>
      </c>
      <c r="J142" s="14">
        <f>'Raw Data'!Q142</f>
        <v>414.94307954654863</v>
      </c>
      <c r="K142" s="14">
        <f>'Raw Data'!R142</f>
        <v>312.1076468598028</v>
      </c>
      <c r="L142" s="14">
        <f>'Raw Data'!S142</f>
        <v>413.62612596104327</v>
      </c>
      <c r="M142" s="16"/>
      <c r="Q142" s="23">
        <f>(VLOOKUP(A142,FEDEX!$A:$H,7,FALSE))/(VLOOKUP(A142,FEDEX!$A:$D,4,FALSE))</f>
        <v>0</v>
      </c>
      <c r="R142" s="23" t="e">
        <f>(VLOOKUP(B142,FEDEX!$A:$H,8,FALSE))/(VLOOKUP(B142,FEDEX!$A:$D,4,FALSE))</f>
        <v>#N/A</v>
      </c>
      <c r="S142" s="16" t="e">
        <f>VLOOKUP(B142,SG!$A:$F,6,FALSE)</f>
        <v>#N/A</v>
      </c>
      <c r="V142">
        <f>FIELD!G142</f>
        <v>0</v>
      </c>
    </row>
    <row r="143" spans="1:22">
      <c r="A143" s="22" t="str">
        <f>'Raw Data'!I143</f>
        <v>Doug Ghim</v>
      </c>
      <c r="B143" s="137" t="str">
        <f t="shared" si="2"/>
        <v>Doug Ghim</v>
      </c>
      <c r="C143">
        <f>'Raw Data'!J143</f>
        <v>142</v>
      </c>
      <c r="D143">
        <f>'Raw Data'!K143</f>
        <v>41</v>
      </c>
      <c r="E143">
        <f>'Raw Data'!L143</f>
        <v>35</v>
      </c>
      <c r="F143">
        <f>'Raw Data'!M143</f>
        <v>74</v>
      </c>
      <c r="G143">
        <f>'Raw Data'!N143</f>
        <v>80</v>
      </c>
      <c r="H143">
        <f>'Raw Data'!O143</f>
        <v>16</v>
      </c>
      <c r="I143">
        <f>'Raw Data'!P143</f>
        <v>242.4</v>
      </c>
      <c r="J143" s="14">
        <f>'Raw Data'!Q143</f>
        <v>241.05447614014031</v>
      </c>
      <c r="K143" s="14">
        <f>'Raw Data'!R143</f>
        <v>255.42524753950079</v>
      </c>
      <c r="L143" s="14">
        <f>'Raw Data'!S143</f>
        <v>292.61077479528217</v>
      </c>
      <c r="M143" s="16"/>
      <c r="Q143" s="23">
        <f>(VLOOKUP(A143,FEDEX!$A:$H,7,FALSE))/(VLOOKUP(A143,FEDEX!$A:$D,4,FALSE))</f>
        <v>0</v>
      </c>
      <c r="R143" s="23">
        <f>(VLOOKUP(B143,FEDEX!$A:$H,8,FALSE))/(VLOOKUP(B143,FEDEX!$A:$D,4,FALSE))</f>
        <v>0</v>
      </c>
      <c r="S143" s="16">
        <f>VLOOKUP(B143,SG!$A:$F,6,FALSE)</f>
        <v>-10</v>
      </c>
      <c r="V143">
        <f>FIELD!G143</f>
        <v>0</v>
      </c>
    </row>
    <row r="144" spans="1:22">
      <c r="A144" s="22" t="str">
        <f>'Raw Data'!I144</f>
        <v>Sungjae Im</v>
      </c>
      <c r="B144" s="137" t="e">
        <f t="shared" si="2"/>
        <v>#N/A</v>
      </c>
      <c r="C144">
        <f>'Raw Data'!J144</f>
        <v>142</v>
      </c>
      <c r="D144">
        <f>'Raw Data'!K144</f>
        <v>52</v>
      </c>
      <c r="E144">
        <f>'Raw Data'!L144</f>
        <v>134</v>
      </c>
      <c r="F144">
        <f>'Raw Data'!M144</f>
        <v>98</v>
      </c>
      <c r="G144">
        <f>'Raw Data'!N144</f>
        <v>125</v>
      </c>
      <c r="H144">
        <f>'Raw Data'!O144</f>
        <v>113</v>
      </c>
      <c r="I144">
        <f>'Raw Data'!P144</f>
        <v>349.3</v>
      </c>
      <c r="J144" s="14">
        <f>'Raw Data'!Q144</f>
        <v>464.89790392237865</v>
      </c>
      <c r="K144" s="14">
        <f>'Raw Data'!R144</f>
        <v>286.79254066155784</v>
      </c>
      <c r="L144" s="14">
        <f>'Raw Data'!S144</f>
        <v>346.79388447854012</v>
      </c>
      <c r="M144" s="16"/>
      <c r="Q144" s="23">
        <f>(VLOOKUP(A144,FEDEX!$A:$H,7,FALSE))/(VLOOKUP(A144,FEDEX!$A:$D,4,FALSE))</f>
        <v>0</v>
      </c>
      <c r="R144" s="23" t="e">
        <f>(VLOOKUP(B144,FEDEX!$A:$H,8,FALSE))/(VLOOKUP(B144,FEDEX!$A:$D,4,FALSE))</f>
        <v>#N/A</v>
      </c>
      <c r="S144" s="16" t="e">
        <f>VLOOKUP(B144,SG!$A:$F,6,FALSE)</f>
        <v>#N/A</v>
      </c>
      <c r="V144">
        <f>FIELD!G144</f>
        <v>0</v>
      </c>
    </row>
    <row r="145" spans="1:22">
      <c r="A145" s="22" t="str">
        <f>'Raw Data'!I145</f>
        <v>Aaron Rai</v>
      </c>
      <c r="B145" s="137" t="str">
        <f t="shared" si="2"/>
        <v>Aaron Rai</v>
      </c>
      <c r="C145">
        <f>'Raw Data'!J145</f>
        <v>144</v>
      </c>
      <c r="D145">
        <f>'Raw Data'!K145</f>
        <v>30</v>
      </c>
      <c r="E145">
        <f>'Raw Data'!L145</f>
        <v>28</v>
      </c>
      <c r="F145">
        <f>'Raw Data'!M145</f>
        <v>94</v>
      </c>
      <c r="G145">
        <f>'Raw Data'!N145</f>
        <v>107</v>
      </c>
      <c r="H145">
        <f>'Raw Data'!O145</f>
        <v>43</v>
      </c>
      <c r="I145">
        <f>'Raw Data'!P145</f>
        <v>255.29999999999998</v>
      </c>
      <c r="J145" s="14">
        <f>'Raw Data'!Q145</f>
        <v>284.05611989986676</v>
      </c>
      <c r="K145" s="14">
        <f>'Raw Data'!R145</f>
        <v>258.64640747062271</v>
      </c>
      <c r="L145" s="14">
        <f>'Raw Data'!S145</f>
        <v>286.02062509326731</v>
      </c>
      <c r="M145" s="16"/>
      <c r="Q145" s="23">
        <f>(VLOOKUP(A145,FEDEX!$A:$H,7,FALSE))/(VLOOKUP(A145,FEDEX!$A:$D,4,FALSE))</f>
        <v>0</v>
      </c>
      <c r="R145" s="23">
        <f>(VLOOKUP(B145,FEDEX!$A:$H,8,FALSE))/(VLOOKUP(B145,FEDEX!$A:$D,4,FALSE))</f>
        <v>0</v>
      </c>
      <c r="S145" s="16">
        <f>VLOOKUP(B145,SG!$A:$F,6,FALSE)</f>
        <v>16</v>
      </c>
      <c r="V145">
        <f>FIELD!G145</f>
        <v>0</v>
      </c>
    </row>
    <row r="146" spans="1:22">
      <c r="A146" s="22" t="str">
        <f>'Raw Data'!I146</f>
        <v>Mark Hubbard</v>
      </c>
      <c r="B146" s="137" t="str">
        <f t="shared" si="2"/>
        <v>Mark Hubbard</v>
      </c>
      <c r="C146">
        <f>'Raw Data'!J146</f>
        <v>145</v>
      </c>
      <c r="D146">
        <f>'Raw Data'!K146</f>
        <v>69</v>
      </c>
      <c r="E146">
        <f>'Raw Data'!L146</f>
        <v>29</v>
      </c>
      <c r="F146">
        <f>'Raw Data'!M146</f>
        <v>58</v>
      </c>
      <c r="G146">
        <f>'Raw Data'!N146</f>
        <v>72</v>
      </c>
      <c r="H146">
        <f>'Raw Data'!O146</f>
        <v>40</v>
      </c>
      <c r="I146">
        <f>'Raw Data'!P146</f>
        <v>244.5</v>
      </c>
      <c r="J146" s="14">
        <f>'Raw Data'!Q146</f>
        <v>262.02895003919974</v>
      </c>
      <c r="K146" s="14">
        <f>'Raw Data'!R146</f>
        <v>253.35510899918631</v>
      </c>
      <c r="L146" s="14">
        <f>'Raw Data'!S146</f>
        <v>270.52114625644691</v>
      </c>
      <c r="M146" s="16"/>
      <c r="Q146" s="23">
        <f>(VLOOKUP(A146,FEDEX!$A:$H,7,FALSE))/(VLOOKUP(A146,FEDEX!$A:$D,4,FALSE))</f>
        <v>0</v>
      </c>
      <c r="R146" s="23">
        <f>(VLOOKUP(B146,FEDEX!$A:$H,8,FALSE))/(VLOOKUP(B146,FEDEX!$A:$D,4,FALSE))</f>
        <v>0</v>
      </c>
      <c r="S146" s="16">
        <f>VLOOKUP(B146,SG!$A:$F,6,FALSE)</f>
        <v>26</v>
      </c>
      <c r="V146">
        <f>FIELD!G146</f>
        <v>0</v>
      </c>
    </row>
    <row r="147" spans="1:22">
      <c r="A147" s="22" t="str">
        <f>'Raw Data'!I147</f>
        <v>Dylan Wu</v>
      </c>
      <c r="B147" s="137" t="e">
        <f t="shared" si="2"/>
        <v>#N/A</v>
      </c>
      <c r="C147">
        <f>'Raw Data'!J147</f>
        <v>145</v>
      </c>
      <c r="D147">
        <f>'Raw Data'!K147</f>
        <v>91</v>
      </c>
      <c r="E147">
        <f>'Raw Data'!L147</f>
        <v>43</v>
      </c>
      <c r="F147">
        <f>'Raw Data'!M147</f>
        <v>64</v>
      </c>
      <c r="G147">
        <f>'Raw Data'!N147</f>
        <v>98</v>
      </c>
      <c r="H147">
        <f>'Raw Data'!O147</f>
        <v>79</v>
      </c>
      <c r="I147">
        <f>'Raw Data'!P147</f>
        <v>280.7</v>
      </c>
      <c r="J147" s="14">
        <f>'Raw Data'!Q147</f>
        <v>340.9813839003142</v>
      </c>
      <c r="K147" s="14">
        <f>'Raw Data'!R147</f>
        <v>266.02729032111574</v>
      </c>
      <c r="L147" s="14">
        <f>'Raw Data'!S147</f>
        <v>320.73945717053533</v>
      </c>
      <c r="M147" s="16"/>
      <c r="Q147" s="23">
        <f>(VLOOKUP(A147,FEDEX!$A:$H,7,FALSE))/(VLOOKUP(A147,FEDEX!$A:$D,4,FALSE))</f>
        <v>0</v>
      </c>
      <c r="R147" s="23" t="e">
        <f>(VLOOKUP(B147,FEDEX!$A:$H,8,FALSE))/(VLOOKUP(B147,FEDEX!$A:$D,4,FALSE))</f>
        <v>#N/A</v>
      </c>
      <c r="S147" s="16" t="e">
        <f>VLOOKUP(B147,SG!$A:$F,6,FALSE)</f>
        <v>#N/A</v>
      </c>
      <c r="V147">
        <f>FIELD!G147</f>
        <v>0</v>
      </c>
    </row>
    <row r="148" spans="1:22">
      <c r="A148" s="22" t="str">
        <f>'Raw Data'!I148</f>
        <v>Daniel Berger</v>
      </c>
      <c r="B148" s="137" t="str">
        <f t="shared" si="2"/>
        <v>Daniel Berger</v>
      </c>
      <c r="C148">
        <f>'Raw Data'!J148</f>
        <v>147</v>
      </c>
      <c r="D148">
        <f>'Raw Data'!K148</f>
        <v>23</v>
      </c>
      <c r="E148">
        <f>'Raw Data'!L148</f>
        <v>67</v>
      </c>
      <c r="F148">
        <f>'Raw Data'!M148</f>
        <v>134</v>
      </c>
      <c r="G148">
        <f>'Raw Data'!N148</f>
        <v>182</v>
      </c>
      <c r="H148">
        <f>'Raw Data'!O148</f>
        <v>154</v>
      </c>
      <c r="I148">
        <f>'Raw Data'!P148</f>
        <v>335.3</v>
      </c>
      <c r="J148" s="14">
        <f>'Raw Data'!Q148</f>
        <v>489.5253541026492</v>
      </c>
      <c r="K148" s="14" t="e">
        <f>'Raw Data'!R148</f>
        <v>#N/A</v>
      </c>
      <c r="L148" s="14" t="e">
        <f>'Raw Data'!S148</f>
        <v>#N/A</v>
      </c>
      <c r="M148" s="16"/>
      <c r="Q148" s="23">
        <f>(VLOOKUP(A148,FEDEX!$A:$H,7,FALSE))/(VLOOKUP(A148,FEDEX!$A:$D,4,FALSE))</f>
        <v>0</v>
      </c>
      <c r="R148" s="23">
        <f>(VLOOKUP(B148,FEDEX!$A:$H,8,FALSE))/(VLOOKUP(B148,FEDEX!$A:$D,4,FALSE))</f>
        <v>0</v>
      </c>
      <c r="S148" s="16">
        <f>VLOOKUP(B148,SG!$A:$F,6,FALSE)</f>
        <v>-12</v>
      </c>
      <c r="V148">
        <f>FIELD!G148</f>
        <v>0</v>
      </c>
    </row>
    <row r="149" spans="1:22">
      <c r="A149" s="22" t="str">
        <f>'Raw Data'!I149</f>
        <v>Ben Martin</v>
      </c>
      <c r="B149" s="137" t="str">
        <f t="shared" si="2"/>
        <v>Ben Martin</v>
      </c>
      <c r="C149">
        <f>'Raw Data'!J149</f>
        <v>148</v>
      </c>
      <c r="D149">
        <f>'Raw Data'!K149</f>
        <v>110</v>
      </c>
      <c r="E149">
        <f>'Raw Data'!L149</f>
        <v>20</v>
      </c>
      <c r="F149">
        <f>'Raw Data'!M149</f>
        <v>150</v>
      </c>
      <c r="G149">
        <f>'Raw Data'!N149</f>
        <v>65</v>
      </c>
      <c r="H149">
        <f>'Raw Data'!O149</f>
        <v>60</v>
      </c>
      <c r="I149">
        <f>'Raw Data'!P149</f>
        <v>294.70000000000005</v>
      </c>
      <c r="J149" s="14">
        <f>'Raw Data'!Q149</f>
        <v>348.65652127775888</v>
      </c>
      <c r="K149" s="14">
        <f>'Raw Data'!R149</f>
        <v>304.80786666767585</v>
      </c>
      <c r="L149" s="14">
        <f>'Raw Data'!S149</f>
        <v>383.97373756980755</v>
      </c>
      <c r="M149" s="16"/>
      <c r="Q149" s="23">
        <f>(VLOOKUP(A149,FEDEX!$A:$H,7,FALSE))/(VLOOKUP(A149,FEDEX!$A:$D,4,FALSE))</f>
        <v>0</v>
      </c>
      <c r="R149" s="23">
        <f>(VLOOKUP(B149,FEDEX!$A:$H,8,FALSE))/(VLOOKUP(B149,FEDEX!$A:$D,4,FALSE))</f>
        <v>0</v>
      </c>
      <c r="S149" s="16">
        <f>VLOOKUP(B149,SG!$A:$F,6,FALSE)</f>
        <v>68</v>
      </c>
      <c r="V149">
        <f>FIELD!G149</f>
        <v>0</v>
      </c>
    </row>
    <row r="150" spans="1:22">
      <c r="A150" s="22" t="str">
        <f>'Raw Data'!I150</f>
        <v>Roger Sloan</v>
      </c>
      <c r="B150" s="137" t="str">
        <f t="shared" si="2"/>
        <v>Roger Sloan</v>
      </c>
      <c r="C150">
        <f>'Raw Data'!J150</f>
        <v>148</v>
      </c>
      <c r="D150">
        <f>'Raw Data'!K150</f>
        <v>88</v>
      </c>
      <c r="E150">
        <f>'Raw Data'!L150</f>
        <v>101</v>
      </c>
      <c r="F150">
        <f>'Raw Data'!M150</f>
        <v>2</v>
      </c>
      <c r="G150">
        <f>'Raw Data'!N150</f>
        <v>126</v>
      </c>
      <c r="H150">
        <f>'Raw Data'!O150</f>
        <v>95</v>
      </c>
      <c r="I150">
        <f>'Raw Data'!P150</f>
        <v>311.70000000000005</v>
      </c>
      <c r="J150" s="14">
        <f>'Raw Data'!Q150</f>
        <v>383.40987820369099</v>
      </c>
      <c r="K150" s="14">
        <f>'Raw Data'!R150</f>
        <v>357.40162941033532</v>
      </c>
      <c r="L150" s="14">
        <f>'Raw Data'!S150</f>
        <v>478.27810201609202</v>
      </c>
      <c r="M150" s="16"/>
      <c r="Q150" s="23">
        <f>(VLOOKUP(A150,FEDEX!$A:$H,7,FALSE))/(VLOOKUP(A150,FEDEX!$A:$D,4,FALSE))</f>
        <v>0</v>
      </c>
      <c r="R150" s="23">
        <f>(VLOOKUP(B150,FEDEX!$A:$H,8,FALSE))/(VLOOKUP(B150,FEDEX!$A:$D,4,FALSE))</f>
        <v>0</v>
      </c>
      <c r="S150" s="16" t="e">
        <f>VLOOKUP(B150,SG!$A:$F,6,FALSE)</f>
        <v>#N/A</v>
      </c>
      <c r="V150">
        <f>FIELD!G150</f>
        <v>0</v>
      </c>
    </row>
    <row r="151" spans="1:22">
      <c r="A151" s="22" t="str">
        <f>'Raw Data'!I151</f>
        <v>Greyson Sigg</v>
      </c>
      <c r="B151" s="137" t="str">
        <f t="shared" si="2"/>
        <v>Greyson Sigg</v>
      </c>
      <c r="C151">
        <f>'Raw Data'!J151</f>
        <v>150</v>
      </c>
      <c r="D151">
        <f>'Raw Data'!K151</f>
        <v>72</v>
      </c>
      <c r="E151">
        <f>'Raw Data'!L151</f>
        <v>32</v>
      </c>
      <c r="F151">
        <f>'Raw Data'!M151</f>
        <v>56</v>
      </c>
      <c r="G151">
        <f>'Raw Data'!N151</f>
        <v>170</v>
      </c>
      <c r="H151">
        <f>'Raw Data'!O151</f>
        <v>104</v>
      </c>
      <c r="I151">
        <f>'Raw Data'!P151</f>
        <v>300.8</v>
      </c>
      <c r="J151" s="14">
        <f>'Raw Data'!Q151</f>
        <v>383.05331867077564</v>
      </c>
      <c r="K151" s="14">
        <f>'Raw Data'!R151</f>
        <v>293.69531952390867</v>
      </c>
      <c r="L151" s="14">
        <f>'Raw Data'!S151</f>
        <v>362.40959314243275</v>
      </c>
      <c r="M151" s="16"/>
      <c r="Q151" s="23">
        <f>(VLOOKUP(A151,FEDEX!$A:$H,7,FALSE))/(VLOOKUP(A151,FEDEX!$A:$D,4,FALSE))</f>
        <v>0</v>
      </c>
      <c r="R151" s="23">
        <f>(VLOOKUP(B151,FEDEX!$A:$H,8,FALSE))/(VLOOKUP(B151,FEDEX!$A:$D,4,FALSE))</f>
        <v>0</v>
      </c>
      <c r="S151" s="16">
        <f>VLOOKUP(B151,SG!$A:$F,6,FALSE)</f>
        <v>9</v>
      </c>
      <c r="V151">
        <f>FIELD!G151</f>
        <v>0</v>
      </c>
    </row>
    <row r="152" spans="1:22">
      <c r="A152" s="22" t="str">
        <f>'Raw Data'!I152</f>
        <v>Sepp Straka</v>
      </c>
      <c r="B152" s="137" t="e">
        <f t="shared" si="2"/>
        <v>#N/A</v>
      </c>
      <c r="C152">
        <f>'Raw Data'!J152</f>
        <v>151</v>
      </c>
      <c r="D152">
        <f>'Raw Data'!K152</f>
        <v>4</v>
      </c>
      <c r="E152">
        <f>'Raw Data'!L152</f>
        <v>137</v>
      </c>
      <c r="F152">
        <f>'Raw Data'!M152</f>
        <v>131</v>
      </c>
      <c r="G152">
        <f>'Raw Data'!N152</f>
        <v>127</v>
      </c>
      <c r="H152">
        <f>'Raw Data'!O152</f>
        <v>132</v>
      </c>
      <c r="I152">
        <f>'Raw Data'!P152</f>
        <v>349.70000000000005</v>
      </c>
      <c r="J152" s="14">
        <f>'Raw Data'!Q152</f>
        <v>489.04043713601629</v>
      </c>
      <c r="K152" s="14">
        <f>'Raw Data'!R152</f>
        <v>282.77528280033584</v>
      </c>
      <c r="L152" s="14">
        <f>'Raw Data'!S152</f>
        <v>385.02465011005734</v>
      </c>
      <c r="M152" s="16"/>
      <c r="Q152" s="23">
        <f>(VLOOKUP(A152,FEDEX!$A:$H,7,FALSE))/(VLOOKUP(A152,FEDEX!$A:$D,4,FALSE))</f>
        <v>0</v>
      </c>
      <c r="R152" s="23" t="e">
        <f>(VLOOKUP(B152,FEDEX!$A:$H,8,FALSE))/(VLOOKUP(B152,FEDEX!$A:$D,4,FALSE))</f>
        <v>#N/A</v>
      </c>
      <c r="S152" s="16" t="e">
        <f>VLOOKUP(B152,SG!$A:$F,6,FALSE)</f>
        <v>#N/A</v>
      </c>
      <c r="V152">
        <f>FIELD!G152</f>
        <v>0</v>
      </c>
    </row>
    <row r="153" spans="1:22">
      <c r="A153" s="22" t="str">
        <f>'Raw Data'!I153</f>
        <v>Collin Morikawa</v>
      </c>
      <c r="B153" s="137" t="e">
        <f t="shared" si="2"/>
        <v>#N/A</v>
      </c>
      <c r="C153">
        <f>'Raw Data'!J153</f>
        <v>152</v>
      </c>
      <c r="D153">
        <f>'Raw Data'!K153</f>
        <v>5</v>
      </c>
      <c r="E153">
        <f>'Raw Data'!L153</f>
        <v>80</v>
      </c>
      <c r="F153">
        <f>'Raw Data'!M153</f>
        <v>53</v>
      </c>
      <c r="G153">
        <f>'Raw Data'!N153</f>
        <v>161</v>
      </c>
      <c r="H153">
        <f>'Raw Data'!O153</f>
        <v>94</v>
      </c>
      <c r="I153">
        <f>'Raw Data'!P153</f>
        <v>297</v>
      </c>
      <c r="J153" s="14">
        <f>'Raw Data'!Q153</f>
        <v>374.79389029180379</v>
      </c>
      <c r="K153" s="14">
        <f>'Raw Data'!R153</f>
        <v>255.48395408753589</v>
      </c>
      <c r="L153" s="14">
        <f>'Raw Data'!S153</f>
        <v>288.56438800189966</v>
      </c>
      <c r="M153" s="16"/>
      <c r="Q153" s="23">
        <f>(VLOOKUP(A153,FEDEX!$A:$H,7,FALSE))/(VLOOKUP(A153,FEDEX!$A:$D,4,FALSE))</f>
        <v>0</v>
      </c>
      <c r="R153" s="23" t="e">
        <f>(VLOOKUP(B153,FEDEX!$A:$H,8,FALSE))/(VLOOKUP(B153,FEDEX!$A:$D,4,FALSE))</f>
        <v>#N/A</v>
      </c>
      <c r="S153" s="16" t="e">
        <f>VLOOKUP(B153,SG!$A:$F,6,FALSE)</f>
        <v>#N/A</v>
      </c>
      <c r="V153">
        <f>FIELD!G153</f>
        <v>0</v>
      </c>
    </row>
    <row r="154" spans="1:22">
      <c r="A154" s="22" t="str">
        <f>'Raw Data'!I154</f>
        <v>Joel Dahmen</v>
      </c>
      <c r="B154" s="137" t="str">
        <f t="shared" si="2"/>
        <v>Joel Dahmen</v>
      </c>
      <c r="C154">
        <f>'Raw Data'!J154</f>
        <v>153</v>
      </c>
      <c r="D154">
        <f>'Raw Data'!K154</f>
        <v>70</v>
      </c>
      <c r="E154">
        <f>'Raw Data'!L154</f>
        <v>16</v>
      </c>
      <c r="F154">
        <f>'Raw Data'!M154</f>
        <v>140</v>
      </c>
      <c r="G154">
        <f>'Raw Data'!N154</f>
        <v>181</v>
      </c>
      <c r="H154">
        <f>'Raw Data'!O154</f>
        <v>123</v>
      </c>
      <c r="I154">
        <f>'Raw Data'!P154</f>
        <v>330.4</v>
      </c>
      <c r="J154" s="14">
        <f>'Raw Data'!Q154</f>
        <v>445.86920924011622</v>
      </c>
      <c r="K154" s="14">
        <f>'Raw Data'!R154</f>
        <v>328.13473955834763</v>
      </c>
      <c r="L154" s="14">
        <f>'Raw Data'!S154</f>
        <v>445.21738027512572</v>
      </c>
      <c r="M154" s="16"/>
      <c r="Q154" s="23">
        <f>(VLOOKUP(A154,FEDEX!$A:$H,7,FALSE))/(VLOOKUP(A154,FEDEX!$A:$D,4,FALSE))</f>
        <v>0</v>
      </c>
      <c r="R154" s="23">
        <f>(VLOOKUP(B154,FEDEX!$A:$H,8,FALSE))/(VLOOKUP(B154,FEDEX!$A:$D,4,FALSE))</f>
        <v>0</v>
      </c>
      <c r="S154" s="16">
        <f>VLOOKUP(B154,SG!$A:$F,6,FALSE)</f>
        <v>23</v>
      </c>
      <c r="V154">
        <f>FIELD!G154</f>
        <v>0</v>
      </c>
    </row>
    <row r="155" spans="1:22">
      <c r="A155" s="22" t="str">
        <f>'Raw Data'!I155</f>
        <v>Nick Taylor</v>
      </c>
      <c r="B155" s="137" t="e">
        <f t="shared" si="2"/>
        <v>#N/A</v>
      </c>
      <c r="C155">
        <f>'Raw Data'!J155</f>
        <v>154</v>
      </c>
      <c r="D155">
        <f>'Raw Data'!K155</f>
        <v>84</v>
      </c>
      <c r="E155">
        <f>'Raw Data'!L155</f>
        <v>13</v>
      </c>
      <c r="F155">
        <f>'Raw Data'!M155</f>
        <v>143</v>
      </c>
      <c r="G155">
        <f>'Raw Data'!N155</f>
        <v>19</v>
      </c>
      <c r="H155">
        <f>'Raw Data'!O155</f>
        <v>32</v>
      </c>
      <c r="I155">
        <f>'Raw Data'!P155</f>
        <v>256.39999999999998</v>
      </c>
      <c r="J155" s="14">
        <f>'Raw Data'!Q155</f>
        <v>277.32656809270929</v>
      </c>
      <c r="K155" s="14">
        <f>'Raw Data'!R155</f>
        <v>261.80573514485206</v>
      </c>
      <c r="L155" s="14">
        <f>'Raw Data'!S155</f>
        <v>281.88701940219119</v>
      </c>
      <c r="M155" s="16"/>
      <c r="Q155" s="23">
        <f>(VLOOKUP(A155,FEDEX!$A:$H,7,FALSE))/(VLOOKUP(A155,FEDEX!$A:$D,4,FALSE))</f>
        <v>0</v>
      </c>
      <c r="R155" s="23" t="e">
        <f>(VLOOKUP(B155,FEDEX!$A:$H,8,FALSE))/(VLOOKUP(B155,FEDEX!$A:$D,4,FALSE))</f>
        <v>#N/A</v>
      </c>
      <c r="S155" s="16" t="e">
        <f>VLOOKUP(B155,SG!$A:$F,6,FALSE)</f>
        <v>#N/A</v>
      </c>
      <c r="V155">
        <f>FIELD!G155</f>
        <v>0</v>
      </c>
    </row>
    <row r="156" spans="1:22">
      <c r="A156" s="22" t="str">
        <f>'Raw Data'!I156</f>
        <v>Si Woo Kim</v>
      </c>
      <c r="B156" s="137" t="e">
        <f t="shared" si="2"/>
        <v>#N/A</v>
      </c>
      <c r="C156">
        <f>'Raw Data'!J156</f>
        <v>155</v>
      </c>
      <c r="D156">
        <f>'Raw Data'!K156</f>
        <v>3</v>
      </c>
      <c r="E156">
        <f>'Raw Data'!L156</f>
        <v>27</v>
      </c>
      <c r="F156">
        <f>'Raw Data'!M156</f>
        <v>17</v>
      </c>
      <c r="G156">
        <f>'Raw Data'!N156</f>
        <v>140</v>
      </c>
      <c r="H156">
        <f>'Raw Data'!O156</f>
        <v>13</v>
      </c>
      <c r="I156">
        <f>'Raw Data'!P156</f>
        <v>236.70000000000002</v>
      </c>
      <c r="J156" s="14">
        <f>'Raw Data'!Q156</f>
        <v>217.34533758416592</v>
      </c>
      <c r="K156" s="14">
        <f>'Raw Data'!R156</f>
        <v>244.78286112135027</v>
      </c>
      <c r="L156" s="14">
        <f>'Raw Data'!S156</f>
        <v>249.76668780273701</v>
      </c>
      <c r="M156" s="16"/>
      <c r="Q156" s="23">
        <f>(VLOOKUP(A156,FEDEX!$A:$H,7,FALSE))/(VLOOKUP(A156,FEDEX!$A:$D,4,FALSE))</f>
        <v>0</v>
      </c>
      <c r="R156" s="23" t="e">
        <f>(VLOOKUP(B156,FEDEX!$A:$H,8,FALSE))/(VLOOKUP(B156,FEDEX!$A:$D,4,FALSE))</f>
        <v>#N/A</v>
      </c>
      <c r="S156" s="16" t="e">
        <f>VLOOKUP(B156,SG!$A:$F,6,FALSE)</f>
        <v>#N/A</v>
      </c>
      <c r="V156">
        <f>FIELD!G156</f>
        <v>0</v>
      </c>
    </row>
    <row r="157" spans="1:22">
      <c r="A157" s="22" t="str">
        <f>'Raw Data'!I157</f>
        <v>Troy Merritt</v>
      </c>
      <c r="B157" s="137" t="str">
        <f t="shared" si="2"/>
        <v>Troy Merritt</v>
      </c>
      <c r="C157">
        <f>'Raw Data'!J157</f>
        <v>156</v>
      </c>
      <c r="D157">
        <f>'Raw Data'!K157</f>
        <v>56</v>
      </c>
      <c r="E157">
        <f>'Raw Data'!L157</f>
        <v>103</v>
      </c>
      <c r="F157">
        <f>'Raw Data'!M157</f>
        <v>35</v>
      </c>
      <c r="G157">
        <f>'Raw Data'!N157</f>
        <v>163</v>
      </c>
      <c r="H157">
        <f>'Raw Data'!O157</f>
        <v>144</v>
      </c>
      <c r="I157">
        <f>'Raw Data'!P157</f>
        <v>336</v>
      </c>
      <c r="J157" s="14">
        <f>'Raw Data'!Q157</f>
        <v>462.31640771291615</v>
      </c>
      <c r="K157" s="14">
        <f>'Raw Data'!R157</f>
        <v>339.50085704618994</v>
      </c>
      <c r="L157" s="14">
        <f>'Raw Data'!S157</f>
        <v>468.47729133232684</v>
      </c>
      <c r="M157" s="16"/>
      <c r="Q157" s="23">
        <f>(VLOOKUP(A157,FEDEX!$A:$H,7,FALSE))/(VLOOKUP(A157,FEDEX!$A:$D,4,FALSE))</f>
        <v>0</v>
      </c>
      <c r="R157" s="23">
        <f>(VLOOKUP(B157,FEDEX!$A:$H,8,FALSE))/(VLOOKUP(B157,FEDEX!$A:$D,4,FALSE))</f>
        <v>0</v>
      </c>
      <c r="S157" s="16">
        <f>VLOOKUP(B157,SG!$A:$F,6,FALSE)</f>
        <v>-20</v>
      </c>
      <c r="V157">
        <f>FIELD!G157</f>
        <v>0</v>
      </c>
    </row>
    <row r="158" spans="1:22">
      <c r="A158" s="22" t="str">
        <f>'Raw Data'!I158</f>
        <v>Ben Silverman</v>
      </c>
      <c r="B158" s="137" t="str">
        <f t="shared" si="2"/>
        <v>Ben Silverman</v>
      </c>
      <c r="C158">
        <f>'Raw Data'!J158</f>
        <v>156</v>
      </c>
      <c r="D158">
        <f>'Raw Data'!K158</f>
        <v>74</v>
      </c>
      <c r="E158">
        <f>'Raw Data'!L158</f>
        <v>107</v>
      </c>
      <c r="F158">
        <f>'Raw Data'!M158</f>
        <v>45</v>
      </c>
      <c r="G158">
        <f>'Raw Data'!N158</f>
        <v>54</v>
      </c>
      <c r="H158">
        <f>'Raw Data'!O158</f>
        <v>51</v>
      </c>
      <c r="I158">
        <f>'Raw Data'!P158</f>
        <v>297.3</v>
      </c>
      <c r="J158" s="14">
        <f>'Raw Data'!Q158</f>
        <v>330.89317664824932</v>
      </c>
      <c r="K158" s="14" t="e">
        <f>'Raw Data'!R158</f>
        <v>#N/A</v>
      </c>
      <c r="L158" s="14" t="e">
        <f>'Raw Data'!S158</f>
        <v>#N/A</v>
      </c>
      <c r="M158" s="16"/>
      <c r="Q158" s="23">
        <f>(VLOOKUP(A158,FEDEX!$A:$H,7,FALSE))/(VLOOKUP(A158,FEDEX!$A:$D,4,FALSE))</f>
        <v>0</v>
      </c>
      <c r="R158" s="23">
        <f>(VLOOKUP(B158,FEDEX!$A:$H,8,FALSE))/(VLOOKUP(B158,FEDEX!$A:$D,4,FALSE))</f>
        <v>0</v>
      </c>
      <c r="S158" s="16">
        <f>VLOOKUP(B158,SG!$A:$F,6,FALSE)</f>
        <v>-38</v>
      </c>
      <c r="V158">
        <f>FIELD!G158</f>
        <v>0</v>
      </c>
    </row>
    <row r="159" spans="1:22">
      <c r="A159" s="22" t="str">
        <f>'Raw Data'!I159</f>
        <v>Chad Ramey</v>
      </c>
      <c r="B159" s="137" t="str">
        <f t="shared" si="2"/>
        <v>Chad Ramey</v>
      </c>
      <c r="C159">
        <f>'Raw Data'!J159</f>
        <v>158</v>
      </c>
      <c r="D159">
        <f>'Raw Data'!K159</f>
        <v>77</v>
      </c>
      <c r="E159">
        <f>'Raw Data'!L159</f>
        <v>176</v>
      </c>
      <c r="F159">
        <f>'Raw Data'!M159</f>
        <v>85</v>
      </c>
      <c r="G159">
        <f>'Raw Data'!N159</f>
        <v>7</v>
      </c>
      <c r="H159">
        <f>'Raw Data'!O159</f>
        <v>118</v>
      </c>
      <c r="I159">
        <f>'Raw Data'!P159</f>
        <v>341.4</v>
      </c>
      <c r="J159" s="14">
        <f>'Raw Data'!Q159</f>
        <v>458.41653919460902</v>
      </c>
      <c r="K159" s="14">
        <f>'Raw Data'!R159</f>
        <v>351.85108794671407</v>
      </c>
      <c r="L159" s="14">
        <f>'Raw Data'!S159</f>
        <v>468.72611146116549</v>
      </c>
      <c r="M159" s="16"/>
      <c r="Q159" s="23">
        <f>(VLOOKUP(A159,FEDEX!$A:$H,7,FALSE))/(VLOOKUP(A159,FEDEX!$A:$D,4,FALSE))</f>
        <v>0</v>
      </c>
      <c r="R159" s="23">
        <f>(VLOOKUP(B159,FEDEX!$A:$H,8,FALSE))/(VLOOKUP(B159,FEDEX!$A:$D,4,FALSE))</f>
        <v>0</v>
      </c>
      <c r="S159" s="16">
        <f>VLOOKUP(B159,SG!$A:$F,6,FALSE)</f>
        <v>15</v>
      </c>
      <c r="V159">
        <f>FIELD!G159</f>
        <v>0</v>
      </c>
    </row>
    <row r="160" spans="1:22">
      <c r="A160" s="22" t="str">
        <f>'Raw Data'!I160</f>
        <v>Harrison Endycott</v>
      </c>
      <c r="B160" s="137" t="str">
        <f t="shared" si="2"/>
        <v>Harrison Endycott</v>
      </c>
      <c r="C160">
        <f>'Raw Data'!J160</f>
        <v>159</v>
      </c>
      <c r="D160">
        <f>'Raw Data'!K160</f>
        <v>108</v>
      </c>
      <c r="E160">
        <f>'Raw Data'!L160</f>
        <v>162</v>
      </c>
      <c r="F160">
        <f>'Raw Data'!M160</f>
        <v>115</v>
      </c>
      <c r="G160">
        <f>'Raw Data'!N160</f>
        <v>151</v>
      </c>
      <c r="H160">
        <f>'Raw Data'!O160</f>
        <v>159</v>
      </c>
      <c r="I160">
        <f>'Raw Data'!P160</f>
        <v>432</v>
      </c>
      <c r="J160" s="14">
        <f>'Raw Data'!Q160</f>
        <v>596.88317625771992</v>
      </c>
      <c r="K160" s="14">
        <f>'Raw Data'!R160</f>
        <v>391.5651011165063</v>
      </c>
      <c r="L160" s="14">
        <f>'Raw Data'!S160</f>
        <v>543.84042908829815</v>
      </c>
      <c r="M160" s="16"/>
      <c r="Q160" s="23">
        <f>(VLOOKUP(A160,FEDEX!$A:$H,7,FALSE))/(VLOOKUP(A160,FEDEX!$A:$D,4,FALSE))</f>
        <v>0</v>
      </c>
      <c r="R160" s="23">
        <f>(VLOOKUP(B160,FEDEX!$A:$H,8,FALSE))/(VLOOKUP(B160,FEDEX!$A:$D,4,FALSE))</f>
        <v>0</v>
      </c>
      <c r="S160" s="16">
        <f>VLOOKUP(B160,SG!$A:$F,6,FALSE)</f>
        <v>4</v>
      </c>
      <c r="V160">
        <f>FIELD!G160</f>
        <v>0</v>
      </c>
    </row>
    <row r="161" spans="1:22">
      <c r="A161" s="22" t="str">
        <f>'Raw Data'!I161</f>
        <v>Emiliano Grillo</v>
      </c>
      <c r="B161" s="137" t="e">
        <f t="shared" si="2"/>
        <v>#N/A</v>
      </c>
      <c r="C161">
        <f>'Raw Data'!J161</f>
        <v>160</v>
      </c>
      <c r="D161">
        <f>'Raw Data'!K161</f>
        <v>27</v>
      </c>
      <c r="E161">
        <f>'Raw Data'!L161</f>
        <v>72</v>
      </c>
      <c r="F161">
        <f>'Raw Data'!M161</f>
        <v>161</v>
      </c>
      <c r="G161">
        <f>'Raw Data'!N161</f>
        <v>23</v>
      </c>
      <c r="H161">
        <f>'Raw Data'!O161</f>
        <v>52</v>
      </c>
      <c r="I161">
        <f>'Raw Data'!P161</f>
        <v>283.8</v>
      </c>
      <c r="J161" s="14">
        <f>'Raw Data'!Q161</f>
        <v>335.27565824603619</v>
      </c>
      <c r="K161" s="14">
        <f>'Raw Data'!R161</f>
        <v>274.37857589040061</v>
      </c>
      <c r="L161" s="14">
        <f>'Raw Data'!S161</f>
        <v>349.31771863224049</v>
      </c>
      <c r="M161" s="16"/>
      <c r="Q161" s="23">
        <f>(VLOOKUP(A161,FEDEX!$A:$H,7,FALSE))/(VLOOKUP(A161,FEDEX!$A:$D,4,FALSE))</f>
        <v>0</v>
      </c>
      <c r="R161" s="23" t="e">
        <f>(VLOOKUP(B161,FEDEX!$A:$H,8,FALSE))/(VLOOKUP(B161,FEDEX!$A:$D,4,FALSE))</f>
        <v>#N/A</v>
      </c>
      <c r="S161" s="16" t="e">
        <f>VLOOKUP(B161,SG!$A:$F,6,FALSE)</f>
        <v>#N/A</v>
      </c>
      <c r="V161">
        <f>FIELD!G161</f>
        <v>0</v>
      </c>
    </row>
    <row r="162" spans="1:22">
      <c r="A162" s="22" t="str">
        <f>'Raw Data'!I162</f>
        <v>Brian Harman</v>
      </c>
      <c r="B162" s="137" t="e">
        <f t="shared" si="2"/>
        <v>#N/A</v>
      </c>
      <c r="C162">
        <f>'Raw Data'!J162</f>
        <v>160</v>
      </c>
      <c r="D162">
        <f>'Raw Data'!K162</f>
        <v>40</v>
      </c>
      <c r="E162">
        <f>'Raw Data'!L162</f>
        <v>68</v>
      </c>
      <c r="F162">
        <f>'Raw Data'!M162</f>
        <v>60</v>
      </c>
      <c r="G162">
        <f>'Raw Data'!N162</f>
        <v>16</v>
      </c>
      <c r="H162">
        <f>'Raw Data'!O162</f>
        <v>20</v>
      </c>
      <c r="I162">
        <f>'Raw Data'!P162</f>
        <v>243.6</v>
      </c>
      <c r="J162" s="14">
        <f>'Raw Data'!Q162</f>
        <v>241.80213922915715</v>
      </c>
      <c r="K162" s="14">
        <f>'Raw Data'!R162</f>
        <v>261.41318438208407</v>
      </c>
      <c r="L162" s="14">
        <f>'Raw Data'!S162</f>
        <v>280.30476878043976</v>
      </c>
      <c r="M162" s="16"/>
      <c r="Q162" s="23">
        <f>(VLOOKUP(A162,FEDEX!$A:$H,7,FALSE))/(VLOOKUP(A162,FEDEX!$A:$D,4,FALSE))</f>
        <v>0</v>
      </c>
      <c r="R162" s="23" t="e">
        <f>(VLOOKUP(B162,FEDEX!$A:$H,8,FALSE))/(VLOOKUP(B162,FEDEX!$A:$D,4,FALSE))</f>
        <v>#N/A</v>
      </c>
      <c r="S162" s="16" t="e">
        <f>VLOOKUP(B162,SG!$A:$F,6,FALSE)</f>
        <v>#N/A</v>
      </c>
      <c r="V162">
        <f>FIELD!G162</f>
        <v>0</v>
      </c>
    </row>
    <row r="163" spans="1:22">
      <c r="A163" s="22" t="str">
        <f>'Raw Data'!I163</f>
        <v>Martin Laird</v>
      </c>
      <c r="B163" s="137" t="e">
        <f t="shared" si="2"/>
        <v>#N/A</v>
      </c>
      <c r="C163">
        <f>'Raw Data'!J163</f>
        <v>160</v>
      </c>
      <c r="D163">
        <f>'Raw Data'!K163</f>
        <v>79</v>
      </c>
      <c r="E163">
        <f>'Raw Data'!L163</f>
        <v>110</v>
      </c>
      <c r="F163">
        <f>'Raw Data'!M163</f>
        <v>15</v>
      </c>
      <c r="G163">
        <f>'Raw Data'!N163</f>
        <v>71</v>
      </c>
      <c r="H163">
        <f>'Raw Data'!O163</f>
        <v>86</v>
      </c>
      <c r="I163">
        <f>'Raw Data'!P163</f>
        <v>302</v>
      </c>
      <c r="J163" s="14">
        <f>'Raw Data'!Q163</f>
        <v>364.17549084514872</v>
      </c>
      <c r="K163" s="14">
        <f>'Raw Data'!R163</f>
        <v>315.8318175452406</v>
      </c>
      <c r="L163" s="14">
        <f>'Raw Data'!S163</f>
        <v>413.01067119380457</v>
      </c>
      <c r="M163" s="16"/>
      <c r="Q163" s="23">
        <f>(VLOOKUP(A163,FEDEX!$A:$H,7,FALSE))/(VLOOKUP(A163,FEDEX!$A:$D,4,FALSE))</f>
        <v>0</v>
      </c>
      <c r="R163" s="23" t="e">
        <f>(VLOOKUP(B163,FEDEX!$A:$H,8,FALSE))/(VLOOKUP(B163,FEDEX!$A:$D,4,FALSE))</f>
        <v>#N/A</v>
      </c>
      <c r="S163" s="16" t="e">
        <f>VLOOKUP(B163,SG!$A:$F,6,FALSE)</f>
        <v>#N/A</v>
      </c>
      <c r="V163">
        <f>FIELD!G163</f>
        <v>0</v>
      </c>
    </row>
    <row r="164" spans="1:22">
      <c r="A164" s="22" t="str">
        <f>'Raw Data'!I164</f>
        <v>J.T. Poston</v>
      </c>
      <c r="B164" s="137" t="e">
        <f t="shared" si="2"/>
        <v>#N/A</v>
      </c>
      <c r="C164">
        <f>'Raw Data'!J164</f>
        <v>163</v>
      </c>
      <c r="D164">
        <f>'Raw Data'!K164</f>
        <v>9</v>
      </c>
      <c r="E164">
        <f>'Raw Data'!L164</f>
        <v>94</v>
      </c>
      <c r="F164">
        <f>'Raw Data'!M164</f>
        <v>50</v>
      </c>
      <c r="G164">
        <f>'Raw Data'!N164</f>
        <v>60</v>
      </c>
      <c r="H164">
        <f>'Raw Data'!O164</f>
        <v>61</v>
      </c>
      <c r="I164">
        <f>'Raw Data'!P164</f>
        <v>267</v>
      </c>
      <c r="J164" s="14">
        <f>'Raw Data'!Q164</f>
        <v>308.0064406145359</v>
      </c>
      <c r="K164" s="14">
        <f>'Raw Data'!R164</f>
        <v>256.75484482070885</v>
      </c>
      <c r="L164" s="14">
        <f>'Raw Data'!S164</f>
        <v>296.68148786963326</v>
      </c>
      <c r="M164" s="16"/>
      <c r="Q164" s="23">
        <f>(VLOOKUP(A164,FEDEX!$A:$H,7,FALSE))/(VLOOKUP(A164,FEDEX!$A:$D,4,FALSE))</f>
        <v>0</v>
      </c>
      <c r="R164" s="23" t="e">
        <f>(VLOOKUP(B164,FEDEX!$A:$H,8,FALSE))/(VLOOKUP(B164,FEDEX!$A:$D,4,FALSE))</f>
        <v>#N/A</v>
      </c>
      <c r="S164" s="16" t="e">
        <f>VLOOKUP(B164,SG!$A:$F,6,FALSE)</f>
        <v>#N/A</v>
      </c>
      <c r="V164">
        <f>FIELD!G164</f>
        <v>0</v>
      </c>
    </row>
    <row r="165" spans="1:22">
      <c r="A165" s="22" t="str">
        <f>'Raw Data'!I165</f>
        <v>Nico Echavarria</v>
      </c>
      <c r="B165" s="137" t="str">
        <f t="shared" si="2"/>
        <v>Nico Echavarria</v>
      </c>
      <c r="C165">
        <f>'Raw Data'!J165</f>
        <v>164</v>
      </c>
      <c r="D165">
        <f>'Raw Data'!K165</f>
        <v>82</v>
      </c>
      <c r="E165">
        <f>'Raw Data'!L165</f>
        <v>163</v>
      </c>
      <c r="F165">
        <f>'Raw Data'!M165</f>
        <v>118</v>
      </c>
      <c r="G165">
        <f>'Raw Data'!N165</f>
        <v>52</v>
      </c>
      <c r="H165">
        <f>'Raw Data'!O165</f>
        <v>138</v>
      </c>
      <c r="I165">
        <f>'Raw Data'!P165</f>
        <v>375.9</v>
      </c>
      <c r="J165" s="14">
        <f>'Raw Data'!Q165</f>
        <v>517.07755312296763</v>
      </c>
      <c r="K165" s="14">
        <f>'Raw Data'!R165</f>
        <v>388.64037387789904</v>
      </c>
      <c r="L165" s="14">
        <f>'Raw Data'!S165</f>
        <v>562.28749879272198</v>
      </c>
      <c r="M165" s="16"/>
      <c r="Q165" s="23">
        <f>(VLOOKUP(A165,FEDEX!$A:$H,7,FALSE))/(VLOOKUP(A165,FEDEX!$A:$D,4,FALSE))</f>
        <v>0</v>
      </c>
      <c r="R165" s="23">
        <f>(VLOOKUP(B165,FEDEX!$A:$H,8,FALSE))/(VLOOKUP(B165,FEDEX!$A:$D,4,FALSE))</f>
        <v>0</v>
      </c>
      <c r="S165" s="16">
        <f>VLOOKUP(B165,SG!$A:$F,6,FALSE)</f>
        <v>-57</v>
      </c>
    </row>
    <row r="166" spans="1:22">
      <c r="A166" s="22" t="str">
        <f>'Raw Data'!I166</f>
        <v>David Lipsky</v>
      </c>
      <c r="B166" s="137" t="str">
        <f t="shared" si="2"/>
        <v>David Lipsky</v>
      </c>
      <c r="C166">
        <f>'Raw Data'!J166</f>
        <v>165</v>
      </c>
      <c r="D166">
        <f>'Raw Data'!K166</f>
        <v>105</v>
      </c>
      <c r="E166">
        <f>'Raw Data'!L166</f>
        <v>119</v>
      </c>
      <c r="F166">
        <f>'Raw Data'!M166</f>
        <v>111</v>
      </c>
      <c r="G166">
        <f>'Raw Data'!N166</f>
        <v>159</v>
      </c>
      <c r="H166">
        <f>'Raw Data'!O166</f>
        <v>165</v>
      </c>
      <c r="I166">
        <f>'Raw Data'!P166</f>
        <v>408.20000000000005</v>
      </c>
      <c r="J166" s="14">
        <f>'Raw Data'!Q166</f>
        <v>570.6609919614915</v>
      </c>
      <c r="K166" s="14">
        <f>'Raw Data'!R166</f>
        <v>365.46895075974055</v>
      </c>
      <c r="L166" s="14">
        <f>'Raw Data'!S166</f>
        <v>501.96854057582982</v>
      </c>
      <c r="M166" s="16"/>
      <c r="Q166" s="23">
        <f>(VLOOKUP(A166,FEDEX!$A:$H,7,FALSE))/(VLOOKUP(A166,FEDEX!$A:$D,4,FALSE))</f>
        <v>0</v>
      </c>
      <c r="R166" s="23">
        <f>(VLOOKUP(B166,FEDEX!$A:$H,8,FALSE))/(VLOOKUP(B166,FEDEX!$A:$D,4,FALSE))</f>
        <v>0</v>
      </c>
      <c r="S166" s="16">
        <f>VLOOKUP(B166,SG!$A:$F,6,FALSE)</f>
        <v>-5</v>
      </c>
    </row>
    <row r="167" spans="1:22">
      <c r="A167" s="22" t="str">
        <f>'Raw Data'!I167</f>
        <v>Russell Henley</v>
      </c>
      <c r="B167" s="137" t="e">
        <f t="shared" si="2"/>
        <v>#N/A</v>
      </c>
      <c r="C167">
        <f>'Raw Data'!J167</f>
        <v>166</v>
      </c>
      <c r="D167">
        <f>'Raw Data'!K167</f>
        <v>13</v>
      </c>
      <c r="E167">
        <f>'Raw Data'!L167</f>
        <v>69</v>
      </c>
      <c r="F167">
        <f>'Raw Data'!M167</f>
        <v>40</v>
      </c>
      <c r="G167">
        <f>'Raw Data'!N167</f>
        <v>29</v>
      </c>
      <c r="H167">
        <f>'Raw Data'!O167</f>
        <v>21</v>
      </c>
      <c r="I167">
        <f>'Raw Data'!P167</f>
        <v>234.7</v>
      </c>
      <c r="J167" s="14">
        <f>'Raw Data'!Q167</f>
        <v>228.62182486014794</v>
      </c>
      <c r="K167" s="14">
        <f>'Raw Data'!R167</f>
        <v>235.3383915790111</v>
      </c>
      <c r="L167" s="14">
        <f>'Raw Data'!S167</f>
        <v>227.06977607716436</v>
      </c>
      <c r="M167" s="16"/>
      <c r="Q167" s="23">
        <f>(VLOOKUP(A167,FEDEX!$A:$H,7,FALSE))/(VLOOKUP(A167,FEDEX!$A:$D,4,FALSE))</f>
        <v>0</v>
      </c>
      <c r="R167" s="23" t="e">
        <f>(VLOOKUP(B167,FEDEX!$A:$H,8,FALSE))/(VLOOKUP(B167,FEDEX!$A:$D,4,FALSE))</f>
        <v>#N/A</v>
      </c>
      <c r="S167" s="16" t="e">
        <f>VLOOKUP(B167,SG!$A:$F,6,FALSE)</f>
        <v>#N/A</v>
      </c>
    </row>
    <row r="168" spans="1:22">
      <c r="A168" s="22" t="str">
        <f>'Raw Data'!I168</f>
        <v>Denny McCarthy</v>
      </c>
      <c r="B168" s="137" t="e">
        <f t="shared" si="2"/>
        <v>#N/A</v>
      </c>
      <c r="C168">
        <f>'Raw Data'!J168</f>
        <v>167</v>
      </c>
      <c r="D168">
        <f>'Raw Data'!K168</f>
        <v>42</v>
      </c>
      <c r="E168">
        <f>'Raw Data'!L168</f>
        <v>74</v>
      </c>
      <c r="F168">
        <f>'Raw Data'!M168</f>
        <v>26</v>
      </c>
      <c r="G168">
        <f>'Raw Data'!N168</f>
        <v>9</v>
      </c>
      <c r="H168">
        <f>'Raw Data'!O168</f>
        <v>27</v>
      </c>
      <c r="I168">
        <f>'Raw Data'!P168</f>
        <v>238.00000000000003</v>
      </c>
      <c r="J168" s="14">
        <f>'Raw Data'!Q168</f>
        <v>235.06590389981767</v>
      </c>
      <c r="K168" s="14">
        <f>'Raw Data'!R168</f>
        <v>243.86908387155376</v>
      </c>
      <c r="L168" s="14">
        <f>'Raw Data'!S168</f>
        <v>243.78133733282158</v>
      </c>
      <c r="M168" s="16"/>
      <c r="Q168" s="23">
        <f>(VLOOKUP(A168,FEDEX!$A:$H,7,FALSE))/(VLOOKUP(A168,FEDEX!$A:$D,4,FALSE))</f>
        <v>0</v>
      </c>
      <c r="R168" s="23" t="e">
        <f>(VLOOKUP(B168,FEDEX!$A:$H,8,FALSE))/(VLOOKUP(B168,FEDEX!$A:$D,4,FALSE))</f>
        <v>#N/A</v>
      </c>
      <c r="S168" s="16" t="e">
        <f>VLOOKUP(B168,SG!$A:$F,6,FALSE)</f>
        <v>#N/A</v>
      </c>
    </row>
    <row r="169" spans="1:22">
      <c r="A169" s="22" t="str">
        <f>'Raw Data'!I169</f>
        <v>Ryan Moore</v>
      </c>
      <c r="B169" s="137" t="e">
        <f t="shared" si="2"/>
        <v>#N/A</v>
      </c>
      <c r="C169">
        <f>'Raw Data'!J169</f>
        <v>167</v>
      </c>
      <c r="D169">
        <f>'Raw Data'!K169</f>
        <v>32</v>
      </c>
      <c r="E169">
        <f>'Raw Data'!L169</f>
        <v>5</v>
      </c>
      <c r="F169">
        <f>'Raw Data'!M169</f>
        <v>68</v>
      </c>
      <c r="G169">
        <f>'Raw Data'!N169</f>
        <v>172</v>
      </c>
      <c r="H169">
        <f>'Raw Data'!O169</f>
        <v>67</v>
      </c>
      <c r="I169">
        <f>'Raw Data'!P169</f>
        <v>283</v>
      </c>
      <c r="J169" s="14">
        <f>'Raw Data'!Q169</f>
        <v>322.24091629029749</v>
      </c>
      <c r="K169" s="14">
        <f>'Raw Data'!R169</f>
        <v>290.05319728423558</v>
      </c>
      <c r="L169" s="14">
        <f>'Raw Data'!S169</f>
        <v>348.63507786715644</v>
      </c>
      <c r="M169" s="16"/>
      <c r="Q169" s="23">
        <f>(VLOOKUP(A169,FEDEX!$A:$H,7,FALSE))/(VLOOKUP(A169,FEDEX!$A:$D,4,FALSE))</f>
        <v>0</v>
      </c>
      <c r="R169" s="23" t="e">
        <f>(VLOOKUP(B169,FEDEX!$A:$H,8,FALSE))/(VLOOKUP(B169,FEDEX!$A:$D,4,FALSE))</f>
        <v>#N/A</v>
      </c>
      <c r="S169" s="16" t="e">
        <f>VLOOKUP(B169,SG!$A:$F,6,FALSE)</f>
        <v>#N/A</v>
      </c>
    </row>
    <row r="170" spans="1:22">
      <c r="A170" s="22" t="str">
        <f>'Raw Data'!I170</f>
        <v>Sam Ryder</v>
      </c>
      <c r="B170" s="137" t="str">
        <f t="shared" si="2"/>
        <v>Sam Ryder</v>
      </c>
      <c r="C170">
        <f>'Raw Data'!J170</f>
        <v>169</v>
      </c>
      <c r="D170">
        <f>'Raw Data'!K170</f>
        <v>89</v>
      </c>
      <c r="E170">
        <f>'Raw Data'!L170</f>
        <v>44</v>
      </c>
      <c r="F170">
        <f>'Raw Data'!M170</f>
        <v>154</v>
      </c>
      <c r="G170">
        <f>'Raw Data'!N170</f>
        <v>40</v>
      </c>
      <c r="H170">
        <f>'Raw Data'!O170</f>
        <v>111</v>
      </c>
      <c r="I170">
        <f>'Raw Data'!P170</f>
        <v>309</v>
      </c>
      <c r="J170" s="14">
        <f>'Raw Data'!Q170</f>
        <v>411.9001959755642</v>
      </c>
      <c r="K170" s="14">
        <f>'Raw Data'!R170</f>
        <v>291.65016434461756</v>
      </c>
      <c r="L170" s="14">
        <f>'Raw Data'!S170</f>
        <v>363.58157153030083</v>
      </c>
      <c r="M170" s="16"/>
      <c r="Q170" s="23">
        <f>(VLOOKUP(A170,FEDEX!$A:$H,7,FALSE))/(VLOOKUP(A170,FEDEX!$A:$D,4,FALSE))</f>
        <v>0</v>
      </c>
      <c r="R170" s="23">
        <f>(VLOOKUP(B170,FEDEX!$A:$H,8,FALSE))/(VLOOKUP(B170,FEDEX!$A:$D,4,FALSE))</f>
        <v>0</v>
      </c>
      <c r="S170" s="16">
        <f>VLOOKUP(B170,SG!$A:$F,6,FALSE)</f>
        <v>6</v>
      </c>
    </row>
    <row r="171" spans="1:22">
      <c r="A171" s="22" t="str">
        <f>'Raw Data'!I171</f>
        <v>Lucas Glover</v>
      </c>
      <c r="B171" s="137" t="e">
        <f t="shared" si="2"/>
        <v>#N/A</v>
      </c>
      <c r="C171">
        <f>'Raw Data'!J171</f>
        <v>170</v>
      </c>
      <c r="D171">
        <f>'Raw Data'!K171</f>
        <v>6</v>
      </c>
      <c r="E171">
        <f>'Raw Data'!L171</f>
        <v>9</v>
      </c>
      <c r="F171">
        <f>'Raw Data'!M171</f>
        <v>7</v>
      </c>
      <c r="G171">
        <f>'Raw Data'!N171</f>
        <v>168</v>
      </c>
      <c r="H171">
        <f>'Raw Data'!O171</f>
        <v>49</v>
      </c>
      <c r="I171">
        <f>'Raw Data'!P171</f>
        <v>249.10000000000002</v>
      </c>
      <c r="J171" s="14">
        <f>'Raw Data'!Q171</f>
        <v>257.61163093932601</v>
      </c>
      <c r="K171" s="14">
        <f>'Raw Data'!R171</f>
        <v>266.08945331239232</v>
      </c>
      <c r="L171" s="14">
        <f>'Raw Data'!S171</f>
        <v>299.36917698974662</v>
      </c>
      <c r="M171" s="16"/>
      <c r="Q171" s="23">
        <f>(VLOOKUP(A171,FEDEX!$A:$H,7,FALSE))/(VLOOKUP(A171,FEDEX!$A:$D,4,FALSE))</f>
        <v>0</v>
      </c>
      <c r="R171" s="23" t="e">
        <f>(VLOOKUP(B171,FEDEX!$A:$H,8,FALSE))/(VLOOKUP(B171,FEDEX!$A:$D,4,FALSE))</f>
        <v>#N/A</v>
      </c>
      <c r="S171" s="16" t="e">
        <f>VLOOKUP(B171,SG!$A:$F,6,FALSE)</f>
        <v>#N/A</v>
      </c>
    </row>
    <row r="172" spans="1:22">
      <c r="A172" s="22" t="str">
        <f>'Raw Data'!I172</f>
        <v>Matt Kuchar</v>
      </c>
      <c r="B172" s="137" t="e">
        <f t="shared" si="2"/>
        <v>#N/A</v>
      </c>
      <c r="C172">
        <f>'Raw Data'!J172</f>
        <v>171</v>
      </c>
      <c r="D172">
        <f>'Raw Data'!K172</f>
        <v>81</v>
      </c>
      <c r="E172">
        <f>'Raw Data'!L172</f>
        <v>182</v>
      </c>
      <c r="F172">
        <f>'Raw Data'!M172</f>
        <v>43</v>
      </c>
      <c r="G172">
        <f>'Raw Data'!N172</f>
        <v>93</v>
      </c>
      <c r="H172">
        <f>'Raw Data'!O172</f>
        <v>160</v>
      </c>
      <c r="I172">
        <f>'Raw Data'!P172</f>
        <v>385.5</v>
      </c>
      <c r="J172" s="14">
        <f>'Raw Data'!Q172</f>
        <v>535.0759860024159</v>
      </c>
      <c r="K172" s="14">
        <f>'Raw Data'!R172</f>
        <v>321.07564981812931</v>
      </c>
      <c r="L172" s="14">
        <f>'Raw Data'!S172</f>
        <v>407.07166083983867</v>
      </c>
      <c r="M172" s="16"/>
      <c r="Q172" s="23">
        <f>(VLOOKUP(A172,FEDEX!$A:$H,7,FALSE))/(VLOOKUP(A172,FEDEX!$A:$D,4,FALSE))</f>
        <v>0</v>
      </c>
      <c r="R172" s="23" t="e">
        <f>(VLOOKUP(B172,FEDEX!$A:$H,8,FALSE))/(VLOOKUP(B172,FEDEX!$A:$D,4,FALSE))</f>
        <v>#N/A</v>
      </c>
      <c r="S172" s="16" t="e">
        <f>VLOOKUP(B172,SG!$A:$F,6,FALSE)</f>
        <v>#N/A</v>
      </c>
    </row>
    <row r="173" spans="1:22">
      <c r="A173" s="22" t="str">
        <f>'Raw Data'!I173</f>
        <v>Chez Reavie</v>
      </c>
      <c r="B173" s="137" t="str">
        <f t="shared" si="2"/>
        <v>Chez Reavie</v>
      </c>
      <c r="C173">
        <f>'Raw Data'!J173</f>
        <v>172</v>
      </c>
      <c r="D173">
        <f>'Raw Data'!K173</f>
        <v>107</v>
      </c>
      <c r="E173">
        <f>'Raw Data'!L173</f>
        <v>66</v>
      </c>
      <c r="F173">
        <f>'Raw Data'!M173</f>
        <v>6</v>
      </c>
      <c r="G173">
        <f>'Raw Data'!N173</f>
        <v>128</v>
      </c>
      <c r="H173">
        <f>'Raw Data'!O173</f>
        <v>122</v>
      </c>
      <c r="I173">
        <f>'Raw Data'!P173</f>
        <v>320.89999999999998</v>
      </c>
      <c r="J173" s="14">
        <f>'Raw Data'!Q173</f>
        <v>408.86120023590729</v>
      </c>
      <c r="K173" s="14">
        <f>'Raw Data'!R173</f>
        <v>322.28318175452404</v>
      </c>
      <c r="L173" s="14">
        <f>'Raw Data'!S173</f>
        <v>427.39039197151919</v>
      </c>
      <c r="M173" s="16"/>
      <c r="Q173" s="23">
        <f>(VLOOKUP(A173,FEDEX!$A:$H,7,FALSE))/(VLOOKUP(A173,FEDEX!$A:$D,4,FALSE))</f>
        <v>0</v>
      </c>
      <c r="R173" s="23">
        <f>(VLOOKUP(B173,FEDEX!$A:$H,8,FALSE))/(VLOOKUP(B173,FEDEX!$A:$D,4,FALSE))</f>
        <v>0</v>
      </c>
      <c r="S173" s="16">
        <f>VLOOKUP(B173,SG!$A:$F,6,FALSE)</f>
        <v>49</v>
      </c>
    </row>
    <row r="174" spans="1:22">
      <c r="A174" s="22" t="str">
        <f>'Raw Data'!I174</f>
        <v>Christiaan Bezuidenhout</v>
      </c>
      <c r="B174" s="137" t="e">
        <f t="shared" si="2"/>
        <v>#N/A</v>
      </c>
      <c r="C174">
        <f>'Raw Data'!J174</f>
        <v>173</v>
      </c>
      <c r="D174">
        <f>'Raw Data'!K174</f>
        <v>117</v>
      </c>
      <c r="E174">
        <f>'Raw Data'!L174</f>
        <v>24</v>
      </c>
      <c r="F174">
        <f>'Raw Data'!M174</f>
        <v>112</v>
      </c>
      <c r="G174">
        <f>'Raw Data'!N174</f>
        <v>17</v>
      </c>
      <c r="H174">
        <f>'Raw Data'!O174</f>
        <v>18</v>
      </c>
      <c r="I174">
        <f>'Raw Data'!P174</f>
        <v>284.3</v>
      </c>
      <c r="J174" s="14">
        <f>'Raw Data'!Q174</f>
        <v>281.19635705827045</v>
      </c>
      <c r="K174" s="14">
        <f>'Raw Data'!R174</f>
        <v>284.66038234299015</v>
      </c>
      <c r="L174" s="14">
        <f>'Raw Data'!S174</f>
        <v>313.86868314093658</v>
      </c>
      <c r="M174" s="16"/>
      <c r="Q174" s="23">
        <f>(VLOOKUP(A174,FEDEX!$A:$H,7,FALSE))/(VLOOKUP(A174,FEDEX!$A:$D,4,FALSE))</f>
        <v>0</v>
      </c>
      <c r="R174" s="23" t="e">
        <f>(VLOOKUP(B174,FEDEX!$A:$H,8,FALSE))/(VLOOKUP(B174,FEDEX!$A:$D,4,FALSE))</f>
        <v>#N/A</v>
      </c>
      <c r="S174" s="16" t="e">
        <f>VLOOKUP(B174,SG!$A:$F,6,FALSE)</f>
        <v>#N/A</v>
      </c>
    </row>
    <row r="175" spans="1:22">
      <c r="A175" s="22" t="str">
        <f>'Raw Data'!I175</f>
        <v>Camilo Villegas</v>
      </c>
      <c r="B175" s="137" t="e">
        <f t="shared" si="2"/>
        <v>#N/A</v>
      </c>
      <c r="C175">
        <f>'Raw Data'!J175</f>
        <v>174</v>
      </c>
      <c r="D175">
        <f>'Raw Data'!K175</f>
        <v>73</v>
      </c>
      <c r="E175">
        <f>'Raw Data'!L175</f>
        <v>158</v>
      </c>
      <c r="F175">
        <f>'Raw Data'!M175</f>
        <v>121</v>
      </c>
      <c r="G175">
        <f>'Raw Data'!N175</f>
        <v>131</v>
      </c>
      <c r="H175">
        <f>'Raw Data'!O175</f>
        <v>180</v>
      </c>
      <c r="I175">
        <f>'Raw Data'!P175</f>
        <v>417.6</v>
      </c>
      <c r="J175" s="14">
        <f>'Raw Data'!Q175</f>
        <v>599.60855763798315</v>
      </c>
      <c r="K175" s="14" t="e">
        <f>'Raw Data'!R175</f>
        <v>#N/A</v>
      </c>
      <c r="L175" s="14" t="e">
        <f>'Raw Data'!S175</f>
        <v>#N/A</v>
      </c>
      <c r="M175" s="16"/>
      <c r="Q175" s="23">
        <f>(VLOOKUP(A175,FEDEX!$A:$H,7,FALSE))/(VLOOKUP(A175,FEDEX!$A:$D,4,FALSE))</f>
        <v>0</v>
      </c>
      <c r="R175" s="23" t="e">
        <f>(VLOOKUP(B175,FEDEX!$A:$H,8,FALSE))/(VLOOKUP(B175,FEDEX!$A:$D,4,FALSE))</f>
        <v>#N/A</v>
      </c>
      <c r="S175" s="16" t="e">
        <f>VLOOKUP(B175,SG!$A:$F,6,FALSE)</f>
        <v>#N/A</v>
      </c>
    </row>
    <row r="176" spans="1:22">
      <c r="A176" s="22" t="str">
        <f>'Raw Data'!I176</f>
        <v>Aaron Baddeley</v>
      </c>
      <c r="B176" s="137" t="e">
        <f t="shared" si="2"/>
        <v>#N/A</v>
      </c>
      <c r="C176">
        <f>'Raw Data'!J176</f>
        <v>175</v>
      </c>
      <c r="D176">
        <f>'Raw Data'!K176</f>
        <v>142</v>
      </c>
      <c r="E176">
        <f>'Raw Data'!L176</f>
        <v>157</v>
      </c>
      <c r="F176">
        <f>'Raw Data'!M176</f>
        <v>3</v>
      </c>
      <c r="G176">
        <f>'Raw Data'!N176</f>
        <v>2</v>
      </c>
      <c r="H176">
        <f>'Raw Data'!O176</f>
        <v>80</v>
      </c>
      <c r="I176">
        <f>'Raw Data'!P176</f>
        <v>340.59999999999997</v>
      </c>
      <c r="J176" s="14">
        <f>'Raw Data'!Q176</f>
        <v>395.39814301119651</v>
      </c>
      <c r="K176" s="14">
        <f>'Raw Data'!R176</f>
        <v>336.01799592483962</v>
      </c>
      <c r="L176" s="14">
        <f>'Raw Data'!S176</f>
        <v>388.22402855749334</v>
      </c>
      <c r="M176" s="16"/>
      <c r="Q176" s="23">
        <f>(VLOOKUP(A176,FEDEX!$A:$H,7,FALSE))/(VLOOKUP(A176,FEDEX!$A:$D,4,FALSE))</f>
        <v>0</v>
      </c>
      <c r="R176" s="23" t="e">
        <f>(VLOOKUP(B176,FEDEX!$A:$H,8,FALSE))/(VLOOKUP(B176,FEDEX!$A:$D,4,FALSE))</f>
        <v>#N/A</v>
      </c>
      <c r="S176" s="16" t="e">
        <f>VLOOKUP(B176,SG!$A:$F,6,FALSE)</f>
        <v>#N/A</v>
      </c>
    </row>
    <row r="177" spans="1:19">
      <c r="A177" s="22" t="str">
        <f>'Raw Data'!I177</f>
        <v>Brandt Snedeker</v>
      </c>
      <c r="B177" s="137" t="e">
        <f t="shared" si="2"/>
        <v>#N/A</v>
      </c>
      <c r="C177">
        <f>'Raw Data'!J177</f>
        <v>176</v>
      </c>
      <c r="D177">
        <f>'Raw Data'!K177</f>
        <v>113</v>
      </c>
      <c r="E177">
        <f>'Raw Data'!L177</f>
        <v>181</v>
      </c>
      <c r="F177">
        <f>'Raw Data'!M177</f>
        <v>169</v>
      </c>
      <c r="G177">
        <f>'Raw Data'!N177</f>
        <v>149</v>
      </c>
      <c r="H177">
        <f>'Raw Data'!O177</f>
        <v>182</v>
      </c>
      <c r="I177">
        <f>'Raw Data'!P177</f>
        <v>483.70000000000005</v>
      </c>
      <c r="J177" s="14">
        <f>'Raw Data'!Q177</f>
        <v>680.55448041758882</v>
      </c>
      <c r="K177" s="14" t="e">
        <f>'Raw Data'!R177</f>
        <v>#N/A</v>
      </c>
      <c r="L177" s="14" t="e">
        <f>'Raw Data'!S177</f>
        <v>#N/A</v>
      </c>
      <c r="M177" s="16"/>
      <c r="Q177" s="23">
        <f>(VLOOKUP(A177,FEDEX!$A:$H,7,FALSE))/(VLOOKUP(A177,FEDEX!$A:$D,4,FALSE))</f>
        <v>0</v>
      </c>
      <c r="R177" s="23" t="e">
        <f>(VLOOKUP(B177,FEDEX!$A:$H,8,FALSE))/(VLOOKUP(B177,FEDEX!$A:$D,4,FALSE))</f>
        <v>#N/A</v>
      </c>
      <c r="S177" s="16" t="e">
        <f>VLOOKUP(B177,SG!$A:$F,6,FALSE)</f>
        <v>#N/A</v>
      </c>
    </row>
    <row r="178" spans="1:19">
      <c r="A178" s="22" t="str">
        <f>'Raw Data'!I178</f>
        <v>Zach Johnson</v>
      </c>
      <c r="B178" s="137" t="e">
        <f t="shared" si="2"/>
        <v>#N/A</v>
      </c>
      <c r="C178">
        <f>'Raw Data'!J178</f>
        <v>177</v>
      </c>
      <c r="D178">
        <f>'Raw Data'!K178</f>
        <v>12</v>
      </c>
      <c r="E178">
        <f>'Raw Data'!L178</f>
        <v>129</v>
      </c>
      <c r="F178">
        <f>'Raw Data'!M178</f>
        <v>117</v>
      </c>
      <c r="G178">
        <f>'Raw Data'!N178</f>
        <v>70</v>
      </c>
      <c r="H178">
        <f>'Raw Data'!O178</f>
        <v>105</v>
      </c>
      <c r="I178">
        <f>'Raw Data'!P178</f>
        <v>337.40000000000003</v>
      </c>
      <c r="J178" s="14">
        <f>'Raw Data'!Q178</f>
        <v>437.38462037152897</v>
      </c>
      <c r="K178" s="14">
        <f>'Raw Data'!R178</f>
        <v>352.97366553635959</v>
      </c>
      <c r="L178" s="14">
        <f>'Raw Data'!S178</f>
        <v>488.04808948572537</v>
      </c>
      <c r="M178" s="16"/>
      <c r="Q178" s="23">
        <f>(VLOOKUP(A178,FEDEX!$A:$H,7,FALSE))/(VLOOKUP(A178,FEDEX!$A:$D,4,FALSE))</f>
        <v>0</v>
      </c>
      <c r="R178" s="23" t="e">
        <f>(VLOOKUP(B178,FEDEX!$A:$H,8,FALSE))/(VLOOKUP(B178,FEDEX!$A:$D,4,FALSE))</f>
        <v>#N/A</v>
      </c>
      <c r="S178" s="16" t="e">
        <f>VLOOKUP(B178,SG!$A:$F,6,FALSE)</f>
        <v>#N/A</v>
      </c>
    </row>
    <row r="179" spans="1:19">
      <c r="A179" s="22" t="str">
        <f>'Raw Data'!I179</f>
        <v>Ben Kohles</v>
      </c>
      <c r="B179" s="137" t="str">
        <f t="shared" si="2"/>
        <v>Ben Kohles</v>
      </c>
      <c r="C179">
        <f>'Raw Data'!J179</f>
        <v>178</v>
      </c>
      <c r="D179">
        <f>'Raw Data'!K179</f>
        <v>64</v>
      </c>
      <c r="E179">
        <f>'Raw Data'!L179</f>
        <v>164</v>
      </c>
      <c r="F179">
        <f>'Raw Data'!M179</f>
        <v>174</v>
      </c>
      <c r="G179">
        <f>'Raw Data'!N179</f>
        <v>176</v>
      </c>
      <c r="H179">
        <f>'Raw Data'!O179</f>
        <v>181</v>
      </c>
      <c r="I179">
        <f>'Raw Data'!P179</f>
        <v>464.6</v>
      </c>
      <c r="J179" s="14">
        <f>'Raw Data'!Q179</f>
        <v>659.10696451401202</v>
      </c>
      <c r="K179" s="14" t="e">
        <f>'Raw Data'!R179</f>
        <v>#N/A</v>
      </c>
      <c r="L179" s="14" t="e">
        <f>'Raw Data'!S179</f>
        <v>#N/A</v>
      </c>
      <c r="M179" s="16"/>
      <c r="Q179" s="23">
        <f>(VLOOKUP(A179,FEDEX!$A:$H,7,FALSE))/(VLOOKUP(A179,FEDEX!$A:$D,4,FALSE))</f>
        <v>0</v>
      </c>
      <c r="R179" s="23">
        <f>(VLOOKUP(B179,FEDEX!$A:$H,8,FALSE))/(VLOOKUP(B179,FEDEX!$A:$D,4,FALSE))</f>
        <v>0</v>
      </c>
      <c r="S179" s="16">
        <f>VLOOKUP(B179,SG!$A:$F,6,FALSE)</f>
        <v>-5</v>
      </c>
    </row>
    <row r="180" spans="1:19">
      <c r="A180" s="22" t="str">
        <f>'Raw Data'!I180</f>
        <v>Raul Pereda</v>
      </c>
      <c r="B180" s="137" t="str">
        <f t="shared" si="2"/>
        <v>Raul Pereda</v>
      </c>
      <c r="C180">
        <f>'Raw Data'!J180</f>
        <v>179</v>
      </c>
      <c r="D180">
        <f>'Raw Data'!K180</f>
        <v>168</v>
      </c>
      <c r="E180">
        <f>'Raw Data'!L180</f>
        <v>169</v>
      </c>
      <c r="F180">
        <f>'Raw Data'!M180</f>
        <v>158</v>
      </c>
      <c r="G180">
        <f>'Raw Data'!N180</f>
        <v>5</v>
      </c>
      <c r="H180">
        <f>'Raw Data'!O180</f>
        <v>176</v>
      </c>
      <c r="I180">
        <f>'Raw Data'!P180</f>
        <v>429.09999999999997</v>
      </c>
      <c r="J180" s="14">
        <f>'Raw Data'!Q180</f>
        <v>612.08309746893394</v>
      </c>
      <c r="K180" s="14" t="e">
        <f>'Raw Data'!R180</f>
        <v>#N/A</v>
      </c>
      <c r="L180" s="14" t="e">
        <f>'Raw Data'!S180</f>
        <v>#N/A</v>
      </c>
      <c r="M180" s="16"/>
      <c r="Q180" s="23">
        <f>(VLOOKUP(A180,FEDEX!$A:$H,7,FALSE))/(VLOOKUP(A180,FEDEX!$A:$D,4,FALSE))</f>
        <v>0</v>
      </c>
      <c r="R180" s="23">
        <f>(VLOOKUP(B180,FEDEX!$A:$H,8,FALSE))/(VLOOKUP(B180,FEDEX!$A:$D,4,FALSE))</f>
        <v>0</v>
      </c>
      <c r="S180" s="16" t="e">
        <f>VLOOKUP(B180,SG!$A:$F,6,FALSE)</f>
        <v>#N/A</v>
      </c>
    </row>
    <row r="181" spans="1:19">
      <c r="A181" s="22" t="str">
        <f>'Raw Data'!I181</f>
        <v>Andrew Putnam</v>
      </c>
      <c r="B181" s="137" t="e">
        <f t="shared" si="2"/>
        <v>#N/A</v>
      </c>
      <c r="C181">
        <f>'Raw Data'!J181</f>
        <v>180</v>
      </c>
      <c r="D181">
        <f>'Raw Data'!K181</f>
        <v>68</v>
      </c>
      <c r="E181">
        <f>'Raw Data'!L181</f>
        <v>51</v>
      </c>
      <c r="F181">
        <f>'Raw Data'!M181</f>
        <v>47</v>
      </c>
      <c r="G181">
        <f>'Raw Data'!N181</f>
        <v>45</v>
      </c>
      <c r="H181">
        <f>'Raw Data'!O181</f>
        <v>58</v>
      </c>
      <c r="I181">
        <f>'Raw Data'!P181</f>
        <v>273</v>
      </c>
      <c r="J181" s="14">
        <f>'Raw Data'!Q181</f>
        <v>299.22848206057262</v>
      </c>
      <c r="K181" s="14">
        <f>'Raw Data'!R181</f>
        <v>253.59083667038817</v>
      </c>
      <c r="L181" s="14">
        <f>'Raw Data'!S181</f>
        <v>271.99699531591352</v>
      </c>
      <c r="M181" s="16"/>
      <c r="Q181" s="23">
        <f>(VLOOKUP(A181,FEDEX!$A:$H,7,FALSE))/(VLOOKUP(A181,FEDEX!$A:$D,4,FALSE))</f>
        <v>0</v>
      </c>
      <c r="R181" s="23" t="e">
        <f>(VLOOKUP(B181,FEDEX!$A:$H,8,FALSE))/(VLOOKUP(B181,FEDEX!$A:$D,4,FALSE))</f>
        <v>#N/A</v>
      </c>
      <c r="S181" s="16" t="e">
        <f>VLOOKUP(B181,SG!$A:$F,6,FALSE)</f>
        <v>#N/A</v>
      </c>
    </row>
    <row r="182" spans="1:19">
      <c r="A182" s="22" t="str">
        <f>'Raw Data'!I182</f>
        <v>Brendon Todd</v>
      </c>
      <c r="B182" s="137" t="e">
        <f t="shared" si="2"/>
        <v>#N/A</v>
      </c>
      <c r="C182">
        <f>'Raw Data'!J182</f>
        <v>181</v>
      </c>
      <c r="D182">
        <f>'Raw Data'!K182</f>
        <v>50</v>
      </c>
      <c r="E182">
        <f>'Raw Data'!L182</f>
        <v>95</v>
      </c>
      <c r="F182">
        <f>'Raw Data'!M182</f>
        <v>16</v>
      </c>
      <c r="G182">
        <f>'Raw Data'!N182</f>
        <v>10</v>
      </c>
      <c r="H182">
        <f>'Raw Data'!O182</f>
        <v>48</v>
      </c>
      <c r="I182">
        <f>'Raw Data'!P182</f>
        <v>265.8</v>
      </c>
      <c r="J182" s="14">
        <f>'Raw Data'!Q182</f>
        <v>280.99030061713887</v>
      </c>
      <c r="K182" s="14">
        <f>'Raw Data'!R182</f>
        <v>249.27389541430932</v>
      </c>
      <c r="L182" s="14">
        <f>'Raw Data'!S182</f>
        <v>253.88343054723396</v>
      </c>
      <c r="M182" s="16"/>
      <c r="Q182" s="23">
        <f>(VLOOKUP(A182,FEDEX!$A:$H,7,FALSE))/(VLOOKUP(A182,FEDEX!$A:$D,4,FALSE))</f>
        <v>0</v>
      </c>
      <c r="R182" s="23" t="e">
        <f>(VLOOKUP(B182,FEDEX!$A:$H,8,FALSE))/(VLOOKUP(B182,FEDEX!$A:$D,4,FALSE))</f>
        <v>#N/A</v>
      </c>
      <c r="S182" s="16" t="e">
        <f>VLOOKUP(B182,SG!$A:$F,6,FALSE)</f>
        <v>#N/A</v>
      </c>
    </row>
    <row r="183" spans="1:19">
      <c r="A183" s="22" t="str">
        <f>'Raw Data'!I183</f>
        <v>Alexander Björk</v>
      </c>
      <c r="B183" s="137" t="e">
        <f t="shared" si="2"/>
        <v>#N/A</v>
      </c>
      <c r="C183">
        <f>'Raw Data'!J183</f>
        <v>182</v>
      </c>
      <c r="D183">
        <f>'Raw Data'!K183</f>
        <v>38</v>
      </c>
      <c r="E183">
        <f>'Raw Data'!L183</f>
        <v>150</v>
      </c>
      <c r="F183">
        <f>'Raw Data'!M183</f>
        <v>166</v>
      </c>
      <c r="G183">
        <f>'Raw Data'!N183</f>
        <v>3</v>
      </c>
      <c r="H183">
        <f>'Raw Data'!O183</f>
        <v>140</v>
      </c>
      <c r="I183">
        <f>'Raw Data'!P183</f>
        <v>355.70000000000005</v>
      </c>
      <c r="J183" s="14">
        <f>'Raw Data'!Q183</f>
        <v>500.82900547865722</v>
      </c>
      <c r="K183" s="14">
        <f>'Raw Data'!R183</f>
        <v>280.31659437843871</v>
      </c>
      <c r="L183" s="14">
        <f>'Raw Data'!S183</f>
        <v>349.10091437451837</v>
      </c>
      <c r="M183" s="16"/>
      <c r="Q183" s="23">
        <f>(VLOOKUP(A183,FEDEX!$A:$H,7,FALSE))/(VLOOKUP(A183,FEDEX!$A:$D,4,FALSE))</f>
        <v>0</v>
      </c>
      <c r="R183" s="23" t="e">
        <f>(VLOOKUP(B183,FEDEX!$A:$H,8,FALSE))/(VLOOKUP(B183,FEDEX!$A:$D,4,FALSE))</f>
        <v>#N/A</v>
      </c>
      <c r="S183" s="16" t="e">
        <f>VLOOKUP(B183,SG!$A:$F,6,FALSE)</f>
        <v>#N/A</v>
      </c>
    </row>
    <row r="184" spans="1:19">
      <c r="A184" s="22" t="str">
        <f>'Raw Data'!I184</f>
        <v>Zac Blair</v>
      </c>
      <c r="B184" s="137" t="e">
        <f t="shared" si="2"/>
        <v>#N/A</v>
      </c>
      <c r="C184">
        <f>'Raw Data'!J184</f>
        <v>183</v>
      </c>
      <c r="D184">
        <f>'Raw Data'!K184</f>
        <v>53</v>
      </c>
      <c r="E184">
        <f>'Raw Data'!L184</f>
        <v>113</v>
      </c>
      <c r="F184">
        <f>'Raw Data'!M184</f>
        <v>20</v>
      </c>
      <c r="G184">
        <f>'Raw Data'!N184</f>
        <v>141</v>
      </c>
      <c r="H184">
        <f>'Raw Data'!O184</f>
        <v>149</v>
      </c>
      <c r="I184">
        <f>'Raw Data'!P184</f>
        <v>348.8</v>
      </c>
      <c r="J184" s="14">
        <f>'Raw Data'!Q184</f>
        <v>470.59951646649392</v>
      </c>
      <c r="K184" s="14">
        <f>'Raw Data'!R184</f>
        <v>322.3067494710391</v>
      </c>
      <c r="L184" s="14">
        <f>'Raw Data'!S184</f>
        <v>416.90253693773741</v>
      </c>
      <c r="M184" s="16"/>
      <c r="Q184" s="23">
        <f>(VLOOKUP(A184,FEDEX!$A:$H,7,FALSE))/(VLOOKUP(A184,FEDEX!$A:$D,4,FALSE))</f>
        <v>0</v>
      </c>
      <c r="R184" s="23" t="e">
        <f>(VLOOKUP(B184,FEDEX!$A:$H,8,FALSE))/(VLOOKUP(B184,FEDEX!$A:$D,4,FALSE))</f>
        <v>#N/A</v>
      </c>
      <c r="S184" s="16" t="e">
        <f>VLOOKUP(B184,SG!$A:$F,6,FALSE)</f>
        <v>#N/A</v>
      </c>
    </row>
    <row r="185" spans="1:19">
      <c r="A185" s="22" t="str">
        <f>'Raw Data'!I185</f>
        <v>Rasmus Højgaard</v>
      </c>
      <c r="B185" s="137" t="e">
        <f t="shared" si="2"/>
        <v>#N/A</v>
      </c>
      <c r="C185">
        <f>'Raw Data'!J185</f>
        <v>17</v>
      </c>
      <c r="D185">
        <f>'Raw Data'!K185</f>
        <v>187</v>
      </c>
      <c r="E185">
        <f>'Raw Data'!L185</f>
        <v>99</v>
      </c>
      <c r="F185">
        <f>'Raw Data'!M185</f>
        <v>132</v>
      </c>
      <c r="G185">
        <f>'Raw Data'!N185</f>
        <v>19</v>
      </c>
      <c r="H185">
        <f>'Raw Data'!O185</f>
        <v>99</v>
      </c>
      <c r="I185">
        <f>'Raw Data'!P185</f>
        <v>240.4</v>
      </c>
      <c r="J185" s="14">
        <f>'Raw Data'!Q185</f>
        <v>375.95605469688064</v>
      </c>
      <c r="K185" s="14">
        <f>'Raw Data'!R185</f>
        <v>240.4</v>
      </c>
      <c r="L185" s="14">
        <f>'Raw Data'!S185</f>
        <v>375.95605469688064</v>
      </c>
      <c r="M185" s="16"/>
      <c r="Q185" s="23" t="e">
        <f>(VLOOKUP(A185,FEDEX!$A:$H,7,FALSE))/(VLOOKUP(A185,FEDEX!$A:$D,4,FALSE))</f>
        <v>#N/A</v>
      </c>
      <c r="R185" s="23" t="e">
        <f>(VLOOKUP(B185,FEDEX!$A:$H,8,FALSE))/(VLOOKUP(B185,FEDEX!$A:$D,4,FALSE))</f>
        <v>#N/A</v>
      </c>
      <c r="S185" s="16" t="e">
        <f>VLOOKUP(B185,SG!$A:$F,6,FALSE)</f>
        <v>#N/A</v>
      </c>
    </row>
    <row r="186" spans="1:19">
      <c r="A186" s="22" t="str">
        <f>'Raw Data'!I186</f>
        <v>S.Y. Noh</v>
      </c>
      <c r="B186" s="137" t="e">
        <f t="shared" si="2"/>
        <v>#N/A</v>
      </c>
      <c r="C186">
        <f>'Raw Data'!J186</f>
        <v>73</v>
      </c>
      <c r="D186">
        <f>'Raw Data'!K186</f>
        <v>176</v>
      </c>
      <c r="E186">
        <f>'Raw Data'!L186</f>
        <v>167</v>
      </c>
      <c r="F186">
        <f>'Raw Data'!M186</f>
        <v>117</v>
      </c>
      <c r="G186">
        <f>'Raw Data'!N186</f>
        <v>56</v>
      </c>
      <c r="H186">
        <f>'Raw Data'!O186</f>
        <v>170</v>
      </c>
      <c r="I186">
        <f>'Raw Data'!P186</f>
        <v>345.4</v>
      </c>
      <c r="J186" s="14">
        <f>'Raw Data'!Q186</f>
        <v>543.9901547500782</v>
      </c>
      <c r="K186" s="14">
        <f>'Raw Data'!R186</f>
        <v>345.4</v>
      </c>
      <c r="L186" s="14">
        <f>'Raw Data'!S186</f>
        <v>543.9901547500782</v>
      </c>
      <c r="M186" s="16"/>
      <c r="Q186" s="23">
        <f>(VLOOKUP(A186,FEDEX!$A:$H,7,FALSE))/(VLOOKUP(A186,FEDEX!$A:$D,4,FALSE))</f>
        <v>0</v>
      </c>
      <c r="R186" s="23" t="e">
        <f>(VLOOKUP(B186,FEDEX!$A:$H,8,FALSE))/(VLOOKUP(B186,FEDEX!$A:$D,4,FALSE))</f>
        <v>#N/A</v>
      </c>
      <c r="S186" s="16" t="e">
        <f>VLOOKUP(B186,SG!$A:$F,6,FALSE)</f>
        <v>#N/A</v>
      </c>
    </row>
    <row r="187" spans="1:19">
      <c r="A187" s="22" t="str">
        <f>'Raw Data'!I187</f>
        <v>Sean O'Hair</v>
      </c>
      <c r="B187" s="137" t="str">
        <f t="shared" si="2"/>
        <v>Sean O'Hair</v>
      </c>
      <c r="C187">
        <f>'Raw Data'!J187</f>
        <v>159</v>
      </c>
      <c r="D187">
        <f>'Raw Data'!K187</f>
        <v>58</v>
      </c>
      <c r="E187">
        <f>'Raw Data'!L187</f>
        <v>147</v>
      </c>
      <c r="F187">
        <f>'Raw Data'!M187</f>
        <v>129</v>
      </c>
      <c r="G187">
        <f>'Raw Data'!N187</f>
        <v>130</v>
      </c>
      <c r="H187">
        <f>'Raw Data'!O187</f>
        <v>154</v>
      </c>
      <c r="I187">
        <f>'Raw Data'!P187</f>
        <v>391.6</v>
      </c>
      <c r="J187" s="14">
        <f>'Raw Data'!Q187</f>
        <v>551.78313431168704</v>
      </c>
      <c r="K187" s="14">
        <f>'Raw Data'!R187</f>
        <v>391.6</v>
      </c>
      <c r="L187" s="14">
        <f>'Raw Data'!S187</f>
        <v>551.78313431168704</v>
      </c>
      <c r="M187" s="16"/>
      <c r="Q187" s="23">
        <f>(VLOOKUP(A187,FEDEX!$A:$H,7,FALSE))/(VLOOKUP(A187,FEDEX!$A:$D,4,FALSE))</f>
        <v>0</v>
      </c>
      <c r="R187" s="23">
        <f>(VLOOKUP(B187,FEDEX!$A:$H,8,FALSE))/(VLOOKUP(B187,FEDEX!$A:$D,4,FALSE))</f>
        <v>0</v>
      </c>
      <c r="S187" s="16" t="e">
        <f>VLOOKUP(B187,SG!$A:$F,6,FALSE)</f>
        <v>#N/A</v>
      </c>
    </row>
    <row r="188" spans="1:19">
      <c r="A188" s="22" t="str">
        <f>'Raw Data'!I188</f>
        <v>Paul Haley II</v>
      </c>
      <c r="B188" s="137" t="str">
        <f t="shared" si="2"/>
        <v>Paul Haley II</v>
      </c>
      <c r="C188">
        <f>'Raw Data'!J188</f>
        <v>186</v>
      </c>
      <c r="D188">
        <f>'Raw Data'!K188</f>
        <v>23</v>
      </c>
      <c r="E188">
        <f>'Raw Data'!L188</f>
        <v>175</v>
      </c>
      <c r="F188">
        <f>'Raw Data'!M188</f>
        <v>118</v>
      </c>
      <c r="G188">
        <f>'Raw Data'!N188</f>
        <v>151</v>
      </c>
      <c r="H188">
        <f>'Raw Data'!O188</f>
        <v>180</v>
      </c>
      <c r="I188">
        <f>'Raw Data'!P188</f>
        <v>424.09999999999997</v>
      </c>
      <c r="J188" s="14">
        <f>'Raw Data'!Q188</f>
        <v>605.08250884553058</v>
      </c>
      <c r="K188" s="14">
        <f>'Raw Data'!R188</f>
        <v>424.09999999999991</v>
      </c>
      <c r="L188" s="14">
        <f>'Raw Data'!S188</f>
        <v>605.08250884553058</v>
      </c>
      <c r="M188" s="16"/>
      <c r="Q188" s="23">
        <f>(VLOOKUP(A188,FEDEX!$A:$H,7,FALSE))/(VLOOKUP(A188,FEDEX!$A:$D,4,FALSE))</f>
        <v>0</v>
      </c>
      <c r="R188" s="23">
        <f>(VLOOKUP(B188,FEDEX!$A:$H,8,FALSE))/(VLOOKUP(B188,FEDEX!$A:$D,4,FALSE))</f>
        <v>0</v>
      </c>
      <c r="S188" s="16" t="e">
        <f>VLOOKUP(B188,SG!$A:$F,6,FALSE)</f>
        <v>#N/A</v>
      </c>
    </row>
    <row r="189" spans="1:19">
      <c r="A189" s="22" t="str">
        <f>'Raw Data'!I189</f>
        <v>Nicholas Lindheim</v>
      </c>
      <c r="B189" s="137" t="e">
        <f t="shared" si="2"/>
        <v>#N/A</v>
      </c>
      <c r="C189">
        <f>'Raw Data'!J189</f>
        <v>158</v>
      </c>
      <c r="D189">
        <f>'Raw Data'!K189</f>
        <v>20</v>
      </c>
      <c r="E189">
        <f>'Raw Data'!L189</f>
        <v>43</v>
      </c>
      <c r="F189">
        <f>'Raw Data'!M189</f>
        <v>171</v>
      </c>
      <c r="G189">
        <f>'Raw Data'!N189</f>
        <v>120</v>
      </c>
      <c r="H189">
        <f>'Raw Data'!O189</f>
        <v>38</v>
      </c>
      <c r="I189">
        <f>'Raw Data'!P189</f>
        <v>310.70000000000005</v>
      </c>
      <c r="J189" s="14">
        <f>'Raw Data'!Q189</f>
        <v>348.69036940118735</v>
      </c>
      <c r="K189" s="14">
        <f>'Raw Data'!R189</f>
        <v>310.70000000000005</v>
      </c>
      <c r="L189" s="14">
        <f>'Raw Data'!S189</f>
        <v>348.69036940118735</v>
      </c>
      <c r="M189" s="16"/>
      <c r="Q189" s="23" t="e">
        <f>(VLOOKUP(A189,FEDEX!$A:$H,7,FALSE))/(VLOOKUP(A189,FEDEX!$A:$D,4,FALSE))</f>
        <v>#N/A</v>
      </c>
      <c r="R189" s="23" t="e">
        <f>(VLOOKUP(B189,FEDEX!$A:$H,8,FALSE))/(VLOOKUP(B189,FEDEX!$A:$D,4,FALSE))</f>
        <v>#N/A</v>
      </c>
      <c r="S189" s="16" t="e">
        <f>VLOOKUP(B189,SG!$A:$F,6,FALSE)</f>
        <v>#N/A</v>
      </c>
    </row>
    <row r="190" spans="1:19">
      <c r="A190" s="22" t="str">
        <f>'Raw Data'!I190</f>
        <v>Aaron Wise</v>
      </c>
      <c r="B190" s="137" t="e">
        <f t="shared" si="2"/>
        <v>#N/A</v>
      </c>
      <c r="C190">
        <f>'Raw Data'!J190</f>
        <v>75</v>
      </c>
      <c r="D190">
        <f>'Raw Data'!K190</f>
        <v>147</v>
      </c>
      <c r="E190">
        <f>'Raw Data'!L190</f>
        <v>192</v>
      </c>
      <c r="F190">
        <f>'Raw Data'!M190</f>
        <v>45</v>
      </c>
      <c r="G190">
        <f>'Raw Data'!N190</f>
        <v>19</v>
      </c>
      <c r="H190">
        <f>'Raw Data'!O190</f>
        <v>128</v>
      </c>
      <c r="I190">
        <f>'Raw Data'!P190</f>
        <v>302.89999999999998</v>
      </c>
      <c r="J190" s="14">
        <f>'Raw Data'!Q190</f>
        <v>447.09365475611315</v>
      </c>
      <c r="K190" s="14">
        <f>'Raw Data'!R190</f>
        <v>302.89999999999998</v>
      </c>
      <c r="L190" s="14">
        <f>'Raw Data'!S190</f>
        <v>447.09365475611315</v>
      </c>
      <c r="M190" s="16"/>
      <c r="Q190" s="23" t="e">
        <f>(VLOOKUP(A190,FEDEX!$A:$H,7,FALSE))/(VLOOKUP(A190,FEDEX!$A:$D,4,FALSE))</f>
        <v>#N/A</v>
      </c>
      <c r="R190" s="23" t="e">
        <f>(VLOOKUP(B190,FEDEX!$A:$H,8,FALSE))/(VLOOKUP(B190,FEDEX!$A:$D,4,FALSE))</f>
        <v>#N/A</v>
      </c>
      <c r="S190" s="16" t="e">
        <f>VLOOKUP(B190,SG!$A:$F,6,FALSE)</f>
        <v>#N/A</v>
      </c>
    </row>
    <row r="191" spans="1:19">
      <c r="A191" s="22" t="str">
        <f>'Raw Data'!I191</f>
        <v>Tommy Gainey</v>
      </c>
      <c r="B191" s="137" t="str">
        <f t="shared" si="2"/>
        <v>Tommy Gainey</v>
      </c>
      <c r="C191">
        <f>'Raw Data'!J191</f>
        <v>186</v>
      </c>
      <c r="D191">
        <f>'Raw Data'!K191</f>
        <v>106</v>
      </c>
      <c r="E191">
        <f>'Raw Data'!L191</f>
        <v>167</v>
      </c>
      <c r="F191">
        <f>'Raw Data'!M191</f>
        <v>192</v>
      </c>
      <c r="G191">
        <f>'Raw Data'!N191</f>
        <v>90</v>
      </c>
      <c r="H191">
        <f>'Raw Data'!O191</f>
        <v>194</v>
      </c>
      <c r="I191">
        <f>'Raw Data'!P191</f>
        <v>459.1</v>
      </c>
      <c r="J191" s="14">
        <f>'Raw Data'!Q191</f>
        <v>666.63897560530677</v>
      </c>
      <c r="K191" s="14">
        <f>'Raw Data'!R191</f>
        <v>459.1</v>
      </c>
      <c r="L191" s="14">
        <f>'Raw Data'!S191</f>
        <v>666.63897560530677</v>
      </c>
      <c r="M191" s="16"/>
      <c r="Q191" s="23">
        <f>(VLOOKUP(A191,FEDEX!$A:$H,7,FALSE))/(VLOOKUP(A191,FEDEX!$A:$D,4,FALSE))</f>
        <v>0</v>
      </c>
      <c r="R191" s="23">
        <f>(VLOOKUP(B191,FEDEX!$A:$H,8,FALSE))/(VLOOKUP(B191,FEDEX!$A:$D,4,FALSE))</f>
        <v>0</v>
      </c>
      <c r="S191" s="16" t="e">
        <f>VLOOKUP(B191,SG!$A:$F,6,FALSE)</f>
        <v>#N/A</v>
      </c>
    </row>
    <row r="192" spans="1:19">
      <c r="A192" s="22" t="str">
        <f>'Raw Data'!I192</f>
        <v>Sangmoon Bae</v>
      </c>
      <c r="B192" s="137" t="str">
        <f t="shared" si="2"/>
        <v>Sangmoon Bae</v>
      </c>
      <c r="C192">
        <f>'Raw Data'!J192</f>
        <v>124</v>
      </c>
      <c r="D192">
        <f>'Raw Data'!K192</f>
        <v>174</v>
      </c>
      <c r="E192">
        <f>'Raw Data'!L192</f>
        <v>186</v>
      </c>
      <c r="F192">
        <f>'Raw Data'!M192</f>
        <v>155</v>
      </c>
      <c r="G192">
        <f>'Raw Data'!N192</f>
        <v>53</v>
      </c>
      <c r="H192">
        <f>'Raw Data'!O192</f>
        <v>181</v>
      </c>
      <c r="I192">
        <f>'Raw Data'!P192</f>
        <v>417.3</v>
      </c>
      <c r="J192" s="14">
        <f>'Raw Data'!Q192</f>
        <v>623.23899708870772</v>
      </c>
      <c r="K192" s="14">
        <f>'Raw Data'!R192</f>
        <v>417.30000000000007</v>
      </c>
      <c r="L192" s="14">
        <f>'Raw Data'!S192</f>
        <v>623.23899708870772</v>
      </c>
      <c r="M192" s="16"/>
      <c r="Q192" s="23">
        <f>(VLOOKUP(A192,FEDEX!$A:$H,7,FALSE))/(VLOOKUP(A192,FEDEX!$A:$D,4,FALSE))</f>
        <v>0</v>
      </c>
      <c r="R192" s="23">
        <f>(VLOOKUP(B192,FEDEX!$A:$H,8,FALSE))/(VLOOKUP(B192,FEDEX!$A:$D,4,FALSE))</f>
        <v>0</v>
      </c>
      <c r="S192" s="16" t="e">
        <f>VLOOKUP(B192,SG!$A:$F,6,FALSE)</f>
        <v>#N/A</v>
      </c>
    </row>
    <row r="193" spans="1:19">
      <c r="A193" s="22" t="str">
        <f>'Raw Data'!I193</f>
        <v>Scott Brown</v>
      </c>
      <c r="B193" s="137" t="e">
        <f t="shared" si="2"/>
        <v>#N/A</v>
      </c>
      <c r="C193">
        <f>'Raw Data'!J193</f>
        <v>183</v>
      </c>
      <c r="D193">
        <f>'Raw Data'!K193</f>
        <v>91</v>
      </c>
      <c r="E193">
        <f>'Raw Data'!L193</f>
        <v>194</v>
      </c>
      <c r="F193">
        <f>'Raw Data'!M193</f>
        <v>141</v>
      </c>
      <c r="G193">
        <f>'Raw Data'!N193</f>
        <v>183</v>
      </c>
      <c r="H193">
        <f>'Raw Data'!O193</f>
        <v>192</v>
      </c>
      <c r="I193">
        <f>'Raw Data'!P193</f>
        <v>493.9</v>
      </c>
      <c r="J193" s="14">
        <f>'Raw Data'!Q193</f>
        <v>695.72482329162608</v>
      </c>
      <c r="K193" s="14">
        <f>'Raw Data'!R193</f>
        <v>493.9</v>
      </c>
      <c r="L193" s="14">
        <f>'Raw Data'!S193</f>
        <v>695.72482329162608</v>
      </c>
      <c r="M193" s="16"/>
      <c r="Q193" s="23" t="e">
        <f>(VLOOKUP(A193,FEDEX!$A:$H,7,FALSE))/(VLOOKUP(A193,FEDEX!$A:$D,4,FALSE))</f>
        <v>#N/A</v>
      </c>
      <c r="R193" s="23" t="e">
        <f>(VLOOKUP(B193,FEDEX!$A:$H,8,FALSE))/(VLOOKUP(B193,FEDEX!$A:$D,4,FALSE))</f>
        <v>#N/A</v>
      </c>
      <c r="S193" s="16" t="e">
        <f>VLOOKUP(B193,SG!$A:$F,6,FALSE)</f>
        <v>#N/A</v>
      </c>
    </row>
    <row r="194" spans="1:19">
      <c r="A194" s="22" t="str">
        <f>'Raw Data'!I194</f>
        <v>Kyle Stanley</v>
      </c>
      <c r="B194" s="137" t="str">
        <f t="shared" ref="B194:B234" si="3">VLOOKUP(A194,$V:$V,1,FALSE)</f>
        <v>Kyle Stanley</v>
      </c>
      <c r="C194">
        <f>'Raw Data'!J194</f>
        <v>183</v>
      </c>
      <c r="D194">
        <f>'Raw Data'!K194</f>
        <v>72</v>
      </c>
      <c r="E194">
        <f>'Raw Data'!L194</f>
        <v>161</v>
      </c>
      <c r="F194">
        <f>'Raw Data'!M194</f>
        <v>180</v>
      </c>
      <c r="G194">
        <f>'Raw Data'!N194</f>
        <v>194</v>
      </c>
      <c r="H194">
        <f>'Raw Data'!O194</f>
        <v>194</v>
      </c>
      <c r="I194">
        <f>'Raw Data'!P194</f>
        <v>482.4</v>
      </c>
      <c r="J194" s="14">
        <f>'Raw Data'!Q194</f>
        <v>689.70090123417003</v>
      </c>
      <c r="K194" s="14">
        <f>'Raw Data'!R194</f>
        <v>482.4</v>
      </c>
      <c r="L194" s="14">
        <f>'Raw Data'!S194</f>
        <v>689.70090123417003</v>
      </c>
      <c r="M194" s="16"/>
      <c r="Q194" s="23">
        <f>(VLOOKUP(A194,FEDEX!$A:$H,7,FALSE))/(VLOOKUP(A194,FEDEX!$A:$D,4,FALSE))</f>
        <v>0</v>
      </c>
      <c r="R194" s="23">
        <f>(VLOOKUP(B194,FEDEX!$A:$H,8,FALSE))/(VLOOKUP(B194,FEDEX!$A:$D,4,FALSE))</f>
        <v>0</v>
      </c>
      <c r="S194" s="16" t="e">
        <f>VLOOKUP(B194,SG!$A:$F,6,FALSE)</f>
        <v>#N/A</v>
      </c>
    </row>
    <row r="195" spans="1:19">
      <c r="A195" s="22" t="str">
        <f>'Raw Data'!I195</f>
        <v>Henrik Norlander</v>
      </c>
      <c r="B195" s="137" t="str">
        <f t="shared" si="3"/>
        <v>Henrik Norlander</v>
      </c>
      <c r="C195">
        <f>'Raw Data'!J195</f>
        <v>165</v>
      </c>
      <c r="D195">
        <f>'Raw Data'!K195</f>
        <v>63</v>
      </c>
      <c r="E195">
        <f>'Raw Data'!L195</f>
        <v>106</v>
      </c>
      <c r="F195">
        <f>'Raw Data'!M195</f>
        <v>98</v>
      </c>
      <c r="G195">
        <f>'Raw Data'!N195</f>
        <v>155</v>
      </c>
      <c r="H195">
        <f>'Raw Data'!O195</f>
        <v>157</v>
      </c>
      <c r="I195">
        <f>'Raw Data'!P195</f>
        <v>370.9</v>
      </c>
      <c r="J195" s="14">
        <f>'Raw Data'!Q195</f>
        <v>520.80895625466906</v>
      </c>
      <c r="K195" s="14">
        <f>'Raw Data'!R195</f>
        <v>370.9</v>
      </c>
      <c r="L195" s="14">
        <f>'Raw Data'!S195</f>
        <v>520.80895625466906</v>
      </c>
      <c r="M195" s="16"/>
      <c r="Q195" s="23">
        <f>(VLOOKUP(A195,FEDEX!$A:$H,7,FALSE))/(VLOOKUP(A195,FEDEX!$A:$D,4,FALSE))</f>
        <v>0</v>
      </c>
      <c r="R195" s="23">
        <f>(VLOOKUP(B195,FEDEX!$A:$H,8,FALSE))/(VLOOKUP(B195,FEDEX!$A:$D,4,FALSE))</f>
        <v>0</v>
      </c>
      <c r="S195" s="16" t="e">
        <f>VLOOKUP(B195,SG!$A:$F,6,FALSE)</f>
        <v>#N/A</v>
      </c>
    </row>
    <row r="196" spans="1:19">
      <c r="A196" s="22" t="str">
        <f>'Raw Data'!I196</f>
        <v>Austin Smotherman</v>
      </c>
      <c r="B196" s="137" t="str">
        <f t="shared" si="3"/>
        <v>Austin Smotherman</v>
      </c>
      <c r="C196">
        <f>'Raw Data'!J196</f>
        <v>94</v>
      </c>
      <c r="D196">
        <f>'Raw Data'!K196</f>
        <v>56</v>
      </c>
      <c r="E196">
        <f>'Raw Data'!L196</f>
        <v>124</v>
      </c>
      <c r="F196">
        <f>'Raw Data'!M196</f>
        <v>170</v>
      </c>
      <c r="G196">
        <f>'Raw Data'!N196</f>
        <v>98</v>
      </c>
      <c r="H196">
        <f>'Raw Data'!O196</f>
        <v>147</v>
      </c>
      <c r="I196">
        <f>'Raw Data'!P196</f>
        <v>316.39999999999998</v>
      </c>
      <c r="J196" s="14">
        <f>'Raw Data'!Q196</f>
        <v>491.84439732345311</v>
      </c>
      <c r="K196" s="14">
        <f>'Raw Data'!R196</f>
        <v>316.39999999999998</v>
      </c>
      <c r="L196" s="14">
        <f>'Raw Data'!S196</f>
        <v>491.84439732345311</v>
      </c>
      <c r="M196" s="16"/>
      <c r="Q196" s="23">
        <f>(VLOOKUP(A196,FEDEX!$A:$H,7,FALSE))/(VLOOKUP(A196,FEDEX!$A:$D,4,FALSE))</f>
        <v>0</v>
      </c>
      <c r="R196" s="23">
        <f>(VLOOKUP(B196,FEDEX!$A:$H,8,FALSE))/(VLOOKUP(B196,FEDEX!$A:$D,4,FALSE))</f>
        <v>0</v>
      </c>
      <c r="S196" s="16" t="e">
        <f>VLOOKUP(B196,SG!$A:$F,6,FALSE)</f>
        <v>#N/A</v>
      </c>
    </row>
    <row r="197" spans="1:19">
      <c r="A197" s="22" t="str">
        <f>'Raw Data'!I197</f>
        <v>Kelly Kraft</v>
      </c>
      <c r="B197" s="137" t="e">
        <f t="shared" si="3"/>
        <v>#N/A</v>
      </c>
      <c r="C197">
        <f>'Raw Data'!J197</f>
        <v>180</v>
      </c>
      <c r="D197">
        <f>'Raw Data'!K197</f>
        <v>17</v>
      </c>
      <c r="E197">
        <f>'Raw Data'!L197</f>
        <v>156</v>
      </c>
      <c r="F197">
        <f>'Raw Data'!M197</f>
        <v>171</v>
      </c>
      <c r="G197">
        <f>'Raw Data'!N197</f>
        <v>46</v>
      </c>
      <c r="H197">
        <f>'Raw Data'!O197</f>
        <v>158</v>
      </c>
      <c r="I197">
        <f>'Raw Data'!P197</f>
        <v>371.1</v>
      </c>
      <c r="J197" s="14">
        <f>'Raw Data'!Q197</f>
        <v>537.57997755294286</v>
      </c>
      <c r="K197" s="14">
        <f>'Raw Data'!R197</f>
        <v>371.1</v>
      </c>
      <c r="L197" s="14">
        <f>'Raw Data'!S197</f>
        <v>537.57997755294286</v>
      </c>
      <c r="M197" s="16"/>
      <c r="Q197" s="23" t="e">
        <f>(VLOOKUP(A197,FEDEX!$A:$H,7,FALSE))/(VLOOKUP(A197,FEDEX!$A:$D,4,FALSE))</f>
        <v>#N/A</v>
      </c>
      <c r="R197" s="23" t="e">
        <f>(VLOOKUP(B197,FEDEX!$A:$H,8,FALSE))/(VLOOKUP(B197,FEDEX!$A:$D,4,FALSE))</f>
        <v>#N/A</v>
      </c>
      <c r="S197" s="16" t="e">
        <f>VLOOKUP(B197,SG!$A:$F,6,FALSE)</f>
        <v>#N/A</v>
      </c>
    </row>
    <row r="198" spans="1:19">
      <c r="A198" s="22" t="str">
        <f>'Raw Data'!I198</f>
        <v>Adam Long</v>
      </c>
      <c r="B198" s="137" t="str">
        <f t="shared" si="3"/>
        <v>Adam Long</v>
      </c>
      <c r="C198">
        <f>'Raw Data'!J198</f>
        <v>168</v>
      </c>
      <c r="D198">
        <f>'Raw Data'!K198</f>
        <v>14</v>
      </c>
      <c r="E198">
        <f>'Raw Data'!L198</f>
        <v>178</v>
      </c>
      <c r="F198">
        <f>'Raw Data'!M198</f>
        <v>39</v>
      </c>
      <c r="G198">
        <f>'Raw Data'!N198</f>
        <v>43</v>
      </c>
      <c r="H198">
        <f>'Raw Data'!O198</f>
        <v>117</v>
      </c>
      <c r="I198">
        <f>'Raw Data'!P198</f>
        <v>319.90000000000003</v>
      </c>
      <c r="J198" s="14">
        <f>'Raw Data'!Q198</f>
        <v>424.90441800976157</v>
      </c>
      <c r="K198" s="14">
        <f>'Raw Data'!R198</f>
        <v>319.90000000000003</v>
      </c>
      <c r="L198" s="14">
        <f>'Raw Data'!S198</f>
        <v>424.90441800976157</v>
      </c>
      <c r="M198" s="16"/>
      <c r="Q198" s="23">
        <f>(VLOOKUP(A198,FEDEX!$A:$H,7,FALSE))/(VLOOKUP(A198,FEDEX!$A:$D,4,FALSE))</f>
        <v>0</v>
      </c>
      <c r="R198" s="23">
        <f>(VLOOKUP(B198,FEDEX!$A:$H,8,FALSE))/(VLOOKUP(B198,FEDEX!$A:$D,4,FALSE))</f>
        <v>0</v>
      </c>
      <c r="S198" s="16" t="e">
        <f>VLOOKUP(B198,SG!$A:$F,6,FALSE)</f>
        <v>#N/A</v>
      </c>
    </row>
    <row r="199" spans="1:19">
      <c r="A199" s="22" t="str">
        <f>'Raw Data'!I199</f>
        <v>Satoshi Kodaira</v>
      </c>
      <c r="B199" s="137" t="e">
        <f t="shared" si="3"/>
        <v>#N/A</v>
      </c>
      <c r="C199">
        <f>'Raw Data'!J199</f>
        <v>181</v>
      </c>
      <c r="D199">
        <f>'Raw Data'!K199</f>
        <v>3</v>
      </c>
      <c r="E199">
        <f>'Raw Data'!L199</f>
        <v>82</v>
      </c>
      <c r="F199">
        <f>'Raw Data'!M199</f>
        <v>51</v>
      </c>
      <c r="G199">
        <f>'Raw Data'!N199</f>
        <v>171</v>
      </c>
      <c r="H199">
        <f>'Raw Data'!O199</f>
        <v>137</v>
      </c>
      <c r="I199">
        <f>'Raw Data'!P199</f>
        <v>327.70000000000005</v>
      </c>
      <c r="J199" s="14">
        <f>'Raw Data'!Q199</f>
        <v>440.60956720892096</v>
      </c>
      <c r="K199" s="14">
        <f>'Raw Data'!R199</f>
        <v>327.70000000000005</v>
      </c>
      <c r="L199" s="14">
        <f>'Raw Data'!S199</f>
        <v>440.60956720892096</v>
      </c>
      <c r="M199" s="16"/>
      <c r="Q199" s="23" t="e">
        <f>(VLOOKUP(A199,FEDEX!$A:$H,7,FALSE))/(VLOOKUP(A199,FEDEX!$A:$D,4,FALSE))</f>
        <v>#N/A</v>
      </c>
      <c r="R199" s="23" t="e">
        <f>(VLOOKUP(B199,FEDEX!$A:$H,8,FALSE))/(VLOOKUP(B199,FEDEX!$A:$D,4,FALSE))</f>
        <v>#N/A</v>
      </c>
      <c r="S199" s="16" t="e">
        <f>VLOOKUP(B199,SG!$A:$F,6,FALSE)</f>
        <v>#N/A</v>
      </c>
    </row>
    <row r="200" spans="1:19">
      <c r="A200" s="22" t="str">
        <f>'Raw Data'!I200</f>
        <v>MJ Daffue</v>
      </c>
      <c r="B200" s="137" t="str">
        <f t="shared" si="3"/>
        <v>MJ Daffue</v>
      </c>
      <c r="C200">
        <f>'Raw Data'!J200</f>
        <v>29</v>
      </c>
      <c r="D200">
        <f>'Raw Data'!K200</f>
        <v>116</v>
      </c>
      <c r="E200">
        <f>'Raw Data'!L200</f>
        <v>170</v>
      </c>
      <c r="F200">
        <f>'Raw Data'!M200</f>
        <v>159</v>
      </c>
      <c r="G200">
        <f>'Raw Data'!N200</f>
        <v>148</v>
      </c>
      <c r="H200">
        <f>'Raw Data'!O200</f>
        <v>132</v>
      </c>
      <c r="I200">
        <f>'Raw Data'!P200</f>
        <v>340.7</v>
      </c>
      <c r="J200" s="14">
        <f>'Raw Data'!Q200</f>
        <v>524.36086930377076</v>
      </c>
      <c r="K200" s="14">
        <f>'Raw Data'!R200</f>
        <v>340.7</v>
      </c>
      <c r="L200" s="14">
        <f>'Raw Data'!S200</f>
        <v>524.36086930377076</v>
      </c>
      <c r="M200" s="16"/>
      <c r="Q200" s="23">
        <f>(VLOOKUP(A200,FEDEX!$A:$H,7,FALSE))/(VLOOKUP(A200,FEDEX!$A:$D,4,FALSE))</f>
        <v>0</v>
      </c>
      <c r="R200" s="23">
        <f>(VLOOKUP(B200,FEDEX!$A:$H,8,FALSE))/(VLOOKUP(B200,FEDEX!$A:$D,4,FALSE))</f>
        <v>0</v>
      </c>
      <c r="S200" s="16" t="e">
        <f>VLOOKUP(B200,SG!$A:$F,6,FALSE)</f>
        <v>#N/A</v>
      </c>
    </row>
    <row r="201" spans="1:19">
      <c r="A201" s="22" t="str">
        <f>'Raw Data'!I201</f>
        <v>Brice Garnett</v>
      </c>
      <c r="B201" s="137" t="e">
        <f t="shared" si="3"/>
        <v>#N/A</v>
      </c>
      <c r="C201">
        <f>'Raw Data'!J201</f>
        <v>177</v>
      </c>
      <c r="D201">
        <f>'Raw Data'!K201</f>
        <v>32</v>
      </c>
      <c r="E201">
        <f>'Raw Data'!L201</f>
        <v>137</v>
      </c>
      <c r="F201">
        <f>'Raw Data'!M201</f>
        <v>71</v>
      </c>
      <c r="G201">
        <f>'Raw Data'!N201</f>
        <v>69</v>
      </c>
      <c r="H201">
        <f>'Raw Data'!O201</f>
        <v>105</v>
      </c>
      <c r="I201">
        <f>'Raw Data'!P201</f>
        <v>334.09999999999997</v>
      </c>
      <c r="J201" s="14">
        <f>'Raw Data'!Q201</f>
        <v>425.83211422444185</v>
      </c>
      <c r="K201" s="14">
        <f>'Raw Data'!R201</f>
        <v>334.09999999999997</v>
      </c>
      <c r="L201" s="14">
        <f>'Raw Data'!S201</f>
        <v>425.83211422444185</v>
      </c>
      <c r="M201" s="16"/>
      <c r="Q201" s="23">
        <f>(VLOOKUP(A201,FEDEX!$A:$H,7,FALSE))/(VLOOKUP(A201,FEDEX!$A:$D,4,FALSE))</f>
        <v>0</v>
      </c>
      <c r="R201" s="23" t="e">
        <f>(VLOOKUP(B201,FEDEX!$A:$H,8,FALSE))/(VLOOKUP(B201,FEDEX!$A:$D,4,FALSE))</f>
        <v>#N/A</v>
      </c>
      <c r="S201" s="16" t="e">
        <f>VLOOKUP(B201,SG!$A:$F,6,FALSE)</f>
        <v>#N/A</v>
      </c>
    </row>
    <row r="202" spans="1:19">
      <c r="A202" s="22" t="str">
        <f>'Raw Data'!I202</f>
        <v>Kevin Tway</v>
      </c>
      <c r="B202" s="137" t="str">
        <f t="shared" si="3"/>
        <v>Kevin Tway</v>
      </c>
      <c r="C202">
        <f>'Raw Data'!J202</f>
        <v>39</v>
      </c>
      <c r="D202">
        <f>'Raw Data'!K202</f>
        <v>176</v>
      </c>
      <c r="E202">
        <f>'Raw Data'!L202</f>
        <v>140</v>
      </c>
      <c r="F202">
        <f>'Raw Data'!M202</f>
        <v>151</v>
      </c>
      <c r="G202">
        <f>'Raw Data'!N202</f>
        <v>95</v>
      </c>
      <c r="H202">
        <f>'Raw Data'!O202</f>
        <v>135</v>
      </c>
      <c r="I202">
        <f>'Raw Data'!P202</f>
        <v>329</v>
      </c>
      <c r="J202" s="14">
        <f>'Raw Data'!Q202</f>
        <v>505.8368832725817</v>
      </c>
      <c r="K202" s="14">
        <f>'Raw Data'!R202</f>
        <v>329</v>
      </c>
      <c r="L202" s="14">
        <f>'Raw Data'!S202</f>
        <v>505.8368832725817</v>
      </c>
      <c r="M202" s="16"/>
      <c r="Q202" s="23">
        <f>(VLOOKUP(A202,FEDEX!$A:$H,7,FALSE))/(VLOOKUP(A202,FEDEX!$A:$D,4,FALSE))</f>
        <v>0</v>
      </c>
      <c r="R202" s="23">
        <f>(VLOOKUP(B202,FEDEX!$A:$H,8,FALSE))/(VLOOKUP(B202,FEDEX!$A:$D,4,FALSE))</f>
        <v>0</v>
      </c>
      <c r="S202" s="16" t="e">
        <f>VLOOKUP(B202,SG!$A:$F,6,FALSE)</f>
        <v>#N/A</v>
      </c>
    </row>
    <row r="203" spans="1:19">
      <c r="A203" s="22" t="str">
        <f>'Raw Data'!I203</f>
        <v>Wesley Bryan</v>
      </c>
      <c r="B203" s="137" t="str">
        <f t="shared" si="3"/>
        <v>Wesley Bryan</v>
      </c>
      <c r="C203">
        <f>'Raw Data'!J203</f>
        <v>103</v>
      </c>
      <c r="D203">
        <f>'Raw Data'!K203</f>
        <v>166</v>
      </c>
      <c r="E203">
        <f>'Raw Data'!L203</f>
        <v>173</v>
      </c>
      <c r="F203">
        <f>'Raw Data'!M203</f>
        <v>18</v>
      </c>
      <c r="G203">
        <f>'Raw Data'!N203</f>
        <v>180</v>
      </c>
      <c r="H203">
        <f>'Raw Data'!O203</f>
        <v>181</v>
      </c>
      <c r="I203">
        <f>'Raw Data'!P203</f>
        <v>393.99999999999994</v>
      </c>
      <c r="J203" s="14">
        <f>'Raw Data'!Q203</f>
        <v>578.69611161725675</v>
      </c>
      <c r="K203" s="14">
        <f>'Raw Data'!R203</f>
        <v>393.99999999999994</v>
      </c>
      <c r="L203" s="14">
        <f>'Raw Data'!S203</f>
        <v>578.69611161725675</v>
      </c>
      <c r="M203" s="16"/>
      <c r="Q203" s="23" t="e">
        <f>(VLOOKUP(A203,FEDEX!$A:$H,7,FALSE))/(VLOOKUP(A203,FEDEX!$A:$D,4,FALSE))</f>
        <v>#N/A</v>
      </c>
      <c r="R203" s="23" t="e">
        <f>(VLOOKUP(B203,FEDEX!$A:$H,8,FALSE))/(VLOOKUP(B203,FEDEX!$A:$D,4,FALSE))</f>
        <v>#N/A</v>
      </c>
      <c r="S203" s="16" t="e">
        <f>VLOOKUP(B203,SG!$A:$F,6,FALSE)</f>
        <v>#N/A</v>
      </c>
    </row>
    <row r="204" spans="1:19">
      <c r="A204" s="22" t="str">
        <f>'Raw Data'!I204</f>
        <v>James Hahn</v>
      </c>
      <c r="B204" s="137" t="str">
        <f t="shared" si="3"/>
        <v>James Hahn</v>
      </c>
      <c r="C204">
        <f>'Raw Data'!J204</f>
        <v>114</v>
      </c>
      <c r="D204">
        <f>'Raw Data'!K204</f>
        <v>31</v>
      </c>
      <c r="E204">
        <f>'Raw Data'!L204</f>
        <v>141</v>
      </c>
      <c r="F204">
        <f>'Raw Data'!M204</f>
        <v>169</v>
      </c>
      <c r="G204">
        <f>'Raw Data'!N204</f>
        <v>146</v>
      </c>
      <c r="H204">
        <f>'Raw Data'!O204</f>
        <v>146</v>
      </c>
      <c r="I204">
        <f>'Raw Data'!P204</f>
        <v>357.40000000000003</v>
      </c>
      <c r="J204" s="14">
        <f>'Raw Data'!Q204</f>
        <v>529.60109319686126</v>
      </c>
      <c r="K204" s="14">
        <f>'Raw Data'!R204</f>
        <v>357.40000000000003</v>
      </c>
      <c r="L204" s="14">
        <f>'Raw Data'!S204</f>
        <v>529.60109319686126</v>
      </c>
      <c r="M204" s="16"/>
      <c r="Q204" s="23">
        <f>(VLOOKUP(A204,FEDEX!$A:$H,7,FALSE))/(VLOOKUP(A204,FEDEX!$A:$D,4,FALSE))</f>
        <v>0</v>
      </c>
      <c r="R204" s="23">
        <f>(VLOOKUP(B204,FEDEX!$A:$H,8,FALSE))/(VLOOKUP(B204,FEDEX!$A:$D,4,FALSE))</f>
        <v>0</v>
      </c>
      <c r="S204" s="16" t="e">
        <f>VLOOKUP(B204,SG!$A:$F,6,FALSE)</f>
        <v>#N/A</v>
      </c>
    </row>
    <row r="205" spans="1:19">
      <c r="A205" s="22" t="str">
        <f>'Raw Data'!I205</f>
        <v>Richy Werenski</v>
      </c>
      <c r="B205" s="137" t="str">
        <f t="shared" si="3"/>
        <v>Richy Werenski</v>
      </c>
      <c r="C205">
        <f>'Raw Data'!J205</f>
        <v>93</v>
      </c>
      <c r="D205">
        <f>'Raw Data'!K205</f>
        <v>118</v>
      </c>
      <c r="E205">
        <f>'Raw Data'!L205</f>
        <v>191</v>
      </c>
      <c r="F205">
        <f>'Raw Data'!M205</f>
        <v>153</v>
      </c>
      <c r="G205">
        <f>'Raw Data'!N205</f>
        <v>44</v>
      </c>
      <c r="H205">
        <f>'Raw Data'!O205</f>
        <v>172</v>
      </c>
      <c r="I205">
        <f>'Raw Data'!P205</f>
        <v>359.59999999999997</v>
      </c>
      <c r="J205" s="14">
        <f>'Raw Data'!Q205</f>
        <v>565.22128469947961</v>
      </c>
      <c r="K205" s="14">
        <f>'Raw Data'!R205</f>
        <v>359.59999999999997</v>
      </c>
      <c r="L205" s="14">
        <f>'Raw Data'!S205</f>
        <v>565.22128469947961</v>
      </c>
      <c r="M205" s="16"/>
      <c r="Q205" s="23">
        <f>(VLOOKUP(A205,FEDEX!$A:$H,7,FALSE))/(VLOOKUP(A205,FEDEX!$A:$D,4,FALSE))</f>
        <v>0</v>
      </c>
      <c r="R205" s="23">
        <f>(VLOOKUP(B205,FEDEX!$A:$H,8,FALSE))/(VLOOKUP(B205,FEDEX!$A:$D,4,FALSE))</f>
        <v>0</v>
      </c>
      <c r="S205" s="16" t="e">
        <f>VLOOKUP(B205,SG!$A:$F,6,FALSE)</f>
        <v>#N/A</v>
      </c>
    </row>
    <row r="206" spans="1:19">
      <c r="A206" s="22" t="str">
        <f>'Raw Data'!I206</f>
        <v>Harry Higgs</v>
      </c>
      <c r="B206" s="137" t="str">
        <f t="shared" si="3"/>
        <v>Harry Higgs</v>
      </c>
      <c r="C206">
        <f>'Raw Data'!J206</f>
        <v>85</v>
      </c>
      <c r="D206">
        <f>'Raw Data'!K206</f>
        <v>167</v>
      </c>
      <c r="E206">
        <f>'Raw Data'!L206</f>
        <v>192</v>
      </c>
      <c r="F206">
        <f>'Raw Data'!M206</f>
        <v>144</v>
      </c>
      <c r="G206">
        <f>'Raw Data'!N206</f>
        <v>58</v>
      </c>
      <c r="H206">
        <f>'Raw Data'!O206</f>
        <v>185</v>
      </c>
      <c r="I206">
        <f>'Raw Data'!P206</f>
        <v>381</v>
      </c>
      <c r="J206" s="14">
        <f>'Raw Data'!Q206</f>
        <v>600.39498836048301</v>
      </c>
      <c r="K206" s="14">
        <f>'Raw Data'!R206</f>
        <v>381</v>
      </c>
      <c r="L206" s="14">
        <f>'Raw Data'!S206</f>
        <v>600.39498836048301</v>
      </c>
      <c r="M206" s="16"/>
      <c r="Q206" s="23" t="e">
        <f>(VLOOKUP(A206,FEDEX!$A:$H,7,FALSE))/(VLOOKUP(A206,FEDEX!$A:$D,4,FALSE))</f>
        <v>#N/A</v>
      </c>
      <c r="R206" s="23" t="e">
        <f>(VLOOKUP(B206,FEDEX!$A:$H,8,FALSE))/(VLOOKUP(B206,FEDEX!$A:$D,4,FALSE))</f>
        <v>#N/A</v>
      </c>
      <c r="S206" s="16" t="e">
        <f>VLOOKUP(B206,SG!$A:$F,6,FALSE)</f>
        <v>#N/A</v>
      </c>
    </row>
    <row r="207" spans="1:19">
      <c r="A207" s="22" t="str">
        <f>'Raw Data'!I207</f>
        <v>Austin Cook</v>
      </c>
      <c r="B207" s="137" t="str">
        <f t="shared" si="3"/>
        <v>Austin Cook</v>
      </c>
      <c r="C207">
        <f>'Raw Data'!J207</f>
        <v>188</v>
      </c>
      <c r="D207">
        <f>'Raw Data'!K207</f>
        <v>28</v>
      </c>
      <c r="E207">
        <f>'Raw Data'!L207</f>
        <v>166</v>
      </c>
      <c r="F207">
        <f>'Raw Data'!M207</f>
        <v>24</v>
      </c>
      <c r="G207">
        <f>'Raw Data'!N207</f>
        <v>127</v>
      </c>
      <c r="H207">
        <f>'Raw Data'!O207</f>
        <v>171</v>
      </c>
      <c r="I207">
        <f>'Raw Data'!P207</f>
        <v>372.5</v>
      </c>
      <c r="J207" s="14">
        <f>'Raw Data'!Q207</f>
        <v>523.01484888731295</v>
      </c>
      <c r="K207" s="14">
        <f>'Raw Data'!R207</f>
        <v>372.5</v>
      </c>
      <c r="L207" s="14">
        <f>'Raw Data'!S207</f>
        <v>523.01484888731295</v>
      </c>
      <c r="M207" s="16"/>
      <c r="Q207" s="23">
        <f>(VLOOKUP(A207,FEDEX!$A:$H,7,FALSE))/(VLOOKUP(A207,FEDEX!$A:$D,4,FALSE))</f>
        <v>0</v>
      </c>
      <c r="R207" s="23">
        <f>(VLOOKUP(B207,FEDEX!$A:$H,8,FALSE))/(VLOOKUP(B207,FEDEX!$A:$D,4,FALSE))</f>
        <v>0</v>
      </c>
      <c r="S207" s="16" t="e">
        <f>VLOOKUP(B207,SG!$A:$F,6,FALSE)</f>
        <v>#N/A</v>
      </c>
    </row>
    <row r="208" spans="1:19">
      <c r="A208" s="22" t="str">
        <f>'Raw Data'!I208</f>
        <v>Jonathan Byrd</v>
      </c>
      <c r="B208" s="137" t="str">
        <f t="shared" si="3"/>
        <v>Jonathan Byrd</v>
      </c>
      <c r="C208">
        <f>'Raw Data'!J208</f>
        <v>173</v>
      </c>
      <c r="D208">
        <f>'Raw Data'!K208</f>
        <v>81</v>
      </c>
      <c r="E208">
        <f>'Raw Data'!L208</f>
        <v>181</v>
      </c>
      <c r="F208">
        <f>'Raw Data'!M208</f>
        <v>1</v>
      </c>
      <c r="G208">
        <f>'Raw Data'!N208</f>
        <v>178</v>
      </c>
      <c r="H208">
        <f>'Raw Data'!O208</f>
        <v>169</v>
      </c>
      <c r="I208">
        <f>'Raw Data'!P208</f>
        <v>412.29999999999995</v>
      </c>
      <c r="J208" s="14">
        <f>'Raw Data'!Q208</f>
        <v>563.44470433790582</v>
      </c>
      <c r="K208" s="14">
        <f>'Raw Data'!R208</f>
        <v>412.29999999999995</v>
      </c>
      <c r="L208" s="14">
        <f>'Raw Data'!S208</f>
        <v>563.44470433790582</v>
      </c>
      <c r="M208" s="16"/>
      <c r="Q208" s="23" t="e">
        <f>(VLOOKUP(A208,FEDEX!$A:$H,7,FALSE))/(VLOOKUP(A208,FEDEX!$A:$D,4,FALSE))</f>
        <v>#N/A</v>
      </c>
      <c r="R208" s="23" t="e">
        <f>(VLOOKUP(B208,FEDEX!$A:$H,8,FALSE))/(VLOOKUP(B208,FEDEX!$A:$D,4,FALSE))</f>
        <v>#N/A</v>
      </c>
      <c r="S208" s="16" t="e">
        <f>VLOOKUP(B208,SG!$A:$F,6,FALSE)</f>
        <v>#N/A</v>
      </c>
    </row>
    <row r="209" spans="1:22">
      <c r="A209" s="22" t="str">
        <f>'Raw Data'!I209</f>
        <v>Cameron Percy</v>
      </c>
      <c r="B209" s="137" t="e">
        <f t="shared" si="3"/>
        <v>#N/A</v>
      </c>
      <c r="C209">
        <f>'Raw Data'!J209</f>
        <v>173</v>
      </c>
      <c r="D209">
        <f>'Raw Data'!K209</f>
        <v>44</v>
      </c>
      <c r="E209">
        <f>'Raw Data'!L209</f>
        <v>128</v>
      </c>
      <c r="F209">
        <f>'Raw Data'!M209</f>
        <v>121</v>
      </c>
      <c r="G209">
        <f>'Raw Data'!N209</f>
        <v>131</v>
      </c>
      <c r="H209">
        <f>'Raw Data'!O209</f>
        <v>116</v>
      </c>
      <c r="I209">
        <f>'Raw Data'!P209</f>
        <v>381.20000000000005</v>
      </c>
      <c r="J209" s="14">
        <f>'Raw Data'!Q209</f>
        <v>495.22783707219833</v>
      </c>
      <c r="K209" s="14">
        <f>'Raw Data'!R209</f>
        <v>381.20000000000005</v>
      </c>
      <c r="L209" s="14">
        <f>'Raw Data'!S209</f>
        <v>495.22783707219833</v>
      </c>
      <c r="M209" s="16"/>
      <c r="Q209" s="23" t="e">
        <f>(VLOOKUP(A209,FEDEX!$A:$H,7,FALSE))/(VLOOKUP(A209,FEDEX!$A:$D,4,FALSE))</f>
        <v>#N/A</v>
      </c>
      <c r="R209" s="23" t="e">
        <f>(VLOOKUP(B209,FEDEX!$A:$H,8,FALSE))/(VLOOKUP(B209,FEDEX!$A:$D,4,FALSE))</f>
        <v>#N/A</v>
      </c>
      <c r="S209" s="16" t="e">
        <f>VLOOKUP(B209,SG!$A:$F,6,FALSE)</f>
        <v>#N/A</v>
      </c>
      <c r="V209" s="1"/>
    </row>
    <row r="210" spans="1:22">
      <c r="A210" s="22" t="str">
        <f>'Raw Data'!I210</f>
        <v>Zecheng Dou</v>
      </c>
      <c r="B210" s="137" t="str">
        <f t="shared" si="3"/>
        <v>Zecheng Dou</v>
      </c>
      <c r="C210">
        <f>'Raw Data'!J210</f>
        <v>80</v>
      </c>
      <c r="D210">
        <f>'Raw Data'!K210</f>
        <v>159</v>
      </c>
      <c r="E210">
        <f>'Raw Data'!L210</f>
        <v>139</v>
      </c>
      <c r="F210">
        <f>'Raw Data'!M210</f>
        <v>81</v>
      </c>
      <c r="G210">
        <f>'Raw Data'!N210</f>
        <v>174</v>
      </c>
      <c r="H210">
        <f>'Raw Data'!O210</f>
        <v>152</v>
      </c>
      <c r="I210">
        <f>'Raw Data'!P210</f>
        <v>368.2</v>
      </c>
      <c r="J210" s="14">
        <f>'Raw Data'!Q210</f>
        <v>538.06802021564965</v>
      </c>
      <c r="K210" s="14">
        <f>'Raw Data'!R210</f>
        <v>368.2</v>
      </c>
      <c r="L210" s="14">
        <f>'Raw Data'!S210</f>
        <v>538.06802021564965</v>
      </c>
      <c r="M210" s="16"/>
      <c r="Q210" s="23">
        <f>(VLOOKUP(A210,FEDEX!$A:$H,7,FALSE))/(VLOOKUP(A210,FEDEX!$A:$D,4,FALSE))</f>
        <v>0</v>
      </c>
      <c r="R210" s="23">
        <f>(VLOOKUP(B210,FEDEX!$A:$H,8,FALSE))/(VLOOKUP(B210,FEDEX!$A:$D,4,FALSE))</f>
        <v>0</v>
      </c>
      <c r="S210" s="16" t="e">
        <f>VLOOKUP(B210,SG!$A:$F,6,FALSE)</f>
        <v>#N/A</v>
      </c>
    </row>
    <row r="211" spans="1:22">
      <c r="A211" s="22" t="str">
        <f>'Raw Data'!I211</f>
        <v>Russell Knox</v>
      </c>
      <c r="B211" s="137" t="str">
        <f t="shared" si="3"/>
        <v>Russell Knox</v>
      </c>
      <c r="C211">
        <f>'Raw Data'!J211</f>
        <v>183</v>
      </c>
      <c r="D211">
        <f>'Raw Data'!K211</f>
        <v>53</v>
      </c>
      <c r="E211">
        <f>'Raw Data'!L211</f>
        <v>20</v>
      </c>
      <c r="F211">
        <f>'Raw Data'!M211</f>
        <v>130</v>
      </c>
      <c r="G211">
        <f>'Raw Data'!N211</f>
        <v>154</v>
      </c>
      <c r="H211">
        <f>'Raw Data'!O211</f>
        <v>142</v>
      </c>
      <c r="I211">
        <f>'Raw Data'!P211</f>
        <v>334.20000000000005</v>
      </c>
      <c r="J211" s="14">
        <f>'Raw Data'!Q211</f>
        <v>458.39291928788714</v>
      </c>
      <c r="K211" s="14">
        <f>'Raw Data'!R211</f>
        <v>334.20000000000005</v>
      </c>
      <c r="L211" s="14">
        <f>'Raw Data'!S211</f>
        <v>458.39291928788714</v>
      </c>
      <c r="M211" s="16"/>
      <c r="Q211" s="23" t="e">
        <f>(VLOOKUP(A211,FEDEX!$A:$H,7,FALSE))/(VLOOKUP(A211,FEDEX!$A:$D,4,FALSE))</f>
        <v>#N/A</v>
      </c>
      <c r="R211" s="23" t="e">
        <f>(VLOOKUP(B211,FEDEX!$A:$H,8,FALSE))/(VLOOKUP(B211,FEDEX!$A:$D,4,FALSE))</f>
        <v>#N/A</v>
      </c>
      <c r="S211" s="16" t="e">
        <f>VLOOKUP(B211,SG!$A:$F,6,FALSE)</f>
        <v>#N/A</v>
      </c>
    </row>
    <row r="212" spans="1:22">
      <c r="A212" s="22" t="str">
        <f>'Raw Data'!I212</f>
        <v>Scott Piercy</v>
      </c>
      <c r="B212" s="137" t="str">
        <f t="shared" si="3"/>
        <v>Scott Piercy</v>
      </c>
      <c r="C212">
        <f>'Raw Data'!J212</f>
        <v>159</v>
      </c>
      <c r="D212">
        <f>'Raw Data'!K212</f>
        <v>91</v>
      </c>
      <c r="E212">
        <f>'Raw Data'!L212</f>
        <v>109</v>
      </c>
      <c r="F212">
        <f>'Raw Data'!M212</f>
        <v>120</v>
      </c>
      <c r="G212">
        <f>'Raw Data'!N212</f>
        <v>100</v>
      </c>
      <c r="H212">
        <f>'Raw Data'!O212</f>
        <v>122</v>
      </c>
      <c r="I212">
        <f>'Raw Data'!P212</f>
        <v>362.9</v>
      </c>
      <c r="J212" s="14">
        <f>'Raw Data'!Q212</f>
        <v>483.17380081424596</v>
      </c>
      <c r="K212" s="14">
        <f>'Raw Data'!R212</f>
        <v>362.9</v>
      </c>
      <c r="L212" s="14">
        <f>'Raw Data'!S212</f>
        <v>483.17380081424596</v>
      </c>
      <c r="M212" s="16"/>
      <c r="Q212" s="23">
        <f>(VLOOKUP(A212,FEDEX!$A:$H,7,FALSE))/(VLOOKUP(A212,FEDEX!$A:$D,4,FALSE))</f>
        <v>0</v>
      </c>
      <c r="R212" s="23">
        <f>(VLOOKUP(B212,FEDEX!$A:$H,8,FALSE))/(VLOOKUP(B212,FEDEX!$A:$D,4,FALSE))</f>
        <v>0</v>
      </c>
      <c r="S212" s="16" t="e">
        <f>VLOOKUP(B212,SG!$A:$F,6,FALSE)</f>
        <v>#N/A</v>
      </c>
    </row>
    <row r="213" spans="1:22">
      <c r="A213" s="22" t="str">
        <f>'Raw Data'!I213</f>
        <v>William McGirt</v>
      </c>
      <c r="B213" s="137" t="str">
        <f t="shared" si="3"/>
        <v>William McGirt</v>
      </c>
      <c r="C213">
        <f>'Raw Data'!J213</f>
        <v>191</v>
      </c>
      <c r="D213">
        <f>'Raw Data'!K213</f>
        <v>24</v>
      </c>
      <c r="E213">
        <f>'Raw Data'!L213</f>
        <v>118</v>
      </c>
      <c r="F213">
        <f>'Raw Data'!M213</f>
        <v>73</v>
      </c>
      <c r="G213">
        <f>'Raw Data'!N213</f>
        <v>51</v>
      </c>
      <c r="H213">
        <f>'Raw Data'!O213</f>
        <v>109</v>
      </c>
      <c r="I213">
        <f>'Raw Data'!P213</f>
        <v>321.2</v>
      </c>
      <c r="J213" s="14">
        <f>'Raw Data'!Q213</f>
        <v>410.40315915480653</v>
      </c>
      <c r="K213" s="14">
        <f>'Raw Data'!R213</f>
        <v>321.2</v>
      </c>
      <c r="L213" s="14">
        <f>'Raw Data'!S213</f>
        <v>410.40315915480653</v>
      </c>
      <c r="M213" s="16"/>
      <c r="Q213" s="23" t="e">
        <f>(VLOOKUP(A213,FEDEX!$A:$H,7,FALSE))/(VLOOKUP(A213,FEDEX!$A:$D,4,FALSE))</f>
        <v>#N/A</v>
      </c>
      <c r="R213" s="23" t="e">
        <f>(VLOOKUP(B213,FEDEX!$A:$H,8,FALSE))/(VLOOKUP(B213,FEDEX!$A:$D,4,FALSE))</f>
        <v>#N/A</v>
      </c>
      <c r="S213" s="16" t="e">
        <f>VLOOKUP(B213,SG!$A:$F,6,FALSE)</f>
        <v>#N/A</v>
      </c>
    </row>
    <row r="214" spans="1:22">
      <c r="A214" s="22" t="str">
        <f>'Raw Data'!I214</f>
        <v>Robert Streb</v>
      </c>
      <c r="B214" s="137" t="str">
        <f t="shared" si="3"/>
        <v>Robert Streb</v>
      </c>
      <c r="C214">
        <f>'Raw Data'!J214</f>
        <v>121</v>
      </c>
      <c r="D214">
        <f>'Raw Data'!K214</f>
        <v>136</v>
      </c>
      <c r="E214">
        <f>'Raw Data'!L214</f>
        <v>153</v>
      </c>
      <c r="F214">
        <f>'Raw Data'!M214</f>
        <v>105</v>
      </c>
      <c r="G214">
        <f>'Raw Data'!N214</f>
        <v>175</v>
      </c>
      <c r="H214">
        <f>'Raw Data'!O214</f>
        <v>168</v>
      </c>
      <c r="I214">
        <f>'Raw Data'!P214</f>
        <v>413.5</v>
      </c>
      <c r="J214" s="14">
        <f>'Raw Data'!Q214</f>
        <v>595.00695776798716</v>
      </c>
      <c r="K214" s="14">
        <f>'Raw Data'!R214</f>
        <v>413.5</v>
      </c>
      <c r="L214" s="14">
        <f>'Raw Data'!S214</f>
        <v>595.00695776798716</v>
      </c>
      <c r="M214" s="16"/>
      <c r="Q214" s="23" t="e">
        <f>(VLOOKUP(A214,FEDEX!$A:$H,7,FALSE))/(VLOOKUP(A214,FEDEX!$A:$D,4,FALSE))</f>
        <v>#N/A</v>
      </c>
      <c r="R214" s="23" t="e">
        <f>(VLOOKUP(B214,FEDEX!$A:$H,8,FALSE))/(VLOOKUP(B214,FEDEX!$A:$D,4,FALSE))</f>
        <v>#N/A</v>
      </c>
      <c r="S214" s="16" t="e">
        <f>VLOOKUP(B214,SG!$A:$F,6,FALSE)</f>
        <v>#N/A</v>
      </c>
    </row>
    <row r="215" spans="1:22">
      <c r="A215" s="22" t="str">
        <f>'Raw Data'!I215</f>
        <v>Jason Dufner</v>
      </c>
      <c r="B215" s="137" t="str">
        <f t="shared" si="3"/>
        <v>Jason Dufner</v>
      </c>
      <c r="C215">
        <f>'Raw Data'!J215</f>
        <v>112</v>
      </c>
      <c r="D215">
        <f>'Raw Data'!K215</f>
        <v>124</v>
      </c>
      <c r="E215">
        <f>'Raw Data'!L215</f>
        <v>86</v>
      </c>
      <c r="F215">
        <f>'Raw Data'!M215</f>
        <v>64</v>
      </c>
      <c r="G215">
        <f>'Raw Data'!N215</f>
        <v>190</v>
      </c>
      <c r="H215">
        <f>'Raw Data'!O215</f>
        <v>165</v>
      </c>
      <c r="I215">
        <f>'Raw Data'!P215</f>
        <v>343.6</v>
      </c>
      <c r="J215" s="14">
        <f>'Raw Data'!Q215</f>
        <v>507.01772971154077</v>
      </c>
      <c r="K215" s="14">
        <f>'Raw Data'!R215</f>
        <v>343.6</v>
      </c>
      <c r="L215" s="14">
        <f>'Raw Data'!S215</f>
        <v>507.01772971154077</v>
      </c>
      <c r="M215" s="16"/>
      <c r="Q215" s="23" t="e">
        <f>(VLOOKUP(A215,FEDEX!$A:$H,7,FALSE))/(VLOOKUP(A215,FEDEX!$A:$D,4,FALSE))</f>
        <v>#N/A</v>
      </c>
      <c r="R215" s="23" t="e">
        <f>(VLOOKUP(B215,FEDEX!$A:$H,8,FALSE))/(VLOOKUP(B215,FEDEX!$A:$D,4,FALSE))</f>
        <v>#N/A</v>
      </c>
      <c r="S215" s="16" t="e">
        <f>VLOOKUP(B215,SG!$A:$F,6,FALSE)</f>
        <v>#N/A</v>
      </c>
    </row>
    <row r="216" spans="1:22">
      <c r="A216" s="22" t="str">
        <f>'Raw Data'!I216</f>
        <v>Ryan Armour</v>
      </c>
      <c r="B216" s="137" t="str">
        <f t="shared" si="3"/>
        <v>Ryan Armour</v>
      </c>
      <c r="C216">
        <f>'Raw Data'!J216</f>
        <v>187</v>
      </c>
      <c r="D216">
        <f>'Raw Data'!K216</f>
        <v>2</v>
      </c>
      <c r="E216">
        <f>'Raw Data'!L216</f>
        <v>114</v>
      </c>
      <c r="F216">
        <f>'Raw Data'!M216</f>
        <v>148</v>
      </c>
      <c r="G216">
        <f>'Raw Data'!N216</f>
        <v>147</v>
      </c>
      <c r="H216">
        <f>'Raw Data'!O216</f>
        <v>162</v>
      </c>
      <c r="I216">
        <f>'Raw Data'!P216</f>
        <v>381.8</v>
      </c>
      <c r="J216" s="14">
        <f>'Raw Data'!Q216</f>
        <v>541.84391844388756</v>
      </c>
      <c r="K216" s="14">
        <f>'Raw Data'!R216</f>
        <v>381.8</v>
      </c>
      <c r="L216" s="14">
        <f>'Raw Data'!S216</f>
        <v>541.84391844388756</v>
      </c>
      <c r="M216" s="16"/>
      <c r="Q216" s="23" t="e">
        <f>(VLOOKUP(A216,FEDEX!$A:$H,7,FALSE))/(VLOOKUP(A216,FEDEX!$A:$D,4,FALSE))</f>
        <v>#N/A</v>
      </c>
      <c r="R216" s="23" t="e">
        <f>(VLOOKUP(B216,FEDEX!$A:$H,8,FALSE))/(VLOOKUP(B216,FEDEX!$A:$D,4,FALSE))</f>
        <v>#N/A</v>
      </c>
      <c r="S216" s="16" t="e">
        <f>VLOOKUP(B216,SG!$A:$F,6,FALSE)</f>
        <v>#N/A</v>
      </c>
    </row>
    <row r="217" spans="1:22">
      <c r="A217" s="22" t="str">
        <f>'Raw Data'!I217</f>
        <v>Chris Stroud</v>
      </c>
      <c r="B217" s="137" t="e">
        <f t="shared" si="3"/>
        <v>#N/A</v>
      </c>
      <c r="C217">
        <f>'Raw Data'!J217</f>
        <v>175</v>
      </c>
      <c r="D217">
        <f>'Raw Data'!K217</f>
        <v>92</v>
      </c>
      <c r="E217">
        <f>'Raw Data'!L217</f>
        <v>58</v>
      </c>
      <c r="F217">
        <f>'Raw Data'!M217</f>
        <v>139</v>
      </c>
      <c r="G217">
        <f>'Raw Data'!N217</f>
        <v>87</v>
      </c>
      <c r="H217">
        <f>'Raw Data'!O217</f>
        <v>133</v>
      </c>
      <c r="I217">
        <f>'Raw Data'!P217</f>
        <v>343.2</v>
      </c>
      <c r="J217" s="14">
        <f>'Raw Data'!Q217</f>
        <v>466.39036548650682</v>
      </c>
      <c r="K217" s="14">
        <f>'Raw Data'!R217</f>
        <v>343.2</v>
      </c>
      <c r="L217" s="14">
        <f>'Raw Data'!S217</f>
        <v>466.39036548650688</v>
      </c>
      <c r="M217" s="16"/>
      <c r="Q217" s="23">
        <f>(VLOOKUP(A217,FEDEX!$A:$H,7,FALSE))/(VLOOKUP(A217,FEDEX!$A:$D,4,FALSE))</f>
        <v>0</v>
      </c>
      <c r="R217" s="23" t="e">
        <f>(VLOOKUP(B217,FEDEX!$A:$H,8,FALSE))/(VLOOKUP(B217,FEDEX!$A:$D,4,FALSE))</f>
        <v>#N/A</v>
      </c>
      <c r="S217" s="16" t="e">
        <f>VLOOKUP(B217,SG!$A:$F,6,FALSE)</f>
        <v>#N/A</v>
      </c>
    </row>
    <row r="218" spans="1:22">
      <c r="A218" s="22" t="str">
        <f>'Raw Data'!I218</f>
        <v>Michael Gligic</v>
      </c>
      <c r="B218" s="137" t="e">
        <f t="shared" si="3"/>
        <v>#N/A</v>
      </c>
      <c r="C218">
        <f>'Raw Data'!J218</f>
        <v>63</v>
      </c>
      <c r="D218">
        <f>'Raw Data'!K218</f>
        <v>175</v>
      </c>
      <c r="E218">
        <f>'Raw Data'!L218</f>
        <v>183</v>
      </c>
      <c r="F218">
        <f>'Raw Data'!M218</f>
        <v>190</v>
      </c>
      <c r="G218">
        <f>'Raw Data'!N218</f>
        <v>156</v>
      </c>
      <c r="H218">
        <f>'Raw Data'!O218</f>
        <v>188</v>
      </c>
      <c r="I218">
        <f>'Raw Data'!P218</f>
        <v>426.29999999999995</v>
      </c>
      <c r="J218" s="14">
        <f>'Raw Data'!Q218</f>
        <v>664.89527283557982</v>
      </c>
      <c r="K218" s="14">
        <f>'Raw Data'!R218</f>
        <v>426.29999999999995</v>
      </c>
      <c r="L218" s="14">
        <f>'Raw Data'!S218</f>
        <v>664.89527283557982</v>
      </c>
      <c r="M218" s="16"/>
      <c r="Q218" s="23" t="e">
        <f>(VLOOKUP(A218,FEDEX!$A:$H,7,FALSE))/(VLOOKUP(A218,FEDEX!$A:$D,4,FALSE))</f>
        <v>#N/A</v>
      </c>
      <c r="R218" s="23" t="e">
        <f>(VLOOKUP(B218,FEDEX!$A:$H,8,FALSE))/(VLOOKUP(B218,FEDEX!$A:$D,4,FALSE))</f>
        <v>#N/A</v>
      </c>
      <c r="S218" s="16" t="e">
        <f>VLOOKUP(B218,SG!$A:$F,6,FALSE)</f>
        <v>#N/A</v>
      </c>
    </row>
    <row r="219" spans="1:22">
      <c r="A219" s="22" t="str">
        <f>'Raw Data'!I219</f>
        <v>Cody Gribble</v>
      </c>
      <c r="B219" s="137" t="str">
        <f t="shared" si="3"/>
        <v>Cody Gribble</v>
      </c>
      <c r="C219">
        <f>'Raw Data'!J219</f>
        <v>99</v>
      </c>
      <c r="D219">
        <f>'Raw Data'!K219</f>
        <v>87</v>
      </c>
      <c r="E219">
        <f>'Raw Data'!L219</f>
        <v>120</v>
      </c>
      <c r="F219">
        <f>'Raw Data'!M219</f>
        <v>114</v>
      </c>
      <c r="G219">
        <f>'Raw Data'!N219</f>
        <v>164</v>
      </c>
      <c r="H219">
        <f>'Raw Data'!O219</f>
        <v>129</v>
      </c>
      <c r="I219">
        <f>'Raw Data'!P219</f>
        <v>344.20000000000005</v>
      </c>
      <c r="J219" s="14">
        <f>'Raw Data'!Q219</f>
        <v>489.68635242518576</v>
      </c>
      <c r="K219" s="14">
        <f>'Raw Data'!R219</f>
        <v>344.20000000000005</v>
      </c>
      <c r="L219" s="14">
        <f>'Raw Data'!S219</f>
        <v>489.68635242518576</v>
      </c>
      <c r="M219" s="16"/>
      <c r="Q219" s="23">
        <f>(VLOOKUP(A219,FEDEX!$A:$H,7,FALSE))/(VLOOKUP(A219,FEDEX!$A:$D,4,FALSE))</f>
        <v>0</v>
      </c>
      <c r="R219" s="23">
        <f>(VLOOKUP(B219,FEDEX!$A:$H,8,FALSE))/(VLOOKUP(B219,FEDEX!$A:$D,4,FALSE))</f>
        <v>0</v>
      </c>
      <c r="S219" s="16" t="e">
        <f>VLOOKUP(B219,SG!$A:$F,6,FALSE)</f>
        <v>#N/A</v>
      </c>
    </row>
    <row r="220" spans="1:22">
      <c r="A220" s="22" t="str">
        <f>'Raw Data'!I220</f>
        <v>Sung Kang</v>
      </c>
      <c r="B220" s="137" t="str">
        <f t="shared" si="3"/>
        <v>Sung Kang</v>
      </c>
      <c r="C220">
        <f>'Raw Data'!J220</f>
        <v>176</v>
      </c>
      <c r="D220">
        <f>'Raw Data'!K220</f>
        <v>180</v>
      </c>
      <c r="E220">
        <f>'Raw Data'!L220</f>
        <v>104</v>
      </c>
      <c r="F220">
        <f>'Raw Data'!M220</f>
        <v>157</v>
      </c>
      <c r="G220">
        <f>'Raw Data'!N220</f>
        <v>112</v>
      </c>
      <c r="H220">
        <f>'Raw Data'!O220</f>
        <v>173</v>
      </c>
      <c r="I220">
        <f>'Raw Data'!P220</f>
        <v>440</v>
      </c>
      <c r="J220" s="14">
        <f>'Raw Data'!Q220</f>
        <v>613.6014060066442</v>
      </c>
      <c r="K220" s="14">
        <f>'Raw Data'!R220</f>
        <v>440</v>
      </c>
      <c r="L220" s="14">
        <f>'Raw Data'!S220</f>
        <v>613.6014060066442</v>
      </c>
      <c r="M220" s="16"/>
      <c r="Q220" s="23" t="e">
        <f>(VLOOKUP(A220,FEDEX!$A:$H,7,FALSE))/(VLOOKUP(A220,FEDEX!$A:$D,4,FALSE))</f>
        <v>#N/A</v>
      </c>
      <c r="R220" s="23" t="e">
        <f>(VLOOKUP(B220,FEDEX!$A:$H,8,FALSE))/(VLOOKUP(B220,FEDEX!$A:$D,4,FALSE))</f>
        <v>#N/A</v>
      </c>
      <c r="S220" s="16" t="e">
        <f>VLOOKUP(B220,SG!$A:$F,6,FALSE)</f>
        <v>#N/A</v>
      </c>
    </row>
    <row r="221" spans="1:22">
      <c r="A221" s="22" t="str">
        <f>'Raw Data'!I221</f>
        <v>Andrew Landry</v>
      </c>
      <c r="B221" s="137" t="str">
        <f t="shared" si="3"/>
        <v>Andrew Landry</v>
      </c>
      <c r="C221">
        <f>'Raw Data'!J221</f>
        <v>178</v>
      </c>
      <c r="D221">
        <f>'Raw Data'!K221</f>
        <v>36</v>
      </c>
      <c r="E221">
        <f>'Raw Data'!L221</f>
        <v>193</v>
      </c>
      <c r="F221">
        <f>'Raw Data'!M221</f>
        <v>168</v>
      </c>
      <c r="G221">
        <f>'Raw Data'!N221</f>
        <v>80</v>
      </c>
      <c r="H221">
        <f>'Raw Data'!O221</f>
        <v>187</v>
      </c>
      <c r="I221">
        <f>'Raw Data'!P221</f>
        <v>420.5</v>
      </c>
      <c r="J221" s="14">
        <f>'Raw Data'!Q221</f>
        <v>621.90280844075323</v>
      </c>
      <c r="K221" s="14">
        <f>'Raw Data'!R221</f>
        <v>420.5</v>
      </c>
      <c r="L221" s="14">
        <f>'Raw Data'!S221</f>
        <v>621.90280844075323</v>
      </c>
      <c r="M221" s="16"/>
      <c r="Q221" s="23" t="e">
        <f>(VLOOKUP(A221,FEDEX!$A:$H,7,FALSE))/(VLOOKUP(A221,FEDEX!$A:$D,4,FALSE))</f>
        <v>#N/A</v>
      </c>
      <c r="R221" s="23" t="e">
        <f>(VLOOKUP(B221,FEDEX!$A:$H,8,FALSE))/(VLOOKUP(B221,FEDEX!$A:$D,4,FALSE))</f>
        <v>#N/A</v>
      </c>
      <c r="S221" s="16" t="e">
        <f>VLOOKUP(B221,SG!$A:$F,6,FALSE)</f>
        <v>#N/A</v>
      </c>
    </row>
    <row r="222" spans="1:22">
      <c r="A222" s="22" t="str">
        <f>'Raw Data'!I222</f>
        <v>Jim Herman</v>
      </c>
      <c r="B222" s="137" t="str">
        <f t="shared" si="3"/>
        <v>Jim Herman</v>
      </c>
      <c r="C222">
        <f>'Raw Data'!J222</f>
        <v>172</v>
      </c>
      <c r="D222">
        <f>'Raw Data'!K222</f>
        <v>18</v>
      </c>
      <c r="E222">
        <f>'Raw Data'!L222</f>
        <v>185</v>
      </c>
      <c r="F222">
        <f>'Raw Data'!M222</f>
        <v>172</v>
      </c>
      <c r="G222">
        <f>'Raw Data'!N222</f>
        <v>182</v>
      </c>
      <c r="H222">
        <f>'Raw Data'!O222</f>
        <v>189</v>
      </c>
      <c r="I222">
        <f>'Raw Data'!P222</f>
        <v>453.1</v>
      </c>
      <c r="J222" s="14">
        <f>'Raw Data'!Q222</f>
        <v>660.00527503875469</v>
      </c>
      <c r="K222" s="14">
        <f>'Raw Data'!R222</f>
        <v>453.1</v>
      </c>
      <c r="L222" s="14">
        <f>'Raw Data'!S222</f>
        <v>660.00527503875469</v>
      </c>
      <c r="M222" s="16"/>
      <c r="Q222" s="23">
        <f>(VLOOKUP(A222,FEDEX!$A:$H,7,FALSE))/(VLOOKUP(A222,FEDEX!$A:$D,4,FALSE))</f>
        <v>0</v>
      </c>
      <c r="R222" s="23">
        <f>(VLOOKUP(B222,FEDEX!$A:$H,8,FALSE))/(VLOOKUP(B222,FEDEX!$A:$D,4,FALSE))</f>
        <v>0</v>
      </c>
      <c r="S222" s="16" t="e">
        <f>VLOOKUP(B222,SG!$A:$F,6,FALSE)</f>
        <v>#N/A</v>
      </c>
    </row>
    <row r="223" spans="1:22">
      <c r="A223" s="22" t="str">
        <f>'Raw Data'!I223</f>
        <v>Brian Stuard</v>
      </c>
      <c r="B223" s="137" t="str">
        <f t="shared" si="3"/>
        <v>Brian Stuard</v>
      </c>
      <c r="C223">
        <f>'Raw Data'!J223</f>
        <v>193</v>
      </c>
      <c r="D223">
        <f>'Raw Data'!K223</f>
        <v>30</v>
      </c>
      <c r="E223">
        <f>'Raw Data'!L223</f>
        <v>168</v>
      </c>
      <c r="F223">
        <f>'Raw Data'!M223</f>
        <v>69</v>
      </c>
      <c r="G223">
        <f>'Raw Data'!N223</f>
        <v>54</v>
      </c>
      <c r="H223">
        <f>'Raw Data'!O223</f>
        <v>182</v>
      </c>
      <c r="I223">
        <f>'Raw Data'!P223</f>
        <v>360.90000000000003</v>
      </c>
      <c r="J223" s="14">
        <f>'Raw Data'!Q223</f>
        <v>528.92695315137985</v>
      </c>
      <c r="K223" s="14">
        <f>'Raw Data'!R223</f>
        <v>360.90000000000003</v>
      </c>
      <c r="L223" s="14">
        <f>'Raw Data'!S223</f>
        <v>528.92695315137985</v>
      </c>
      <c r="M223" s="16"/>
      <c r="Q223" s="23">
        <f>(VLOOKUP(A223,FEDEX!$A:$H,7,FALSE))/(VLOOKUP(A223,FEDEX!$A:$D,4,FALSE))</f>
        <v>0</v>
      </c>
      <c r="R223" s="23">
        <f>(VLOOKUP(B223,FEDEX!$A:$H,8,FALSE))/(VLOOKUP(B223,FEDEX!$A:$D,4,FALSE))</f>
        <v>0</v>
      </c>
      <c r="S223" s="16" t="e">
        <f>VLOOKUP(B223,SG!$A:$F,6,FALSE)</f>
        <v>#N/A</v>
      </c>
    </row>
    <row r="224" spans="1:22">
      <c r="A224" s="22" t="str">
        <f>'Raw Data'!I224</f>
        <v>Nick Watney</v>
      </c>
      <c r="B224" s="137" t="str">
        <f t="shared" si="3"/>
        <v>Nick Watney</v>
      </c>
      <c r="C224">
        <f>'Raw Data'!J224</f>
        <v>138</v>
      </c>
      <c r="D224">
        <f>'Raw Data'!K224</f>
        <v>190</v>
      </c>
      <c r="E224">
        <f>'Raw Data'!L224</f>
        <v>146</v>
      </c>
      <c r="F224">
        <f>'Raw Data'!M224</f>
        <v>156</v>
      </c>
      <c r="G224">
        <f>'Raw Data'!N224</f>
        <v>143</v>
      </c>
      <c r="H224">
        <f>'Raw Data'!O224</f>
        <v>192</v>
      </c>
      <c r="I224">
        <f>'Raw Data'!P224</f>
        <v>455.29999999999995</v>
      </c>
      <c r="J224" s="14">
        <f>'Raw Data'!Q224</f>
        <v>664.78852640425248</v>
      </c>
      <c r="K224" s="14">
        <f>'Raw Data'!R224</f>
        <v>455.29999999999995</v>
      </c>
      <c r="L224" s="14">
        <f>'Raw Data'!S224</f>
        <v>664.78852640425248</v>
      </c>
      <c r="M224" s="16"/>
      <c r="Q224" s="23" t="e">
        <f>(VLOOKUP(A224,FEDEX!$A:$H,7,FALSE))/(VLOOKUP(A224,FEDEX!$A:$D,4,FALSE))</f>
        <v>#N/A</v>
      </c>
      <c r="R224" s="23" t="e">
        <f>(VLOOKUP(B224,FEDEX!$A:$H,8,FALSE))/(VLOOKUP(B224,FEDEX!$A:$D,4,FALSE))</f>
        <v>#N/A</v>
      </c>
      <c r="S224" s="16" t="e">
        <f>VLOOKUP(B224,SG!$A:$F,6,FALSE)</f>
        <v>#N/A</v>
      </c>
    </row>
    <row r="225" spans="1:19">
      <c r="A225" s="22" t="str">
        <f>'Raw Data'!I225</f>
        <v>Kevin Roy</v>
      </c>
      <c r="B225" s="137" t="e">
        <f t="shared" si="3"/>
        <v>#N/A</v>
      </c>
      <c r="C225">
        <f>'Raw Data'!J225</f>
        <v>75</v>
      </c>
      <c r="D225">
        <f>'Raw Data'!K225</f>
        <v>119</v>
      </c>
      <c r="E225">
        <f>'Raw Data'!L225</f>
        <v>13</v>
      </c>
      <c r="F225">
        <f>'Raw Data'!M225</f>
        <v>149</v>
      </c>
      <c r="G225">
        <f>'Raw Data'!N225</f>
        <v>187</v>
      </c>
      <c r="H225">
        <f>'Raw Data'!O225</f>
        <v>139</v>
      </c>
      <c r="I225">
        <f>'Raw Data'!P225</f>
        <v>289.2</v>
      </c>
      <c r="J225" s="14">
        <f>'Raw Data'!Q225</f>
        <v>443.61771626428856</v>
      </c>
      <c r="K225" s="14">
        <f>'Raw Data'!R225</f>
        <v>289.2</v>
      </c>
      <c r="L225" s="14">
        <f>'Raw Data'!S225</f>
        <v>443.61771626428856</v>
      </c>
      <c r="M225" s="16"/>
      <c r="Q225" s="23" t="e">
        <f>(VLOOKUP(A225,FEDEX!$A:$H,7,FALSE))/(VLOOKUP(A225,FEDEX!$A:$D,4,FALSE))</f>
        <v>#N/A</v>
      </c>
      <c r="R225" s="23" t="e">
        <f>(VLOOKUP(B225,FEDEX!$A:$H,8,FALSE))/(VLOOKUP(B225,FEDEX!$A:$D,4,FALSE))</f>
        <v>#N/A</v>
      </c>
      <c r="S225" s="16" t="e">
        <f>VLOOKUP(B225,SG!$A:$F,6,FALSE)</f>
        <v>#N/A</v>
      </c>
    </row>
    <row r="226" spans="1:19">
      <c r="A226" s="22" t="str">
        <f>'Raw Data'!I226</f>
        <v>Luke Donald</v>
      </c>
      <c r="B226" s="137" t="e">
        <f t="shared" si="3"/>
        <v>#N/A</v>
      </c>
      <c r="C226">
        <f>'Raw Data'!J226</f>
        <v>193</v>
      </c>
      <c r="D226">
        <f>'Raw Data'!K226</f>
        <v>105</v>
      </c>
      <c r="E226">
        <f>'Raw Data'!L226</f>
        <v>78</v>
      </c>
      <c r="F226">
        <f>'Raw Data'!M226</f>
        <v>53</v>
      </c>
      <c r="G226">
        <f>'Raw Data'!N226</f>
        <v>37</v>
      </c>
      <c r="H226">
        <f>'Raw Data'!O226</f>
        <v>149</v>
      </c>
      <c r="I226">
        <f>'Raw Data'!P226</f>
        <v>320.5</v>
      </c>
      <c r="J226" s="14">
        <f>'Raw Data'!Q226</f>
        <v>439.02570951007215</v>
      </c>
      <c r="K226" s="14">
        <f>'Raw Data'!R226</f>
        <v>320.5</v>
      </c>
      <c r="L226" s="14">
        <f>'Raw Data'!S226</f>
        <v>439.02570951007215</v>
      </c>
      <c r="M226" s="16"/>
      <c r="Q226" s="23" t="e">
        <f>(VLOOKUP(A226,FEDEX!$A:$H,7,FALSE))/(VLOOKUP(A226,FEDEX!$A:$D,4,FALSE))</f>
        <v>#N/A</v>
      </c>
      <c r="R226" s="23" t="e">
        <f>(VLOOKUP(B226,FEDEX!$A:$H,8,FALSE))/(VLOOKUP(B226,FEDEX!$A:$D,4,FALSE))</f>
        <v>#N/A</v>
      </c>
      <c r="S226" s="16" t="e">
        <f>VLOOKUP(B226,SG!$A:$F,6,FALSE)</f>
        <v>#N/A</v>
      </c>
    </row>
    <row r="227" spans="1:19">
      <c r="A227" s="22" t="str">
        <f>'Raw Data'!I227</f>
        <v>Peter Kuest</v>
      </c>
      <c r="B227" s="137" t="str">
        <f t="shared" si="3"/>
        <v>Peter Kuest</v>
      </c>
      <c r="C227">
        <f>'Raw Data'!J227</f>
        <v>2</v>
      </c>
      <c r="D227">
        <f>'Raw Data'!K227</f>
        <v>82</v>
      </c>
      <c r="E227">
        <f>'Raw Data'!L227</f>
        <v>96</v>
      </c>
      <c r="F227">
        <f>'Raw Data'!M227</f>
        <v>176</v>
      </c>
      <c r="G227">
        <f>'Raw Data'!N227</f>
        <v>9</v>
      </c>
      <c r="H227">
        <f>'Raw Data'!O227</f>
        <v>33</v>
      </c>
      <c r="I227">
        <f>'Raw Data'!P227</f>
        <v>184.89999999999998</v>
      </c>
      <c r="J227" s="14">
        <f>'Raw Data'!Q227</f>
        <v>266.96877062131011</v>
      </c>
      <c r="K227" s="14">
        <f>'Raw Data'!R227</f>
        <v>184.89999999999998</v>
      </c>
      <c r="L227" s="14">
        <f>'Raw Data'!S227</f>
        <v>266.96877062131011</v>
      </c>
      <c r="M227" s="16"/>
      <c r="Q227" s="23" t="e">
        <f>(VLOOKUP(A227,FEDEX!$A:$H,7,FALSE))/(VLOOKUP(A227,FEDEX!$A:$D,4,FALSE))</f>
        <v>#N/A</v>
      </c>
      <c r="R227" s="23" t="e">
        <f>(VLOOKUP(B227,FEDEX!$A:$H,8,FALSE))/(VLOOKUP(B227,FEDEX!$A:$D,4,FALSE))</f>
        <v>#N/A</v>
      </c>
      <c r="S227" s="16" t="e">
        <f>VLOOKUP(B227,SG!$A:$F,6,FALSE)</f>
        <v>#N/A</v>
      </c>
    </row>
    <row r="228" spans="1:19">
      <c r="A228" s="22" t="str">
        <f>'Raw Data'!I228</f>
        <v>Martin Trainer</v>
      </c>
      <c r="B228" s="137" t="str">
        <f t="shared" si="3"/>
        <v>Martin Trainer</v>
      </c>
      <c r="C228">
        <f>'Raw Data'!J228</f>
        <v>83</v>
      </c>
      <c r="D228">
        <f>'Raw Data'!K228</f>
        <v>141</v>
      </c>
      <c r="E228">
        <f>'Raw Data'!L228</f>
        <v>187</v>
      </c>
      <c r="F228">
        <f>'Raw Data'!M228</f>
        <v>126</v>
      </c>
      <c r="G228">
        <f>'Raw Data'!N228</f>
        <v>108</v>
      </c>
      <c r="H228">
        <f>'Raw Data'!O228</f>
        <v>183</v>
      </c>
      <c r="I228">
        <f>'Raw Data'!P228</f>
        <v>380.5</v>
      </c>
      <c r="J228" s="14">
        <f>'Raw Data'!Q228</f>
        <v>595.1514435615652</v>
      </c>
      <c r="K228" s="14">
        <f>'Raw Data'!R228</f>
        <v>380.5</v>
      </c>
      <c r="L228" s="14">
        <f>'Raw Data'!S228</f>
        <v>595.1514435615652</v>
      </c>
      <c r="M228" s="16"/>
      <c r="Q228" s="23">
        <f>(VLOOKUP(A228,FEDEX!$A:$H,7,FALSE))/(VLOOKUP(A228,FEDEX!$A:$D,4,FALSE))</f>
        <v>0</v>
      </c>
      <c r="R228" s="23">
        <f>(VLOOKUP(B228,FEDEX!$A:$H,8,FALSE))/(VLOOKUP(B228,FEDEX!$A:$D,4,FALSE))</f>
        <v>0</v>
      </c>
      <c r="S228" s="16" t="e">
        <f>VLOOKUP(B228,SG!$A:$F,6,FALSE)</f>
        <v>#N/A</v>
      </c>
    </row>
    <row r="229" spans="1:19">
      <c r="A229" s="22" t="str">
        <f>'Raw Data'!I229</f>
        <v>Kevin Chappell</v>
      </c>
      <c r="B229" s="137" t="str">
        <f t="shared" si="3"/>
        <v>Kevin Chappell</v>
      </c>
      <c r="C229">
        <f>'Raw Data'!J229</f>
        <v>84</v>
      </c>
      <c r="D229">
        <f>'Raw Data'!K229</f>
        <v>150</v>
      </c>
      <c r="E229">
        <f>'Raw Data'!L229</f>
        <v>81</v>
      </c>
      <c r="F229">
        <f>'Raw Data'!M229</f>
        <v>137</v>
      </c>
      <c r="G229">
        <f>'Raw Data'!N229</f>
        <v>106</v>
      </c>
      <c r="H229">
        <f>'Raw Data'!O229</f>
        <v>124</v>
      </c>
      <c r="I229">
        <f>'Raw Data'!P229</f>
        <v>315.10000000000002</v>
      </c>
      <c r="J229" s="14">
        <f>'Raw Data'!Q229</f>
        <v>457.55307722372385</v>
      </c>
      <c r="K229" s="14">
        <f>'Raw Data'!R229</f>
        <v>315.10000000000002</v>
      </c>
      <c r="L229" s="14">
        <f>'Raw Data'!S229</f>
        <v>457.55307722372385</v>
      </c>
      <c r="M229" s="16"/>
      <c r="Q229" s="23">
        <f>(VLOOKUP(A229,FEDEX!$A:$H,7,FALSE))/(VLOOKUP(A229,FEDEX!$A:$D,4,FALSE))</f>
        <v>0</v>
      </c>
      <c r="R229" s="23">
        <f>(VLOOKUP(B229,FEDEX!$A:$H,8,FALSE))/(VLOOKUP(B229,FEDEX!$A:$D,4,FALSE))</f>
        <v>0</v>
      </c>
      <c r="S229" s="16" t="e">
        <f>VLOOKUP(B229,SG!$A:$F,6,FALSE)</f>
        <v>#N/A</v>
      </c>
    </row>
    <row r="230" spans="1:19">
      <c r="A230" s="22" t="str">
        <f>'Raw Data'!I230</f>
        <v>Kevin Kisner</v>
      </c>
      <c r="B230" s="137" t="e">
        <f t="shared" si="3"/>
        <v>#N/A</v>
      </c>
      <c r="C230">
        <f>'Raw Data'!J230</f>
        <v>190</v>
      </c>
      <c r="D230">
        <f>'Raw Data'!K230</f>
        <v>144</v>
      </c>
      <c r="E230">
        <f>'Raw Data'!L230</f>
        <v>189</v>
      </c>
      <c r="F230">
        <f>'Raw Data'!M230</f>
        <v>104</v>
      </c>
      <c r="G230">
        <f>'Raw Data'!N230</f>
        <v>106</v>
      </c>
      <c r="H230">
        <f>'Raw Data'!O230</f>
        <v>190</v>
      </c>
      <c r="I230">
        <f>'Raw Data'!P230</f>
        <v>469.9</v>
      </c>
      <c r="J230" s="14">
        <f>'Raw Data'!Q230</f>
        <v>657.88649903584576</v>
      </c>
      <c r="K230" s="14">
        <f>'Raw Data'!R230</f>
        <v>469.9</v>
      </c>
      <c r="L230" s="14">
        <f>'Raw Data'!S230</f>
        <v>657.88649903584576</v>
      </c>
      <c r="M230" s="16"/>
      <c r="Q230" s="23">
        <f>(VLOOKUP(A230,FEDEX!$A:$H,7,FALSE))/(VLOOKUP(A230,FEDEX!$A:$D,4,FALSE))</f>
        <v>0</v>
      </c>
      <c r="R230" s="23" t="e">
        <f>(VLOOKUP(B230,FEDEX!$A:$H,8,FALSE))/(VLOOKUP(B230,FEDEX!$A:$D,4,FALSE))</f>
        <v>#N/A</v>
      </c>
      <c r="S230" s="16" t="e">
        <f>VLOOKUP(B230,SG!$A:$F,6,FALSE)</f>
        <v>#N/A</v>
      </c>
    </row>
    <row r="231" spans="1:19">
      <c r="A231" s="22" t="str">
        <f>'Raw Data'!I231</f>
        <v>Patton Kizzire</v>
      </c>
      <c r="B231" s="137" t="str">
        <f t="shared" si="3"/>
        <v>Patton Kizzire</v>
      </c>
      <c r="C231">
        <f>'Raw Data'!J231</f>
        <v>90</v>
      </c>
      <c r="D231">
        <f>'Raw Data'!K231</f>
        <v>125</v>
      </c>
      <c r="E231">
        <f>'Raw Data'!L231</f>
        <v>111</v>
      </c>
      <c r="F231">
        <f>'Raw Data'!M231</f>
        <v>103</v>
      </c>
      <c r="G231">
        <f>'Raw Data'!N231</f>
        <v>117</v>
      </c>
      <c r="H231">
        <f>'Raw Data'!O231</f>
        <v>153</v>
      </c>
      <c r="I231">
        <f>'Raw Data'!P231</f>
        <v>320.89999999999998</v>
      </c>
      <c r="J231" s="14">
        <f>'Raw Data'!Q231</f>
        <v>488.31537315927426</v>
      </c>
      <c r="K231" s="14">
        <f>'Raw Data'!R231</f>
        <v>320.89999999999998</v>
      </c>
      <c r="L231" s="14">
        <f>'Raw Data'!S231</f>
        <v>488.31537315927426</v>
      </c>
      <c r="M231" s="16"/>
      <c r="Q231" s="23">
        <f>(VLOOKUP(A231,FEDEX!$A:$H,7,FALSE))/(VLOOKUP(A231,FEDEX!$A:$D,4,FALSE))</f>
        <v>0</v>
      </c>
      <c r="R231" s="23">
        <f>(VLOOKUP(B231,FEDEX!$A:$H,8,FALSE))/(VLOOKUP(B231,FEDEX!$A:$D,4,FALSE))</f>
        <v>0</v>
      </c>
      <c r="S231" s="16" t="e">
        <f>VLOOKUP(B231,SG!$A:$F,6,FALSE)</f>
        <v>#N/A</v>
      </c>
    </row>
    <row r="232" spans="1:19">
      <c r="A232" s="22" t="str">
        <f>'Raw Data'!I232</f>
        <v>Jimmy Walker</v>
      </c>
      <c r="B232" s="137" t="str">
        <f t="shared" si="3"/>
        <v>Jimmy Walker</v>
      </c>
      <c r="C232">
        <f>'Raw Data'!J232</f>
        <v>45</v>
      </c>
      <c r="D232">
        <f>'Raw Data'!K232</f>
        <v>178</v>
      </c>
      <c r="E232">
        <f>'Raw Data'!L232</f>
        <v>132</v>
      </c>
      <c r="F232">
        <f>'Raw Data'!M232</f>
        <v>75</v>
      </c>
      <c r="G232">
        <f>'Raw Data'!N232</f>
        <v>92</v>
      </c>
      <c r="H232">
        <f>'Raw Data'!O232</f>
        <v>134</v>
      </c>
      <c r="I232">
        <f>'Raw Data'!P232</f>
        <v>297.89999999999998</v>
      </c>
      <c r="J232" s="14">
        <f>'Raw Data'!Q232</f>
        <v>455.42120736189406</v>
      </c>
      <c r="K232" s="14">
        <f>'Raw Data'!R232</f>
        <v>297.89999999999998</v>
      </c>
      <c r="L232" s="14">
        <f>'Raw Data'!S232</f>
        <v>455.42120736189406</v>
      </c>
      <c r="M232" s="16"/>
      <c r="Q232" s="23" t="e">
        <f>(VLOOKUP(A232,FEDEX!$A:$H,7,FALSE))/(VLOOKUP(A232,FEDEX!$A:$D,4,FALSE))</f>
        <v>#N/A</v>
      </c>
      <c r="R232" s="23" t="e">
        <f>(VLOOKUP(B232,FEDEX!$A:$H,8,FALSE))/(VLOOKUP(B232,FEDEX!$A:$D,4,FALSE))</f>
        <v>#N/A</v>
      </c>
      <c r="S232" s="16" t="e">
        <f>VLOOKUP(B232,SG!$A:$F,6,FALSE)</f>
        <v>#N/A</v>
      </c>
    </row>
    <row r="233" spans="1:19">
      <c r="A233" s="22"/>
      <c r="B233" s="137"/>
      <c r="J233" s="14"/>
      <c r="K233" s="14"/>
      <c r="L233" s="14"/>
      <c r="M233" s="16"/>
      <c r="Q233" s="23"/>
      <c r="R233" s="23"/>
      <c r="S233" s="16"/>
    </row>
    <row r="234" spans="1:19">
      <c r="A234" s="22"/>
      <c r="B234" s="137"/>
      <c r="J234" s="14"/>
      <c r="K234" s="14"/>
      <c r="L234" s="14"/>
      <c r="M234" s="16"/>
      <c r="Q234" s="23"/>
      <c r="R234" s="23"/>
      <c r="S234" s="16"/>
    </row>
    <row r="235" spans="1:19">
      <c r="A235" s="22"/>
      <c r="B235" s="137"/>
      <c r="J235" s="14"/>
      <c r="K235" s="14"/>
      <c r="L235" s="14"/>
      <c r="M235" s="16"/>
      <c r="Q235" s="23"/>
      <c r="R235" s="23"/>
      <c r="S235" s="16"/>
    </row>
    <row r="236" spans="1:19">
      <c r="A236" s="22"/>
      <c r="B236" s="137"/>
      <c r="J236" s="14"/>
      <c r="K236" s="14"/>
      <c r="L236" s="14"/>
      <c r="M236" s="16"/>
      <c r="Q236" s="23"/>
      <c r="R236" s="23"/>
      <c r="S236" s="16"/>
    </row>
    <row r="237" spans="1:19">
      <c r="A237" s="22"/>
      <c r="B237" s="137"/>
      <c r="J237" s="14"/>
      <c r="K237" s="14"/>
      <c r="L237" s="14"/>
      <c r="M237" s="16"/>
      <c r="Q237" s="23"/>
      <c r="R237" s="23"/>
      <c r="S237" s="16"/>
    </row>
    <row r="238" spans="1:19">
      <c r="A238" s="22"/>
      <c r="B238" s="137"/>
      <c r="J238" s="14"/>
      <c r="K238" s="14"/>
      <c r="L238" s="14"/>
      <c r="M238" s="16"/>
      <c r="Q238" s="23"/>
      <c r="R238" s="23"/>
      <c r="S238" s="16"/>
    </row>
    <row r="239" spans="1:19">
      <c r="A239" s="22"/>
      <c r="B239" s="137"/>
      <c r="J239" s="14"/>
      <c r="K239" s="14"/>
      <c r="L239" s="14"/>
      <c r="M239" s="16"/>
      <c r="Q239" s="23"/>
      <c r="R239" s="23"/>
      <c r="S239" s="16"/>
    </row>
    <row r="240" spans="1:19">
      <c r="A240" s="22"/>
      <c r="B240" s="137"/>
      <c r="J240" s="14"/>
      <c r="K240" s="14"/>
      <c r="L240" s="14"/>
      <c r="M240" s="16"/>
      <c r="Q240" s="23"/>
      <c r="R240" s="23"/>
      <c r="S240" s="16"/>
    </row>
  </sheetData>
  <autoFilter ref="A1:S228" xr:uid="{F159CB20-9422-449F-A091-7DBD2E6EEA2C}">
    <sortState xmlns:xlrd2="http://schemas.microsoft.com/office/spreadsheetml/2017/richdata2" ref="A2:S228">
      <sortCondition ref="C1:C228"/>
    </sortState>
  </autoFilter>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C2240-CA87-4ECB-9E9D-FBA50673461A}">
  <sheetPr codeName="Sheet43">
    <tabColor rgb="FF92D050"/>
  </sheetPr>
  <dimension ref="A1:AB110"/>
  <sheetViews>
    <sheetView zoomScale="90" zoomScaleNormal="90" workbookViewId="0">
      <selection activeCell="H121" sqref="H121"/>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4" max="24" width="25.85546875" bestFit="1" customWidth="1"/>
  </cols>
  <sheetData>
    <row r="1" spans="1:28"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122" t="s">
        <v>537</v>
      </c>
      <c r="Q1" s="122" t="s">
        <v>536</v>
      </c>
      <c r="R1" s="362" t="s">
        <v>535</v>
      </c>
      <c r="S1" s="241" t="s">
        <v>566</v>
      </c>
      <c r="T1" s="241" t="s">
        <v>565</v>
      </c>
      <c r="U1" s="241" t="s">
        <v>472</v>
      </c>
      <c r="W1" s="1"/>
      <c r="X1" s="452" t="s">
        <v>1119</v>
      </c>
      <c r="Y1" s="452" t="s">
        <v>335</v>
      </c>
      <c r="Z1" s="452" t="s">
        <v>1155</v>
      </c>
      <c r="AA1" s="452" t="s">
        <v>1156</v>
      </c>
      <c r="AB1" s="452" t="s">
        <v>1157</v>
      </c>
    </row>
    <row r="2" spans="1:28" hidden="1">
      <c r="A2" s="438" t="s">
        <v>440</v>
      </c>
      <c r="B2" s="439">
        <v>2</v>
      </c>
      <c r="C2" s="439">
        <v>82</v>
      </c>
      <c r="D2" s="439">
        <v>96</v>
      </c>
      <c r="E2" s="439">
        <v>176</v>
      </c>
      <c r="F2" s="439">
        <v>9</v>
      </c>
      <c r="G2" s="439">
        <v>33</v>
      </c>
      <c r="H2" s="439">
        <v>184.89999999999998</v>
      </c>
      <c r="I2" s="440">
        <v>269.52801035555137</v>
      </c>
      <c r="J2" s="259">
        <v>184.89999999999998</v>
      </c>
      <c r="K2" s="260">
        <v>269.52801035555137</v>
      </c>
      <c r="L2" s="441">
        <f>RANK(H2,$H$2:$H$110,1)</f>
        <v>1</v>
      </c>
      <c r="M2" s="230">
        <f>RANK(I2,$I$2:$I$110,1)</f>
        <v>7</v>
      </c>
      <c r="N2" s="438">
        <f>RANK(J2,$J$2:$J$110,1)</f>
        <v>1</v>
      </c>
      <c r="O2" s="438">
        <f>RANK(K2,$K$2:$K$110,1)</f>
        <v>2</v>
      </c>
      <c r="P2" s="442" t="e">
        <v>#N/A</v>
      </c>
      <c r="Q2" s="442" t="e">
        <v>#N/A</v>
      </c>
      <c r="R2" s="439" t="e">
        <v>#N/A</v>
      </c>
      <c r="S2" s="439">
        <f>RANK(U2,$U$2:$U$110,0)</f>
        <v>62</v>
      </c>
      <c r="T2" s="440">
        <f>Table2[[#This Row],[BDG]]/Table2[[#This Row],[Odds]]</f>
        <v>17.120370370370367</v>
      </c>
      <c r="U2" s="440" cm="1">
        <f t="array" ref="U2">MAX(_xlfn._xlws.FILTER(Table22[[B365]:[MATCHBOOK]], Table22[PLAYER] = A2))</f>
        <v>10.8</v>
      </c>
      <c r="X2" t="str">
        <f>Table2[[#This Row],[Player]]</f>
        <v>Peter Kuest</v>
      </c>
      <c r="Y2" s="14">
        <f>Table2[[#This Row],[DGSCORE]]</f>
        <v>184.89999999999998</v>
      </c>
      <c r="Z2" s="14">
        <f>Table2[[#This Row],[BDG]]</f>
        <v>184.89999999999998</v>
      </c>
      <c r="AA2" s="14">
        <f>Z2-Y2</f>
        <v>0</v>
      </c>
      <c r="AB2">
        <f>_xlfn.RANK.AVG(AA2,$AA:$AA,0)</f>
        <v>55</v>
      </c>
    </row>
    <row r="3" spans="1:28" hidden="1">
      <c r="A3" s="159" t="s">
        <v>595</v>
      </c>
      <c r="B3">
        <v>21</v>
      </c>
      <c r="C3">
        <v>46</v>
      </c>
      <c r="D3">
        <v>65</v>
      </c>
      <c r="E3">
        <v>170</v>
      </c>
      <c r="F3">
        <v>153</v>
      </c>
      <c r="G3">
        <v>124</v>
      </c>
      <c r="H3">
        <v>231.9</v>
      </c>
      <c r="I3" s="14">
        <v>400.51174954419355</v>
      </c>
      <c r="J3" s="259">
        <v>204.44229767694173</v>
      </c>
      <c r="K3" s="260">
        <v>316.75541894710489</v>
      </c>
      <c r="L3" s="16">
        <f>RANK(H3,$H$2:$H$110,1)</f>
        <v>9</v>
      </c>
      <c r="M3" s="230">
        <f>RANK(I3,$I$2:$I$110,1)</f>
        <v>33</v>
      </c>
      <c r="N3" s="159">
        <f>RANK(J3,$J$2:$J$110,1)</f>
        <v>2</v>
      </c>
      <c r="O3" s="159">
        <f>RANK(K3,$K$2:$K$110,1)</f>
        <v>8</v>
      </c>
      <c r="P3" s="15">
        <v>0</v>
      </c>
      <c r="Q3" s="15">
        <v>0</v>
      </c>
      <c r="R3">
        <v>-76</v>
      </c>
      <c r="S3">
        <f>RANK(U3,$U$2:$U$110,0)</f>
        <v>107</v>
      </c>
      <c r="T3" s="14">
        <f>Table2[[#This Row],[BDG]]/Table2[[#This Row],[Odds]]</f>
        <v>64.696929644601809</v>
      </c>
      <c r="U3" s="440" cm="1">
        <f t="array" ref="U3">MAX(_xlfn._xlws.FILTER(Table22[[B365]:[MATCHBOOK]], Table22[PLAYER] = A3))</f>
        <v>3.16</v>
      </c>
      <c r="X3" t="str">
        <f>Table2[[#This Row],[Player]]</f>
        <v>Nicolai Højgaard</v>
      </c>
      <c r="Y3" s="14">
        <f>Table2[[#This Row],[DGSCORE]]</f>
        <v>231.9</v>
      </c>
      <c r="Z3" s="14">
        <f>Table2[[#This Row],[BDG]]</f>
        <v>204.44229767694173</v>
      </c>
      <c r="AA3" s="14">
        <f>Z3-Y3</f>
        <v>-27.457702323058271</v>
      </c>
      <c r="AB3">
        <f>_xlfn.RANK.AVG(AA3,$AA:$AA,0)</f>
        <v>97</v>
      </c>
    </row>
    <row r="4" spans="1:28" hidden="1">
      <c r="A4" s="438" t="s">
        <v>493</v>
      </c>
      <c r="B4" s="439">
        <v>30</v>
      </c>
      <c r="C4" s="439">
        <v>139</v>
      </c>
      <c r="D4" s="439">
        <v>63</v>
      </c>
      <c r="E4" s="439">
        <v>83</v>
      </c>
      <c r="F4" s="439">
        <v>81</v>
      </c>
      <c r="G4" s="439">
        <v>59</v>
      </c>
      <c r="H4" s="439">
        <v>214.3</v>
      </c>
      <c r="I4" s="440">
        <v>295.55831344875389</v>
      </c>
      <c r="J4" s="259">
        <v>214.3</v>
      </c>
      <c r="K4" s="260">
        <v>295.55831344875389</v>
      </c>
      <c r="L4" s="441">
        <f>RANK(H4,$H$2:$H$110,1)</f>
        <v>3</v>
      </c>
      <c r="M4" s="230">
        <f>RANK(I4,$I$2:$I$110,1)</f>
        <v>10</v>
      </c>
      <c r="N4" s="438">
        <f>RANK(J4,$J$2:$J$110,1)</f>
        <v>3</v>
      </c>
      <c r="O4" s="438">
        <f>RANK(K4,$K$2:$K$110,1)</f>
        <v>6</v>
      </c>
      <c r="P4" s="442">
        <v>0</v>
      </c>
      <c r="Q4" s="442">
        <v>0</v>
      </c>
      <c r="R4" s="439">
        <v>51</v>
      </c>
      <c r="S4" s="439">
        <f>RANK(U4,$U$2:$U$110,0)</f>
        <v>87</v>
      </c>
      <c r="T4" s="440">
        <f>Table2[[#This Row],[BDG]]/Table2[[#This Row],[Odds]]</f>
        <v>30.614285714285717</v>
      </c>
      <c r="U4" s="440" cm="1">
        <f t="array" ref="U4">MAX(_xlfn._xlws.FILTER(Table22[[B365]:[MATCHBOOK]], Table22[PLAYER] = A4))</f>
        <v>7</v>
      </c>
      <c r="X4" t="str">
        <f>Table2[[#This Row],[Player]]</f>
        <v>Max Greyserman</v>
      </c>
      <c r="Y4" s="14">
        <f>Table2[[#This Row],[DGSCORE]]</f>
        <v>214.3</v>
      </c>
      <c r="Z4" s="14">
        <f>Table2[[#This Row],[BDG]]</f>
        <v>214.3</v>
      </c>
      <c r="AA4" s="14">
        <f>Z4-Y4</f>
        <v>0</v>
      </c>
      <c r="AB4">
        <f>_xlfn.RANK.AVG(AA4,$AA:$AA,0)</f>
        <v>55</v>
      </c>
    </row>
    <row r="5" spans="1:28" hidden="1">
      <c r="A5" s="438" t="s">
        <v>95</v>
      </c>
      <c r="B5" s="439">
        <v>135</v>
      </c>
      <c r="C5" s="439">
        <v>62</v>
      </c>
      <c r="D5" s="439">
        <v>46</v>
      </c>
      <c r="E5" s="439">
        <v>18</v>
      </c>
      <c r="F5" s="439">
        <v>63</v>
      </c>
      <c r="G5" s="439">
        <v>9</v>
      </c>
      <c r="H5" s="439">
        <v>223.39999999999998</v>
      </c>
      <c r="I5" s="440">
        <v>210.61263042229865</v>
      </c>
      <c r="J5" s="259">
        <v>226.53017806482865</v>
      </c>
      <c r="K5" s="260">
        <v>242.88288336172701</v>
      </c>
      <c r="L5" s="441">
        <f>RANK(H5,$H$2:$H$110,1)</f>
        <v>6</v>
      </c>
      <c r="M5" s="230">
        <f>RANK(I5,$I$2:$I$110,1)</f>
        <v>1</v>
      </c>
      <c r="N5" s="438">
        <f>RANK(J5,$J$2:$J$110,1)</f>
        <v>4</v>
      </c>
      <c r="O5" s="438">
        <f>RANK(K5,$K$2:$K$110,1)</f>
        <v>1</v>
      </c>
      <c r="P5" s="442">
        <v>0</v>
      </c>
      <c r="Q5" s="442">
        <v>0</v>
      </c>
      <c r="R5" s="439">
        <v>35</v>
      </c>
      <c r="S5" s="439">
        <f>RANK(U5,$U$2:$U$110,0)</f>
        <v>108</v>
      </c>
      <c r="T5" s="440">
        <f>Table2[[#This Row],[BDG]]/Table2[[#This Row],[Odds]]</f>
        <v>77.051080974431514</v>
      </c>
      <c r="U5" s="440" cm="1">
        <f t="array" ref="U5">MAX(_xlfn._xlws.FILTER(Table22[[B365]:[MATCHBOOK]], Table22[PLAYER] = A5))</f>
        <v>2.94</v>
      </c>
      <c r="X5" t="str">
        <f>Table2[[#This Row],[Player]]</f>
        <v>Alex Noren</v>
      </c>
      <c r="Y5" s="14">
        <f>Table2[[#This Row],[DGSCORE]]</f>
        <v>223.39999999999998</v>
      </c>
      <c r="Z5" s="14">
        <f>Table2[[#This Row],[BDG]]</f>
        <v>226.53017806482865</v>
      </c>
      <c r="AA5" s="14">
        <f>Z5-Y5</f>
        <v>3.1301780648286694</v>
      </c>
      <c r="AB5">
        <f>_xlfn.RANK.AVG(AA5,$AA:$AA,0)</f>
        <v>24</v>
      </c>
    </row>
    <row r="6" spans="1:28" hidden="1">
      <c r="A6" s="438" t="s">
        <v>560</v>
      </c>
      <c r="B6" s="439">
        <v>41</v>
      </c>
      <c r="C6" s="439">
        <v>163</v>
      </c>
      <c r="D6" s="439">
        <v>85</v>
      </c>
      <c r="E6" s="439">
        <v>23</v>
      </c>
      <c r="F6" s="439">
        <v>95</v>
      </c>
      <c r="G6" s="439">
        <v>74</v>
      </c>
      <c r="H6" s="439">
        <v>234.6</v>
      </c>
      <c r="I6" s="440">
        <v>319.45019105085464</v>
      </c>
      <c r="J6" s="259">
        <v>234.6</v>
      </c>
      <c r="K6" s="260">
        <v>319.45019105085464</v>
      </c>
      <c r="L6" s="441">
        <f>RANK(H6,$H$2:$H$110,1)</f>
        <v>11</v>
      </c>
      <c r="M6" s="230">
        <f>RANK(I6,$I$2:$I$110,1)</f>
        <v>12</v>
      </c>
      <c r="N6" s="438">
        <f>RANK(J6,$J$2:$J$110,1)</f>
        <v>5</v>
      </c>
      <c r="O6" s="438">
        <f>RANK(K6,$K$2:$K$110,1)</f>
        <v>10</v>
      </c>
      <c r="P6" s="442">
        <v>0</v>
      </c>
      <c r="Q6" s="442">
        <v>0</v>
      </c>
      <c r="R6" s="439">
        <v>75</v>
      </c>
      <c r="S6" s="439">
        <f>RANK(U6,$U$2:$U$110,0)</f>
        <v>80</v>
      </c>
      <c r="T6" s="440">
        <f>Table2[[#This Row],[BDG]]/Table2[[#This Row],[Odds]]</f>
        <v>30.626631853785899</v>
      </c>
      <c r="U6" s="440" cm="1">
        <f t="array" ref="U6">MAX(_xlfn._xlws.FILTER(Table22[[B365]:[MATCHBOOK]], Table22[PLAYER] = A6))</f>
        <v>7.66</v>
      </c>
      <c r="X6" t="str">
        <f>Table2[[#This Row],[Player]]</f>
        <v>Mac Meissner</v>
      </c>
      <c r="Y6" s="14">
        <f>Table2[[#This Row],[DGSCORE]]</f>
        <v>234.6</v>
      </c>
      <c r="Z6" s="14">
        <f>Table2[[#This Row],[BDG]]</f>
        <v>234.6</v>
      </c>
      <c r="AA6" s="14">
        <f>Z6-Y6</f>
        <v>0</v>
      </c>
      <c r="AB6">
        <f>_xlfn.RANK.AVG(AA6,$AA:$AA,0)</f>
        <v>55</v>
      </c>
    </row>
    <row r="7" spans="1:28" hidden="1">
      <c r="A7" s="438" t="s">
        <v>20</v>
      </c>
      <c r="B7" s="439">
        <v>11</v>
      </c>
      <c r="C7" s="439">
        <v>166</v>
      </c>
      <c r="D7" s="439">
        <v>107</v>
      </c>
      <c r="E7" s="439">
        <v>62</v>
      </c>
      <c r="F7" s="439">
        <v>86</v>
      </c>
      <c r="G7" s="439">
        <v>64</v>
      </c>
      <c r="H7" s="439">
        <v>235.60000000000002</v>
      </c>
      <c r="I7" s="440">
        <v>329.45316491552114</v>
      </c>
      <c r="J7" s="259">
        <v>234.87923531401972</v>
      </c>
      <c r="K7" s="260">
        <v>321.45522078795773</v>
      </c>
      <c r="L7" s="441">
        <f>RANK(H7,$H$2:$H$110,1)</f>
        <v>12</v>
      </c>
      <c r="M7" s="230">
        <f>RANK(I7,$I$2:$I$110,1)</f>
        <v>14</v>
      </c>
      <c r="N7" s="438">
        <f>RANK(J7,$J$2:$J$110,1)</f>
        <v>6</v>
      </c>
      <c r="O7" s="438">
        <f>RANK(K7,$K$2:$K$110,1)</f>
        <v>11</v>
      </c>
      <c r="P7" s="442">
        <v>0</v>
      </c>
      <c r="Q7" s="442">
        <v>0</v>
      </c>
      <c r="R7" s="439">
        <v>4</v>
      </c>
      <c r="S7" s="439">
        <f>RANK(U7,$U$2:$U$110,0)</f>
        <v>87</v>
      </c>
      <c r="T7" s="440">
        <f>Table2[[#This Row],[BDG]]/Table2[[#This Row],[Odds]]</f>
        <v>33.55417647343139</v>
      </c>
      <c r="U7" s="440" cm="1">
        <f t="array" ref="U7">MAX(_xlfn._xlws.FILTER(Table22[[B365]:[MATCHBOOK]], Table22[PLAYER] = A7))</f>
        <v>7</v>
      </c>
      <c r="X7" t="str">
        <f>Table2[[#This Row],[Player]]</f>
        <v>Joseph Bramlett</v>
      </c>
      <c r="Y7" s="14">
        <f>Table2[[#This Row],[DGSCORE]]</f>
        <v>235.60000000000002</v>
      </c>
      <c r="Z7" s="14">
        <f>Table2[[#This Row],[BDG]]</f>
        <v>234.87923531401972</v>
      </c>
      <c r="AA7" s="14">
        <f>Z7-Y7</f>
        <v>-0.72076468598029919</v>
      </c>
      <c r="AB7">
        <f>_xlfn.RANK.AVG(AA7,$AA:$AA,0)</f>
        <v>84</v>
      </c>
    </row>
    <row r="8" spans="1:28" hidden="1">
      <c r="A8" s="438" t="s">
        <v>28</v>
      </c>
      <c r="B8" s="439">
        <v>51</v>
      </c>
      <c r="C8" s="439">
        <v>136</v>
      </c>
      <c r="D8" s="439">
        <v>50</v>
      </c>
      <c r="E8" s="439">
        <v>28</v>
      </c>
      <c r="F8" s="439">
        <v>64</v>
      </c>
      <c r="G8" s="439">
        <v>50</v>
      </c>
      <c r="H8" s="439">
        <v>192.1</v>
      </c>
      <c r="I8" s="440">
        <v>244.99495208195503</v>
      </c>
      <c r="J8" s="259">
        <v>237.04482649005604</v>
      </c>
      <c r="K8" s="260">
        <v>329.44823299246866</v>
      </c>
      <c r="L8" s="441">
        <f>RANK(H8,$H$2:$H$110,1)</f>
        <v>2</v>
      </c>
      <c r="M8" s="230">
        <f>RANK(I8,$I$2:$I$110,1)</f>
        <v>3</v>
      </c>
      <c r="N8" s="438">
        <f>RANK(J8,$J$2:$J$110,1)</f>
        <v>7</v>
      </c>
      <c r="O8" s="438">
        <f>RANK(K8,$K$2:$K$110,1)</f>
        <v>13</v>
      </c>
      <c r="P8" s="442">
        <v>0</v>
      </c>
      <c r="Q8" s="442">
        <v>0</v>
      </c>
      <c r="R8" s="439">
        <v>-9</v>
      </c>
      <c r="S8" s="439">
        <f>RANK(U8,$U$2:$U$110,0)</f>
        <v>102</v>
      </c>
      <c r="T8" s="440">
        <f>Table2[[#This Row],[BDG]]/Table2[[#This Row],[Odds]]</f>
        <v>51.197586714914912</v>
      </c>
      <c r="U8" s="440" cm="1">
        <f t="array" ref="U8">MAX(_xlfn._xlws.FILTER(Table22[[B365]:[MATCHBOOK]], Table22[PLAYER] = A8))</f>
        <v>4.63</v>
      </c>
      <c r="X8" t="str">
        <f>Table2[[#This Row],[Player]]</f>
        <v>Davis Thompson</v>
      </c>
      <c r="Y8" s="14">
        <f>Table2[[#This Row],[DGSCORE]]</f>
        <v>192.1</v>
      </c>
      <c r="Z8" s="14">
        <f>Table2[[#This Row],[BDG]]</f>
        <v>237.04482649005604</v>
      </c>
      <c r="AA8" s="14">
        <f>Z8-Y8</f>
        <v>44.944826490056045</v>
      </c>
      <c r="AB8">
        <f>_xlfn.RANK.AVG(AA8,$AA:$AA,0)</f>
        <v>4</v>
      </c>
    </row>
    <row r="9" spans="1:28" hidden="1">
      <c r="A9" s="438" t="s">
        <v>692</v>
      </c>
      <c r="B9" s="439">
        <v>17</v>
      </c>
      <c r="C9" s="439">
        <v>175</v>
      </c>
      <c r="D9" s="439">
        <v>171</v>
      </c>
      <c r="E9" s="439">
        <v>14</v>
      </c>
      <c r="F9" s="439">
        <v>31</v>
      </c>
      <c r="G9" s="439">
        <v>110</v>
      </c>
      <c r="H9" s="439">
        <v>243.6</v>
      </c>
      <c r="I9" s="440">
        <v>380.3050834370963</v>
      </c>
      <c r="J9" s="259">
        <v>243.6</v>
      </c>
      <c r="K9" s="260">
        <v>380.3050834370963</v>
      </c>
      <c r="L9" s="441">
        <f>RANK(H9,$H$2:$H$110,1)</f>
        <v>15</v>
      </c>
      <c r="M9" s="230">
        <f>RANK(I9,$I$2:$I$110,1)</f>
        <v>28</v>
      </c>
      <c r="N9" s="438">
        <f>RANK(J9,$J$2:$J$110,1)</f>
        <v>8</v>
      </c>
      <c r="O9" s="438">
        <f>RANK(K9,$K$2:$K$110,1)</f>
        <v>26</v>
      </c>
      <c r="P9" s="442">
        <v>0</v>
      </c>
      <c r="Q9" s="442">
        <v>0</v>
      </c>
      <c r="R9" s="439">
        <v>0</v>
      </c>
      <c r="S9" s="439">
        <f>RANK(U9,$U$2:$U$110,0)</f>
        <v>48</v>
      </c>
      <c r="T9" s="440">
        <f>Table2[[#This Row],[BDG]]/Table2[[#This Row],[Odds]]</f>
        <v>15.615384615384615</v>
      </c>
      <c r="U9" s="440" cm="1">
        <f t="array" ref="U9">MAX(_xlfn._xlws.FILTER(Table22[[B365]:[MATCHBOOK]], Table22[PLAYER] = A9))</f>
        <v>15.6</v>
      </c>
      <c r="X9" t="str">
        <f>Table2[[#This Row],[Player]]</f>
        <v>Wilson Furr</v>
      </c>
      <c r="Y9" s="14">
        <f>Table2[[#This Row],[DGSCORE]]</f>
        <v>243.6</v>
      </c>
      <c r="Z9" s="14">
        <f>Table2[[#This Row],[BDG]]</f>
        <v>243.6</v>
      </c>
      <c r="AA9" s="14">
        <f>Z9-Y9</f>
        <v>0</v>
      </c>
      <c r="AB9">
        <f>_xlfn.RANK.AVG(AA9,$AA:$AA,0)</f>
        <v>55</v>
      </c>
    </row>
    <row r="10" spans="1:28" hidden="1">
      <c r="A10" s="438" t="s">
        <v>122</v>
      </c>
      <c r="B10" s="439">
        <v>138</v>
      </c>
      <c r="C10" s="439">
        <v>35</v>
      </c>
      <c r="D10" s="439">
        <v>42</v>
      </c>
      <c r="E10" s="439">
        <v>34</v>
      </c>
      <c r="F10" s="439">
        <v>91</v>
      </c>
      <c r="G10" s="439">
        <v>39</v>
      </c>
      <c r="H10" s="439">
        <v>230.2</v>
      </c>
      <c r="I10" s="440">
        <v>250.02288726202175</v>
      </c>
      <c r="J10" s="259">
        <v>245.38754159744161</v>
      </c>
      <c r="K10" s="260">
        <v>288.59605645606518</v>
      </c>
      <c r="L10" s="441">
        <f>RANK(H10,$H$2:$H$110,1)</f>
        <v>8</v>
      </c>
      <c r="M10" s="230">
        <f>RANK(I10,$I$2:$I$110,1)</f>
        <v>5</v>
      </c>
      <c r="N10" s="438">
        <f>RANK(J10,$J$2:$J$110,1)</f>
        <v>9</v>
      </c>
      <c r="O10" s="438">
        <f>RANK(K10,$K$2:$K$110,1)</f>
        <v>4</v>
      </c>
      <c r="P10" s="442">
        <v>0</v>
      </c>
      <c r="Q10" s="442">
        <v>0</v>
      </c>
      <c r="R10" s="439">
        <v>80</v>
      </c>
      <c r="S10" s="439">
        <f>RANK(U10,$U$2:$U$110,0)</f>
        <v>97</v>
      </c>
      <c r="T10" s="440">
        <f>Table2[[#This Row],[BDG]]/Table2[[#This Row],[Odds]]</f>
        <v>44.534944028573797</v>
      </c>
      <c r="U10" s="440" cm="1">
        <f t="array" ref="U10">MAX(_xlfn._xlws.FILTER(Table22[[B365]:[MATCHBOOK]], Table22[PLAYER] = A10))</f>
        <v>5.51</v>
      </c>
      <c r="X10" t="str">
        <f>Table2[[#This Row],[Player]]</f>
        <v>Nate Lashley</v>
      </c>
      <c r="Y10" s="14">
        <f>Table2[[#This Row],[DGSCORE]]</f>
        <v>230.2</v>
      </c>
      <c r="Z10" s="14">
        <f>Table2[[#This Row],[BDG]]</f>
        <v>245.38754159744161</v>
      </c>
      <c r="AA10" s="14">
        <f>Z10-Y10</f>
        <v>15.187541597441623</v>
      </c>
      <c r="AB10">
        <f>_xlfn.RANK.AVG(AA10,$AA:$AA,0)</f>
        <v>12</v>
      </c>
    </row>
    <row r="11" spans="1:28" hidden="1">
      <c r="A11" s="438" t="s">
        <v>557</v>
      </c>
      <c r="B11" s="439">
        <v>20</v>
      </c>
      <c r="C11" s="439">
        <v>147</v>
      </c>
      <c r="D11" s="439">
        <v>147</v>
      </c>
      <c r="E11" s="439">
        <v>81</v>
      </c>
      <c r="F11" s="439">
        <v>41</v>
      </c>
      <c r="G11" s="439">
        <v>62</v>
      </c>
      <c r="H11" s="439">
        <v>247.29999999999998</v>
      </c>
      <c r="I11" s="440">
        <v>345.62192121112508</v>
      </c>
      <c r="J11" s="259">
        <v>247.29999999999998</v>
      </c>
      <c r="K11" s="260">
        <v>345.62192121112508</v>
      </c>
      <c r="L11" s="441">
        <f>RANK(H11,$H$2:$H$110,1)</f>
        <v>17</v>
      </c>
      <c r="M11" s="230">
        <f>RANK(I11,$I$2:$I$110,1)</f>
        <v>19</v>
      </c>
      <c r="N11" s="438">
        <f>RANK(J11,$J$2:$J$110,1)</f>
        <v>10</v>
      </c>
      <c r="O11" s="438">
        <f>RANK(K11,$K$2:$K$110,1)</f>
        <v>19</v>
      </c>
      <c r="P11" s="442">
        <v>0</v>
      </c>
      <c r="Q11" s="442">
        <v>0</v>
      </c>
      <c r="R11" s="439">
        <v>-55</v>
      </c>
      <c r="S11" s="439">
        <f>RANK(U11,$U$2:$U$110,0)</f>
        <v>71</v>
      </c>
      <c r="T11" s="440">
        <f>Table2[[#This Row],[BDG]]/Table2[[#This Row],[Odds]]</f>
        <v>29.094117647058823</v>
      </c>
      <c r="U11" s="440" cm="1">
        <f t="array" ref="U11">MAX(_xlfn._xlws.FILTER(Table22[[B365]:[MATCHBOOK]], Table22[PLAYER] = A11))</f>
        <v>8.5</v>
      </c>
      <c r="X11" t="str">
        <f>Table2[[#This Row],[Player]]</f>
        <v>Hayden Springer</v>
      </c>
      <c r="Y11" s="14">
        <f>Table2[[#This Row],[DGSCORE]]</f>
        <v>247.29999999999998</v>
      </c>
      <c r="Z11" s="14">
        <f>Table2[[#This Row],[BDG]]</f>
        <v>247.29999999999998</v>
      </c>
      <c r="AA11" s="14">
        <f>Z11-Y11</f>
        <v>0</v>
      </c>
      <c r="AB11">
        <f>_xlfn.RANK.AVG(AA11,$AA:$AA,0)</f>
        <v>55</v>
      </c>
    </row>
    <row r="12" spans="1:28" hidden="1">
      <c r="A12" s="438" t="s">
        <v>26</v>
      </c>
      <c r="B12" s="439">
        <v>23</v>
      </c>
      <c r="C12" s="439">
        <v>103</v>
      </c>
      <c r="D12" s="439">
        <v>40</v>
      </c>
      <c r="E12" s="439">
        <v>180</v>
      </c>
      <c r="F12" s="439">
        <v>169</v>
      </c>
      <c r="G12" s="439">
        <v>115</v>
      </c>
      <c r="H12" s="439">
        <v>256.7</v>
      </c>
      <c r="I12" s="440">
        <v>414.72588593877288</v>
      </c>
      <c r="J12" s="259">
        <v>247.74192461710223</v>
      </c>
      <c r="K12" s="260">
        <v>382.11793611216268</v>
      </c>
      <c r="L12" s="441">
        <f>RANK(H12,$H$2:$H$110,1)</f>
        <v>21</v>
      </c>
      <c r="M12" s="230">
        <f>RANK(I12,$I$2:$I$110,1)</f>
        <v>38</v>
      </c>
      <c r="N12" s="438">
        <f>RANK(J12,$J$2:$J$110,1)</f>
        <v>11</v>
      </c>
      <c r="O12" s="438">
        <f>RANK(K12,$K$2:$K$110,1)</f>
        <v>27</v>
      </c>
      <c r="P12" s="442">
        <v>0</v>
      </c>
      <c r="Q12" s="442">
        <v>0</v>
      </c>
      <c r="R12" s="439">
        <v>10</v>
      </c>
      <c r="S12" s="439">
        <f>RANK(U12,$U$2:$U$110,0)</f>
        <v>102</v>
      </c>
      <c r="T12" s="440">
        <f>Table2[[#This Row],[BDG]]/Table2[[#This Row],[Odds]]</f>
        <v>53.507975079287739</v>
      </c>
      <c r="U12" s="440" cm="1">
        <f t="array" ref="U12">MAX(_xlfn._xlws.FILTER(Table22[[B365]:[MATCHBOOK]], Table22[PLAYER] = A12))</f>
        <v>4.63</v>
      </c>
      <c r="X12" t="str">
        <f>Table2[[#This Row],[Player]]</f>
        <v>Kevin Yu</v>
      </c>
      <c r="Y12" s="14">
        <f>Table2[[#This Row],[DGSCORE]]</f>
        <v>256.7</v>
      </c>
      <c r="Z12" s="14">
        <f>Table2[[#This Row],[BDG]]</f>
        <v>247.74192461710223</v>
      </c>
      <c r="AA12" s="14">
        <f>Z12-Y12</f>
        <v>-8.9580753828977606</v>
      </c>
      <c r="AB12">
        <f>_xlfn.RANK.AVG(AA12,$AA:$AA,0)</f>
        <v>91</v>
      </c>
    </row>
    <row r="13" spans="1:28" hidden="1">
      <c r="A13" s="438" t="s">
        <v>241</v>
      </c>
      <c r="B13" s="439">
        <v>16</v>
      </c>
      <c r="C13" s="439">
        <v>134</v>
      </c>
      <c r="D13" s="439">
        <v>21</v>
      </c>
      <c r="E13" s="439">
        <v>160</v>
      </c>
      <c r="F13" s="439">
        <v>179</v>
      </c>
      <c r="G13" s="439">
        <v>126</v>
      </c>
      <c r="H13" s="439">
        <v>249.60000000000002</v>
      </c>
      <c r="I13" s="440">
        <v>413.74781278800373</v>
      </c>
      <c r="J13" s="259">
        <v>249.60000000000002</v>
      </c>
      <c r="K13" s="260">
        <v>413.74781278800373</v>
      </c>
      <c r="L13" s="441">
        <f>RANK(H13,$H$2:$H$110,1)</f>
        <v>18</v>
      </c>
      <c r="M13" s="230">
        <f>RANK(I13,$I$2:$I$110,1)</f>
        <v>35</v>
      </c>
      <c r="N13" s="438">
        <f>RANK(J13,$J$2:$J$110,1)</f>
        <v>12</v>
      </c>
      <c r="O13" s="438">
        <f>RANK(K13,$K$2:$K$110,1)</f>
        <v>35</v>
      </c>
      <c r="P13" s="442">
        <v>0</v>
      </c>
      <c r="Q13" s="442">
        <v>0</v>
      </c>
      <c r="R13" s="439">
        <v>13</v>
      </c>
      <c r="S13" s="439">
        <f>RANK(U13,$U$2:$U$110,0)</f>
        <v>82</v>
      </c>
      <c r="T13" s="440">
        <f>Table2[[#This Row],[BDG]]/Table2[[#This Row],[Odds]]</f>
        <v>33.28</v>
      </c>
      <c r="U13" s="440" cm="1">
        <f t="array" ref="U13">MAX(_xlfn._xlws.FILTER(Table22[[B365]:[MATCHBOOK]], Table22[PLAYER] = A13))</f>
        <v>7.5</v>
      </c>
      <c r="X13" t="str">
        <f>Table2[[#This Row],[Player]]</f>
        <v>Jhonattan Vegas</v>
      </c>
      <c r="Y13" s="14">
        <f>Table2[[#This Row],[DGSCORE]]</f>
        <v>249.60000000000002</v>
      </c>
      <c r="Z13" s="14">
        <f>Table2[[#This Row],[BDG]]</f>
        <v>249.60000000000002</v>
      </c>
      <c r="AA13" s="14">
        <f>Z13-Y13</f>
        <v>0</v>
      </c>
      <c r="AB13">
        <f>_xlfn.RANK.AVG(AA13,$AA:$AA,0)</f>
        <v>55</v>
      </c>
    </row>
    <row r="14" spans="1:28" hidden="1">
      <c r="A14" s="438" t="s">
        <v>497</v>
      </c>
      <c r="B14" s="439">
        <v>49</v>
      </c>
      <c r="C14" s="439">
        <v>167</v>
      </c>
      <c r="D14" s="439">
        <v>37</v>
      </c>
      <c r="E14" s="439">
        <v>105</v>
      </c>
      <c r="F14" s="439">
        <v>114</v>
      </c>
      <c r="G14" s="439">
        <v>72</v>
      </c>
      <c r="H14" s="439">
        <v>252.5</v>
      </c>
      <c r="I14" s="440">
        <v>343.49110849464466</v>
      </c>
      <c r="J14" s="259">
        <v>252.5</v>
      </c>
      <c r="K14" s="260">
        <v>343.49110849464466</v>
      </c>
      <c r="L14" s="441">
        <f>RANK(H14,$H$2:$H$110,1)</f>
        <v>19</v>
      </c>
      <c r="M14" s="230">
        <f>RANK(I14,$I$2:$I$110,1)</f>
        <v>18</v>
      </c>
      <c r="N14" s="438">
        <f>RANK(J14,$J$2:$J$110,1)</f>
        <v>13</v>
      </c>
      <c r="O14" s="438">
        <f>RANK(K14,$K$2:$K$110,1)</f>
        <v>17</v>
      </c>
      <c r="P14" s="442">
        <v>0</v>
      </c>
      <c r="Q14" s="442">
        <v>0</v>
      </c>
      <c r="R14" s="439">
        <v>-20</v>
      </c>
      <c r="S14" s="439">
        <f>RANK(U14,$U$2:$U$110,0)</f>
        <v>61</v>
      </c>
      <c r="T14" s="440">
        <f>Table2[[#This Row],[BDG]]/Table2[[#This Row],[Odds]]</f>
        <v>22.954545454545453</v>
      </c>
      <c r="U14" s="440" cm="1">
        <f t="array" ref="U14">MAX(_xlfn._xlws.FILTER(Table22[[B365]:[MATCHBOOK]], Table22[PLAYER] = A14))</f>
        <v>11</v>
      </c>
      <c r="X14" t="str">
        <f>Table2[[#This Row],[Player]]</f>
        <v>Parker Coody</v>
      </c>
      <c r="Y14" s="14">
        <f>Table2[[#This Row],[DGSCORE]]</f>
        <v>252.5</v>
      </c>
      <c r="Z14" s="14">
        <f>Table2[[#This Row],[BDG]]</f>
        <v>252.5</v>
      </c>
      <c r="AA14" s="14">
        <f>Z14-Y14</f>
        <v>0</v>
      </c>
      <c r="AB14">
        <f>_xlfn.RANK.AVG(AA14,$AA:$AA,0)</f>
        <v>55</v>
      </c>
    </row>
    <row r="15" spans="1:28" hidden="1">
      <c r="A15" s="438" t="s">
        <v>115</v>
      </c>
      <c r="B15" s="439">
        <v>100</v>
      </c>
      <c r="C15" s="439">
        <v>84</v>
      </c>
      <c r="D15" s="439">
        <v>73</v>
      </c>
      <c r="E15" s="439">
        <v>61</v>
      </c>
      <c r="F15" s="439">
        <v>18</v>
      </c>
      <c r="G15" s="439">
        <v>10</v>
      </c>
      <c r="H15" s="439">
        <v>216.5</v>
      </c>
      <c r="I15" s="440">
        <v>225.67490526726468</v>
      </c>
      <c r="J15" s="259">
        <v>252.62232351237839</v>
      </c>
      <c r="K15" s="260">
        <v>317.39802698587522</v>
      </c>
      <c r="L15" s="441">
        <f>RANK(H15,$H$2:$H$110,1)</f>
        <v>4</v>
      </c>
      <c r="M15" s="230">
        <f>RANK(I15,$I$2:$I$110,1)</f>
        <v>2</v>
      </c>
      <c r="N15" s="438">
        <f>RANK(J15,$J$2:$J$110,1)</f>
        <v>14</v>
      </c>
      <c r="O15" s="438">
        <f>RANK(K15,$K$2:$K$110,1)</f>
        <v>9</v>
      </c>
      <c r="P15" s="442">
        <v>0</v>
      </c>
      <c r="Q15" s="442">
        <v>0</v>
      </c>
      <c r="R15" s="439">
        <v>4</v>
      </c>
      <c r="S15" s="439">
        <f>RANK(U15,$U$2:$U$110,0)</f>
        <v>106</v>
      </c>
      <c r="T15" s="440">
        <f>Table2[[#This Row],[BDG]]/Table2[[#This Row],[Odds]]</f>
        <v>66.654966625957357</v>
      </c>
      <c r="U15" s="440" cm="1">
        <f t="array" ref="U15">MAX(_xlfn._xlws.FILTER(Table22[[B365]:[MATCHBOOK]], Table22[PLAYER] = A15))</f>
        <v>3.79</v>
      </c>
      <c r="X15" t="str">
        <f>Table2[[#This Row],[Player]]</f>
        <v>Billy Horschel</v>
      </c>
      <c r="Y15" s="14">
        <f>Table2[[#This Row],[DGSCORE]]</f>
        <v>216.5</v>
      </c>
      <c r="Z15" s="14">
        <f>Table2[[#This Row],[BDG]]</f>
        <v>252.62232351237839</v>
      </c>
      <c r="AA15" s="14">
        <f>Z15-Y15</f>
        <v>36.122323512378387</v>
      </c>
      <c r="AB15">
        <f>_xlfn.RANK.AVG(AA15,$AA:$AA,0)</f>
        <v>6</v>
      </c>
    </row>
    <row r="16" spans="1:28" hidden="1">
      <c r="A16" s="438" t="s">
        <v>162</v>
      </c>
      <c r="B16" s="439">
        <v>145</v>
      </c>
      <c r="C16" s="439">
        <v>69</v>
      </c>
      <c r="D16" s="439">
        <v>29</v>
      </c>
      <c r="E16" s="439">
        <v>58</v>
      </c>
      <c r="F16" s="439">
        <v>72</v>
      </c>
      <c r="G16" s="439">
        <v>40</v>
      </c>
      <c r="H16" s="439">
        <v>244.5</v>
      </c>
      <c r="I16" s="440">
        <v>266.12395186481808</v>
      </c>
      <c r="J16" s="259">
        <v>253.35510899918631</v>
      </c>
      <c r="K16" s="260">
        <v>274.76499785921345</v>
      </c>
      <c r="L16" s="441">
        <f>RANK(H16,$H$2:$H$110,1)</f>
        <v>16</v>
      </c>
      <c r="M16" s="230">
        <f>RANK(I16,$I$2:$I$110,1)</f>
        <v>6</v>
      </c>
      <c r="N16" s="438">
        <f>RANK(J16,$J$2:$J$110,1)</f>
        <v>15</v>
      </c>
      <c r="O16" s="438">
        <f>RANK(K16,$K$2:$K$110,1)</f>
        <v>3</v>
      </c>
      <c r="P16" s="442">
        <v>0</v>
      </c>
      <c r="Q16" s="442">
        <v>0</v>
      </c>
      <c r="R16" s="439">
        <v>26</v>
      </c>
      <c r="S16" s="439">
        <f>RANK(U16,$U$2:$U$110,0)</f>
        <v>100</v>
      </c>
      <c r="T16" s="440">
        <f>Table2[[#This Row],[BDG]]/Table2[[#This Row],[Odds]]</f>
        <v>51.494940853493155</v>
      </c>
      <c r="U16" s="440" cm="1">
        <f t="array" ref="U16">MAX(_xlfn._xlws.FILTER(Table22[[B365]:[MATCHBOOK]], Table22[PLAYER] = A16))</f>
        <v>4.92</v>
      </c>
      <c r="X16" t="str">
        <f>Table2[[#This Row],[Player]]</f>
        <v>Mark Hubbard</v>
      </c>
      <c r="Y16" s="14">
        <f>Table2[[#This Row],[DGSCORE]]</f>
        <v>244.5</v>
      </c>
      <c r="Z16" s="14">
        <f>Table2[[#This Row],[BDG]]</f>
        <v>253.35510899918631</v>
      </c>
      <c r="AA16" s="14">
        <f>Z16-Y16</f>
        <v>8.8551089991863137</v>
      </c>
      <c r="AB16">
        <f>_xlfn.RANK.AVG(AA16,$AA:$AA,0)</f>
        <v>19</v>
      </c>
    </row>
    <row r="17" spans="1:28" hidden="1">
      <c r="A17" s="438" t="s">
        <v>121</v>
      </c>
      <c r="B17" s="439">
        <v>142</v>
      </c>
      <c r="C17" s="439">
        <v>41</v>
      </c>
      <c r="D17" s="439">
        <v>35</v>
      </c>
      <c r="E17" s="439">
        <v>74</v>
      </c>
      <c r="F17" s="439">
        <v>80</v>
      </c>
      <c r="G17" s="439">
        <v>16</v>
      </c>
      <c r="H17" s="439">
        <v>242.4</v>
      </c>
      <c r="I17" s="440">
        <v>245.15386306939905</v>
      </c>
      <c r="J17" s="259">
        <v>255.42524753950079</v>
      </c>
      <c r="K17" s="260">
        <v>296.9052675398998</v>
      </c>
      <c r="L17" s="441">
        <f>RANK(H17,$H$2:$H$110,1)</f>
        <v>14</v>
      </c>
      <c r="M17" s="230">
        <f>RANK(I17,$I$2:$I$110,1)</f>
        <v>4</v>
      </c>
      <c r="N17" s="438">
        <f>RANK(J17,$J$2:$J$110,1)</f>
        <v>16</v>
      </c>
      <c r="O17" s="438">
        <f>RANK(K17,$K$2:$K$110,1)</f>
        <v>7</v>
      </c>
      <c r="P17" s="442">
        <v>0</v>
      </c>
      <c r="Q17" s="442">
        <v>0</v>
      </c>
      <c r="R17" s="439">
        <v>-10</v>
      </c>
      <c r="S17" s="439">
        <f>RANK(U17,$U$2:$U$110,0)</f>
        <v>104</v>
      </c>
      <c r="T17" s="440">
        <f>Table2[[#This Row],[BDG]]/Table2[[#This Row],[Odds]]</f>
        <v>56.38526435750569</v>
      </c>
      <c r="U17" s="440" cm="1">
        <f t="array" ref="U17">MAX(_xlfn._xlws.FILTER(Table22[[B365]:[MATCHBOOK]], Table22[PLAYER] = A17))</f>
        <v>4.53</v>
      </c>
      <c r="X17" t="str">
        <f>Table2[[#This Row],[Player]]</f>
        <v>Doug Ghim</v>
      </c>
      <c r="Y17" s="14">
        <f>Table2[[#This Row],[DGSCORE]]</f>
        <v>242.4</v>
      </c>
      <c r="Z17" s="14">
        <f>Table2[[#This Row],[BDG]]</f>
        <v>255.42524753950079</v>
      </c>
      <c r="AA17" s="14">
        <f>Z17-Y17</f>
        <v>13.025247539500782</v>
      </c>
      <c r="AB17">
        <f>_xlfn.RANK.AVG(AA17,$AA:$AA,0)</f>
        <v>14</v>
      </c>
    </row>
    <row r="18" spans="1:28" hidden="1">
      <c r="A18" s="438" t="s">
        <v>33</v>
      </c>
      <c r="B18" s="439">
        <v>9</v>
      </c>
      <c r="C18" s="439">
        <v>178</v>
      </c>
      <c r="D18" s="439">
        <v>121</v>
      </c>
      <c r="E18" s="439">
        <v>84</v>
      </c>
      <c r="F18" s="439">
        <v>22</v>
      </c>
      <c r="G18" s="439">
        <v>88</v>
      </c>
      <c r="H18" s="439">
        <v>226.39999999999998</v>
      </c>
      <c r="I18" s="440">
        <v>349.75484610740739</v>
      </c>
      <c r="J18" s="259">
        <v>256.0852084240164</v>
      </c>
      <c r="K18" s="260">
        <v>382.33389767963814</v>
      </c>
      <c r="L18" s="441">
        <f>RANK(H18,$H$2:$H$110,1)</f>
        <v>7</v>
      </c>
      <c r="M18" s="230">
        <f>RANK(I18,$I$2:$I$110,1)</f>
        <v>20</v>
      </c>
      <c r="N18" s="438">
        <f>RANK(J18,$J$2:$J$110,1)</f>
        <v>17</v>
      </c>
      <c r="O18" s="438">
        <f>RANK(K18,$K$2:$K$110,1)</f>
        <v>28</v>
      </c>
      <c r="P18" s="442">
        <v>0</v>
      </c>
      <c r="Q18" s="442">
        <v>0</v>
      </c>
      <c r="R18" s="439">
        <v>-46</v>
      </c>
      <c r="S18" s="439">
        <f>RANK(U18,$U$2:$U$110,0)</f>
        <v>86</v>
      </c>
      <c r="T18" s="440">
        <f>Table2[[#This Row],[BDG]]/Table2[[#This Row],[Odds]]</f>
        <v>36.170227178533388</v>
      </c>
      <c r="U18" s="440" cm="1">
        <f t="array" ref="U18">MAX(_xlfn._xlws.FILTER(Table22[[B365]:[MATCHBOOK]], Table22[PLAYER] = A18))</f>
        <v>7.08</v>
      </c>
      <c r="X18" t="str">
        <f>Table2[[#This Row],[Player]]</f>
        <v>Taylor Pendrith</v>
      </c>
      <c r="Y18" s="14">
        <f>Table2[[#This Row],[DGSCORE]]</f>
        <v>226.39999999999998</v>
      </c>
      <c r="Z18" s="14">
        <f>Table2[[#This Row],[BDG]]</f>
        <v>256.0852084240164</v>
      </c>
      <c r="AA18" s="14">
        <f>Z18-Y18</f>
        <v>29.685208424016423</v>
      </c>
      <c r="AB18">
        <f>_xlfn.RANK.AVG(AA18,$AA:$AA,0)</f>
        <v>7</v>
      </c>
    </row>
    <row r="19" spans="1:28" hidden="1">
      <c r="A19" s="438" t="s">
        <v>152</v>
      </c>
      <c r="B19" s="439">
        <v>144</v>
      </c>
      <c r="C19" s="439">
        <v>30</v>
      </c>
      <c r="D19" s="439">
        <v>28</v>
      </c>
      <c r="E19" s="439">
        <v>94</v>
      </c>
      <c r="F19" s="439">
        <v>107</v>
      </c>
      <c r="G19" s="439">
        <v>43</v>
      </c>
      <c r="H19" s="439">
        <v>255.29999999999998</v>
      </c>
      <c r="I19" s="440">
        <v>288.33523879828067</v>
      </c>
      <c r="J19" s="259">
        <v>258.64640747062271</v>
      </c>
      <c r="K19" s="260">
        <v>290.41379446262789</v>
      </c>
      <c r="L19" s="441">
        <f>RANK(H19,$H$2:$H$110,1)</f>
        <v>20</v>
      </c>
      <c r="M19" s="230">
        <f>RANK(I19,$I$2:$I$110,1)</f>
        <v>8</v>
      </c>
      <c r="N19" s="438">
        <f>RANK(J19,$J$2:$J$110,1)</f>
        <v>18</v>
      </c>
      <c r="O19" s="438">
        <f>RANK(K19,$K$2:$K$110,1)</f>
        <v>5</v>
      </c>
      <c r="P19" s="442">
        <v>0</v>
      </c>
      <c r="Q19" s="442">
        <v>0</v>
      </c>
      <c r="R19" s="439">
        <v>16</v>
      </c>
      <c r="S19" s="439">
        <f>RANK(U19,$U$2:$U$110,0)</f>
        <v>105</v>
      </c>
      <c r="T19" s="440">
        <f>Table2[[#This Row],[BDG]]/Table2[[#This Row],[Odds]]</f>
        <v>58.38519355995998</v>
      </c>
      <c r="U19" s="440" cm="1">
        <f t="array" ref="U19">MAX(_xlfn._xlws.FILTER(Table22[[B365]:[MATCHBOOK]], Table22[PLAYER] = A19))</f>
        <v>4.43</v>
      </c>
      <c r="X19" t="str">
        <f>Table2[[#This Row],[Player]]</f>
        <v>Aaron Rai</v>
      </c>
      <c r="Y19" s="14">
        <f>Table2[[#This Row],[DGSCORE]]</f>
        <v>255.29999999999998</v>
      </c>
      <c r="Z19" s="14">
        <f>Table2[[#This Row],[BDG]]</f>
        <v>258.64640747062271</v>
      </c>
      <c r="AA19" s="14">
        <f>Z19-Y19</f>
        <v>3.3464074706227223</v>
      </c>
      <c r="AB19">
        <f>_xlfn.RANK.AVG(AA19,$AA:$AA,0)</f>
        <v>23</v>
      </c>
    </row>
    <row r="20" spans="1:28" hidden="1">
      <c r="A20" s="438" t="s">
        <v>632</v>
      </c>
      <c r="B20" s="439">
        <v>54</v>
      </c>
      <c r="C20" s="439">
        <v>98</v>
      </c>
      <c r="D20" s="439">
        <v>17</v>
      </c>
      <c r="E20" s="439">
        <v>113</v>
      </c>
      <c r="F20" s="439">
        <v>132</v>
      </c>
      <c r="G20" s="439">
        <v>55</v>
      </c>
      <c r="H20" s="439">
        <v>220.7</v>
      </c>
      <c r="I20" s="440">
        <v>292.16611179686345</v>
      </c>
      <c r="J20" s="259">
        <v>259.9645143219733</v>
      </c>
      <c r="K20" s="260">
        <v>358.66116265810251</v>
      </c>
      <c r="L20" s="441">
        <f>RANK(H20,$H$2:$H$110,1)</f>
        <v>5</v>
      </c>
      <c r="M20" s="230">
        <f>RANK(I20,$I$2:$I$110,1)</f>
        <v>9</v>
      </c>
      <c r="N20" s="438">
        <f>RANK(J20,$J$2:$J$110,1)</f>
        <v>19</v>
      </c>
      <c r="O20" s="438">
        <f>RANK(K20,$K$2:$K$110,1)</f>
        <v>22</v>
      </c>
      <c r="P20" s="442">
        <v>0</v>
      </c>
      <c r="Q20" s="442">
        <v>0</v>
      </c>
      <c r="R20" s="439">
        <v>27</v>
      </c>
      <c r="S20" s="439">
        <f>RANK(U20,$U$2:$U$110,0)</f>
        <v>101</v>
      </c>
      <c r="T20" s="440">
        <f>Table2[[#This Row],[BDG]]/Table2[[#This Row],[Odds]]</f>
        <v>55.077227610587563</v>
      </c>
      <c r="U20" s="440" cm="1">
        <f t="array" ref="U20">MAX(_xlfn._xlws.FILTER(Table22[[B365]:[MATCHBOOK]], Table22[PLAYER] = A20))</f>
        <v>4.72</v>
      </c>
      <c r="X20" t="str">
        <f>Table2[[#This Row],[Player]]</f>
        <v>Victor Perez</v>
      </c>
      <c r="Y20" s="14">
        <f>Table2[[#This Row],[DGSCORE]]</f>
        <v>220.7</v>
      </c>
      <c r="Z20" s="14">
        <f>Table2[[#This Row],[BDG]]</f>
        <v>259.9645143219733</v>
      </c>
      <c r="AA20" s="14">
        <f>Z20-Y20</f>
        <v>39.264514321973309</v>
      </c>
      <c r="AB20">
        <f>_xlfn.RANK.AVG(AA20,$AA:$AA,0)</f>
        <v>5</v>
      </c>
    </row>
    <row r="21" spans="1:28" hidden="1">
      <c r="A21" s="438" t="s">
        <v>92</v>
      </c>
      <c r="B21" s="439">
        <v>75</v>
      </c>
      <c r="C21" s="439">
        <v>93</v>
      </c>
      <c r="D21" s="439">
        <v>135</v>
      </c>
      <c r="E21" s="439">
        <v>42</v>
      </c>
      <c r="F21" s="439">
        <v>84</v>
      </c>
      <c r="G21" s="439">
        <v>77</v>
      </c>
      <c r="H21" s="439">
        <v>267.3</v>
      </c>
      <c r="I21" s="440">
        <v>357.46496314336412</v>
      </c>
      <c r="J21" s="259">
        <v>262.56354634927243</v>
      </c>
      <c r="K21" s="260">
        <v>343.82938495232156</v>
      </c>
      <c r="L21" s="441">
        <f>RANK(H21,$H$2:$H$110,1)</f>
        <v>26</v>
      </c>
      <c r="M21" s="230">
        <f>RANK(I21,$I$2:$I$110,1)</f>
        <v>23</v>
      </c>
      <c r="N21" s="438">
        <f>RANK(J21,$J$2:$J$110,1)</f>
        <v>20</v>
      </c>
      <c r="O21" s="438">
        <f>RANK(K21,$K$2:$K$110,1)</f>
        <v>18</v>
      </c>
      <c r="P21" s="442">
        <v>0</v>
      </c>
      <c r="Q21" s="442">
        <v>0</v>
      </c>
      <c r="R21" s="439">
        <v>-12</v>
      </c>
      <c r="S21" s="439">
        <f>RANK(U21,$U$2:$U$110,0)</f>
        <v>96</v>
      </c>
      <c r="T21" s="440">
        <f>Table2[[#This Row],[BDG]]/Table2[[#This Row],[Odds]]</f>
        <v>44.502295991402107</v>
      </c>
      <c r="U21" s="440" cm="1">
        <f t="array" ref="U21">MAX(_xlfn._xlws.FILTER(Table22[[B365]:[MATCHBOOK]], Table22[PLAYER] = A21))</f>
        <v>5.9</v>
      </c>
      <c r="X21" t="str">
        <f>Table2[[#This Row],[Player]]</f>
        <v>K.H. Lee</v>
      </c>
      <c r="Y21" s="14">
        <f>Table2[[#This Row],[DGSCORE]]</f>
        <v>267.3</v>
      </c>
      <c r="Z21" s="14">
        <f>Table2[[#This Row],[BDG]]</f>
        <v>262.56354634927243</v>
      </c>
      <c r="AA21" s="14">
        <f>Z21-Y21</f>
        <v>-4.736453650727583</v>
      </c>
      <c r="AB21">
        <f>_xlfn.RANK.AVG(AA21,$AA:$AA,0)</f>
        <v>87</v>
      </c>
    </row>
    <row r="22" spans="1:28" hidden="1">
      <c r="A22" s="438" t="s">
        <v>485</v>
      </c>
      <c r="B22" s="439">
        <v>23</v>
      </c>
      <c r="C22" s="439">
        <v>128</v>
      </c>
      <c r="D22" s="439">
        <v>44</v>
      </c>
      <c r="E22" s="439">
        <v>153</v>
      </c>
      <c r="F22" s="439">
        <v>178</v>
      </c>
      <c r="G22" s="439">
        <v>125</v>
      </c>
      <c r="H22" s="439">
        <v>265.7</v>
      </c>
      <c r="I22" s="440">
        <v>429.09443476064439</v>
      </c>
      <c r="J22" s="259">
        <v>265.7</v>
      </c>
      <c r="K22" s="260">
        <v>429.09443476064439</v>
      </c>
      <c r="L22" s="441">
        <f>RANK(H22,$H$2:$H$110,1)</f>
        <v>24</v>
      </c>
      <c r="M22" s="230">
        <f>RANK(I22,$I$2:$I$110,1)</f>
        <v>44</v>
      </c>
      <c r="N22" s="438">
        <f>RANK(J22,$J$2:$J$110,1)</f>
        <v>21</v>
      </c>
      <c r="O22" s="438">
        <f>RANK(K22,$K$2:$K$110,1)</f>
        <v>39</v>
      </c>
      <c r="P22" s="442">
        <v>0</v>
      </c>
      <c r="Q22" s="442">
        <v>0</v>
      </c>
      <c r="R22" s="439">
        <v>30</v>
      </c>
      <c r="S22" s="439">
        <f>RANK(U22,$U$2:$U$110,0)</f>
        <v>69</v>
      </c>
      <c r="T22" s="440">
        <f>Table2[[#This Row],[BDG]]/Table2[[#This Row],[Odds]]</f>
        <v>29.391592920353983</v>
      </c>
      <c r="U22" s="440" cm="1">
        <f t="array" ref="U22">MAX(_xlfn._xlws.FILTER(Table22[[B365]:[MATCHBOOK]], Table22[PLAYER] = A22))</f>
        <v>9.0399999999999991</v>
      </c>
      <c r="X22" t="str">
        <f>Table2[[#This Row],[Player]]</f>
        <v>Rico Hoey</v>
      </c>
      <c r="Y22" s="14">
        <f>Table2[[#This Row],[DGSCORE]]</f>
        <v>265.7</v>
      </c>
      <c r="Z22" s="14">
        <f>Table2[[#This Row],[BDG]]</f>
        <v>265.7</v>
      </c>
      <c r="AA22" s="14">
        <f>Z22-Y22</f>
        <v>0</v>
      </c>
      <c r="AB22">
        <f>_xlfn.RANK.AVG(AA22,$AA:$AA,0)</f>
        <v>55</v>
      </c>
    </row>
    <row r="23" spans="1:28" hidden="1">
      <c r="A23" s="438" t="s">
        <v>62</v>
      </c>
      <c r="B23" s="439">
        <v>86</v>
      </c>
      <c r="C23" s="439">
        <v>171</v>
      </c>
      <c r="D23" s="439">
        <v>86</v>
      </c>
      <c r="E23" s="439">
        <v>101</v>
      </c>
      <c r="F23" s="439">
        <v>84</v>
      </c>
      <c r="G23" s="439">
        <v>137</v>
      </c>
      <c r="H23" s="439">
        <v>305.5</v>
      </c>
      <c r="I23" s="440">
        <v>457.89284952590708</v>
      </c>
      <c r="J23" s="259">
        <v>265.78586580248657</v>
      </c>
      <c r="K23" s="260">
        <v>385.7877120950273</v>
      </c>
      <c r="L23" s="441">
        <f>RANK(H23,$H$2:$H$110,1)</f>
        <v>46</v>
      </c>
      <c r="M23" s="230">
        <f>RANK(I23,$I$2:$I$110,1)</f>
        <v>49</v>
      </c>
      <c r="N23" s="438">
        <f>RANK(J23,$J$2:$J$110,1)</f>
        <v>22</v>
      </c>
      <c r="O23" s="438">
        <f>RANK(K23,$K$2:$K$110,1)</f>
        <v>29</v>
      </c>
      <c r="P23" s="442">
        <v>0</v>
      </c>
      <c r="Q23" s="442">
        <v>0</v>
      </c>
      <c r="R23" s="439">
        <v>6</v>
      </c>
      <c r="S23" s="439">
        <f>RANK(U23,$U$2:$U$110,0)</f>
        <v>62</v>
      </c>
      <c r="T23" s="440">
        <f>Table2[[#This Row],[BDG]]/Table2[[#This Row],[Odds]]</f>
        <v>24.609802389119125</v>
      </c>
      <c r="U23" s="440" cm="1">
        <f t="array" ref="U23">MAX(_xlfn._xlws.FILTER(Table22[[B365]:[MATCHBOOK]], Table22[PLAYER] = A23))</f>
        <v>10.8</v>
      </c>
      <c r="X23" t="str">
        <f>Table2[[#This Row],[Player]]</f>
        <v>Michael Kim</v>
      </c>
      <c r="Y23" s="14">
        <f>Table2[[#This Row],[DGSCORE]]</f>
        <v>305.5</v>
      </c>
      <c r="Z23" s="14">
        <f>Table2[[#This Row],[BDG]]</f>
        <v>265.78586580248657</v>
      </c>
      <c r="AA23" s="14">
        <f>Z23-Y23</f>
        <v>-39.714134197513431</v>
      </c>
      <c r="AB23">
        <f>_xlfn.RANK.AVG(AA23,$AA:$AA,0)</f>
        <v>100</v>
      </c>
    </row>
    <row r="24" spans="1:28" hidden="1">
      <c r="A24" s="438" t="s">
        <v>424</v>
      </c>
      <c r="B24" s="439">
        <v>108</v>
      </c>
      <c r="C24" s="439">
        <v>78</v>
      </c>
      <c r="D24" s="439">
        <v>57</v>
      </c>
      <c r="E24" s="439">
        <v>79</v>
      </c>
      <c r="F24" s="439">
        <v>117</v>
      </c>
      <c r="G24" s="439">
        <v>70</v>
      </c>
      <c r="H24" s="439">
        <v>266.2</v>
      </c>
      <c r="I24" s="440">
        <v>337.36940637494001</v>
      </c>
      <c r="J24" s="259">
        <v>266.2</v>
      </c>
      <c r="K24" s="260">
        <v>337.36940637494001</v>
      </c>
      <c r="L24" s="441">
        <f>RANK(H24,$H$2:$H$110,1)</f>
        <v>25</v>
      </c>
      <c r="M24" s="230">
        <f>RANK(I24,$I$2:$I$110,1)</f>
        <v>17</v>
      </c>
      <c r="N24" s="438">
        <f>RANK(J24,$J$2:$J$110,1)</f>
        <v>23</v>
      </c>
      <c r="O24" s="438">
        <f>RANK(K24,$K$2:$K$110,1)</f>
        <v>16</v>
      </c>
      <c r="P24" s="442">
        <v>0</v>
      </c>
      <c r="Q24" s="442">
        <v>0</v>
      </c>
      <c r="R24" s="439">
        <v>-25</v>
      </c>
      <c r="S24" s="439">
        <f>RANK(U24,$U$2:$U$110,0)</f>
        <v>93</v>
      </c>
      <c r="T24" s="440">
        <f>Table2[[#This Row],[BDG]]/Table2[[#This Row],[Odds]]</f>
        <v>42.321144674085851</v>
      </c>
      <c r="U24" s="440" cm="1">
        <f t="array" ref="U24">MAX(_xlfn._xlws.FILTER(Table22[[B365]:[MATCHBOOK]], Table22[PLAYER] = A24))</f>
        <v>6.29</v>
      </c>
      <c r="X24" t="str">
        <f>Table2[[#This Row],[Player]]</f>
        <v>Chan Kim</v>
      </c>
      <c r="Y24" s="14">
        <f>Table2[[#This Row],[DGSCORE]]</f>
        <v>266.2</v>
      </c>
      <c r="Z24" s="14">
        <f>Table2[[#This Row],[BDG]]</f>
        <v>266.2</v>
      </c>
      <c r="AA24" s="14">
        <f>Z24-Y24</f>
        <v>0</v>
      </c>
      <c r="AB24">
        <f>_xlfn.RANK.AVG(AA24,$AA:$AA,0)</f>
        <v>55</v>
      </c>
    </row>
    <row r="25" spans="1:28" hidden="1">
      <c r="A25" s="438" t="s">
        <v>11</v>
      </c>
      <c r="B25" s="439">
        <v>43</v>
      </c>
      <c r="C25" s="439">
        <v>143</v>
      </c>
      <c r="D25" s="439">
        <v>124</v>
      </c>
      <c r="E25" s="439">
        <v>148</v>
      </c>
      <c r="F25" s="439">
        <v>67</v>
      </c>
      <c r="G25" s="439">
        <v>112</v>
      </c>
      <c r="H25" s="439">
        <v>289.7</v>
      </c>
      <c r="I25" s="440">
        <v>443.21309697893423</v>
      </c>
      <c r="J25" s="259">
        <v>268.89735827749297</v>
      </c>
      <c r="K25" s="260">
        <v>436.01526267218264</v>
      </c>
      <c r="L25" s="441">
        <f>RANK(H25,$H$2:$H$110,1)</f>
        <v>36</v>
      </c>
      <c r="M25" s="230">
        <f>RANK(I25,$I$2:$I$110,1)</f>
        <v>47</v>
      </c>
      <c r="N25" s="438">
        <f>RANK(J25,$J$2:$J$110,1)</f>
        <v>24</v>
      </c>
      <c r="O25" s="438">
        <f>RANK(K25,$K$2:$K$110,1)</f>
        <v>43</v>
      </c>
      <c r="P25" s="442">
        <v>0</v>
      </c>
      <c r="Q25" s="442">
        <v>0</v>
      </c>
      <c r="R25" s="439">
        <v>67</v>
      </c>
      <c r="S25" s="439">
        <f>RANK(U25,$U$2:$U$110,0)</f>
        <v>89</v>
      </c>
      <c r="T25" s="440">
        <f>Table2[[#This Row],[BDG]]/Table2[[#This Row],[Odds]]</f>
        <v>39.083918354286773</v>
      </c>
      <c r="U25" s="440" cm="1">
        <f t="array" ref="U25">MAX(_xlfn._xlws.FILTER(Table22[[B365]:[MATCHBOOK]], Table22[PLAYER] = A25))</f>
        <v>6.88</v>
      </c>
      <c r="X25" t="str">
        <f>Table2[[#This Row],[Player]]</f>
        <v>Matti Schmid</v>
      </c>
      <c r="Y25" s="14">
        <f>Table2[[#This Row],[DGSCORE]]</f>
        <v>289.7</v>
      </c>
      <c r="Z25" s="14">
        <f>Table2[[#This Row],[BDG]]</f>
        <v>268.89735827749297</v>
      </c>
      <c r="AA25" s="14">
        <f>Z25-Y25</f>
        <v>-20.802641722507019</v>
      </c>
      <c r="AB25">
        <f>_xlfn.RANK.AVG(AA25,$AA:$AA,0)</f>
        <v>94</v>
      </c>
    </row>
    <row r="26" spans="1:28" hidden="1">
      <c r="A26" s="438" t="s">
        <v>596</v>
      </c>
      <c r="B26" s="439">
        <v>2</v>
      </c>
      <c r="C26" s="439">
        <v>182</v>
      </c>
      <c r="D26" s="439">
        <v>152</v>
      </c>
      <c r="E26" s="439">
        <v>122</v>
      </c>
      <c r="F26" s="439">
        <v>45</v>
      </c>
      <c r="G26" s="439">
        <v>108</v>
      </c>
      <c r="H26" s="439">
        <v>270.5</v>
      </c>
      <c r="I26" s="440">
        <v>429.03868797991117</v>
      </c>
      <c r="J26" s="259">
        <v>270.5</v>
      </c>
      <c r="K26" s="260">
        <v>429.03868797991117</v>
      </c>
      <c r="L26" s="441">
        <f>RANK(H26,$H$2:$H$110,1)</f>
        <v>29</v>
      </c>
      <c r="M26" s="230">
        <f>RANK(I26,$I$2:$I$110,1)</f>
        <v>43</v>
      </c>
      <c r="N26" s="438">
        <f>RANK(J26,$J$2:$J$110,1)</f>
        <v>25</v>
      </c>
      <c r="O26" s="438">
        <f>RANK(K26,$K$2:$K$110,1)</f>
        <v>38</v>
      </c>
      <c r="P26" s="442">
        <v>0</v>
      </c>
      <c r="Q26" s="442">
        <v>0</v>
      </c>
      <c r="R26" s="439">
        <v>-18</v>
      </c>
      <c r="S26" s="439">
        <f>RANK(U26,$U$2:$U$110,0)</f>
        <v>71</v>
      </c>
      <c r="T26" s="440">
        <f>Table2[[#This Row],[BDG]]/Table2[[#This Row],[Odds]]</f>
        <v>31.823529411764707</v>
      </c>
      <c r="U26" s="440" cm="1">
        <f t="array" ref="U26">MAX(_xlfn._xlws.FILTER(Table22[[B365]:[MATCHBOOK]], Table22[PLAYER] = A26))</f>
        <v>8.5</v>
      </c>
      <c r="X26" t="str">
        <f>Table2[[#This Row],[Player]]</f>
        <v>Chris Gotterup</v>
      </c>
      <c r="Y26" s="14">
        <f>Table2[[#This Row],[DGSCORE]]</f>
        <v>270.5</v>
      </c>
      <c r="Z26" s="14">
        <f>Table2[[#This Row],[BDG]]</f>
        <v>270.5</v>
      </c>
      <c r="AA26" s="14">
        <f>Z26-Y26</f>
        <v>0</v>
      </c>
      <c r="AB26">
        <f>_xlfn.RANK.AVG(AA26,$AA:$AA,0)</f>
        <v>55</v>
      </c>
    </row>
    <row r="27" spans="1:28" hidden="1">
      <c r="A27" s="438" t="s">
        <v>39</v>
      </c>
      <c r="B27" s="439">
        <v>79</v>
      </c>
      <c r="C27" s="439">
        <v>177</v>
      </c>
      <c r="D27" s="439">
        <v>144</v>
      </c>
      <c r="E27" s="439">
        <v>11</v>
      </c>
      <c r="F27" s="439">
        <v>30</v>
      </c>
      <c r="G27" s="439">
        <v>78</v>
      </c>
      <c r="H27" s="439">
        <v>279.8</v>
      </c>
      <c r="I27" s="440">
        <v>363.7300624830778</v>
      </c>
      <c r="J27" s="259">
        <v>272.15989432860903</v>
      </c>
      <c r="K27" s="260">
        <v>358.3472203682386</v>
      </c>
      <c r="L27" s="441">
        <f>RANK(H27,$H$2:$H$110,1)</f>
        <v>33</v>
      </c>
      <c r="M27" s="230">
        <f>RANK(I27,$I$2:$I$110,1)</f>
        <v>24</v>
      </c>
      <c r="N27" s="438">
        <f>RANK(J27,$J$2:$J$110,1)</f>
        <v>26</v>
      </c>
      <c r="O27" s="438">
        <f>RANK(K27,$K$2:$K$110,1)</f>
        <v>21</v>
      </c>
      <c r="P27" s="442">
        <v>0</v>
      </c>
      <c r="Q27" s="442">
        <v>0</v>
      </c>
      <c r="R27" s="439">
        <v>28</v>
      </c>
      <c r="S27" s="439">
        <f>RANK(U27,$U$2:$U$110,0)</f>
        <v>80</v>
      </c>
      <c r="T27" s="440">
        <f>Table2[[#This Row],[BDG]]/Table2[[#This Row],[Odds]]</f>
        <v>35.530012314439823</v>
      </c>
      <c r="U27" s="440" cm="1">
        <f t="array" ref="U27">MAX(_xlfn._xlws.FILTER(Table22[[B365]:[MATCHBOOK]], Table22[PLAYER] = A27))</f>
        <v>7.66</v>
      </c>
      <c r="X27" t="str">
        <f>Table2[[#This Row],[Player]]</f>
        <v>S.H. Kim</v>
      </c>
      <c r="Y27" s="14">
        <f>Table2[[#This Row],[DGSCORE]]</f>
        <v>279.8</v>
      </c>
      <c r="Z27" s="14">
        <f>Table2[[#This Row],[BDG]]</f>
        <v>272.15989432860903</v>
      </c>
      <c r="AA27" s="14">
        <f>Z27-Y27</f>
        <v>-7.6401056713909838</v>
      </c>
      <c r="AB27">
        <f>_xlfn.RANK.AVG(AA27,$AA:$AA,0)</f>
        <v>90</v>
      </c>
    </row>
    <row r="28" spans="1:28" hidden="1">
      <c r="A28" s="438" t="s">
        <v>562</v>
      </c>
      <c r="B28" s="439">
        <v>3</v>
      </c>
      <c r="C28" s="439">
        <v>158</v>
      </c>
      <c r="D28" s="439">
        <v>114</v>
      </c>
      <c r="E28" s="439">
        <v>181</v>
      </c>
      <c r="F28" s="439">
        <v>77</v>
      </c>
      <c r="G28" s="439">
        <v>85</v>
      </c>
      <c r="H28" s="439">
        <v>272.39999999999998</v>
      </c>
      <c r="I28" s="440">
        <v>414.87967107402255</v>
      </c>
      <c r="J28" s="259">
        <v>272.39999999999998</v>
      </c>
      <c r="K28" s="260">
        <v>414.87967107402255</v>
      </c>
      <c r="L28" s="441">
        <f>RANK(H28,$H$2:$H$110,1)</f>
        <v>30</v>
      </c>
      <c r="M28" s="230">
        <f>RANK(I28,$I$2:$I$110,1)</f>
        <v>39</v>
      </c>
      <c r="N28" s="438">
        <f>RANK(J28,$J$2:$J$110,1)</f>
        <v>27</v>
      </c>
      <c r="O28" s="438">
        <f>RANK(K28,$K$2:$K$110,1)</f>
        <v>36</v>
      </c>
      <c r="P28" s="442">
        <v>0</v>
      </c>
      <c r="Q28" s="442">
        <v>0</v>
      </c>
      <c r="R28" s="439">
        <v>24</v>
      </c>
      <c r="S28" s="439">
        <f>RANK(U28,$U$2:$U$110,0)</f>
        <v>58</v>
      </c>
      <c r="T28" s="440">
        <f>Table2[[#This Row],[BDG]]/Table2[[#This Row],[Odds]]</f>
        <v>23.084745762711862</v>
      </c>
      <c r="U28" s="440" cm="1">
        <f t="array" ref="U28">MAX(_xlfn._xlws.FILTER(Table22[[B365]:[MATCHBOOK]], Table22[PLAYER] = A28))</f>
        <v>11.8</v>
      </c>
      <c r="X28" t="str">
        <f>Table2[[#This Row],[Player]]</f>
        <v>Kevin Dougherty</v>
      </c>
      <c r="Y28" s="14">
        <f>Table2[[#This Row],[DGSCORE]]</f>
        <v>272.39999999999998</v>
      </c>
      <c r="Z28" s="14">
        <f>Table2[[#This Row],[BDG]]</f>
        <v>272.39999999999998</v>
      </c>
      <c r="AA28" s="14">
        <f>Z28-Y28</f>
        <v>0</v>
      </c>
      <c r="AB28">
        <f>_xlfn.RANK.AVG(AA28,$AA:$AA,0)</f>
        <v>55</v>
      </c>
    </row>
    <row r="29" spans="1:28" hidden="1">
      <c r="A29" s="438" t="s">
        <v>495</v>
      </c>
      <c r="B29" s="439">
        <v>32</v>
      </c>
      <c r="C29" s="439">
        <v>101</v>
      </c>
      <c r="D29" s="439">
        <v>158</v>
      </c>
      <c r="E29" s="439">
        <v>92</v>
      </c>
      <c r="F29" s="439">
        <v>92</v>
      </c>
      <c r="G29" s="439">
        <v>87</v>
      </c>
      <c r="H29" s="439">
        <v>272.7</v>
      </c>
      <c r="I29" s="440">
        <v>398.16319525235764</v>
      </c>
      <c r="J29" s="259">
        <v>272.7</v>
      </c>
      <c r="K29" s="260">
        <v>398.16319525235764</v>
      </c>
      <c r="L29" s="441">
        <f>RANK(H29,$H$2:$H$110,1)</f>
        <v>31</v>
      </c>
      <c r="M29" s="230">
        <f>RANK(I29,$I$2:$I$110,1)</f>
        <v>32</v>
      </c>
      <c r="N29" s="438">
        <f>RANK(J29,$J$2:$J$110,1)</f>
        <v>28</v>
      </c>
      <c r="O29" s="438">
        <f>RANK(K29,$K$2:$K$110,1)</f>
        <v>31</v>
      </c>
      <c r="P29" s="442">
        <v>0</v>
      </c>
      <c r="Q29" s="442">
        <v>0</v>
      </c>
      <c r="R29" s="439">
        <v>8</v>
      </c>
      <c r="S29" s="439">
        <f>RANK(U29,$U$2:$U$110,0)</f>
        <v>75</v>
      </c>
      <c r="T29" s="440">
        <f>Table2[[#This Row],[BDG]]/Table2[[#This Row],[Odds]]</f>
        <v>33.054545454545455</v>
      </c>
      <c r="U29" s="440" cm="1">
        <f t="array" ref="U29">MAX(_xlfn._xlws.FILTER(Table22[[B365]:[MATCHBOOK]], Table22[PLAYER] = A29))</f>
        <v>8.25</v>
      </c>
      <c r="X29" t="str">
        <f>Table2[[#This Row],[Player]]</f>
        <v>Jimmy Stanger</v>
      </c>
      <c r="Y29" s="14">
        <f>Table2[[#This Row],[DGSCORE]]</f>
        <v>272.7</v>
      </c>
      <c r="Z29" s="14">
        <f>Table2[[#This Row],[BDG]]</f>
        <v>272.7</v>
      </c>
      <c r="AA29" s="14">
        <f>Z29-Y29</f>
        <v>0</v>
      </c>
      <c r="AB29">
        <f>_xlfn.RANK.AVG(AA29,$AA:$AA,0)</f>
        <v>55</v>
      </c>
    </row>
    <row r="30" spans="1:28" hidden="1">
      <c r="A30" s="438" t="s">
        <v>97</v>
      </c>
      <c r="B30" s="439">
        <v>129</v>
      </c>
      <c r="C30" s="439">
        <v>154</v>
      </c>
      <c r="D30" s="439">
        <v>117</v>
      </c>
      <c r="E30" s="439">
        <v>13</v>
      </c>
      <c r="F30" s="439">
        <v>50</v>
      </c>
      <c r="G30" s="439">
        <v>69</v>
      </c>
      <c r="H30" s="439">
        <v>305.2</v>
      </c>
      <c r="I30" s="440">
        <v>363.96394662044241</v>
      </c>
      <c r="J30" s="259">
        <v>276.70576941424622</v>
      </c>
      <c r="K30" s="260">
        <v>324.09647094021045</v>
      </c>
      <c r="L30" s="441">
        <f>RANK(H30,$H$2:$H$110,1)</f>
        <v>45</v>
      </c>
      <c r="M30" s="230">
        <f>RANK(I30,$I$2:$I$110,1)</f>
        <v>25</v>
      </c>
      <c r="N30" s="438">
        <f>RANK(J30,$J$2:$J$110,1)</f>
        <v>29</v>
      </c>
      <c r="O30" s="438">
        <f>RANK(K30,$K$2:$K$110,1)</f>
        <v>12</v>
      </c>
      <c r="P30" s="442">
        <v>0</v>
      </c>
      <c r="Q30" s="442">
        <v>0</v>
      </c>
      <c r="R30" s="439">
        <v>53</v>
      </c>
      <c r="S30" s="439">
        <f>RANK(U30,$U$2:$U$110,0)</f>
        <v>97</v>
      </c>
      <c r="T30" s="440">
        <f>Table2[[#This Row],[BDG]]/Table2[[#This Row],[Odds]]</f>
        <v>50.218832924545595</v>
      </c>
      <c r="U30" s="440" cm="1">
        <f t="array" ref="U30">MAX(_xlfn._xlws.FILTER(Table22[[B365]:[MATCHBOOK]], Table22[PLAYER] = A30))</f>
        <v>5.51</v>
      </c>
      <c r="X30" t="str">
        <f>Table2[[#This Row],[Player]]</f>
        <v>Ben Griffin</v>
      </c>
      <c r="Y30" s="14">
        <f>Table2[[#This Row],[DGSCORE]]</f>
        <v>305.2</v>
      </c>
      <c r="Z30" s="14">
        <f>Table2[[#This Row],[BDG]]</f>
        <v>276.70576941424622</v>
      </c>
      <c r="AA30" s="14">
        <f>Z30-Y30</f>
        <v>-28.494230585753769</v>
      </c>
      <c r="AB30">
        <f>_xlfn.RANK.AVG(AA30,$AA:$AA,0)</f>
        <v>98</v>
      </c>
    </row>
    <row r="31" spans="1:28" hidden="1">
      <c r="A31" s="438" t="s">
        <v>30</v>
      </c>
      <c r="B31" s="439">
        <v>27</v>
      </c>
      <c r="C31" s="439">
        <v>161</v>
      </c>
      <c r="D31" s="439">
        <v>136</v>
      </c>
      <c r="E31" s="439">
        <v>87</v>
      </c>
      <c r="F31" s="439">
        <v>66</v>
      </c>
      <c r="G31" s="439">
        <v>83</v>
      </c>
      <c r="H31" s="439">
        <v>267.8</v>
      </c>
      <c r="I31" s="440">
        <v>385.64136312264458</v>
      </c>
      <c r="J31" s="259">
        <v>278.15155377579299</v>
      </c>
      <c r="K31" s="260">
        <v>398.42778877040735</v>
      </c>
      <c r="L31" s="441">
        <f>RANK(H31,$H$2:$H$110,1)</f>
        <v>27</v>
      </c>
      <c r="M31" s="230">
        <f>RANK(I31,$I$2:$I$110,1)</f>
        <v>29</v>
      </c>
      <c r="N31" s="438">
        <f>RANK(J31,$J$2:$J$110,1)</f>
        <v>30</v>
      </c>
      <c r="O31" s="438">
        <f>RANK(K31,$K$2:$K$110,1)</f>
        <v>32</v>
      </c>
      <c r="P31" s="442">
        <v>0</v>
      </c>
      <c r="Q31" s="442">
        <v>0</v>
      </c>
      <c r="R31" s="439">
        <v>-11</v>
      </c>
      <c r="S31" s="439">
        <f>RANK(U31,$U$2:$U$110,0)</f>
        <v>99</v>
      </c>
      <c r="T31" s="440">
        <f>Table2[[#This Row],[BDG]]/Table2[[#This Row],[Odds]]</f>
        <v>55.408676050954782</v>
      </c>
      <c r="U31" s="440" cm="1">
        <f t="array" ref="U31">MAX(_xlfn._xlws.FILTER(Table22[[B365]:[MATCHBOOK]], Table22[PLAYER] = A31))</f>
        <v>5.0199999999999996</v>
      </c>
      <c r="X31" t="str">
        <f>Table2[[#This Row],[Player]]</f>
        <v>Sam Stevens</v>
      </c>
      <c r="Y31" s="14">
        <f>Table2[[#This Row],[DGSCORE]]</f>
        <v>267.8</v>
      </c>
      <c r="Z31" s="14">
        <f>Table2[[#This Row],[BDG]]</f>
        <v>278.15155377579299</v>
      </c>
      <c r="AA31" s="14">
        <f>Z31-Y31</f>
        <v>10.351553775792979</v>
      </c>
      <c r="AB31">
        <f>_xlfn.RANK.AVG(AA31,$AA:$AA,0)</f>
        <v>17</v>
      </c>
    </row>
    <row r="32" spans="1:28" hidden="1">
      <c r="A32" s="438" t="s">
        <v>32</v>
      </c>
      <c r="B32" s="439">
        <v>11</v>
      </c>
      <c r="C32" s="439">
        <v>164</v>
      </c>
      <c r="D32" s="439">
        <v>146</v>
      </c>
      <c r="E32" s="439">
        <v>125</v>
      </c>
      <c r="F32" s="439">
        <v>39</v>
      </c>
      <c r="G32" s="439">
        <v>117</v>
      </c>
      <c r="H32" s="439">
        <v>263.60000000000002</v>
      </c>
      <c r="I32" s="440">
        <v>428.26548125925274</v>
      </c>
      <c r="J32" s="259">
        <v>281.92801630064139</v>
      </c>
      <c r="K32" s="260">
        <v>430.57669494839638</v>
      </c>
      <c r="L32" s="441">
        <f>RANK(H32,$H$2:$H$110,1)</f>
        <v>23</v>
      </c>
      <c r="M32" s="230">
        <f>RANK(I32,$I$2:$I$110,1)</f>
        <v>42</v>
      </c>
      <c r="N32" s="438">
        <f>RANK(J32,$J$2:$J$110,1)</f>
        <v>31</v>
      </c>
      <c r="O32" s="438">
        <f>RANK(K32,$K$2:$K$110,1)</f>
        <v>40</v>
      </c>
      <c r="P32" s="442">
        <v>0</v>
      </c>
      <c r="Q32" s="442">
        <v>0</v>
      </c>
      <c r="R32" s="439">
        <v>14</v>
      </c>
      <c r="S32" s="439">
        <f>RANK(U32,$U$2:$U$110,0)</f>
        <v>92</v>
      </c>
      <c r="T32" s="440">
        <f>Table2[[#This Row],[BDG]]/Table2[[#This Row],[Odds]]</f>
        <v>43.373540969329447</v>
      </c>
      <c r="U32" s="440" cm="1">
        <f t="array" ref="U32">MAX(_xlfn._xlws.FILTER(Table22[[B365]:[MATCHBOOK]], Table22[PLAYER] = A32))</f>
        <v>6.5</v>
      </c>
      <c r="X32" t="str">
        <f>Table2[[#This Row],[Player]]</f>
        <v>Garrick Higgo</v>
      </c>
      <c r="Y32" s="14">
        <f>Table2[[#This Row],[DGSCORE]]</f>
        <v>263.60000000000002</v>
      </c>
      <c r="Z32" s="14">
        <f>Table2[[#This Row],[BDG]]</f>
        <v>281.92801630064139</v>
      </c>
      <c r="AA32" s="14">
        <f>Z32-Y32</f>
        <v>18.328016300641366</v>
      </c>
      <c r="AB32">
        <f>_xlfn.RANK.AVG(AA32,$AA:$AA,0)</f>
        <v>11</v>
      </c>
    </row>
    <row r="33" spans="1:28" hidden="1">
      <c r="A33" s="438" t="s">
        <v>693</v>
      </c>
      <c r="B33" s="439">
        <v>101</v>
      </c>
      <c r="C33" s="439">
        <v>90</v>
      </c>
      <c r="D33" s="439">
        <v>93</v>
      </c>
      <c r="E33" s="439">
        <v>12</v>
      </c>
      <c r="F33" s="439">
        <v>105</v>
      </c>
      <c r="G33" s="439">
        <v>75</v>
      </c>
      <c r="H33" s="439">
        <v>258.3</v>
      </c>
      <c r="I33" s="440">
        <v>327.60896306257354</v>
      </c>
      <c r="J33" s="259">
        <v>282.981042175639</v>
      </c>
      <c r="K33" s="260">
        <v>352.671835567117</v>
      </c>
      <c r="L33" s="441">
        <f>RANK(H33,$H$2:$H$110,1)</f>
        <v>22</v>
      </c>
      <c r="M33" s="230">
        <f>RANK(I33,$I$2:$I$110,1)</f>
        <v>13</v>
      </c>
      <c r="N33" s="438">
        <f>RANK(J33,$J$2:$J$110,1)</f>
        <v>32</v>
      </c>
      <c r="O33" s="438">
        <f>RANK(K33,$K$2:$K$110,1)</f>
        <v>20</v>
      </c>
      <c r="P33" s="442">
        <v>0</v>
      </c>
      <c r="Q33" s="442">
        <v>0</v>
      </c>
      <c r="R33" s="439">
        <v>-38</v>
      </c>
      <c r="S33" s="439">
        <f>RANK(U33,$U$2:$U$110,0)</f>
        <v>55</v>
      </c>
      <c r="T33" s="440">
        <f>Table2[[#This Row],[BDG]]/Table2[[#This Row],[Odds]]</f>
        <v>21.767772475049153</v>
      </c>
      <c r="U33" s="440" cm="1">
        <f t="array" ref="U33">MAX(_xlfn._xlws.FILTER(Table22[[B365]:[MATCHBOOK]], Table22[PLAYER] = A33))</f>
        <v>13</v>
      </c>
      <c r="X33" t="str">
        <f>Table2[[#This Row],[Player]]</f>
        <v>Jorge Campillo</v>
      </c>
      <c r="Y33" s="14">
        <f>Table2[[#This Row],[DGSCORE]]</f>
        <v>258.3</v>
      </c>
      <c r="Z33" s="14">
        <f>Table2[[#This Row],[BDG]]</f>
        <v>282.981042175639</v>
      </c>
      <c r="AA33" s="14">
        <f>Z33-Y33</f>
        <v>24.681042175638993</v>
      </c>
      <c r="AB33">
        <f>_xlfn.RANK.AVG(AA33,$AA:$AA,0)</f>
        <v>10</v>
      </c>
    </row>
    <row r="34" spans="1:28" hidden="1">
      <c r="A34" s="438" t="s">
        <v>50</v>
      </c>
      <c r="B34" s="439">
        <v>72</v>
      </c>
      <c r="C34" s="439">
        <v>157</v>
      </c>
      <c r="D34" s="439">
        <v>78</v>
      </c>
      <c r="E34" s="439">
        <v>96</v>
      </c>
      <c r="F34" s="439">
        <v>110</v>
      </c>
      <c r="G34" s="439">
        <v>93</v>
      </c>
      <c r="H34" s="439">
        <v>291.3</v>
      </c>
      <c r="I34" s="440">
        <v>401.68827558773251</v>
      </c>
      <c r="J34" s="259">
        <v>284.01169613962321</v>
      </c>
      <c r="K34" s="260">
        <v>410.63681899272257</v>
      </c>
      <c r="L34" s="441">
        <f>RANK(H34,$H$2:$H$110,1)</f>
        <v>37</v>
      </c>
      <c r="M34" s="230">
        <f>RANK(I34,$I$2:$I$110,1)</f>
        <v>34</v>
      </c>
      <c r="N34" s="438">
        <f>RANK(J34,$J$2:$J$110,1)</f>
        <v>33</v>
      </c>
      <c r="O34" s="438">
        <f>RANK(K34,$K$2:$K$110,1)</f>
        <v>34</v>
      </c>
      <c r="P34" s="442">
        <v>0</v>
      </c>
      <c r="Q34" s="442">
        <v>0</v>
      </c>
      <c r="R34" s="439">
        <v>-29</v>
      </c>
      <c r="S34" s="439">
        <f>RANK(U34,$U$2:$U$110,0)</f>
        <v>64</v>
      </c>
      <c r="T34" s="440">
        <f>Table2[[#This Row],[BDG]]/Table2[[#This Row],[Odds]]</f>
        <v>27.573951081516814</v>
      </c>
      <c r="U34" s="440" cm="1">
        <f t="array" ref="U34">MAX(_xlfn._xlws.FILTER(Table22[[B365]:[MATCHBOOK]], Table22[PLAYER] = A34))</f>
        <v>10.3</v>
      </c>
      <c r="X34" t="str">
        <f>Table2[[#This Row],[Player]]</f>
        <v>Charley Hoffman</v>
      </c>
      <c r="Y34" s="14">
        <f>Table2[[#This Row],[DGSCORE]]</f>
        <v>291.3</v>
      </c>
      <c r="Z34" s="14">
        <f>Table2[[#This Row],[BDG]]</f>
        <v>284.01169613962321</v>
      </c>
      <c r="AA34" s="14">
        <f>Z34-Y34</f>
        <v>-7.2883038603768</v>
      </c>
      <c r="AB34">
        <f>_xlfn.RANK.AVG(AA34,$AA:$AA,0)</f>
        <v>89</v>
      </c>
    </row>
    <row r="35" spans="1:28">
      <c r="A35" s="438" t="s">
        <v>496</v>
      </c>
      <c r="B35" s="439">
        <v>126</v>
      </c>
      <c r="C35" s="439">
        <v>122</v>
      </c>
      <c r="D35" s="439">
        <v>60</v>
      </c>
      <c r="E35" s="439">
        <v>124</v>
      </c>
      <c r="F35" s="439">
        <v>37</v>
      </c>
      <c r="G35" s="439">
        <v>82</v>
      </c>
      <c r="H35" s="439">
        <v>284.5</v>
      </c>
      <c r="I35" s="440">
        <v>370.80498162542602</v>
      </c>
      <c r="J35" s="259">
        <v>284.5</v>
      </c>
      <c r="K35" s="260">
        <v>370.80498162542602</v>
      </c>
      <c r="L35" s="441">
        <f>RANK(H35,$H$2:$H$110,1)</f>
        <v>34</v>
      </c>
      <c r="M35" s="230">
        <f>RANK(I35,$I$2:$I$110,1)</f>
        <v>27</v>
      </c>
      <c r="N35" s="438">
        <f>RANK(J35,$J$2:$J$110,1)</f>
        <v>34</v>
      </c>
      <c r="O35" s="438">
        <f>RANK(K35,$K$2:$K$110,1)</f>
        <v>25</v>
      </c>
      <c r="P35" s="442">
        <v>0</v>
      </c>
      <c r="Q35" s="442">
        <v>0</v>
      </c>
      <c r="R35" s="439">
        <v>15</v>
      </c>
      <c r="S35" s="439">
        <f>RANK(U35,$U$2:$U$110,0)</f>
        <v>79</v>
      </c>
      <c r="T35" s="440">
        <f>Table2[[#This Row],[BDG]]/Table2[[#This Row],[Odds]]</f>
        <v>36.195928753180659</v>
      </c>
      <c r="U35" s="440" cm="1">
        <f t="array" ref="U35">MAX(_xlfn._xlws.FILTER(Table22[[B365]:[MATCHBOOK]], Table22[PLAYER] = A35))</f>
        <v>7.86</v>
      </c>
      <c r="X35" t="str">
        <f>Table2[[#This Row],[Player]]</f>
        <v>Jacob Bridgeman</v>
      </c>
      <c r="Y35" s="14">
        <f>Table2[[#This Row],[DGSCORE]]</f>
        <v>284.5</v>
      </c>
      <c r="Z35" s="14">
        <f>Table2[[#This Row],[BDG]]</f>
        <v>284.5</v>
      </c>
      <c r="AA35" s="14">
        <f>Z35-Y35</f>
        <v>0</v>
      </c>
      <c r="AB35">
        <f>_xlfn.RANK.AVG(AA35,$AA:$AA,0)</f>
        <v>55</v>
      </c>
    </row>
    <row r="36" spans="1:28">
      <c r="A36" s="438" t="s">
        <v>633</v>
      </c>
      <c r="B36" s="439">
        <v>129</v>
      </c>
      <c r="C36" s="439">
        <v>102</v>
      </c>
      <c r="D36" s="439">
        <v>30</v>
      </c>
      <c r="E36" s="439">
        <v>75</v>
      </c>
      <c r="F36" s="439">
        <v>133</v>
      </c>
      <c r="G36" s="439">
        <v>57</v>
      </c>
      <c r="H36" s="439">
        <v>284.60000000000002</v>
      </c>
      <c r="I36" s="440">
        <v>332.91841028695194</v>
      </c>
      <c r="J36" s="259">
        <v>284.60000000000002</v>
      </c>
      <c r="K36" s="260">
        <v>332.91841028695194</v>
      </c>
      <c r="L36" s="441">
        <f>RANK(H36,$H$2:$H$110,1)</f>
        <v>35</v>
      </c>
      <c r="M36" s="230">
        <f>RANK(I36,$I$2:$I$110,1)</f>
        <v>15</v>
      </c>
      <c r="N36" s="438">
        <f>RANK(J36,$J$2:$J$110,1)</f>
        <v>35</v>
      </c>
      <c r="O36" s="438">
        <f>RANK(K36,$K$2:$K$110,1)</f>
        <v>14</v>
      </c>
      <c r="P36" s="442">
        <v>0</v>
      </c>
      <c r="Q36" s="442">
        <v>0</v>
      </c>
      <c r="R36" s="439">
        <v>13</v>
      </c>
      <c r="S36" s="439">
        <f>RANK(U36,$U$2:$U$110,0)</f>
        <v>83</v>
      </c>
      <c r="T36" s="440">
        <f>Table2[[#This Row],[BDG]]/Table2[[#This Row],[Odds]]</f>
        <v>39.147180192572222</v>
      </c>
      <c r="U36" s="440" cm="1">
        <f t="array" ref="U36">MAX(_xlfn._xlws.FILTER(Table22[[B365]:[MATCHBOOK]], Table22[PLAYER] = A36))</f>
        <v>7.27</v>
      </c>
      <c r="X36" t="str">
        <f>Table2[[#This Row],[Player]]</f>
        <v>Bud Cauley</v>
      </c>
      <c r="Y36" s="14">
        <f>Table2[[#This Row],[DGSCORE]]</f>
        <v>284.60000000000002</v>
      </c>
      <c r="Z36" s="14">
        <f>Table2[[#This Row],[BDG]]</f>
        <v>284.60000000000002</v>
      </c>
      <c r="AA36" s="14">
        <f>Z36-Y36</f>
        <v>0</v>
      </c>
      <c r="AB36">
        <f>_xlfn.RANK.AVG(AA36,$AA:$AA,0)</f>
        <v>55</v>
      </c>
    </row>
    <row r="37" spans="1:28">
      <c r="A37" s="438" t="s">
        <v>36</v>
      </c>
      <c r="B37" s="439">
        <v>72</v>
      </c>
      <c r="C37" s="439">
        <v>145</v>
      </c>
      <c r="D37" s="439">
        <v>120</v>
      </c>
      <c r="E37" s="439">
        <v>172</v>
      </c>
      <c r="F37" s="439">
        <v>74</v>
      </c>
      <c r="G37" s="439">
        <v>134</v>
      </c>
      <c r="H37" s="439">
        <v>327.10000000000002</v>
      </c>
      <c r="I37" s="440">
        <v>499.73783541058708</v>
      </c>
      <c r="J37" s="259">
        <v>287.93330374255254</v>
      </c>
      <c r="K37" s="260">
        <v>440.80597235998653</v>
      </c>
      <c r="L37" s="441">
        <f>RANK(H37,$H$2:$H$110,1)</f>
        <v>56</v>
      </c>
      <c r="M37" s="230">
        <f>RANK(I37,$I$2:$I$110,1)</f>
        <v>63</v>
      </c>
      <c r="N37" s="438">
        <f>RANK(J37,$J$2:$J$110,1)</f>
        <v>36</v>
      </c>
      <c r="O37" s="438">
        <f>RANK(K37,$K$2:$K$110,1)</f>
        <v>45</v>
      </c>
      <c r="P37" s="442">
        <v>0</v>
      </c>
      <c r="Q37" s="442">
        <v>0</v>
      </c>
      <c r="R37" s="439">
        <v>0</v>
      </c>
      <c r="S37" s="439">
        <f>RANK(U37,$U$2:$U$110,0)</f>
        <v>93</v>
      </c>
      <c r="T37" s="440">
        <f>Table2[[#This Row],[BDG]]/Table2[[#This Row],[Odds]]</f>
        <v>45.776359895477349</v>
      </c>
      <c r="U37" s="440" cm="1">
        <f t="array" ref="U37">MAX(_xlfn._xlws.FILTER(Table22[[B365]:[MATCHBOOK]], Table22[PLAYER] = A37))</f>
        <v>6.29</v>
      </c>
      <c r="X37" t="str">
        <f>Table2[[#This Row],[Player]]</f>
        <v>Nick Hardy</v>
      </c>
      <c r="Y37" s="14">
        <f>Table2[[#This Row],[DGSCORE]]</f>
        <v>327.10000000000002</v>
      </c>
      <c r="Z37" s="14">
        <f>Table2[[#This Row],[BDG]]</f>
        <v>287.93330374255254</v>
      </c>
      <c r="AA37" s="14">
        <f>Z37-Y37</f>
        <v>-39.166696257447484</v>
      </c>
      <c r="AB37">
        <f>_xlfn.RANK.AVG(AA37,$AA:$AA,0)</f>
        <v>99</v>
      </c>
    </row>
    <row r="38" spans="1:28">
      <c r="A38" s="438" t="s">
        <v>146</v>
      </c>
      <c r="B38" s="439">
        <v>169</v>
      </c>
      <c r="C38" s="439">
        <v>89</v>
      </c>
      <c r="D38" s="439">
        <v>44</v>
      </c>
      <c r="E38" s="439">
        <v>154</v>
      </c>
      <c r="F38" s="439">
        <v>40</v>
      </c>
      <c r="G38" s="439">
        <v>111</v>
      </c>
      <c r="H38" s="439">
        <v>309</v>
      </c>
      <c r="I38" s="440">
        <v>416.94407260037724</v>
      </c>
      <c r="J38" s="259">
        <v>291.65016434461756</v>
      </c>
      <c r="K38" s="260">
        <v>368.27130914284146</v>
      </c>
      <c r="L38" s="441">
        <f>RANK(H38,$H$2:$H$110,1)</f>
        <v>47</v>
      </c>
      <c r="M38" s="230">
        <f>RANK(I38,$I$2:$I$110,1)</f>
        <v>41</v>
      </c>
      <c r="N38" s="438">
        <f>RANK(J38,$J$2:$J$110,1)</f>
        <v>37</v>
      </c>
      <c r="O38" s="438">
        <f>RANK(K38,$K$2:$K$110,1)</f>
        <v>24</v>
      </c>
      <c r="P38" s="442">
        <v>0</v>
      </c>
      <c r="Q38" s="442">
        <v>0</v>
      </c>
      <c r="R38" s="439">
        <v>6</v>
      </c>
      <c r="S38" s="439">
        <f>RANK(U38,$U$2:$U$110,0)</f>
        <v>73</v>
      </c>
      <c r="T38" s="440">
        <f>Table2[[#This Row],[BDG]]/Table2[[#This Row],[Odds]]</f>
        <v>34.514812348475452</v>
      </c>
      <c r="U38" s="440" cm="1">
        <f t="array" ref="U38">MAX(_xlfn._xlws.FILTER(Table22[[B365]:[MATCHBOOK]], Table22[PLAYER] = A38))</f>
        <v>8.4499999999999993</v>
      </c>
      <c r="X38" t="str">
        <f>Table2[[#This Row],[Player]]</f>
        <v>Sam Ryder</v>
      </c>
      <c r="Y38" s="14">
        <f>Table2[[#This Row],[DGSCORE]]</f>
        <v>309</v>
      </c>
      <c r="Z38" s="14">
        <f>Table2[[#This Row],[BDG]]</f>
        <v>291.65016434461756</v>
      </c>
      <c r="AA38" s="14">
        <f>Z38-Y38</f>
        <v>-17.349835655382435</v>
      </c>
      <c r="AB38">
        <f>_xlfn.RANK.AVG(AA38,$AA:$AA,0)</f>
        <v>92</v>
      </c>
    </row>
    <row r="39" spans="1:28">
      <c r="A39" s="438" t="s">
        <v>134</v>
      </c>
      <c r="B39" s="439">
        <v>150</v>
      </c>
      <c r="C39" s="439">
        <v>72</v>
      </c>
      <c r="D39" s="439">
        <v>32</v>
      </c>
      <c r="E39" s="439">
        <v>56</v>
      </c>
      <c r="F39" s="439">
        <v>170</v>
      </c>
      <c r="G39" s="439">
        <v>104</v>
      </c>
      <c r="H39" s="439">
        <v>300.8</v>
      </c>
      <c r="I39" s="440">
        <v>387.98101683816049</v>
      </c>
      <c r="J39" s="259">
        <v>293.69531952390867</v>
      </c>
      <c r="K39" s="260">
        <v>367.22906882014263</v>
      </c>
      <c r="L39" s="441">
        <f>RANK(H39,$H$2:$H$110,1)</f>
        <v>42</v>
      </c>
      <c r="M39" s="230">
        <f>RANK(I39,$I$2:$I$110,1)</f>
        <v>30</v>
      </c>
      <c r="N39" s="438">
        <f>RANK(J39,$J$2:$J$110,1)</f>
        <v>38</v>
      </c>
      <c r="O39" s="438">
        <f>RANK(K39,$K$2:$K$110,1)</f>
        <v>23</v>
      </c>
      <c r="P39" s="442">
        <v>0</v>
      </c>
      <c r="Q39" s="442">
        <v>0</v>
      </c>
      <c r="R39" s="439">
        <v>9</v>
      </c>
      <c r="S39" s="439">
        <f>RANK(U39,$U$2:$U$110,0)</f>
        <v>83</v>
      </c>
      <c r="T39" s="440">
        <f>Table2[[#This Row],[BDG]]/Table2[[#This Row],[Odds]]</f>
        <v>40.398255780455116</v>
      </c>
      <c r="U39" s="440" cm="1">
        <f t="array" ref="U39">MAX(_xlfn._xlws.FILTER(Table22[[B365]:[MATCHBOOK]], Table22[PLAYER] = A39))</f>
        <v>7.27</v>
      </c>
      <c r="X39" t="str">
        <f>Table2[[#This Row],[Player]]</f>
        <v>Greyson Sigg</v>
      </c>
      <c r="Y39" s="14">
        <f>Table2[[#This Row],[DGSCORE]]</f>
        <v>300.8</v>
      </c>
      <c r="Z39" s="14">
        <f>Table2[[#This Row],[BDG]]</f>
        <v>293.69531952390867</v>
      </c>
      <c r="AA39" s="14">
        <f>Z39-Y39</f>
        <v>-7.104680476091346</v>
      </c>
      <c r="AB39">
        <f>_xlfn.RANK.AVG(AA39,$AA:$AA,0)</f>
        <v>88</v>
      </c>
    </row>
    <row r="40" spans="1:28">
      <c r="A40" s="438" t="s">
        <v>80</v>
      </c>
      <c r="B40" s="439">
        <v>18</v>
      </c>
      <c r="C40" s="439">
        <v>129</v>
      </c>
      <c r="D40" s="439">
        <v>82</v>
      </c>
      <c r="E40" s="439">
        <v>151</v>
      </c>
      <c r="F40" s="439">
        <v>139</v>
      </c>
      <c r="G40" s="439">
        <v>128</v>
      </c>
      <c r="H40" s="439">
        <v>268</v>
      </c>
      <c r="I40" s="440">
        <v>440.04558810803258</v>
      </c>
      <c r="J40" s="259">
        <v>294.33365263420808</v>
      </c>
      <c r="K40" s="260">
        <v>471.28848303954533</v>
      </c>
      <c r="L40" s="441">
        <f>RANK(H40,$H$2:$H$110,1)</f>
        <v>28</v>
      </c>
      <c r="M40" s="230">
        <f>RANK(I40,$I$2:$I$110,1)</f>
        <v>46</v>
      </c>
      <c r="N40" s="438">
        <f>RANK(J40,$J$2:$J$110,1)</f>
        <v>39</v>
      </c>
      <c r="O40" s="438">
        <f>RANK(K40,$K$2:$K$110,1)</f>
        <v>55</v>
      </c>
      <c r="P40" s="442">
        <v>0</v>
      </c>
      <c r="Q40" s="442">
        <v>0</v>
      </c>
      <c r="R40" s="439">
        <v>12</v>
      </c>
      <c r="S40" s="439">
        <f>RANK(U40,$U$2:$U$110,0)</f>
        <v>68</v>
      </c>
      <c r="T40" s="440">
        <f>Table2[[#This Row],[BDG]]/Table2[[#This Row],[Odds]]</f>
        <v>31.888803102297732</v>
      </c>
      <c r="U40" s="440" cm="1">
        <f t="array" ref="U40">MAX(_xlfn._xlws.FILTER(Table22[[B365]:[MATCHBOOK]], Table22[PLAYER] = A40))</f>
        <v>9.23</v>
      </c>
      <c r="X40" t="str">
        <f>Table2[[#This Row],[Player]]</f>
        <v>Lanto Griffin</v>
      </c>
      <c r="Y40" s="14">
        <f>Table2[[#This Row],[DGSCORE]]</f>
        <v>268</v>
      </c>
      <c r="Z40" s="14">
        <f>Table2[[#This Row],[BDG]]</f>
        <v>294.33365263420808</v>
      </c>
      <c r="AA40" s="14">
        <f>Z40-Y40</f>
        <v>26.333652634208079</v>
      </c>
      <c r="AB40">
        <f>_xlfn.RANK.AVG(AA40,$AA:$AA,0)</f>
        <v>9</v>
      </c>
    </row>
    <row r="41" spans="1:28">
      <c r="A41" s="438" t="s">
        <v>48</v>
      </c>
      <c r="B41" s="439">
        <v>5</v>
      </c>
      <c r="C41" s="439">
        <v>112</v>
      </c>
      <c r="D41" s="439">
        <v>131</v>
      </c>
      <c r="E41" s="439">
        <v>44</v>
      </c>
      <c r="F41" s="439">
        <v>133</v>
      </c>
      <c r="G41" s="439">
        <v>97</v>
      </c>
      <c r="H41" s="439">
        <v>236.29999999999998</v>
      </c>
      <c r="I41" s="440">
        <v>365.74957224181327</v>
      </c>
      <c r="J41" s="259">
        <v>296.43236808749765</v>
      </c>
      <c r="K41" s="260">
        <v>460.61285998382357</v>
      </c>
      <c r="L41" s="441">
        <f>RANK(H41,$H$2:$H$110,1)</f>
        <v>13</v>
      </c>
      <c r="M41" s="230">
        <f>RANK(I41,$I$2:$I$110,1)</f>
        <v>26</v>
      </c>
      <c r="N41" s="438">
        <f>RANK(J41,$J$2:$J$110,1)</f>
        <v>40</v>
      </c>
      <c r="O41" s="438">
        <f>RANK(K41,$K$2:$K$110,1)</f>
        <v>50</v>
      </c>
      <c r="P41" s="442">
        <v>0</v>
      </c>
      <c r="Q41" s="442">
        <v>0</v>
      </c>
      <c r="R41" s="439">
        <v>29</v>
      </c>
      <c r="S41" s="439">
        <f>RANK(U41,$U$2:$U$110,0)</f>
        <v>76</v>
      </c>
      <c r="T41" s="440">
        <f>Table2[[#This Row],[BDG]]/Table2[[#This Row],[Odds]]</f>
        <v>36.77820944013618</v>
      </c>
      <c r="U41" s="440" cm="1">
        <f t="array" ref="U41">MAX(_xlfn._xlws.FILTER(Table22[[B365]:[MATCHBOOK]], Table22[PLAYER] = A41))</f>
        <v>8.06</v>
      </c>
      <c r="X41" t="str">
        <f>Table2[[#This Row],[Player]]</f>
        <v>Carl Yuan</v>
      </c>
      <c r="Y41" s="14">
        <f>Table2[[#This Row],[DGSCORE]]</f>
        <v>236.29999999999998</v>
      </c>
      <c r="Z41" s="14">
        <f>Table2[[#This Row],[BDG]]</f>
        <v>296.43236808749765</v>
      </c>
      <c r="AA41" s="14">
        <f>Z41-Y41</f>
        <v>60.132368087497667</v>
      </c>
      <c r="AB41">
        <f>_xlfn.RANK.AVG(AA41,$AA:$AA,0)</f>
        <v>2</v>
      </c>
    </row>
    <row r="42" spans="1:28">
      <c r="A42" s="438" t="s">
        <v>87</v>
      </c>
      <c r="B42" s="439">
        <v>69</v>
      </c>
      <c r="C42" s="439">
        <v>51</v>
      </c>
      <c r="D42" s="439">
        <v>111</v>
      </c>
      <c r="E42" s="439">
        <v>106</v>
      </c>
      <c r="F42" s="439">
        <v>174</v>
      </c>
      <c r="G42" s="439">
        <v>146</v>
      </c>
      <c r="H42" s="439">
        <v>294.7</v>
      </c>
      <c r="I42" s="440">
        <v>467.37858654719503</v>
      </c>
      <c r="J42" s="259">
        <v>297.07852346373488</v>
      </c>
      <c r="K42" s="260">
        <v>449.01062062231529</v>
      </c>
      <c r="L42" s="441">
        <f>RANK(H42,$H$2:$H$110,1)</f>
        <v>38</v>
      </c>
      <c r="M42" s="230">
        <f>RANK(I42,$I$2:$I$110,1)</f>
        <v>54</v>
      </c>
      <c r="N42" s="438">
        <f>RANK(J42,$J$2:$J$110,1)</f>
        <v>41</v>
      </c>
      <c r="O42" s="438">
        <f>RANK(K42,$K$2:$K$110,1)</f>
        <v>46</v>
      </c>
      <c r="P42" s="442">
        <v>0</v>
      </c>
      <c r="Q42" s="442">
        <v>0</v>
      </c>
      <c r="R42" s="439">
        <v>-17</v>
      </c>
      <c r="S42" s="439">
        <f>RANK(U42,$U$2:$U$110,0)</f>
        <v>53</v>
      </c>
      <c r="T42" s="440">
        <f>Table2[[#This Row],[BDG]]/Table2[[#This Row],[Odds]]</f>
        <v>21.684563756477001</v>
      </c>
      <c r="U42" s="440" cm="1">
        <f t="array" ref="U42">MAX(_xlfn._xlws.FILTER(Table22[[B365]:[MATCHBOOK]], Table22[PLAYER] = A42))</f>
        <v>13.7</v>
      </c>
      <c r="X42" t="str">
        <f>Table2[[#This Row],[Player]]</f>
        <v>Ryan Palmer</v>
      </c>
      <c r="Y42" s="14">
        <f>Table2[[#This Row],[DGSCORE]]</f>
        <v>294.7</v>
      </c>
      <c r="Z42" s="14">
        <f>Table2[[#This Row],[BDG]]</f>
        <v>297.07852346373488</v>
      </c>
      <c r="AA42" s="14">
        <f>Z42-Y42</f>
        <v>2.3785234637348935</v>
      </c>
      <c r="AB42">
        <f>_xlfn.RANK.AVG(AA42,$AA:$AA,0)</f>
        <v>25</v>
      </c>
    </row>
    <row r="43" spans="1:28">
      <c r="A43" s="438" t="s">
        <v>433</v>
      </c>
      <c r="B43" s="439">
        <v>156</v>
      </c>
      <c r="C43" s="439">
        <v>74</v>
      </c>
      <c r="D43" s="439">
        <v>107</v>
      </c>
      <c r="E43" s="439">
        <v>45</v>
      </c>
      <c r="F43" s="439">
        <v>54</v>
      </c>
      <c r="G43" s="439">
        <v>51</v>
      </c>
      <c r="H43" s="439">
        <v>297.3</v>
      </c>
      <c r="I43" s="440">
        <v>335.97613903471091</v>
      </c>
      <c r="J43" s="259">
        <v>297.3</v>
      </c>
      <c r="K43" s="260">
        <v>335.97613903471091</v>
      </c>
      <c r="L43" s="441">
        <f>RANK(H43,$H$2:$H$110,1)</f>
        <v>40</v>
      </c>
      <c r="M43" s="230">
        <f>RANK(I43,$I$2:$I$110,1)</f>
        <v>16</v>
      </c>
      <c r="N43" s="438">
        <f>RANK(J43,$J$2:$J$110,1)</f>
        <v>42</v>
      </c>
      <c r="O43" s="438">
        <f>RANK(K43,$K$2:$K$110,1)</f>
        <v>15</v>
      </c>
      <c r="P43" s="442">
        <v>0</v>
      </c>
      <c r="Q43" s="442">
        <v>0</v>
      </c>
      <c r="R43" s="439">
        <v>-38</v>
      </c>
      <c r="S43" s="439">
        <f>RANK(U43,$U$2:$U$110,0)</f>
        <v>64</v>
      </c>
      <c r="T43" s="440">
        <f>Table2[[#This Row],[BDG]]/Table2[[#This Row],[Odds]]</f>
        <v>28.864077669902912</v>
      </c>
      <c r="U43" s="440" cm="1">
        <f t="array" ref="U43">MAX(_xlfn._xlws.FILTER(Table22[[B365]:[MATCHBOOK]], Table22[PLAYER] = A43))</f>
        <v>10.3</v>
      </c>
      <c r="X43" t="str">
        <f>Table2[[#This Row],[Player]]</f>
        <v>Ben Silverman</v>
      </c>
      <c r="Y43" s="14">
        <f>Table2[[#This Row],[DGSCORE]]</f>
        <v>297.3</v>
      </c>
      <c r="Z43" s="14">
        <f>Table2[[#This Row],[BDG]]</f>
        <v>297.3</v>
      </c>
      <c r="AA43" s="14">
        <f>Z43-Y43</f>
        <v>0</v>
      </c>
      <c r="AB43">
        <f>_xlfn.RANK.AVG(AA43,$AA:$AA,0)</f>
        <v>55</v>
      </c>
    </row>
    <row r="44" spans="1:28">
      <c r="A44" s="438" t="s">
        <v>45</v>
      </c>
      <c r="B44" s="439">
        <v>45</v>
      </c>
      <c r="C44" s="439">
        <v>178</v>
      </c>
      <c r="D44" s="439">
        <v>132</v>
      </c>
      <c r="E44" s="439">
        <v>75</v>
      </c>
      <c r="F44" s="439">
        <v>92</v>
      </c>
      <c r="G44" s="439">
        <v>134</v>
      </c>
      <c r="H44" s="439">
        <v>297.89999999999998</v>
      </c>
      <c r="I44" s="440">
        <v>459.80908919177324</v>
      </c>
      <c r="J44" s="259">
        <v>297.89999999999998</v>
      </c>
      <c r="K44" s="260">
        <v>459.80908919177318</v>
      </c>
      <c r="L44" s="441">
        <f>RANK(H44,$H$2:$H$110,1)</f>
        <v>41</v>
      </c>
      <c r="M44" s="230">
        <f>RANK(I44,$I$2:$I$110,1)</f>
        <v>50</v>
      </c>
      <c r="N44" s="438">
        <f>RANK(J44,$J$2:$J$110,1)</f>
        <v>43</v>
      </c>
      <c r="O44" s="438">
        <f>RANK(K44,$K$2:$K$110,1)</f>
        <v>49</v>
      </c>
      <c r="P44" s="442" t="e">
        <v>#N/A</v>
      </c>
      <c r="Q44" s="442" t="e">
        <v>#N/A</v>
      </c>
      <c r="R44" s="439" t="e">
        <v>#N/A</v>
      </c>
      <c r="S44" s="439">
        <f>RANK(U44,$U$2:$U$110,0)</f>
        <v>8</v>
      </c>
      <c r="T44" s="440">
        <f>Table2[[#This Row],[BDG]]/Table2[[#This Row],[Odds]]</f>
        <v>4.6598570288914258</v>
      </c>
      <c r="U44" s="440" cm="1">
        <f t="array" ref="U44">MAX(_xlfn._xlws.FILTER(Table22[[B365]:[MATCHBOOK]], Table22[PLAYER] = A44))</f>
        <v>63.929000000000002</v>
      </c>
      <c r="X44" t="str">
        <f>Table2[[#This Row],[Player]]</f>
        <v>Jimmy Walker</v>
      </c>
      <c r="Y44" s="14">
        <f>Table2[[#This Row],[DGSCORE]]</f>
        <v>297.89999999999998</v>
      </c>
      <c r="Z44" s="14">
        <f>Table2[[#This Row],[BDG]]</f>
        <v>297.89999999999998</v>
      </c>
      <c r="AA44" s="14">
        <f>Z44-Y44</f>
        <v>0</v>
      </c>
      <c r="AB44">
        <f>_xlfn.RANK.AVG(AA44,$AA:$AA,0)</f>
        <v>55</v>
      </c>
    </row>
    <row r="45" spans="1:28">
      <c r="A45" s="438" t="s">
        <v>490</v>
      </c>
      <c r="B45" s="439">
        <v>27</v>
      </c>
      <c r="C45" s="439">
        <v>159</v>
      </c>
      <c r="D45" s="439">
        <v>175</v>
      </c>
      <c r="E45" s="439">
        <v>175</v>
      </c>
      <c r="F45" s="439">
        <v>14</v>
      </c>
      <c r="G45" s="439">
        <v>170</v>
      </c>
      <c r="H45" s="439">
        <v>303.29999999999995</v>
      </c>
      <c r="I45" s="440">
        <v>531.01699935711167</v>
      </c>
      <c r="J45" s="259">
        <v>303.29999999999995</v>
      </c>
      <c r="K45" s="260">
        <v>531.01699935711167</v>
      </c>
      <c r="L45" s="441">
        <f>RANK(H45,$H$2:$H$110,1)</f>
        <v>44</v>
      </c>
      <c r="M45" s="230">
        <f>RANK(I45,$I$2:$I$110,1)</f>
        <v>73</v>
      </c>
      <c r="N45" s="438">
        <f>RANK(J45,$J$2:$J$110,1)</f>
        <v>44</v>
      </c>
      <c r="O45" s="438">
        <f>RANK(K45,$K$2:$K$110,1)</f>
        <v>79</v>
      </c>
      <c r="P45" s="442">
        <v>0</v>
      </c>
      <c r="Q45" s="442">
        <v>0</v>
      </c>
      <c r="R45" s="439">
        <v>11</v>
      </c>
      <c r="S45" s="439">
        <f>RANK(U45,$U$2:$U$110,0)</f>
        <v>32</v>
      </c>
      <c r="T45" s="440">
        <f>Table2[[#This Row],[BDG]]/Table2[[#This Row],[Odds]]</f>
        <v>15.474489795918364</v>
      </c>
      <c r="U45" s="440" cm="1">
        <f t="array" ref="U45">MAX(_xlfn._xlws.FILTER(Table22[[B365]:[MATCHBOOK]], Table22[PLAYER] = A45))</f>
        <v>19.600000000000001</v>
      </c>
      <c r="X45" t="str">
        <f>Table2[[#This Row],[Player]]</f>
        <v>Pierceson Coody</v>
      </c>
      <c r="Y45" s="14">
        <f>Table2[[#This Row],[DGSCORE]]</f>
        <v>303.29999999999995</v>
      </c>
      <c r="Z45" s="14">
        <f>Table2[[#This Row],[BDG]]</f>
        <v>303.29999999999995</v>
      </c>
      <c r="AA45" s="14">
        <f>Z45-Y45</f>
        <v>0</v>
      </c>
      <c r="AB45">
        <f>_xlfn.RANK.AVG(AA45,$AA:$AA,0)</f>
        <v>55</v>
      </c>
    </row>
    <row r="46" spans="1:28">
      <c r="A46" s="438" t="s">
        <v>147</v>
      </c>
      <c r="B46" s="439">
        <v>106</v>
      </c>
      <c r="C46" s="439">
        <v>130</v>
      </c>
      <c r="D46" s="439">
        <v>41</v>
      </c>
      <c r="E46" s="439">
        <v>114</v>
      </c>
      <c r="F46" s="439">
        <v>82</v>
      </c>
      <c r="G46" s="439">
        <v>73</v>
      </c>
      <c r="H46" s="439">
        <v>275.7</v>
      </c>
      <c r="I46" s="440">
        <v>354.44072444015148</v>
      </c>
      <c r="J46" s="259">
        <v>303.51980077244366</v>
      </c>
      <c r="K46" s="260">
        <v>401.54232302756236</v>
      </c>
      <c r="L46" s="441">
        <f>RANK(H46,$H$2:$H$110,1)</f>
        <v>32</v>
      </c>
      <c r="M46" s="230">
        <f>RANK(I46,$I$2:$I$110,1)</f>
        <v>22</v>
      </c>
      <c r="N46" s="438">
        <f>RANK(J46,$J$2:$J$110,1)</f>
        <v>45</v>
      </c>
      <c r="O46" s="438">
        <f>RANK(K46,$K$2:$K$110,1)</f>
        <v>33</v>
      </c>
      <c r="P46" s="442">
        <v>0</v>
      </c>
      <c r="Q46" s="442">
        <v>0</v>
      </c>
      <c r="R46" s="439">
        <v>-3</v>
      </c>
      <c r="S46" s="439">
        <f>RANK(U46,$U$2:$U$110,0)</f>
        <v>83</v>
      </c>
      <c r="T46" s="440">
        <f>Table2[[#This Row],[BDG]]/Table2[[#This Row],[Odds]]</f>
        <v>41.749628716979871</v>
      </c>
      <c r="U46" s="440" cm="1">
        <f t="array" ref="U46">MAX(_xlfn._xlws.FILTER(Table22[[B365]:[MATCHBOOK]], Table22[PLAYER] = A46))</f>
        <v>7.27</v>
      </c>
      <c r="X46" t="str">
        <f>Table2[[#This Row],[Player]]</f>
        <v>Justin Lower</v>
      </c>
      <c r="Y46" s="14">
        <f>Table2[[#This Row],[DGSCORE]]</f>
        <v>275.7</v>
      </c>
      <c r="Z46" s="14">
        <f>Table2[[#This Row],[BDG]]</f>
        <v>303.51980077244366</v>
      </c>
      <c r="AA46" s="14">
        <f>Z46-Y46</f>
        <v>27.819800772443671</v>
      </c>
      <c r="AB46">
        <f>_xlfn.RANK.AVG(AA46,$AA:$AA,0)</f>
        <v>8</v>
      </c>
    </row>
    <row r="47" spans="1:28">
      <c r="A47" s="438" t="s">
        <v>151</v>
      </c>
      <c r="B47" s="439">
        <v>148</v>
      </c>
      <c r="C47" s="439">
        <v>110</v>
      </c>
      <c r="D47" s="439">
        <v>20</v>
      </c>
      <c r="E47" s="439">
        <v>150</v>
      </c>
      <c r="F47" s="439">
        <v>65</v>
      </c>
      <c r="G47" s="439">
        <v>60</v>
      </c>
      <c r="H47" s="439">
        <v>294.70000000000005</v>
      </c>
      <c r="I47" s="440">
        <v>353.30457068606131</v>
      </c>
      <c r="J47" s="259">
        <v>304.80786666767585</v>
      </c>
      <c r="K47" s="260">
        <v>388.85093140023758</v>
      </c>
      <c r="L47" s="441">
        <f>RANK(H47,$H$2:$H$110,1)</f>
        <v>39</v>
      </c>
      <c r="M47" s="230">
        <f>RANK(I47,$I$2:$I$110,1)</f>
        <v>21</v>
      </c>
      <c r="N47" s="438">
        <f>RANK(J47,$J$2:$J$110,1)</f>
        <v>46</v>
      </c>
      <c r="O47" s="438">
        <f>RANK(K47,$K$2:$K$110,1)</f>
        <v>30</v>
      </c>
      <c r="P47" s="442">
        <v>0</v>
      </c>
      <c r="Q47" s="442">
        <v>0</v>
      </c>
      <c r="R47" s="439">
        <v>68</v>
      </c>
      <c r="S47" s="439">
        <f>RANK(U47,$U$2:$U$110,0)</f>
        <v>95</v>
      </c>
      <c r="T47" s="440">
        <f>Table2[[#This Row],[BDG]]/Table2[[#This Row],[Odds]]</f>
        <v>49.968502732405881</v>
      </c>
      <c r="U47" s="440" cm="1">
        <f t="array" ref="U47">MAX(_xlfn._xlws.FILTER(Table22[[B365]:[MATCHBOOK]], Table22[PLAYER] = A47))</f>
        <v>6.1</v>
      </c>
      <c r="X47" t="str">
        <f>Table2[[#This Row],[Player]]</f>
        <v>Ben Martin</v>
      </c>
      <c r="Y47" s="14">
        <f>Table2[[#This Row],[DGSCORE]]</f>
        <v>294.70000000000005</v>
      </c>
      <c r="Z47" s="14">
        <f>Table2[[#This Row],[BDG]]</f>
        <v>304.80786666767585</v>
      </c>
      <c r="AA47" s="14">
        <f>Z47-Y47</f>
        <v>10.107866667675808</v>
      </c>
      <c r="AB47">
        <f>_xlfn.RANK.AVG(AA47,$AA:$AA,0)</f>
        <v>18</v>
      </c>
    </row>
    <row r="48" spans="1:28">
      <c r="A48" s="438" t="s">
        <v>109</v>
      </c>
      <c r="B48" s="439">
        <v>81</v>
      </c>
      <c r="C48" s="439">
        <v>118</v>
      </c>
      <c r="D48" s="439">
        <v>180</v>
      </c>
      <c r="E48" s="439">
        <v>173</v>
      </c>
      <c r="F48" s="439">
        <v>8</v>
      </c>
      <c r="G48" s="439">
        <v>158</v>
      </c>
      <c r="H48" s="439">
        <v>331.09999999999997</v>
      </c>
      <c r="I48" s="440">
        <v>532.92243660879274</v>
      </c>
      <c r="J48" s="259">
        <v>308.08701324048673</v>
      </c>
      <c r="K48" s="260">
        <v>471.47676006671315</v>
      </c>
      <c r="L48" s="441">
        <f>RANK(H48,$H$2:$H$110,1)</f>
        <v>61</v>
      </c>
      <c r="M48" s="230">
        <f>RANK(I48,$I$2:$I$110,1)</f>
        <v>74</v>
      </c>
      <c r="N48" s="438">
        <f>RANK(J48,$J$2:$J$110,1)</f>
        <v>47</v>
      </c>
      <c r="O48" s="438">
        <f>RANK(K48,$K$2:$K$110,1)</f>
        <v>56</v>
      </c>
      <c r="P48" s="442">
        <v>0</v>
      </c>
      <c r="Q48" s="442">
        <v>0</v>
      </c>
      <c r="R48" s="439">
        <v>0</v>
      </c>
      <c r="S48" s="439">
        <f>RANK(U48,$U$2:$U$110,0)</f>
        <v>73</v>
      </c>
      <c r="T48" s="440">
        <f>Table2[[#This Row],[BDG]]/Table2[[#This Row],[Odds]]</f>
        <v>36.460001566921513</v>
      </c>
      <c r="U48" s="440" cm="1">
        <f t="array" ref="U48">MAX(_xlfn._xlws.FILTER(Table22[[B365]:[MATCHBOOK]], Table22[PLAYER] = A48))</f>
        <v>8.4499999999999993</v>
      </c>
      <c r="X48" t="str">
        <f>Table2[[#This Row],[Player]]</f>
        <v>Justin Suh</v>
      </c>
      <c r="Y48" s="14">
        <f>Table2[[#This Row],[DGSCORE]]</f>
        <v>331.09999999999997</v>
      </c>
      <c r="Z48" s="14">
        <f>Table2[[#This Row],[BDG]]</f>
        <v>308.08701324048673</v>
      </c>
      <c r="AA48" s="14">
        <f>Z48-Y48</f>
        <v>-23.01298675951324</v>
      </c>
      <c r="AB48">
        <f>_xlfn.RANK.AVG(AA48,$AA:$AA,0)</f>
        <v>95</v>
      </c>
    </row>
    <row r="49" spans="1:28">
      <c r="A49" s="438" t="s">
        <v>136</v>
      </c>
      <c r="B49" s="439">
        <v>134</v>
      </c>
      <c r="C49" s="439">
        <v>60</v>
      </c>
      <c r="D49" s="439">
        <v>56</v>
      </c>
      <c r="E49" s="439">
        <v>155</v>
      </c>
      <c r="F49" s="439">
        <v>102</v>
      </c>
      <c r="G49" s="439">
        <v>102</v>
      </c>
      <c r="H49" s="439">
        <v>302.8</v>
      </c>
      <c r="I49" s="440">
        <v>414.44056386709087</v>
      </c>
      <c r="J49" s="259">
        <v>309.02946621454385</v>
      </c>
      <c r="K49" s="260">
        <v>436.05079776929563</v>
      </c>
      <c r="L49" s="441">
        <f>RANK(H49,$H$2:$H$110,1)</f>
        <v>43</v>
      </c>
      <c r="M49" s="230">
        <f>RANK(I49,$I$2:$I$110,1)</f>
        <v>37</v>
      </c>
      <c r="N49" s="438">
        <f>RANK(J49,$J$2:$J$110,1)</f>
        <v>48</v>
      </c>
      <c r="O49" s="438">
        <f>RANK(K49,$K$2:$K$110,1)</f>
        <v>44</v>
      </c>
      <c r="P49" s="442">
        <v>0</v>
      </c>
      <c r="Q49" s="442">
        <v>0</v>
      </c>
      <c r="R49" s="439">
        <v>-45</v>
      </c>
      <c r="S49" s="439">
        <f>RANK(U49,$U$2:$U$110,0)</f>
        <v>60</v>
      </c>
      <c r="T49" s="440">
        <f>Table2[[#This Row],[BDG]]/Table2[[#This Row],[Odds]]</f>
        <v>27.347740372968481</v>
      </c>
      <c r="U49" s="440" cm="1">
        <f t="array" ref="U49">MAX(_xlfn._xlws.FILTER(Table22[[B365]:[MATCHBOOK]], Table22[PLAYER] = A49))</f>
        <v>11.3</v>
      </c>
      <c r="X49" t="str">
        <f>Table2[[#This Row],[Player]]</f>
        <v>Carson Young</v>
      </c>
      <c r="Y49" s="14">
        <f>Table2[[#This Row],[DGSCORE]]</f>
        <v>302.8</v>
      </c>
      <c r="Z49" s="14">
        <f>Table2[[#This Row],[BDG]]</f>
        <v>309.02946621454385</v>
      </c>
      <c r="AA49" s="14">
        <f>Z49-Y49</f>
        <v>6.2294662145438338</v>
      </c>
      <c r="AB49">
        <f>_xlfn.RANK.AVG(AA49,$AA:$AA,0)</f>
        <v>21</v>
      </c>
    </row>
    <row r="50" spans="1:28">
      <c r="A50" s="438" t="s">
        <v>84</v>
      </c>
      <c r="B50" s="439">
        <v>84</v>
      </c>
      <c r="C50" s="439">
        <v>150</v>
      </c>
      <c r="D50" s="439">
        <v>81</v>
      </c>
      <c r="E50" s="439">
        <v>137</v>
      </c>
      <c r="F50" s="439">
        <v>106</v>
      </c>
      <c r="G50" s="439">
        <v>124</v>
      </c>
      <c r="H50" s="439">
        <v>315.10000000000002</v>
      </c>
      <c r="I50" s="440">
        <v>462.25623166229735</v>
      </c>
      <c r="J50" s="259">
        <v>315.10000000000002</v>
      </c>
      <c r="K50" s="260">
        <v>462.2562316622973</v>
      </c>
      <c r="L50" s="441">
        <f>RANK(H50,$H$2:$H$110,1)</f>
        <v>49</v>
      </c>
      <c r="M50" s="230">
        <f>RANK(I50,$I$2:$I$110,1)</f>
        <v>51</v>
      </c>
      <c r="N50" s="438">
        <f>RANK(J50,$J$2:$J$110,1)</f>
        <v>49</v>
      </c>
      <c r="O50" s="438">
        <f>RANK(K50,$K$2:$K$110,1)</f>
        <v>52</v>
      </c>
      <c r="P50" s="442">
        <v>0</v>
      </c>
      <c r="Q50" s="442">
        <v>0</v>
      </c>
      <c r="R50" s="439" t="e">
        <v>#N/A</v>
      </c>
      <c r="S50" s="439">
        <f>RANK(U50,$U$2:$U$110,0)</f>
        <v>32</v>
      </c>
      <c r="T50" s="440">
        <f>Table2[[#This Row],[BDG]]/Table2[[#This Row],[Odds]]</f>
        <v>16.076530612244898</v>
      </c>
      <c r="U50" s="440" cm="1">
        <f t="array" ref="U50">MAX(_xlfn._xlws.FILTER(Table22[[B365]:[MATCHBOOK]], Table22[PLAYER] = A50))</f>
        <v>19.600000000000001</v>
      </c>
      <c r="X50" t="str">
        <f>Table2[[#This Row],[Player]]</f>
        <v>Kevin Chappell</v>
      </c>
      <c r="Y50" s="14">
        <f>Table2[[#This Row],[DGSCORE]]</f>
        <v>315.10000000000002</v>
      </c>
      <c r="Z50" s="14">
        <f>Table2[[#This Row],[BDG]]</f>
        <v>315.10000000000002</v>
      </c>
      <c r="AA50" s="14">
        <f>Z50-Y50</f>
        <v>0</v>
      </c>
      <c r="AB50">
        <f>_xlfn.RANK.AVG(AA50,$AA:$AA,0)</f>
        <v>55</v>
      </c>
    </row>
    <row r="51" spans="1:28">
      <c r="A51" s="438" t="s">
        <v>99</v>
      </c>
      <c r="B51" s="439">
        <v>94</v>
      </c>
      <c r="C51" s="439">
        <v>56</v>
      </c>
      <c r="D51" s="439">
        <v>124</v>
      </c>
      <c r="E51" s="439">
        <v>170</v>
      </c>
      <c r="F51" s="439">
        <v>98</v>
      </c>
      <c r="G51" s="439">
        <v>147</v>
      </c>
      <c r="H51" s="439">
        <v>316.39999999999998</v>
      </c>
      <c r="I51" s="440">
        <v>496.85097736146139</v>
      </c>
      <c r="J51" s="259">
        <v>316.39999999999998</v>
      </c>
      <c r="K51" s="260">
        <v>496.85097736146145</v>
      </c>
      <c r="L51" s="441">
        <f>RANK(H51,$H$2:$H$110,1)</f>
        <v>50</v>
      </c>
      <c r="M51" s="230">
        <f>RANK(I51,$I$2:$I$110,1)</f>
        <v>62</v>
      </c>
      <c r="N51" s="438">
        <f>RANK(J51,$J$2:$J$110,1)</f>
        <v>50</v>
      </c>
      <c r="O51" s="438">
        <f>RANK(K51,$K$2:$K$110,1)</f>
        <v>65</v>
      </c>
      <c r="P51" s="442">
        <v>0</v>
      </c>
      <c r="Q51" s="442">
        <v>0</v>
      </c>
      <c r="R51" s="439" t="e">
        <v>#N/A</v>
      </c>
      <c r="S51" s="439">
        <f>RANK(U51,$U$2:$U$110,0)</f>
        <v>58</v>
      </c>
      <c r="T51" s="440">
        <f>Table2[[#This Row],[BDG]]/Table2[[#This Row],[Odds]]</f>
        <v>26.813559322033896</v>
      </c>
      <c r="U51" s="440" cm="1">
        <f t="array" ref="U51">MAX(_xlfn._xlws.FILTER(Table22[[B365]:[MATCHBOOK]], Table22[PLAYER] = A51))</f>
        <v>11.8</v>
      </c>
      <c r="X51" t="str">
        <f>Table2[[#This Row],[Player]]</f>
        <v>Austin Smotherman</v>
      </c>
      <c r="Y51" s="14">
        <f>Table2[[#This Row],[DGSCORE]]</f>
        <v>316.39999999999998</v>
      </c>
      <c r="Z51" s="14">
        <f>Table2[[#This Row],[BDG]]</f>
        <v>316.39999999999998</v>
      </c>
      <c r="AA51" s="14">
        <f>Z51-Y51</f>
        <v>0</v>
      </c>
      <c r="AB51">
        <f>_xlfn.RANK.AVG(AA51,$AA:$AA,0)</f>
        <v>55</v>
      </c>
    </row>
    <row r="52" spans="1:28">
      <c r="A52" s="438" t="s">
        <v>79</v>
      </c>
      <c r="B52" s="439">
        <v>59</v>
      </c>
      <c r="C52" s="439">
        <v>148</v>
      </c>
      <c r="D52" s="439">
        <v>116</v>
      </c>
      <c r="E52" s="439">
        <v>165</v>
      </c>
      <c r="F52" s="439">
        <v>183</v>
      </c>
      <c r="G52" s="439">
        <v>177</v>
      </c>
      <c r="H52" s="439">
        <v>365.79999999999995</v>
      </c>
      <c r="I52" s="440">
        <v>585.81314873496729</v>
      </c>
      <c r="J52" s="259">
        <v>318.12313212879968</v>
      </c>
      <c r="K52" s="260">
        <v>467.97330387284489</v>
      </c>
      <c r="L52" s="441">
        <f>RANK(H52,$H$2:$H$110,1)</f>
        <v>79</v>
      </c>
      <c r="M52" s="230">
        <f>RANK(I52,$I$2:$I$110,1)</f>
        <v>92</v>
      </c>
      <c r="N52" s="438">
        <f>RANK(J52,$J$2:$J$110,1)</f>
        <v>51</v>
      </c>
      <c r="O52" s="438">
        <f>RANK(K52,$K$2:$K$110,1)</f>
        <v>54</v>
      </c>
      <c r="P52" s="442">
        <v>0</v>
      </c>
      <c r="Q52" s="442">
        <v>0</v>
      </c>
      <c r="R52" s="439">
        <v>-9</v>
      </c>
      <c r="S52" s="439">
        <f>RANK(U52,$U$2:$U$110,0)</f>
        <v>64</v>
      </c>
      <c r="T52" s="440">
        <f>Table2[[#This Row],[BDG]]/Table2[[#This Row],[Odds]]</f>
        <v>30.885740983378607</v>
      </c>
      <c r="U52" s="440" cm="1">
        <f t="array" ref="U52">MAX(_xlfn._xlws.FILTER(Table22[[B365]:[MATCHBOOK]], Table22[PLAYER] = A52))</f>
        <v>10.3</v>
      </c>
      <c r="X52" t="str">
        <f>Table2[[#This Row],[Player]]</f>
        <v>Alex Smalley</v>
      </c>
      <c r="Y52" s="14">
        <f>Table2[[#This Row],[DGSCORE]]</f>
        <v>365.79999999999995</v>
      </c>
      <c r="Z52" s="14">
        <f>Table2[[#This Row],[BDG]]</f>
        <v>318.12313212879968</v>
      </c>
      <c r="AA52" s="14">
        <f>Z52-Y52</f>
        <v>-47.676867871200272</v>
      </c>
      <c r="AB52">
        <f>_xlfn.RANK.AVG(AA52,$AA:$AA,0)</f>
        <v>103</v>
      </c>
    </row>
    <row r="53" spans="1:28">
      <c r="A53" s="438" t="s">
        <v>167</v>
      </c>
      <c r="B53" s="439">
        <v>168</v>
      </c>
      <c r="C53" s="439">
        <v>14</v>
      </c>
      <c r="D53" s="439">
        <v>178</v>
      </c>
      <c r="E53" s="439">
        <v>39</v>
      </c>
      <c r="F53" s="439">
        <v>43</v>
      </c>
      <c r="G53" s="439">
        <v>117</v>
      </c>
      <c r="H53" s="439">
        <v>319.90000000000003</v>
      </c>
      <c r="I53" s="440">
        <v>430.64325116867104</v>
      </c>
      <c r="J53" s="259">
        <v>319.90000000000003</v>
      </c>
      <c r="K53" s="260">
        <v>430.64325116867104</v>
      </c>
      <c r="L53" s="441">
        <f>RANK(H53,$H$2:$H$110,1)</f>
        <v>51</v>
      </c>
      <c r="M53" s="230">
        <f>RANK(I53,$I$2:$I$110,1)</f>
        <v>45</v>
      </c>
      <c r="N53" s="438">
        <f>RANK(J53,$J$2:$J$110,1)</f>
        <v>52</v>
      </c>
      <c r="O53" s="438">
        <f>RANK(K53,$K$2:$K$110,1)</f>
        <v>41</v>
      </c>
      <c r="P53" s="442">
        <v>0</v>
      </c>
      <c r="Q53" s="442">
        <v>0</v>
      </c>
      <c r="R53" s="439" t="e">
        <v>#N/A</v>
      </c>
      <c r="S53" s="439">
        <f>RANK(U53,$U$2:$U$110,0)</f>
        <v>27</v>
      </c>
      <c r="T53" s="440">
        <f>Table2[[#This Row],[BDG]]/Table2[[#This Row],[Odds]]</f>
        <v>13.329166666666667</v>
      </c>
      <c r="U53" s="440" cm="1">
        <f t="array" ref="U53">MAX(_xlfn._xlws.FILTER(Table22[[B365]:[MATCHBOOK]], Table22[PLAYER] = A53))</f>
        <v>24</v>
      </c>
      <c r="X53" t="str">
        <f>Table2[[#This Row],[Player]]</f>
        <v>Adam Long</v>
      </c>
      <c r="Y53" s="14">
        <f>Table2[[#This Row],[DGSCORE]]</f>
        <v>319.90000000000003</v>
      </c>
      <c r="Z53" s="14">
        <f>Table2[[#This Row],[BDG]]</f>
        <v>319.90000000000003</v>
      </c>
      <c r="AA53" s="14">
        <f>Z53-Y53</f>
        <v>0</v>
      </c>
      <c r="AB53">
        <f>_xlfn.RANK.AVG(AA53,$AA:$AA,0)</f>
        <v>55</v>
      </c>
    </row>
    <row r="54" spans="1:28">
      <c r="A54" s="438" t="s">
        <v>91</v>
      </c>
      <c r="B54" s="439">
        <v>90</v>
      </c>
      <c r="C54" s="439">
        <v>125</v>
      </c>
      <c r="D54" s="439">
        <v>111</v>
      </c>
      <c r="E54" s="439">
        <v>103</v>
      </c>
      <c r="F54" s="439">
        <v>117</v>
      </c>
      <c r="G54" s="439">
        <v>153</v>
      </c>
      <c r="H54" s="439">
        <v>320.89999999999998</v>
      </c>
      <c r="I54" s="440">
        <v>493.27513825918919</v>
      </c>
      <c r="J54" s="259">
        <v>320.89999999999998</v>
      </c>
      <c r="K54" s="260">
        <v>493.27513825918919</v>
      </c>
      <c r="L54" s="441">
        <f>RANK(H54,$H$2:$H$110,1)</f>
        <v>53</v>
      </c>
      <c r="M54" s="230">
        <f>RANK(I54,$I$2:$I$110,1)</f>
        <v>59</v>
      </c>
      <c r="N54" s="438">
        <f>RANK(J54,$J$2:$J$110,1)</f>
        <v>53</v>
      </c>
      <c r="O54" s="438">
        <f>RANK(K54,$K$2:$K$110,1)</f>
        <v>62</v>
      </c>
      <c r="P54" s="442">
        <v>0</v>
      </c>
      <c r="Q54" s="442">
        <v>0</v>
      </c>
      <c r="R54" s="439" t="e">
        <v>#N/A</v>
      </c>
      <c r="S54" s="439">
        <f>RANK(U54,$U$2:$U$110,0)</f>
        <v>32</v>
      </c>
      <c r="T54" s="440">
        <f>Table2[[#This Row],[BDG]]/Table2[[#This Row],[Odds]]</f>
        <v>16.372448979591834</v>
      </c>
      <c r="U54" s="440" cm="1">
        <f t="array" ref="U54">MAX(_xlfn._xlws.FILTER(Table22[[B365]:[MATCHBOOK]], Table22[PLAYER] = A54))</f>
        <v>19.600000000000001</v>
      </c>
      <c r="X54" t="str">
        <f>Table2[[#This Row],[Player]]</f>
        <v>Patton Kizzire</v>
      </c>
      <c r="Y54" s="14">
        <f>Table2[[#This Row],[DGSCORE]]</f>
        <v>320.89999999999998</v>
      </c>
      <c r="Z54" s="14">
        <f>Table2[[#This Row],[BDG]]</f>
        <v>320.89999999999998</v>
      </c>
      <c r="AA54" s="14">
        <f>Z54-Y54</f>
        <v>0</v>
      </c>
      <c r="AB54">
        <f>_xlfn.RANK.AVG(AA54,$AA:$AA,0)</f>
        <v>55</v>
      </c>
    </row>
    <row r="55" spans="1:28">
      <c r="A55" s="438" t="s">
        <v>189</v>
      </c>
      <c r="B55" s="439">
        <v>191</v>
      </c>
      <c r="C55" s="439">
        <v>24</v>
      </c>
      <c r="D55" s="439">
        <v>118</v>
      </c>
      <c r="E55" s="439">
        <v>73</v>
      </c>
      <c r="F55" s="439">
        <v>51</v>
      </c>
      <c r="G55" s="439">
        <v>109</v>
      </c>
      <c r="H55" s="439">
        <v>321.2</v>
      </c>
      <c r="I55" s="440">
        <v>416.08858663752869</v>
      </c>
      <c r="J55" s="259">
        <v>321.2</v>
      </c>
      <c r="K55" s="260">
        <v>416.08858663752869</v>
      </c>
      <c r="L55" s="441">
        <f>RANK(H55,$H$2:$H$110,1)</f>
        <v>55</v>
      </c>
      <c r="M55" s="230">
        <f>RANK(I55,$I$2:$I$110,1)</f>
        <v>40</v>
      </c>
      <c r="N55" s="438">
        <f>RANK(J55,$J$2:$J$110,1)</f>
        <v>54</v>
      </c>
      <c r="O55" s="438">
        <f>RANK(K55,$K$2:$K$110,1)</f>
        <v>37</v>
      </c>
      <c r="P55" s="442" t="e">
        <v>#N/A</v>
      </c>
      <c r="Q55" s="442" t="e">
        <v>#N/A</v>
      </c>
      <c r="R55" s="439" t="e">
        <v>#N/A</v>
      </c>
      <c r="S55" s="439">
        <f>RANK(U55,$U$2:$U$110,0)</f>
        <v>11</v>
      </c>
      <c r="T55" s="440">
        <f>Table2[[#This Row],[BDG]]/Table2[[#This Row],[Odds]]</f>
        <v>6.2980392156862743</v>
      </c>
      <c r="U55" s="440" cm="1">
        <f t="array" ref="U55">MAX(_xlfn._xlws.FILTER(Table22[[B365]:[MATCHBOOK]], Table22[PLAYER] = A55))</f>
        <v>51</v>
      </c>
      <c r="X55" t="str">
        <f>Table2[[#This Row],[Player]]</f>
        <v>William McGirt</v>
      </c>
      <c r="Y55" s="14">
        <f>Table2[[#This Row],[DGSCORE]]</f>
        <v>321.2</v>
      </c>
      <c r="Z55" s="14">
        <f>Table2[[#This Row],[BDG]]</f>
        <v>321.2</v>
      </c>
      <c r="AA55" s="14">
        <f>Z55-Y55</f>
        <v>0</v>
      </c>
      <c r="AB55">
        <f>_xlfn.RANK.AVG(AA55,$AA:$AA,0)</f>
        <v>55</v>
      </c>
    </row>
    <row r="56" spans="1:28">
      <c r="A56" s="438" t="s">
        <v>21</v>
      </c>
      <c r="B56" s="439">
        <v>22</v>
      </c>
      <c r="C56" s="439">
        <v>180</v>
      </c>
      <c r="D56" s="439">
        <v>161</v>
      </c>
      <c r="E56" s="439">
        <v>163</v>
      </c>
      <c r="F56" s="439">
        <v>120</v>
      </c>
      <c r="G56" s="439">
        <v>175</v>
      </c>
      <c r="H56" s="439">
        <v>347.7</v>
      </c>
      <c r="I56" s="440">
        <v>580.1427651818874</v>
      </c>
      <c r="J56" s="259">
        <v>321.70098811285419</v>
      </c>
      <c r="K56" s="260">
        <v>515.11041477214644</v>
      </c>
      <c r="L56" s="441">
        <f>RANK(H56,$H$2:$H$110,1)</f>
        <v>73</v>
      </c>
      <c r="M56" s="230">
        <f>RANK(I56,$I$2:$I$110,1)</f>
        <v>90</v>
      </c>
      <c r="N56" s="438">
        <f>RANK(J56,$J$2:$J$110,1)</f>
        <v>55</v>
      </c>
      <c r="O56" s="438">
        <f>RANK(K56,$K$2:$K$110,1)</f>
        <v>72</v>
      </c>
      <c r="P56" s="442">
        <v>0</v>
      </c>
      <c r="Q56" s="442">
        <v>0</v>
      </c>
      <c r="R56" s="439">
        <v>3</v>
      </c>
      <c r="S56" s="439">
        <f>RANK(U56,$U$2:$U$110,0)</f>
        <v>36</v>
      </c>
      <c r="T56" s="440">
        <f>Table2[[#This Row],[BDG]]/Table2[[#This Row],[Odds]]</f>
        <v>16.842983670830062</v>
      </c>
      <c r="U56" s="440" cm="1">
        <f t="array" ref="U56">MAX(_xlfn._xlws.FILTER(Table22[[B365]:[MATCHBOOK]], Table22[PLAYER] = A56))</f>
        <v>19.100000000000001</v>
      </c>
      <c r="X56" t="str">
        <f>Table2[[#This Row],[Player]]</f>
        <v>Callum Tarren</v>
      </c>
      <c r="Y56" s="14">
        <f>Table2[[#This Row],[DGSCORE]]</f>
        <v>347.7</v>
      </c>
      <c r="Z56" s="14">
        <f>Table2[[#This Row],[BDG]]</f>
        <v>321.70098811285419</v>
      </c>
      <c r="AA56" s="14">
        <f>Z56-Y56</f>
        <v>-25.999011887145798</v>
      </c>
      <c r="AB56">
        <f>_xlfn.RANK.AVG(AA56,$AA:$AA,0)</f>
        <v>96</v>
      </c>
    </row>
    <row r="57" spans="1:28">
      <c r="A57" s="438" t="s">
        <v>177</v>
      </c>
      <c r="B57" s="439">
        <v>172</v>
      </c>
      <c r="C57" s="439">
        <v>107</v>
      </c>
      <c r="D57" s="439">
        <v>66</v>
      </c>
      <c r="E57" s="439">
        <v>6</v>
      </c>
      <c r="F57" s="439">
        <v>128</v>
      </c>
      <c r="G57" s="439">
        <v>122</v>
      </c>
      <c r="H57" s="439">
        <v>320.89999999999998</v>
      </c>
      <c r="I57" s="440">
        <v>414.2443155033601</v>
      </c>
      <c r="J57" s="259">
        <v>322.28318175452404</v>
      </c>
      <c r="K57" s="260">
        <v>432.78033601817265</v>
      </c>
      <c r="L57" s="441">
        <f>RANK(H57,$H$2:$H$110,1)</f>
        <v>53</v>
      </c>
      <c r="M57" s="230">
        <f>RANK(I57,$I$2:$I$110,1)</f>
        <v>36</v>
      </c>
      <c r="N57" s="438">
        <f>RANK(J57,$J$2:$J$110,1)</f>
        <v>56</v>
      </c>
      <c r="O57" s="438">
        <f>RANK(K57,$K$2:$K$110,1)</f>
        <v>42</v>
      </c>
      <c r="P57" s="442">
        <v>0</v>
      </c>
      <c r="Q57" s="442">
        <v>0</v>
      </c>
      <c r="R57" s="439">
        <v>49</v>
      </c>
      <c r="S57" s="439">
        <f>RANK(U57,$U$2:$U$110,0)</f>
        <v>53</v>
      </c>
      <c r="T57" s="440">
        <f>Table2[[#This Row],[BDG]]/Table2[[#This Row],[Odds]]</f>
        <v>23.524319836096645</v>
      </c>
      <c r="U57" s="440" cm="1">
        <f t="array" ref="U57">MAX(_xlfn._xlws.FILTER(Table22[[B365]:[MATCHBOOK]], Table22[PLAYER] = A57))</f>
        <v>13.7</v>
      </c>
      <c r="X57" t="str">
        <f>Table2[[#This Row],[Player]]</f>
        <v>Chez Reavie</v>
      </c>
      <c r="Y57" s="14">
        <f>Table2[[#This Row],[DGSCORE]]</f>
        <v>320.89999999999998</v>
      </c>
      <c r="Z57" s="14">
        <f>Table2[[#This Row],[BDG]]</f>
        <v>322.28318175452404</v>
      </c>
      <c r="AA57" s="14">
        <f>Z57-Y57</f>
        <v>1.3831817545240597</v>
      </c>
      <c r="AB57">
        <f>_xlfn.RANK.AVG(AA57,$AA:$AA,0)</f>
        <v>26</v>
      </c>
    </row>
    <row r="58" spans="1:28">
      <c r="A58" s="438" t="s">
        <v>107</v>
      </c>
      <c r="B58" s="439">
        <v>64</v>
      </c>
      <c r="C58" s="439">
        <v>151</v>
      </c>
      <c r="D58" s="439">
        <v>76</v>
      </c>
      <c r="E58" s="439">
        <v>57</v>
      </c>
      <c r="F58" s="439">
        <v>49</v>
      </c>
      <c r="G58" s="439">
        <v>68</v>
      </c>
      <c r="H58" s="439">
        <v>233.6</v>
      </c>
      <c r="I58" s="440">
        <v>310.85757894418214</v>
      </c>
      <c r="J58" s="259">
        <v>322.76888829413178</v>
      </c>
      <c r="K58" s="260">
        <v>462.05355565448735</v>
      </c>
      <c r="L58" s="441">
        <f>RANK(H58,$H$2:$H$110,1)</f>
        <v>10</v>
      </c>
      <c r="M58" s="230">
        <f>RANK(I58,$I$2:$I$110,1)</f>
        <v>11</v>
      </c>
      <c r="N58" s="438">
        <f>RANK(J58,$J$2:$J$110,1)</f>
        <v>57</v>
      </c>
      <c r="O58" s="438">
        <f>RANK(K58,$K$2:$K$110,1)</f>
        <v>51</v>
      </c>
      <c r="P58" s="442">
        <v>0</v>
      </c>
      <c r="Q58" s="442">
        <v>0</v>
      </c>
      <c r="R58" s="439">
        <v>12</v>
      </c>
      <c r="S58" s="439">
        <f>RANK(U58,$U$2:$U$110,0)</f>
        <v>45</v>
      </c>
      <c r="T58" s="440">
        <f>Table2[[#This Row],[BDG]]/Table2[[#This Row],[Odds]]</f>
        <v>19.924005450255049</v>
      </c>
      <c r="U58" s="440" cm="1">
        <f t="array" ref="U58">MAX(_xlfn._xlws.FILTER(Table22[[B365]:[MATCHBOOK]], Table22[PLAYER] = A58))</f>
        <v>16.2</v>
      </c>
      <c r="X58" t="str">
        <f>Table2[[#This Row],[Player]]</f>
        <v>Tyson Alexander</v>
      </c>
      <c r="Y58" s="14">
        <f>Table2[[#This Row],[DGSCORE]]</f>
        <v>233.6</v>
      </c>
      <c r="Z58" s="14">
        <f>Table2[[#This Row],[BDG]]</f>
        <v>322.76888829413178</v>
      </c>
      <c r="AA58" s="14">
        <f>Z58-Y58</f>
        <v>89.16888829413179</v>
      </c>
      <c r="AB58">
        <f>_xlfn.RANK.AVG(AA58,$AA:$AA,0)</f>
        <v>1</v>
      </c>
    </row>
    <row r="59" spans="1:28">
      <c r="A59" s="438" t="s">
        <v>133</v>
      </c>
      <c r="B59" s="439">
        <v>116</v>
      </c>
      <c r="C59" s="439">
        <v>99</v>
      </c>
      <c r="D59" s="439">
        <v>105</v>
      </c>
      <c r="E59" s="439">
        <v>120</v>
      </c>
      <c r="F59" s="439">
        <v>90</v>
      </c>
      <c r="G59" s="439">
        <v>135</v>
      </c>
      <c r="H59" s="439">
        <v>320.39999999999998</v>
      </c>
      <c r="I59" s="440">
        <v>469.81026556658969</v>
      </c>
      <c r="J59" s="259">
        <v>326.783915790111</v>
      </c>
      <c r="K59" s="260">
        <v>452.34289662214849</v>
      </c>
      <c r="L59" s="441">
        <f>RANK(H59,$H$2:$H$110,1)</f>
        <v>52</v>
      </c>
      <c r="M59" s="230">
        <f>RANK(I59,$I$2:$I$110,1)</f>
        <v>56</v>
      </c>
      <c r="N59" s="438">
        <f>RANK(J59,$J$2:$J$110,1)</f>
        <v>58</v>
      </c>
      <c r="O59" s="438">
        <f>RANK(K59,$K$2:$K$110,1)</f>
        <v>48</v>
      </c>
      <c r="P59" s="442">
        <v>0</v>
      </c>
      <c r="Q59" s="442">
        <v>0</v>
      </c>
      <c r="R59" s="439">
        <v>-42</v>
      </c>
      <c r="S59" s="439">
        <f>RANK(U59,$U$2:$U$110,0)</f>
        <v>56</v>
      </c>
      <c r="T59" s="440">
        <f>Table2[[#This Row],[BDG]]/Table2[[#This Row],[Odds]]</f>
        <v>26.56779803171634</v>
      </c>
      <c r="U59" s="440" cm="1">
        <f t="array" ref="U59">MAX(_xlfn._xlws.FILTER(Table22[[B365]:[MATCHBOOK]], Table22[PLAYER] = A59))</f>
        <v>12.3</v>
      </c>
      <c r="X59" t="str">
        <f>Table2[[#This Row],[Player]]</f>
        <v>Brandon Wu</v>
      </c>
      <c r="Y59" s="14">
        <f>Table2[[#This Row],[DGSCORE]]</f>
        <v>320.39999999999998</v>
      </c>
      <c r="Z59" s="14">
        <f>Table2[[#This Row],[BDG]]</f>
        <v>326.783915790111</v>
      </c>
      <c r="AA59" s="14">
        <f>Z59-Y59</f>
        <v>6.3839157901110184</v>
      </c>
      <c r="AB59">
        <f>_xlfn.RANK.AVG(AA59,$AA:$AA,0)</f>
        <v>20</v>
      </c>
    </row>
    <row r="60" spans="1:28">
      <c r="A60" s="438" t="s">
        <v>137</v>
      </c>
      <c r="B60" s="439">
        <v>153</v>
      </c>
      <c r="C60" s="439">
        <v>70</v>
      </c>
      <c r="D60" s="439">
        <v>16</v>
      </c>
      <c r="E60" s="439">
        <v>140</v>
      </c>
      <c r="F60" s="439">
        <v>181</v>
      </c>
      <c r="G60" s="439">
        <v>123</v>
      </c>
      <c r="H60" s="439">
        <v>330.4</v>
      </c>
      <c r="I60" s="440">
        <v>451.12448798582801</v>
      </c>
      <c r="J60" s="259">
        <v>328.13473955834763</v>
      </c>
      <c r="K60" s="260">
        <v>450.52853898654564</v>
      </c>
      <c r="L60" s="441">
        <f>RANK(H60,$H$2:$H$110,1)</f>
        <v>59</v>
      </c>
      <c r="M60" s="230">
        <f>RANK(I60,$I$2:$I$110,1)</f>
        <v>48</v>
      </c>
      <c r="N60" s="438">
        <f>RANK(J60,$J$2:$J$110,1)</f>
        <v>59</v>
      </c>
      <c r="O60" s="438">
        <f>RANK(K60,$K$2:$K$110,1)</f>
        <v>47</v>
      </c>
      <c r="P60" s="442">
        <v>0</v>
      </c>
      <c r="Q60" s="442">
        <v>0</v>
      </c>
      <c r="R60" s="439">
        <v>23</v>
      </c>
      <c r="S60" s="439">
        <f>RANK(U60,$U$2:$U$110,0)</f>
        <v>89</v>
      </c>
      <c r="T60" s="440">
        <f>Table2[[#This Row],[BDG]]/Table2[[#This Row],[Odds]]</f>
        <v>47.694002842783085</v>
      </c>
      <c r="U60" s="440" cm="1">
        <f t="array" ref="U60">MAX(_xlfn._xlws.FILTER(Table22[[B365]:[MATCHBOOK]], Table22[PLAYER] = A60))</f>
        <v>6.88</v>
      </c>
      <c r="X60" t="str">
        <f>Table2[[#This Row],[Player]]</f>
        <v>Joel Dahmen</v>
      </c>
      <c r="Y60" s="14">
        <f>Table2[[#This Row],[DGSCORE]]</f>
        <v>330.4</v>
      </c>
      <c r="Z60" s="14">
        <f>Table2[[#This Row],[BDG]]</f>
        <v>328.13473955834763</v>
      </c>
      <c r="AA60" s="14">
        <f>Z60-Y60</f>
        <v>-2.2652604416523445</v>
      </c>
      <c r="AB60">
        <f>_xlfn.RANK.AVG(AA60,$AA:$AA,0)</f>
        <v>85</v>
      </c>
    </row>
    <row r="61" spans="1:28">
      <c r="A61" s="438" t="s">
        <v>41</v>
      </c>
      <c r="B61" s="439">
        <v>39</v>
      </c>
      <c r="C61" s="439">
        <v>176</v>
      </c>
      <c r="D61" s="439">
        <v>140</v>
      </c>
      <c r="E61" s="439">
        <v>151</v>
      </c>
      <c r="F61" s="439">
        <v>95</v>
      </c>
      <c r="G61" s="439">
        <v>135</v>
      </c>
      <c r="H61" s="439">
        <v>329</v>
      </c>
      <c r="I61" s="440">
        <v>510.59117745067743</v>
      </c>
      <c r="J61" s="259">
        <v>329</v>
      </c>
      <c r="K61" s="260">
        <v>510.59117745067738</v>
      </c>
      <c r="L61" s="441">
        <f>RANK(H61,$H$2:$H$110,1)</f>
        <v>57</v>
      </c>
      <c r="M61" s="230">
        <f>RANK(I61,$I$2:$I$110,1)</f>
        <v>64</v>
      </c>
      <c r="N61" s="438">
        <f>RANK(J61,$J$2:$J$110,1)</f>
        <v>60</v>
      </c>
      <c r="O61" s="438">
        <f>RANK(K61,$K$2:$K$110,1)</f>
        <v>70</v>
      </c>
      <c r="P61" s="442">
        <v>0</v>
      </c>
      <c r="Q61" s="442">
        <v>0</v>
      </c>
      <c r="R61" s="439" t="e">
        <v>#N/A</v>
      </c>
      <c r="S61" s="439">
        <f>RANK(U61,$U$2:$U$110,0)</f>
        <v>52</v>
      </c>
      <c r="T61" s="440">
        <f>Table2[[#This Row],[BDG]]/Table2[[#This Row],[Odds]]</f>
        <v>22.380952380952383</v>
      </c>
      <c r="U61" s="440" cm="1">
        <f t="array" ref="U61">MAX(_xlfn._xlws.FILTER(Table22[[B365]:[MATCHBOOK]], Table22[PLAYER] = A61))</f>
        <v>14.7</v>
      </c>
      <c r="X61" t="str">
        <f>Table2[[#This Row],[Player]]</f>
        <v>Kevin Tway</v>
      </c>
      <c r="Y61" s="14">
        <f>Table2[[#This Row],[DGSCORE]]</f>
        <v>329</v>
      </c>
      <c r="Z61" s="14">
        <f>Table2[[#This Row],[BDG]]</f>
        <v>329</v>
      </c>
      <c r="AA61" s="14">
        <f>Z61-Y61</f>
        <v>0</v>
      </c>
      <c r="AB61">
        <f>_xlfn.RANK.AVG(AA61,$AA:$AA,0)</f>
        <v>55</v>
      </c>
    </row>
    <row r="62" spans="1:28">
      <c r="A62" s="438" t="s">
        <v>561</v>
      </c>
      <c r="B62" s="439">
        <v>32</v>
      </c>
      <c r="C62" s="439">
        <v>181</v>
      </c>
      <c r="D62" s="439">
        <v>155</v>
      </c>
      <c r="E62" s="439">
        <v>99</v>
      </c>
      <c r="F62" s="439">
        <v>124</v>
      </c>
      <c r="G62" s="439">
        <v>173</v>
      </c>
      <c r="H62" s="439">
        <v>329.40000000000003</v>
      </c>
      <c r="I62" s="440">
        <v>543.13382183281863</v>
      </c>
      <c r="J62" s="259">
        <v>329.40000000000003</v>
      </c>
      <c r="K62" s="260">
        <v>543.13382183281863</v>
      </c>
      <c r="L62" s="441">
        <f>RANK(H62,$H$2:$H$110,1)</f>
        <v>58</v>
      </c>
      <c r="M62" s="230">
        <f>RANK(I62,$I$2:$I$110,1)</f>
        <v>78</v>
      </c>
      <c r="N62" s="438">
        <f>RANK(J62,$J$2:$J$110,1)</f>
        <v>61</v>
      </c>
      <c r="O62" s="438">
        <f>RANK(K62,$K$2:$K$110,1)</f>
        <v>82</v>
      </c>
      <c r="P62" s="442">
        <v>0</v>
      </c>
      <c r="Q62" s="442">
        <v>0</v>
      </c>
      <c r="R62" s="439">
        <v>-100</v>
      </c>
      <c r="S62" s="439">
        <f>RANK(U62,$U$2:$U$110,0)</f>
        <v>24</v>
      </c>
      <c r="T62" s="440">
        <f>Table2[[#This Row],[BDG]]/Table2[[#This Row],[Odds]]</f>
        <v>12.66923076923077</v>
      </c>
      <c r="U62" s="440" cm="1">
        <f t="array" ref="U62">MAX(_xlfn._xlws.FILTER(Table22[[B365]:[MATCHBOOK]], Table22[PLAYER] = A62))</f>
        <v>26</v>
      </c>
      <c r="X62" t="str">
        <f>Table2[[#This Row],[Player]]</f>
        <v>Ryan McCormick</v>
      </c>
      <c r="Y62" s="14">
        <f>Table2[[#This Row],[DGSCORE]]</f>
        <v>329.40000000000003</v>
      </c>
      <c r="Z62" s="14">
        <f>Table2[[#This Row],[BDG]]</f>
        <v>329.40000000000003</v>
      </c>
      <c r="AA62" s="14">
        <f>Z62-Y62</f>
        <v>0</v>
      </c>
      <c r="AB62">
        <f>_xlfn.RANK.AVG(AA62,$AA:$AA,0)</f>
        <v>55</v>
      </c>
    </row>
    <row r="63" spans="1:28">
      <c r="A63" s="438" t="s">
        <v>558</v>
      </c>
      <c r="B63" s="439">
        <v>44</v>
      </c>
      <c r="C63" s="439">
        <v>123</v>
      </c>
      <c r="D63" s="439">
        <v>140</v>
      </c>
      <c r="E63" s="439">
        <v>157</v>
      </c>
      <c r="F63" s="439">
        <v>137</v>
      </c>
      <c r="G63" s="439">
        <v>147</v>
      </c>
      <c r="H63" s="439">
        <v>330.4</v>
      </c>
      <c r="I63" s="440">
        <v>524.90141626118088</v>
      </c>
      <c r="J63" s="259">
        <v>330.4</v>
      </c>
      <c r="K63" s="260">
        <v>524.90141626118088</v>
      </c>
      <c r="L63" s="441">
        <f>RANK(H63,$H$2:$H$110,1)</f>
        <v>59</v>
      </c>
      <c r="M63" s="230">
        <f>RANK(I63,$I$2:$I$110,1)</f>
        <v>68</v>
      </c>
      <c r="N63" s="438">
        <f>RANK(J63,$J$2:$J$110,1)</f>
        <v>62</v>
      </c>
      <c r="O63" s="438">
        <f>RANK(K63,$K$2:$K$110,1)</f>
        <v>74</v>
      </c>
      <c r="P63" s="442">
        <v>0</v>
      </c>
      <c r="Q63" s="442">
        <v>0</v>
      </c>
      <c r="R63" s="439">
        <v>-128</v>
      </c>
      <c r="S63" s="439">
        <f>RANK(U63,$U$2:$U$110,0)</f>
        <v>46</v>
      </c>
      <c r="T63" s="440">
        <f>Table2[[#This Row],[BDG]]/Table2[[#This Row],[Odds]]</f>
        <v>21.044585987261147</v>
      </c>
      <c r="U63" s="440" cm="1">
        <f t="array" ref="U63">MAX(_xlfn._xlws.FILTER(Table22[[B365]:[MATCHBOOK]], Table22[PLAYER] = A63))</f>
        <v>15.7</v>
      </c>
      <c r="X63" t="str">
        <f>Table2[[#This Row],[Player]]</f>
        <v>Rafael Campos</v>
      </c>
      <c r="Y63" s="14">
        <f>Table2[[#This Row],[DGSCORE]]</f>
        <v>330.4</v>
      </c>
      <c r="Z63" s="14">
        <f>Table2[[#This Row],[BDG]]</f>
        <v>330.4</v>
      </c>
      <c r="AA63" s="14">
        <f>Z63-Y63</f>
        <v>0</v>
      </c>
      <c r="AB63">
        <f>_xlfn.RANK.AVG(AA63,$AA:$AA,0)</f>
        <v>55</v>
      </c>
    </row>
    <row r="64" spans="1:28">
      <c r="A64" s="438" t="s">
        <v>60</v>
      </c>
      <c r="B64" s="439">
        <v>120</v>
      </c>
      <c r="C64" s="439">
        <v>94</v>
      </c>
      <c r="D64" s="439">
        <v>167</v>
      </c>
      <c r="E64" s="439">
        <v>147</v>
      </c>
      <c r="F64" s="439">
        <v>103</v>
      </c>
      <c r="G64" s="439">
        <v>167</v>
      </c>
      <c r="H64" s="439">
        <v>382.2</v>
      </c>
      <c r="I64" s="440">
        <v>578.14814404738308</v>
      </c>
      <c r="J64" s="259">
        <v>331.33460644653451</v>
      </c>
      <c r="K64" s="260">
        <v>502.98259201011638</v>
      </c>
      <c r="L64" s="441">
        <f>RANK(H64,$H$2:$H$110,1)</f>
        <v>91</v>
      </c>
      <c r="M64" s="230">
        <f>RANK(I64,$I$2:$I$110,1)</f>
        <v>89</v>
      </c>
      <c r="N64" s="438">
        <f>RANK(J64,$J$2:$J$110,1)</f>
        <v>63</v>
      </c>
      <c r="O64" s="438">
        <f>RANK(K64,$K$2:$K$110,1)</f>
        <v>67</v>
      </c>
      <c r="P64" s="442">
        <v>0</v>
      </c>
      <c r="Q64" s="442">
        <v>0</v>
      </c>
      <c r="R64" s="439">
        <v>-15</v>
      </c>
      <c r="S64" s="439">
        <f>RANK(U64,$U$2:$U$110,0)</f>
        <v>41</v>
      </c>
      <c r="T64" s="440">
        <f>Table2[[#This Row],[BDG]]/Table2[[#This Row],[Odds]]</f>
        <v>19.26363990968224</v>
      </c>
      <c r="U64" s="440" cm="1">
        <f t="array" ref="U64">MAX(_xlfn._xlws.FILTER(Table22[[B365]:[MATCHBOOK]], Table22[PLAYER] = A64))</f>
        <v>17.2</v>
      </c>
      <c r="X64" t="str">
        <f>Table2[[#This Row],[Player]]</f>
        <v>Hayden Buckley</v>
      </c>
      <c r="Y64" s="14">
        <f>Table2[[#This Row],[DGSCORE]]</f>
        <v>382.2</v>
      </c>
      <c r="Z64" s="14">
        <f>Table2[[#This Row],[BDG]]</f>
        <v>331.33460644653451</v>
      </c>
      <c r="AA64" s="14">
        <f>Z64-Y64</f>
        <v>-50.865393553465481</v>
      </c>
      <c r="AB64">
        <f>_xlfn.RANK.AVG(AA64,$AA:$AA,0)</f>
        <v>104</v>
      </c>
    </row>
    <row r="65" spans="1:28">
      <c r="A65" s="438" t="s">
        <v>563</v>
      </c>
      <c r="B65" s="439">
        <v>119</v>
      </c>
      <c r="C65" s="439">
        <v>95</v>
      </c>
      <c r="D65" s="439">
        <v>81</v>
      </c>
      <c r="E65" s="439">
        <v>177</v>
      </c>
      <c r="F65" s="439">
        <v>100</v>
      </c>
      <c r="G65" s="439">
        <v>127</v>
      </c>
      <c r="H65" s="439">
        <v>332.1</v>
      </c>
      <c r="I65" s="440">
        <v>481.15583133892079</v>
      </c>
      <c r="J65" s="259">
        <v>332.1</v>
      </c>
      <c r="K65" s="260">
        <v>481.15583133892079</v>
      </c>
      <c r="L65" s="441">
        <f>RANK(H65,$H$2:$H$110,1)</f>
        <v>62</v>
      </c>
      <c r="M65" s="230">
        <f>RANK(I65,$I$2:$I$110,1)</f>
        <v>57</v>
      </c>
      <c r="N65" s="438">
        <f>RANK(J65,$J$2:$J$110,1)</f>
        <v>64</v>
      </c>
      <c r="O65" s="438">
        <f>RANK(K65,$K$2:$K$110,1)</f>
        <v>59</v>
      </c>
      <c r="P65" s="442">
        <v>0</v>
      </c>
      <c r="Q65" s="442">
        <v>0</v>
      </c>
      <c r="R65" s="439">
        <v>-7</v>
      </c>
      <c r="S65" s="439">
        <f>RANK(U65,$U$2:$U$110,0)</f>
        <v>31</v>
      </c>
      <c r="T65" s="440">
        <f>Table2[[#This Row],[BDG]]/Table2[[#This Row],[Odds]]</f>
        <v>15.814285714285715</v>
      </c>
      <c r="U65" s="440" cm="1">
        <f t="array" ref="U65">MAX(_xlfn._xlws.FILTER(Table22[[B365]:[MATCHBOOK]], Table22[PLAYER] = A65))</f>
        <v>21</v>
      </c>
      <c r="X65" t="str">
        <f>Table2[[#This Row],[Player]]</f>
        <v>Tom Whitney</v>
      </c>
      <c r="Y65" s="14">
        <f>Table2[[#This Row],[DGSCORE]]</f>
        <v>332.1</v>
      </c>
      <c r="Z65" s="14">
        <f>Table2[[#This Row],[BDG]]</f>
        <v>332.1</v>
      </c>
      <c r="AA65" s="14">
        <f>Z65-Y65</f>
        <v>0</v>
      </c>
      <c r="AB65">
        <f>_xlfn.RANK.AVG(AA65,$AA:$AA,0)</f>
        <v>55</v>
      </c>
    </row>
    <row r="66" spans="1:28">
      <c r="A66" s="438" t="s">
        <v>181</v>
      </c>
      <c r="B66" s="439">
        <v>183</v>
      </c>
      <c r="C66" s="439">
        <v>53</v>
      </c>
      <c r="D66" s="439">
        <v>20</v>
      </c>
      <c r="E66" s="439">
        <v>130</v>
      </c>
      <c r="F66" s="439">
        <v>154</v>
      </c>
      <c r="G66" s="439">
        <v>142</v>
      </c>
      <c r="H66" s="439">
        <v>334.20000000000005</v>
      </c>
      <c r="I66" s="440">
        <v>463.89872894060488</v>
      </c>
      <c r="J66" s="259">
        <v>334.20000000000005</v>
      </c>
      <c r="K66" s="260">
        <v>463.89872894060488</v>
      </c>
      <c r="L66" s="441">
        <f>RANK(H66,$H$2:$H$110,1)</f>
        <v>64</v>
      </c>
      <c r="M66" s="230">
        <f>RANK(I66,$I$2:$I$110,1)</f>
        <v>52</v>
      </c>
      <c r="N66" s="438">
        <f>RANK(J66,$J$2:$J$110,1)</f>
        <v>65</v>
      </c>
      <c r="O66" s="438">
        <f>RANK(K66,$K$2:$K$110,1)</f>
        <v>53</v>
      </c>
      <c r="P66" s="442" t="e">
        <v>#N/A</v>
      </c>
      <c r="Q66" s="442" t="e">
        <v>#N/A</v>
      </c>
      <c r="R66" s="439" t="e">
        <v>#N/A</v>
      </c>
      <c r="S66" s="439">
        <f>RANK(U66,$U$2:$U$110,0)</f>
        <v>22</v>
      </c>
      <c r="T66" s="440">
        <f>Table2[[#This Row],[BDG]]/Table2[[#This Row],[Odds]]</f>
        <v>12.37777777777778</v>
      </c>
      <c r="U66" s="440" cm="1">
        <f t="array" ref="U66">MAX(_xlfn._xlws.FILTER(Table22[[B365]:[MATCHBOOK]], Table22[PLAYER] = A66))</f>
        <v>27</v>
      </c>
      <c r="X66" t="str">
        <f>Table2[[#This Row],[Player]]</f>
        <v>Russell Knox</v>
      </c>
      <c r="Y66" s="14">
        <f>Table2[[#This Row],[DGSCORE]]</f>
        <v>334.20000000000005</v>
      </c>
      <c r="Z66" s="14">
        <f>Table2[[#This Row],[BDG]]</f>
        <v>334.20000000000005</v>
      </c>
      <c r="AA66" s="14">
        <f>Z66-Y66</f>
        <v>0</v>
      </c>
      <c r="AB66">
        <f>_xlfn.RANK.AVG(AA66,$AA:$AA,0)</f>
        <v>55</v>
      </c>
    </row>
    <row r="67" spans="1:28">
      <c r="A67" s="438" t="s">
        <v>384</v>
      </c>
      <c r="B67" s="439">
        <v>147</v>
      </c>
      <c r="C67" s="439">
        <v>23</v>
      </c>
      <c r="D67" s="439">
        <v>67</v>
      </c>
      <c r="E67" s="439">
        <v>134</v>
      </c>
      <c r="F67" s="439">
        <v>182</v>
      </c>
      <c r="G67" s="439">
        <v>154</v>
      </c>
      <c r="H67" s="439">
        <v>335.3</v>
      </c>
      <c r="I67" s="440">
        <v>495.02652295088552</v>
      </c>
      <c r="J67" s="259">
        <v>335.3</v>
      </c>
      <c r="K67" s="260">
        <v>495.02652295088552</v>
      </c>
      <c r="L67" s="441">
        <f>RANK(H67,$H$2:$H$110,1)</f>
        <v>65</v>
      </c>
      <c r="M67" s="230">
        <f>RANK(I67,$I$2:$I$110,1)</f>
        <v>60</v>
      </c>
      <c r="N67" s="438">
        <f>RANK(J67,$J$2:$J$110,1)</f>
        <v>66</v>
      </c>
      <c r="O67" s="438">
        <f>RANK(K67,$K$2:$K$110,1)</f>
        <v>63</v>
      </c>
      <c r="P67" s="442">
        <v>0</v>
      </c>
      <c r="Q67" s="442">
        <v>0</v>
      </c>
      <c r="R67" s="439">
        <v>-12</v>
      </c>
      <c r="S67" s="439">
        <f>RANK(U67,$U$2:$U$110,0)</f>
        <v>89</v>
      </c>
      <c r="T67" s="440">
        <f>Table2[[#This Row],[BDG]]/Table2[[#This Row],[Odds]]</f>
        <v>48.735465116279073</v>
      </c>
      <c r="U67" s="440" cm="1">
        <f t="array" ref="U67">MAX(_xlfn._xlws.FILTER(Table22[[B365]:[MATCHBOOK]], Table22[PLAYER] = A67))</f>
        <v>6.88</v>
      </c>
      <c r="X67" t="str">
        <f>Table2[[#This Row],[Player]]</f>
        <v>Daniel Berger</v>
      </c>
      <c r="Y67" s="14">
        <f>Table2[[#This Row],[DGSCORE]]</f>
        <v>335.3</v>
      </c>
      <c r="Z67" s="14">
        <f>Table2[[#This Row],[BDG]]</f>
        <v>335.3</v>
      </c>
      <c r="AA67" s="14">
        <f>Z67-Y67</f>
        <v>0</v>
      </c>
      <c r="AB67">
        <f>_xlfn.RANK.AVG(AA67,$AA:$AA,0)</f>
        <v>55</v>
      </c>
    </row>
    <row r="68" spans="1:28">
      <c r="A68" s="438" t="s">
        <v>156</v>
      </c>
      <c r="B68" s="439">
        <v>156</v>
      </c>
      <c r="C68" s="439">
        <v>56</v>
      </c>
      <c r="D68" s="439">
        <v>103</v>
      </c>
      <c r="E68" s="439">
        <v>35</v>
      </c>
      <c r="F68" s="439">
        <v>163</v>
      </c>
      <c r="G68" s="439">
        <v>144</v>
      </c>
      <c r="H68" s="439">
        <v>336</v>
      </c>
      <c r="I68" s="440">
        <v>467.98532270390308</v>
      </c>
      <c r="J68" s="259">
        <v>339.50085704618994</v>
      </c>
      <c r="K68" s="260">
        <v>474.25855075279168</v>
      </c>
      <c r="L68" s="441">
        <f>RANK(H68,$H$2:$H$110,1)</f>
        <v>66</v>
      </c>
      <c r="M68" s="230">
        <f>RANK(I68,$I$2:$I$110,1)</f>
        <v>55</v>
      </c>
      <c r="N68" s="438">
        <f>RANK(J68,$J$2:$J$110,1)</f>
        <v>67</v>
      </c>
      <c r="O68" s="438">
        <f>RANK(K68,$K$2:$K$110,1)</f>
        <v>57</v>
      </c>
      <c r="P68" s="442">
        <v>0</v>
      </c>
      <c r="Q68" s="442">
        <v>0</v>
      </c>
      <c r="R68" s="439">
        <v>-20</v>
      </c>
      <c r="S68" s="439">
        <f>RANK(U68,$U$2:$U$110,0)</f>
        <v>56</v>
      </c>
      <c r="T68" s="440">
        <f>Table2[[#This Row],[BDG]]/Table2[[#This Row],[Odds]]</f>
        <v>27.601695694812189</v>
      </c>
      <c r="U68" s="440" cm="1">
        <f t="array" ref="U68">MAX(_xlfn._xlws.FILTER(Table22[[B365]:[MATCHBOOK]], Table22[PLAYER] = A68))</f>
        <v>12.3</v>
      </c>
      <c r="X68" t="str">
        <f>Table2[[#This Row],[Player]]</f>
        <v>Troy Merritt</v>
      </c>
      <c r="Y68" s="14">
        <f>Table2[[#This Row],[DGSCORE]]</f>
        <v>336</v>
      </c>
      <c r="Z68" s="14">
        <f>Table2[[#This Row],[BDG]]</f>
        <v>339.50085704618994</v>
      </c>
      <c r="AA68" s="14">
        <f>Z68-Y68</f>
        <v>3.5008570461899353</v>
      </c>
      <c r="AB68">
        <f>_xlfn.RANK.AVG(AA68,$AA:$AA,0)</f>
        <v>22</v>
      </c>
    </row>
    <row r="69" spans="1:28">
      <c r="A69" s="438" t="s">
        <v>31</v>
      </c>
      <c r="B69" s="439">
        <v>29</v>
      </c>
      <c r="C69" s="439">
        <v>116</v>
      </c>
      <c r="D69" s="439">
        <v>170</v>
      </c>
      <c r="E69" s="439">
        <v>159</v>
      </c>
      <c r="F69" s="439">
        <v>148</v>
      </c>
      <c r="G69" s="439">
        <v>132</v>
      </c>
      <c r="H69" s="439">
        <v>340.7</v>
      </c>
      <c r="I69" s="440">
        <v>529.40168189264875</v>
      </c>
      <c r="J69" s="259">
        <v>340.7</v>
      </c>
      <c r="K69" s="260">
        <v>529.40168189264875</v>
      </c>
      <c r="L69" s="441">
        <f>RANK(H69,$H$2:$H$110,1)</f>
        <v>67</v>
      </c>
      <c r="M69" s="230">
        <f>RANK(I69,$I$2:$I$110,1)</f>
        <v>71</v>
      </c>
      <c r="N69" s="438">
        <f>RANK(J69,$J$2:$J$110,1)</f>
        <v>68</v>
      </c>
      <c r="O69" s="438">
        <f>RANK(K69,$K$2:$K$110,1)</f>
        <v>77</v>
      </c>
      <c r="P69" s="442">
        <v>0</v>
      </c>
      <c r="Q69" s="442">
        <v>0</v>
      </c>
      <c r="R69" s="439" t="e">
        <v>#N/A</v>
      </c>
      <c r="S69" s="439">
        <f>RANK(U69,$U$2:$U$110,0)</f>
        <v>29</v>
      </c>
      <c r="T69" s="440">
        <f>Table2[[#This Row],[BDG]]/Table2[[#This Row],[Odds]]</f>
        <v>14.81304347826087</v>
      </c>
      <c r="U69" s="440" cm="1">
        <f t="array" ref="U69">MAX(_xlfn._xlws.FILTER(Table22[[B365]:[MATCHBOOK]], Table22[PLAYER] = A69))</f>
        <v>23</v>
      </c>
      <c r="X69" t="str">
        <f>Table2[[#This Row],[Player]]</f>
        <v>MJ Daffue</v>
      </c>
      <c r="Y69" s="14">
        <f>Table2[[#This Row],[DGSCORE]]</f>
        <v>340.7</v>
      </c>
      <c r="Z69" s="14">
        <f>Table2[[#This Row],[BDG]]</f>
        <v>340.7</v>
      </c>
      <c r="AA69" s="14">
        <f>Z69-Y69</f>
        <v>0</v>
      </c>
      <c r="AB69">
        <f>_xlfn.RANK.AVG(AA69,$AA:$AA,0)</f>
        <v>55</v>
      </c>
    </row>
    <row r="70" spans="1:28">
      <c r="A70" s="438" t="s">
        <v>522</v>
      </c>
      <c r="B70" s="439">
        <v>83</v>
      </c>
      <c r="C70" s="439">
        <v>155</v>
      </c>
      <c r="D70" s="439">
        <v>160</v>
      </c>
      <c r="E70" s="439">
        <v>27</v>
      </c>
      <c r="F70" s="439">
        <v>136</v>
      </c>
      <c r="G70" s="439">
        <v>168</v>
      </c>
      <c r="H70" s="439">
        <v>343</v>
      </c>
      <c r="I70" s="440">
        <v>524.61657268439694</v>
      </c>
      <c r="J70" s="259">
        <v>343</v>
      </c>
      <c r="K70" s="260">
        <v>524.61657268439694</v>
      </c>
      <c r="L70" s="441">
        <f>RANK(H70,$H$2:$H$110,1)</f>
        <v>69</v>
      </c>
      <c r="M70" s="230">
        <f>RANK(I70,$I$2:$I$110,1)</f>
        <v>67</v>
      </c>
      <c r="N70" s="438">
        <f>RANK(J70,$J$2:$J$110,1)</f>
        <v>69</v>
      </c>
      <c r="O70" s="438">
        <f>RANK(K70,$K$2:$K$110,1)</f>
        <v>73</v>
      </c>
      <c r="P70" s="442">
        <v>0</v>
      </c>
      <c r="Q70" s="442">
        <v>0</v>
      </c>
      <c r="R70" s="439">
        <v>14</v>
      </c>
      <c r="S70" s="439">
        <f>RANK(U70,$U$2:$U$110,0)</f>
        <v>69</v>
      </c>
      <c r="T70" s="440">
        <f>Table2[[#This Row],[BDG]]/Table2[[#This Row],[Odds]]</f>
        <v>37.942477876106196</v>
      </c>
      <c r="U70" s="440" cm="1">
        <f t="array" ref="U70">MAX(_xlfn._xlws.FILTER(Table22[[B365]:[MATCHBOOK]], Table22[PLAYER] = A70))</f>
        <v>9.0399999999999991</v>
      </c>
      <c r="X70" t="str">
        <f>Table2[[#This Row],[Player]]</f>
        <v>Joe Highsmith</v>
      </c>
      <c r="Y70" s="14">
        <f>Table2[[#This Row],[DGSCORE]]</f>
        <v>343</v>
      </c>
      <c r="Z70" s="14">
        <f>Table2[[#This Row],[BDG]]</f>
        <v>343</v>
      </c>
      <c r="AA70" s="14">
        <f>Z70-Y70</f>
        <v>0</v>
      </c>
      <c r="AB70">
        <f>_xlfn.RANK.AVG(AA70,$AA:$AA,0)</f>
        <v>55</v>
      </c>
    </row>
    <row r="71" spans="1:28">
      <c r="A71" s="438" t="s">
        <v>111</v>
      </c>
      <c r="B71" s="439">
        <v>112</v>
      </c>
      <c r="C71" s="439">
        <v>124</v>
      </c>
      <c r="D71" s="439">
        <v>86</v>
      </c>
      <c r="E71" s="439">
        <v>64</v>
      </c>
      <c r="F71" s="439">
        <v>190</v>
      </c>
      <c r="G71" s="439">
        <v>165</v>
      </c>
      <c r="H71" s="439">
        <v>343.6</v>
      </c>
      <c r="I71" s="440">
        <v>512.39157602363093</v>
      </c>
      <c r="J71" s="259">
        <v>343.6</v>
      </c>
      <c r="K71" s="260">
        <v>512.39157602363093</v>
      </c>
      <c r="L71" s="441">
        <f>RANK(H71,$H$2:$H$110,1)</f>
        <v>70</v>
      </c>
      <c r="M71" s="230">
        <f>RANK(I71,$I$2:$I$110,1)</f>
        <v>65</v>
      </c>
      <c r="N71" s="438">
        <f>RANK(J71,$J$2:$J$110,1)</f>
        <v>70</v>
      </c>
      <c r="O71" s="438">
        <f>RANK(K71,$K$2:$K$110,1)</f>
        <v>71</v>
      </c>
      <c r="P71" s="442" t="e">
        <v>#N/A</v>
      </c>
      <c r="Q71" s="442" t="e">
        <v>#N/A</v>
      </c>
      <c r="R71" s="439" t="e">
        <v>#N/A</v>
      </c>
      <c r="S71" s="439">
        <f>RANK(U71,$U$2:$U$110,0)</f>
        <v>6</v>
      </c>
      <c r="T71" s="440">
        <f>Table2[[#This Row],[BDG]]/Table2[[#This Row],[Odds]]</f>
        <v>3.6168421052631583</v>
      </c>
      <c r="U71" s="440" cm="1">
        <f t="array" ref="U71">MAX(_xlfn._xlws.FILTER(Table22[[B365]:[MATCHBOOK]], Table22[PLAYER] = A71))</f>
        <v>95</v>
      </c>
      <c r="X71" t="str">
        <f>Table2[[#This Row],[Player]]</f>
        <v>Jason Dufner</v>
      </c>
      <c r="Y71" s="14">
        <f>Table2[[#This Row],[DGSCORE]]</f>
        <v>343.6</v>
      </c>
      <c r="Z71" s="14">
        <f>Table2[[#This Row],[BDG]]</f>
        <v>343.6</v>
      </c>
      <c r="AA71" s="14">
        <f>Z71-Y71</f>
        <v>0</v>
      </c>
      <c r="AB71">
        <f>_xlfn.RANK.AVG(AA71,$AA:$AA,0)</f>
        <v>55</v>
      </c>
    </row>
    <row r="72" spans="1:28">
      <c r="A72" s="438" t="s">
        <v>96</v>
      </c>
      <c r="B72" s="439">
        <v>99</v>
      </c>
      <c r="C72" s="439">
        <v>87</v>
      </c>
      <c r="D72" s="439">
        <v>120</v>
      </c>
      <c r="E72" s="439">
        <v>114</v>
      </c>
      <c r="F72" s="439">
        <v>164</v>
      </c>
      <c r="G72" s="439">
        <v>129</v>
      </c>
      <c r="H72" s="439">
        <v>344.20000000000005</v>
      </c>
      <c r="I72" s="440">
        <v>495.10197844804662</v>
      </c>
      <c r="J72" s="259">
        <v>344.20000000000005</v>
      </c>
      <c r="K72" s="260">
        <v>495.10197844804662</v>
      </c>
      <c r="L72" s="441">
        <f>RANK(H72,$H$2:$H$110,1)</f>
        <v>71</v>
      </c>
      <c r="M72" s="230">
        <f>RANK(I72,$I$2:$I$110,1)</f>
        <v>61</v>
      </c>
      <c r="N72" s="438">
        <f>RANK(J72,$J$2:$J$110,1)</f>
        <v>71</v>
      </c>
      <c r="O72" s="438">
        <f>RANK(K72,$K$2:$K$110,1)</f>
        <v>64</v>
      </c>
      <c r="P72" s="442">
        <v>0</v>
      </c>
      <c r="Q72" s="442">
        <v>0</v>
      </c>
      <c r="R72" s="439" t="e">
        <v>#N/A</v>
      </c>
      <c r="S72" s="439">
        <f>RANK(U72,$U$2:$U$110,0)</f>
        <v>14</v>
      </c>
      <c r="T72" s="440">
        <f>Table2[[#This Row],[BDG]]/Table2[[#This Row],[Odds]]</f>
        <v>7.64888888888889</v>
      </c>
      <c r="U72" s="440" cm="1">
        <f t="array" ref="U72">MAX(_xlfn._xlws.FILTER(Table22[[B365]:[MATCHBOOK]], Table22[PLAYER] = A72))</f>
        <v>45</v>
      </c>
      <c r="X72" t="str">
        <f>Table2[[#This Row],[Player]]</f>
        <v>Cody Gribble</v>
      </c>
      <c r="Y72" s="14">
        <f>Table2[[#This Row],[DGSCORE]]</f>
        <v>344.20000000000005</v>
      </c>
      <c r="Z72" s="14">
        <f>Table2[[#This Row],[BDG]]</f>
        <v>344.20000000000005</v>
      </c>
      <c r="AA72" s="14">
        <f>Z72-Y72</f>
        <v>0</v>
      </c>
      <c r="AB72">
        <f>_xlfn.RANK.AVG(AA72,$AA:$AA,0)</f>
        <v>55</v>
      </c>
    </row>
    <row r="73" spans="1:28">
      <c r="A73" s="438" t="s">
        <v>556</v>
      </c>
      <c r="B73" s="439">
        <v>40</v>
      </c>
      <c r="C73" s="439">
        <v>137</v>
      </c>
      <c r="D73" s="439">
        <v>170</v>
      </c>
      <c r="E73" s="439">
        <v>182</v>
      </c>
      <c r="F73" s="439">
        <v>97</v>
      </c>
      <c r="G73" s="439">
        <v>169</v>
      </c>
      <c r="H73" s="439">
        <v>344.8</v>
      </c>
      <c r="I73" s="440">
        <v>571.10995954300688</v>
      </c>
      <c r="J73" s="259">
        <v>344.8</v>
      </c>
      <c r="K73" s="260">
        <v>571.10995954300688</v>
      </c>
      <c r="L73" s="441">
        <f>RANK(H73,$H$2:$H$110,1)</f>
        <v>72</v>
      </c>
      <c r="M73" s="230">
        <f>RANK(I73,$I$2:$I$110,1)</f>
        <v>87</v>
      </c>
      <c r="N73" s="438">
        <f>RANK(J73,$J$2:$J$110,1)</f>
        <v>72</v>
      </c>
      <c r="O73" s="438">
        <f>RANK(K73,$K$2:$K$110,1)</f>
        <v>92</v>
      </c>
      <c r="P73" s="442">
        <v>0</v>
      </c>
      <c r="Q73" s="442">
        <v>0</v>
      </c>
      <c r="R73" s="439">
        <v>5</v>
      </c>
      <c r="S73" s="439">
        <f>RANK(U73,$U$2:$U$110,0)</f>
        <v>36</v>
      </c>
      <c r="T73" s="440">
        <f>Table2[[#This Row],[BDG]]/Table2[[#This Row],[Odds]]</f>
        <v>18.052356020942408</v>
      </c>
      <c r="U73" s="440" cm="1">
        <f t="array" ref="U73">MAX(_xlfn._xlws.FILTER(Table22[[B365]:[MATCHBOOK]], Table22[PLAYER] = A73))</f>
        <v>19.100000000000001</v>
      </c>
      <c r="X73" t="str">
        <f>Table2[[#This Row],[Player]]</f>
        <v>Patrick Fishburn</v>
      </c>
      <c r="Y73" s="14">
        <f>Table2[[#This Row],[DGSCORE]]</f>
        <v>344.8</v>
      </c>
      <c r="Z73" s="14">
        <f>Table2[[#This Row],[BDG]]</f>
        <v>344.8</v>
      </c>
      <c r="AA73" s="14">
        <f>Z73-Y73</f>
        <v>0</v>
      </c>
      <c r="AB73">
        <f>_xlfn.RANK.AVG(AA73,$AA:$AA,0)</f>
        <v>55</v>
      </c>
    </row>
    <row r="74" spans="1:28">
      <c r="A74" s="438" t="s">
        <v>37</v>
      </c>
      <c r="B74" s="439">
        <v>36</v>
      </c>
      <c r="C74" s="439">
        <v>172</v>
      </c>
      <c r="D74" s="439">
        <v>168</v>
      </c>
      <c r="E74" s="439">
        <v>159</v>
      </c>
      <c r="F74" s="439">
        <v>68</v>
      </c>
      <c r="G74" s="439">
        <v>163</v>
      </c>
      <c r="H74" s="439">
        <v>333.6</v>
      </c>
      <c r="I74" s="440">
        <v>549.17909014934912</v>
      </c>
      <c r="J74" s="259">
        <v>348.6330920218744</v>
      </c>
      <c r="K74" s="260">
        <v>578.73163162970718</v>
      </c>
      <c r="L74" s="441">
        <f>RANK(H74,$H$2:$H$110,1)</f>
        <v>63</v>
      </c>
      <c r="M74" s="230">
        <f>RANK(I74,$I$2:$I$110,1)</f>
        <v>81</v>
      </c>
      <c r="N74" s="438">
        <f>RANK(J74,$J$2:$J$110,1)</f>
        <v>73</v>
      </c>
      <c r="O74" s="438">
        <f>RANK(K74,$K$2:$K$110,1)</f>
        <v>93</v>
      </c>
      <c r="P74" s="442">
        <v>0</v>
      </c>
      <c r="Q74" s="442">
        <v>0</v>
      </c>
      <c r="R74" s="439">
        <v>14</v>
      </c>
      <c r="S74" s="439">
        <f>RANK(U74,$U$2:$U$110,0)</f>
        <v>16</v>
      </c>
      <c r="T74" s="440">
        <f>Table2[[#This Row],[BDG]]/Table2[[#This Row],[Odds]]</f>
        <v>8.9393100518429343</v>
      </c>
      <c r="U74" s="440" cm="1">
        <f t="array" ref="U74">MAX(_xlfn._xlws.FILTER(Table22[[B365]:[MATCHBOOK]], Table22[PLAYER] = A74))</f>
        <v>39</v>
      </c>
      <c r="X74" t="str">
        <f>Table2[[#This Row],[Player]]</f>
        <v>Ryan Brehm</v>
      </c>
      <c r="Y74" s="14">
        <f>Table2[[#This Row],[DGSCORE]]</f>
        <v>333.6</v>
      </c>
      <c r="Z74" s="14">
        <f>Table2[[#This Row],[BDG]]</f>
        <v>348.6330920218744</v>
      </c>
      <c r="AA74" s="14">
        <f>Z74-Y74</f>
        <v>15.033092021874381</v>
      </c>
      <c r="AB74">
        <f>_xlfn.RANK.AVG(AA74,$AA:$AA,0)</f>
        <v>13</v>
      </c>
    </row>
    <row r="75" spans="1:28" hidden="1">
      <c r="A75" s="438" t="s">
        <v>116</v>
      </c>
      <c r="B75" s="439">
        <v>127</v>
      </c>
      <c r="C75" s="439">
        <v>48</v>
      </c>
      <c r="D75" s="439">
        <v>156</v>
      </c>
      <c r="E75" s="439">
        <v>97</v>
      </c>
      <c r="F75" s="439">
        <v>167</v>
      </c>
      <c r="G75" s="439">
        <v>151</v>
      </c>
      <c r="H75" s="439">
        <v>369.8</v>
      </c>
      <c r="I75" s="440">
        <v>537.437734341848</v>
      </c>
      <c r="J75" s="259">
        <v>349.87600475183086</v>
      </c>
      <c r="K75" s="260">
        <v>506.51872141871468</v>
      </c>
      <c r="L75" s="441">
        <f>RANK(H75,$H$2:$H$110,1)</f>
        <v>81</v>
      </c>
      <c r="M75" s="230">
        <f>RANK(I75,$I$2:$I$110,1)</f>
        <v>77</v>
      </c>
      <c r="N75" s="438">
        <f>RANK(J75,$J$2:$J$110,1)</f>
        <v>74</v>
      </c>
      <c r="O75" s="438">
        <f>RANK(K75,$K$2:$K$110,1)</f>
        <v>68</v>
      </c>
      <c r="P75" s="442">
        <v>0</v>
      </c>
      <c r="Q75" s="442">
        <v>0</v>
      </c>
      <c r="R75" s="439">
        <v>-1</v>
      </c>
      <c r="S75" s="439">
        <f>RANK(U75,$U$2:$U$110,0)</f>
        <v>76</v>
      </c>
      <c r="T75" s="440">
        <f>Table2[[#This Row],[BDG]]/Table2[[#This Row],[Odds]]</f>
        <v>43.408933592038565</v>
      </c>
      <c r="U75" s="440" cm="1">
        <f t="array" ref="U75">MAX(_xlfn._xlws.FILTER(Table22[[B365]:[MATCHBOOK]], Table22[PLAYER] = A75))</f>
        <v>8.06</v>
      </c>
      <c r="X75" t="str">
        <f>Table2[[#This Row],[Player]]</f>
        <v>Tyler Duncan</v>
      </c>
      <c r="Y75" s="14">
        <f>Table2[[#This Row],[DGSCORE]]</f>
        <v>369.8</v>
      </c>
      <c r="Z75" s="14">
        <f>Table2[[#This Row],[BDG]]</f>
        <v>349.87600475183086</v>
      </c>
      <c r="AA75" s="14">
        <f>Z75-Y75</f>
        <v>-19.923995248169149</v>
      </c>
      <c r="AB75">
        <f>_xlfn.RANK.AVG(AA75,$AA:$AA,0)</f>
        <v>93</v>
      </c>
    </row>
    <row r="76" spans="1:28" hidden="1">
      <c r="A76" s="438" t="s">
        <v>148</v>
      </c>
      <c r="B76" s="439">
        <v>158</v>
      </c>
      <c r="C76" s="439">
        <v>77</v>
      </c>
      <c r="D76" s="439">
        <v>176</v>
      </c>
      <c r="E76" s="439">
        <v>85</v>
      </c>
      <c r="F76" s="439">
        <v>7</v>
      </c>
      <c r="G76" s="439">
        <v>118</v>
      </c>
      <c r="H76" s="439">
        <v>341.4</v>
      </c>
      <c r="I76" s="440">
        <v>464.25306895254971</v>
      </c>
      <c r="J76" s="259">
        <v>351.85108794671407</v>
      </c>
      <c r="K76" s="260">
        <v>474.62965745939636</v>
      </c>
      <c r="L76" s="441">
        <f>RANK(H76,$H$2:$H$110,1)</f>
        <v>68</v>
      </c>
      <c r="M76" s="230">
        <f>RANK(I76,$I$2:$I$110,1)</f>
        <v>53</v>
      </c>
      <c r="N76" s="438">
        <f>RANK(J76,$J$2:$J$110,1)</f>
        <v>75</v>
      </c>
      <c r="O76" s="438">
        <f>RANK(K76,$K$2:$K$110,1)</f>
        <v>58</v>
      </c>
      <c r="P76" s="442">
        <v>0</v>
      </c>
      <c r="Q76" s="442">
        <v>0</v>
      </c>
      <c r="R76" s="439">
        <v>15</v>
      </c>
      <c r="S76" s="439">
        <f>RANK(U76,$U$2:$U$110,0)</f>
        <v>76</v>
      </c>
      <c r="T76" s="440">
        <f>Table2[[#This Row],[BDG]]/Table2[[#This Row],[Odds]]</f>
        <v>43.653981134828044</v>
      </c>
      <c r="U76" s="440" cm="1">
        <f t="array" ref="U76">MAX(_xlfn._xlws.FILTER(Table22[[B365]:[MATCHBOOK]], Table22[PLAYER] = A76))</f>
        <v>8.06</v>
      </c>
      <c r="X76" t="str">
        <f>Table2[[#This Row],[Player]]</f>
        <v>Chad Ramey</v>
      </c>
      <c r="Y76" s="14">
        <f>Table2[[#This Row],[DGSCORE]]</f>
        <v>341.4</v>
      </c>
      <c r="Z76" s="14">
        <f>Table2[[#This Row],[BDG]]</f>
        <v>351.85108794671407</v>
      </c>
      <c r="AA76" s="14">
        <f>Z76-Y76</f>
        <v>10.451087946714097</v>
      </c>
      <c r="AB76">
        <f>_xlfn.RANK.AVG(AA76,$AA:$AA,0)</f>
        <v>16</v>
      </c>
    </row>
    <row r="77" spans="1:28" hidden="1">
      <c r="A77" s="438" t="s">
        <v>443</v>
      </c>
      <c r="B77" s="439">
        <v>140</v>
      </c>
      <c r="C77" s="439">
        <v>105</v>
      </c>
      <c r="D77" s="439">
        <v>139</v>
      </c>
      <c r="E77" s="439">
        <v>149</v>
      </c>
      <c r="F77" s="439">
        <v>157</v>
      </c>
      <c r="G77" s="439">
        <v>164</v>
      </c>
      <c r="H77" s="439">
        <v>413.90000000000003</v>
      </c>
      <c r="I77" s="440">
        <v>599.36735941833012</v>
      </c>
      <c r="J77" s="259">
        <v>353.20131680208931</v>
      </c>
      <c r="K77" s="260">
        <v>496.90899360256321</v>
      </c>
      <c r="L77" s="441">
        <f>RANK(H77,$H$2:$H$110,1)</f>
        <v>98</v>
      </c>
      <c r="M77" s="230">
        <f>RANK(I77,$I$2:$I$110,1)</f>
        <v>93</v>
      </c>
      <c r="N77" s="438">
        <f>RANK(J77,$J$2:$J$110,1)</f>
        <v>76</v>
      </c>
      <c r="O77" s="438">
        <f>RANK(K77,$K$2:$K$110,1)</f>
        <v>66</v>
      </c>
      <c r="P77" s="442">
        <v>0</v>
      </c>
      <c r="Q77" s="442">
        <v>0</v>
      </c>
      <c r="R77" s="439">
        <v>1</v>
      </c>
      <c r="S77" s="439">
        <f>RANK(U77,$U$2:$U$110,0)</f>
        <v>49</v>
      </c>
      <c r="T77" s="440">
        <f>Table2[[#This Row],[BDG]]/Table2[[#This Row],[Odds]]</f>
        <v>23.236928736979561</v>
      </c>
      <c r="U77" s="440" cm="1">
        <f t="array" ref="U77">MAX(_xlfn._xlws.FILTER(Table22[[B365]:[MATCHBOOK]], Table22[PLAYER] = A77))</f>
        <v>15.2</v>
      </c>
      <c r="X77" t="str">
        <f>Table2[[#This Row],[Player]]</f>
        <v>Matt NeSmith</v>
      </c>
      <c r="Y77" s="14">
        <f>Table2[[#This Row],[DGSCORE]]</f>
        <v>413.90000000000003</v>
      </c>
      <c r="Z77" s="14">
        <f>Table2[[#This Row],[BDG]]</f>
        <v>353.20131680208931</v>
      </c>
      <c r="AA77" s="14">
        <f>Z77-Y77</f>
        <v>-60.698683197910725</v>
      </c>
      <c r="AB77">
        <f>_xlfn.RANK.AVG(AA77,$AA:$AA,0)</f>
        <v>105</v>
      </c>
    </row>
    <row r="78" spans="1:28" hidden="1">
      <c r="A78" s="438" t="s">
        <v>117</v>
      </c>
      <c r="B78" s="439">
        <v>114</v>
      </c>
      <c r="C78" s="439">
        <v>31</v>
      </c>
      <c r="D78" s="439">
        <v>141</v>
      </c>
      <c r="E78" s="439">
        <v>169</v>
      </c>
      <c r="F78" s="439">
        <v>146</v>
      </c>
      <c r="G78" s="439">
        <v>146</v>
      </c>
      <c r="H78" s="439">
        <v>357.40000000000003</v>
      </c>
      <c r="I78" s="440">
        <v>535.37636268457322</v>
      </c>
      <c r="J78" s="259">
        <v>357.40000000000003</v>
      </c>
      <c r="K78" s="260">
        <v>535.37636268457322</v>
      </c>
      <c r="L78" s="441">
        <f>RANK(H78,$H$2:$H$110,1)</f>
        <v>74</v>
      </c>
      <c r="M78" s="230">
        <f>RANK(I78,$I$2:$I$110,1)</f>
        <v>76</v>
      </c>
      <c r="N78" s="438">
        <f>RANK(J78,$J$2:$J$110,1)</f>
        <v>77</v>
      </c>
      <c r="O78" s="438">
        <f>RANK(K78,$K$2:$K$110,1)</f>
        <v>81</v>
      </c>
      <c r="P78" s="442">
        <v>0</v>
      </c>
      <c r="Q78" s="442">
        <v>0</v>
      </c>
      <c r="R78" s="439" t="e">
        <v>#N/A</v>
      </c>
      <c r="S78" s="439">
        <f>RANK(U78,$U$2:$U$110,0)</f>
        <v>27</v>
      </c>
      <c r="T78" s="440">
        <f>Table2[[#This Row],[BDG]]/Table2[[#This Row],[Odds]]</f>
        <v>14.891666666666667</v>
      </c>
      <c r="U78" s="440" cm="1">
        <f t="array" ref="U78">MAX(_xlfn._xlws.FILTER(Table22[[B365]:[MATCHBOOK]], Table22[PLAYER] = A78))</f>
        <v>24</v>
      </c>
      <c r="X78" t="str">
        <f>Table2[[#This Row],[Player]]</f>
        <v>James Hahn</v>
      </c>
      <c r="Y78" s="14">
        <f>Table2[[#This Row],[DGSCORE]]</f>
        <v>357.40000000000003</v>
      </c>
      <c r="Z78" s="14">
        <f>Table2[[#This Row],[BDG]]</f>
        <v>357.40000000000003</v>
      </c>
      <c r="AA78" s="14">
        <f>Z78-Y78</f>
        <v>0</v>
      </c>
      <c r="AB78">
        <f>_xlfn.RANK.AVG(AA78,$AA:$AA,0)</f>
        <v>55</v>
      </c>
    </row>
    <row r="79" spans="1:28" hidden="1">
      <c r="A79" s="438" t="s">
        <v>393</v>
      </c>
      <c r="B79" s="439">
        <v>148</v>
      </c>
      <c r="C79" s="439">
        <v>88</v>
      </c>
      <c r="D79" s="439">
        <v>101</v>
      </c>
      <c r="E79" s="439">
        <v>2</v>
      </c>
      <c r="F79" s="439">
        <v>126</v>
      </c>
      <c r="G79" s="439">
        <v>95</v>
      </c>
      <c r="H79" s="439">
        <v>311.70000000000005</v>
      </c>
      <c r="I79" s="440">
        <v>388.66053310406272</v>
      </c>
      <c r="J79" s="259">
        <v>357.40162941033532</v>
      </c>
      <c r="K79" s="260">
        <v>484.30124047779492</v>
      </c>
      <c r="L79" s="441">
        <f>RANK(H79,$H$2:$H$110,1)</f>
        <v>48</v>
      </c>
      <c r="M79" s="230">
        <f>RANK(I79,$I$2:$I$110,1)</f>
        <v>31</v>
      </c>
      <c r="N79" s="438">
        <f>RANK(J79,$J$2:$J$110,1)</f>
        <v>78</v>
      </c>
      <c r="O79" s="438">
        <f>RANK(K79,$K$2:$K$110,1)</f>
        <v>60</v>
      </c>
      <c r="P79" s="442">
        <v>0</v>
      </c>
      <c r="Q79" s="442">
        <v>0</v>
      </c>
      <c r="R79" s="439" t="e">
        <v>#N/A</v>
      </c>
      <c r="S79" s="439">
        <f>RANK(U79,$U$2:$U$110,0)</f>
        <v>40</v>
      </c>
      <c r="T79" s="440">
        <f>Table2[[#This Row],[BDG]]/Table2[[#This Row],[Odds]]</f>
        <v>20.192182452561319</v>
      </c>
      <c r="U79" s="440" cm="1">
        <f t="array" ref="U79">MAX(_xlfn._xlws.FILTER(Table22[[B365]:[MATCHBOOK]], Table22[PLAYER] = A79))</f>
        <v>17.7</v>
      </c>
      <c r="X79" t="str">
        <f>Table2[[#This Row],[Player]]</f>
        <v>Roger Sloan</v>
      </c>
      <c r="Y79" s="14">
        <f>Table2[[#This Row],[DGSCORE]]</f>
        <v>311.70000000000005</v>
      </c>
      <c r="Z79" s="14">
        <f>Table2[[#This Row],[BDG]]</f>
        <v>357.40162941033532</v>
      </c>
      <c r="AA79" s="14">
        <f>Z79-Y79</f>
        <v>45.701629410335272</v>
      </c>
      <c r="AB79">
        <f>_xlfn.RANK.AVG(AA79,$AA:$AA,0)</f>
        <v>3</v>
      </c>
    </row>
    <row r="80" spans="1:28" hidden="1">
      <c r="A80" s="438" t="s">
        <v>444</v>
      </c>
      <c r="B80" s="439">
        <v>116</v>
      </c>
      <c r="C80" s="439">
        <v>115</v>
      </c>
      <c r="D80" s="439">
        <v>151</v>
      </c>
      <c r="E80" s="439">
        <v>10</v>
      </c>
      <c r="F80" s="439">
        <v>175</v>
      </c>
      <c r="G80" s="439">
        <v>166</v>
      </c>
      <c r="H80" s="439">
        <v>359.1</v>
      </c>
      <c r="I80" s="440">
        <v>526.21580232099495</v>
      </c>
      <c r="J80" s="259">
        <v>359.1</v>
      </c>
      <c r="K80" s="260">
        <v>526.21580232099495</v>
      </c>
      <c r="L80" s="441">
        <f>RANK(H80,$H$2:$H$110,1)</f>
        <v>75</v>
      </c>
      <c r="M80" s="230">
        <f>RANK(I80,$I$2:$I$110,1)</f>
        <v>69</v>
      </c>
      <c r="N80" s="438">
        <f>RANK(J80,$J$2:$J$110,1)</f>
        <v>79</v>
      </c>
      <c r="O80" s="438">
        <f>RANK(K80,$K$2:$K$110,1)</f>
        <v>75</v>
      </c>
      <c r="P80" s="442">
        <v>0</v>
      </c>
      <c r="Q80" s="442">
        <v>0</v>
      </c>
      <c r="R80" s="439">
        <v>-9</v>
      </c>
      <c r="S80" s="439">
        <f>RANK(U80,$U$2:$U$110,0)</f>
        <v>20</v>
      </c>
      <c r="T80" s="440">
        <f>Table2[[#This Row],[BDG]]/Table2[[#This Row],[Odds]]</f>
        <v>11.583870967741936</v>
      </c>
      <c r="U80" s="440" cm="1">
        <f t="array" ref="U80">MAX(_xlfn._xlws.FILTER(Table22[[B365]:[MATCHBOOK]], Table22[PLAYER] = A80))</f>
        <v>31</v>
      </c>
      <c r="X80" t="str">
        <f>Table2[[#This Row],[Player]]</f>
        <v>Josh Teater</v>
      </c>
      <c r="Y80" s="14">
        <f>Table2[[#This Row],[DGSCORE]]</f>
        <v>359.1</v>
      </c>
      <c r="Z80" s="14">
        <f>Table2[[#This Row],[BDG]]</f>
        <v>359.1</v>
      </c>
      <c r="AA80" s="14">
        <f>Z80-Y80</f>
        <v>0</v>
      </c>
      <c r="AB80">
        <f>_xlfn.RANK.AVG(AA80,$AA:$AA,0)</f>
        <v>55</v>
      </c>
    </row>
    <row r="81" spans="1:28" hidden="1">
      <c r="A81" s="438" t="s">
        <v>94</v>
      </c>
      <c r="B81" s="439">
        <v>93</v>
      </c>
      <c r="C81" s="439">
        <v>118</v>
      </c>
      <c r="D81" s="439">
        <v>191</v>
      </c>
      <c r="E81" s="439">
        <v>153</v>
      </c>
      <c r="F81" s="439">
        <v>44</v>
      </c>
      <c r="G81" s="439">
        <v>172</v>
      </c>
      <c r="H81" s="439">
        <v>359.59999999999997</v>
      </c>
      <c r="I81" s="440">
        <v>570.8958889019101</v>
      </c>
      <c r="J81" s="259">
        <v>359.59999999999997</v>
      </c>
      <c r="K81" s="260">
        <v>570.8958889019101</v>
      </c>
      <c r="L81" s="441">
        <f>RANK(H81,$H$2:$H$110,1)</f>
        <v>76</v>
      </c>
      <c r="M81" s="230">
        <f>RANK(I81,$I$2:$I$110,1)</f>
        <v>86</v>
      </c>
      <c r="N81" s="438">
        <f>RANK(J81,$J$2:$J$110,1)</f>
        <v>80</v>
      </c>
      <c r="O81" s="438">
        <f>RANK(K81,$K$2:$K$110,1)</f>
        <v>91</v>
      </c>
      <c r="P81" s="442">
        <v>0</v>
      </c>
      <c r="Q81" s="442">
        <v>0</v>
      </c>
      <c r="R81" s="439" t="e">
        <v>#N/A</v>
      </c>
      <c r="S81" s="439">
        <f>RANK(U81,$U$2:$U$110,0)</f>
        <v>25</v>
      </c>
      <c r="T81" s="440">
        <f>Table2[[#This Row],[BDG]]/Table2[[#This Row],[Odds]]</f>
        <v>14.383999999999999</v>
      </c>
      <c r="U81" s="440" cm="1">
        <f t="array" ref="U81">MAX(_xlfn._xlws.FILTER(Table22[[B365]:[MATCHBOOK]], Table22[PLAYER] = A81))</f>
        <v>25</v>
      </c>
      <c r="X81" t="str">
        <f>Table2[[#This Row],[Player]]</f>
        <v>Richy Werenski</v>
      </c>
      <c r="Y81" s="14">
        <f>Table2[[#This Row],[DGSCORE]]</f>
        <v>359.59999999999997</v>
      </c>
      <c r="Z81" s="14">
        <f>Table2[[#This Row],[BDG]]</f>
        <v>359.59999999999997</v>
      </c>
      <c r="AA81" s="14">
        <f>Z81-Y81</f>
        <v>0</v>
      </c>
      <c r="AB81">
        <f>_xlfn.RANK.AVG(AA81,$AA:$AA,0)</f>
        <v>55</v>
      </c>
    </row>
    <row r="82" spans="1:28" hidden="1">
      <c r="A82" s="438" t="s">
        <v>191</v>
      </c>
      <c r="B82" s="439">
        <v>193</v>
      </c>
      <c r="C82" s="439">
        <v>30</v>
      </c>
      <c r="D82" s="439">
        <v>168</v>
      </c>
      <c r="E82" s="439">
        <v>69</v>
      </c>
      <c r="F82" s="439">
        <v>54</v>
      </c>
      <c r="G82" s="439">
        <v>182</v>
      </c>
      <c r="H82" s="439">
        <v>360.90000000000003</v>
      </c>
      <c r="I82" s="440">
        <v>535.29553230364036</v>
      </c>
      <c r="J82" s="259">
        <v>360.90000000000003</v>
      </c>
      <c r="K82" s="260">
        <v>535.29553230364036</v>
      </c>
      <c r="L82" s="441">
        <f>RANK(H82,$H$2:$H$110,1)</f>
        <v>77</v>
      </c>
      <c r="M82" s="230">
        <f>RANK(I82,$I$2:$I$110,1)</f>
        <v>75</v>
      </c>
      <c r="N82" s="438">
        <f>RANK(J82,$J$2:$J$110,1)</f>
        <v>81</v>
      </c>
      <c r="O82" s="438">
        <f>RANK(K82,$K$2:$K$110,1)</f>
        <v>80</v>
      </c>
      <c r="P82" s="442">
        <v>0</v>
      </c>
      <c r="Q82" s="442">
        <v>0</v>
      </c>
      <c r="R82" s="439" t="e">
        <v>#N/A</v>
      </c>
      <c r="S82" s="439">
        <f>RANK(U82,$U$2:$U$110,0)</f>
        <v>1</v>
      </c>
      <c r="T82" s="440">
        <f>Table2[[#This Row],[BDG]]/Table2[[#This Row],[Odds]]</f>
        <v>2.8417322834645673</v>
      </c>
      <c r="U82" s="440" cm="1">
        <f t="array" ref="U82">MAX(_xlfn._xlws.FILTER(Table22[[B365]:[MATCHBOOK]], Table22[PLAYER] = A82))</f>
        <v>127</v>
      </c>
      <c r="X82" t="str">
        <f>Table2[[#This Row],[Player]]</f>
        <v>Brian Stuard</v>
      </c>
      <c r="Y82" s="14">
        <f>Table2[[#This Row],[DGSCORE]]</f>
        <v>360.90000000000003</v>
      </c>
      <c r="Z82" s="14">
        <f>Table2[[#This Row],[BDG]]</f>
        <v>360.90000000000003</v>
      </c>
      <c r="AA82" s="14">
        <f>Z82-Y82</f>
        <v>0</v>
      </c>
      <c r="AB82">
        <f>_xlfn.RANK.AVG(AA82,$AA:$AA,0)</f>
        <v>55</v>
      </c>
    </row>
    <row r="83" spans="1:28" hidden="1">
      <c r="A83" s="438" t="s">
        <v>155</v>
      </c>
      <c r="B83" s="439">
        <v>159</v>
      </c>
      <c r="C83" s="439">
        <v>91</v>
      </c>
      <c r="D83" s="439">
        <v>109</v>
      </c>
      <c r="E83" s="439">
        <v>120</v>
      </c>
      <c r="F83" s="439">
        <v>100</v>
      </c>
      <c r="G83" s="439">
        <v>122</v>
      </c>
      <c r="H83" s="439">
        <v>362.9</v>
      </c>
      <c r="I83" s="440">
        <v>489.11378346485287</v>
      </c>
      <c r="J83" s="259">
        <v>362.9</v>
      </c>
      <c r="K83" s="260">
        <v>489.11378346485287</v>
      </c>
      <c r="L83" s="441">
        <f>RANK(H83,$H$2:$H$110,1)</f>
        <v>78</v>
      </c>
      <c r="M83" s="230">
        <f>RANK(I83,$I$2:$I$110,1)</f>
        <v>58</v>
      </c>
      <c r="N83" s="438">
        <f>RANK(J83,$J$2:$J$110,1)</f>
        <v>82</v>
      </c>
      <c r="O83" s="438">
        <f>RANK(K83,$K$2:$K$110,1)</f>
        <v>61</v>
      </c>
      <c r="P83" s="442">
        <v>0</v>
      </c>
      <c r="Q83" s="442">
        <v>0</v>
      </c>
      <c r="R83" s="439" t="e">
        <v>#N/A</v>
      </c>
      <c r="S83" s="439">
        <f>RANK(U83,$U$2:$U$110,0)</f>
        <v>30</v>
      </c>
      <c r="T83" s="440">
        <f>Table2[[#This Row],[BDG]]/Table2[[#This Row],[Odds]]</f>
        <v>16.495454545454546</v>
      </c>
      <c r="U83" s="440" cm="1">
        <f t="array" ref="U83">MAX(_xlfn._xlws.FILTER(Table22[[B365]:[MATCHBOOK]], Table22[PLAYER] = A83))</f>
        <v>22</v>
      </c>
      <c r="X83" t="str">
        <f>Table2[[#This Row],[Player]]</f>
        <v>Scott Piercy</v>
      </c>
      <c r="Y83" s="14">
        <f>Table2[[#This Row],[DGSCORE]]</f>
        <v>362.9</v>
      </c>
      <c r="Z83" s="14">
        <f>Table2[[#This Row],[BDG]]</f>
        <v>362.9</v>
      </c>
      <c r="AA83" s="14">
        <f>Z83-Y83</f>
        <v>0</v>
      </c>
      <c r="AB83">
        <f>_xlfn.RANK.AVG(AA83,$AA:$AA,0)</f>
        <v>55</v>
      </c>
    </row>
    <row r="84" spans="1:28" hidden="1">
      <c r="A84" s="438" t="s">
        <v>163</v>
      </c>
      <c r="B84" s="439">
        <v>165</v>
      </c>
      <c r="C84" s="439">
        <v>105</v>
      </c>
      <c r="D84" s="439">
        <v>119</v>
      </c>
      <c r="E84" s="439">
        <v>111</v>
      </c>
      <c r="F84" s="439">
        <v>159</v>
      </c>
      <c r="G84" s="439">
        <v>165</v>
      </c>
      <c r="H84" s="439">
        <v>408.20000000000005</v>
      </c>
      <c r="I84" s="440">
        <v>577.28378665900254</v>
      </c>
      <c r="J84" s="259">
        <v>365.46895075974055</v>
      </c>
      <c r="K84" s="260">
        <v>507.94696525068321</v>
      </c>
      <c r="L84" s="441">
        <f>RANK(H84,$H$2:$H$110,1)</f>
        <v>95</v>
      </c>
      <c r="M84" s="230">
        <f>RANK(I84,$I$2:$I$110,1)</f>
        <v>88</v>
      </c>
      <c r="N84" s="438">
        <f>RANK(J84,$J$2:$J$110,1)</f>
        <v>83</v>
      </c>
      <c r="O84" s="438">
        <f>RANK(K84,$K$2:$K$110,1)</f>
        <v>69</v>
      </c>
      <c r="P84" s="442">
        <v>0</v>
      </c>
      <c r="Q84" s="442">
        <v>0</v>
      </c>
      <c r="R84" s="439">
        <v>-5</v>
      </c>
      <c r="S84" s="439">
        <f>RANK(U84,$U$2:$U$110,0)</f>
        <v>43</v>
      </c>
      <c r="T84" s="440">
        <f>Table2[[#This Row],[BDG]]/Table2[[#This Row],[Odds]]</f>
        <v>21.884368308966501</v>
      </c>
      <c r="U84" s="440" cm="1">
        <f t="array" ref="U84">MAX(_xlfn._xlws.FILTER(Table22[[B365]:[MATCHBOOK]], Table22[PLAYER] = A84))</f>
        <v>16.7</v>
      </c>
      <c r="X84" t="str">
        <f>Table2[[#This Row],[Player]]</f>
        <v>David Lipsky</v>
      </c>
      <c r="Y84" s="14">
        <f>Table2[[#This Row],[DGSCORE]]</f>
        <v>408.20000000000005</v>
      </c>
      <c r="Z84" s="14">
        <f>Table2[[#This Row],[BDG]]</f>
        <v>365.46895075974055</v>
      </c>
      <c r="AA84" s="14">
        <f>Z84-Y84</f>
        <v>-42.731049240259495</v>
      </c>
      <c r="AB84">
        <f>_xlfn.RANK.AVG(AA84,$AA:$AA,0)</f>
        <v>102</v>
      </c>
    </row>
    <row r="85" spans="1:28" hidden="1">
      <c r="A85" s="438" t="s">
        <v>81</v>
      </c>
      <c r="B85" s="439">
        <v>80</v>
      </c>
      <c r="C85" s="439">
        <v>159</v>
      </c>
      <c r="D85" s="439">
        <v>139</v>
      </c>
      <c r="E85" s="439">
        <v>81</v>
      </c>
      <c r="F85" s="439">
        <v>174</v>
      </c>
      <c r="G85" s="439">
        <v>152</v>
      </c>
      <c r="H85" s="439">
        <v>368.2</v>
      </c>
      <c r="I85" s="440">
        <v>543.67728462159221</v>
      </c>
      <c r="J85" s="259">
        <v>368.2</v>
      </c>
      <c r="K85" s="260">
        <v>543.67728462159221</v>
      </c>
      <c r="L85" s="441">
        <f>RANK(H85,$H$2:$H$110,1)</f>
        <v>80</v>
      </c>
      <c r="M85" s="230">
        <f>RANK(I85,$I$2:$I$110,1)</f>
        <v>79</v>
      </c>
      <c r="N85" s="438">
        <f>RANK(J85,$J$2:$J$110,1)</f>
        <v>84</v>
      </c>
      <c r="O85" s="438">
        <f>RANK(K85,$K$2:$K$110,1)</f>
        <v>83</v>
      </c>
      <c r="P85" s="442">
        <v>0</v>
      </c>
      <c r="Q85" s="442">
        <v>0</v>
      </c>
      <c r="R85" s="439" t="e">
        <v>#N/A</v>
      </c>
      <c r="S85" s="439">
        <f>RANK(U85,$U$2:$U$110,0)</f>
        <v>39</v>
      </c>
      <c r="T85" s="440">
        <f>Table2[[#This Row],[BDG]]/Table2[[#This Row],[Odds]]</f>
        <v>19.378947368421052</v>
      </c>
      <c r="U85" s="440" cm="1">
        <f t="array" ref="U85">MAX(_xlfn._xlws.FILTER(Table22[[B365]:[MATCHBOOK]], Table22[PLAYER] = A85))</f>
        <v>19</v>
      </c>
      <c r="X85" t="str">
        <f>Table2[[#This Row],[Player]]</f>
        <v>Zecheng Dou</v>
      </c>
      <c r="Y85" s="14">
        <f>Table2[[#This Row],[DGSCORE]]</f>
        <v>368.2</v>
      </c>
      <c r="Z85" s="14">
        <f>Table2[[#This Row],[BDG]]</f>
        <v>368.2</v>
      </c>
      <c r="AA85" s="14">
        <f>Z85-Y85</f>
        <v>0</v>
      </c>
      <c r="AB85">
        <f>_xlfn.RANK.AVG(AA85,$AA:$AA,0)</f>
        <v>55</v>
      </c>
    </row>
    <row r="86" spans="1:28" hidden="1">
      <c r="A86" s="438" t="s">
        <v>223</v>
      </c>
      <c r="B86" s="439">
        <v>85</v>
      </c>
      <c r="C86" s="439">
        <v>179</v>
      </c>
      <c r="D86" s="439">
        <v>145</v>
      </c>
      <c r="E86" s="439">
        <v>72</v>
      </c>
      <c r="F86" s="439">
        <v>155</v>
      </c>
      <c r="G86" s="439">
        <v>172</v>
      </c>
      <c r="H86" s="439">
        <v>373.8</v>
      </c>
      <c r="I86" s="440">
        <v>566.59909896991644</v>
      </c>
      <c r="J86" s="259">
        <v>369.22486035042039</v>
      </c>
      <c r="K86" s="260">
        <v>560.67422091061451</v>
      </c>
      <c r="L86" s="441">
        <f>RANK(H86,$H$2:$H$110,1)</f>
        <v>85</v>
      </c>
      <c r="M86" s="230">
        <f>RANK(I86,$I$2:$I$110,1)</f>
        <v>83</v>
      </c>
      <c r="N86" s="438">
        <f>RANK(J86,$J$2:$J$110,1)</f>
        <v>85</v>
      </c>
      <c r="O86" s="438">
        <f>RANK(K86,$K$2:$K$110,1)</f>
        <v>87</v>
      </c>
      <c r="P86" s="442">
        <v>0</v>
      </c>
      <c r="Q86" s="442">
        <v>0</v>
      </c>
      <c r="R86" s="439">
        <v>12</v>
      </c>
      <c r="S86" s="439">
        <f>RANK(U86,$U$2:$U$110,0)</f>
        <v>64</v>
      </c>
      <c r="T86" s="440">
        <f>Table2[[#This Row],[BDG]]/Table2[[#This Row],[Odds]]</f>
        <v>35.847073820429159</v>
      </c>
      <c r="U86" s="440" cm="1">
        <f t="array" ref="U86">MAX(_xlfn._xlws.FILTER(Table22[[B365]:[MATCHBOOK]], Table22[PLAYER] = A86))</f>
        <v>10.3</v>
      </c>
      <c r="X86" t="str">
        <f>Table2[[#This Row],[Player]]</f>
        <v>Vince Whaley</v>
      </c>
      <c r="Y86" s="14">
        <f>Table2[[#This Row],[DGSCORE]]</f>
        <v>373.8</v>
      </c>
      <c r="Z86" s="14">
        <f>Table2[[#This Row],[BDG]]</f>
        <v>369.22486035042039</v>
      </c>
      <c r="AA86" s="14">
        <f>Z86-Y86</f>
        <v>-4.5751396495796257</v>
      </c>
      <c r="AB86">
        <f>_xlfn.RANK.AVG(AA86,$AA:$AA,0)</f>
        <v>86</v>
      </c>
    </row>
    <row r="87" spans="1:28" hidden="1">
      <c r="A87" s="438" t="s">
        <v>157</v>
      </c>
      <c r="B87" s="439">
        <v>165</v>
      </c>
      <c r="C87" s="439">
        <v>63</v>
      </c>
      <c r="D87" s="439">
        <v>106</v>
      </c>
      <c r="E87" s="439">
        <v>98</v>
      </c>
      <c r="F87" s="439">
        <v>155</v>
      </c>
      <c r="G87" s="439">
        <v>157</v>
      </c>
      <c r="H87" s="439">
        <v>370.9</v>
      </c>
      <c r="I87" s="440">
        <v>526.95681441862052</v>
      </c>
      <c r="J87" s="259">
        <v>370.9</v>
      </c>
      <c r="K87" s="260">
        <v>526.95681441862052</v>
      </c>
      <c r="L87" s="441">
        <f>RANK(H87,$H$2:$H$110,1)</f>
        <v>82</v>
      </c>
      <c r="M87" s="230">
        <f>RANK(I87,$I$2:$I$110,1)</f>
        <v>70</v>
      </c>
      <c r="N87" s="438">
        <f>RANK(J87,$J$2:$J$110,1)</f>
        <v>86</v>
      </c>
      <c r="O87" s="438">
        <f>RANK(K87,$K$2:$K$110,1)</f>
        <v>76</v>
      </c>
      <c r="P87" s="442">
        <v>0</v>
      </c>
      <c r="Q87" s="442">
        <v>0</v>
      </c>
      <c r="R87" s="439" t="e">
        <v>#N/A</v>
      </c>
      <c r="S87" s="439">
        <f>RANK(U87,$U$2:$U$110,0)</f>
        <v>49</v>
      </c>
      <c r="T87" s="440">
        <f>Table2[[#This Row],[BDG]]/Table2[[#This Row],[Odds]]</f>
        <v>24.401315789473685</v>
      </c>
      <c r="U87" s="440" cm="1">
        <f t="array" ref="U87">MAX(_xlfn._xlws.FILTER(Table22[[B365]:[MATCHBOOK]], Table22[PLAYER] = A87))</f>
        <v>15.2</v>
      </c>
      <c r="X87" t="str">
        <f>Table2[[#This Row],[Player]]</f>
        <v>Henrik Norlander</v>
      </c>
      <c r="Y87" s="14">
        <f>Table2[[#This Row],[DGSCORE]]</f>
        <v>370.9</v>
      </c>
      <c r="Z87" s="14">
        <f>Table2[[#This Row],[BDG]]</f>
        <v>370.9</v>
      </c>
      <c r="AA87" s="14">
        <f>Z87-Y87</f>
        <v>0</v>
      </c>
      <c r="AB87">
        <f>_xlfn.RANK.AVG(AA87,$AA:$AA,0)</f>
        <v>55</v>
      </c>
    </row>
    <row r="88" spans="1:28" hidden="1">
      <c r="A88" s="159" t="s">
        <v>401</v>
      </c>
      <c r="B88">
        <v>25</v>
      </c>
      <c r="C88">
        <v>168</v>
      </c>
      <c r="D88">
        <v>165</v>
      </c>
      <c r="E88">
        <v>179</v>
      </c>
      <c r="F88">
        <v>156</v>
      </c>
      <c r="G88">
        <v>179</v>
      </c>
      <c r="H88">
        <v>371.6</v>
      </c>
      <c r="I88" s="14">
        <v>612.18798238215288</v>
      </c>
      <c r="J88" s="259">
        <v>371.6</v>
      </c>
      <c r="K88" s="260">
        <v>612.18798238215288</v>
      </c>
      <c r="L88" s="16">
        <f>RANK(H88,$H$2:$H$110,1)</f>
        <v>83</v>
      </c>
      <c r="M88" s="230">
        <f>RANK(I88,$I$2:$I$110,1)</f>
        <v>98</v>
      </c>
      <c r="N88" s="159">
        <f>RANK(J88,$J$2:$J$110,1)</f>
        <v>87</v>
      </c>
      <c r="O88" s="159">
        <f>RANK(K88,$K$2:$K$110,1)</f>
        <v>98</v>
      </c>
      <c r="P88" s="15">
        <v>0</v>
      </c>
      <c r="Q88" s="15">
        <v>0</v>
      </c>
      <c r="R88">
        <v>-4</v>
      </c>
      <c r="S88">
        <f>RANK(U88,$U$2:$U$110,0)</f>
        <v>22</v>
      </c>
      <c r="T88" s="14">
        <f>Table2[[#This Row],[BDG]]/Table2[[#This Row],[Odds]]</f>
        <v>13.762962962962964</v>
      </c>
      <c r="U88" s="440" cm="1">
        <f t="array" ref="U88">MAX(_xlfn._xlws.FILTER(Table22[[B365]:[MATCHBOOK]], Table22[PLAYER] = A88))</f>
        <v>27</v>
      </c>
      <c r="X88" t="str">
        <f>Table2[[#This Row],[Player]]</f>
        <v>Paul Barjon</v>
      </c>
      <c r="Y88" s="14">
        <f>Table2[[#This Row],[DGSCORE]]</f>
        <v>371.6</v>
      </c>
      <c r="Z88" s="14">
        <f>Table2[[#This Row],[BDG]]</f>
        <v>371.6</v>
      </c>
      <c r="AA88" s="14">
        <f>Z88-Y88</f>
        <v>0</v>
      </c>
      <c r="AB88">
        <f>_xlfn.RANK.AVG(AA88,$AA:$AA,0)</f>
        <v>55</v>
      </c>
    </row>
    <row r="89" spans="1:28" hidden="1">
      <c r="A89" s="438" t="s">
        <v>186</v>
      </c>
      <c r="B89" s="439">
        <v>188</v>
      </c>
      <c r="C89" s="439">
        <v>28</v>
      </c>
      <c r="D89" s="439">
        <v>166</v>
      </c>
      <c r="E89" s="439">
        <v>24</v>
      </c>
      <c r="F89" s="439">
        <v>127</v>
      </c>
      <c r="G89" s="439">
        <v>171</v>
      </c>
      <c r="H89" s="439">
        <v>372.5</v>
      </c>
      <c r="I89" s="440">
        <v>529.56551206178847</v>
      </c>
      <c r="J89" s="259">
        <v>372.5</v>
      </c>
      <c r="K89" s="260">
        <v>529.56551206178847</v>
      </c>
      <c r="L89" s="441">
        <f>RANK(H89,$H$2:$H$110,1)</f>
        <v>84</v>
      </c>
      <c r="M89" s="230">
        <f>RANK(I89,$I$2:$I$110,1)</f>
        <v>72</v>
      </c>
      <c r="N89" s="438">
        <f>RANK(J89,$J$2:$J$110,1)</f>
        <v>88</v>
      </c>
      <c r="O89" s="438">
        <f>RANK(K89,$K$2:$K$110,1)</f>
        <v>78</v>
      </c>
      <c r="P89" s="442">
        <v>0</v>
      </c>
      <c r="Q89" s="442">
        <v>0</v>
      </c>
      <c r="R89" s="439" t="e">
        <v>#N/A</v>
      </c>
      <c r="S89" s="439">
        <f>RANK(U89,$U$2:$U$110,0)</f>
        <v>36</v>
      </c>
      <c r="T89" s="440">
        <f>Table2[[#This Row],[BDG]]/Table2[[#This Row],[Odds]]</f>
        <v>19.502617801047119</v>
      </c>
      <c r="U89" s="440" cm="1">
        <f t="array" ref="U89">MAX(_xlfn._xlws.FILTER(Table22[[B365]:[MATCHBOOK]], Table22[PLAYER] = A89))</f>
        <v>19.100000000000001</v>
      </c>
      <c r="X89" t="str">
        <f>Table2[[#This Row],[Player]]</f>
        <v>Austin Cook</v>
      </c>
      <c r="Y89" s="14">
        <f>Table2[[#This Row],[DGSCORE]]</f>
        <v>372.5</v>
      </c>
      <c r="Z89" s="14">
        <f>Table2[[#This Row],[BDG]]</f>
        <v>372.5</v>
      </c>
      <c r="AA89" s="14">
        <f>Z89-Y89</f>
        <v>0</v>
      </c>
      <c r="AB89">
        <f>_xlfn.RANK.AVG(AA89,$AA:$AA,0)</f>
        <v>55</v>
      </c>
    </row>
    <row r="90" spans="1:28" hidden="1">
      <c r="A90" s="438" t="s">
        <v>559</v>
      </c>
      <c r="B90" s="439">
        <v>96</v>
      </c>
      <c r="C90" s="439">
        <v>160</v>
      </c>
      <c r="D90" s="439">
        <v>177</v>
      </c>
      <c r="E90" s="439">
        <v>162</v>
      </c>
      <c r="F90" s="439">
        <v>44</v>
      </c>
      <c r="G90" s="439">
        <v>152</v>
      </c>
      <c r="H90" s="439">
        <v>377.1</v>
      </c>
      <c r="I90" s="440">
        <v>567.52428230912278</v>
      </c>
      <c r="J90" s="259">
        <v>377.1</v>
      </c>
      <c r="K90" s="260">
        <v>567.52428230912278</v>
      </c>
      <c r="L90" s="441">
        <f>RANK(H90,$H$2:$H$110,1)</f>
        <v>87</v>
      </c>
      <c r="M90" s="230">
        <f>RANK(I90,$I$2:$I$110,1)</f>
        <v>84</v>
      </c>
      <c r="N90" s="438">
        <f>RANK(J90,$J$2:$J$110,1)</f>
        <v>89</v>
      </c>
      <c r="O90" s="438">
        <f>RANK(K90,$K$2:$K$110,1)</f>
        <v>88</v>
      </c>
      <c r="P90" s="442">
        <v>0</v>
      </c>
      <c r="Q90" s="442">
        <v>0</v>
      </c>
      <c r="R90" s="439">
        <v>-56</v>
      </c>
      <c r="S90" s="439">
        <f>RANK(U90,$U$2:$U$110,0)</f>
        <v>25</v>
      </c>
      <c r="T90" s="440">
        <f>Table2[[#This Row],[BDG]]/Table2[[#This Row],[Odds]]</f>
        <v>15.084000000000001</v>
      </c>
      <c r="U90" s="440" cm="1">
        <f t="array" ref="U90">MAX(_xlfn._xlws.FILTER(Table22[[B365]:[MATCHBOOK]], Table22[PLAYER] = A90))</f>
        <v>25</v>
      </c>
      <c r="X90" t="str">
        <f>Table2[[#This Row],[Player]]</f>
        <v>Trace Crowe</v>
      </c>
      <c r="Y90" s="14">
        <f>Table2[[#This Row],[DGSCORE]]</f>
        <v>377.1</v>
      </c>
      <c r="Z90" s="14">
        <f>Table2[[#This Row],[BDG]]</f>
        <v>377.1</v>
      </c>
      <c r="AA90" s="14">
        <f>Z90-Y90</f>
        <v>0</v>
      </c>
      <c r="AB90">
        <f>_xlfn.RANK.AVG(AA90,$AA:$AA,0)</f>
        <v>55</v>
      </c>
    </row>
    <row r="91" spans="1:28" hidden="1">
      <c r="A91" s="438" t="s">
        <v>83</v>
      </c>
      <c r="B91" s="439">
        <v>83</v>
      </c>
      <c r="C91" s="439">
        <v>141</v>
      </c>
      <c r="D91" s="439">
        <v>187</v>
      </c>
      <c r="E91" s="439">
        <v>126</v>
      </c>
      <c r="F91" s="439">
        <v>108</v>
      </c>
      <c r="G91" s="439">
        <v>183</v>
      </c>
      <c r="H91" s="439">
        <v>380.5</v>
      </c>
      <c r="I91" s="440">
        <v>601.05033135241456</v>
      </c>
      <c r="J91" s="259">
        <v>380.5</v>
      </c>
      <c r="K91" s="260">
        <v>601.05033135241456</v>
      </c>
      <c r="L91" s="441">
        <f>RANK(H91,$H$2:$H$110,1)</f>
        <v>88</v>
      </c>
      <c r="M91" s="230">
        <f>RANK(I91,$I$2:$I$110,1)</f>
        <v>94</v>
      </c>
      <c r="N91" s="438">
        <f>RANK(J91,$J$2:$J$110,1)</f>
        <v>90</v>
      </c>
      <c r="O91" s="438">
        <f>RANK(K91,$K$2:$K$110,1)</f>
        <v>95</v>
      </c>
      <c r="P91" s="442">
        <v>0</v>
      </c>
      <c r="Q91" s="442">
        <v>0</v>
      </c>
      <c r="R91" s="439" t="e">
        <v>#N/A</v>
      </c>
      <c r="S91" s="439">
        <f>RANK(U91,$U$2:$U$110,0)</f>
        <v>32</v>
      </c>
      <c r="T91" s="440">
        <f>Table2[[#This Row],[BDG]]/Table2[[#This Row],[Odds]]</f>
        <v>19.413265306122447</v>
      </c>
      <c r="U91" s="440" cm="1">
        <f t="array" ref="U91">MAX(_xlfn._xlws.FILTER(Table22[[B365]:[MATCHBOOK]], Table22[PLAYER] = A91))</f>
        <v>19.600000000000001</v>
      </c>
      <c r="X91" t="str">
        <f>Table2[[#This Row],[Player]]</f>
        <v>Martin Trainer</v>
      </c>
      <c r="Y91" s="14">
        <f>Table2[[#This Row],[DGSCORE]]</f>
        <v>380.5</v>
      </c>
      <c r="Z91" s="14">
        <f>Table2[[#This Row],[BDG]]</f>
        <v>380.5</v>
      </c>
      <c r="AA91" s="14">
        <f>Z91-Y91</f>
        <v>0</v>
      </c>
      <c r="AB91">
        <f>_xlfn.RANK.AVG(AA91,$AA:$AA,0)</f>
        <v>55</v>
      </c>
    </row>
    <row r="92" spans="1:28" hidden="1">
      <c r="A92" s="438" t="s">
        <v>86</v>
      </c>
      <c r="B92" s="439">
        <v>85</v>
      </c>
      <c r="C92" s="439">
        <v>167</v>
      </c>
      <c r="D92" s="439">
        <v>192</v>
      </c>
      <c r="E92" s="439">
        <v>144</v>
      </c>
      <c r="F92" s="439">
        <v>58</v>
      </c>
      <c r="G92" s="439">
        <v>185</v>
      </c>
      <c r="H92" s="439">
        <v>381</v>
      </c>
      <c r="I92" s="440">
        <v>606.25862606349449</v>
      </c>
      <c r="J92" s="259">
        <v>381</v>
      </c>
      <c r="K92" s="260">
        <v>606.25862606349449</v>
      </c>
      <c r="L92" s="441">
        <f>RANK(H92,$H$2:$H$110,1)</f>
        <v>89</v>
      </c>
      <c r="M92" s="230">
        <f>RANK(I92,$I$2:$I$110,1)</f>
        <v>97</v>
      </c>
      <c r="N92" s="438">
        <f>RANK(J92,$J$2:$J$110,1)</f>
        <v>91</v>
      </c>
      <c r="O92" s="438">
        <f>RANK(K92,$K$2:$K$110,1)</f>
        <v>97</v>
      </c>
      <c r="P92" s="442" t="e">
        <v>#N/A</v>
      </c>
      <c r="Q92" s="442" t="e">
        <v>#N/A</v>
      </c>
      <c r="R92" s="439" t="e">
        <v>#N/A</v>
      </c>
      <c r="S92" s="439">
        <f>RANK(U92,$U$2:$U$110,0)</f>
        <v>19</v>
      </c>
      <c r="T92" s="440">
        <f>Table2[[#This Row],[BDG]]/Table2[[#This Row],[Odds]]</f>
        <v>11.205882352941176</v>
      </c>
      <c r="U92" s="440" cm="1">
        <f t="array" ref="U92">MAX(_xlfn._xlws.FILTER(Table22[[B365]:[MATCHBOOK]], Table22[PLAYER] = A92))</f>
        <v>34</v>
      </c>
      <c r="X92" t="str">
        <f>Table2[[#This Row],[Player]]</f>
        <v>Harry Higgs</v>
      </c>
      <c r="Y92" s="14">
        <f>Table2[[#This Row],[DGSCORE]]</f>
        <v>381</v>
      </c>
      <c r="Z92" s="14">
        <f>Table2[[#This Row],[BDG]]</f>
        <v>381</v>
      </c>
      <c r="AA92" s="14">
        <f>Z92-Y92</f>
        <v>0</v>
      </c>
      <c r="AB92">
        <f>_xlfn.RANK.AVG(AA92,$AA:$AA,0)</f>
        <v>55</v>
      </c>
    </row>
    <row r="93" spans="1:28" hidden="1">
      <c r="A93" s="438" t="s">
        <v>185</v>
      </c>
      <c r="B93" s="439">
        <v>187</v>
      </c>
      <c r="C93" s="439">
        <v>2</v>
      </c>
      <c r="D93" s="439">
        <v>114</v>
      </c>
      <c r="E93" s="439">
        <v>148</v>
      </c>
      <c r="F93" s="439">
        <v>147</v>
      </c>
      <c r="G93" s="439">
        <v>162</v>
      </c>
      <c r="H93" s="439">
        <v>381.8</v>
      </c>
      <c r="I93" s="440">
        <v>548.33720548006977</v>
      </c>
      <c r="J93" s="259">
        <v>381.8</v>
      </c>
      <c r="K93" s="260">
        <v>548.33720548006977</v>
      </c>
      <c r="L93" s="441">
        <f>RANK(H93,$H$2:$H$110,1)</f>
        <v>90</v>
      </c>
      <c r="M93" s="230">
        <f>RANK(I93,$I$2:$I$110,1)</f>
        <v>80</v>
      </c>
      <c r="N93" s="438">
        <f>RANK(J93,$J$2:$J$110,1)</f>
        <v>92</v>
      </c>
      <c r="O93" s="438">
        <f>RANK(K93,$K$2:$K$110,1)</f>
        <v>84</v>
      </c>
      <c r="P93" s="442" t="e">
        <v>#N/A</v>
      </c>
      <c r="Q93" s="442" t="e">
        <v>#N/A</v>
      </c>
      <c r="R93" s="439" t="e">
        <v>#N/A</v>
      </c>
      <c r="S93" s="439">
        <f>RANK(U93,$U$2:$U$110,0)</f>
        <v>9</v>
      </c>
      <c r="T93" s="440">
        <f>Table2[[#This Row],[BDG]]/Table2[[#This Row],[Odds]]</f>
        <v>7.0703703703703704</v>
      </c>
      <c r="U93" s="440" cm="1">
        <f t="array" ref="U93">MAX(_xlfn._xlws.FILTER(Table22[[B365]:[MATCHBOOK]], Table22[PLAYER] = A93))</f>
        <v>54</v>
      </c>
      <c r="X93" t="str">
        <f>Table2[[#This Row],[Player]]</f>
        <v>Ryan Armour</v>
      </c>
      <c r="Y93" s="14">
        <f>Table2[[#This Row],[DGSCORE]]</f>
        <v>381.8</v>
      </c>
      <c r="Z93" s="14">
        <f>Table2[[#This Row],[BDG]]</f>
        <v>381.8</v>
      </c>
      <c r="AA93" s="14">
        <f>Z93-Y93</f>
        <v>0</v>
      </c>
      <c r="AB93">
        <f>_xlfn.RANK.AVG(AA93,$AA:$AA,0)</f>
        <v>55</v>
      </c>
    </row>
    <row r="94" spans="1:28" hidden="1">
      <c r="A94" s="438" t="s">
        <v>103</v>
      </c>
      <c r="B94" s="439">
        <v>164</v>
      </c>
      <c r="C94" s="439">
        <v>82</v>
      </c>
      <c r="D94" s="439">
        <v>163</v>
      </c>
      <c r="E94" s="439">
        <v>118</v>
      </c>
      <c r="F94" s="439">
        <v>52</v>
      </c>
      <c r="G94" s="439">
        <v>138</v>
      </c>
      <c r="H94" s="439">
        <v>375.9</v>
      </c>
      <c r="I94" s="440">
        <v>523.36787096726766</v>
      </c>
      <c r="J94" s="259">
        <v>388.64037387789904</v>
      </c>
      <c r="K94" s="260">
        <v>568.59676549883864</v>
      </c>
      <c r="L94" s="441">
        <f>RANK(H94,$H$2:$H$110,1)</f>
        <v>86</v>
      </c>
      <c r="M94" s="230">
        <f>RANK(I94,$I$2:$I$110,1)</f>
        <v>66</v>
      </c>
      <c r="N94" s="438">
        <f>RANK(J94,$J$2:$J$110,1)</f>
        <v>93</v>
      </c>
      <c r="O94" s="438">
        <f>RANK(K94,$K$2:$K$110,1)</f>
        <v>89</v>
      </c>
      <c r="P94" s="442">
        <v>0</v>
      </c>
      <c r="Q94" s="442">
        <v>0</v>
      </c>
      <c r="R94" s="439">
        <v>-57</v>
      </c>
      <c r="S94" s="439">
        <f>RANK(U94,$U$2:$U$110,0)</f>
        <v>43</v>
      </c>
      <c r="T94" s="440">
        <f>Table2[[#This Row],[BDG]]/Table2[[#This Row],[Odds]]</f>
        <v>23.271878675323297</v>
      </c>
      <c r="U94" s="440" cm="1">
        <f t="array" ref="U94">MAX(_xlfn._xlws.FILTER(Table22[[B365]:[MATCHBOOK]], Table22[PLAYER] = A94))</f>
        <v>16.7</v>
      </c>
      <c r="X94" t="str">
        <f>Table2[[#This Row],[Player]]</f>
        <v>Nico Echavarria</v>
      </c>
      <c r="Y94" s="14">
        <f>Table2[[#This Row],[DGSCORE]]</f>
        <v>375.9</v>
      </c>
      <c r="Z94" s="14">
        <f>Table2[[#This Row],[BDG]]</f>
        <v>388.64037387789904</v>
      </c>
      <c r="AA94" s="14">
        <f>Z94-Y94</f>
        <v>12.74037387789906</v>
      </c>
      <c r="AB94">
        <f>_xlfn.RANK.AVG(AA94,$AA:$AA,0)</f>
        <v>15</v>
      </c>
    </row>
    <row r="95" spans="1:28" hidden="1">
      <c r="A95" s="438" t="s">
        <v>160</v>
      </c>
      <c r="B95" s="439">
        <v>159</v>
      </c>
      <c r="C95" s="439">
        <v>108</v>
      </c>
      <c r="D95" s="439">
        <v>162</v>
      </c>
      <c r="E95" s="439">
        <v>115</v>
      </c>
      <c r="F95" s="439">
        <v>151</v>
      </c>
      <c r="G95" s="439">
        <v>159</v>
      </c>
      <c r="H95" s="439">
        <v>432</v>
      </c>
      <c r="I95" s="440">
        <v>603.90471288156891</v>
      </c>
      <c r="J95" s="259">
        <v>391.5651011165063</v>
      </c>
      <c r="K95" s="260">
        <v>550.34233577738939</v>
      </c>
      <c r="L95" s="441">
        <f>RANK(H95,$H$2:$H$110,1)</f>
        <v>103</v>
      </c>
      <c r="M95" s="230">
        <f>RANK(I95,$I$2:$I$110,1)</f>
        <v>96</v>
      </c>
      <c r="N95" s="438">
        <f>RANK(J95,$J$2:$J$110,1)</f>
        <v>94</v>
      </c>
      <c r="O95" s="438">
        <f>RANK(K95,$K$2:$K$110,1)</f>
        <v>85</v>
      </c>
      <c r="P95" s="442">
        <v>0</v>
      </c>
      <c r="Q95" s="442">
        <v>0</v>
      </c>
      <c r="R95" s="439">
        <v>4</v>
      </c>
      <c r="S95" s="439">
        <f>RANK(U95,$U$2:$U$110,0)</f>
        <v>41</v>
      </c>
      <c r="T95" s="440">
        <f>Table2[[#This Row],[BDG]]/Table2[[#This Row],[Odds]]</f>
        <v>22.765412855610833</v>
      </c>
      <c r="U95" s="440" cm="1">
        <f t="array" ref="U95">MAX(_xlfn._xlws.FILTER(Table22[[B365]:[MATCHBOOK]], Table22[PLAYER] = A95))</f>
        <v>17.2</v>
      </c>
      <c r="X95" t="str">
        <f>Table2[[#This Row],[Player]]</f>
        <v>Harrison Endycott</v>
      </c>
      <c r="Y95" s="14">
        <f>Table2[[#This Row],[DGSCORE]]</f>
        <v>432</v>
      </c>
      <c r="Z95" s="14">
        <f>Table2[[#This Row],[BDG]]</f>
        <v>391.5651011165063</v>
      </c>
      <c r="AA95" s="14">
        <f>Z95-Y95</f>
        <v>-40.434898883493702</v>
      </c>
      <c r="AB95">
        <f>_xlfn.RANK.AVG(AA95,$AA:$AA,0)</f>
        <v>101</v>
      </c>
    </row>
    <row r="96" spans="1:28" hidden="1">
      <c r="A96" s="438" t="s">
        <v>159</v>
      </c>
      <c r="B96" s="439">
        <v>159</v>
      </c>
      <c r="C96" s="439">
        <v>58</v>
      </c>
      <c r="D96" s="439">
        <v>147</v>
      </c>
      <c r="E96" s="439">
        <v>129</v>
      </c>
      <c r="F96" s="439">
        <v>130</v>
      </c>
      <c r="G96" s="439">
        <v>154</v>
      </c>
      <c r="H96" s="439">
        <v>391.6</v>
      </c>
      <c r="I96" s="440">
        <v>558.27028781919785</v>
      </c>
      <c r="J96" s="259">
        <v>391.6</v>
      </c>
      <c r="K96" s="260">
        <v>558.27028781919785</v>
      </c>
      <c r="L96" s="441">
        <f>RANK(H96,$H$2:$H$110,1)</f>
        <v>92</v>
      </c>
      <c r="M96" s="230">
        <f>RANK(I96,$I$2:$I$110,1)</f>
        <v>82</v>
      </c>
      <c r="N96" s="438">
        <f>RANK(J96,$J$2:$J$110,1)</f>
        <v>95</v>
      </c>
      <c r="O96" s="438">
        <f>RANK(K96,$K$2:$K$110,1)</f>
        <v>86</v>
      </c>
      <c r="P96" s="442">
        <v>0</v>
      </c>
      <c r="Q96" s="442">
        <v>0</v>
      </c>
      <c r="R96" s="439" t="e">
        <v>#N/A</v>
      </c>
      <c r="S96" s="439">
        <f>RANK(U96,$U$2:$U$110,0)</f>
        <v>18</v>
      </c>
      <c r="T96" s="440">
        <f>Table2[[#This Row],[BDG]]/Table2[[#This Row],[Odds]]</f>
        <v>11.188571428571429</v>
      </c>
      <c r="U96" s="440" cm="1">
        <f t="array" ref="U96">MAX(_xlfn._xlws.FILTER(Table22[[B365]:[MATCHBOOK]], Table22[PLAYER] = A96))</f>
        <v>35</v>
      </c>
      <c r="X96" t="str">
        <f>Table2[[#This Row],[Player]]</f>
        <v>Sean O'Hair</v>
      </c>
      <c r="Y96" s="14">
        <f>Table2[[#This Row],[DGSCORE]]</f>
        <v>391.6</v>
      </c>
      <c r="Z96" s="14">
        <f>Table2[[#This Row],[BDG]]</f>
        <v>391.6</v>
      </c>
      <c r="AA96" s="14">
        <f>Z96-Y96</f>
        <v>0</v>
      </c>
      <c r="AB96">
        <f>_xlfn.RANK.AVG(AA96,$AA:$AA,0)</f>
        <v>55</v>
      </c>
    </row>
    <row r="97" spans="1:28" hidden="1">
      <c r="A97" s="438" t="s">
        <v>373</v>
      </c>
      <c r="B97" s="439">
        <v>103</v>
      </c>
      <c r="C97" s="439">
        <v>166</v>
      </c>
      <c r="D97" s="439">
        <v>173</v>
      </c>
      <c r="E97" s="439">
        <v>18</v>
      </c>
      <c r="F97" s="439">
        <v>180</v>
      </c>
      <c r="G97" s="439">
        <v>181</v>
      </c>
      <c r="H97" s="439">
        <v>393.99999999999994</v>
      </c>
      <c r="I97" s="440">
        <v>584.90966678210066</v>
      </c>
      <c r="J97" s="259">
        <v>393.99999999999994</v>
      </c>
      <c r="K97" s="260">
        <v>584.90966678210066</v>
      </c>
      <c r="L97" s="441">
        <f>RANK(H97,$H$2:$H$110,1)</f>
        <v>93</v>
      </c>
      <c r="M97" s="230">
        <f>RANK(I97,$I$2:$I$110,1)</f>
        <v>91</v>
      </c>
      <c r="N97" s="438">
        <f>RANK(J97,$J$2:$J$110,1)</f>
        <v>96</v>
      </c>
      <c r="O97" s="438">
        <f>RANK(K97,$K$2:$K$110,1)</f>
        <v>94</v>
      </c>
      <c r="P97" s="442" t="e">
        <v>#N/A</v>
      </c>
      <c r="Q97" s="442" t="e">
        <v>#N/A</v>
      </c>
      <c r="R97" s="439" t="e">
        <v>#N/A</v>
      </c>
      <c r="S97" s="439">
        <f>RANK(U97,$U$2:$U$110,0)</f>
        <v>20</v>
      </c>
      <c r="T97" s="440">
        <f>Table2[[#This Row],[BDG]]/Table2[[#This Row],[Odds]]</f>
        <v>12.709677419354836</v>
      </c>
      <c r="U97" s="440" cm="1">
        <f t="array" ref="U97">MAX(_xlfn._xlws.FILTER(Table22[[B365]:[MATCHBOOK]], Table22[PLAYER] = A97))</f>
        <v>31</v>
      </c>
      <c r="X97" t="str">
        <f>Table2[[#This Row],[Player]]</f>
        <v>Wesley Bryan</v>
      </c>
      <c r="Y97" s="14">
        <f>Table2[[#This Row],[DGSCORE]]</f>
        <v>393.99999999999994</v>
      </c>
      <c r="Z97" s="14">
        <f>Table2[[#This Row],[BDG]]</f>
        <v>393.99999999999994</v>
      </c>
      <c r="AA97" s="14">
        <f>Z97-Y97</f>
        <v>0</v>
      </c>
      <c r="AB97">
        <f>_xlfn.RANK.AVG(AA97,$AA:$AA,0)</f>
        <v>55</v>
      </c>
    </row>
    <row r="98" spans="1:28" hidden="1">
      <c r="A98" s="438" t="s">
        <v>486</v>
      </c>
      <c r="B98" s="439">
        <v>41</v>
      </c>
      <c r="C98" s="439">
        <v>162</v>
      </c>
      <c r="D98" s="439">
        <v>174</v>
      </c>
      <c r="E98" s="439">
        <v>178</v>
      </c>
      <c r="F98" s="439">
        <v>173</v>
      </c>
      <c r="G98" s="439">
        <v>183</v>
      </c>
      <c r="H98" s="439">
        <v>397.4</v>
      </c>
      <c r="I98" s="440">
        <v>639.51168990298947</v>
      </c>
      <c r="J98" s="259">
        <v>397.4</v>
      </c>
      <c r="K98" s="260">
        <v>639.51168990298947</v>
      </c>
      <c r="L98" s="441">
        <f>RANK(H98,$H$2:$H$110,1)</f>
        <v>94</v>
      </c>
      <c r="M98" s="230">
        <f>RANK(I98,$I$2:$I$110,1)</f>
        <v>104</v>
      </c>
      <c r="N98" s="438">
        <f>RANK(J98,$J$2:$J$110,1)</f>
        <v>97</v>
      </c>
      <c r="O98" s="438">
        <f>RANK(K98,$K$2:$K$110,1)</f>
        <v>104</v>
      </c>
      <c r="P98" s="442">
        <v>0</v>
      </c>
      <c r="Q98" s="442">
        <v>0</v>
      </c>
      <c r="R98" s="439">
        <v>2</v>
      </c>
      <c r="S98" s="439">
        <f>RANK(U98,$U$2:$U$110,0)</f>
        <v>49</v>
      </c>
      <c r="T98" s="440">
        <f>Table2[[#This Row],[BDG]]/Table2[[#This Row],[Odds]]</f>
        <v>26.144736842105264</v>
      </c>
      <c r="U98" s="440" cm="1">
        <f t="array" ref="U98">MAX(_xlfn._xlws.FILTER(Table22[[B365]:[MATCHBOOK]], Table22[PLAYER] = A98))</f>
        <v>15.2</v>
      </c>
      <c r="X98" t="str">
        <f>Table2[[#This Row],[Player]]</f>
        <v>Adrien Dumont de Chassart</v>
      </c>
      <c r="Y98" s="14">
        <f>Table2[[#This Row],[DGSCORE]]</f>
        <v>397.4</v>
      </c>
      <c r="Z98" s="14">
        <f>Table2[[#This Row],[BDG]]</f>
        <v>397.4</v>
      </c>
      <c r="AA98" s="14">
        <f>Z98-Y98</f>
        <v>0</v>
      </c>
      <c r="AB98">
        <f>_xlfn.RANK.AVG(AA98,$AA:$AA,0)</f>
        <v>55</v>
      </c>
    </row>
    <row r="99" spans="1:28" hidden="1">
      <c r="A99" s="438" t="s">
        <v>173</v>
      </c>
      <c r="B99" s="439">
        <v>173</v>
      </c>
      <c r="C99" s="439">
        <v>81</v>
      </c>
      <c r="D99" s="439">
        <v>181</v>
      </c>
      <c r="E99" s="439">
        <v>1</v>
      </c>
      <c r="F99" s="439">
        <v>178</v>
      </c>
      <c r="G99" s="439">
        <v>169</v>
      </c>
      <c r="H99" s="439">
        <v>412.29999999999995</v>
      </c>
      <c r="I99" s="440">
        <v>570.45046243853767</v>
      </c>
      <c r="J99" s="259">
        <v>412.29999999999995</v>
      </c>
      <c r="K99" s="260">
        <v>570.45046243853767</v>
      </c>
      <c r="L99" s="441">
        <f>RANK(H99,$H$2:$H$110,1)</f>
        <v>96</v>
      </c>
      <c r="M99" s="230">
        <f>RANK(I99,$I$2:$I$110,1)</f>
        <v>85</v>
      </c>
      <c r="N99" s="438">
        <f>RANK(J99,$J$2:$J$110,1)</f>
        <v>98</v>
      </c>
      <c r="O99" s="438">
        <f>RANK(K99,$K$2:$K$110,1)</f>
        <v>90</v>
      </c>
      <c r="P99" s="442" t="e">
        <v>#N/A</v>
      </c>
      <c r="Q99" s="442" t="e">
        <v>#N/A</v>
      </c>
      <c r="R99" s="439" t="e">
        <v>#N/A</v>
      </c>
      <c r="S99" s="439">
        <f>RANK(U99,$U$2:$U$110,0)</f>
        <v>15</v>
      </c>
      <c r="T99" s="440">
        <f>Table2[[#This Row],[BDG]]/Table2[[#This Row],[Odds]]</f>
        <v>10.056097560975608</v>
      </c>
      <c r="U99" s="440" cm="1">
        <f t="array" ref="U99">MAX(_xlfn._xlws.FILTER(Table22[[B365]:[MATCHBOOK]], Table22[PLAYER] = A99))</f>
        <v>41</v>
      </c>
      <c r="X99" t="str">
        <f>Table2[[#This Row],[Player]]</f>
        <v>Jonathan Byrd</v>
      </c>
      <c r="Y99" s="14">
        <f>Table2[[#This Row],[DGSCORE]]</f>
        <v>412.29999999999995</v>
      </c>
      <c r="Z99" s="14">
        <f>Table2[[#This Row],[BDG]]</f>
        <v>412.29999999999995</v>
      </c>
      <c r="AA99" s="14">
        <f>Z99-Y99</f>
        <v>0</v>
      </c>
      <c r="AB99">
        <f>_xlfn.RANK.AVG(AA99,$AA:$AA,0)</f>
        <v>55</v>
      </c>
    </row>
    <row r="100" spans="1:28" hidden="1">
      <c r="A100" s="438" t="s">
        <v>119</v>
      </c>
      <c r="B100" s="439">
        <v>121</v>
      </c>
      <c r="C100" s="439">
        <v>136</v>
      </c>
      <c r="D100" s="439">
        <v>153</v>
      </c>
      <c r="E100" s="439">
        <v>105</v>
      </c>
      <c r="F100" s="439">
        <v>175</v>
      </c>
      <c r="G100" s="439">
        <v>168</v>
      </c>
      <c r="H100" s="439">
        <v>413.5</v>
      </c>
      <c r="I100" s="440">
        <v>601.51595728883649</v>
      </c>
      <c r="J100" s="259">
        <v>413.5</v>
      </c>
      <c r="K100" s="260">
        <v>601.51595728883649</v>
      </c>
      <c r="L100" s="441">
        <f>RANK(H100,$H$2:$H$110,1)</f>
        <v>97</v>
      </c>
      <c r="M100" s="230">
        <f>RANK(I100,$I$2:$I$110,1)</f>
        <v>95</v>
      </c>
      <c r="N100" s="438">
        <f>RANK(J100,$J$2:$J$110,1)</f>
        <v>99</v>
      </c>
      <c r="O100" s="438">
        <f>RANK(K100,$K$2:$K$110,1)</f>
        <v>96</v>
      </c>
      <c r="P100" s="442" t="e">
        <v>#N/A</v>
      </c>
      <c r="Q100" s="442" t="e">
        <v>#N/A</v>
      </c>
      <c r="R100" s="439" t="e">
        <v>#N/A</v>
      </c>
      <c r="S100" s="439">
        <f>RANK(U100,$U$2:$U$110,0)</f>
        <v>11</v>
      </c>
      <c r="T100" s="440">
        <f>Table2[[#This Row],[BDG]]/Table2[[#This Row],[Odds]]</f>
        <v>8.1078431372549016</v>
      </c>
      <c r="U100" s="440" cm="1">
        <f t="array" ref="U100">MAX(_xlfn._xlws.FILTER(Table22[[B365]:[MATCHBOOK]], Table22[PLAYER] = A100))</f>
        <v>51</v>
      </c>
      <c r="X100" t="str">
        <f>Table2[[#This Row],[Player]]</f>
        <v>Robert Streb</v>
      </c>
      <c r="Y100" s="14">
        <f>Table2[[#This Row],[DGSCORE]]</f>
        <v>413.5</v>
      </c>
      <c r="Z100" s="14">
        <f>Table2[[#This Row],[BDG]]</f>
        <v>413.5</v>
      </c>
      <c r="AA100" s="14">
        <f>Z100-Y100</f>
        <v>0</v>
      </c>
      <c r="AB100">
        <f>_xlfn.RANK.AVG(AA100,$AA:$AA,0)</f>
        <v>55</v>
      </c>
    </row>
    <row r="101" spans="1:28" hidden="1">
      <c r="A101" s="438" t="s">
        <v>880</v>
      </c>
      <c r="B101" s="439">
        <v>124</v>
      </c>
      <c r="C101" s="439">
        <v>174</v>
      </c>
      <c r="D101" s="439">
        <v>186</v>
      </c>
      <c r="E101" s="439">
        <v>155</v>
      </c>
      <c r="F101" s="439">
        <v>53</v>
      </c>
      <c r="G101" s="439">
        <v>181</v>
      </c>
      <c r="H101" s="439">
        <v>417.3</v>
      </c>
      <c r="I101" s="440">
        <v>629.77676232136832</v>
      </c>
      <c r="J101" s="259">
        <v>417.30000000000007</v>
      </c>
      <c r="K101" s="260">
        <v>629.77676232136832</v>
      </c>
      <c r="L101" s="441">
        <f>RANK(H101,$H$2:$H$110,1)</f>
        <v>99</v>
      </c>
      <c r="M101" s="230">
        <f>RANK(I101,$I$2:$I$110,1)</f>
        <v>103</v>
      </c>
      <c r="N101" s="438">
        <f>RANK(J101,$J$2:$J$110,1)</f>
        <v>100</v>
      </c>
      <c r="O101" s="438">
        <f>RANK(K101,$K$2:$K$110,1)</f>
        <v>103</v>
      </c>
      <c r="P101" s="442">
        <v>0</v>
      </c>
      <c r="Q101" s="442">
        <v>0</v>
      </c>
      <c r="R101" s="439" t="e">
        <v>#N/A</v>
      </c>
      <c r="S101" s="439">
        <f>RANK(U101,$U$2:$U$110,0)</f>
        <v>9</v>
      </c>
      <c r="T101" s="440">
        <f>Table2[[#This Row],[BDG]]/Table2[[#This Row],[Odds]]</f>
        <v>7.7277777777777787</v>
      </c>
      <c r="U101" s="440" cm="1">
        <f t="array" ref="U101">MAX(_xlfn._xlws.FILTER(Table22[[B365]:[MATCHBOOK]], Table22[PLAYER] = A101))</f>
        <v>54</v>
      </c>
      <c r="X101" t="str">
        <f>Table2[[#This Row],[Player]]</f>
        <v>Sangmoon Bae</v>
      </c>
      <c r="Y101" s="14">
        <f>Table2[[#This Row],[DGSCORE]]</f>
        <v>417.3</v>
      </c>
      <c r="Z101" s="14">
        <f>Table2[[#This Row],[BDG]]</f>
        <v>417.30000000000007</v>
      </c>
      <c r="AA101" s="14">
        <f>Z101-Y101</f>
        <v>0</v>
      </c>
      <c r="AB101">
        <f>_xlfn.RANK.AVG(AA101,$AA:$AA,0)</f>
        <v>55</v>
      </c>
    </row>
    <row r="102" spans="1:28" hidden="1">
      <c r="A102" s="438" t="s">
        <v>176</v>
      </c>
      <c r="B102" s="439">
        <v>178</v>
      </c>
      <c r="C102" s="439">
        <v>36</v>
      </c>
      <c r="D102" s="439">
        <v>193</v>
      </c>
      <c r="E102" s="439">
        <v>168</v>
      </c>
      <c r="F102" s="439">
        <v>80</v>
      </c>
      <c r="G102" s="439">
        <v>187</v>
      </c>
      <c r="H102" s="439">
        <v>420.5</v>
      </c>
      <c r="I102" s="440">
        <v>629.00372376039104</v>
      </c>
      <c r="J102" s="259">
        <v>420.5</v>
      </c>
      <c r="K102" s="260">
        <v>629.00372376039104</v>
      </c>
      <c r="L102" s="441">
        <f>RANK(H102,$H$2:$H$110,1)</f>
        <v>100</v>
      </c>
      <c r="M102" s="230">
        <f>RANK(I102,$I$2:$I$110,1)</f>
        <v>102</v>
      </c>
      <c r="N102" s="438">
        <f>RANK(J102,$J$2:$J$110,1)</f>
        <v>101</v>
      </c>
      <c r="O102" s="438">
        <f>RANK(K102,$K$2:$K$110,1)</f>
        <v>102</v>
      </c>
      <c r="P102" s="442" t="e">
        <v>#N/A</v>
      </c>
      <c r="Q102" s="442" t="e">
        <v>#N/A</v>
      </c>
      <c r="R102" s="439" t="e">
        <v>#N/A</v>
      </c>
      <c r="S102" s="439">
        <f>RANK(U102,$U$2:$U$110,0)</f>
        <v>109</v>
      </c>
      <c r="T102" s="440" t="e">
        <f>Table2[[#This Row],[BDG]]/Table2[[#This Row],[Odds]]</f>
        <v>#DIV/0!</v>
      </c>
      <c r="U102" s="440" cm="1">
        <f t="array" ref="U102">MAX(_xlfn._xlws.FILTER(Table22[[B365]:[MATCHBOOK]], Table22[PLAYER] = A102))</f>
        <v>0</v>
      </c>
      <c r="X102" t="str">
        <f>Table2[[#This Row],[Player]]</f>
        <v>Andrew Landry</v>
      </c>
      <c r="Y102" s="14">
        <f>Table2[[#This Row],[DGSCORE]]</f>
        <v>420.5</v>
      </c>
      <c r="Z102" s="14">
        <f>Table2[[#This Row],[BDG]]</f>
        <v>420.5</v>
      </c>
      <c r="AA102" s="14">
        <f>Z102-Y102</f>
        <v>0</v>
      </c>
      <c r="AB102">
        <f>_xlfn.RANK.AVG(AA102,$AA:$AA,0)</f>
        <v>55</v>
      </c>
    </row>
    <row r="103" spans="1:28" hidden="1">
      <c r="A103" s="438" t="s">
        <v>184</v>
      </c>
      <c r="B103" s="439">
        <v>186</v>
      </c>
      <c r="C103" s="439">
        <v>23</v>
      </c>
      <c r="D103" s="439">
        <v>175</v>
      </c>
      <c r="E103" s="439">
        <v>118</v>
      </c>
      <c r="F103" s="439">
        <v>151</v>
      </c>
      <c r="G103" s="439">
        <v>180</v>
      </c>
      <c r="H103" s="439">
        <v>424.09999999999997</v>
      </c>
      <c r="I103" s="440">
        <v>612.30329398255662</v>
      </c>
      <c r="J103" s="259">
        <v>424.09999999999991</v>
      </c>
      <c r="K103" s="260">
        <v>612.30329398255662</v>
      </c>
      <c r="L103" s="441">
        <f>RANK(H103,$H$2:$H$110,1)</f>
        <v>101</v>
      </c>
      <c r="M103" s="230">
        <f>RANK(I103,$I$2:$I$110,1)</f>
        <v>99</v>
      </c>
      <c r="N103" s="438">
        <f>RANK(J103,$J$2:$J$110,1)</f>
        <v>102</v>
      </c>
      <c r="O103" s="438">
        <f>RANK(K103,$K$2:$K$110,1)</f>
        <v>99</v>
      </c>
      <c r="P103" s="442">
        <v>0</v>
      </c>
      <c r="Q103" s="442">
        <v>0</v>
      </c>
      <c r="R103" s="439" t="e">
        <v>#N/A</v>
      </c>
      <c r="S103" s="439">
        <f>RANK(U103,$U$2:$U$110,0)</f>
        <v>11</v>
      </c>
      <c r="T103" s="440">
        <f>Table2[[#This Row],[BDG]]/Table2[[#This Row],[Odds]]</f>
        <v>8.3156862745098028</v>
      </c>
      <c r="U103" s="440" cm="1">
        <f t="array" ref="U103">MAX(_xlfn._xlws.FILTER(Table22[[B365]:[MATCHBOOK]], Table22[PLAYER] = A103))</f>
        <v>51</v>
      </c>
      <c r="X103" t="str">
        <f>Table2[[#This Row],[Player]]</f>
        <v>Paul Haley II</v>
      </c>
      <c r="Y103" s="14">
        <f>Table2[[#This Row],[DGSCORE]]</f>
        <v>424.09999999999997</v>
      </c>
      <c r="Z103" s="14">
        <f>Table2[[#This Row],[BDG]]</f>
        <v>424.09999999999991</v>
      </c>
      <c r="AA103" s="14">
        <f>Z103-Y103</f>
        <v>0</v>
      </c>
      <c r="AB103">
        <f>_xlfn.RANK.AVG(AA103,$AA:$AA,0)</f>
        <v>55</v>
      </c>
    </row>
    <row r="104" spans="1:28" hidden="1">
      <c r="A104" s="438" t="s">
        <v>564</v>
      </c>
      <c r="B104" s="439">
        <v>179</v>
      </c>
      <c r="C104" s="439">
        <v>168</v>
      </c>
      <c r="D104" s="439">
        <v>169</v>
      </c>
      <c r="E104" s="439">
        <v>158</v>
      </c>
      <c r="F104" s="439">
        <v>5</v>
      </c>
      <c r="G104" s="439">
        <v>176</v>
      </c>
      <c r="H104" s="439">
        <v>429.09999999999997</v>
      </c>
      <c r="I104" s="440">
        <v>619.02926857399063</v>
      </c>
      <c r="J104" s="259">
        <v>429.09999999999997</v>
      </c>
      <c r="K104" s="260">
        <v>619.02926857399063</v>
      </c>
      <c r="L104" s="441">
        <f>RANK(H104,$H$2:$H$110,1)</f>
        <v>102</v>
      </c>
      <c r="M104" s="230">
        <f>RANK(I104,$I$2:$I$110,1)</f>
        <v>100</v>
      </c>
      <c r="N104" s="438">
        <f>RANK(J104,$J$2:$J$110,1)</f>
        <v>103</v>
      </c>
      <c r="O104" s="438">
        <f>RANK(K104,$K$2:$K$110,1)</f>
        <v>100</v>
      </c>
      <c r="P104" s="442">
        <v>0</v>
      </c>
      <c r="Q104" s="442">
        <v>0</v>
      </c>
      <c r="R104" s="439" t="e">
        <v>#N/A</v>
      </c>
      <c r="S104" s="439">
        <f>RANK(U104,$U$2:$U$110,0)</f>
        <v>7</v>
      </c>
      <c r="T104" s="440">
        <f>Table2[[#This Row],[BDG]]/Table2[[#This Row],[Odds]]</f>
        <v>4.6139784946236553</v>
      </c>
      <c r="U104" s="440" cm="1">
        <f t="array" ref="U104">MAX(_xlfn._xlws.FILTER(Table22[[B365]:[MATCHBOOK]], Table22[PLAYER] = A104))</f>
        <v>93</v>
      </c>
      <c r="X104" t="str">
        <f>Table2[[#This Row],[Player]]</f>
        <v>Raul Pereda</v>
      </c>
      <c r="Y104" s="14">
        <f>Table2[[#This Row],[DGSCORE]]</f>
        <v>429.09999999999997</v>
      </c>
      <c r="Z104" s="14">
        <f>Table2[[#This Row],[BDG]]</f>
        <v>429.09999999999997</v>
      </c>
      <c r="AA104" s="14">
        <f>Z104-Y104</f>
        <v>0</v>
      </c>
      <c r="AB104">
        <f>_xlfn.RANK.AVG(AA104,$AA:$AA,0)</f>
        <v>55</v>
      </c>
    </row>
    <row r="105" spans="1:28" hidden="1">
      <c r="A105" s="438" t="s">
        <v>174</v>
      </c>
      <c r="B105" s="439">
        <v>176</v>
      </c>
      <c r="C105" s="439">
        <v>180</v>
      </c>
      <c r="D105" s="439">
        <v>104</v>
      </c>
      <c r="E105" s="439">
        <v>157</v>
      </c>
      <c r="F105" s="439">
        <v>112</v>
      </c>
      <c r="G105" s="439">
        <v>173</v>
      </c>
      <c r="H105" s="439">
        <v>440</v>
      </c>
      <c r="I105" s="440">
        <v>620.52131549374849</v>
      </c>
      <c r="J105" s="259">
        <v>440</v>
      </c>
      <c r="K105" s="260">
        <v>620.52131549374849</v>
      </c>
      <c r="L105" s="441">
        <f>RANK(H105,$H$2:$H$110,1)</f>
        <v>104</v>
      </c>
      <c r="M105" s="230">
        <f>RANK(I105,$I$2:$I$110,1)</f>
        <v>101</v>
      </c>
      <c r="N105" s="438">
        <f>RANK(J105,$J$2:$J$110,1)</f>
        <v>104</v>
      </c>
      <c r="O105" s="438">
        <f>RANK(K105,$K$2:$K$110,1)</f>
        <v>101</v>
      </c>
      <c r="P105" s="442" t="e">
        <v>#N/A</v>
      </c>
      <c r="Q105" s="442" t="e">
        <v>#N/A</v>
      </c>
      <c r="R105" s="439" t="e">
        <v>#N/A</v>
      </c>
      <c r="S105" s="439">
        <f>RANK(U105,$U$2:$U$110,0)</f>
        <v>3</v>
      </c>
      <c r="T105" s="440">
        <f>Table2[[#This Row],[BDG]]/Table2[[#This Row],[Odds]]</f>
        <v>3.7288135593220337</v>
      </c>
      <c r="U105" s="440" cm="1">
        <f t="array" ref="U105">MAX(_xlfn._xlws.FILTER(Table22[[B365]:[MATCHBOOK]], Table22[PLAYER] = A105))</f>
        <v>118</v>
      </c>
      <c r="X105" t="str">
        <f>Table2[[#This Row],[Player]]</f>
        <v>Sung Kang</v>
      </c>
      <c r="Y105" s="14">
        <f>Table2[[#This Row],[DGSCORE]]</f>
        <v>440</v>
      </c>
      <c r="Z105" s="14">
        <f>Table2[[#This Row],[BDG]]</f>
        <v>440</v>
      </c>
      <c r="AA105" s="14">
        <f>Z105-Y105</f>
        <v>0</v>
      </c>
      <c r="AB105">
        <f>_xlfn.RANK.AVG(AA105,$AA:$AA,0)</f>
        <v>55</v>
      </c>
    </row>
    <row r="106" spans="1:28" hidden="1">
      <c r="A106" s="438" t="s">
        <v>168</v>
      </c>
      <c r="B106" s="439">
        <v>172</v>
      </c>
      <c r="C106" s="439">
        <v>18</v>
      </c>
      <c r="D106" s="439">
        <v>185</v>
      </c>
      <c r="E106" s="439">
        <v>172</v>
      </c>
      <c r="F106" s="439">
        <v>182</v>
      </c>
      <c r="G106" s="439">
        <v>189</v>
      </c>
      <c r="H106" s="439">
        <v>453.1</v>
      </c>
      <c r="I106" s="440">
        <v>667.55347214102881</v>
      </c>
      <c r="J106" s="259">
        <v>453.1</v>
      </c>
      <c r="K106" s="260">
        <v>667.55347214102881</v>
      </c>
      <c r="L106" s="441">
        <f>RANK(H106,$H$2:$H$110,1)</f>
        <v>105</v>
      </c>
      <c r="M106" s="230">
        <f>RANK(I106,$I$2:$I$110,1)</f>
        <v>106</v>
      </c>
      <c r="N106" s="438">
        <f>RANK(J106,$J$2:$J$110,1)</f>
        <v>105</v>
      </c>
      <c r="O106" s="438">
        <f>RANK(K106,$K$2:$K$110,1)</f>
        <v>106</v>
      </c>
      <c r="P106" s="442">
        <v>0</v>
      </c>
      <c r="Q106" s="442">
        <v>0</v>
      </c>
      <c r="R106" s="439" t="e">
        <v>#N/A</v>
      </c>
      <c r="S106" s="439">
        <f>RANK(U106,$U$2:$U$110,0)</f>
        <v>4</v>
      </c>
      <c r="T106" s="440">
        <f>Table2[[#This Row],[BDG]]/Table2[[#This Row],[Odds]]</f>
        <v>4.1953703703703704</v>
      </c>
      <c r="U106" s="440" cm="1">
        <f t="array" ref="U106">MAX(_xlfn._xlws.FILTER(Table22[[B365]:[MATCHBOOK]], Table22[PLAYER] = A106))</f>
        <v>108</v>
      </c>
      <c r="X106" t="str">
        <f>Table2[[#This Row],[Player]]</f>
        <v>Jim Herman</v>
      </c>
      <c r="Y106" s="14">
        <f>Table2[[#This Row],[DGSCORE]]</f>
        <v>453.1</v>
      </c>
      <c r="Z106" s="14">
        <f>Table2[[#This Row],[BDG]]</f>
        <v>453.1</v>
      </c>
      <c r="AA106" s="14">
        <f>Z106-Y106</f>
        <v>0</v>
      </c>
      <c r="AB106">
        <f>_xlfn.RANK.AVG(AA106,$AA:$AA,0)</f>
        <v>55</v>
      </c>
    </row>
    <row r="107" spans="1:28" hidden="1">
      <c r="A107" s="438" t="s">
        <v>138</v>
      </c>
      <c r="B107" s="439">
        <v>138</v>
      </c>
      <c r="C107" s="439">
        <v>190</v>
      </c>
      <c r="D107" s="439">
        <v>146</v>
      </c>
      <c r="E107" s="439">
        <v>156</v>
      </c>
      <c r="F107" s="439">
        <v>143</v>
      </c>
      <c r="G107" s="439">
        <v>192</v>
      </c>
      <c r="H107" s="439">
        <v>455.29999999999995</v>
      </c>
      <c r="I107" s="440">
        <v>671.81830923582368</v>
      </c>
      <c r="J107" s="259">
        <v>455.29999999999995</v>
      </c>
      <c r="K107" s="260">
        <v>671.81830923582368</v>
      </c>
      <c r="L107" s="441">
        <f>RANK(H107,$H$2:$H$110,1)</f>
        <v>106</v>
      </c>
      <c r="M107" s="230">
        <f>RANK(I107,$I$2:$I$110,1)</f>
        <v>107</v>
      </c>
      <c r="N107" s="438">
        <f>RANK(J107,$J$2:$J$110,1)</f>
        <v>106</v>
      </c>
      <c r="O107" s="438">
        <f>RANK(K107,$K$2:$K$110,1)</f>
        <v>107</v>
      </c>
      <c r="P107" s="442" t="e">
        <v>#N/A</v>
      </c>
      <c r="Q107" s="442" t="e">
        <v>#N/A</v>
      </c>
      <c r="R107" s="439" t="e">
        <v>#N/A</v>
      </c>
      <c r="S107" s="439">
        <f>RANK(U107,$U$2:$U$110,0)</f>
        <v>2</v>
      </c>
      <c r="T107" s="440">
        <f>Table2[[#This Row],[BDG]]/Table2[[#This Row],[Odds]]</f>
        <v>3.6134920634920631</v>
      </c>
      <c r="U107" s="440" cm="1">
        <f t="array" ref="U107">MAX(_xlfn._xlws.FILTER(Table22[[B365]:[MATCHBOOK]], Table22[PLAYER] = A107))</f>
        <v>126</v>
      </c>
    </row>
    <row r="108" spans="1:28" hidden="1">
      <c r="A108" s="438" t="s">
        <v>861</v>
      </c>
      <c r="B108" s="439">
        <v>186</v>
      </c>
      <c r="C108" s="439">
        <v>106</v>
      </c>
      <c r="D108" s="439">
        <v>167</v>
      </c>
      <c r="E108" s="439">
        <v>192</v>
      </c>
      <c r="F108" s="439">
        <v>90</v>
      </c>
      <c r="G108" s="439">
        <v>194</v>
      </c>
      <c r="H108" s="439">
        <v>459.1</v>
      </c>
      <c r="I108" s="440">
        <v>674.12406285845611</v>
      </c>
      <c r="J108" s="259">
        <v>459.1</v>
      </c>
      <c r="K108" s="260">
        <v>674.12406285845611</v>
      </c>
      <c r="L108" s="441">
        <f>RANK(H108,$H$2:$H$110,1)</f>
        <v>107</v>
      </c>
      <c r="M108" s="230">
        <f>RANK(I108,$I$2:$I$110,1)</f>
        <v>108</v>
      </c>
      <c r="N108" s="438">
        <f>RANK(J108,$J$2:$J$110,1)</f>
        <v>107</v>
      </c>
      <c r="O108" s="438">
        <f>RANK(K108,$K$2:$K$110,1)</f>
        <v>108</v>
      </c>
      <c r="P108" s="442">
        <v>0</v>
      </c>
      <c r="Q108" s="442">
        <v>0</v>
      </c>
      <c r="R108" s="439" t="e">
        <v>#N/A</v>
      </c>
      <c r="S108" s="439">
        <f>RANK(U108,$U$2:$U$110,0)</f>
        <v>16</v>
      </c>
      <c r="T108" s="440">
        <f>Table2[[#This Row],[BDG]]/Table2[[#This Row],[Odds]]</f>
        <v>11.771794871794873</v>
      </c>
      <c r="U108" s="440" cm="1">
        <f t="array" ref="U108">MAX(_xlfn._xlws.FILTER(Table22[[B365]:[MATCHBOOK]], Table22[PLAYER] = A108))</f>
        <v>39</v>
      </c>
    </row>
    <row r="109" spans="1:28" hidden="1">
      <c r="A109" s="438" t="s">
        <v>419</v>
      </c>
      <c r="B109" s="439">
        <v>178</v>
      </c>
      <c r="C109" s="439">
        <v>64</v>
      </c>
      <c r="D109" s="439">
        <v>164</v>
      </c>
      <c r="E109" s="439">
        <v>174</v>
      </c>
      <c r="F109" s="439">
        <v>176</v>
      </c>
      <c r="G109" s="439">
        <v>181</v>
      </c>
      <c r="H109" s="439">
        <v>464.6</v>
      </c>
      <c r="I109" s="440">
        <v>666.71695288764772</v>
      </c>
      <c r="J109" s="259">
        <v>464.6</v>
      </c>
      <c r="K109" s="260">
        <v>666.71695288764772</v>
      </c>
      <c r="L109" s="441">
        <f>RANK(H109,$H$2:$H$110,1)</f>
        <v>108</v>
      </c>
      <c r="M109" s="230">
        <f>RANK(I109,$I$2:$I$110,1)</f>
        <v>105</v>
      </c>
      <c r="N109" s="438">
        <f>RANK(J109,$J$2:$J$110,1)</f>
        <v>108</v>
      </c>
      <c r="O109" s="438">
        <f>RANK(K109,$K$2:$K$110,1)</f>
        <v>105</v>
      </c>
      <c r="P109" s="442">
        <v>0</v>
      </c>
      <c r="Q109" s="442">
        <v>0</v>
      </c>
      <c r="R109" s="439">
        <v>-5</v>
      </c>
      <c r="S109" s="439">
        <f>RANK(U109,$U$2:$U$110,0)</f>
        <v>46</v>
      </c>
      <c r="T109" s="440">
        <f>Table2[[#This Row],[BDG]]/Table2[[#This Row],[Odds]]</f>
        <v>29.592356687898093</v>
      </c>
      <c r="U109" s="440" cm="1">
        <f t="array" ref="U109">MAX(_xlfn._xlws.FILTER(Table22[[B365]:[MATCHBOOK]], Table22[PLAYER] = A109))</f>
        <v>15.7</v>
      </c>
    </row>
    <row r="110" spans="1:28" hidden="1">
      <c r="A110" s="438" t="s">
        <v>221</v>
      </c>
      <c r="B110" s="439">
        <v>183</v>
      </c>
      <c r="C110" s="439">
        <v>72</v>
      </c>
      <c r="D110" s="439">
        <v>161</v>
      </c>
      <c r="E110" s="439">
        <v>180</v>
      </c>
      <c r="F110" s="439">
        <v>194</v>
      </c>
      <c r="G110" s="439">
        <v>194</v>
      </c>
      <c r="H110" s="439">
        <v>482.4</v>
      </c>
      <c r="I110" s="440">
        <v>697.56319005907005</v>
      </c>
      <c r="J110" s="259">
        <v>482.4</v>
      </c>
      <c r="K110" s="260">
        <v>697.56319005907005</v>
      </c>
      <c r="L110" s="441">
        <f>RANK(H110,$H$2:$H$110,1)</f>
        <v>109</v>
      </c>
      <c r="M110" s="230">
        <f>RANK(I110,$I$2:$I$110,1)</f>
        <v>109</v>
      </c>
      <c r="N110" s="438">
        <f>RANK(J110,$J$2:$J$110,1)</f>
        <v>109</v>
      </c>
      <c r="O110" s="438">
        <f>RANK(K110,$K$2:$K$110,1)</f>
        <v>109</v>
      </c>
      <c r="P110" s="442">
        <v>0</v>
      </c>
      <c r="Q110" s="442">
        <v>0</v>
      </c>
      <c r="R110" s="439" t="e">
        <v>#N/A</v>
      </c>
      <c r="S110" s="439">
        <f>RANK(U110,$U$2:$U$110,0)</f>
        <v>5</v>
      </c>
      <c r="T110" s="440">
        <f>Table2[[#This Row],[BDG]]/Table2[[#This Row],[Odds]]</f>
        <v>4.776237623762376</v>
      </c>
      <c r="U110" s="440" cm="1">
        <f t="array" ref="U110">MAX(_xlfn._xlws.FILTER(Table22[[B365]:[MATCHBOOK]], Table22[PLAYER] = A110))</f>
        <v>101</v>
      </c>
    </row>
  </sheetData>
  <sortState xmlns:xlrd2="http://schemas.microsoft.com/office/spreadsheetml/2017/richdata2" ref="X2:AA106">
    <sortCondition ref="AA1:AA106"/>
  </sortState>
  <conditionalFormatting sqref="J1:K1048576 N1:O1048576 S1:S1048576">
    <cfRule type="containsErrors" dxfId="551" priority="86">
      <formula>ISERROR(J1)</formula>
    </cfRule>
  </conditionalFormatting>
  <conditionalFormatting sqref="P1:Q1048576">
    <cfRule type="cellIs" dxfId="550" priority="76" operator="greaterThanOrEqual">
      <formula>20%</formula>
    </cfRule>
    <cfRule type="cellIs" dxfId="549" priority="77" operator="between">
      <formula>10%</formula>
      <formula>20%</formula>
    </cfRule>
    <cfRule type="cellIs" dxfId="548" priority="79" operator="between">
      <formula>0.01%</formula>
      <formula>10%</formula>
    </cfRule>
  </conditionalFormatting>
  <conditionalFormatting sqref="R1:R1048576">
    <cfRule type="cellIs" dxfId="547" priority="61" operator="between">
      <formula>-5</formula>
      <formula>-9</formula>
    </cfRule>
    <cfRule type="cellIs" dxfId="546" priority="62" operator="lessThanOrEqual">
      <formula>-10</formula>
    </cfRule>
    <cfRule type="cellIs" dxfId="545" priority="63" operator="between">
      <formula>5</formula>
      <formula>9</formula>
    </cfRule>
    <cfRule type="cellIs" dxfId="544" priority="64" operator="greaterThanOrEqual">
      <formula>10</formula>
    </cfRule>
  </conditionalFormatting>
  <conditionalFormatting sqref="B1:G1048576 L2:O1048576 S1:S1048576">
    <cfRule type="cellIs" dxfId="543" priority="81" operator="between">
      <formula>101</formula>
      <formula>250</formula>
    </cfRule>
    <cfRule type="cellIs" dxfId="542" priority="82" operator="between">
      <formula>51</formula>
      <formula>100.5</formula>
    </cfRule>
    <cfRule type="cellIs" dxfId="541" priority="83" operator="between">
      <formula>21</formula>
      <formula>50.5</formula>
    </cfRule>
    <cfRule type="cellIs" dxfId="540" priority="84" operator="lessThanOrEqual">
      <formula>20.5</formula>
    </cfRule>
  </conditionalFormatting>
  <conditionalFormatting sqref="A1:A1048576">
    <cfRule type="expression" dxfId="539" priority="53952">
      <formula>$T1=MIN($T$2:$T$9)</formula>
    </cfRule>
    <cfRule type="expression" dxfId="538" priority="53953">
      <formula>$T1=MIN($T$10:$T$21)</formula>
    </cfRule>
    <cfRule type="expression" dxfId="537" priority="53954">
      <formula>$T1=MIN($T$22:$T$35)</formula>
    </cfRule>
    <cfRule type="expression" dxfId="536" priority="53955">
      <formula>$T1=MIN($T$36:$T$74)</formula>
    </cfRule>
    <cfRule type="expression" dxfId="535" priority="53956">
      <formula>AND($L1&lt;=3, $M1&gt;3)</formula>
    </cfRule>
    <cfRule type="expression" dxfId="534" priority="53957">
      <formula>AND($L1&gt;3, $M1&lt;=3)</formula>
    </cfRule>
    <cfRule type="expression" dxfId="533" priority="53958">
      <formula>AND($N1&lt;=3, $O1&gt;3)</formula>
    </cfRule>
    <cfRule type="expression" dxfId="532" priority="53959">
      <formula>AND($N1&gt;3, $O1&lt;=3)</formula>
    </cfRule>
    <cfRule type="expression" dxfId="531" priority="53960">
      <formula>AND($L1&lt;=3, $M1&lt;=3)</formula>
    </cfRule>
    <cfRule type="expression" dxfId="530" priority="53961">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1C492-4951-41EE-87FC-FBA215EBB304}">
  <sheetPr codeName="Sheet18">
    <tabColor theme="1"/>
  </sheetPr>
  <dimension ref="A1:AA137"/>
  <sheetViews>
    <sheetView workbookViewId="0">
      <selection activeCell="M183" sqref="M183"/>
    </sheetView>
  </sheetViews>
  <sheetFormatPr defaultRowHeight="15"/>
  <cols>
    <col min="1" max="1" width="18" customWidth="1"/>
  </cols>
  <sheetData>
    <row r="1" spans="1:27" ht="30.75" customHeight="1">
      <c r="A1" s="439"/>
      <c r="B1" s="439"/>
      <c r="C1" s="439"/>
      <c r="D1" s="439"/>
      <c r="E1" s="439"/>
      <c r="F1" s="439"/>
      <c r="G1" s="439"/>
      <c r="H1" s="439"/>
      <c r="I1" s="439"/>
      <c r="J1" s="439"/>
      <c r="K1" s="439"/>
      <c r="L1" s="439"/>
      <c r="M1" s="439"/>
      <c r="N1" s="439"/>
      <c r="O1" s="439"/>
      <c r="P1" s="439"/>
      <c r="Q1" s="439"/>
      <c r="R1" s="439"/>
      <c r="S1" s="439"/>
      <c r="T1" s="439"/>
      <c r="U1" s="439"/>
      <c r="V1" s="439"/>
      <c r="W1" s="439"/>
      <c r="X1" s="439"/>
      <c r="Y1" s="439"/>
      <c r="Z1" s="439"/>
      <c r="AA1" s="439"/>
    </row>
    <row r="2" spans="1:27" ht="15.75" thickBot="1">
      <c r="A2" s="448"/>
      <c r="B2" s="439"/>
      <c r="C2" s="439"/>
      <c r="D2" s="439"/>
      <c r="E2" s="439"/>
      <c r="F2" s="439"/>
      <c r="G2" s="439"/>
      <c r="H2" s="439"/>
      <c r="I2" s="439"/>
      <c r="J2" s="439"/>
      <c r="K2" s="439"/>
      <c r="L2" s="439"/>
      <c r="M2" s="439"/>
      <c r="N2" s="439"/>
      <c r="O2" s="439"/>
      <c r="P2" s="439"/>
      <c r="Q2" s="439"/>
      <c r="R2" s="439"/>
      <c r="S2" s="439"/>
      <c r="T2" s="439"/>
      <c r="U2" s="439"/>
      <c r="V2" s="439"/>
      <c r="W2" s="439"/>
      <c r="X2" s="439"/>
      <c r="Y2" s="439"/>
      <c r="Z2" s="439"/>
      <c r="AA2" s="439"/>
    </row>
    <row r="3" spans="1:27" ht="15.75" thickBot="1">
      <c r="A3" s="399" t="s">
        <v>95</v>
      </c>
      <c r="B3" s="401">
        <v>2.63</v>
      </c>
      <c r="C3" s="400">
        <v>2.38</v>
      </c>
      <c r="D3" s="451"/>
      <c r="E3" s="400">
        <v>2.5</v>
      </c>
      <c r="F3" s="400">
        <v>2.63</v>
      </c>
      <c r="G3" s="451"/>
      <c r="H3" s="401">
        <v>2.63</v>
      </c>
      <c r="I3" s="400">
        <v>2.2999999999999998</v>
      </c>
      <c r="J3" s="400">
        <v>2.63</v>
      </c>
      <c r="K3" s="450">
        <v>2.8</v>
      </c>
      <c r="L3" s="401">
        <v>2.63</v>
      </c>
      <c r="M3" s="400">
        <v>2.63</v>
      </c>
      <c r="N3" s="401">
        <v>2.5</v>
      </c>
      <c r="O3" s="400">
        <v>2.5</v>
      </c>
      <c r="P3" s="400">
        <v>2.5</v>
      </c>
      <c r="Q3" s="400">
        <v>2.63</v>
      </c>
      <c r="R3" s="450">
        <v>2.8</v>
      </c>
      <c r="S3" s="401">
        <v>2.62</v>
      </c>
      <c r="T3" s="401">
        <v>2.7</v>
      </c>
      <c r="U3" s="400">
        <v>2.62</v>
      </c>
      <c r="V3" s="400">
        <v>2.2999999999999998</v>
      </c>
      <c r="W3" s="401">
        <v>2.7</v>
      </c>
      <c r="X3" s="451"/>
      <c r="Y3" s="402"/>
      <c r="Z3" s="450">
        <v>2.94</v>
      </c>
      <c r="AA3" s="401">
        <v>2.86</v>
      </c>
    </row>
    <row r="4" spans="1:27" ht="15.75" thickBot="1">
      <c r="A4" s="302" t="s">
        <v>441</v>
      </c>
      <c r="B4" s="444">
        <v>2.9</v>
      </c>
      <c r="C4" s="445">
        <v>2.63</v>
      </c>
      <c r="D4" s="447"/>
      <c r="E4" s="445">
        <v>2.75</v>
      </c>
      <c r="F4" s="445">
        <v>2.8</v>
      </c>
      <c r="G4" s="447"/>
      <c r="H4" s="446">
        <v>2.8</v>
      </c>
      <c r="I4" s="445">
        <v>2.37</v>
      </c>
      <c r="J4" s="446">
        <v>2.75</v>
      </c>
      <c r="K4" s="446">
        <v>2.75</v>
      </c>
      <c r="L4" s="446">
        <v>2.8</v>
      </c>
      <c r="M4" s="446">
        <v>2.75</v>
      </c>
      <c r="N4" s="445">
        <v>2.63</v>
      </c>
      <c r="O4" s="445">
        <v>2.88</v>
      </c>
      <c r="P4" s="445">
        <v>2.7</v>
      </c>
      <c r="Q4" s="446">
        <v>2.75</v>
      </c>
      <c r="R4" s="446">
        <v>2.75</v>
      </c>
      <c r="S4" s="446">
        <v>2.8</v>
      </c>
      <c r="T4" s="444">
        <v>2.9</v>
      </c>
      <c r="U4" s="445">
        <v>2.88</v>
      </c>
      <c r="V4" s="445">
        <v>2.37</v>
      </c>
      <c r="W4" s="444">
        <v>2.9</v>
      </c>
      <c r="X4" s="447"/>
      <c r="Y4" s="380"/>
      <c r="Z4" s="444">
        <v>3.16</v>
      </c>
      <c r="AA4" s="446">
        <v>2.4700000000000002</v>
      </c>
    </row>
    <row r="5" spans="1:27" ht="15.75" thickBot="1">
      <c r="A5" s="302" t="s">
        <v>115</v>
      </c>
      <c r="B5" s="446">
        <v>3.4</v>
      </c>
      <c r="C5" s="445">
        <v>3</v>
      </c>
      <c r="D5" s="447"/>
      <c r="E5" s="445">
        <v>3.25</v>
      </c>
      <c r="F5" s="445">
        <v>3.3</v>
      </c>
      <c r="G5" s="447"/>
      <c r="H5" s="445">
        <v>3.4</v>
      </c>
      <c r="I5" s="445">
        <v>3</v>
      </c>
      <c r="J5" s="445">
        <v>2.75</v>
      </c>
      <c r="K5" s="444">
        <v>3.5</v>
      </c>
      <c r="L5" s="445">
        <v>3.4</v>
      </c>
      <c r="M5" s="445">
        <v>2.75</v>
      </c>
      <c r="N5" s="445">
        <v>3.25</v>
      </c>
      <c r="O5" s="445">
        <v>3.25</v>
      </c>
      <c r="P5" s="445">
        <v>3.1</v>
      </c>
      <c r="Q5" s="445">
        <v>2.75</v>
      </c>
      <c r="R5" s="444">
        <v>3.5</v>
      </c>
      <c r="S5" s="445">
        <v>3.4</v>
      </c>
      <c r="T5" s="444">
        <v>3.5</v>
      </c>
      <c r="U5" s="445">
        <v>3.4</v>
      </c>
      <c r="V5" s="445">
        <v>3</v>
      </c>
      <c r="W5" s="444">
        <v>3.5</v>
      </c>
      <c r="X5" s="447"/>
      <c r="Y5" s="380"/>
      <c r="Z5" s="444">
        <v>3.79</v>
      </c>
      <c r="AA5" s="446">
        <v>3.25</v>
      </c>
    </row>
    <row r="6" spans="1:27" ht="15.75" thickBot="1">
      <c r="A6" s="302" t="s">
        <v>152</v>
      </c>
      <c r="B6" s="445">
        <v>3.6</v>
      </c>
      <c r="C6" s="445">
        <v>3.25</v>
      </c>
      <c r="D6" s="447"/>
      <c r="E6" s="445">
        <v>3.5</v>
      </c>
      <c r="F6" s="445">
        <v>3.5</v>
      </c>
      <c r="G6" s="447"/>
      <c r="H6" s="445">
        <v>3.6</v>
      </c>
      <c r="I6" s="445">
        <v>3.2</v>
      </c>
      <c r="J6" s="445">
        <v>3.25</v>
      </c>
      <c r="K6" s="444">
        <v>3.8</v>
      </c>
      <c r="L6" s="445">
        <v>3.6</v>
      </c>
      <c r="M6" s="445">
        <v>3.25</v>
      </c>
      <c r="N6" s="445">
        <v>3.5</v>
      </c>
      <c r="O6" s="445">
        <v>3.5</v>
      </c>
      <c r="P6" s="446">
        <v>3.4</v>
      </c>
      <c r="Q6" s="445">
        <v>3.25</v>
      </c>
      <c r="R6" s="444">
        <v>3.8</v>
      </c>
      <c r="S6" s="445">
        <v>3.6</v>
      </c>
      <c r="T6" s="445">
        <v>3.7</v>
      </c>
      <c r="U6" s="445">
        <v>3.5</v>
      </c>
      <c r="V6" s="445">
        <v>3.2</v>
      </c>
      <c r="W6" s="445">
        <v>3.7</v>
      </c>
      <c r="X6" s="447"/>
      <c r="Y6" s="380"/>
      <c r="Z6" s="444">
        <v>4.43</v>
      </c>
      <c r="AA6" s="444">
        <v>4.43</v>
      </c>
    </row>
    <row r="7" spans="1:27" ht="15.75" thickBot="1">
      <c r="A7" s="302" t="s">
        <v>26</v>
      </c>
      <c r="B7" s="446">
        <v>4.2</v>
      </c>
      <c r="C7" s="445">
        <v>4</v>
      </c>
      <c r="D7" s="447"/>
      <c r="E7" s="444">
        <v>4.33</v>
      </c>
      <c r="F7" s="444">
        <v>4.33</v>
      </c>
      <c r="G7" s="447"/>
      <c r="H7" s="446">
        <v>3.8</v>
      </c>
      <c r="I7" s="445">
        <v>4</v>
      </c>
      <c r="J7" s="446">
        <v>3.25</v>
      </c>
      <c r="K7" s="446">
        <v>3.6</v>
      </c>
      <c r="L7" s="446">
        <v>3.8</v>
      </c>
      <c r="M7" s="446">
        <v>3.25</v>
      </c>
      <c r="N7" s="446">
        <v>3.75</v>
      </c>
      <c r="O7" s="444">
        <v>4.33</v>
      </c>
      <c r="P7" s="446">
        <v>3.75</v>
      </c>
      <c r="Q7" s="446">
        <v>3.25</v>
      </c>
      <c r="R7" s="446">
        <v>3.6</v>
      </c>
      <c r="S7" s="445">
        <v>3.8</v>
      </c>
      <c r="T7" s="446">
        <v>4</v>
      </c>
      <c r="U7" s="445">
        <v>4</v>
      </c>
      <c r="V7" s="445">
        <v>4</v>
      </c>
      <c r="W7" s="446">
        <v>4</v>
      </c>
      <c r="X7" s="447"/>
      <c r="Y7" s="380"/>
      <c r="Z7" s="444">
        <v>4.63</v>
      </c>
      <c r="AA7" s="446">
        <v>3.84</v>
      </c>
    </row>
    <row r="8" spans="1:27" ht="15.75" thickBot="1">
      <c r="A8" s="302" t="s">
        <v>121</v>
      </c>
      <c r="B8" s="445">
        <v>4.2</v>
      </c>
      <c r="C8" s="445">
        <v>4</v>
      </c>
      <c r="D8" s="447"/>
      <c r="E8" s="445">
        <v>4.33</v>
      </c>
      <c r="F8" s="445">
        <v>4</v>
      </c>
      <c r="G8" s="447"/>
      <c r="H8" s="445">
        <v>3.8</v>
      </c>
      <c r="I8" s="445">
        <v>4</v>
      </c>
      <c r="J8" s="444">
        <v>4.3499999999999996</v>
      </c>
      <c r="K8" s="446">
        <v>3.8</v>
      </c>
      <c r="L8" s="445">
        <v>3.8</v>
      </c>
      <c r="M8" s="444">
        <v>4.3499999999999996</v>
      </c>
      <c r="N8" s="445">
        <v>3.6</v>
      </c>
      <c r="O8" s="445">
        <v>4.33</v>
      </c>
      <c r="P8" s="445">
        <v>4</v>
      </c>
      <c r="Q8" s="444">
        <v>4.3499999999999996</v>
      </c>
      <c r="R8" s="446">
        <v>3.8</v>
      </c>
      <c r="S8" s="445">
        <v>3.8</v>
      </c>
      <c r="T8" s="445">
        <v>4</v>
      </c>
      <c r="U8" s="445">
        <v>4</v>
      </c>
      <c r="V8" s="445">
        <v>4</v>
      </c>
      <c r="W8" s="445">
        <v>4</v>
      </c>
      <c r="X8" s="447"/>
      <c r="Y8" s="380"/>
      <c r="Z8" s="444">
        <v>4.53</v>
      </c>
      <c r="AA8" s="446">
        <v>3.94</v>
      </c>
    </row>
    <row r="9" spans="1:27" ht="30.75" customHeight="1" thickBot="1">
      <c r="A9" s="302" t="s">
        <v>28</v>
      </c>
      <c r="B9" s="445">
        <v>4.2</v>
      </c>
      <c r="C9" s="445">
        <v>4</v>
      </c>
      <c r="D9" s="447"/>
      <c r="E9" s="445">
        <v>4.33</v>
      </c>
      <c r="F9" s="445">
        <v>4.2</v>
      </c>
      <c r="G9" s="447"/>
      <c r="H9" s="445">
        <v>4.2</v>
      </c>
      <c r="I9" s="445">
        <v>3.6</v>
      </c>
      <c r="J9" s="444">
        <v>4.3499999999999996</v>
      </c>
      <c r="K9" s="445">
        <v>3.8</v>
      </c>
      <c r="L9" s="445">
        <v>4.2</v>
      </c>
      <c r="M9" s="444">
        <v>4.3499999999999996</v>
      </c>
      <c r="N9" s="445">
        <v>4</v>
      </c>
      <c r="O9" s="445">
        <v>4.33</v>
      </c>
      <c r="P9" s="445">
        <v>4.2</v>
      </c>
      <c r="Q9" s="444">
        <v>4.3499999999999996</v>
      </c>
      <c r="R9" s="445">
        <v>3.8</v>
      </c>
      <c r="S9" s="445">
        <v>4.2</v>
      </c>
      <c r="T9" s="445">
        <v>4.2</v>
      </c>
      <c r="U9" s="445">
        <v>4</v>
      </c>
      <c r="V9" s="445">
        <v>3.6</v>
      </c>
      <c r="W9" s="445">
        <v>4.2</v>
      </c>
      <c r="X9" s="447"/>
      <c r="Y9" s="380"/>
      <c r="Z9" s="444">
        <v>4.63</v>
      </c>
      <c r="AA9" s="446">
        <v>4.43</v>
      </c>
    </row>
    <row r="10" spans="1:27" ht="15.75" thickBot="1">
      <c r="A10" s="302" t="s">
        <v>632</v>
      </c>
      <c r="B10" s="445">
        <v>4.2</v>
      </c>
      <c r="C10" s="445">
        <v>4</v>
      </c>
      <c r="D10" s="447"/>
      <c r="E10" s="445">
        <v>4.33</v>
      </c>
      <c r="F10" s="445">
        <v>4.33</v>
      </c>
      <c r="G10" s="447"/>
      <c r="H10" s="445">
        <v>4.2</v>
      </c>
      <c r="I10" s="445">
        <v>4</v>
      </c>
      <c r="J10" s="445">
        <v>4.3499999999999996</v>
      </c>
      <c r="K10" s="446">
        <v>4.33</v>
      </c>
      <c r="L10" s="445">
        <v>4.2</v>
      </c>
      <c r="M10" s="445">
        <v>4.3499999999999996</v>
      </c>
      <c r="N10" s="445">
        <v>4</v>
      </c>
      <c r="O10" s="445">
        <v>4.33</v>
      </c>
      <c r="P10" s="445">
        <v>4</v>
      </c>
      <c r="Q10" s="445">
        <v>4.3499999999999996</v>
      </c>
      <c r="R10" s="446">
        <v>4.33</v>
      </c>
      <c r="S10" s="445">
        <v>4.2</v>
      </c>
      <c r="T10" s="444">
        <v>4.4000000000000004</v>
      </c>
      <c r="U10" s="445">
        <v>4.33</v>
      </c>
      <c r="V10" s="445">
        <v>4</v>
      </c>
      <c r="W10" s="444">
        <v>4.4000000000000004</v>
      </c>
      <c r="X10" s="447"/>
      <c r="Y10" s="380"/>
      <c r="Z10" s="444">
        <v>4.72</v>
      </c>
      <c r="AA10" s="446">
        <v>4.63</v>
      </c>
    </row>
    <row r="11" spans="1:27" ht="15.75" thickBot="1">
      <c r="A11" s="302" t="s">
        <v>122</v>
      </c>
      <c r="B11" s="445">
        <v>4.2</v>
      </c>
      <c r="C11" s="445">
        <v>4</v>
      </c>
      <c r="D11" s="447"/>
      <c r="E11" s="445">
        <v>4</v>
      </c>
      <c r="F11" s="445">
        <v>4.2</v>
      </c>
      <c r="G11" s="447"/>
      <c r="H11" s="446">
        <v>4.33</v>
      </c>
      <c r="I11" s="445">
        <v>3.6</v>
      </c>
      <c r="J11" s="445">
        <v>3.75</v>
      </c>
      <c r="K11" s="445">
        <v>3.8</v>
      </c>
      <c r="L11" s="446">
        <v>4.33</v>
      </c>
      <c r="M11" s="445">
        <v>3.75</v>
      </c>
      <c r="N11" s="446">
        <v>4</v>
      </c>
      <c r="O11" s="445">
        <v>4.33</v>
      </c>
      <c r="P11" s="446">
        <v>4.2</v>
      </c>
      <c r="Q11" s="445">
        <v>3.75</v>
      </c>
      <c r="R11" s="445">
        <v>3.8</v>
      </c>
      <c r="S11" s="446">
        <v>4.33</v>
      </c>
      <c r="T11" s="444">
        <v>4.4000000000000004</v>
      </c>
      <c r="U11" s="445">
        <v>4</v>
      </c>
      <c r="V11" s="445">
        <v>3.6</v>
      </c>
      <c r="W11" s="444">
        <v>4.4000000000000004</v>
      </c>
      <c r="X11" s="447"/>
      <c r="Y11" s="380"/>
      <c r="Z11" s="446">
        <v>4.63</v>
      </c>
      <c r="AA11" s="444">
        <v>5.51</v>
      </c>
    </row>
    <row r="12" spans="1:27" ht="15.75" thickBot="1">
      <c r="A12" s="302" t="s">
        <v>162</v>
      </c>
      <c r="B12" s="445">
        <v>4.5</v>
      </c>
      <c r="C12" s="445">
        <v>4</v>
      </c>
      <c r="D12" s="447"/>
      <c r="E12" s="445">
        <v>4.33</v>
      </c>
      <c r="F12" s="445">
        <v>4.5</v>
      </c>
      <c r="G12" s="447"/>
      <c r="H12" s="445">
        <v>4.5</v>
      </c>
      <c r="I12" s="445">
        <v>4</v>
      </c>
      <c r="J12" s="445">
        <v>4.3499999999999996</v>
      </c>
      <c r="K12" s="445">
        <v>4</v>
      </c>
      <c r="L12" s="445">
        <v>4.5</v>
      </c>
      <c r="M12" s="445">
        <v>4.3499999999999996</v>
      </c>
      <c r="N12" s="445">
        <v>4.33</v>
      </c>
      <c r="O12" s="445">
        <v>4.33</v>
      </c>
      <c r="P12" s="445">
        <v>4.2</v>
      </c>
      <c r="Q12" s="445">
        <v>4.3499999999999996</v>
      </c>
      <c r="R12" s="445">
        <v>4</v>
      </c>
      <c r="S12" s="445">
        <v>4.5</v>
      </c>
      <c r="T12" s="444">
        <v>4.5999999999999996</v>
      </c>
      <c r="U12" s="445">
        <v>4.5</v>
      </c>
      <c r="V12" s="445">
        <v>4</v>
      </c>
      <c r="W12" s="444">
        <v>4.5999999999999996</v>
      </c>
      <c r="X12" s="447"/>
      <c r="Y12" s="380"/>
      <c r="Z12" s="444">
        <v>4.92</v>
      </c>
      <c r="AA12" s="445">
        <v>4.04</v>
      </c>
    </row>
    <row r="13" spans="1:27" ht="15.75" thickBot="1">
      <c r="A13" s="302" t="s">
        <v>30</v>
      </c>
      <c r="B13" s="444">
        <v>4.75</v>
      </c>
      <c r="C13" s="445">
        <v>4.33</v>
      </c>
      <c r="D13" s="447"/>
      <c r="E13" s="445">
        <v>4.33</v>
      </c>
      <c r="F13" s="445">
        <v>4.5</v>
      </c>
      <c r="G13" s="447"/>
      <c r="H13" s="445">
        <v>4.5999999999999996</v>
      </c>
      <c r="I13" s="445">
        <v>4</v>
      </c>
      <c r="J13" s="445">
        <v>4.3499999999999996</v>
      </c>
      <c r="K13" s="446">
        <v>4.5</v>
      </c>
      <c r="L13" s="445">
        <v>4.5999999999999996</v>
      </c>
      <c r="M13" s="445">
        <v>4.3499999999999996</v>
      </c>
      <c r="N13" s="445">
        <v>4.33</v>
      </c>
      <c r="O13" s="445">
        <v>4.5</v>
      </c>
      <c r="P13" s="445">
        <v>4.33</v>
      </c>
      <c r="Q13" s="445">
        <v>4.3499999999999996</v>
      </c>
      <c r="R13" s="446">
        <v>4.5</v>
      </c>
      <c r="S13" s="445">
        <v>4.5999999999999996</v>
      </c>
      <c r="T13" s="447"/>
      <c r="U13" s="445">
        <v>4.5</v>
      </c>
      <c r="V13" s="445">
        <v>4</v>
      </c>
      <c r="W13" s="447"/>
      <c r="X13" s="447"/>
      <c r="Y13" s="380"/>
      <c r="Z13" s="444">
        <v>5.0199999999999996</v>
      </c>
      <c r="AA13" s="446">
        <v>4.63</v>
      </c>
    </row>
    <row r="14" spans="1:27" ht="15.75" thickBot="1">
      <c r="A14" s="302" t="s">
        <v>151</v>
      </c>
      <c r="B14" s="445">
        <v>4.75</v>
      </c>
      <c r="C14" s="445">
        <v>4.33</v>
      </c>
      <c r="D14" s="447"/>
      <c r="E14" s="445">
        <v>4.33</v>
      </c>
      <c r="F14" s="445">
        <v>4.5</v>
      </c>
      <c r="G14" s="447"/>
      <c r="H14" s="445">
        <v>4.5</v>
      </c>
      <c r="I14" s="445">
        <v>4.33</v>
      </c>
      <c r="J14" s="445">
        <v>4.3499999999999996</v>
      </c>
      <c r="K14" s="446">
        <v>4.5</v>
      </c>
      <c r="L14" s="445">
        <v>4.5</v>
      </c>
      <c r="M14" s="445">
        <v>4.3499999999999996</v>
      </c>
      <c r="N14" s="445">
        <v>4.33</v>
      </c>
      <c r="O14" s="444">
        <v>5</v>
      </c>
      <c r="P14" s="445">
        <v>4.4000000000000004</v>
      </c>
      <c r="Q14" s="445">
        <v>4.3499999999999996</v>
      </c>
      <c r="R14" s="446">
        <v>4.5</v>
      </c>
      <c r="S14" s="445">
        <v>4.5</v>
      </c>
      <c r="T14" s="445">
        <v>4.7</v>
      </c>
      <c r="U14" s="445">
        <v>4.5</v>
      </c>
      <c r="V14" s="445">
        <v>4.33</v>
      </c>
      <c r="W14" s="445">
        <v>4.7</v>
      </c>
      <c r="X14" s="447"/>
      <c r="Y14" s="380"/>
      <c r="Z14" s="446">
        <v>5.21</v>
      </c>
      <c r="AA14" s="444">
        <v>6.1</v>
      </c>
    </row>
    <row r="15" spans="1:27" ht="15.75" thickBot="1">
      <c r="A15" s="302" t="s">
        <v>97</v>
      </c>
      <c r="B15" s="445">
        <v>4.75</v>
      </c>
      <c r="C15" s="445">
        <v>4</v>
      </c>
      <c r="D15" s="447"/>
      <c r="E15" s="445">
        <v>4.5</v>
      </c>
      <c r="F15" s="446">
        <v>4.5999999999999996</v>
      </c>
      <c r="G15" s="447"/>
      <c r="H15" s="445">
        <v>4.5999999999999996</v>
      </c>
      <c r="I15" s="445">
        <v>4</v>
      </c>
      <c r="J15" s="445">
        <v>4.3499999999999996</v>
      </c>
      <c r="K15" s="445">
        <v>4.75</v>
      </c>
      <c r="L15" s="445">
        <v>4.5999999999999996</v>
      </c>
      <c r="M15" s="445">
        <v>4.3499999999999996</v>
      </c>
      <c r="N15" s="445">
        <v>4.5</v>
      </c>
      <c r="O15" s="444">
        <v>5</v>
      </c>
      <c r="P15" s="445">
        <v>4.33</v>
      </c>
      <c r="Q15" s="445">
        <v>4.3499999999999996</v>
      </c>
      <c r="R15" s="445">
        <v>4.75</v>
      </c>
      <c r="S15" s="445">
        <v>4.5999999999999996</v>
      </c>
      <c r="T15" s="447"/>
      <c r="U15" s="446">
        <v>4.5</v>
      </c>
      <c r="V15" s="445">
        <v>4</v>
      </c>
      <c r="W15" s="447"/>
      <c r="X15" s="447"/>
      <c r="Y15" s="380"/>
      <c r="Z15" s="444">
        <v>5.51</v>
      </c>
      <c r="AA15" s="446">
        <v>4.2300000000000004</v>
      </c>
    </row>
    <row r="16" spans="1:27" ht="15.75" thickBot="1">
      <c r="A16" s="302" t="s">
        <v>551</v>
      </c>
      <c r="B16" s="444">
        <v>5.5</v>
      </c>
      <c r="C16" s="445">
        <v>4.5</v>
      </c>
      <c r="D16" s="447"/>
      <c r="E16" s="444">
        <v>5.5</v>
      </c>
      <c r="F16" s="445">
        <v>5</v>
      </c>
      <c r="G16" s="447"/>
      <c r="H16" s="445">
        <v>5</v>
      </c>
      <c r="I16" s="445">
        <v>4.5</v>
      </c>
      <c r="J16" s="444">
        <v>5.5</v>
      </c>
      <c r="K16" s="446">
        <v>4.75</v>
      </c>
      <c r="L16" s="445">
        <v>5</v>
      </c>
      <c r="M16" s="444">
        <v>5.5</v>
      </c>
      <c r="N16" s="446">
        <v>4.5</v>
      </c>
      <c r="O16" s="445">
        <v>5</v>
      </c>
      <c r="P16" s="446">
        <v>4.5999999999999996</v>
      </c>
      <c r="Q16" s="444">
        <v>5.5</v>
      </c>
      <c r="R16" s="446">
        <v>4.75</v>
      </c>
      <c r="S16" s="446">
        <v>5</v>
      </c>
      <c r="T16" s="444">
        <v>5.5</v>
      </c>
      <c r="U16" s="445">
        <v>5</v>
      </c>
      <c r="V16" s="445">
        <v>4.5</v>
      </c>
      <c r="W16" s="444">
        <v>5.5</v>
      </c>
      <c r="X16" s="447"/>
      <c r="Y16" s="380"/>
      <c r="Z16" s="444">
        <v>5.9</v>
      </c>
      <c r="AA16" s="445">
        <v>5.7</v>
      </c>
    </row>
    <row r="17" spans="1:27" ht="15.75" thickBot="1">
      <c r="A17" s="302" t="s">
        <v>384</v>
      </c>
      <c r="B17" s="444">
        <v>5.5</v>
      </c>
      <c r="C17" s="445">
        <v>5</v>
      </c>
      <c r="D17" s="447"/>
      <c r="E17" s="445">
        <v>5</v>
      </c>
      <c r="F17" s="445">
        <v>5</v>
      </c>
      <c r="G17" s="447"/>
      <c r="H17" s="445">
        <v>5</v>
      </c>
      <c r="I17" s="445">
        <v>4.5</v>
      </c>
      <c r="J17" s="444">
        <v>5.5</v>
      </c>
      <c r="K17" s="446">
        <v>5.25</v>
      </c>
      <c r="L17" s="445">
        <v>5</v>
      </c>
      <c r="M17" s="444">
        <v>5.5</v>
      </c>
      <c r="N17" s="445">
        <v>5</v>
      </c>
      <c r="O17" s="444">
        <v>5.5</v>
      </c>
      <c r="P17" s="445">
        <v>5</v>
      </c>
      <c r="Q17" s="444">
        <v>5.5</v>
      </c>
      <c r="R17" s="446">
        <v>5.25</v>
      </c>
      <c r="S17" s="445">
        <v>5</v>
      </c>
      <c r="T17" s="445">
        <v>5.25</v>
      </c>
      <c r="U17" s="445">
        <v>5</v>
      </c>
      <c r="V17" s="445">
        <v>4.5</v>
      </c>
      <c r="W17" s="445">
        <v>5.25</v>
      </c>
      <c r="X17" s="447"/>
      <c r="Y17" s="380"/>
      <c r="Z17" s="446">
        <v>6.29</v>
      </c>
      <c r="AA17" s="444">
        <v>6.88</v>
      </c>
    </row>
    <row r="18" spans="1:27" ht="15.75" thickBot="1">
      <c r="A18" s="302" t="s">
        <v>633</v>
      </c>
      <c r="B18" s="445">
        <v>5.75</v>
      </c>
      <c r="C18" s="445">
        <v>5</v>
      </c>
      <c r="D18" s="447"/>
      <c r="E18" s="445">
        <v>5</v>
      </c>
      <c r="F18" s="445">
        <v>5</v>
      </c>
      <c r="G18" s="447"/>
      <c r="H18" s="445">
        <v>5.5</v>
      </c>
      <c r="I18" s="445">
        <v>4.5</v>
      </c>
      <c r="J18" s="445">
        <v>4.3499999999999996</v>
      </c>
      <c r="K18" s="445">
        <v>5.5</v>
      </c>
      <c r="L18" s="445">
        <v>5.5</v>
      </c>
      <c r="M18" s="445">
        <v>4.3499999999999996</v>
      </c>
      <c r="N18" s="445">
        <v>5.5</v>
      </c>
      <c r="O18" s="445">
        <v>5.5</v>
      </c>
      <c r="P18" s="445">
        <v>5</v>
      </c>
      <c r="Q18" s="445">
        <v>4.3499999999999996</v>
      </c>
      <c r="R18" s="445">
        <v>5.5</v>
      </c>
      <c r="S18" s="445">
        <v>5.5</v>
      </c>
      <c r="T18" s="444">
        <v>6</v>
      </c>
      <c r="U18" s="445">
        <v>5</v>
      </c>
      <c r="V18" s="445">
        <v>4.5</v>
      </c>
      <c r="W18" s="444">
        <v>6</v>
      </c>
      <c r="X18" s="447"/>
      <c r="Y18" s="380"/>
      <c r="Z18" s="444">
        <v>7.27</v>
      </c>
      <c r="AA18" s="447"/>
    </row>
    <row r="19" spans="1:27" ht="15.75" thickBot="1">
      <c r="A19" s="302" t="s">
        <v>11</v>
      </c>
      <c r="B19" s="444">
        <v>6</v>
      </c>
      <c r="C19" s="444">
        <v>6</v>
      </c>
      <c r="D19" s="447"/>
      <c r="E19" s="444">
        <v>6</v>
      </c>
      <c r="F19" s="444">
        <v>6</v>
      </c>
      <c r="G19" s="447"/>
      <c r="H19" s="445">
        <v>5.5</v>
      </c>
      <c r="I19" s="445">
        <v>5.5</v>
      </c>
      <c r="J19" s="445">
        <v>5.5</v>
      </c>
      <c r="K19" s="444">
        <v>6</v>
      </c>
      <c r="L19" s="445">
        <v>5.5</v>
      </c>
      <c r="M19" s="445">
        <v>5.5</v>
      </c>
      <c r="N19" s="445">
        <v>5.5</v>
      </c>
      <c r="O19" s="444">
        <v>6</v>
      </c>
      <c r="P19" s="444">
        <v>6</v>
      </c>
      <c r="Q19" s="445">
        <v>5.5</v>
      </c>
      <c r="R19" s="444">
        <v>6</v>
      </c>
      <c r="S19" s="445">
        <v>5.5</v>
      </c>
      <c r="T19" s="444">
        <v>6</v>
      </c>
      <c r="U19" s="446">
        <v>5</v>
      </c>
      <c r="V19" s="445">
        <v>5.5</v>
      </c>
      <c r="W19" s="444">
        <v>6</v>
      </c>
      <c r="X19" s="447"/>
      <c r="Y19" s="380"/>
      <c r="Z19" s="444">
        <v>6.88</v>
      </c>
      <c r="AA19" s="446">
        <v>6.29</v>
      </c>
    </row>
    <row r="20" spans="1:27" ht="15.75" thickBot="1">
      <c r="A20" s="302" t="s">
        <v>36</v>
      </c>
      <c r="B20" s="445">
        <v>5.75</v>
      </c>
      <c r="C20" s="445">
        <v>5.5</v>
      </c>
      <c r="D20" s="447"/>
      <c r="E20" s="445">
        <v>5.5</v>
      </c>
      <c r="F20" s="445">
        <v>5.5</v>
      </c>
      <c r="G20" s="447"/>
      <c r="H20" s="445">
        <v>5.5</v>
      </c>
      <c r="I20" s="445">
        <v>5</v>
      </c>
      <c r="J20" s="445">
        <v>5.5</v>
      </c>
      <c r="K20" s="446">
        <v>5.5</v>
      </c>
      <c r="L20" s="445">
        <v>5.5</v>
      </c>
      <c r="M20" s="445">
        <v>5.5</v>
      </c>
      <c r="N20" s="445">
        <v>5</v>
      </c>
      <c r="O20" s="444">
        <v>6</v>
      </c>
      <c r="P20" s="445">
        <v>5.5</v>
      </c>
      <c r="Q20" s="445">
        <v>5.5</v>
      </c>
      <c r="R20" s="446">
        <v>5.5</v>
      </c>
      <c r="S20" s="445">
        <v>5.5</v>
      </c>
      <c r="T20" s="444">
        <v>6</v>
      </c>
      <c r="U20" s="445">
        <v>5.5</v>
      </c>
      <c r="V20" s="445">
        <v>5</v>
      </c>
      <c r="W20" s="444">
        <v>6</v>
      </c>
      <c r="X20" s="447"/>
      <c r="Y20" s="380"/>
      <c r="Z20" s="444">
        <v>6.29</v>
      </c>
      <c r="AA20" s="446">
        <v>5.41</v>
      </c>
    </row>
    <row r="21" spans="1:27" ht="15.75" thickBot="1">
      <c r="A21" s="302" t="s">
        <v>147</v>
      </c>
      <c r="B21" s="444">
        <v>6</v>
      </c>
      <c r="C21" s="445">
        <v>5.5</v>
      </c>
      <c r="D21" s="447"/>
      <c r="E21" s="444">
        <v>6</v>
      </c>
      <c r="F21" s="445">
        <v>5.5</v>
      </c>
      <c r="G21" s="447"/>
      <c r="H21" s="445">
        <v>5.5</v>
      </c>
      <c r="I21" s="445">
        <v>5</v>
      </c>
      <c r="J21" s="444">
        <v>6</v>
      </c>
      <c r="K21" s="444">
        <v>6</v>
      </c>
      <c r="L21" s="445">
        <v>5.5</v>
      </c>
      <c r="M21" s="444">
        <v>6</v>
      </c>
      <c r="N21" s="445">
        <v>5</v>
      </c>
      <c r="O21" s="444">
        <v>6</v>
      </c>
      <c r="P21" s="445">
        <v>5.5</v>
      </c>
      <c r="Q21" s="444">
        <v>6</v>
      </c>
      <c r="R21" s="444">
        <v>6</v>
      </c>
      <c r="S21" s="445">
        <v>5.5</v>
      </c>
      <c r="T21" s="444">
        <v>6</v>
      </c>
      <c r="U21" s="445">
        <v>5.5</v>
      </c>
      <c r="V21" s="445">
        <v>5</v>
      </c>
      <c r="W21" s="444">
        <v>6</v>
      </c>
      <c r="X21" s="447"/>
      <c r="Y21" s="380"/>
      <c r="Z21" s="444">
        <v>7.27</v>
      </c>
      <c r="AA21" s="446">
        <v>6.1</v>
      </c>
    </row>
    <row r="22" spans="1:27" ht="15.75" thickBot="1">
      <c r="A22" s="302" t="s">
        <v>424</v>
      </c>
      <c r="B22" s="445">
        <v>5.75</v>
      </c>
      <c r="C22" s="445">
        <v>5.5</v>
      </c>
      <c r="D22" s="447"/>
      <c r="E22" s="445">
        <v>5.5</v>
      </c>
      <c r="F22" s="445">
        <v>5.5</v>
      </c>
      <c r="G22" s="447"/>
      <c r="H22" s="445">
        <v>5</v>
      </c>
      <c r="I22" s="445">
        <v>4.5</v>
      </c>
      <c r="J22" s="445">
        <v>5.5</v>
      </c>
      <c r="K22" s="445">
        <v>5</v>
      </c>
      <c r="L22" s="445">
        <v>5</v>
      </c>
      <c r="M22" s="445">
        <v>5.5</v>
      </c>
      <c r="N22" s="445">
        <v>5</v>
      </c>
      <c r="O22" s="444">
        <v>6</v>
      </c>
      <c r="P22" s="445">
        <v>5.5</v>
      </c>
      <c r="Q22" s="445">
        <v>5.5</v>
      </c>
      <c r="R22" s="445">
        <v>5</v>
      </c>
      <c r="S22" s="445">
        <v>5</v>
      </c>
      <c r="T22" s="445">
        <v>5.5</v>
      </c>
      <c r="U22" s="445">
        <v>5</v>
      </c>
      <c r="V22" s="445">
        <v>4.5</v>
      </c>
      <c r="W22" s="445">
        <v>5.5</v>
      </c>
      <c r="X22" s="447"/>
      <c r="Y22" s="380"/>
      <c r="Z22" s="446">
        <v>6.1</v>
      </c>
      <c r="AA22" s="444">
        <v>6.29</v>
      </c>
    </row>
    <row r="23" spans="1:27" ht="15.75" thickBot="1">
      <c r="A23" s="302" t="s">
        <v>137</v>
      </c>
      <c r="B23" s="444">
        <v>6</v>
      </c>
      <c r="C23" s="444">
        <v>6</v>
      </c>
      <c r="D23" s="447"/>
      <c r="E23" s="444">
        <v>6</v>
      </c>
      <c r="F23" s="444">
        <v>6</v>
      </c>
      <c r="G23" s="447"/>
      <c r="H23" s="445">
        <v>5.5</v>
      </c>
      <c r="I23" s="445">
        <v>5.5</v>
      </c>
      <c r="J23" s="444">
        <v>6</v>
      </c>
      <c r="K23" s="445">
        <v>5.5</v>
      </c>
      <c r="L23" s="445">
        <v>5.5</v>
      </c>
      <c r="M23" s="444">
        <v>6</v>
      </c>
      <c r="N23" s="445">
        <v>5.5</v>
      </c>
      <c r="O23" s="444">
        <v>6</v>
      </c>
      <c r="P23" s="444">
        <v>6</v>
      </c>
      <c r="Q23" s="444">
        <v>6</v>
      </c>
      <c r="R23" s="445">
        <v>5.5</v>
      </c>
      <c r="S23" s="445">
        <v>5.5</v>
      </c>
      <c r="T23" s="444">
        <v>6</v>
      </c>
      <c r="U23" s="444">
        <v>6</v>
      </c>
      <c r="V23" s="445">
        <v>5.5</v>
      </c>
      <c r="W23" s="444">
        <v>6</v>
      </c>
      <c r="X23" s="447"/>
      <c r="Y23" s="380"/>
      <c r="Z23" s="444">
        <v>6.88</v>
      </c>
      <c r="AA23" s="446">
        <v>6.68</v>
      </c>
    </row>
    <row r="24" spans="1:27" ht="15.75" thickBot="1">
      <c r="A24" s="302" t="s">
        <v>146</v>
      </c>
      <c r="B24" s="445">
        <v>5.5</v>
      </c>
      <c r="C24" s="445">
        <v>5</v>
      </c>
      <c r="D24" s="447"/>
      <c r="E24" s="445">
        <v>5.5</v>
      </c>
      <c r="F24" s="445">
        <v>5.5</v>
      </c>
      <c r="G24" s="447"/>
      <c r="H24" s="444">
        <v>6</v>
      </c>
      <c r="I24" s="445">
        <v>5</v>
      </c>
      <c r="J24" s="445">
        <v>5.5</v>
      </c>
      <c r="K24" s="444">
        <v>6</v>
      </c>
      <c r="L24" s="444">
        <v>6</v>
      </c>
      <c r="M24" s="445">
        <v>5.5</v>
      </c>
      <c r="N24" s="444">
        <v>6</v>
      </c>
      <c r="O24" s="445">
        <v>5.5</v>
      </c>
      <c r="P24" s="445">
        <v>5.5</v>
      </c>
      <c r="Q24" s="445">
        <v>5.5</v>
      </c>
      <c r="R24" s="444">
        <v>6</v>
      </c>
      <c r="S24" s="444">
        <v>6</v>
      </c>
      <c r="T24" s="444">
        <v>6</v>
      </c>
      <c r="U24" s="445">
        <v>5.5</v>
      </c>
      <c r="V24" s="445">
        <v>5</v>
      </c>
      <c r="W24" s="444">
        <v>6</v>
      </c>
      <c r="X24" s="447"/>
      <c r="Y24" s="380"/>
      <c r="Z24" s="444">
        <v>8.4499999999999993</v>
      </c>
      <c r="AA24" s="446">
        <v>7.08</v>
      </c>
    </row>
    <row r="25" spans="1:27" ht="15.75" thickBot="1">
      <c r="A25" s="302" t="s">
        <v>32</v>
      </c>
      <c r="B25" s="445">
        <v>6</v>
      </c>
      <c r="C25" s="444">
        <v>6.5</v>
      </c>
      <c r="D25" s="447"/>
      <c r="E25" s="445">
        <v>6</v>
      </c>
      <c r="F25" s="445">
        <v>6</v>
      </c>
      <c r="G25" s="447"/>
      <c r="H25" s="445">
        <v>5.5</v>
      </c>
      <c r="I25" s="445">
        <v>5.5</v>
      </c>
      <c r="J25" s="446">
        <v>5</v>
      </c>
      <c r="K25" s="446">
        <v>5.5</v>
      </c>
      <c r="L25" s="445">
        <v>5.5</v>
      </c>
      <c r="M25" s="446">
        <v>5</v>
      </c>
      <c r="N25" s="445">
        <v>5</v>
      </c>
      <c r="O25" s="445">
        <v>6</v>
      </c>
      <c r="P25" s="445">
        <v>6</v>
      </c>
      <c r="Q25" s="446">
        <v>5</v>
      </c>
      <c r="R25" s="446">
        <v>5.5</v>
      </c>
      <c r="S25" s="445">
        <v>5.5</v>
      </c>
      <c r="T25" s="445">
        <v>6</v>
      </c>
      <c r="U25" s="445">
        <v>6</v>
      </c>
      <c r="V25" s="445">
        <v>5.5</v>
      </c>
      <c r="W25" s="445">
        <v>6</v>
      </c>
      <c r="X25" s="447"/>
      <c r="Y25" s="380"/>
      <c r="Z25" s="446">
        <v>6.49</v>
      </c>
      <c r="AA25" s="446">
        <v>5.9</v>
      </c>
    </row>
    <row r="26" spans="1:27" ht="15.75" thickBot="1">
      <c r="A26" s="302" t="s">
        <v>116</v>
      </c>
      <c r="B26" s="444">
        <v>7</v>
      </c>
      <c r="C26" s="444">
        <v>7</v>
      </c>
      <c r="D26" s="447"/>
      <c r="E26" s="444">
        <v>7</v>
      </c>
      <c r="F26" s="445">
        <v>6.5</v>
      </c>
      <c r="G26" s="447"/>
      <c r="H26" s="445">
        <v>6.5</v>
      </c>
      <c r="I26" s="445">
        <v>6</v>
      </c>
      <c r="J26" s="444">
        <v>7</v>
      </c>
      <c r="K26" s="445">
        <v>6</v>
      </c>
      <c r="L26" s="445">
        <v>6.5</v>
      </c>
      <c r="M26" s="444">
        <v>7</v>
      </c>
      <c r="N26" s="445">
        <v>6</v>
      </c>
      <c r="O26" s="444">
        <v>7</v>
      </c>
      <c r="P26" s="444">
        <v>7</v>
      </c>
      <c r="Q26" s="444">
        <v>7</v>
      </c>
      <c r="R26" s="445">
        <v>6</v>
      </c>
      <c r="S26" s="445">
        <v>6.5</v>
      </c>
      <c r="T26" s="444">
        <v>7</v>
      </c>
      <c r="U26" s="444">
        <v>7</v>
      </c>
      <c r="V26" s="445">
        <v>6</v>
      </c>
      <c r="W26" s="444">
        <v>7</v>
      </c>
      <c r="X26" s="447"/>
      <c r="Y26" s="380"/>
      <c r="Z26" s="444">
        <v>8.06</v>
      </c>
      <c r="AA26" s="446">
        <v>7.27</v>
      </c>
    </row>
    <row r="27" spans="1:27" ht="15.75" thickBot="1">
      <c r="A27" s="302" t="s">
        <v>20</v>
      </c>
      <c r="B27" s="444">
        <v>7</v>
      </c>
      <c r="C27" s="445">
        <v>5.5</v>
      </c>
      <c r="D27" s="447"/>
      <c r="E27" s="445">
        <v>5.5</v>
      </c>
      <c r="F27" s="445">
        <v>6</v>
      </c>
      <c r="G27" s="447"/>
      <c r="H27" s="445">
        <v>6</v>
      </c>
      <c r="I27" s="445">
        <v>5.5</v>
      </c>
      <c r="J27" s="445">
        <v>6</v>
      </c>
      <c r="K27" s="445">
        <v>5.25</v>
      </c>
      <c r="L27" s="445">
        <v>6</v>
      </c>
      <c r="M27" s="445">
        <v>6</v>
      </c>
      <c r="N27" s="445">
        <v>5.5</v>
      </c>
      <c r="O27" s="445">
        <v>6</v>
      </c>
      <c r="P27" s="445">
        <v>5.5</v>
      </c>
      <c r="Q27" s="445">
        <v>6</v>
      </c>
      <c r="R27" s="445">
        <v>5.25</v>
      </c>
      <c r="S27" s="446">
        <v>6</v>
      </c>
      <c r="T27" s="445">
        <v>6.5</v>
      </c>
      <c r="U27" s="445">
        <v>5.5</v>
      </c>
      <c r="V27" s="445">
        <v>5.5</v>
      </c>
      <c r="W27" s="445">
        <v>6.5</v>
      </c>
      <c r="X27" s="447"/>
      <c r="Y27" s="380"/>
      <c r="Z27" s="445">
        <v>6.49</v>
      </c>
      <c r="AA27" s="445">
        <v>5.61</v>
      </c>
    </row>
    <row r="28" spans="1:27" ht="15.75" thickBot="1">
      <c r="A28" s="302" t="s">
        <v>553</v>
      </c>
      <c r="B28" s="444">
        <v>7</v>
      </c>
      <c r="C28" s="445">
        <v>6</v>
      </c>
      <c r="D28" s="447"/>
      <c r="E28" s="445">
        <v>6</v>
      </c>
      <c r="F28" s="445">
        <v>6</v>
      </c>
      <c r="G28" s="447"/>
      <c r="H28" s="445">
        <v>6.5</v>
      </c>
      <c r="I28" s="445">
        <v>5.5</v>
      </c>
      <c r="J28" s="444">
        <v>7</v>
      </c>
      <c r="K28" s="444">
        <v>7</v>
      </c>
      <c r="L28" s="445">
        <v>6.5</v>
      </c>
      <c r="M28" s="444">
        <v>7</v>
      </c>
      <c r="N28" s="445">
        <v>6.5</v>
      </c>
      <c r="O28" s="445">
        <v>6.5</v>
      </c>
      <c r="P28" s="445">
        <v>6.5</v>
      </c>
      <c r="Q28" s="444">
        <v>7</v>
      </c>
      <c r="R28" s="444">
        <v>7</v>
      </c>
      <c r="S28" s="445">
        <v>6.5</v>
      </c>
      <c r="T28" s="444">
        <v>7</v>
      </c>
      <c r="U28" s="445">
        <v>6.5</v>
      </c>
      <c r="V28" s="445">
        <v>5.5</v>
      </c>
      <c r="W28" s="444">
        <v>7</v>
      </c>
      <c r="X28" s="447"/>
      <c r="Y28" s="380"/>
      <c r="Z28" s="444">
        <v>7.66</v>
      </c>
      <c r="AA28" s="446">
        <v>5.51</v>
      </c>
    </row>
    <row r="29" spans="1:27" ht="15.75" thickBot="1">
      <c r="A29" s="302" t="s">
        <v>33</v>
      </c>
      <c r="B29" s="444">
        <v>7</v>
      </c>
      <c r="C29" s="445">
        <v>6</v>
      </c>
      <c r="D29" s="447"/>
      <c r="E29" s="445">
        <v>6</v>
      </c>
      <c r="F29" s="446">
        <v>6.5</v>
      </c>
      <c r="G29" s="447"/>
      <c r="H29" s="445">
        <v>6</v>
      </c>
      <c r="I29" s="445">
        <v>5.5</v>
      </c>
      <c r="J29" s="445">
        <v>5</v>
      </c>
      <c r="K29" s="446">
        <v>6</v>
      </c>
      <c r="L29" s="445">
        <v>6</v>
      </c>
      <c r="M29" s="445">
        <v>5</v>
      </c>
      <c r="N29" s="445">
        <v>5.5</v>
      </c>
      <c r="O29" s="445">
        <v>6.5</v>
      </c>
      <c r="P29" s="445">
        <v>6</v>
      </c>
      <c r="Q29" s="445">
        <v>5</v>
      </c>
      <c r="R29" s="446">
        <v>6</v>
      </c>
      <c r="S29" s="445">
        <v>6</v>
      </c>
      <c r="T29" s="445">
        <v>6.5</v>
      </c>
      <c r="U29" s="445">
        <v>6.5</v>
      </c>
      <c r="V29" s="445">
        <v>5.5</v>
      </c>
      <c r="W29" s="445">
        <v>6.5</v>
      </c>
      <c r="X29" s="447"/>
      <c r="Y29" s="380"/>
      <c r="Z29" s="444">
        <v>7.08</v>
      </c>
      <c r="AA29" s="446">
        <v>6.1</v>
      </c>
    </row>
    <row r="30" spans="1:27" ht="15.75" thickBot="1">
      <c r="A30" s="302" t="s">
        <v>493</v>
      </c>
      <c r="B30" s="444">
        <v>7</v>
      </c>
      <c r="C30" s="445">
        <v>6</v>
      </c>
      <c r="D30" s="447"/>
      <c r="E30" s="445">
        <v>6</v>
      </c>
      <c r="F30" s="445">
        <v>6</v>
      </c>
      <c r="G30" s="447"/>
      <c r="H30" s="445">
        <v>5.5</v>
      </c>
      <c r="I30" s="445">
        <v>5.5</v>
      </c>
      <c r="J30" s="445">
        <v>5</v>
      </c>
      <c r="K30" s="445">
        <v>6</v>
      </c>
      <c r="L30" s="445">
        <v>5.5</v>
      </c>
      <c r="M30" s="445">
        <v>5</v>
      </c>
      <c r="N30" s="445">
        <v>5</v>
      </c>
      <c r="O30" s="445">
        <v>6.5</v>
      </c>
      <c r="P30" s="445">
        <v>6</v>
      </c>
      <c r="Q30" s="445">
        <v>5</v>
      </c>
      <c r="R30" s="445">
        <v>6</v>
      </c>
      <c r="S30" s="445">
        <v>5.5</v>
      </c>
      <c r="T30" s="445">
        <v>6</v>
      </c>
      <c r="U30" s="445">
        <v>6.5</v>
      </c>
      <c r="V30" s="445">
        <v>5.5</v>
      </c>
      <c r="W30" s="445">
        <v>6</v>
      </c>
      <c r="X30" s="447"/>
      <c r="Y30" s="380"/>
      <c r="Z30" s="446">
        <v>6.88</v>
      </c>
      <c r="AA30" s="445">
        <v>5.31</v>
      </c>
    </row>
    <row r="31" spans="1:27" ht="15.75" thickBot="1">
      <c r="A31" s="302" t="s">
        <v>134</v>
      </c>
      <c r="B31" s="444">
        <v>7</v>
      </c>
      <c r="C31" s="445">
        <v>6</v>
      </c>
      <c r="D31" s="447"/>
      <c r="E31" s="445">
        <v>6</v>
      </c>
      <c r="F31" s="445">
        <v>6</v>
      </c>
      <c r="G31" s="447"/>
      <c r="H31" s="446">
        <v>5.5</v>
      </c>
      <c r="I31" s="445">
        <v>5.5</v>
      </c>
      <c r="J31" s="445">
        <v>6.5</v>
      </c>
      <c r="K31" s="445">
        <v>5.5</v>
      </c>
      <c r="L31" s="446">
        <v>5.5</v>
      </c>
      <c r="M31" s="445">
        <v>6.5</v>
      </c>
      <c r="N31" s="446">
        <v>5.5</v>
      </c>
      <c r="O31" s="445">
        <v>6.5</v>
      </c>
      <c r="P31" s="446">
        <v>6</v>
      </c>
      <c r="Q31" s="445">
        <v>6.5</v>
      </c>
      <c r="R31" s="445">
        <v>5.5</v>
      </c>
      <c r="S31" s="446">
        <v>5.5</v>
      </c>
      <c r="T31" s="446">
        <v>6.5</v>
      </c>
      <c r="U31" s="445">
        <v>6.5</v>
      </c>
      <c r="V31" s="445">
        <v>5.5</v>
      </c>
      <c r="W31" s="446">
        <v>6.5</v>
      </c>
      <c r="X31" s="447"/>
      <c r="Y31" s="380"/>
      <c r="Z31" s="444">
        <v>7.27</v>
      </c>
      <c r="AA31" s="446">
        <v>5.8</v>
      </c>
    </row>
    <row r="32" spans="1:27" ht="15.75" thickBot="1">
      <c r="A32" s="302" t="s">
        <v>1131</v>
      </c>
      <c r="B32" s="445">
        <v>7</v>
      </c>
      <c r="C32" s="445">
        <v>6</v>
      </c>
      <c r="D32" s="447"/>
      <c r="E32" s="445">
        <v>7</v>
      </c>
      <c r="F32" s="445">
        <v>5.5</v>
      </c>
      <c r="G32" s="447"/>
      <c r="H32" s="445">
        <v>6.5</v>
      </c>
      <c r="I32" s="445">
        <v>5.5</v>
      </c>
      <c r="J32" s="444">
        <v>7.5</v>
      </c>
      <c r="K32" s="444">
        <v>7.5</v>
      </c>
      <c r="L32" s="445">
        <v>6.5</v>
      </c>
      <c r="M32" s="444">
        <v>7.5</v>
      </c>
      <c r="N32" s="445">
        <v>6</v>
      </c>
      <c r="O32" s="445">
        <v>6.5</v>
      </c>
      <c r="P32" s="445">
        <v>6</v>
      </c>
      <c r="Q32" s="444">
        <v>7.5</v>
      </c>
      <c r="R32" s="444">
        <v>7.5</v>
      </c>
      <c r="S32" s="445">
        <v>6.5</v>
      </c>
      <c r="T32" s="445">
        <v>7</v>
      </c>
      <c r="U32" s="445">
        <v>5.5</v>
      </c>
      <c r="V32" s="445">
        <v>5.5</v>
      </c>
      <c r="W32" s="445">
        <v>7</v>
      </c>
      <c r="X32" s="447"/>
      <c r="Y32" s="380"/>
      <c r="Z32" s="444">
        <v>8.06</v>
      </c>
      <c r="AA32" s="444">
        <v>8.06</v>
      </c>
    </row>
    <row r="33" spans="1:27" ht="15.75" thickBot="1">
      <c r="A33" s="302" t="s">
        <v>48</v>
      </c>
      <c r="B33" s="445">
        <v>7</v>
      </c>
      <c r="C33" s="444">
        <v>7.5</v>
      </c>
      <c r="D33" s="447"/>
      <c r="E33" s="445">
        <v>7</v>
      </c>
      <c r="F33" s="445">
        <v>6.5</v>
      </c>
      <c r="G33" s="447"/>
      <c r="H33" s="445">
        <v>7</v>
      </c>
      <c r="I33" s="445">
        <v>5.5</v>
      </c>
      <c r="J33" s="444">
        <v>7.5</v>
      </c>
      <c r="K33" s="444">
        <v>7.5</v>
      </c>
      <c r="L33" s="445">
        <v>7</v>
      </c>
      <c r="M33" s="444">
        <v>7.5</v>
      </c>
      <c r="N33" s="445">
        <v>6.5</v>
      </c>
      <c r="O33" s="445">
        <v>7</v>
      </c>
      <c r="P33" s="445">
        <v>7</v>
      </c>
      <c r="Q33" s="444">
        <v>7.5</v>
      </c>
      <c r="R33" s="444">
        <v>7.5</v>
      </c>
      <c r="S33" s="445">
        <v>7</v>
      </c>
      <c r="T33" s="445">
        <v>7</v>
      </c>
      <c r="U33" s="445">
        <v>7</v>
      </c>
      <c r="V33" s="445">
        <v>5.5</v>
      </c>
      <c r="W33" s="445">
        <v>7</v>
      </c>
      <c r="X33" s="447"/>
      <c r="Y33" s="380"/>
      <c r="Z33" s="444">
        <v>8.06</v>
      </c>
      <c r="AA33" s="446">
        <v>7.08</v>
      </c>
    </row>
    <row r="34" spans="1:27" ht="15.75" thickBot="1">
      <c r="A34" s="302" t="s">
        <v>496</v>
      </c>
      <c r="B34" s="444">
        <v>7.5</v>
      </c>
      <c r="C34" s="445">
        <v>7</v>
      </c>
      <c r="D34" s="447"/>
      <c r="E34" s="445">
        <v>7</v>
      </c>
      <c r="F34" s="445">
        <v>7</v>
      </c>
      <c r="G34" s="447"/>
      <c r="H34" s="445">
        <v>6.5</v>
      </c>
      <c r="I34" s="445">
        <v>6</v>
      </c>
      <c r="J34" s="444">
        <v>7.5</v>
      </c>
      <c r="K34" s="445">
        <v>6.5</v>
      </c>
      <c r="L34" s="445">
        <v>6.5</v>
      </c>
      <c r="M34" s="444">
        <v>7.5</v>
      </c>
      <c r="N34" s="445">
        <v>6.5</v>
      </c>
      <c r="O34" s="445">
        <v>7</v>
      </c>
      <c r="P34" s="445">
        <v>7</v>
      </c>
      <c r="Q34" s="444">
        <v>7.5</v>
      </c>
      <c r="R34" s="445">
        <v>6.5</v>
      </c>
      <c r="S34" s="445">
        <v>6.5</v>
      </c>
      <c r="T34" s="445">
        <v>7</v>
      </c>
      <c r="U34" s="445">
        <v>7</v>
      </c>
      <c r="V34" s="445">
        <v>6</v>
      </c>
      <c r="W34" s="445">
        <v>7</v>
      </c>
      <c r="X34" s="447"/>
      <c r="Y34" s="380"/>
      <c r="Z34" s="444">
        <v>7.86</v>
      </c>
      <c r="AA34" s="446">
        <v>7.08</v>
      </c>
    </row>
    <row r="35" spans="1:27" ht="15.75" thickBot="1">
      <c r="A35" s="302" t="s">
        <v>109</v>
      </c>
      <c r="B35" s="445">
        <v>7</v>
      </c>
      <c r="C35" s="445">
        <v>6</v>
      </c>
      <c r="D35" s="447"/>
      <c r="E35" s="445">
        <v>7</v>
      </c>
      <c r="F35" s="445">
        <v>6</v>
      </c>
      <c r="G35" s="447"/>
      <c r="H35" s="445">
        <v>7</v>
      </c>
      <c r="I35" s="445">
        <v>5</v>
      </c>
      <c r="J35" s="444">
        <v>7.5</v>
      </c>
      <c r="K35" s="445">
        <v>7</v>
      </c>
      <c r="L35" s="445">
        <v>7</v>
      </c>
      <c r="M35" s="444">
        <v>7.5</v>
      </c>
      <c r="N35" s="445">
        <v>6.5</v>
      </c>
      <c r="O35" s="445">
        <v>6.5</v>
      </c>
      <c r="P35" s="445">
        <v>6.5</v>
      </c>
      <c r="Q35" s="444">
        <v>7.5</v>
      </c>
      <c r="R35" s="445">
        <v>7</v>
      </c>
      <c r="S35" s="445">
        <v>7</v>
      </c>
      <c r="T35" s="445">
        <v>7</v>
      </c>
      <c r="U35" s="445">
        <v>6.5</v>
      </c>
      <c r="V35" s="445">
        <v>5</v>
      </c>
      <c r="W35" s="445">
        <v>7</v>
      </c>
      <c r="X35" s="447"/>
      <c r="Y35" s="380"/>
      <c r="Z35" s="444">
        <v>8.4499999999999993</v>
      </c>
      <c r="AA35" s="446">
        <v>7.08</v>
      </c>
    </row>
    <row r="36" spans="1:27" ht="15.75" thickBot="1">
      <c r="A36" s="302" t="s">
        <v>560</v>
      </c>
      <c r="B36" s="444">
        <v>7.5</v>
      </c>
      <c r="C36" s="445">
        <v>6.5</v>
      </c>
      <c r="D36" s="447"/>
      <c r="E36" s="445">
        <v>6.5</v>
      </c>
      <c r="F36" s="445">
        <v>7</v>
      </c>
      <c r="G36" s="447"/>
      <c r="H36" s="445">
        <v>6.5</v>
      </c>
      <c r="I36" s="445">
        <v>7</v>
      </c>
      <c r="J36" s="445">
        <v>7</v>
      </c>
      <c r="K36" s="446">
        <v>5.5</v>
      </c>
      <c r="L36" s="445">
        <v>6.5</v>
      </c>
      <c r="M36" s="445">
        <v>7</v>
      </c>
      <c r="N36" s="445">
        <v>6.5</v>
      </c>
      <c r="O36" s="445">
        <v>7</v>
      </c>
      <c r="P36" s="445">
        <v>7</v>
      </c>
      <c r="Q36" s="445">
        <v>7</v>
      </c>
      <c r="R36" s="446">
        <v>5.5</v>
      </c>
      <c r="S36" s="445">
        <v>6.5</v>
      </c>
      <c r="T36" s="445">
        <v>7</v>
      </c>
      <c r="U36" s="444">
        <v>7.5</v>
      </c>
      <c r="V36" s="445">
        <v>7</v>
      </c>
      <c r="W36" s="445">
        <v>7</v>
      </c>
      <c r="X36" s="447"/>
      <c r="Y36" s="380"/>
      <c r="Z36" s="444">
        <v>7.66</v>
      </c>
      <c r="AA36" s="446">
        <v>6.1</v>
      </c>
    </row>
    <row r="37" spans="1:27" ht="15.75" thickBot="1">
      <c r="A37" s="302" t="s">
        <v>148</v>
      </c>
      <c r="B37" s="445">
        <v>7</v>
      </c>
      <c r="C37" s="445">
        <v>7</v>
      </c>
      <c r="D37" s="447"/>
      <c r="E37" s="445">
        <v>7</v>
      </c>
      <c r="F37" s="445">
        <v>6.5</v>
      </c>
      <c r="G37" s="447"/>
      <c r="H37" s="445">
        <v>7</v>
      </c>
      <c r="I37" s="445">
        <v>5.5</v>
      </c>
      <c r="J37" s="444">
        <v>7.5</v>
      </c>
      <c r="K37" s="445">
        <v>6.5</v>
      </c>
      <c r="L37" s="445">
        <v>7</v>
      </c>
      <c r="M37" s="444">
        <v>7.5</v>
      </c>
      <c r="N37" s="445">
        <v>6.5</v>
      </c>
      <c r="O37" s="445">
        <v>7</v>
      </c>
      <c r="P37" s="445">
        <v>7</v>
      </c>
      <c r="Q37" s="444">
        <v>7.5</v>
      </c>
      <c r="R37" s="445">
        <v>6.5</v>
      </c>
      <c r="S37" s="445">
        <v>7</v>
      </c>
      <c r="T37" s="445">
        <v>7</v>
      </c>
      <c r="U37" s="445">
        <v>7</v>
      </c>
      <c r="V37" s="445">
        <v>5.5</v>
      </c>
      <c r="W37" s="445">
        <v>7</v>
      </c>
      <c r="X37" s="447"/>
      <c r="Y37" s="380"/>
      <c r="Z37" s="444">
        <v>8.06</v>
      </c>
      <c r="AA37" s="445">
        <v>7.66</v>
      </c>
    </row>
    <row r="38" spans="1:27" ht="15.75" thickBot="1">
      <c r="A38" s="302" t="s">
        <v>241</v>
      </c>
      <c r="B38" s="445">
        <v>6</v>
      </c>
      <c r="C38" s="445">
        <v>6</v>
      </c>
      <c r="D38" s="447"/>
      <c r="E38" s="445">
        <v>6</v>
      </c>
      <c r="F38" s="445">
        <v>5.5</v>
      </c>
      <c r="G38" s="447"/>
      <c r="H38" s="444">
        <v>7.5</v>
      </c>
      <c r="I38" s="445">
        <v>5</v>
      </c>
      <c r="J38" s="445">
        <v>6</v>
      </c>
      <c r="K38" s="445">
        <v>6</v>
      </c>
      <c r="L38" s="444">
        <v>7.5</v>
      </c>
      <c r="M38" s="445">
        <v>6</v>
      </c>
      <c r="N38" s="445">
        <v>7</v>
      </c>
      <c r="O38" s="445">
        <v>6</v>
      </c>
      <c r="P38" s="445">
        <v>6</v>
      </c>
      <c r="Q38" s="445">
        <v>6</v>
      </c>
      <c r="R38" s="445">
        <v>6</v>
      </c>
      <c r="S38" s="444">
        <v>7.5</v>
      </c>
      <c r="T38" s="445">
        <v>7</v>
      </c>
      <c r="U38" s="445">
        <v>6</v>
      </c>
      <c r="V38" s="445">
        <v>5</v>
      </c>
      <c r="W38" s="445">
        <v>7</v>
      </c>
      <c r="X38" s="447"/>
      <c r="Y38" s="380"/>
      <c r="Z38" s="446">
        <v>7.47</v>
      </c>
      <c r="AA38" s="446">
        <v>6.49</v>
      </c>
    </row>
    <row r="39" spans="1:27" ht="15.75" thickBot="1">
      <c r="A39" s="302" t="s">
        <v>495</v>
      </c>
      <c r="B39" s="445">
        <v>7.5</v>
      </c>
      <c r="C39" s="445">
        <v>7</v>
      </c>
      <c r="D39" s="447"/>
      <c r="E39" s="445">
        <v>7</v>
      </c>
      <c r="F39" s="445">
        <v>7</v>
      </c>
      <c r="G39" s="447"/>
      <c r="H39" s="444">
        <v>8</v>
      </c>
      <c r="I39" s="445">
        <v>6</v>
      </c>
      <c r="J39" s="445">
        <v>5</v>
      </c>
      <c r="K39" s="446">
        <v>7</v>
      </c>
      <c r="L39" s="444">
        <v>8</v>
      </c>
      <c r="M39" s="445">
        <v>5</v>
      </c>
      <c r="N39" s="445">
        <v>7.5</v>
      </c>
      <c r="O39" s="445">
        <v>7</v>
      </c>
      <c r="P39" s="445">
        <v>7</v>
      </c>
      <c r="Q39" s="445">
        <v>5</v>
      </c>
      <c r="R39" s="446">
        <v>7</v>
      </c>
      <c r="S39" s="444">
        <v>8</v>
      </c>
      <c r="T39" s="444">
        <v>8</v>
      </c>
      <c r="U39" s="445">
        <v>7</v>
      </c>
      <c r="V39" s="445">
        <v>6</v>
      </c>
      <c r="W39" s="444">
        <v>8</v>
      </c>
      <c r="X39" s="447"/>
      <c r="Y39" s="380"/>
      <c r="Z39" s="444">
        <v>8.25</v>
      </c>
      <c r="AA39" s="446">
        <v>6.49</v>
      </c>
    </row>
    <row r="40" spans="1:27" ht="15.75" thickBot="1">
      <c r="A40" s="302" t="s">
        <v>62</v>
      </c>
      <c r="B40" s="445">
        <v>7</v>
      </c>
      <c r="C40" s="445">
        <v>7.5</v>
      </c>
      <c r="D40" s="447"/>
      <c r="E40" s="445">
        <v>7</v>
      </c>
      <c r="F40" s="445">
        <v>7</v>
      </c>
      <c r="G40" s="447"/>
      <c r="H40" s="444">
        <v>8</v>
      </c>
      <c r="I40" s="445">
        <v>6</v>
      </c>
      <c r="J40" s="445">
        <v>6</v>
      </c>
      <c r="K40" s="445">
        <v>6.5</v>
      </c>
      <c r="L40" s="444">
        <v>8</v>
      </c>
      <c r="M40" s="445">
        <v>6</v>
      </c>
      <c r="N40" s="446">
        <v>7.5</v>
      </c>
      <c r="O40" s="445">
        <v>7</v>
      </c>
      <c r="P40" s="446">
        <v>7.5</v>
      </c>
      <c r="Q40" s="445">
        <v>6</v>
      </c>
      <c r="R40" s="445">
        <v>6.5</v>
      </c>
      <c r="S40" s="444">
        <v>8</v>
      </c>
      <c r="T40" s="445">
        <v>7.5</v>
      </c>
      <c r="U40" s="445">
        <v>7</v>
      </c>
      <c r="V40" s="445">
        <v>6</v>
      </c>
      <c r="W40" s="445">
        <v>7.5</v>
      </c>
      <c r="X40" s="447"/>
      <c r="Y40" s="380"/>
      <c r="Z40" s="444">
        <v>10.8</v>
      </c>
      <c r="AA40" s="446">
        <v>8.64</v>
      </c>
    </row>
    <row r="41" spans="1:27" ht="15.75" thickBot="1">
      <c r="A41" s="302" t="s">
        <v>440</v>
      </c>
      <c r="B41" s="445">
        <v>7.5</v>
      </c>
      <c r="C41" s="445">
        <v>7.5</v>
      </c>
      <c r="D41" s="447"/>
      <c r="E41" s="445">
        <v>7.5</v>
      </c>
      <c r="F41" s="445">
        <v>7.5</v>
      </c>
      <c r="G41" s="447"/>
      <c r="H41" s="445">
        <v>7.5</v>
      </c>
      <c r="I41" s="445">
        <v>6</v>
      </c>
      <c r="J41" s="445">
        <v>7.5</v>
      </c>
      <c r="K41" s="444">
        <v>8</v>
      </c>
      <c r="L41" s="445">
        <v>7.5</v>
      </c>
      <c r="M41" s="445">
        <v>7.5</v>
      </c>
      <c r="N41" s="445">
        <v>7</v>
      </c>
      <c r="O41" s="445">
        <v>7</v>
      </c>
      <c r="P41" s="445">
        <v>7.5</v>
      </c>
      <c r="Q41" s="445">
        <v>7.5</v>
      </c>
      <c r="R41" s="444">
        <v>8</v>
      </c>
      <c r="S41" s="445">
        <v>7.5</v>
      </c>
      <c r="T41" s="445">
        <v>7.5</v>
      </c>
      <c r="U41" s="445">
        <v>7</v>
      </c>
      <c r="V41" s="445">
        <v>6</v>
      </c>
      <c r="W41" s="445">
        <v>7.5</v>
      </c>
      <c r="X41" s="447"/>
      <c r="Y41" s="380"/>
      <c r="Z41" s="446">
        <v>9.0399999999999991</v>
      </c>
      <c r="AA41" s="444">
        <v>10.8</v>
      </c>
    </row>
    <row r="42" spans="1:27" ht="15.75" thickBot="1">
      <c r="A42" s="302" t="s">
        <v>433</v>
      </c>
      <c r="B42" s="445">
        <v>7.5</v>
      </c>
      <c r="C42" s="445">
        <v>7.5</v>
      </c>
      <c r="D42" s="447"/>
      <c r="E42" s="445">
        <v>7.5</v>
      </c>
      <c r="F42" s="445">
        <v>7.5</v>
      </c>
      <c r="G42" s="447"/>
      <c r="H42" s="445">
        <v>7</v>
      </c>
      <c r="I42" s="445">
        <v>6.5</v>
      </c>
      <c r="J42" s="445">
        <v>7.5</v>
      </c>
      <c r="K42" s="445">
        <v>7.5</v>
      </c>
      <c r="L42" s="445">
        <v>7</v>
      </c>
      <c r="M42" s="445">
        <v>7.5</v>
      </c>
      <c r="N42" s="445">
        <v>6.5</v>
      </c>
      <c r="O42" s="444">
        <v>8</v>
      </c>
      <c r="P42" s="445">
        <v>7.5</v>
      </c>
      <c r="Q42" s="445">
        <v>7.5</v>
      </c>
      <c r="R42" s="445">
        <v>7.5</v>
      </c>
      <c r="S42" s="445">
        <v>7</v>
      </c>
      <c r="T42" s="447"/>
      <c r="U42" s="445">
        <v>7.5</v>
      </c>
      <c r="V42" s="445">
        <v>6.5</v>
      </c>
      <c r="W42" s="447"/>
      <c r="X42" s="447"/>
      <c r="Y42" s="380"/>
      <c r="Z42" s="444">
        <v>10.3</v>
      </c>
      <c r="AA42" s="444">
        <v>10.3</v>
      </c>
    </row>
    <row r="43" spans="1:27" ht="15.75" thickBot="1">
      <c r="A43" s="302" t="s">
        <v>522</v>
      </c>
      <c r="B43" s="445">
        <v>7.5</v>
      </c>
      <c r="C43" s="445">
        <v>7.5</v>
      </c>
      <c r="D43" s="447"/>
      <c r="E43" s="445">
        <v>7.5</v>
      </c>
      <c r="F43" s="444">
        <v>8</v>
      </c>
      <c r="G43" s="447"/>
      <c r="H43" s="446">
        <v>7.5</v>
      </c>
      <c r="I43" s="445">
        <v>7</v>
      </c>
      <c r="J43" s="444">
        <v>8</v>
      </c>
      <c r="K43" s="445">
        <v>6.5</v>
      </c>
      <c r="L43" s="446">
        <v>7.5</v>
      </c>
      <c r="M43" s="444">
        <v>8</v>
      </c>
      <c r="N43" s="446">
        <v>7</v>
      </c>
      <c r="O43" s="445">
        <v>7</v>
      </c>
      <c r="P43" s="445">
        <v>7.5</v>
      </c>
      <c r="Q43" s="444">
        <v>8</v>
      </c>
      <c r="R43" s="445">
        <v>6.5</v>
      </c>
      <c r="S43" s="446">
        <v>7.5</v>
      </c>
      <c r="T43" s="446">
        <v>7.5</v>
      </c>
      <c r="U43" s="445">
        <v>7.5</v>
      </c>
      <c r="V43" s="445">
        <v>7</v>
      </c>
      <c r="W43" s="446">
        <v>7.5</v>
      </c>
      <c r="X43" s="447"/>
      <c r="Y43" s="380"/>
      <c r="Z43" s="444">
        <v>9.0399999999999991</v>
      </c>
      <c r="AA43" s="446">
        <v>8.06</v>
      </c>
    </row>
    <row r="44" spans="1:27" ht="30.75" thickBot="1">
      <c r="A44" s="302" t="s">
        <v>695</v>
      </c>
      <c r="B44" s="445">
        <v>8</v>
      </c>
      <c r="C44" s="445">
        <v>7.5</v>
      </c>
      <c r="D44" s="447"/>
      <c r="E44" s="445">
        <v>8</v>
      </c>
      <c r="F44" s="445">
        <v>7.5</v>
      </c>
      <c r="G44" s="447"/>
      <c r="H44" s="445">
        <v>7</v>
      </c>
      <c r="I44" s="445">
        <v>6.5</v>
      </c>
      <c r="J44" s="444">
        <v>8.5</v>
      </c>
      <c r="K44" s="446">
        <v>7</v>
      </c>
      <c r="L44" s="445">
        <v>7</v>
      </c>
      <c r="M44" s="444">
        <v>8.5</v>
      </c>
      <c r="N44" s="445">
        <v>6.5</v>
      </c>
      <c r="O44" s="445">
        <v>8</v>
      </c>
      <c r="P44" s="445">
        <v>7.5</v>
      </c>
      <c r="Q44" s="444">
        <v>8.5</v>
      </c>
      <c r="R44" s="446">
        <v>7</v>
      </c>
      <c r="S44" s="445">
        <v>7</v>
      </c>
      <c r="T44" s="445">
        <v>7.5</v>
      </c>
      <c r="U44" s="445">
        <v>8</v>
      </c>
      <c r="V44" s="445">
        <v>6.5</v>
      </c>
      <c r="W44" s="445">
        <v>7.5</v>
      </c>
      <c r="X44" s="447"/>
      <c r="Y44" s="380"/>
      <c r="Z44" s="445">
        <v>8.4499999999999993</v>
      </c>
      <c r="AA44" s="446">
        <v>7.86</v>
      </c>
    </row>
    <row r="45" spans="1:27" ht="15.75" thickBot="1">
      <c r="A45" s="302" t="s">
        <v>557</v>
      </c>
      <c r="B45" s="445">
        <v>8</v>
      </c>
      <c r="C45" s="445">
        <v>8</v>
      </c>
      <c r="D45" s="447"/>
      <c r="E45" s="445">
        <v>8</v>
      </c>
      <c r="F45" s="445">
        <v>8</v>
      </c>
      <c r="G45" s="447"/>
      <c r="H45" s="446">
        <v>8</v>
      </c>
      <c r="I45" s="445">
        <v>7.5</v>
      </c>
      <c r="J45" s="444">
        <v>8.5</v>
      </c>
      <c r="K45" s="445">
        <v>7</v>
      </c>
      <c r="L45" s="446">
        <v>8</v>
      </c>
      <c r="M45" s="444">
        <v>8.5</v>
      </c>
      <c r="N45" s="446">
        <v>7.5</v>
      </c>
      <c r="O45" s="445">
        <v>8</v>
      </c>
      <c r="P45" s="445">
        <v>8</v>
      </c>
      <c r="Q45" s="444">
        <v>8.5</v>
      </c>
      <c r="R45" s="445">
        <v>7</v>
      </c>
      <c r="S45" s="446">
        <v>8</v>
      </c>
      <c r="T45" s="444">
        <v>8.5</v>
      </c>
      <c r="U45" s="445">
        <v>8</v>
      </c>
      <c r="V45" s="445">
        <v>7.5</v>
      </c>
      <c r="W45" s="444">
        <v>8.5</v>
      </c>
      <c r="X45" s="447"/>
      <c r="Y45" s="380"/>
      <c r="Z45" s="446">
        <v>8.06</v>
      </c>
      <c r="AA45" s="445">
        <v>5.51</v>
      </c>
    </row>
    <row r="46" spans="1:27" ht="15.75" thickBot="1">
      <c r="A46" s="302" t="s">
        <v>1133</v>
      </c>
      <c r="B46" s="445">
        <v>7.5</v>
      </c>
      <c r="C46" s="445">
        <v>6.5</v>
      </c>
      <c r="D46" s="447"/>
      <c r="E46" s="445">
        <v>7</v>
      </c>
      <c r="F46" s="445">
        <v>7</v>
      </c>
      <c r="G46" s="447"/>
      <c r="H46" s="445">
        <v>8</v>
      </c>
      <c r="I46" s="445">
        <v>6</v>
      </c>
      <c r="J46" s="444">
        <v>8.5</v>
      </c>
      <c r="K46" s="445">
        <v>7.5</v>
      </c>
      <c r="L46" s="445">
        <v>8</v>
      </c>
      <c r="M46" s="444">
        <v>8.5</v>
      </c>
      <c r="N46" s="445">
        <v>7.5</v>
      </c>
      <c r="O46" s="445">
        <v>7</v>
      </c>
      <c r="P46" s="445">
        <v>7</v>
      </c>
      <c r="Q46" s="444">
        <v>8.5</v>
      </c>
      <c r="R46" s="445">
        <v>7.5</v>
      </c>
      <c r="S46" s="445">
        <v>8</v>
      </c>
      <c r="T46" s="445">
        <v>8</v>
      </c>
      <c r="U46" s="445">
        <v>7</v>
      </c>
      <c r="V46" s="445">
        <v>6</v>
      </c>
      <c r="W46" s="445">
        <v>8</v>
      </c>
      <c r="X46" s="447"/>
      <c r="Y46" s="380"/>
      <c r="Z46" s="444">
        <v>9.43</v>
      </c>
      <c r="AA46" s="445">
        <v>8.84</v>
      </c>
    </row>
    <row r="47" spans="1:27" ht="15.75" thickBot="1">
      <c r="A47" s="302" t="s">
        <v>80</v>
      </c>
      <c r="B47" s="444">
        <v>8.5</v>
      </c>
      <c r="C47" s="444">
        <v>8.5</v>
      </c>
      <c r="D47" s="447"/>
      <c r="E47" s="445">
        <v>8</v>
      </c>
      <c r="F47" s="445">
        <v>8</v>
      </c>
      <c r="G47" s="447"/>
      <c r="H47" s="446">
        <v>7</v>
      </c>
      <c r="I47" s="445">
        <v>7.5</v>
      </c>
      <c r="J47" s="445">
        <v>8</v>
      </c>
      <c r="K47" s="446">
        <v>6</v>
      </c>
      <c r="L47" s="446">
        <v>7</v>
      </c>
      <c r="M47" s="445">
        <v>8</v>
      </c>
      <c r="N47" s="446">
        <v>6.5</v>
      </c>
      <c r="O47" s="445">
        <v>8</v>
      </c>
      <c r="P47" s="446">
        <v>7.5</v>
      </c>
      <c r="Q47" s="445">
        <v>8</v>
      </c>
      <c r="R47" s="446">
        <v>6</v>
      </c>
      <c r="S47" s="446">
        <v>7</v>
      </c>
      <c r="T47" s="445">
        <v>8</v>
      </c>
      <c r="U47" s="445">
        <v>8</v>
      </c>
      <c r="V47" s="445">
        <v>7.5</v>
      </c>
      <c r="W47" s="445">
        <v>8</v>
      </c>
      <c r="X47" s="447"/>
      <c r="Y47" s="380"/>
      <c r="Z47" s="444">
        <v>9.23</v>
      </c>
      <c r="AA47" s="446">
        <v>6.49</v>
      </c>
    </row>
    <row r="48" spans="1:27" ht="15.75" thickBot="1">
      <c r="A48" s="302" t="s">
        <v>485</v>
      </c>
      <c r="B48" s="445">
        <v>8</v>
      </c>
      <c r="C48" s="445">
        <v>8</v>
      </c>
      <c r="D48" s="447"/>
      <c r="E48" s="445">
        <v>8</v>
      </c>
      <c r="F48" s="445">
        <v>8.5</v>
      </c>
      <c r="G48" s="447"/>
      <c r="H48" s="444">
        <v>9</v>
      </c>
      <c r="I48" s="445">
        <v>7</v>
      </c>
      <c r="J48" s="446">
        <v>7.5</v>
      </c>
      <c r="K48" s="445">
        <v>7</v>
      </c>
      <c r="L48" s="444">
        <v>9</v>
      </c>
      <c r="M48" s="446">
        <v>7.5</v>
      </c>
      <c r="N48" s="445">
        <v>8</v>
      </c>
      <c r="O48" s="445">
        <v>8</v>
      </c>
      <c r="P48" s="445">
        <v>8</v>
      </c>
      <c r="Q48" s="446">
        <v>7.5</v>
      </c>
      <c r="R48" s="445">
        <v>7</v>
      </c>
      <c r="S48" s="444">
        <v>9</v>
      </c>
      <c r="T48" s="444">
        <v>9</v>
      </c>
      <c r="U48" s="446">
        <v>7</v>
      </c>
      <c r="V48" s="445">
        <v>7</v>
      </c>
      <c r="W48" s="444">
        <v>9</v>
      </c>
      <c r="X48" s="447"/>
      <c r="Y48" s="380"/>
      <c r="Z48" s="444">
        <v>9.0399999999999991</v>
      </c>
      <c r="AA48" s="446">
        <v>6.49</v>
      </c>
    </row>
    <row r="49" spans="1:27" ht="15.75" thickBot="1">
      <c r="A49" s="302" t="s">
        <v>79</v>
      </c>
      <c r="B49" s="445">
        <v>8</v>
      </c>
      <c r="C49" s="445">
        <v>7.5</v>
      </c>
      <c r="D49" s="447"/>
      <c r="E49" s="445">
        <v>8</v>
      </c>
      <c r="F49" s="445">
        <v>8</v>
      </c>
      <c r="G49" s="447"/>
      <c r="H49" s="446">
        <v>9</v>
      </c>
      <c r="I49" s="445">
        <v>6.5</v>
      </c>
      <c r="J49" s="445">
        <v>8.5</v>
      </c>
      <c r="K49" s="444">
        <v>9.5</v>
      </c>
      <c r="L49" s="446">
        <v>9</v>
      </c>
      <c r="M49" s="445">
        <v>8.5</v>
      </c>
      <c r="N49" s="446">
        <v>8.5</v>
      </c>
      <c r="O49" s="445">
        <v>8</v>
      </c>
      <c r="P49" s="445">
        <v>8</v>
      </c>
      <c r="Q49" s="445">
        <v>8.5</v>
      </c>
      <c r="R49" s="444">
        <v>9.5</v>
      </c>
      <c r="S49" s="446">
        <v>9</v>
      </c>
      <c r="T49" s="446">
        <v>9</v>
      </c>
      <c r="U49" s="445">
        <v>8</v>
      </c>
      <c r="V49" s="445">
        <v>6.5</v>
      </c>
      <c r="W49" s="446">
        <v>9</v>
      </c>
      <c r="X49" s="447"/>
      <c r="Y49" s="380"/>
      <c r="Z49" s="444">
        <v>10.3</v>
      </c>
      <c r="AA49" s="446">
        <v>7.47</v>
      </c>
    </row>
    <row r="50" spans="1:27" ht="15.75" thickBot="1">
      <c r="A50" s="302" t="s">
        <v>552</v>
      </c>
      <c r="B50" s="444">
        <v>9.5</v>
      </c>
      <c r="C50" s="445">
        <v>8.5</v>
      </c>
      <c r="D50" s="447"/>
      <c r="E50" s="445">
        <v>8.5</v>
      </c>
      <c r="F50" s="445">
        <v>9</v>
      </c>
      <c r="G50" s="447"/>
      <c r="H50" s="445">
        <v>8.5</v>
      </c>
      <c r="I50" s="445">
        <v>7.5</v>
      </c>
      <c r="J50" s="445">
        <v>8.5</v>
      </c>
      <c r="K50" s="446">
        <v>8.5</v>
      </c>
      <c r="L50" s="445">
        <v>8.5</v>
      </c>
      <c r="M50" s="445">
        <v>8.5</v>
      </c>
      <c r="N50" s="445">
        <v>8</v>
      </c>
      <c r="O50" s="445">
        <v>8.5</v>
      </c>
      <c r="P50" s="445">
        <v>8.5</v>
      </c>
      <c r="Q50" s="445">
        <v>8.5</v>
      </c>
      <c r="R50" s="446">
        <v>8.5</v>
      </c>
      <c r="S50" s="445">
        <v>8.5</v>
      </c>
      <c r="T50" s="445">
        <v>9</v>
      </c>
      <c r="U50" s="445">
        <v>8.5</v>
      </c>
      <c r="V50" s="445">
        <v>7.5</v>
      </c>
      <c r="W50" s="445">
        <v>9</v>
      </c>
      <c r="X50" s="447"/>
      <c r="Y50" s="380"/>
      <c r="Z50" s="444">
        <v>10.3</v>
      </c>
      <c r="AA50" s="446">
        <v>8.64</v>
      </c>
    </row>
    <row r="51" spans="1:27" ht="15.75" thickBot="1">
      <c r="A51" s="302" t="s">
        <v>50</v>
      </c>
      <c r="B51" s="445">
        <v>7.5</v>
      </c>
      <c r="C51" s="445">
        <v>7.5</v>
      </c>
      <c r="D51" s="447"/>
      <c r="E51" s="445">
        <v>8</v>
      </c>
      <c r="F51" s="445">
        <v>8</v>
      </c>
      <c r="G51" s="447"/>
      <c r="H51" s="444">
        <v>9.5</v>
      </c>
      <c r="I51" s="445">
        <v>7</v>
      </c>
      <c r="J51" s="445">
        <v>8</v>
      </c>
      <c r="K51" s="446">
        <v>8</v>
      </c>
      <c r="L51" s="444">
        <v>9.5</v>
      </c>
      <c r="M51" s="445">
        <v>8</v>
      </c>
      <c r="N51" s="445">
        <v>9</v>
      </c>
      <c r="O51" s="445">
        <v>8</v>
      </c>
      <c r="P51" s="445">
        <v>7.5</v>
      </c>
      <c r="Q51" s="445">
        <v>8</v>
      </c>
      <c r="R51" s="446">
        <v>8</v>
      </c>
      <c r="S51" s="444">
        <v>9.5</v>
      </c>
      <c r="T51" s="445">
        <v>9</v>
      </c>
      <c r="U51" s="445">
        <v>8</v>
      </c>
      <c r="V51" s="445">
        <v>7</v>
      </c>
      <c r="W51" s="445">
        <v>9</v>
      </c>
      <c r="X51" s="447"/>
      <c r="Y51" s="380"/>
      <c r="Z51" s="444">
        <v>10.3</v>
      </c>
      <c r="AA51" s="446">
        <v>9.0399999999999991</v>
      </c>
    </row>
    <row r="52" spans="1:27" ht="15.75" thickBot="1">
      <c r="A52" s="302" t="s">
        <v>497</v>
      </c>
      <c r="B52" s="444">
        <v>9.5</v>
      </c>
      <c r="C52" s="445">
        <v>8.5</v>
      </c>
      <c r="D52" s="447"/>
      <c r="E52" s="445">
        <v>8.5</v>
      </c>
      <c r="F52" s="445">
        <v>9</v>
      </c>
      <c r="G52" s="447"/>
      <c r="H52" s="444">
        <v>9.5</v>
      </c>
      <c r="I52" s="445">
        <v>7.5</v>
      </c>
      <c r="J52" s="445">
        <v>9</v>
      </c>
      <c r="K52" s="445">
        <v>7.5</v>
      </c>
      <c r="L52" s="444">
        <v>9.5</v>
      </c>
      <c r="M52" s="445">
        <v>9</v>
      </c>
      <c r="N52" s="445">
        <v>8.5</v>
      </c>
      <c r="O52" s="445">
        <v>8.5</v>
      </c>
      <c r="P52" s="445">
        <v>8.5</v>
      </c>
      <c r="Q52" s="445">
        <v>9</v>
      </c>
      <c r="R52" s="445">
        <v>7.5</v>
      </c>
      <c r="S52" s="444">
        <v>9.5</v>
      </c>
      <c r="T52" s="444">
        <v>9.5</v>
      </c>
      <c r="U52" s="445">
        <v>9</v>
      </c>
      <c r="V52" s="445">
        <v>7.5</v>
      </c>
      <c r="W52" s="444">
        <v>9.5</v>
      </c>
      <c r="X52" s="447"/>
      <c r="Y52" s="380"/>
      <c r="Z52" s="444">
        <v>10.8</v>
      </c>
      <c r="AA52" s="446">
        <v>8.4499999999999993</v>
      </c>
    </row>
    <row r="53" spans="1:27" ht="15.75" thickBot="1">
      <c r="A53" s="302" t="s">
        <v>693</v>
      </c>
      <c r="B53" s="444">
        <v>10</v>
      </c>
      <c r="C53" s="444">
        <v>10</v>
      </c>
      <c r="D53" s="447"/>
      <c r="E53" s="444">
        <v>10</v>
      </c>
      <c r="F53" s="445">
        <v>9.5</v>
      </c>
      <c r="G53" s="447"/>
      <c r="H53" s="444">
        <v>10</v>
      </c>
      <c r="I53" s="445">
        <v>7.5</v>
      </c>
      <c r="J53" s="445">
        <v>8.5</v>
      </c>
      <c r="K53" s="444">
        <v>10</v>
      </c>
      <c r="L53" s="444">
        <v>10</v>
      </c>
      <c r="M53" s="445">
        <v>8.5</v>
      </c>
      <c r="N53" s="445">
        <v>9.5</v>
      </c>
      <c r="O53" s="444">
        <v>10</v>
      </c>
      <c r="P53" s="445">
        <v>9.5</v>
      </c>
      <c r="Q53" s="445">
        <v>8.5</v>
      </c>
      <c r="R53" s="444">
        <v>10</v>
      </c>
      <c r="S53" s="444">
        <v>10</v>
      </c>
      <c r="T53" s="444">
        <v>10</v>
      </c>
      <c r="U53" s="444">
        <v>10</v>
      </c>
      <c r="V53" s="445">
        <v>7.5</v>
      </c>
      <c r="W53" s="444">
        <v>10</v>
      </c>
      <c r="X53" s="447"/>
      <c r="Y53" s="380"/>
      <c r="Z53" s="444">
        <v>12.8</v>
      </c>
      <c r="AA53" s="446">
        <v>11.3</v>
      </c>
    </row>
    <row r="54" spans="1:27" ht="15.75" thickBot="1">
      <c r="A54" s="302" t="s">
        <v>136</v>
      </c>
      <c r="B54" s="445">
        <v>9.5</v>
      </c>
      <c r="C54" s="445">
        <v>8.5</v>
      </c>
      <c r="D54" s="447"/>
      <c r="E54" s="445">
        <v>8.5</v>
      </c>
      <c r="F54" s="445">
        <v>9</v>
      </c>
      <c r="G54" s="447"/>
      <c r="H54" s="444">
        <v>10</v>
      </c>
      <c r="I54" s="445">
        <v>8.5</v>
      </c>
      <c r="J54" s="445">
        <v>9</v>
      </c>
      <c r="K54" s="445">
        <v>9</v>
      </c>
      <c r="L54" s="444">
        <v>10</v>
      </c>
      <c r="M54" s="445">
        <v>9</v>
      </c>
      <c r="N54" s="444">
        <v>10</v>
      </c>
      <c r="O54" s="445">
        <v>8.5</v>
      </c>
      <c r="P54" s="445">
        <v>8.5</v>
      </c>
      <c r="Q54" s="445">
        <v>9</v>
      </c>
      <c r="R54" s="445">
        <v>9</v>
      </c>
      <c r="S54" s="444">
        <v>10</v>
      </c>
      <c r="T54" s="444">
        <v>10</v>
      </c>
      <c r="U54" s="445">
        <v>8.5</v>
      </c>
      <c r="V54" s="445">
        <v>8.5</v>
      </c>
      <c r="W54" s="444">
        <v>10</v>
      </c>
      <c r="X54" s="447"/>
      <c r="Y54" s="380"/>
      <c r="Z54" s="444">
        <v>11.3</v>
      </c>
      <c r="AA54" s="446">
        <v>8.64</v>
      </c>
    </row>
    <row r="55" spans="1:27" ht="15.75" thickBot="1">
      <c r="A55" s="302" t="s">
        <v>562</v>
      </c>
      <c r="B55" s="444">
        <v>10</v>
      </c>
      <c r="C55" s="444">
        <v>10</v>
      </c>
      <c r="D55" s="447"/>
      <c r="E55" s="445">
        <v>9</v>
      </c>
      <c r="F55" s="445">
        <v>8</v>
      </c>
      <c r="G55" s="447"/>
      <c r="H55" s="444">
        <v>10</v>
      </c>
      <c r="I55" s="445">
        <v>7.5</v>
      </c>
      <c r="J55" s="445">
        <v>9</v>
      </c>
      <c r="K55" s="445">
        <v>9.5</v>
      </c>
      <c r="L55" s="444">
        <v>10</v>
      </c>
      <c r="M55" s="445">
        <v>9</v>
      </c>
      <c r="N55" s="445">
        <v>9</v>
      </c>
      <c r="O55" s="444">
        <v>10</v>
      </c>
      <c r="P55" s="445">
        <v>9.5</v>
      </c>
      <c r="Q55" s="445">
        <v>9</v>
      </c>
      <c r="R55" s="445">
        <v>9.5</v>
      </c>
      <c r="S55" s="444">
        <v>10</v>
      </c>
      <c r="T55" s="444">
        <v>10</v>
      </c>
      <c r="U55" s="445">
        <v>8.5</v>
      </c>
      <c r="V55" s="445">
        <v>7.5</v>
      </c>
      <c r="W55" s="444">
        <v>10</v>
      </c>
      <c r="X55" s="447"/>
      <c r="Y55" s="380"/>
      <c r="Z55" s="444">
        <v>11.8</v>
      </c>
      <c r="AA55" s="446">
        <v>7.66</v>
      </c>
    </row>
    <row r="56" spans="1:27" ht="30.75" thickBot="1">
      <c r="A56" s="302" t="s">
        <v>99</v>
      </c>
      <c r="B56" s="445">
        <v>8.5</v>
      </c>
      <c r="C56" s="445">
        <v>8.5</v>
      </c>
      <c r="D56" s="447"/>
      <c r="E56" s="445">
        <v>8</v>
      </c>
      <c r="F56" s="445">
        <v>9</v>
      </c>
      <c r="G56" s="447"/>
      <c r="H56" s="445">
        <v>9</v>
      </c>
      <c r="I56" s="445">
        <v>7.5</v>
      </c>
      <c r="J56" s="445">
        <v>8.5</v>
      </c>
      <c r="K56" s="444">
        <v>10</v>
      </c>
      <c r="L56" s="445">
        <v>9</v>
      </c>
      <c r="M56" s="445">
        <v>8.5</v>
      </c>
      <c r="N56" s="445">
        <v>8.5</v>
      </c>
      <c r="O56" s="445">
        <v>8</v>
      </c>
      <c r="P56" s="445">
        <v>8.5</v>
      </c>
      <c r="Q56" s="445">
        <v>8.5</v>
      </c>
      <c r="R56" s="444">
        <v>10</v>
      </c>
      <c r="S56" s="445">
        <v>9</v>
      </c>
      <c r="T56" s="445">
        <v>9</v>
      </c>
      <c r="U56" s="445">
        <v>9</v>
      </c>
      <c r="V56" s="445">
        <v>7.5</v>
      </c>
      <c r="W56" s="445">
        <v>9</v>
      </c>
      <c r="X56" s="447"/>
      <c r="Y56" s="380"/>
      <c r="Z56" s="444">
        <v>11.8</v>
      </c>
      <c r="AA56" s="446">
        <v>10.3</v>
      </c>
    </row>
    <row r="57" spans="1:27" ht="15.75" thickBot="1">
      <c r="A57" s="302" t="s">
        <v>157</v>
      </c>
      <c r="B57" s="445">
        <v>10</v>
      </c>
      <c r="C57" s="445">
        <v>10</v>
      </c>
      <c r="D57" s="447"/>
      <c r="E57" s="445">
        <v>10</v>
      </c>
      <c r="F57" s="445">
        <v>9.5</v>
      </c>
      <c r="G57" s="447"/>
      <c r="H57" s="445">
        <v>9.5</v>
      </c>
      <c r="I57" s="445">
        <v>10</v>
      </c>
      <c r="J57" s="444">
        <v>11</v>
      </c>
      <c r="K57" s="444">
        <v>11</v>
      </c>
      <c r="L57" s="445">
        <v>9.5</v>
      </c>
      <c r="M57" s="444">
        <v>11</v>
      </c>
      <c r="N57" s="445">
        <v>9</v>
      </c>
      <c r="O57" s="445">
        <v>10</v>
      </c>
      <c r="P57" s="445">
        <v>10</v>
      </c>
      <c r="Q57" s="444">
        <v>11</v>
      </c>
      <c r="R57" s="444">
        <v>11</v>
      </c>
      <c r="S57" s="445">
        <v>9.5</v>
      </c>
      <c r="T57" s="445">
        <v>10</v>
      </c>
      <c r="U57" s="445">
        <v>9.5</v>
      </c>
      <c r="V57" s="445">
        <v>10</v>
      </c>
      <c r="W57" s="445">
        <v>10</v>
      </c>
      <c r="X57" s="447"/>
      <c r="Y57" s="380"/>
      <c r="Z57" s="446">
        <v>13.7</v>
      </c>
      <c r="AA57" s="444">
        <v>15.2</v>
      </c>
    </row>
    <row r="58" spans="1:27" ht="15.75" thickBot="1">
      <c r="A58" s="302" t="s">
        <v>133</v>
      </c>
      <c r="B58" s="445">
        <v>10</v>
      </c>
      <c r="C58" s="445">
        <v>9</v>
      </c>
      <c r="D58" s="447"/>
      <c r="E58" s="445">
        <v>9</v>
      </c>
      <c r="F58" s="445">
        <v>9</v>
      </c>
      <c r="G58" s="447"/>
      <c r="H58" s="444">
        <v>11</v>
      </c>
      <c r="I58" s="445">
        <v>8.5</v>
      </c>
      <c r="J58" s="445">
        <v>9</v>
      </c>
      <c r="K58" s="445">
        <v>10</v>
      </c>
      <c r="L58" s="444">
        <v>11</v>
      </c>
      <c r="M58" s="445">
        <v>9</v>
      </c>
      <c r="N58" s="445">
        <v>10</v>
      </c>
      <c r="O58" s="445">
        <v>9.5</v>
      </c>
      <c r="P58" s="445">
        <v>9</v>
      </c>
      <c r="Q58" s="445">
        <v>9</v>
      </c>
      <c r="R58" s="445">
        <v>10</v>
      </c>
      <c r="S58" s="444">
        <v>11</v>
      </c>
      <c r="T58" s="444">
        <v>11</v>
      </c>
      <c r="U58" s="445">
        <v>9.5</v>
      </c>
      <c r="V58" s="445">
        <v>8.5</v>
      </c>
      <c r="W58" s="444">
        <v>11</v>
      </c>
      <c r="X58" s="447"/>
      <c r="Y58" s="380"/>
      <c r="Z58" s="444">
        <v>12.3</v>
      </c>
      <c r="AA58" s="446">
        <v>9.82</v>
      </c>
    </row>
    <row r="59" spans="1:27" ht="15.75" thickBot="1">
      <c r="A59" s="302" t="s">
        <v>83</v>
      </c>
      <c r="B59" s="445">
        <v>10</v>
      </c>
      <c r="C59" s="445">
        <v>8.5</v>
      </c>
      <c r="D59" s="447"/>
      <c r="E59" s="445">
        <v>10</v>
      </c>
      <c r="F59" s="445">
        <v>8.5</v>
      </c>
      <c r="G59" s="447"/>
      <c r="H59" s="444">
        <v>11</v>
      </c>
      <c r="I59" s="445">
        <v>10</v>
      </c>
      <c r="J59" s="444">
        <v>11</v>
      </c>
      <c r="K59" s="446">
        <v>9.5</v>
      </c>
      <c r="L59" s="444">
        <v>11</v>
      </c>
      <c r="M59" s="444">
        <v>11</v>
      </c>
      <c r="N59" s="445">
        <v>10</v>
      </c>
      <c r="O59" s="445">
        <v>9</v>
      </c>
      <c r="P59" s="446">
        <v>9.5</v>
      </c>
      <c r="Q59" s="444">
        <v>11</v>
      </c>
      <c r="R59" s="446">
        <v>9.5</v>
      </c>
      <c r="S59" s="444">
        <v>11</v>
      </c>
      <c r="T59" s="444">
        <v>11</v>
      </c>
      <c r="U59" s="445">
        <v>9</v>
      </c>
      <c r="V59" s="445">
        <v>10</v>
      </c>
      <c r="W59" s="444">
        <v>11</v>
      </c>
      <c r="X59" s="447"/>
      <c r="Y59" s="380"/>
      <c r="Z59" s="446">
        <v>14.7</v>
      </c>
      <c r="AA59" s="444">
        <v>19.600000000000001</v>
      </c>
    </row>
    <row r="60" spans="1:27" ht="15.75" thickBot="1">
      <c r="A60" s="302" t="s">
        <v>87</v>
      </c>
      <c r="B60" s="444">
        <v>11</v>
      </c>
      <c r="C60" s="445">
        <v>10</v>
      </c>
      <c r="D60" s="447"/>
      <c r="E60" s="445">
        <v>10</v>
      </c>
      <c r="F60" s="446">
        <v>10</v>
      </c>
      <c r="G60" s="447"/>
      <c r="H60" s="445">
        <v>9.5</v>
      </c>
      <c r="I60" s="445">
        <v>8.5</v>
      </c>
      <c r="J60" s="445">
        <v>8.5</v>
      </c>
      <c r="K60" s="445">
        <v>10</v>
      </c>
      <c r="L60" s="445">
        <v>9.5</v>
      </c>
      <c r="M60" s="445">
        <v>8.5</v>
      </c>
      <c r="N60" s="445">
        <v>9</v>
      </c>
      <c r="O60" s="445">
        <v>10</v>
      </c>
      <c r="P60" s="445">
        <v>10</v>
      </c>
      <c r="Q60" s="445">
        <v>8.5</v>
      </c>
      <c r="R60" s="445">
        <v>10</v>
      </c>
      <c r="S60" s="445">
        <v>9.5</v>
      </c>
      <c r="T60" s="445">
        <v>10</v>
      </c>
      <c r="U60" s="445">
        <v>10</v>
      </c>
      <c r="V60" s="445">
        <v>8.5</v>
      </c>
      <c r="W60" s="445">
        <v>10</v>
      </c>
      <c r="X60" s="447"/>
      <c r="Y60" s="380"/>
      <c r="Z60" s="444">
        <v>13.7</v>
      </c>
      <c r="AA60" s="447"/>
    </row>
    <row r="61" spans="1:27" ht="15.75" thickBot="1">
      <c r="A61" s="302" t="s">
        <v>1147</v>
      </c>
      <c r="B61" s="445">
        <v>11</v>
      </c>
      <c r="C61" s="445">
        <v>11</v>
      </c>
      <c r="D61" s="447"/>
      <c r="E61" s="445">
        <v>11</v>
      </c>
      <c r="F61" s="445">
        <v>11</v>
      </c>
      <c r="G61" s="447"/>
      <c r="H61" s="444">
        <v>12</v>
      </c>
      <c r="I61" s="445">
        <v>10</v>
      </c>
      <c r="J61" s="445">
        <v>9</v>
      </c>
      <c r="K61" s="446">
        <v>10</v>
      </c>
      <c r="L61" s="444">
        <v>12</v>
      </c>
      <c r="M61" s="445">
        <v>9</v>
      </c>
      <c r="N61" s="445">
        <v>11</v>
      </c>
      <c r="O61" s="444">
        <v>12</v>
      </c>
      <c r="P61" s="445">
        <v>11</v>
      </c>
      <c r="Q61" s="445">
        <v>9</v>
      </c>
      <c r="R61" s="446">
        <v>10</v>
      </c>
      <c r="S61" s="444">
        <v>12</v>
      </c>
      <c r="T61" s="444">
        <v>12</v>
      </c>
      <c r="U61" s="446">
        <v>10</v>
      </c>
      <c r="V61" s="445">
        <v>10</v>
      </c>
      <c r="W61" s="444">
        <v>12</v>
      </c>
      <c r="X61" s="447"/>
      <c r="Y61" s="380"/>
      <c r="Z61" s="444">
        <v>15.2</v>
      </c>
      <c r="AA61" s="446">
        <v>10.8</v>
      </c>
    </row>
    <row r="62" spans="1:27" ht="15.75" thickBot="1">
      <c r="A62" s="302" t="s">
        <v>156</v>
      </c>
      <c r="B62" s="445">
        <v>11</v>
      </c>
      <c r="C62" s="444">
        <v>12</v>
      </c>
      <c r="D62" s="447"/>
      <c r="E62" s="445">
        <v>10</v>
      </c>
      <c r="F62" s="445">
        <v>10</v>
      </c>
      <c r="G62" s="447"/>
      <c r="H62" s="445">
        <v>9.5</v>
      </c>
      <c r="I62" s="445">
        <v>10</v>
      </c>
      <c r="J62" s="445">
        <v>11</v>
      </c>
      <c r="K62" s="446">
        <v>9.5</v>
      </c>
      <c r="L62" s="445">
        <v>9.5</v>
      </c>
      <c r="M62" s="445">
        <v>11</v>
      </c>
      <c r="N62" s="445">
        <v>9</v>
      </c>
      <c r="O62" s="445">
        <v>11</v>
      </c>
      <c r="P62" s="445">
        <v>10</v>
      </c>
      <c r="Q62" s="445">
        <v>11</v>
      </c>
      <c r="R62" s="446">
        <v>9.5</v>
      </c>
      <c r="S62" s="445">
        <v>9.5</v>
      </c>
      <c r="T62" s="445">
        <v>10</v>
      </c>
      <c r="U62" s="445">
        <v>10</v>
      </c>
      <c r="V62" s="445">
        <v>10</v>
      </c>
      <c r="W62" s="445">
        <v>10</v>
      </c>
      <c r="X62" s="447"/>
      <c r="Y62" s="380"/>
      <c r="Z62" s="444">
        <v>12.3</v>
      </c>
      <c r="AA62" s="446">
        <v>10.8</v>
      </c>
    </row>
    <row r="63" spans="1:27" ht="15.75" thickBot="1">
      <c r="A63" s="302" t="s">
        <v>177</v>
      </c>
      <c r="B63" s="444">
        <v>12</v>
      </c>
      <c r="C63" s="444">
        <v>12</v>
      </c>
      <c r="D63" s="447"/>
      <c r="E63" s="444">
        <v>12</v>
      </c>
      <c r="F63" s="445">
        <v>11</v>
      </c>
      <c r="G63" s="447"/>
      <c r="H63" s="446">
        <v>10</v>
      </c>
      <c r="I63" s="445">
        <v>10</v>
      </c>
      <c r="J63" s="445">
        <v>9</v>
      </c>
      <c r="K63" s="445">
        <v>11</v>
      </c>
      <c r="L63" s="446">
        <v>10</v>
      </c>
      <c r="M63" s="445">
        <v>9</v>
      </c>
      <c r="N63" s="445">
        <v>9</v>
      </c>
      <c r="O63" s="444">
        <v>12</v>
      </c>
      <c r="P63" s="444">
        <v>12</v>
      </c>
      <c r="Q63" s="445">
        <v>9</v>
      </c>
      <c r="R63" s="445">
        <v>11</v>
      </c>
      <c r="S63" s="446">
        <v>10</v>
      </c>
      <c r="T63" s="445">
        <v>11</v>
      </c>
      <c r="U63" s="445">
        <v>11</v>
      </c>
      <c r="V63" s="445">
        <v>10</v>
      </c>
      <c r="W63" s="445">
        <v>11</v>
      </c>
      <c r="X63" s="447"/>
      <c r="Y63" s="380"/>
      <c r="Z63" s="444">
        <v>13.7</v>
      </c>
      <c r="AA63" s="444">
        <v>13.7</v>
      </c>
    </row>
    <row r="64" spans="1:27" ht="15.75" thickBot="1">
      <c r="A64" s="302" t="s">
        <v>163</v>
      </c>
      <c r="B64" s="445">
        <v>11</v>
      </c>
      <c r="C64" s="445">
        <v>10</v>
      </c>
      <c r="D64" s="447"/>
      <c r="E64" s="445">
        <v>10</v>
      </c>
      <c r="F64" s="445">
        <v>12</v>
      </c>
      <c r="G64" s="447"/>
      <c r="H64" s="444">
        <v>13</v>
      </c>
      <c r="I64" s="445">
        <v>10</v>
      </c>
      <c r="J64" s="445">
        <v>11</v>
      </c>
      <c r="K64" s="444">
        <v>13</v>
      </c>
      <c r="L64" s="444">
        <v>13</v>
      </c>
      <c r="M64" s="445">
        <v>11</v>
      </c>
      <c r="N64" s="445">
        <v>12</v>
      </c>
      <c r="O64" s="445">
        <v>10</v>
      </c>
      <c r="P64" s="445">
        <v>10</v>
      </c>
      <c r="Q64" s="445">
        <v>11</v>
      </c>
      <c r="R64" s="444">
        <v>13</v>
      </c>
      <c r="S64" s="444">
        <v>13</v>
      </c>
      <c r="T64" s="445">
        <v>12</v>
      </c>
      <c r="U64" s="446">
        <v>10</v>
      </c>
      <c r="V64" s="445">
        <v>10</v>
      </c>
      <c r="W64" s="445">
        <v>12</v>
      </c>
      <c r="X64" s="447"/>
      <c r="Y64" s="380"/>
      <c r="Z64" s="444">
        <v>16.7</v>
      </c>
      <c r="AA64" s="446">
        <v>15.2</v>
      </c>
    </row>
    <row r="65" spans="1:27" ht="15.75" thickBot="1">
      <c r="A65" s="302" t="s">
        <v>84</v>
      </c>
      <c r="B65" s="445">
        <v>10</v>
      </c>
      <c r="C65" s="445">
        <v>10</v>
      </c>
      <c r="D65" s="447"/>
      <c r="E65" s="445">
        <v>10</v>
      </c>
      <c r="F65" s="445">
        <v>10</v>
      </c>
      <c r="G65" s="447"/>
      <c r="H65" s="445">
        <v>12</v>
      </c>
      <c r="I65" s="445">
        <v>10</v>
      </c>
      <c r="J65" s="445">
        <v>11</v>
      </c>
      <c r="K65" s="444">
        <v>13</v>
      </c>
      <c r="L65" s="445">
        <v>12</v>
      </c>
      <c r="M65" s="445">
        <v>11</v>
      </c>
      <c r="N65" s="445">
        <v>11</v>
      </c>
      <c r="O65" s="445">
        <v>10</v>
      </c>
      <c r="P65" s="445">
        <v>10</v>
      </c>
      <c r="Q65" s="445">
        <v>11</v>
      </c>
      <c r="R65" s="444">
        <v>13</v>
      </c>
      <c r="S65" s="445">
        <v>12</v>
      </c>
      <c r="T65" s="445">
        <v>11</v>
      </c>
      <c r="U65" s="445">
        <v>10</v>
      </c>
      <c r="V65" s="445">
        <v>10</v>
      </c>
      <c r="W65" s="445">
        <v>11</v>
      </c>
      <c r="X65" s="447"/>
      <c r="Y65" s="380"/>
      <c r="Z65" s="444">
        <v>19.600000000000001</v>
      </c>
      <c r="AA65" s="447"/>
    </row>
    <row r="66" spans="1:27" ht="30.75" thickBot="1">
      <c r="A66" s="302" t="s">
        <v>239</v>
      </c>
      <c r="B66" s="445">
        <v>12</v>
      </c>
      <c r="C66" s="445">
        <v>12</v>
      </c>
      <c r="D66" s="447"/>
      <c r="E66" s="445">
        <v>12</v>
      </c>
      <c r="F66" s="445">
        <v>10</v>
      </c>
      <c r="G66" s="447"/>
      <c r="H66" s="445">
        <v>10</v>
      </c>
      <c r="I66" s="445">
        <v>10</v>
      </c>
      <c r="J66" s="444">
        <v>13</v>
      </c>
      <c r="K66" s="444">
        <v>13</v>
      </c>
      <c r="L66" s="445">
        <v>10</v>
      </c>
      <c r="M66" s="444">
        <v>13</v>
      </c>
      <c r="N66" s="445">
        <v>10</v>
      </c>
      <c r="O66" s="445">
        <v>12</v>
      </c>
      <c r="P66" s="445">
        <v>11</v>
      </c>
      <c r="Q66" s="444">
        <v>13</v>
      </c>
      <c r="R66" s="444">
        <v>13</v>
      </c>
      <c r="S66" s="445">
        <v>10</v>
      </c>
      <c r="T66" s="445">
        <v>11</v>
      </c>
      <c r="U66" s="445">
        <v>10</v>
      </c>
      <c r="V66" s="445">
        <v>10</v>
      </c>
      <c r="W66" s="445">
        <v>11</v>
      </c>
      <c r="X66" s="447"/>
      <c r="Y66" s="380"/>
      <c r="Z66" s="446">
        <v>15.7</v>
      </c>
      <c r="AA66" s="444">
        <v>18.100000000000001</v>
      </c>
    </row>
    <row r="67" spans="1:27" ht="15.75" thickBot="1">
      <c r="A67" s="302" t="s">
        <v>692</v>
      </c>
      <c r="B67" s="445">
        <v>12</v>
      </c>
      <c r="C67" s="445">
        <v>12</v>
      </c>
      <c r="D67" s="447"/>
      <c r="E67" s="445">
        <v>12</v>
      </c>
      <c r="F67" s="445">
        <v>12</v>
      </c>
      <c r="G67" s="447"/>
      <c r="H67" s="444">
        <v>13</v>
      </c>
      <c r="I67" s="445">
        <v>10</v>
      </c>
      <c r="J67" s="444">
        <v>13</v>
      </c>
      <c r="K67" s="444">
        <v>13</v>
      </c>
      <c r="L67" s="444">
        <v>13</v>
      </c>
      <c r="M67" s="444">
        <v>13</v>
      </c>
      <c r="N67" s="444">
        <v>13</v>
      </c>
      <c r="O67" s="444">
        <v>13</v>
      </c>
      <c r="P67" s="446">
        <v>12</v>
      </c>
      <c r="Q67" s="444">
        <v>13</v>
      </c>
      <c r="R67" s="444">
        <v>13</v>
      </c>
      <c r="S67" s="444">
        <v>13</v>
      </c>
      <c r="T67" s="444">
        <v>13</v>
      </c>
      <c r="U67" s="444">
        <v>13</v>
      </c>
      <c r="V67" s="445">
        <v>10</v>
      </c>
      <c r="W67" s="444">
        <v>13</v>
      </c>
      <c r="X67" s="447"/>
      <c r="Y67" s="380"/>
      <c r="Z67" s="444">
        <v>15.7</v>
      </c>
      <c r="AA67" s="447"/>
    </row>
    <row r="68" spans="1:27" ht="15.75" thickBot="1">
      <c r="A68" s="302" t="s">
        <v>41</v>
      </c>
      <c r="B68" s="445">
        <v>12</v>
      </c>
      <c r="C68" s="445">
        <v>11</v>
      </c>
      <c r="D68" s="447"/>
      <c r="E68" s="445">
        <v>12</v>
      </c>
      <c r="F68" s="445">
        <v>11</v>
      </c>
      <c r="G68" s="447"/>
      <c r="H68" s="444">
        <v>13</v>
      </c>
      <c r="I68" s="445">
        <v>11</v>
      </c>
      <c r="J68" s="444">
        <v>13</v>
      </c>
      <c r="K68" s="446">
        <v>10</v>
      </c>
      <c r="L68" s="444">
        <v>13</v>
      </c>
      <c r="M68" s="444">
        <v>13</v>
      </c>
      <c r="N68" s="445">
        <v>12</v>
      </c>
      <c r="O68" s="445">
        <v>12</v>
      </c>
      <c r="P68" s="445">
        <v>11</v>
      </c>
      <c r="Q68" s="444">
        <v>13</v>
      </c>
      <c r="R68" s="446">
        <v>10</v>
      </c>
      <c r="S68" s="444">
        <v>13</v>
      </c>
      <c r="T68" s="444">
        <v>13</v>
      </c>
      <c r="U68" s="445">
        <v>12</v>
      </c>
      <c r="V68" s="445">
        <v>11</v>
      </c>
      <c r="W68" s="444">
        <v>13</v>
      </c>
      <c r="X68" s="447"/>
      <c r="Y68" s="380"/>
      <c r="Z68" s="444">
        <v>14.7</v>
      </c>
      <c r="AA68" s="446">
        <v>13.7</v>
      </c>
    </row>
    <row r="69" spans="1:27" ht="15.75" thickBot="1">
      <c r="A69" s="302" t="s">
        <v>419</v>
      </c>
      <c r="B69" s="445">
        <v>12</v>
      </c>
      <c r="C69" s="445">
        <v>12</v>
      </c>
      <c r="D69" s="447"/>
      <c r="E69" s="445">
        <v>12</v>
      </c>
      <c r="F69" s="445">
        <v>11</v>
      </c>
      <c r="G69" s="447"/>
      <c r="H69" s="444">
        <v>13</v>
      </c>
      <c r="I69" s="445">
        <v>10</v>
      </c>
      <c r="J69" s="445">
        <v>11</v>
      </c>
      <c r="K69" s="446">
        <v>11</v>
      </c>
      <c r="L69" s="444">
        <v>13</v>
      </c>
      <c r="M69" s="445">
        <v>11</v>
      </c>
      <c r="N69" s="445">
        <v>12</v>
      </c>
      <c r="O69" s="445">
        <v>12</v>
      </c>
      <c r="P69" s="445">
        <v>12</v>
      </c>
      <c r="Q69" s="445">
        <v>11</v>
      </c>
      <c r="R69" s="446">
        <v>11</v>
      </c>
      <c r="S69" s="444">
        <v>13</v>
      </c>
      <c r="T69" s="444">
        <v>13</v>
      </c>
      <c r="U69" s="445">
        <v>12</v>
      </c>
      <c r="V69" s="445">
        <v>10</v>
      </c>
      <c r="W69" s="444">
        <v>13</v>
      </c>
      <c r="X69" s="447"/>
      <c r="Y69" s="380"/>
      <c r="Z69" s="444">
        <v>15.7</v>
      </c>
      <c r="AA69" s="446">
        <v>11.8</v>
      </c>
    </row>
    <row r="70" spans="1:27" ht="15.75" thickBot="1">
      <c r="A70" s="302" t="s">
        <v>249</v>
      </c>
      <c r="B70" s="447"/>
      <c r="C70" s="447"/>
      <c r="D70" s="447"/>
      <c r="E70" s="447"/>
      <c r="F70" s="447"/>
      <c r="G70" s="447"/>
      <c r="H70" s="447"/>
      <c r="I70" s="447"/>
      <c r="J70" s="447"/>
      <c r="K70" s="447"/>
      <c r="L70" s="447"/>
      <c r="M70" s="447"/>
      <c r="N70" s="444">
        <v>15</v>
      </c>
      <c r="O70" s="447"/>
      <c r="P70" s="447"/>
      <c r="Q70" s="447"/>
      <c r="R70" s="447"/>
      <c r="S70" s="447"/>
      <c r="T70" s="447"/>
      <c r="U70" s="447"/>
      <c r="V70" s="447"/>
      <c r="W70" s="447"/>
      <c r="X70" s="447"/>
      <c r="Y70" s="380"/>
      <c r="Z70" s="447"/>
      <c r="AA70" s="447"/>
    </row>
    <row r="71" spans="1:27" ht="15.75" thickBot="1">
      <c r="A71" s="302" t="s">
        <v>393</v>
      </c>
      <c r="B71" s="444">
        <v>15</v>
      </c>
      <c r="C71" s="445">
        <v>13</v>
      </c>
      <c r="D71" s="447"/>
      <c r="E71" s="445">
        <v>13</v>
      </c>
      <c r="F71" s="445">
        <v>11</v>
      </c>
      <c r="G71" s="447"/>
      <c r="H71" s="445">
        <v>13</v>
      </c>
      <c r="I71" s="445">
        <v>11</v>
      </c>
      <c r="J71" s="445">
        <v>11</v>
      </c>
      <c r="K71" s="445">
        <v>13</v>
      </c>
      <c r="L71" s="445">
        <v>13</v>
      </c>
      <c r="M71" s="445">
        <v>11</v>
      </c>
      <c r="N71" s="445">
        <v>12</v>
      </c>
      <c r="O71" s="445">
        <v>13</v>
      </c>
      <c r="P71" s="445">
        <v>13</v>
      </c>
      <c r="Q71" s="445">
        <v>11</v>
      </c>
      <c r="R71" s="445">
        <v>13</v>
      </c>
      <c r="S71" s="445">
        <v>13</v>
      </c>
      <c r="T71" s="445">
        <v>13</v>
      </c>
      <c r="U71" s="445">
        <v>12</v>
      </c>
      <c r="V71" s="445">
        <v>11</v>
      </c>
      <c r="W71" s="445">
        <v>13</v>
      </c>
      <c r="X71" s="447"/>
      <c r="Y71" s="380"/>
      <c r="Z71" s="444">
        <v>17.7</v>
      </c>
      <c r="AA71" s="446">
        <v>16.2</v>
      </c>
    </row>
    <row r="72" spans="1:27" ht="15.75" thickBot="1">
      <c r="A72" s="302" t="s">
        <v>167</v>
      </c>
      <c r="B72" s="444">
        <v>15</v>
      </c>
      <c r="C72" s="444">
        <v>15</v>
      </c>
      <c r="D72" s="447"/>
      <c r="E72" s="444">
        <v>15</v>
      </c>
      <c r="F72" s="445">
        <v>13</v>
      </c>
      <c r="G72" s="447"/>
      <c r="H72" s="444">
        <v>15</v>
      </c>
      <c r="I72" s="445">
        <v>13</v>
      </c>
      <c r="J72" s="444">
        <v>15</v>
      </c>
      <c r="K72" s="444">
        <v>15</v>
      </c>
      <c r="L72" s="444">
        <v>15</v>
      </c>
      <c r="M72" s="444">
        <v>15</v>
      </c>
      <c r="N72" s="444">
        <v>15</v>
      </c>
      <c r="O72" s="444">
        <v>15</v>
      </c>
      <c r="P72" s="445">
        <v>14</v>
      </c>
      <c r="Q72" s="444">
        <v>15</v>
      </c>
      <c r="R72" s="444">
        <v>15</v>
      </c>
      <c r="S72" s="444">
        <v>15</v>
      </c>
      <c r="T72" s="444">
        <v>15</v>
      </c>
      <c r="U72" s="445">
        <v>13</v>
      </c>
      <c r="V72" s="445">
        <v>13</v>
      </c>
      <c r="W72" s="444">
        <v>15</v>
      </c>
      <c r="X72" s="447"/>
      <c r="Y72" s="380"/>
      <c r="Z72" s="446">
        <v>22</v>
      </c>
      <c r="AA72" s="444">
        <v>24</v>
      </c>
    </row>
    <row r="73" spans="1:27" ht="15.75" thickBot="1">
      <c r="A73" s="302" t="s">
        <v>103</v>
      </c>
      <c r="B73" s="445">
        <v>11</v>
      </c>
      <c r="C73" s="445">
        <v>10</v>
      </c>
      <c r="D73" s="447"/>
      <c r="E73" s="445">
        <v>10</v>
      </c>
      <c r="F73" s="445">
        <v>11</v>
      </c>
      <c r="G73" s="447"/>
      <c r="H73" s="445">
        <v>13</v>
      </c>
      <c r="I73" s="445">
        <v>8.5</v>
      </c>
      <c r="J73" s="445">
        <v>11</v>
      </c>
      <c r="K73" s="444">
        <v>15</v>
      </c>
      <c r="L73" s="445">
        <v>13</v>
      </c>
      <c r="M73" s="445">
        <v>11</v>
      </c>
      <c r="N73" s="445">
        <v>12</v>
      </c>
      <c r="O73" s="445">
        <v>10</v>
      </c>
      <c r="P73" s="445">
        <v>10</v>
      </c>
      <c r="Q73" s="445">
        <v>11</v>
      </c>
      <c r="R73" s="444">
        <v>15</v>
      </c>
      <c r="S73" s="445">
        <v>13</v>
      </c>
      <c r="T73" s="445">
        <v>12</v>
      </c>
      <c r="U73" s="445">
        <v>11</v>
      </c>
      <c r="V73" s="445">
        <v>8.5</v>
      </c>
      <c r="W73" s="445">
        <v>12</v>
      </c>
      <c r="X73" s="447"/>
      <c r="Y73" s="380"/>
      <c r="Z73" s="444">
        <v>16.7</v>
      </c>
      <c r="AA73" s="446">
        <v>14.7</v>
      </c>
    </row>
    <row r="74" spans="1:27" ht="15.75" thickBot="1">
      <c r="A74" s="302" t="s">
        <v>558</v>
      </c>
      <c r="B74" s="445">
        <v>12</v>
      </c>
      <c r="C74" s="445">
        <v>12</v>
      </c>
      <c r="D74" s="447"/>
      <c r="E74" s="445">
        <v>12</v>
      </c>
      <c r="F74" s="445">
        <v>12</v>
      </c>
      <c r="G74" s="447"/>
      <c r="H74" s="444">
        <v>15</v>
      </c>
      <c r="I74" s="445">
        <v>10</v>
      </c>
      <c r="J74" s="445">
        <v>11</v>
      </c>
      <c r="K74" s="445">
        <v>13</v>
      </c>
      <c r="L74" s="444">
        <v>15</v>
      </c>
      <c r="M74" s="445">
        <v>11</v>
      </c>
      <c r="N74" s="444">
        <v>15</v>
      </c>
      <c r="O74" s="445">
        <v>12</v>
      </c>
      <c r="P74" s="445">
        <v>13</v>
      </c>
      <c r="Q74" s="445">
        <v>11</v>
      </c>
      <c r="R74" s="445">
        <v>13</v>
      </c>
      <c r="S74" s="444">
        <v>15</v>
      </c>
      <c r="T74" s="444">
        <v>15</v>
      </c>
      <c r="U74" s="445">
        <v>13</v>
      </c>
      <c r="V74" s="445">
        <v>10</v>
      </c>
      <c r="W74" s="444">
        <v>15</v>
      </c>
      <c r="X74" s="447"/>
      <c r="Y74" s="380"/>
      <c r="Z74" s="444">
        <v>15.7</v>
      </c>
      <c r="AA74" s="446">
        <v>15.2</v>
      </c>
    </row>
    <row r="75" spans="1:27" ht="15.75" thickBot="1">
      <c r="A75" s="302" t="s">
        <v>186</v>
      </c>
      <c r="B75" s="444">
        <v>15</v>
      </c>
      <c r="C75" s="445">
        <v>13</v>
      </c>
      <c r="D75" s="447"/>
      <c r="E75" s="445">
        <v>13</v>
      </c>
      <c r="F75" s="445">
        <v>13</v>
      </c>
      <c r="G75" s="447"/>
      <c r="H75" s="445">
        <v>12</v>
      </c>
      <c r="I75" s="445">
        <v>11</v>
      </c>
      <c r="J75" s="444">
        <v>15</v>
      </c>
      <c r="K75" s="445">
        <v>13</v>
      </c>
      <c r="L75" s="445">
        <v>12</v>
      </c>
      <c r="M75" s="444">
        <v>15</v>
      </c>
      <c r="N75" s="445">
        <v>11</v>
      </c>
      <c r="O75" s="445">
        <v>13</v>
      </c>
      <c r="P75" s="445">
        <v>13</v>
      </c>
      <c r="Q75" s="444">
        <v>15</v>
      </c>
      <c r="R75" s="445">
        <v>13</v>
      </c>
      <c r="S75" s="445">
        <v>12</v>
      </c>
      <c r="T75" s="445">
        <v>13</v>
      </c>
      <c r="U75" s="445">
        <v>13</v>
      </c>
      <c r="V75" s="445">
        <v>11</v>
      </c>
      <c r="W75" s="445">
        <v>13</v>
      </c>
      <c r="X75" s="447"/>
      <c r="Y75" s="380"/>
      <c r="Z75" s="446">
        <v>17.2</v>
      </c>
      <c r="AA75" s="444">
        <v>19.100000000000001</v>
      </c>
    </row>
    <row r="76" spans="1:27" ht="30.75" thickBot="1">
      <c r="A76" s="302" t="s">
        <v>1148</v>
      </c>
      <c r="B76" s="444">
        <v>15</v>
      </c>
      <c r="C76" s="445">
        <v>13</v>
      </c>
      <c r="D76" s="447"/>
      <c r="E76" s="445">
        <v>13</v>
      </c>
      <c r="F76" s="446">
        <v>13</v>
      </c>
      <c r="G76" s="447"/>
      <c r="H76" s="445">
        <v>11</v>
      </c>
      <c r="I76" s="445">
        <v>13</v>
      </c>
      <c r="J76" s="446">
        <v>13</v>
      </c>
      <c r="K76" s="444">
        <v>15</v>
      </c>
      <c r="L76" s="445">
        <v>11</v>
      </c>
      <c r="M76" s="446">
        <v>13</v>
      </c>
      <c r="N76" s="445">
        <v>10</v>
      </c>
      <c r="O76" s="445">
        <v>13</v>
      </c>
      <c r="P76" s="445">
        <v>13</v>
      </c>
      <c r="Q76" s="446">
        <v>13</v>
      </c>
      <c r="R76" s="444">
        <v>15</v>
      </c>
      <c r="S76" s="445">
        <v>11</v>
      </c>
      <c r="T76" s="445">
        <v>13</v>
      </c>
      <c r="U76" s="444">
        <v>15</v>
      </c>
      <c r="V76" s="445">
        <v>13</v>
      </c>
      <c r="W76" s="445">
        <v>13</v>
      </c>
      <c r="X76" s="447"/>
      <c r="Y76" s="380"/>
      <c r="Z76" s="444">
        <v>15.2</v>
      </c>
      <c r="AA76" s="446">
        <v>14.2</v>
      </c>
    </row>
    <row r="77" spans="1:27" ht="15.75" thickBot="1">
      <c r="A77" s="302" t="s">
        <v>160</v>
      </c>
      <c r="B77" s="444">
        <v>15</v>
      </c>
      <c r="C77" s="445">
        <v>12</v>
      </c>
      <c r="D77" s="447"/>
      <c r="E77" s="445">
        <v>13</v>
      </c>
      <c r="F77" s="445">
        <v>13</v>
      </c>
      <c r="G77" s="447"/>
      <c r="H77" s="445">
        <v>13</v>
      </c>
      <c r="I77" s="445">
        <v>13</v>
      </c>
      <c r="J77" s="445">
        <v>13</v>
      </c>
      <c r="K77" s="445">
        <v>12</v>
      </c>
      <c r="L77" s="445">
        <v>13</v>
      </c>
      <c r="M77" s="445">
        <v>13</v>
      </c>
      <c r="N77" s="445">
        <v>13</v>
      </c>
      <c r="O77" s="445">
        <v>13</v>
      </c>
      <c r="P77" s="445">
        <v>12</v>
      </c>
      <c r="Q77" s="445">
        <v>13</v>
      </c>
      <c r="R77" s="445">
        <v>12</v>
      </c>
      <c r="S77" s="445">
        <v>13</v>
      </c>
      <c r="T77" s="444">
        <v>15</v>
      </c>
      <c r="U77" s="445">
        <v>12</v>
      </c>
      <c r="V77" s="445">
        <v>13</v>
      </c>
      <c r="W77" s="444">
        <v>15</v>
      </c>
      <c r="X77" s="447"/>
      <c r="Y77" s="380"/>
      <c r="Z77" s="444">
        <v>17.2</v>
      </c>
      <c r="AA77" s="447"/>
    </row>
    <row r="78" spans="1:27" ht="15.75" thickBot="1">
      <c r="A78" s="302" t="s">
        <v>60</v>
      </c>
      <c r="B78" s="444">
        <v>15</v>
      </c>
      <c r="C78" s="445">
        <v>13</v>
      </c>
      <c r="D78" s="447"/>
      <c r="E78" s="445">
        <v>13</v>
      </c>
      <c r="F78" s="445">
        <v>13</v>
      </c>
      <c r="G78" s="447"/>
      <c r="H78" s="445">
        <v>12</v>
      </c>
      <c r="I78" s="445">
        <v>11</v>
      </c>
      <c r="J78" s="444">
        <v>15</v>
      </c>
      <c r="K78" s="444">
        <v>15</v>
      </c>
      <c r="L78" s="445">
        <v>12</v>
      </c>
      <c r="M78" s="444">
        <v>15</v>
      </c>
      <c r="N78" s="445">
        <v>11</v>
      </c>
      <c r="O78" s="445">
        <v>13</v>
      </c>
      <c r="P78" s="445">
        <v>13</v>
      </c>
      <c r="Q78" s="444">
        <v>15</v>
      </c>
      <c r="R78" s="444">
        <v>15</v>
      </c>
      <c r="S78" s="445">
        <v>12</v>
      </c>
      <c r="T78" s="445">
        <v>13</v>
      </c>
      <c r="U78" s="445">
        <v>13</v>
      </c>
      <c r="V78" s="445">
        <v>11</v>
      </c>
      <c r="W78" s="445">
        <v>13</v>
      </c>
      <c r="X78" s="447"/>
      <c r="Y78" s="380"/>
      <c r="Z78" s="444">
        <v>17.2</v>
      </c>
      <c r="AA78" s="446">
        <v>14.2</v>
      </c>
    </row>
    <row r="79" spans="1:27" ht="15.75" thickBot="1">
      <c r="A79" s="302" t="s">
        <v>107</v>
      </c>
      <c r="B79" s="445">
        <v>12</v>
      </c>
      <c r="C79" s="445">
        <v>11</v>
      </c>
      <c r="D79" s="447"/>
      <c r="E79" s="445">
        <v>12</v>
      </c>
      <c r="F79" s="445">
        <v>12</v>
      </c>
      <c r="G79" s="447"/>
      <c r="H79" s="445">
        <v>11</v>
      </c>
      <c r="I79" s="445">
        <v>8.5</v>
      </c>
      <c r="J79" s="444">
        <v>15</v>
      </c>
      <c r="K79" s="445">
        <v>13</v>
      </c>
      <c r="L79" s="445">
        <v>11</v>
      </c>
      <c r="M79" s="444">
        <v>15</v>
      </c>
      <c r="N79" s="445">
        <v>10</v>
      </c>
      <c r="O79" s="445">
        <v>12</v>
      </c>
      <c r="P79" s="445">
        <v>12</v>
      </c>
      <c r="Q79" s="444">
        <v>15</v>
      </c>
      <c r="R79" s="445">
        <v>13</v>
      </c>
      <c r="S79" s="445">
        <v>11</v>
      </c>
      <c r="T79" s="445">
        <v>12</v>
      </c>
      <c r="U79" s="445">
        <v>12</v>
      </c>
      <c r="V79" s="445">
        <v>8.5</v>
      </c>
      <c r="W79" s="445">
        <v>12</v>
      </c>
      <c r="X79" s="447"/>
      <c r="Y79" s="380"/>
      <c r="Z79" s="444">
        <v>16.2</v>
      </c>
      <c r="AA79" s="446">
        <v>11.8</v>
      </c>
    </row>
    <row r="80" spans="1:27" ht="15.75" thickBot="1">
      <c r="A80" s="302" t="s">
        <v>155</v>
      </c>
      <c r="B80" s="444">
        <v>15</v>
      </c>
      <c r="C80" s="444">
        <v>15</v>
      </c>
      <c r="D80" s="447"/>
      <c r="E80" s="445">
        <v>12</v>
      </c>
      <c r="F80" s="445">
        <v>12</v>
      </c>
      <c r="G80" s="447"/>
      <c r="H80" s="444">
        <v>15</v>
      </c>
      <c r="I80" s="445">
        <v>11</v>
      </c>
      <c r="J80" s="445">
        <v>13</v>
      </c>
      <c r="K80" s="444">
        <v>15</v>
      </c>
      <c r="L80" s="444">
        <v>15</v>
      </c>
      <c r="M80" s="445">
        <v>13</v>
      </c>
      <c r="N80" s="444">
        <v>15</v>
      </c>
      <c r="O80" s="445">
        <v>12</v>
      </c>
      <c r="P80" s="445">
        <v>13</v>
      </c>
      <c r="Q80" s="445">
        <v>13</v>
      </c>
      <c r="R80" s="444">
        <v>15</v>
      </c>
      <c r="S80" s="444">
        <v>15</v>
      </c>
      <c r="T80" s="444">
        <v>15</v>
      </c>
      <c r="U80" s="445">
        <v>12</v>
      </c>
      <c r="V80" s="445">
        <v>11</v>
      </c>
      <c r="W80" s="444">
        <v>15</v>
      </c>
      <c r="X80" s="447"/>
      <c r="Y80" s="380"/>
      <c r="Z80" s="446">
        <v>19.600000000000001</v>
      </c>
      <c r="AA80" s="444">
        <v>22</v>
      </c>
    </row>
    <row r="81" spans="1:27" ht="15.75" thickBot="1">
      <c r="A81" s="302" t="s">
        <v>21</v>
      </c>
      <c r="B81" s="445">
        <v>15</v>
      </c>
      <c r="C81" s="445">
        <v>15</v>
      </c>
      <c r="D81" s="447"/>
      <c r="E81" s="445">
        <v>15</v>
      </c>
      <c r="F81" s="445">
        <v>15</v>
      </c>
      <c r="G81" s="447"/>
      <c r="H81" s="444">
        <v>17</v>
      </c>
      <c r="I81" s="445">
        <v>13</v>
      </c>
      <c r="J81" s="445">
        <v>15</v>
      </c>
      <c r="K81" s="447"/>
      <c r="L81" s="444">
        <v>17</v>
      </c>
      <c r="M81" s="445">
        <v>15</v>
      </c>
      <c r="N81" s="445">
        <v>15</v>
      </c>
      <c r="O81" s="445">
        <v>15</v>
      </c>
      <c r="P81" s="445">
        <v>15</v>
      </c>
      <c r="Q81" s="445">
        <v>15</v>
      </c>
      <c r="R81" s="447"/>
      <c r="S81" s="444">
        <v>17</v>
      </c>
      <c r="T81" s="444">
        <v>17</v>
      </c>
      <c r="U81" s="445">
        <v>15</v>
      </c>
      <c r="V81" s="445">
        <v>13</v>
      </c>
      <c r="W81" s="444">
        <v>17</v>
      </c>
      <c r="X81" s="447"/>
      <c r="Y81" s="380"/>
      <c r="Z81" s="444">
        <v>19.100000000000001</v>
      </c>
      <c r="AA81" s="445">
        <v>14.7</v>
      </c>
    </row>
    <row r="82" spans="1:27" ht="15.75" thickBot="1">
      <c r="A82" s="302" t="s">
        <v>556</v>
      </c>
      <c r="B82" s="444">
        <v>17</v>
      </c>
      <c r="C82" s="445">
        <v>15</v>
      </c>
      <c r="D82" s="447"/>
      <c r="E82" s="444">
        <v>17</v>
      </c>
      <c r="F82" s="445">
        <v>15</v>
      </c>
      <c r="G82" s="447"/>
      <c r="H82" s="444">
        <v>17</v>
      </c>
      <c r="I82" s="445">
        <v>13</v>
      </c>
      <c r="J82" s="445">
        <v>15</v>
      </c>
      <c r="K82" s="445">
        <v>15</v>
      </c>
      <c r="L82" s="444">
        <v>17</v>
      </c>
      <c r="M82" s="445">
        <v>15</v>
      </c>
      <c r="N82" s="445">
        <v>15</v>
      </c>
      <c r="O82" s="444">
        <v>17</v>
      </c>
      <c r="P82" s="445">
        <v>15</v>
      </c>
      <c r="Q82" s="445">
        <v>15</v>
      </c>
      <c r="R82" s="445">
        <v>15</v>
      </c>
      <c r="S82" s="444">
        <v>17</v>
      </c>
      <c r="T82" s="444">
        <v>17</v>
      </c>
      <c r="U82" s="445">
        <v>15</v>
      </c>
      <c r="V82" s="445">
        <v>13</v>
      </c>
      <c r="W82" s="444">
        <v>17</v>
      </c>
      <c r="X82" s="447"/>
      <c r="Y82" s="380"/>
      <c r="Z82" s="444">
        <v>19.100000000000001</v>
      </c>
      <c r="AA82" s="446">
        <v>15.2</v>
      </c>
    </row>
    <row r="83" spans="1:27" ht="15.75" thickBot="1">
      <c r="A83" s="302" t="s">
        <v>563</v>
      </c>
      <c r="B83" s="445">
        <v>15</v>
      </c>
      <c r="C83" s="444">
        <v>17</v>
      </c>
      <c r="D83" s="447"/>
      <c r="E83" s="445">
        <v>15</v>
      </c>
      <c r="F83" s="445">
        <v>13</v>
      </c>
      <c r="G83" s="447"/>
      <c r="H83" s="444">
        <v>17</v>
      </c>
      <c r="I83" s="445">
        <v>13</v>
      </c>
      <c r="J83" s="445">
        <v>15</v>
      </c>
      <c r="K83" s="444">
        <v>17</v>
      </c>
      <c r="L83" s="444">
        <v>17</v>
      </c>
      <c r="M83" s="445">
        <v>15</v>
      </c>
      <c r="N83" s="445">
        <v>15</v>
      </c>
      <c r="O83" s="445">
        <v>15</v>
      </c>
      <c r="P83" s="445">
        <v>15</v>
      </c>
      <c r="Q83" s="445">
        <v>15</v>
      </c>
      <c r="R83" s="444">
        <v>17</v>
      </c>
      <c r="S83" s="444">
        <v>17</v>
      </c>
      <c r="T83" s="444">
        <v>17</v>
      </c>
      <c r="U83" s="445">
        <v>13</v>
      </c>
      <c r="V83" s="445">
        <v>13</v>
      </c>
      <c r="W83" s="444">
        <v>17</v>
      </c>
      <c r="X83" s="447"/>
      <c r="Y83" s="380"/>
      <c r="Z83" s="444">
        <v>21</v>
      </c>
      <c r="AA83" s="446">
        <v>17.7</v>
      </c>
    </row>
    <row r="84" spans="1:27" ht="15.75" thickBot="1">
      <c r="A84" s="302" t="s">
        <v>490</v>
      </c>
      <c r="B84" s="445">
        <v>15</v>
      </c>
      <c r="C84" s="445">
        <v>13</v>
      </c>
      <c r="D84" s="447"/>
      <c r="E84" s="445">
        <v>13</v>
      </c>
      <c r="F84" s="445">
        <v>14</v>
      </c>
      <c r="G84" s="447"/>
      <c r="H84" s="445">
        <v>13</v>
      </c>
      <c r="I84" s="445">
        <v>11</v>
      </c>
      <c r="J84" s="446">
        <v>15</v>
      </c>
      <c r="K84" s="444">
        <v>17</v>
      </c>
      <c r="L84" s="445">
        <v>13</v>
      </c>
      <c r="M84" s="446">
        <v>15</v>
      </c>
      <c r="N84" s="445">
        <v>13</v>
      </c>
      <c r="O84" s="445">
        <v>13</v>
      </c>
      <c r="P84" s="445">
        <v>14</v>
      </c>
      <c r="Q84" s="446">
        <v>15</v>
      </c>
      <c r="R84" s="444">
        <v>17</v>
      </c>
      <c r="S84" s="445">
        <v>13</v>
      </c>
      <c r="T84" s="445">
        <v>15</v>
      </c>
      <c r="U84" s="445">
        <v>13</v>
      </c>
      <c r="V84" s="445">
        <v>11</v>
      </c>
      <c r="W84" s="445">
        <v>15</v>
      </c>
      <c r="X84" s="447"/>
      <c r="Y84" s="380"/>
      <c r="Z84" s="444">
        <v>19.600000000000001</v>
      </c>
      <c r="AA84" s="447"/>
    </row>
    <row r="85" spans="1:27" ht="15.75" thickBot="1">
      <c r="A85" s="302" t="s">
        <v>242</v>
      </c>
      <c r="B85" s="447"/>
      <c r="C85" s="447"/>
      <c r="D85" s="447"/>
      <c r="E85" s="447"/>
      <c r="F85" s="447"/>
      <c r="G85" s="447"/>
      <c r="H85" s="447"/>
      <c r="I85" s="447"/>
      <c r="J85" s="447"/>
      <c r="K85" s="447"/>
      <c r="L85" s="447"/>
      <c r="M85" s="447"/>
      <c r="N85" s="445">
        <v>17</v>
      </c>
      <c r="O85" s="447"/>
      <c r="P85" s="447"/>
      <c r="Q85" s="447"/>
      <c r="R85" s="447"/>
      <c r="S85" s="447"/>
      <c r="T85" s="444">
        <v>19</v>
      </c>
      <c r="U85" s="447"/>
      <c r="V85" s="447"/>
      <c r="W85" s="444">
        <v>19</v>
      </c>
      <c r="X85" s="447"/>
      <c r="Y85" s="380"/>
      <c r="Z85" s="447"/>
      <c r="AA85" s="447"/>
    </row>
    <row r="86" spans="1:27" ht="15.75" thickBot="1">
      <c r="A86" s="302" t="s">
        <v>117</v>
      </c>
      <c r="B86" s="445">
        <v>17</v>
      </c>
      <c r="C86" s="445">
        <v>17</v>
      </c>
      <c r="D86" s="447"/>
      <c r="E86" s="445">
        <v>17</v>
      </c>
      <c r="F86" s="445">
        <v>13</v>
      </c>
      <c r="G86" s="447"/>
      <c r="H86" s="445">
        <v>15</v>
      </c>
      <c r="I86" s="445">
        <v>12</v>
      </c>
      <c r="J86" s="444">
        <v>19</v>
      </c>
      <c r="K86" s="445">
        <v>17</v>
      </c>
      <c r="L86" s="445">
        <v>15</v>
      </c>
      <c r="M86" s="444">
        <v>19</v>
      </c>
      <c r="N86" s="445">
        <v>13</v>
      </c>
      <c r="O86" s="445">
        <v>17</v>
      </c>
      <c r="P86" s="445">
        <v>17</v>
      </c>
      <c r="Q86" s="444">
        <v>19</v>
      </c>
      <c r="R86" s="445">
        <v>17</v>
      </c>
      <c r="S86" s="445">
        <v>15</v>
      </c>
      <c r="T86" s="446">
        <v>17</v>
      </c>
      <c r="U86" s="445">
        <v>13</v>
      </c>
      <c r="V86" s="445">
        <v>12</v>
      </c>
      <c r="W86" s="446">
        <v>17</v>
      </c>
      <c r="X86" s="447"/>
      <c r="Y86" s="380"/>
      <c r="Z86" s="446">
        <v>22</v>
      </c>
      <c r="AA86" s="444">
        <v>24</v>
      </c>
    </row>
    <row r="87" spans="1:27" ht="15.75" thickBot="1">
      <c r="A87" s="302" t="s">
        <v>181</v>
      </c>
      <c r="B87" s="444">
        <v>19</v>
      </c>
      <c r="C87" s="445">
        <v>17</v>
      </c>
      <c r="D87" s="447"/>
      <c r="E87" s="444">
        <v>19</v>
      </c>
      <c r="F87" s="445">
        <v>17</v>
      </c>
      <c r="G87" s="447"/>
      <c r="H87" s="445">
        <v>15</v>
      </c>
      <c r="I87" s="445">
        <v>15</v>
      </c>
      <c r="J87" s="445">
        <v>15</v>
      </c>
      <c r="K87" s="444">
        <v>19</v>
      </c>
      <c r="L87" s="445">
        <v>15</v>
      </c>
      <c r="M87" s="445">
        <v>15</v>
      </c>
      <c r="N87" s="445">
        <v>15</v>
      </c>
      <c r="O87" s="444">
        <v>19</v>
      </c>
      <c r="P87" s="445">
        <v>17</v>
      </c>
      <c r="Q87" s="445">
        <v>15</v>
      </c>
      <c r="R87" s="444">
        <v>19</v>
      </c>
      <c r="S87" s="445">
        <v>15</v>
      </c>
      <c r="T87" s="445">
        <v>17</v>
      </c>
      <c r="U87" s="445">
        <v>17</v>
      </c>
      <c r="V87" s="445">
        <v>15</v>
      </c>
      <c r="W87" s="445">
        <v>17</v>
      </c>
      <c r="X87" s="447"/>
      <c r="Y87" s="380"/>
      <c r="Z87" s="446">
        <v>24</v>
      </c>
      <c r="AA87" s="444">
        <v>27</v>
      </c>
    </row>
    <row r="88" spans="1:27" ht="15.75" thickBot="1">
      <c r="A88" s="302" t="s">
        <v>81</v>
      </c>
      <c r="B88" s="445">
        <v>15</v>
      </c>
      <c r="C88" s="445">
        <v>17</v>
      </c>
      <c r="D88" s="447"/>
      <c r="E88" s="445">
        <v>17</v>
      </c>
      <c r="F88" s="445">
        <v>13</v>
      </c>
      <c r="G88" s="447"/>
      <c r="H88" s="445">
        <v>17</v>
      </c>
      <c r="I88" s="445">
        <v>12</v>
      </c>
      <c r="J88" s="444">
        <v>19</v>
      </c>
      <c r="K88" s="445">
        <v>15</v>
      </c>
      <c r="L88" s="445">
        <v>17</v>
      </c>
      <c r="M88" s="444">
        <v>19</v>
      </c>
      <c r="N88" s="445">
        <v>15</v>
      </c>
      <c r="O88" s="445">
        <v>17</v>
      </c>
      <c r="P88" s="445">
        <v>17</v>
      </c>
      <c r="Q88" s="444">
        <v>19</v>
      </c>
      <c r="R88" s="445">
        <v>15</v>
      </c>
      <c r="S88" s="445">
        <v>17</v>
      </c>
      <c r="T88" s="445">
        <v>17</v>
      </c>
      <c r="U88" s="445">
        <v>15</v>
      </c>
      <c r="V88" s="445">
        <v>12</v>
      </c>
      <c r="W88" s="445">
        <v>17</v>
      </c>
      <c r="X88" s="447"/>
      <c r="Y88" s="380"/>
      <c r="Z88" s="446">
        <v>18.100000000000001</v>
      </c>
      <c r="AA88" s="447"/>
    </row>
    <row r="89" spans="1:27" ht="15.75" thickBot="1">
      <c r="A89" s="302" t="s">
        <v>91</v>
      </c>
      <c r="B89" s="445">
        <v>15</v>
      </c>
      <c r="C89" s="445">
        <v>15</v>
      </c>
      <c r="D89" s="447"/>
      <c r="E89" s="445">
        <v>15</v>
      </c>
      <c r="F89" s="445">
        <v>13</v>
      </c>
      <c r="G89" s="447"/>
      <c r="H89" s="445">
        <v>13</v>
      </c>
      <c r="I89" s="445">
        <v>13</v>
      </c>
      <c r="J89" s="444">
        <v>19</v>
      </c>
      <c r="K89" s="444">
        <v>19</v>
      </c>
      <c r="L89" s="445">
        <v>13</v>
      </c>
      <c r="M89" s="444">
        <v>19</v>
      </c>
      <c r="N89" s="445">
        <v>13</v>
      </c>
      <c r="O89" s="445">
        <v>15</v>
      </c>
      <c r="P89" s="445">
        <v>16</v>
      </c>
      <c r="Q89" s="444">
        <v>19</v>
      </c>
      <c r="R89" s="444">
        <v>19</v>
      </c>
      <c r="S89" s="445">
        <v>13</v>
      </c>
      <c r="T89" s="445">
        <v>15</v>
      </c>
      <c r="U89" s="445">
        <v>12</v>
      </c>
      <c r="V89" s="445">
        <v>13</v>
      </c>
      <c r="W89" s="445">
        <v>15</v>
      </c>
      <c r="X89" s="447"/>
      <c r="Y89" s="380"/>
      <c r="Z89" s="444">
        <v>19.600000000000001</v>
      </c>
      <c r="AA89" s="447"/>
    </row>
    <row r="90" spans="1:27" ht="15.75" thickBot="1">
      <c r="A90" s="302" t="s">
        <v>1158</v>
      </c>
      <c r="B90" s="447"/>
      <c r="C90" s="447"/>
      <c r="D90" s="447"/>
      <c r="E90" s="447"/>
      <c r="F90" s="447"/>
      <c r="G90" s="447"/>
      <c r="H90" s="447"/>
      <c r="I90" s="447"/>
      <c r="J90" s="447"/>
      <c r="K90" s="447"/>
      <c r="L90" s="447"/>
      <c r="M90" s="447"/>
      <c r="N90" s="447"/>
      <c r="O90" s="447"/>
      <c r="P90" s="447"/>
      <c r="Q90" s="447"/>
      <c r="R90" s="447"/>
      <c r="S90" s="447"/>
      <c r="T90" s="444">
        <v>19</v>
      </c>
      <c r="U90" s="447"/>
      <c r="V90" s="447"/>
      <c r="W90" s="444">
        <v>19</v>
      </c>
      <c r="X90" s="447"/>
      <c r="Y90" s="380"/>
      <c r="Z90" s="447"/>
      <c r="AA90" s="447"/>
    </row>
    <row r="91" spans="1:27" ht="15.75" thickBot="1">
      <c r="A91" s="302" t="s">
        <v>401</v>
      </c>
      <c r="B91" s="445">
        <v>19</v>
      </c>
      <c r="C91" s="444">
        <v>21</v>
      </c>
      <c r="D91" s="447"/>
      <c r="E91" s="444">
        <v>21</v>
      </c>
      <c r="F91" s="445">
        <v>17</v>
      </c>
      <c r="G91" s="447"/>
      <c r="H91" s="444">
        <v>21</v>
      </c>
      <c r="I91" s="445">
        <v>17</v>
      </c>
      <c r="J91" s="444">
        <v>21</v>
      </c>
      <c r="K91" s="444">
        <v>21</v>
      </c>
      <c r="L91" s="444">
        <v>21</v>
      </c>
      <c r="M91" s="444">
        <v>21</v>
      </c>
      <c r="N91" s="445">
        <v>19</v>
      </c>
      <c r="O91" s="445">
        <v>19</v>
      </c>
      <c r="P91" s="444">
        <v>21</v>
      </c>
      <c r="Q91" s="444">
        <v>21</v>
      </c>
      <c r="R91" s="444">
        <v>21</v>
      </c>
      <c r="S91" s="444">
        <v>21</v>
      </c>
      <c r="T91" s="444">
        <v>21</v>
      </c>
      <c r="U91" s="445">
        <v>19</v>
      </c>
      <c r="V91" s="445">
        <v>17</v>
      </c>
      <c r="W91" s="444">
        <v>21</v>
      </c>
      <c r="X91" s="447"/>
      <c r="Y91" s="380"/>
      <c r="Z91" s="444">
        <v>27</v>
      </c>
      <c r="AA91" s="446">
        <v>22</v>
      </c>
    </row>
    <row r="92" spans="1:27" ht="15.75" thickBot="1">
      <c r="A92" s="302" t="s">
        <v>444</v>
      </c>
      <c r="B92" s="445">
        <v>17</v>
      </c>
      <c r="C92" s="444">
        <v>21</v>
      </c>
      <c r="D92" s="447"/>
      <c r="E92" s="445">
        <v>19</v>
      </c>
      <c r="F92" s="445">
        <v>15</v>
      </c>
      <c r="G92" s="447"/>
      <c r="H92" s="444">
        <v>21</v>
      </c>
      <c r="I92" s="445">
        <v>15</v>
      </c>
      <c r="J92" s="445">
        <v>15</v>
      </c>
      <c r="K92" s="444">
        <v>21</v>
      </c>
      <c r="L92" s="444">
        <v>21</v>
      </c>
      <c r="M92" s="445">
        <v>15</v>
      </c>
      <c r="N92" s="445">
        <v>19</v>
      </c>
      <c r="O92" s="445">
        <v>17</v>
      </c>
      <c r="P92" s="445">
        <v>17</v>
      </c>
      <c r="Q92" s="445">
        <v>15</v>
      </c>
      <c r="R92" s="444">
        <v>21</v>
      </c>
      <c r="S92" s="444">
        <v>21</v>
      </c>
      <c r="T92" s="445">
        <v>19</v>
      </c>
      <c r="U92" s="445">
        <v>17</v>
      </c>
      <c r="V92" s="445">
        <v>15</v>
      </c>
      <c r="W92" s="445">
        <v>19</v>
      </c>
      <c r="X92" s="447"/>
      <c r="Y92" s="380"/>
      <c r="Z92" s="446">
        <v>28</v>
      </c>
      <c r="AA92" s="444">
        <v>31</v>
      </c>
    </row>
    <row r="93" spans="1:27" ht="15.75" thickBot="1">
      <c r="A93" s="302" t="s">
        <v>559</v>
      </c>
      <c r="B93" s="445">
        <v>19</v>
      </c>
      <c r="C93" s="444">
        <v>23</v>
      </c>
      <c r="D93" s="447"/>
      <c r="E93" s="444">
        <v>23</v>
      </c>
      <c r="F93" s="445">
        <v>17</v>
      </c>
      <c r="G93" s="447"/>
      <c r="H93" s="445">
        <v>17</v>
      </c>
      <c r="I93" s="445">
        <v>17</v>
      </c>
      <c r="J93" s="444">
        <v>23</v>
      </c>
      <c r="K93" s="445">
        <v>21</v>
      </c>
      <c r="L93" s="445">
        <v>17</v>
      </c>
      <c r="M93" s="444">
        <v>23</v>
      </c>
      <c r="N93" s="445">
        <v>15</v>
      </c>
      <c r="O93" s="445">
        <v>21</v>
      </c>
      <c r="P93" s="445">
        <v>19</v>
      </c>
      <c r="Q93" s="444">
        <v>23</v>
      </c>
      <c r="R93" s="445">
        <v>21</v>
      </c>
      <c r="S93" s="445">
        <v>17</v>
      </c>
      <c r="T93" s="445">
        <v>19</v>
      </c>
      <c r="U93" s="445">
        <v>17</v>
      </c>
      <c r="V93" s="445">
        <v>17</v>
      </c>
      <c r="W93" s="445">
        <v>19</v>
      </c>
      <c r="X93" s="447"/>
      <c r="Y93" s="380"/>
      <c r="Z93" s="444">
        <v>25</v>
      </c>
      <c r="AA93" s="446">
        <v>18.600000000000001</v>
      </c>
    </row>
    <row r="94" spans="1:27" ht="30.75" thickBot="1">
      <c r="A94" s="302" t="s">
        <v>1149</v>
      </c>
      <c r="B94" s="445">
        <v>17</v>
      </c>
      <c r="C94" s="445">
        <v>17</v>
      </c>
      <c r="D94" s="447"/>
      <c r="E94" s="445">
        <v>17</v>
      </c>
      <c r="F94" s="445">
        <v>17</v>
      </c>
      <c r="G94" s="447"/>
      <c r="H94" s="447"/>
      <c r="I94" s="445">
        <v>13</v>
      </c>
      <c r="J94" s="444">
        <v>23</v>
      </c>
      <c r="K94" s="445">
        <v>19</v>
      </c>
      <c r="L94" s="445">
        <v>13</v>
      </c>
      <c r="M94" s="444">
        <v>23</v>
      </c>
      <c r="N94" s="445">
        <v>12</v>
      </c>
      <c r="O94" s="447"/>
      <c r="P94" s="445">
        <v>17</v>
      </c>
      <c r="Q94" s="444">
        <v>23</v>
      </c>
      <c r="R94" s="445">
        <v>19</v>
      </c>
      <c r="S94" s="445">
        <v>13</v>
      </c>
      <c r="T94" s="447"/>
      <c r="U94" s="445">
        <v>13</v>
      </c>
      <c r="V94" s="445">
        <v>13</v>
      </c>
      <c r="W94" s="447"/>
      <c r="X94" s="447"/>
      <c r="Y94" s="380"/>
      <c r="Z94" s="444">
        <v>47</v>
      </c>
      <c r="AA94" s="447"/>
    </row>
    <row r="95" spans="1:27" ht="15.75" thickBot="1">
      <c r="A95" s="302" t="s">
        <v>31</v>
      </c>
      <c r="B95" s="445">
        <v>17</v>
      </c>
      <c r="C95" s="445">
        <v>21</v>
      </c>
      <c r="D95" s="447"/>
      <c r="E95" s="445">
        <v>21</v>
      </c>
      <c r="F95" s="445">
        <v>17</v>
      </c>
      <c r="G95" s="447"/>
      <c r="H95" s="445">
        <v>15</v>
      </c>
      <c r="I95" s="445">
        <v>15</v>
      </c>
      <c r="J95" s="444">
        <v>23</v>
      </c>
      <c r="K95" s="444">
        <v>23</v>
      </c>
      <c r="L95" s="445">
        <v>15</v>
      </c>
      <c r="M95" s="444">
        <v>23</v>
      </c>
      <c r="N95" s="445">
        <v>15</v>
      </c>
      <c r="O95" s="445">
        <v>19</v>
      </c>
      <c r="P95" s="445">
        <v>19</v>
      </c>
      <c r="Q95" s="444">
        <v>23</v>
      </c>
      <c r="R95" s="444">
        <v>23</v>
      </c>
      <c r="S95" s="445">
        <v>15</v>
      </c>
      <c r="T95" s="445">
        <v>17</v>
      </c>
      <c r="U95" s="445">
        <v>13</v>
      </c>
      <c r="V95" s="445">
        <v>15</v>
      </c>
      <c r="W95" s="445">
        <v>17</v>
      </c>
      <c r="X95" s="447"/>
      <c r="Y95" s="380"/>
      <c r="Z95" s="446">
        <v>19.100000000000001</v>
      </c>
      <c r="AA95" s="446">
        <v>22</v>
      </c>
    </row>
    <row r="96" spans="1:27" ht="15.75" thickBot="1">
      <c r="A96" s="302" t="s">
        <v>94</v>
      </c>
      <c r="B96" s="445">
        <v>21</v>
      </c>
      <c r="C96" s="445">
        <v>21</v>
      </c>
      <c r="D96" s="447"/>
      <c r="E96" s="445">
        <v>19</v>
      </c>
      <c r="F96" s="445">
        <v>21</v>
      </c>
      <c r="G96" s="447"/>
      <c r="H96" s="445">
        <v>19</v>
      </c>
      <c r="I96" s="445">
        <v>15</v>
      </c>
      <c r="J96" s="444">
        <v>23</v>
      </c>
      <c r="K96" s="446">
        <v>21</v>
      </c>
      <c r="L96" s="445">
        <v>19</v>
      </c>
      <c r="M96" s="444">
        <v>23</v>
      </c>
      <c r="N96" s="445">
        <v>17</v>
      </c>
      <c r="O96" s="445">
        <v>19</v>
      </c>
      <c r="P96" s="445">
        <v>21</v>
      </c>
      <c r="Q96" s="444">
        <v>23</v>
      </c>
      <c r="R96" s="446">
        <v>21</v>
      </c>
      <c r="S96" s="445">
        <v>19</v>
      </c>
      <c r="T96" s="445">
        <v>21</v>
      </c>
      <c r="U96" s="445">
        <v>17</v>
      </c>
      <c r="V96" s="445">
        <v>15</v>
      </c>
      <c r="W96" s="445">
        <v>21</v>
      </c>
      <c r="X96" s="447"/>
      <c r="Y96" s="380"/>
      <c r="Z96" s="444">
        <v>25</v>
      </c>
      <c r="AA96" s="444">
        <v>25</v>
      </c>
    </row>
    <row r="97" spans="1:27" ht="15.75" thickBot="1">
      <c r="A97" s="302" t="s">
        <v>1150</v>
      </c>
      <c r="B97" s="445">
        <v>19</v>
      </c>
      <c r="C97" s="445">
        <v>21</v>
      </c>
      <c r="D97" s="447"/>
      <c r="E97" s="445">
        <v>21</v>
      </c>
      <c r="F97" s="445">
        <v>17</v>
      </c>
      <c r="G97" s="447"/>
      <c r="H97" s="445">
        <v>17</v>
      </c>
      <c r="I97" s="445">
        <v>13</v>
      </c>
      <c r="J97" s="445">
        <v>15</v>
      </c>
      <c r="K97" s="444">
        <v>23</v>
      </c>
      <c r="L97" s="445">
        <v>17</v>
      </c>
      <c r="M97" s="445">
        <v>15</v>
      </c>
      <c r="N97" s="446">
        <v>17</v>
      </c>
      <c r="O97" s="445">
        <v>19</v>
      </c>
      <c r="P97" s="445">
        <v>21</v>
      </c>
      <c r="Q97" s="445">
        <v>15</v>
      </c>
      <c r="R97" s="444">
        <v>23</v>
      </c>
      <c r="S97" s="445">
        <v>17</v>
      </c>
      <c r="T97" s="445">
        <v>19</v>
      </c>
      <c r="U97" s="445">
        <v>17</v>
      </c>
      <c r="V97" s="445">
        <v>13</v>
      </c>
      <c r="W97" s="445">
        <v>19</v>
      </c>
      <c r="X97" s="447"/>
      <c r="Y97" s="380"/>
      <c r="Z97" s="446">
        <v>28</v>
      </c>
      <c r="AA97" s="444">
        <v>35</v>
      </c>
    </row>
    <row r="98" spans="1:27" ht="15.75" thickBot="1">
      <c r="A98" s="302" t="s">
        <v>561</v>
      </c>
      <c r="B98" s="445">
        <v>19</v>
      </c>
      <c r="C98" s="444">
        <v>26</v>
      </c>
      <c r="D98" s="447"/>
      <c r="E98" s="445">
        <v>21</v>
      </c>
      <c r="F98" s="445">
        <v>19</v>
      </c>
      <c r="G98" s="447"/>
      <c r="H98" s="445">
        <v>23</v>
      </c>
      <c r="I98" s="445">
        <v>17</v>
      </c>
      <c r="J98" s="445">
        <v>21</v>
      </c>
      <c r="K98" s="446">
        <v>23</v>
      </c>
      <c r="L98" s="445">
        <v>23</v>
      </c>
      <c r="M98" s="445">
        <v>21</v>
      </c>
      <c r="N98" s="445">
        <v>21</v>
      </c>
      <c r="O98" s="445">
        <v>19</v>
      </c>
      <c r="P98" s="445">
        <v>21</v>
      </c>
      <c r="Q98" s="445">
        <v>21</v>
      </c>
      <c r="R98" s="446">
        <v>23</v>
      </c>
      <c r="S98" s="445">
        <v>23</v>
      </c>
      <c r="T98" s="445">
        <v>21</v>
      </c>
      <c r="U98" s="445">
        <v>19</v>
      </c>
      <c r="V98" s="445">
        <v>17</v>
      </c>
      <c r="W98" s="445">
        <v>21</v>
      </c>
      <c r="X98" s="447"/>
      <c r="Y98" s="380"/>
      <c r="Z98" s="444">
        <v>26</v>
      </c>
      <c r="AA98" s="446">
        <v>24</v>
      </c>
    </row>
    <row r="99" spans="1:27" ht="15.75" thickBot="1">
      <c r="A99" s="302" t="s">
        <v>861</v>
      </c>
      <c r="B99" s="445">
        <v>23</v>
      </c>
      <c r="C99" s="444">
        <v>26</v>
      </c>
      <c r="D99" s="447"/>
      <c r="E99" s="444">
        <v>26</v>
      </c>
      <c r="F99" s="445">
        <v>23</v>
      </c>
      <c r="G99" s="447"/>
      <c r="H99" s="444">
        <v>26</v>
      </c>
      <c r="I99" s="445">
        <v>17</v>
      </c>
      <c r="J99" s="445">
        <v>23</v>
      </c>
      <c r="K99" s="445">
        <v>23</v>
      </c>
      <c r="L99" s="444">
        <v>26</v>
      </c>
      <c r="M99" s="445">
        <v>23</v>
      </c>
      <c r="N99" s="445">
        <v>23</v>
      </c>
      <c r="O99" s="444">
        <v>26</v>
      </c>
      <c r="P99" s="445">
        <v>23</v>
      </c>
      <c r="Q99" s="445">
        <v>23</v>
      </c>
      <c r="R99" s="445">
        <v>23</v>
      </c>
      <c r="S99" s="444">
        <v>26</v>
      </c>
      <c r="T99" s="444">
        <v>26</v>
      </c>
      <c r="U99" s="445">
        <v>23</v>
      </c>
      <c r="V99" s="445">
        <v>17</v>
      </c>
      <c r="W99" s="444">
        <v>26</v>
      </c>
      <c r="X99" s="447"/>
      <c r="Y99" s="380"/>
      <c r="Z99" s="444">
        <v>39</v>
      </c>
      <c r="AA99" s="447"/>
    </row>
    <row r="100" spans="1:27" ht="15.75" thickBot="1">
      <c r="A100" s="302" t="s">
        <v>373</v>
      </c>
      <c r="B100" s="445">
        <v>23</v>
      </c>
      <c r="C100" s="445">
        <v>26</v>
      </c>
      <c r="D100" s="447"/>
      <c r="E100" s="445">
        <v>26</v>
      </c>
      <c r="F100" s="445">
        <v>23</v>
      </c>
      <c r="G100" s="447"/>
      <c r="H100" s="445">
        <v>23</v>
      </c>
      <c r="I100" s="445">
        <v>21</v>
      </c>
      <c r="J100" s="444">
        <v>29</v>
      </c>
      <c r="K100" s="446">
        <v>21</v>
      </c>
      <c r="L100" s="445">
        <v>23</v>
      </c>
      <c r="M100" s="444">
        <v>29</v>
      </c>
      <c r="N100" s="445">
        <v>21</v>
      </c>
      <c r="O100" s="445">
        <v>26</v>
      </c>
      <c r="P100" s="445">
        <v>26</v>
      </c>
      <c r="Q100" s="444">
        <v>29</v>
      </c>
      <c r="R100" s="446">
        <v>21</v>
      </c>
      <c r="S100" s="445">
        <v>23</v>
      </c>
      <c r="T100" s="445">
        <v>23</v>
      </c>
      <c r="U100" s="445">
        <v>21</v>
      </c>
      <c r="V100" s="445">
        <v>21</v>
      </c>
      <c r="W100" s="445">
        <v>23</v>
      </c>
      <c r="X100" s="447"/>
      <c r="Y100" s="380"/>
      <c r="Z100" s="446">
        <v>27</v>
      </c>
      <c r="AA100" s="444">
        <v>31</v>
      </c>
    </row>
    <row r="101" spans="1:27" ht="15.75" thickBot="1">
      <c r="A101" s="302" t="s">
        <v>37</v>
      </c>
      <c r="B101" s="445">
        <v>19</v>
      </c>
      <c r="C101" s="445">
        <v>26</v>
      </c>
      <c r="D101" s="447"/>
      <c r="E101" s="445">
        <v>19</v>
      </c>
      <c r="F101" s="445">
        <v>19</v>
      </c>
      <c r="G101" s="447"/>
      <c r="H101" s="444">
        <v>29</v>
      </c>
      <c r="I101" s="445">
        <v>17</v>
      </c>
      <c r="J101" s="445">
        <v>19</v>
      </c>
      <c r="K101" s="445">
        <v>23</v>
      </c>
      <c r="L101" s="444">
        <v>29</v>
      </c>
      <c r="M101" s="445">
        <v>19</v>
      </c>
      <c r="N101" s="445">
        <v>26</v>
      </c>
      <c r="O101" s="445">
        <v>19</v>
      </c>
      <c r="P101" s="445">
        <v>21</v>
      </c>
      <c r="Q101" s="445">
        <v>19</v>
      </c>
      <c r="R101" s="445">
        <v>23</v>
      </c>
      <c r="S101" s="444">
        <v>29</v>
      </c>
      <c r="T101" s="446">
        <v>26</v>
      </c>
      <c r="U101" s="445">
        <v>19</v>
      </c>
      <c r="V101" s="445">
        <v>17</v>
      </c>
      <c r="W101" s="446">
        <v>26</v>
      </c>
      <c r="X101" s="447"/>
      <c r="Y101" s="380"/>
      <c r="Z101" s="444">
        <v>39</v>
      </c>
      <c r="AA101" s="446">
        <v>24</v>
      </c>
    </row>
    <row r="102" spans="1:27" ht="15.75" thickBot="1">
      <c r="A102" s="302" t="s">
        <v>86</v>
      </c>
      <c r="B102" s="445">
        <v>23</v>
      </c>
      <c r="C102" s="444">
        <v>34</v>
      </c>
      <c r="D102" s="447"/>
      <c r="E102" s="445">
        <v>29</v>
      </c>
      <c r="F102" s="445">
        <v>21</v>
      </c>
      <c r="G102" s="447"/>
      <c r="H102" s="445">
        <v>19</v>
      </c>
      <c r="I102" s="445">
        <v>23</v>
      </c>
      <c r="J102" s="445">
        <v>29</v>
      </c>
      <c r="K102" s="444">
        <v>34</v>
      </c>
      <c r="L102" s="445">
        <v>19</v>
      </c>
      <c r="M102" s="445">
        <v>29</v>
      </c>
      <c r="N102" s="445">
        <v>19</v>
      </c>
      <c r="O102" s="445">
        <v>26</v>
      </c>
      <c r="P102" s="445">
        <v>29</v>
      </c>
      <c r="Q102" s="445">
        <v>29</v>
      </c>
      <c r="R102" s="444">
        <v>34</v>
      </c>
      <c r="S102" s="445">
        <v>19</v>
      </c>
      <c r="T102" s="445">
        <v>21</v>
      </c>
      <c r="U102" s="445">
        <v>26</v>
      </c>
      <c r="V102" s="445">
        <v>23</v>
      </c>
      <c r="W102" s="445">
        <v>21</v>
      </c>
      <c r="X102" s="447"/>
      <c r="Y102" s="380"/>
      <c r="Z102" s="446">
        <v>31</v>
      </c>
      <c r="AA102" s="446">
        <v>24</v>
      </c>
    </row>
    <row r="103" spans="1:27" ht="15.75" thickBot="1">
      <c r="A103" s="302" t="s">
        <v>111</v>
      </c>
      <c r="B103" s="445">
        <v>26</v>
      </c>
      <c r="C103" s="445">
        <v>34</v>
      </c>
      <c r="D103" s="447"/>
      <c r="E103" s="445">
        <v>29</v>
      </c>
      <c r="F103" s="445">
        <v>21</v>
      </c>
      <c r="G103" s="447"/>
      <c r="H103" s="445">
        <v>26</v>
      </c>
      <c r="I103" s="445">
        <v>26</v>
      </c>
      <c r="J103" s="444">
        <v>41</v>
      </c>
      <c r="K103" s="444">
        <v>41</v>
      </c>
      <c r="L103" s="445">
        <v>26</v>
      </c>
      <c r="M103" s="444">
        <v>41</v>
      </c>
      <c r="N103" s="445">
        <v>23</v>
      </c>
      <c r="O103" s="445">
        <v>26</v>
      </c>
      <c r="P103" s="445">
        <v>34</v>
      </c>
      <c r="Q103" s="444">
        <v>41</v>
      </c>
      <c r="R103" s="444">
        <v>41</v>
      </c>
      <c r="S103" s="445">
        <v>26</v>
      </c>
      <c r="T103" s="445">
        <v>26</v>
      </c>
      <c r="U103" s="445">
        <v>26</v>
      </c>
      <c r="V103" s="445">
        <v>26</v>
      </c>
      <c r="W103" s="445">
        <v>26</v>
      </c>
      <c r="X103" s="447"/>
      <c r="Y103" s="380"/>
      <c r="Z103" s="446">
        <v>24</v>
      </c>
      <c r="AA103" s="444">
        <v>78</v>
      </c>
    </row>
    <row r="104" spans="1:27" ht="15.75" thickBot="1">
      <c r="A104" s="302" t="s">
        <v>243</v>
      </c>
      <c r="B104" s="445">
        <v>29</v>
      </c>
      <c r="C104" s="445">
        <v>34</v>
      </c>
      <c r="D104" s="447"/>
      <c r="E104" s="445">
        <v>34</v>
      </c>
      <c r="F104" s="445">
        <v>26</v>
      </c>
      <c r="G104" s="447"/>
      <c r="H104" s="445">
        <v>31</v>
      </c>
      <c r="I104" s="445">
        <v>29</v>
      </c>
      <c r="J104" s="444">
        <v>41</v>
      </c>
      <c r="K104" s="444">
        <v>41</v>
      </c>
      <c r="L104" s="445">
        <v>31</v>
      </c>
      <c r="M104" s="444">
        <v>41</v>
      </c>
      <c r="N104" s="445">
        <v>26</v>
      </c>
      <c r="O104" s="445">
        <v>29</v>
      </c>
      <c r="P104" s="445">
        <v>34</v>
      </c>
      <c r="Q104" s="444">
        <v>41</v>
      </c>
      <c r="R104" s="444">
        <v>41</v>
      </c>
      <c r="S104" s="445">
        <v>29</v>
      </c>
      <c r="T104" s="445">
        <v>31</v>
      </c>
      <c r="U104" s="445">
        <v>29</v>
      </c>
      <c r="V104" s="445">
        <v>29</v>
      </c>
      <c r="W104" s="445">
        <v>31</v>
      </c>
      <c r="X104" s="447"/>
      <c r="Y104" s="380"/>
      <c r="Z104" s="446">
        <v>33</v>
      </c>
      <c r="AA104" s="447"/>
    </row>
    <row r="105" spans="1:27" ht="15.75" thickBot="1">
      <c r="A105" s="302" t="s">
        <v>45</v>
      </c>
      <c r="B105" s="445">
        <v>26</v>
      </c>
      <c r="C105" s="445">
        <v>29</v>
      </c>
      <c r="D105" s="447"/>
      <c r="E105" s="445">
        <v>29</v>
      </c>
      <c r="F105" s="445">
        <v>23</v>
      </c>
      <c r="G105" s="447"/>
      <c r="H105" s="445">
        <v>23</v>
      </c>
      <c r="I105" s="445">
        <v>29</v>
      </c>
      <c r="J105" s="444">
        <v>41</v>
      </c>
      <c r="K105" s="444">
        <v>41</v>
      </c>
      <c r="L105" s="445">
        <v>23</v>
      </c>
      <c r="M105" s="444">
        <v>41</v>
      </c>
      <c r="N105" s="445">
        <v>21</v>
      </c>
      <c r="O105" s="445">
        <v>26</v>
      </c>
      <c r="P105" s="445">
        <v>29</v>
      </c>
      <c r="Q105" s="444">
        <v>41</v>
      </c>
      <c r="R105" s="444">
        <v>41</v>
      </c>
      <c r="S105" s="445">
        <v>23</v>
      </c>
      <c r="T105" s="445">
        <v>26</v>
      </c>
      <c r="U105" s="445">
        <v>26</v>
      </c>
      <c r="V105" s="445">
        <v>29</v>
      </c>
      <c r="W105" s="445">
        <v>26</v>
      </c>
      <c r="X105" s="447"/>
      <c r="Y105" s="380"/>
      <c r="Z105" s="446">
        <v>33</v>
      </c>
      <c r="AA105" s="444">
        <v>54</v>
      </c>
    </row>
    <row r="106" spans="1:27" ht="15.75" thickBot="1">
      <c r="A106" s="302" t="s">
        <v>413</v>
      </c>
      <c r="B106" s="445">
        <v>29</v>
      </c>
      <c r="C106" s="445">
        <v>34</v>
      </c>
      <c r="D106" s="447"/>
      <c r="E106" s="445">
        <v>29</v>
      </c>
      <c r="F106" s="445">
        <v>29</v>
      </c>
      <c r="G106" s="447"/>
      <c r="H106" s="445">
        <v>31</v>
      </c>
      <c r="I106" s="445">
        <v>29</v>
      </c>
      <c r="J106" s="444">
        <v>41</v>
      </c>
      <c r="K106" s="444">
        <v>41</v>
      </c>
      <c r="L106" s="445">
        <v>31</v>
      </c>
      <c r="M106" s="444">
        <v>41</v>
      </c>
      <c r="N106" s="445">
        <v>29</v>
      </c>
      <c r="O106" s="445">
        <v>29</v>
      </c>
      <c r="P106" s="445">
        <v>34</v>
      </c>
      <c r="Q106" s="444">
        <v>41</v>
      </c>
      <c r="R106" s="444">
        <v>41</v>
      </c>
      <c r="S106" s="445">
        <v>29</v>
      </c>
      <c r="T106" s="445">
        <v>31</v>
      </c>
      <c r="U106" s="445">
        <v>29</v>
      </c>
      <c r="V106" s="445">
        <v>29</v>
      </c>
      <c r="W106" s="445">
        <v>31</v>
      </c>
      <c r="X106" s="447"/>
      <c r="Y106" s="380"/>
      <c r="Z106" s="446">
        <v>41</v>
      </c>
      <c r="AA106" s="444">
        <v>59</v>
      </c>
    </row>
    <row r="107" spans="1:27" ht="15.75" thickBot="1">
      <c r="A107" s="302" t="s">
        <v>96</v>
      </c>
      <c r="B107" s="445">
        <v>26</v>
      </c>
      <c r="C107" s="445">
        <v>26</v>
      </c>
      <c r="D107" s="447"/>
      <c r="E107" s="445">
        <v>26</v>
      </c>
      <c r="F107" s="445">
        <v>23</v>
      </c>
      <c r="G107" s="447"/>
      <c r="H107" s="445">
        <v>26</v>
      </c>
      <c r="I107" s="445">
        <v>21</v>
      </c>
      <c r="J107" s="445">
        <v>23</v>
      </c>
      <c r="K107" s="444">
        <v>41</v>
      </c>
      <c r="L107" s="445">
        <v>26</v>
      </c>
      <c r="M107" s="445">
        <v>23</v>
      </c>
      <c r="N107" s="445">
        <v>23</v>
      </c>
      <c r="O107" s="445">
        <v>26</v>
      </c>
      <c r="P107" s="445">
        <v>26</v>
      </c>
      <c r="Q107" s="445">
        <v>23</v>
      </c>
      <c r="R107" s="444">
        <v>41</v>
      </c>
      <c r="S107" s="445">
        <v>26</v>
      </c>
      <c r="T107" s="445">
        <v>26</v>
      </c>
      <c r="U107" s="445">
        <v>26</v>
      </c>
      <c r="V107" s="445">
        <v>21</v>
      </c>
      <c r="W107" s="445">
        <v>26</v>
      </c>
      <c r="X107" s="447"/>
      <c r="Y107" s="380"/>
      <c r="Z107" s="446">
        <v>35</v>
      </c>
      <c r="AA107" s="444">
        <v>45</v>
      </c>
    </row>
    <row r="108" spans="1:27" ht="15.75" thickBot="1">
      <c r="A108" s="302" t="s">
        <v>185</v>
      </c>
      <c r="B108" s="445">
        <v>29</v>
      </c>
      <c r="C108" s="445">
        <v>34</v>
      </c>
      <c r="D108" s="447"/>
      <c r="E108" s="445">
        <v>34</v>
      </c>
      <c r="F108" s="445">
        <v>23</v>
      </c>
      <c r="G108" s="447"/>
      <c r="H108" s="445">
        <v>26</v>
      </c>
      <c r="I108" s="445">
        <v>26</v>
      </c>
      <c r="J108" s="444">
        <v>41</v>
      </c>
      <c r="K108" s="445">
        <v>34</v>
      </c>
      <c r="L108" s="445">
        <v>26</v>
      </c>
      <c r="M108" s="444">
        <v>41</v>
      </c>
      <c r="N108" s="445">
        <v>26</v>
      </c>
      <c r="O108" s="445">
        <v>26</v>
      </c>
      <c r="P108" s="445">
        <v>31</v>
      </c>
      <c r="Q108" s="444">
        <v>41</v>
      </c>
      <c r="R108" s="445">
        <v>34</v>
      </c>
      <c r="S108" s="445">
        <v>26</v>
      </c>
      <c r="T108" s="445">
        <v>29</v>
      </c>
      <c r="U108" s="445">
        <v>26</v>
      </c>
      <c r="V108" s="445">
        <v>26</v>
      </c>
      <c r="W108" s="445">
        <v>29</v>
      </c>
      <c r="X108" s="447"/>
      <c r="Y108" s="380"/>
      <c r="Z108" s="446">
        <v>33</v>
      </c>
      <c r="AA108" s="444">
        <v>54</v>
      </c>
    </row>
    <row r="109" spans="1:27" ht="15.75" thickBot="1">
      <c r="A109" s="302" t="s">
        <v>1151</v>
      </c>
      <c r="B109" s="445">
        <v>26</v>
      </c>
      <c r="C109" s="445">
        <v>29</v>
      </c>
      <c r="D109" s="447"/>
      <c r="E109" s="445">
        <v>26</v>
      </c>
      <c r="F109" s="445">
        <v>23</v>
      </c>
      <c r="G109" s="447"/>
      <c r="H109" s="445">
        <v>34</v>
      </c>
      <c r="I109" s="445">
        <v>21</v>
      </c>
      <c r="J109" s="444">
        <v>41</v>
      </c>
      <c r="K109" s="445">
        <v>34</v>
      </c>
      <c r="L109" s="445">
        <v>34</v>
      </c>
      <c r="M109" s="444">
        <v>41</v>
      </c>
      <c r="N109" s="445">
        <v>31</v>
      </c>
      <c r="O109" s="445">
        <v>26</v>
      </c>
      <c r="P109" s="445">
        <v>29</v>
      </c>
      <c r="Q109" s="444">
        <v>41</v>
      </c>
      <c r="R109" s="445">
        <v>34</v>
      </c>
      <c r="S109" s="445">
        <v>34</v>
      </c>
      <c r="T109" s="445">
        <v>31</v>
      </c>
      <c r="U109" s="445">
        <v>26</v>
      </c>
      <c r="V109" s="445">
        <v>21</v>
      </c>
      <c r="W109" s="445">
        <v>31</v>
      </c>
      <c r="X109" s="447"/>
      <c r="Y109" s="380"/>
      <c r="Z109" s="446">
        <v>28</v>
      </c>
      <c r="AA109" s="444">
        <v>54</v>
      </c>
    </row>
    <row r="110" spans="1:27" ht="15.75" thickBot="1">
      <c r="A110" s="302" t="s">
        <v>173</v>
      </c>
      <c r="B110" s="445">
        <v>21</v>
      </c>
      <c r="C110" s="445">
        <v>21</v>
      </c>
      <c r="D110" s="447"/>
      <c r="E110" s="445">
        <v>21</v>
      </c>
      <c r="F110" s="445">
        <v>21</v>
      </c>
      <c r="G110" s="447"/>
      <c r="H110" s="447"/>
      <c r="I110" s="445">
        <v>13</v>
      </c>
      <c r="J110" s="445">
        <v>29</v>
      </c>
      <c r="K110" s="444">
        <v>41</v>
      </c>
      <c r="L110" s="445">
        <v>21</v>
      </c>
      <c r="M110" s="445">
        <v>29</v>
      </c>
      <c r="N110" s="445">
        <v>19</v>
      </c>
      <c r="O110" s="445">
        <v>19</v>
      </c>
      <c r="P110" s="445">
        <v>21</v>
      </c>
      <c r="Q110" s="445">
        <v>29</v>
      </c>
      <c r="R110" s="444">
        <v>41</v>
      </c>
      <c r="S110" s="445">
        <v>21</v>
      </c>
      <c r="T110" s="445">
        <v>21</v>
      </c>
      <c r="U110" s="445">
        <v>17</v>
      </c>
      <c r="V110" s="445">
        <v>13</v>
      </c>
      <c r="W110" s="445">
        <v>21</v>
      </c>
      <c r="X110" s="447"/>
      <c r="Y110" s="380"/>
      <c r="Z110" s="446">
        <v>29</v>
      </c>
      <c r="AA110" s="447"/>
    </row>
    <row r="111" spans="1:27" ht="15.75" thickBot="1">
      <c r="A111" s="302" t="s">
        <v>71</v>
      </c>
      <c r="B111" s="444">
        <v>46</v>
      </c>
      <c r="C111" s="447"/>
      <c r="D111" s="447"/>
      <c r="E111" s="447"/>
      <c r="F111" s="447"/>
      <c r="G111" s="447"/>
      <c r="H111" s="447"/>
      <c r="I111" s="447"/>
      <c r="J111" s="447"/>
      <c r="K111" s="447"/>
      <c r="L111" s="447"/>
      <c r="M111" s="447"/>
      <c r="N111" s="445">
        <v>34</v>
      </c>
      <c r="O111" s="445">
        <v>41</v>
      </c>
      <c r="P111" s="447"/>
      <c r="Q111" s="447"/>
      <c r="R111" s="447"/>
      <c r="S111" s="447"/>
      <c r="T111" s="447"/>
      <c r="U111" s="447"/>
      <c r="V111" s="447"/>
      <c r="W111" s="447"/>
      <c r="X111" s="447"/>
      <c r="Y111" s="380"/>
      <c r="Z111" s="447"/>
      <c r="AA111" s="447"/>
    </row>
    <row r="112" spans="1:27" ht="15.75" thickBot="1">
      <c r="A112" s="302" t="s">
        <v>168</v>
      </c>
      <c r="B112" s="445">
        <v>36</v>
      </c>
      <c r="C112" s="445">
        <v>34</v>
      </c>
      <c r="D112" s="447"/>
      <c r="E112" s="445">
        <v>34</v>
      </c>
      <c r="F112" s="445">
        <v>31</v>
      </c>
      <c r="G112" s="447"/>
      <c r="H112" s="445">
        <v>41</v>
      </c>
      <c r="I112" s="445">
        <v>36</v>
      </c>
      <c r="J112" s="445">
        <v>41</v>
      </c>
      <c r="K112" s="444">
        <v>51</v>
      </c>
      <c r="L112" s="445">
        <v>41</v>
      </c>
      <c r="M112" s="445">
        <v>41</v>
      </c>
      <c r="N112" s="445">
        <v>36</v>
      </c>
      <c r="O112" s="445">
        <v>34</v>
      </c>
      <c r="P112" s="445">
        <v>34</v>
      </c>
      <c r="Q112" s="445">
        <v>41</v>
      </c>
      <c r="R112" s="444">
        <v>51</v>
      </c>
      <c r="S112" s="445">
        <v>41</v>
      </c>
      <c r="T112" s="445">
        <v>41</v>
      </c>
      <c r="U112" s="445">
        <v>34</v>
      </c>
      <c r="V112" s="445">
        <v>36</v>
      </c>
      <c r="W112" s="445">
        <v>41</v>
      </c>
      <c r="X112" s="447"/>
      <c r="Y112" s="380"/>
      <c r="Z112" s="446">
        <v>45</v>
      </c>
      <c r="AA112" s="444">
        <v>108</v>
      </c>
    </row>
    <row r="113" spans="1:27" ht="15.75" thickBot="1">
      <c r="A113" s="302" t="s">
        <v>119</v>
      </c>
      <c r="B113" s="445">
        <v>46</v>
      </c>
      <c r="C113" s="445">
        <v>41</v>
      </c>
      <c r="D113" s="447"/>
      <c r="E113" s="445">
        <v>41</v>
      </c>
      <c r="F113" s="445">
        <v>29</v>
      </c>
      <c r="G113" s="447"/>
      <c r="H113" s="447"/>
      <c r="I113" s="445">
        <v>31</v>
      </c>
      <c r="J113" s="445">
        <v>29</v>
      </c>
      <c r="K113" s="444">
        <v>51</v>
      </c>
      <c r="L113" s="445">
        <v>26</v>
      </c>
      <c r="M113" s="445">
        <v>29</v>
      </c>
      <c r="N113" s="445">
        <v>23</v>
      </c>
      <c r="O113" s="445">
        <v>41</v>
      </c>
      <c r="P113" s="445">
        <v>41</v>
      </c>
      <c r="Q113" s="445">
        <v>29</v>
      </c>
      <c r="R113" s="444">
        <v>51</v>
      </c>
      <c r="S113" s="445">
        <v>26</v>
      </c>
      <c r="T113" s="447"/>
      <c r="U113" s="445">
        <v>34</v>
      </c>
      <c r="V113" s="445">
        <v>31</v>
      </c>
      <c r="W113" s="447"/>
      <c r="X113" s="447"/>
      <c r="Y113" s="380"/>
      <c r="Z113" s="446">
        <v>43</v>
      </c>
      <c r="AA113" s="447"/>
    </row>
    <row r="114" spans="1:27" ht="15.75" thickBot="1">
      <c r="A114" s="302" t="s">
        <v>1152</v>
      </c>
      <c r="B114" s="445">
        <v>36</v>
      </c>
      <c r="C114" s="445">
        <v>34</v>
      </c>
      <c r="D114" s="447"/>
      <c r="E114" s="445">
        <v>34</v>
      </c>
      <c r="F114" s="445">
        <v>34</v>
      </c>
      <c r="G114" s="447"/>
      <c r="H114" s="445">
        <v>46</v>
      </c>
      <c r="I114" s="445">
        <v>36</v>
      </c>
      <c r="J114" s="445">
        <v>41</v>
      </c>
      <c r="K114" s="445">
        <v>41</v>
      </c>
      <c r="L114" s="445">
        <v>46</v>
      </c>
      <c r="M114" s="445">
        <v>41</v>
      </c>
      <c r="N114" s="445">
        <v>41</v>
      </c>
      <c r="O114" s="445">
        <v>34</v>
      </c>
      <c r="P114" s="445">
        <v>34</v>
      </c>
      <c r="Q114" s="445">
        <v>41</v>
      </c>
      <c r="R114" s="445">
        <v>41</v>
      </c>
      <c r="S114" s="444">
        <v>51</v>
      </c>
      <c r="T114" s="445">
        <v>41</v>
      </c>
      <c r="U114" s="445">
        <v>34</v>
      </c>
      <c r="V114" s="445">
        <v>36</v>
      </c>
      <c r="W114" s="445">
        <v>41</v>
      </c>
      <c r="X114" s="447"/>
      <c r="Y114" s="380"/>
      <c r="Z114" s="446">
        <v>41</v>
      </c>
      <c r="AA114" s="447"/>
    </row>
    <row r="115" spans="1:27" ht="15.75" thickBot="1">
      <c r="A115" s="302" t="s">
        <v>174</v>
      </c>
      <c r="B115" s="446">
        <v>34</v>
      </c>
      <c r="C115" s="445">
        <v>29</v>
      </c>
      <c r="D115" s="447"/>
      <c r="E115" s="445">
        <v>29</v>
      </c>
      <c r="F115" s="444">
        <v>51</v>
      </c>
      <c r="G115" s="447"/>
      <c r="H115" s="447"/>
      <c r="I115" s="445">
        <v>36</v>
      </c>
      <c r="J115" s="445">
        <v>41</v>
      </c>
      <c r="K115" s="444">
        <v>51</v>
      </c>
      <c r="L115" s="444">
        <v>51</v>
      </c>
      <c r="M115" s="445">
        <v>41</v>
      </c>
      <c r="N115" s="445">
        <v>46</v>
      </c>
      <c r="O115" s="445">
        <v>41</v>
      </c>
      <c r="P115" s="445">
        <v>34</v>
      </c>
      <c r="Q115" s="445">
        <v>41</v>
      </c>
      <c r="R115" s="444">
        <v>51</v>
      </c>
      <c r="S115" s="444">
        <v>51</v>
      </c>
      <c r="T115" s="447"/>
      <c r="U115" s="445">
        <v>41</v>
      </c>
      <c r="V115" s="445">
        <v>36</v>
      </c>
      <c r="W115" s="447"/>
      <c r="X115" s="447"/>
      <c r="Y115" s="380"/>
      <c r="Z115" s="446">
        <v>47</v>
      </c>
      <c r="AA115" s="444">
        <v>118</v>
      </c>
    </row>
    <row r="116" spans="1:27" ht="15.75" thickBot="1">
      <c r="A116" s="302" t="s">
        <v>1132</v>
      </c>
      <c r="B116" s="445">
        <v>46</v>
      </c>
      <c r="C116" s="444">
        <v>51</v>
      </c>
      <c r="D116" s="447"/>
      <c r="E116" s="444">
        <v>51</v>
      </c>
      <c r="F116" s="445">
        <v>41</v>
      </c>
      <c r="G116" s="447"/>
      <c r="H116" s="445">
        <v>46</v>
      </c>
      <c r="I116" s="445">
        <v>31</v>
      </c>
      <c r="J116" s="445">
        <v>41</v>
      </c>
      <c r="K116" s="444">
        <v>51</v>
      </c>
      <c r="L116" s="445">
        <v>46</v>
      </c>
      <c r="M116" s="445">
        <v>41</v>
      </c>
      <c r="N116" s="445">
        <v>41</v>
      </c>
      <c r="O116" s="445">
        <v>41</v>
      </c>
      <c r="P116" s="445">
        <v>46</v>
      </c>
      <c r="Q116" s="445">
        <v>41</v>
      </c>
      <c r="R116" s="444">
        <v>51</v>
      </c>
      <c r="S116" s="444">
        <v>51</v>
      </c>
      <c r="T116" s="445">
        <v>46</v>
      </c>
      <c r="U116" s="445">
        <v>41</v>
      </c>
      <c r="V116" s="445">
        <v>31</v>
      </c>
      <c r="W116" s="445">
        <v>46</v>
      </c>
      <c r="X116" s="447"/>
      <c r="Y116" s="380"/>
      <c r="Z116" s="446">
        <v>43</v>
      </c>
      <c r="AA116" s="444">
        <v>74</v>
      </c>
    </row>
    <row r="117" spans="1:27" ht="15.75" thickBot="1">
      <c r="A117" s="302" t="s">
        <v>1140</v>
      </c>
      <c r="B117" s="446">
        <v>34</v>
      </c>
      <c r="C117" s="444">
        <v>51</v>
      </c>
      <c r="D117" s="447"/>
      <c r="E117" s="445">
        <v>34</v>
      </c>
      <c r="F117" s="445">
        <v>29</v>
      </c>
      <c r="G117" s="447"/>
      <c r="H117" s="445">
        <v>36</v>
      </c>
      <c r="I117" s="445">
        <v>36</v>
      </c>
      <c r="J117" s="445">
        <v>41</v>
      </c>
      <c r="K117" s="445">
        <v>41</v>
      </c>
      <c r="L117" s="445">
        <v>36</v>
      </c>
      <c r="M117" s="445">
        <v>41</v>
      </c>
      <c r="N117" s="445">
        <v>31</v>
      </c>
      <c r="O117" s="445">
        <v>34</v>
      </c>
      <c r="P117" s="445">
        <v>41</v>
      </c>
      <c r="Q117" s="445">
        <v>41</v>
      </c>
      <c r="R117" s="445">
        <v>41</v>
      </c>
      <c r="S117" s="445">
        <v>34</v>
      </c>
      <c r="T117" s="445">
        <v>36</v>
      </c>
      <c r="U117" s="445">
        <v>29</v>
      </c>
      <c r="V117" s="445">
        <v>36</v>
      </c>
      <c r="W117" s="445">
        <v>36</v>
      </c>
      <c r="X117" s="447"/>
      <c r="Y117" s="380"/>
      <c r="Z117" s="446">
        <v>49</v>
      </c>
      <c r="AA117" s="447"/>
    </row>
    <row r="118" spans="1:27" ht="15.75" thickBot="1">
      <c r="A118" s="302" t="s">
        <v>189</v>
      </c>
      <c r="B118" s="446">
        <v>31</v>
      </c>
      <c r="C118" s="445">
        <v>34</v>
      </c>
      <c r="D118" s="447"/>
      <c r="E118" s="445">
        <v>34</v>
      </c>
      <c r="F118" s="445">
        <v>23</v>
      </c>
      <c r="G118" s="447"/>
      <c r="H118" s="447"/>
      <c r="I118" s="445">
        <v>23</v>
      </c>
      <c r="J118" s="445">
        <v>29</v>
      </c>
      <c r="K118" s="444">
        <v>51</v>
      </c>
      <c r="L118" s="445">
        <v>29</v>
      </c>
      <c r="M118" s="445">
        <v>29</v>
      </c>
      <c r="N118" s="445">
        <v>26</v>
      </c>
      <c r="O118" s="445">
        <v>34</v>
      </c>
      <c r="P118" s="445">
        <v>34</v>
      </c>
      <c r="Q118" s="445">
        <v>29</v>
      </c>
      <c r="R118" s="444">
        <v>51</v>
      </c>
      <c r="S118" s="445">
        <v>29</v>
      </c>
      <c r="T118" s="445">
        <v>31</v>
      </c>
      <c r="U118" s="445">
        <v>29</v>
      </c>
      <c r="V118" s="445">
        <v>23</v>
      </c>
      <c r="W118" s="445">
        <v>31</v>
      </c>
      <c r="X118" s="447"/>
      <c r="Y118" s="380"/>
      <c r="Z118" s="446">
        <v>33</v>
      </c>
      <c r="AA118" s="446">
        <v>39</v>
      </c>
    </row>
    <row r="119" spans="1:27" ht="15.75" thickBot="1">
      <c r="A119" s="302" t="s">
        <v>867</v>
      </c>
      <c r="B119" s="445">
        <v>34</v>
      </c>
      <c r="C119" s="445">
        <v>41</v>
      </c>
      <c r="D119" s="447"/>
      <c r="E119" s="445">
        <v>41</v>
      </c>
      <c r="F119" s="445">
        <v>31</v>
      </c>
      <c r="G119" s="447"/>
      <c r="H119" s="445">
        <v>61</v>
      </c>
      <c r="I119" s="445">
        <v>29</v>
      </c>
      <c r="J119" s="445">
        <v>41</v>
      </c>
      <c r="K119" s="445">
        <v>51</v>
      </c>
      <c r="L119" s="445">
        <v>61</v>
      </c>
      <c r="M119" s="445">
        <v>41</v>
      </c>
      <c r="N119" s="445">
        <v>51</v>
      </c>
      <c r="O119" s="445">
        <v>34</v>
      </c>
      <c r="P119" s="445">
        <v>34</v>
      </c>
      <c r="Q119" s="445">
        <v>41</v>
      </c>
      <c r="R119" s="445">
        <v>51</v>
      </c>
      <c r="S119" s="444">
        <v>67</v>
      </c>
      <c r="T119" s="445">
        <v>51</v>
      </c>
      <c r="U119" s="445">
        <v>29</v>
      </c>
      <c r="V119" s="445">
        <v>29</v>
      </c>
      <c r="W119" s="445">
        <v>51</v>
      </c>
      <c r="X119" s="447"/>
      <c r="Y119" s="380"/>
      <c r="Z119" s="446">
        <v>39</v>
      </c>
      <c r="AA119" s="446">
        <v>64</v>
      </c>
    </row>
    <row r="120" spans="1:27" ht="15.75" thickBot="1">
      <c r="A120" s="302" t="s">
        <v>191</v>
      </c>
      <c r="B120" s="445">
        <v>46</v>
      </c>
      <c r="C120" s="445">
        <v>41</v>
      </c>
      <c r="D120" s="447"/>
      <c r="E120" s="445">
        <v>41</v>
      </c>
      <c r="F120" s="445">
        <v>36</v>
      </c>
      <c r="G120" s="447"/>
      <c r="H120" s="445">
        <v>46</v>
      </c>
      <c r="I120" s="445">
        <v>36</v>
      </c>
      <c r="J120" s="445">
        <v>41</v>
      </c>
      <c r="K120" s="444">
        <v>67</v>
      </c>
      <c r="L120" s="445">
        <v>46</v>
      </c>
      <c r="M120" s="445">
        <v>41</v>
      </c>
      <c r="N120" s="445">
        <v>41</v>
      </c>
      <c r="O120" s="445">
        <v>41</v>
      </c>
      <c r="P120" s="445">
        <v>41</v>
      </c>
      <c r="Q120" s="445">
        <v>41</v>
      </c>
      <c r="R120" s="444">
        <v>67</v>
      </c>
      <c r="S120" s="445">
        <v>51</v>
      </c>
      <c r="T120" s="445">
        <v>46</v>
      </c>
      <c r="U120" s="445">
        <v>34</v>
      </c>
      <c r="V120" s="445">
        <v>36</v>
      </c>
      <c r="W120" s="445">
        <v>46</v>
      </c>
      <c r="X120" s="447"/>
      <c r="Y120" s="380"/>
      <c r="Z120" s="446">
        <v>45</v>
      </c>
      <c r="AA120" s="444">
        <v>127</v>
      </c>
    </row>
    <row r="121" spans="1:27" ht="15.75" thickBot="1">
      <c r="A121" s="302" t="s">
        <v>564</v>
      </c>
      <c r="B121" s="445">
        <v>34</v>
      </c>
      <c r="C121" s="445">
        <v>51</v>
      </c>
      <c r="D121" s="447"/>
      <c r="E121" s="445">
        <v>41</v>
      </c>
      <c r="F121" s="445">
        <v>41</v>
      </c>
      <c r="G121" s="447"/>
      <c r="H121" s="444">
        <v>71</v>
      </c>
      <c r="I121" s="445">
        <v>36</v>
      </c>
      <c r="J121" s="445">
        <v>41</v>
      </c>
      <c r="K121" s="445">
        <v>51</v>
      </c>
      <c r="L121" s="444">
        <v>71</v>
      </c>
      <c r="M121" s="445">
        <v>41</v>
      </c>
      <c r="N121" s="445">
        <v>61</v>
      </c>
      <c r="O121" s="445">
        <v>34</v>
      </c>
      <c r="P121" s="445">
        <v>36</v>
      </c>
      <c r="Q121" s="445">
        <v>41</v>
      </c>
      <c r="R121" s="445">
        <v>51</v>
      </c>
      <c r="S121" s="445">
        <v>67</v>
      </c>
      <c r="T121" s="445">
        <v>56</v>
      </c>
      <c r="U121" s="445">
        <v>41</v>
      </c>
      <c r="V121" s="445">
        <v>36</v>
      </c>
      <c r="W121" s="445">
        <v>56</v>
      </c>
      <c r="X121" s="447"/>
      <c r="Y121" s="380"/>
      <c r="Z121" s="446">
        <v>45</v>
      </c>
      <c r="AA121" s="444">
        <v>93</v>
      </c>
    </row>
    <row r="122" spans="1:27" ht="15.75" thickBot="1">
      <c r="A122" s="302" t="s">
        <v>1154</v>
      </c>
      <c r="B122" s="445">
        <v>76</v>
      </c>
      <c r="C122" s="447"/>
      <c r="D122" s="447"/>
      <c r="E122" s="447"/>
      <c r="F122" s="445">
        <v>71</v>
      </c>
      <c r="G122" s="447"/>
      <c r="H122" s="447"/>
      <c r="I122" s="447"/>
      <c r="J122" s="444">
        <v>81</v>
      </c>
      <c r="K122" s="444">
        <v>81</v>
      </c>
      <c r="L122" s="447"/>
      <c r="M122" s="444">
        <v>81</v>
      </c>
      <c r="N122" s="447"/>
      <c r="O122" s="445">
        <v>67</v>
      </c>
      <c r="P122" s="447"/>
      <c r="Q122" s="444">
        <v>81</v>
      </c>
      <c r="R122" s="444">
        <v>81</v>
      </c>
      <c r="S122" s="446">
        <v>51</v>
      </c>
      <c r="T122" s="447"/>
      <c r="U122" s="445">
        <v>67</v>
      </c>
      <c r="V122" s="447"/>
      <c r="W122" s="447"/>
      <c r="X122" s="447"/>
      <c r="Y122" s="380"/>
      <c r="Z122" s="446">
        <v>54</v>
      </c>
      <c r="AA122" s="447"/>
    </row>
    <row r="123" spans="1:27" ht="15.75" thickBot="1">
      <c r="A123" s="302" t="s">
        <v>1137</v>
      </c>
      <c r="B123" s="445">
        <v>76</v>
      </c>
      <c r="C123" s="445">
        <v>51</v>
      </c>
      <c r="D123" s="447"/>
      <c r="E123" s="445">
        <v>51</v>
      </c>
      <c r="F123" s="445">
        <v>67</v>
      </c>
      <c r="G123" s="447"/>
      <c r="H123" s="445">
        <v>61</v>
      </c>
      <c r="I123" s="445">
        <v>56</v>
      </c>
      <c r="J123" s="444">
        <v>81</v>
      </c>
      <c r="K123" s="446">
        <v>41</v>
      </c>
      <c r="L123" s="445">
        <v>61</v>
      </c>
      <c r="M123" s="444">
        <v>81</v>
      </c>
      <c r="N123" s="445">
        <v>56</v>
      </c>
      <c r="O123" s="445">
        <v>61</v>
      </c>
      <c r="P123" s="445">
        <v>56</v>
      </c>
      <c r="Q123" s="444">
        <v>81</v>
      </c>
      <c r="R123" s="446">
        <v>41</v>
      </c>
      <c r="S123" s="445">
        <v>67</v>
      </c>
      <c r="T123" s="445">
        <v>65</v>
      </c>
      <c r="U123" s="446">
        <v>67</v>
      </c>
      <c r="V123" s="445">
        <v>56</v>
      </c>
      <c r="W123" s="445">
        <v>65</v>
      </c>
      <c r="X123" s="447"/>
      <c r="Y123" s="380"/>
      <c r="Z123" s="446">
        <v>47</v>
      </c>
      <c r="AA123" s="446">
        <v>59</v>
      </c>
    </row>
    <row r="124" spans="1:27" ht="15.75" thickBot="1">
      <c r="A124" s="302" t="s">
        <v>1153</v>
      </c>
      <c r="B124" s="445">
        <v>46</v>
      </c>
      <c r="C124" s="447"/>
      <c r="D124" s="447"/>
      <c r="E124" s="445">
        <v>46</v>
      </c>
      <c r="F124" s="445">
        <v>46</v>
      </c>
      <c r="G124" s="447"/>
      <c r="H124" s="447"/>
      <c r="I124" s="445">
        <v>36</v>
      </c>
      <c r="J124" s="444">
        <v>81</v>
      </c>
      <c r="K124" s="447"/>
      <c r="L124" s="447"/>
      <c r="M124" s="444">
        <v>81</v>
      </c>
      <c r="N124" s="447"/>
      <c r="O124" s="445">
        <v>46</v>
      </c>
      <c r="P124" s="447"/>
      <c r="Q124" s="444">
        <v>81</v>
      </c>
      <c r="R124" s="447"/>
      <c r="S124" s="445">
        <v>51</v>
      </c>
      <c r="T124" s="445">
        <v>51</v>
      </c>
      <c r="U124" s="447"/>
      <c r="V124" s="445">
        <v>36</v>
      </c>
      <c r="W124" s="445">
        <v>51</v>
      </c>
      <c r="X124" s="447"/>
      <c r="Y124" s="380"/>
      <c r="Z124" s="447"/>
      <c r="AA124" s="447"/>
    </row>
    <row r="125" spans="1:27" ht="15.75" thickBot="1">
      <c r="A125" s="302" t="s">
        <v>221</v>
      </c>
      <c r="B125" s="445">
        <v>56</v>
      </c>
      <c r="C125" s="445">
        <v>67</v>
      </c>
      <c r="D125" s="447"/>
      <c r="E125" s="445">
        <v>67</v>
      </c>
      <c r="F125" s="445">
        <v>71</v>
      </c>
      <c r="G125" s="447"/>
      <c r="H125" s="444">
        <v>101</v>
      </c>
      <c r="I125" s="445">
        <v>56</v>
      </c>
      <c r="J125" s="445">
        <v>41</v>
      </c>
      <c r="K125" s="444">
        <v>101</v>
      </c>
      <c r="L125" s="444">
        <v>101</v>
      </c>
      <c r="M125" s="445">
        <v>41</v>
      </c>
      <c r="N125" s="445">
        <v>91</v>
      </c>
      <c r="O125" s="445">
        <v>61</v>
      </c>
      <c r="P125" s="445">
        <v>67</v>
      </c>
      <c r="Q125" s="445">
        <v>41</v>
      </c>
      <c r="R125" s="444">
        <v>101</v>
      </c>
      <c r="S125" s="444">
        <v>101</v>
      </c>
      <c r="T125" s="445">
        <v>85</v>
      </c>
      <c r="U125" s="445">
        <v>67</v>
      </c>
      <c r="V125" s="445">
        <v>56</v>
      </c>
      <c r="W125" s="445">
        <v>85</v>
      </c>
      <c r="X125" s="447"/>
      <c r="Y125" s="380"/>
      <c r="Z125" s="446">
        <v>45</v>
      </c>
      <c r="AA125" s="447"/>
    </row>
    <row r="126" spans="1:27" ht="15.75" thickBot="1">
      <c r="A126" s="302" t="s">
        <v>1143</v>
      </c>
      <c r="B126" s="445">
        <v>76</v>
      </c>
      <c r="C126" s="447"/>
      <c r="D126" s="447"/>
      <c r="E126" s="445">
        <v>81</v>
      </c>
      <c r="F126" s="445">
        <v>76</v>
      </c>
      <c r="G126" s="447"/>
      <c r="H126" s="445">
        <v>81</v>
      </c>
      <c r="I126" s="445">
        <v>81</v>
      </c>
      <c r="J126" s="445">
        <v>81</v>
      </c>
      <c r="K126" s="444">
        <v>101</v>
      </c>
      <c r="L126" s="445">
        <v>81</v>
      </c>
      <c r="M126" s="445">
        <v>81</v>
      </c>
      <c r="N126" s="445">
        <v>71</v>
      </c>
      <c r="O126" s="445">
        <v>67</v>
      </c>
      <c r="P126" s="445">
        <v>76</v>
      </c>
      <c r="Q126" s="445">
        <v>81</v>
      </c>
      <c r="R126" s="444">
        <v>101</v>
      </c>
      <c r="S126" s="445">
        <v>81</v>
      </c>
      <c r="T126" s="445">
        <v>80</v>
      </c>
      <c r="U126" s="445">
        <v>67</v>
      </c>
      <c r="V126" s="445">
        <v>81</v>
      </c>
      <c r="W126" s="445">
        <v>80</v>
      </c>
      <c r="X126" s="447"/>
      <c r="Y126" s="380"/>
      <c r="Z126" s="446">
        <v>1.22</v>
      </c>
      <c r="AA126" s="447"/>
    </row>
    <row r="127" spans="1:27" ht="15.75" thickBot="1">
      <c r="A127" s="302" t="s">
        <v>1136</v>
      </c>
      <c r="B127" s="446">
        <v>71</v>
      </c>
      <c r="C127" s="445">
        <v>67</v>
      </c>
      <c r="D127" s="447"/>
      <c r="E127" s="445">
        <v>67</v>
      </c>
      <c r="F127" s="445">
        <v>56</v>
      </c>
      <c r="G127" s="447"/>
      <c r="H127" s="445">
        <v>36</v>
      </c>
      <c r="I127" s="445">
        <v>81</v>
      </c>
      <c r="J127" s="445">
        <v>81</v>
      </c>
      <c r="K127" s="444">
        <v>101</v>
      </c>
      <c r="L127" s="445">
        <v>36</v>
      </c>
      <c r="M127" s="445">
        <v>81</v>
      </c>
      <c r="N127" s="445">
        <v>36</v>
      </c>
      <c r="O127" s="445">
        <v>67</v>
      </c>
      <c r="P127" s="445">
        <v>67</v>
      </c>
      <c r="Q127" s="445">
        <v>81</v>
      </c>
      <c r="R127" s="444">
        <v>101</v>
      </c>
      <c r="S127" s="445">
        <v>34</v>
      </c>
      <c r="T127" s="446">
        <v>51</v>
      </c>
      <c r="U127" s="445">
        <v>51</v>
      </c>
      <c r="V127" s="445">
        <v>81</v>
      </c>
      <c r="W127" s="446">
        <v>51</v>
      </c>
      <c r="X127" s="447"/>
      <c r="Y127" s="380"/>
      <c r="Z127" s="445">
        <v>39</v>
      </c>
      <c r="AA127" s="447"/>
    </row>
    <row r="128" spans="1:27" ht="15.75" thickBot="1">
      <c r="A128" s="302" t="s">
        <v>879</v>
      </c>
      <c r="B128" s="445">
        <v>101</v>
      </c>
      <c r="C128" s="445">
        <v>67</v>
      </c>
      <c r="D128" s="447"/>
      <c r="E128" s="445">
        <v>101</v>
      </c>
      <c r="F128" s="445">
        <v>101</v>
      </c>
      <c r="G128" s="447"/>
      <c r="H128" s="445">
        <v>76</v>
      </c>
      <c r="I128" s="445">
        <v>67</v>
      </c>
      <c r="J128" s="445">
        <v>81</v>
      </c>
      <c r="K128" s="444">
        <v>126</v>
      </c>
      <c r="L128" s="445">
        <v>71</v>
      </c>
      <c r="M128" s="445">
        <v>81</v>
      </c>
      <c r="N128" s="445">
        <v>67</v>
      </c>
      <c r="O128" s="445">
        <v>81</v>
      </c>
      <c r="P128" s="445">
        <v>76</v>
      </c>
      <c r="Q128" s="445">
        <v>81</v>
      </c>
      <c r="R128" s="444">
        <v>126</v>
      </c>
      <c r="S128" s="445">
        <v>81</v>
      </c>
      <c r="T128" s="445">
        <v>85</v>
      </c>
      <c r="U128" s="445">
        <v>101</v>
      </c>
      <c r="V128" s="445">
        <v>67</v>
      </c>
      <c r="W128" s="445">
        <v>85</v>
      </c>
      <c r="X128" s="447"/>
      <c r="Y128" s="380"/>
      <c r="Z128" s="446">
        <v>45</v>
      </c>
      <c r="AA128" s="445">
        <v>98</v>
      </c>
    </row>
    <row r="129" spans="1:27" ht="15.75" thickBot="1">
      <c r="A129" s="302" t="s">
        <v>1142</v>
      </c>
      <c r="B129" s="445">
        <v>76</v>
      </c>
      <c r="C129" s="445">
        <v>101</v>
      </c>
      <c r="D129" s="447"/>
      <c r="E129" s="445">
        <v>101</v>
      </c>
      <c r="F129" s="445">
        <v>81</v>
      </c>
      <c r="G129" s="447"/>
      <c r="H129" s="444">
        <v>126</v>
      </c>
      <c r="I129" s="445">
        <v>81</v>
      </c>
      <c r="J129" s="445">
        <v>81</v>
      </c>
      <c r="K129" s="444">
        <v>126</v>
      </c>
      <c r="L129" s="444">
        <v>126</v>
      </c>
      <c r="M129" s="445">
        <v>81</v>
      </c>
      <c r="N129" s="444">
        <v>126</v>
      </c>
      <c r="O129" s="445">
        <v>81</v>
      </c>
      <c r="P129" s="445">
        <v>81</v>
      </c>
      <c r="Q129" s="445">
        <v>81</v>
      </c>
      <c r="R129" s="444">
        <v>126</v>
      </c>
      <c r="S129" s="444">
        <v>126</v>
      </c>
      <c r="T129" s="445">
        <v>106</v>
      </c>
      <c r="U129" s="445">
        <v>81</v>
      </c>
      <c r="V129" s="445">
        <v>81</v>
      </c>
      <c r="W129" s="445">
        <v>106</v>
      </c>
      <c r="X129" s="447"/>
      <c r="Y129" s="380"/>
      <c r="Z129" s="446">
        <v>45</v>
      </c>
      <c r="AA129" s="447"/>
    </row>
    <row r="130" spans="1:27" ht="15.75" thickBot="1">
      <c r="A130" s="302" t="s">
        <v>138</v>
      </c>
      <c r="B130" s="446">
        <v>111</v>
      </c>
      <c r="C130" s="445">
        <v>67</v>
      </c>
      <c r="D130" s="447"/>
      <c r="E130" s="445">
        <v>101</v>
      </c>
      <c r="F130" s="445">
        <v>111</v>
      </c>
      <c r="G130" s="447"/>
      <c r="H130" s="444">
        <v>126</v>
      </c>
      <c r="I130" s="445">
        <v>71</v>
      </c>
      <c r="J130" s="445">
        <v>81</v>
      </c>
      <c r="K130" s="444">
        <v>126</v>
      </c>
      <c r="L130" s="444">
        <v>126</v>
      </c>
      <c r="M130" s="445">
        <v>81</v>
      </c>
      <c r="N130" s="445">
        <v>101</v>
      </c>
      <c r="O130" s="445">
        <v>101</v>
      </c>
      <c r="P130" s="445">
        <v>81</v>
      </c>
      <c r="Q130" s="445">
        <v>81</v>
      </c>
      <c r="R130" s="444">
        <v>126</v>
      </c>
      <c r="S130" s="444">
        <v>126</v>
      </c>
      <c r="T130" s="446">
        <v>121</v>
      </c>
      <c r="U130" s="445">
        <v>101</v>
      </c>
      <c r="V130" s="445">
        <v>71</v>
      </c>
      <c r="W130" s="446">
        <v>121</v>
      </c>
      <c r="X130" s="447"/>
      <c r="Y130" s="380"/>
      <c r="Z130" s="446">
        <v>45</v>
      </c>
      <c r="AA130" s="447"/>
    </row>
    <row r="131" spans="1:27" ht="15.75" thickBot="1">
      <c r="A131" s="302" t="s">
        <v>873</v>
      </c>
      <c r="B131" s="445">
        <v>126</v>
      </c>
      <c r="C131" s="445">
        <v>101</v>
      </c>
      <c r="D131" s="447"/>
      <c r="E131" s="445">
        <v>126</v>
      </c>
      <c r="F131" s="445">
        <v>126</v>
      </c>
      <c r="G131" s="447"/>
      <c r="H131" s="444">
        <v>151</v>
      </c>
      <c r="I131" s="445">
        <v>81</v>
      </c>
      <c r="J131" s="445">
        <v>81</v>
      </c>
      <c r="K131" s="444">
        <v>151</v>
      </c>
      <c r="L131" s="444">
        <v>151</v>
      </c>
      <c r="M131" s="445">
        <v>81</v>
      </c>
      <c r="N131" s="444">
        <v>151</v>
      </c>
      <c r="O131" s="445">
        <v>126</v>
      </c>
      <c r="P131" s="445">
        <v>101</v>
      </c>
      <c r="Q131" s="445">
        <v>81</v>
      </c>
      <c r="R131" s="444">
        <v>151</v>
      </c>
      <c r="S131" s="444">
        <v>151</v>
      </c>
      <c r="T131" s="445">
        <v>141</v>
      </c>
      <c r="U131" s="445">
        <v>126</v>
      </c>
      <c r="V131" s="445">
        <v>81</v>
      </c>
      <c r="W131" s="445">
        <v>141</v>
      </c>
      <c r="X131" s="447"/>
      <c r="Y131" s="380"/>
      <c r="Z131" s="446">
        <v>45</v>
      </c>
      <c r="AA131" s="447"/>
    </row>
    <row r="132" spans="1:27" ht="15.75" thickBot="1">
      <c r="A132" s="302" t="s">
        <v>1145</v>
      </c>
      <c r="B132" s="445">
        <v>101</v>
      </c>
      <c r="C132" s="444">
        <v>151</v>
      </c>
      <c r="D132" s="447"/>
      <c r="E132" s="445">
        <v>126</v>
      </c>
      <c r="F132" s="445">
        <v>101</v>
      </c>
      <c r="G132" s="447"/>
      <c r="H132" s="444">
        <v>151</v>
      </c>
      <c r="I132" s="445">
        <v>67</v>
      </c>
      <c r="J132" s="445">
        <v>81</v>
      </c>
      <c r="K132" s="445">
        <v>126</v>
      </c>
      <c r="L132" s="444">
        <v>151</v>
      </c>
      <c r="M132" s="445">
        <v>81</v>
      </c>
      <c r="N132" s="445">
        <v>126</v>
      </c>
      <c r="O132" s="445">
        <v>101</v>
      </c>
      <c r="P132" s="445">
        <v>101</v>
      </c>
      <c r="Q132" s="445">
        <v>81</v>
      </c>
      <c r="R132" s="445">
        <v>126</v>
      </c>
      <c r="S132" s="444">
        <v>151</v>
      </c>
      <c r="T132" s="445">
        <v>131</v>
      </c>
      <c r="U132" s="445">
        <v>101</v>
      </c>
      <c r="V132" s="445">
        <v>67</v>
      </c>
      <c r="W132" s="445">
        <v>131</v>
      </c>
      <c r="X132" s="447"/>
      <c r="Y132" s="380"/>
      <c r="Z132" s="446">
        <v>45</v>
      </c>
      <c r="AA132" s="447"/>
    </row>
    <row r="133" spans="1:27" ht="15.75" thickBot="1">
      <c r="A133" s="302" t="s">
        <v>1134</v>
      </c>
      <c r="B133" s="445">
        <v>126</v>
      </c>
      <c r="C133" s="445">
        <v>151</v>
      </c>
      <c r="D133" s="447"/>
      <c r="E133" s="445">
        <v>101</v>
      </c>
      <c r="F133" s="445">
        <v>126</v>
      </c>
      <c r="G133" s="447"/>
      <c r="H133" s="445">
        <v>176</v>
      </c>
      <c r="I133" s="445">
        <v>81</v>
      </c>
      <c r="J133" s="445">
        <v>81</v>
      </c>
      <c r="K133" s="445">
        <v>151</v>
      </c>
      <c r="L133" s="445">
        <v>176</v>
      </c>
      <c r="M133" s="445">
        <v>81</v>
      </c>
      <c r="N133" s="445">
        <v>151</v>
      </c>
      <c r="O133" s="445">
        <v>101</v>
      </c>
      <c r="P133" s="445">
        <v>101</v>
      </c>
      <c r="Q133" s="445">
        <v>81</v>
      </c>
      <c r="R133" s="445">
        <v>151</v>
      </c>
      <c r="S133" s="444">
        <v>201</v>
      </c>
      <c r="T133" s="445">
        <v>161</v>
      </c>
      <c r="U133" s="445">
        <v>126</v>
      </c>
      <c r="V133" s="445">
        <v>81</v>
      </c>
      <c r="W133" s="445">
        <v>161</v>
      </c>
      <c r="X133" s="447"/>
      <c r="Y133" s="380"/>
      <c r="Z133" s="446">
        <v>45</v>
      </c>
      <c r="AA133" s="447"/>
    </row>
    <row r="134" spans="1:27" ht="15.75" thickBot="1">
      <c r="A134" s="302" t="s">
        <v>800</v>
      </c>
      <c r="B134" s="446">
        <v>126</v>
      </c>
      <c r="C134" s="445">
        <v>101</v>
      </c>
      <c r="D134" s="447"/>
      <c r="E134" s="445">
        <v>126</v>
      </c>
      <c r="F134" s="445">
        <v>151</v>
      </c>
      <c r="G134" s="447"/>
      <c r="H134" s="445">
        <v>176</v>
      </c>
      <c r="I134" s="445">
        <v>81</v>
      </c>
      <c r="J134" s="445">
        <v>81</v>
      </c>
      <c r="K134" s="445">
        <v>151</v>
      </c>
      <c r="L134" s="445">
        <v>176</v>
      </c>
      <c r="M134" s="445">
        <v>81</v>
      </c>
      <c r="N134" s="445">
        <v>151</v>
      </c>
      <c r="O134" s="445">
        <v>126</v>
      </c>
      <c r="P134" s="445">
        <v>91</v>
      </c>
      <c r="Q134" s="445">
        <v>81</v>
      </c>
      <c r="R134" s="445">
        <v>151</v>
      </c>
      <c r="S134" s="444">
        <v>201</v>
      </c>
      <c r="T134" s="445">
        <v>161</v>
      </c>
      <c r="U134" s="445">
        <v>151</v>
      </c>
      <c r="V134" s="445">
        <v>81</v>
      </c>
      <c r="W134" s="445">
        <v>161</v>
      </c>
      <c r="X134" s="447"/>
      <c r="Y134" s="380"/>
      <c r="Z134" s="446">
        <v>45</v>
      </c>
      <c r="AA134" s="447"/>
    </row>
    <row r="135" spans="1:27" ht="15.75" thickBot="1">
      <c r="A135" s="302" t="s">
        <v>1146</v>
      </c>
      <c r="B135" s="445">
        <v>126</v>
      </c>
      <c r="C135" s="445">
        <v>201</v>
      </c>
      <c r="D135" s="447"/>
      <c r="E135" s="445">
        <v>151</v>
      </c>
      <c r="F135" s="445">
        <v>111</v>
      </c>
      <c r="G135" s="447"/>
      <c r="H135" s="445">
        <v>201</v>
      </c>
      <c r="I135" s="445">
        <v>81</v>
      </c>
      <c r="J135" s="445">
        <v>81</v>
      </c>
      <c r="K135" s="445">
        <v>151</v>
      </c>
      <c r="L135" s="445">
        <v>226</v>
      </c>
      <c r="M135" s="445">
        <v>81</v>
      </c>
      <c r="N135" s="445">
        <v>201</v>
      </c>
      <c r="O135" s="445">
        <v>151</v>
      </c>
      <c r="P135" s="445">
        <v>151</v>
      </c>
      <c r="Q135" s="445">
        <v>81</v>
      </c>
      <c r="R135" s="445">
        <v>151</v>
      </c>
      <c r="S135" s="444">
        <v>251</v>
      </c>
      <c r="T135" s="446">
        <v>191</v>
      </c>
      <c r="U135" s="445">
        <v>126</v>
      </c>
      <c r="V135" s="445">
        <v>81</v>
      </c>
      <c r="W135" s="446">
        <v>191</v>
      </c>
      <c r="X135" s="447"/>
      <c r="Y135" s="380"/>
      <c r="Z135" s="446">
        <v>49</v>
      </c>
      <c r="AA135" s="447"/>
    </row>
    <row r="136" spans="1:27" ht="15.75" thickBot="1">
      <c r="A136" s="302" t="s">
        <v>1144</v>
      </c>
      <c r="B136" s="445">
        <v>161</v>
      </c>
      <c r="C136" s="445">
        <v>251</v>
      </c>
      <c r="D136" s="447"/>
      <c r="E136" s="445">
        <v>151</v>
      </c>
      <c r="F136" s="445">
        <v>251</v>
      </c>
      <c r="G136" s="447"/>
      <c r="H136" s="444">
        <v>301</v>
      </c>
      <c r="I136" s="445">
        <v>81</v>
      </c>
      <c r="J136" s="445">
        <v>81</v>
      </c>
      <c r="K136" s="445">
        <v>176</v>
      </c>
      <c r="L136" s="444">
        <v>301</v>
      </c>
      <c r="M136" s="445">
        <v>81</v>
      </c>
      <c r="N136" s="445">
        <v>251</v>
      </c>
      <c r="O136" s="445">
        <v>151</v>
      </c>
      <c r="P136" s="445">
        <v>201</v>
      </c>
      <c r="Q136" s="445">
        <v>81</v>
      </c>
      <c r="R136" s="445">
        <v>176</v>
      </c>
      <c r="S136" s="444">
        <v>301</v>
      </c>
      <c r="T136" s="447"/>
      <c r="U136" s="445">
        <v>251</v>
      </c>
      <c r="V136" s="445">
        <v>81</v>
      </c>
      <c r="W136" s="447"/>
      <c r="X136" s="447"/>
      <c r="Y136" s="380"/>
      <c r="Z136" s="445">
        <v>39</v>
      </c>
      <c r="AA136" s="447"/>
    </row>
    <row r="137" spans="1:27" ht="15.75" thickBot="1">
      <c r="A137" s="302" t="s">
        <v>1139</v>
      </c>
      <c r="B137" s="445">
        <v>161</v>
      </c>
      <c r="C137" s="445">
        <v>201</v>
      </c>
      <c r="D137" s="447"/>
      <c r="E137" s="445">
        <v>201</v>
      </c>
      <c r="F137" s="445">
        <v>251</v>
      </c>
      <c r="G137" s="447"/>
      <c r="H137" s="445">
        <v>351</v>
      </c>
      <c r="I137" s="445">
        <v>71</v>
      </c>
      <c r="J137" s="445">
        <v>81</v>
      </c>
      <c r="K137" s="445">
        <v>176</v>
      </c>
      <c r="L137" s="445">
        <v>351</v>
      </c>
      <c r="M137" s="445">
        <v>81</v>
      </c>
      <c r="N137" s="445">
        <v>301</v>
      </c>
      <c r="O137" s="445">
        <v>151</v>
      </c>
      <c r="P137" s="445">
        <v>201</v>
      </c>
      <c r="Q137" s="445">
        <v>81</v>
      </c>
      <c r="R137" s="445">
        <v>176</v>
      </c>
      <c r="S137" s="444">
        <v>401</v>
      </c>
      <c r="T137" s="445">
        <v>276</v>
      </c>
      <c r="U137" s="445">
        <v>301</v>
      </c>
      <c r="V137" s="445">
        <v>71</v>
      </c>
      <c r="W137" s="445">
        <v>276</v>
      </c>
      <c r="X137" s="447"/>
      <c r="Y137" s="380"/>
      <c r="Z137" s="446">
        <v>41</v>
      </c>
      <c r="AA137" s="356"/>
    </row>
  </sheetData>
  <hyperlinks>
    <hyperlink ref="A3" r:id="rId1" tooltip="View odds history for Alex Noren" display="https://www.oddschecker.com/golf/corales-puntacana-championship/top-10-finish/bet-history/alex-noren" xr:uid="{DD43F609-B905-46A2-8B13-50A74FC81A97}"/>
    <hyperlink ref="A4" r:id="rId2" tooltip="View odds history for Nicolai Hojgaard" display="https://www.oddschecker.com/golf/corales-puntacana-championship/top-10-finish/bet-history/nicolai-hojgaard" xr:uid="{38598250-9AF2-4FF4-A4DD-F3FC48C1AA7B}"/>
    <hyperlink ref="A5" r:id="rId3" tooltip="View odds history for Billy Horschel" display="https://www.oddschecker.com/golf/corales-puntacana-championship/top-10-finish/bet-history/billy-horschel" xr:uid="{8FA1F1BD-3629-4F45-9092-A1F6C797A0C5}"/>
    <hyperlink ref="A6" r:id="rId4" tooltip="View odds history for Aaron Rai" display="https://www.oddschecker.com/golf/corales-puntacana-championship/top-10-finish/bet-history/aaron-rai" xr:uid="{C2F87E7E-6262-420A-A99F-3FFBCA065F2D}"/>
    <hyperlink ref="A7" r:id="rId5" tooltip="View odds history for Kevin Yu" display="https://www.oddschecker.com/golf/corales-puntacana-championship/top-10-finish/bet-history/kevin-yu" xr:uid="{D1EC4DF5-0270-4C72-91E4-798ADEEDBC54}"/>
    <hyperlink ref="A8" r:id="rId6" tooltip="View odds history for Doug Ghim" display="https://www.oddschecker.com/golf/corales-puntacana-championship/top-10-finish/bet-history/doug-ghim" xr:uid="{9189C99B-B145-4F6B-B6D5-E191A0B7CB1D}"/>
    <hyperlink ref="A9" r:id="rId7" tooltip="View odds history for Davis Thompson" display="https://www.oddschecker.com/golf/corales-puntacana-championship/top-10-finish/bet-history/davis-thompson" xr:uid="{ECF59F4E-0111-45C8-9EC8-00744B63957B}"/>
    <hyperlink ref="A10" r:id="rId8" tooltip="View odds history for Victor Perez" display="https://www.oddschecker.com/golf/corales-puntacana-championship/top-10-finish/bet-history/victor-perez" xr:uid="{81BB93F9-1D07-43E6-A314-809A12FFFDE3}"/>
    <hyperlink ref="A11" r:id="rId9" tooltip="View odds history for Nate Lashley" display="https://www.oddschecker.com/golf/corales-puntacana-championship/top-10-finish/bet-history/nate-lashley" xr:uid="{392D360F-19DB-4D0F-9BAF-7FAA98FA1AE5}"/>
    <hyperlink ref="A12" r:id="rId10" tooltip="View odds history for Mark Hubbard" display="https://www.oddschecker.com/golf/corales-puntacana-championship/top-10-finish/bet-history/mark-hubbard" xr:uid="{CE668432-25B8-4FC3-9B02-6F7560957454}"/>
    <hyperlink ref="A13" r:id="rId11" tooltip="View odds history for Sam Stevens" display="https://www.oddschecker.com/golf/corales-puntacana-championship/top-10-finish/bet-history/sam-stevens" xr:uid="{51BA3332-885C-4A86-80E3-911DE1711C50}"/>
    <hyperlink ref="A14" r:id="rId12" tooltip="View odds history for Ben Martin" display="https://www.oddschecker.com/golf/corales-puntacana-championship/top-10-finish/bet-history/ben-martin" xr:uid="{A2358248-36CA-4616-A014-7E9C78FEDB4E}"/>
    <hyperlink ref="A15" r:id="rId13" tooltip="View odds history for Ben Griffin" display="https://www.oddschecker.com/golf/corales-puntacana-championship/top-10-finish/bet-history/ben-griffin" xr:uid="{7B6AFECA-95B5-4972-A54A-DB5976D6E78A}"/>
    <hyperlink ref="A16" r:id="rId14" tooltip="View odds history for Kyoung-Hoon Lee" display="https://www.oddschecker.com/golf/corales-puntacana-championship/top-10-finish/bet-history/kyoung-hoon-lee" xr:uid="{C690E0E3-359F-40EB-B3BB-725E801AA000}"/>
    <hyperlink ref="A17" r:id="rId15" tooltip="View odds history for Daniel Berger" display="https://www.oddschecker.com/golf/corales-puntacana-championship/top-10-finish/bet-history/daniel-berger" xr:uid="{E2D4895E-A844-48B2-AF89-C64ECF516912}"/>
    <hyperlink ref="A18" r:id="rId16" tooltip="View odds history for Bud Cauley" display="https://www.oddschecker.com/golf/corales-puntacana-championship/top-10-finish/bet-history/bud-cauley" xr:uid="{37C12771-FCD1-4D91-9C12-D9502128C923}"/>
    <hyperlink ref="A19" r:id="rId17" tooltip="View odds history for Matti Schmid" display="https://www.oddschecker.com/golf/corales-puntacana-championship/top-10-finish/bet-history/matti-schmid" xr:uid="{40DD3753-6444-4DBD-AC43-BA7DFFA7D3DF}"/>
    <hyperlink ref="A20" r:id="rId18" tooltip="View odds history for Nick Hardy" display="https://www.oddschecker.com/golf/corales-puntacana-championship/top-10-finish/bet-history/nick-hardy" xr:uid="{357C0077-E9B1-4EF9-9487-61AD01EABBC1}"/>
    <hyperlink ref="A21" r:id="rId19" tooltip="View odds history for Justin Lower" display="https://www.oddschecker.com/golf/corales-puntacana-championship/top-10-finish/bet-history/justin-lower" xr:uid="{832077EE-938E-44BF-81A2-91CC0AB252AC}"/>
    <hyperlink ref="A22" r:id="rId20" tooltip="View odds history for Chan Kim" display="https://www.oddschecker.com/golf/corales-puntacana-championship/top-10-finish/bet-history/chan-kim" xr:uid="{A4BB6283-C331-4FE3-87EB-D7BDF87680A8}"/>
    <hyperlink ref="A23" r:id="rId21" tooltip="View odds history for Joel Dahmen" display="https://www.oddschecker.com/golf/corales-puntacana-championship/top-10-finish/bet-history/joel-dahmen" xr:uid="{53979105-03AB-4BB0-BE39-18CA2726A0F8}"/>
    <hyperlink ref="A24" r:id="rId22" tooltip="View odds history for Sam Ryder" display="https://www.oddschecker.com/golf/corales-puntacana-championship/top-10-finish/bet-history/sam-ryder" xr:uid="{B44ED88A-F20B-497E-8461-C6E386010B30}"/>
    <hyperlink ref="A25" r:id="rId23" tooltip="View odds history for Garrick Higgo" display="https://www.oddschecker.com/golf/corales-puntacana-championship/top-10-finish/bet-history/garrick-higgo" xr:uid="{4D19F9C0-EE28-466A-8F26-A99B1159A888}"/>
    <hyperlink ref="A26" r:id="rId24" tooltip="View odds history for Tyler Duncan" display="https://www.oddschecker.com/golf/corales-puntacana-championship/top-10-finish/bet-history/tyler-duncan" xr:uid="{82B3AB72-906B-4639-AB9E-DDCF66FFF518}"/>
    <hyperlink ref="A27" r:id="rId25" tooltip="View odds history for Joseph Bramlett" display="https://www.oddschecker.com/golf/corales-puntacana-championship/top-10-finish/bet-history/joseph-bramlett" xr:uid="{CC2086BD-2780-479C-893F-B7C2C649BED5}"/>
    <hyperlink ref="A28" r:id="rId26" tooltip="View odds history for Seonghyeon Kim" display="https://www.oddschecker.com/golf/corales-puntacana-championship/top-10-finish/bet-history/seonghyeon-kim" xr:uid="{49D73ADE-8E98-497E-8DB5-0B675FB05C46}"/>
    <hyperlink ref="A29" r:id="rId27" tooltip="View odds history for Taylor Pendrith" display="https://www.oddschecker.com/golf/corales-puntacana-championship/top-10-finish/bet-history/taylor-pendrith" xr:uid="{7F98E8A7-02A8-4DDA-82FA-CDEF16D40F83}"/>
    <hyperlink ref="A30" r:id="rId28" tooltip="View odds history for Max Greyserman" display="https://www.oddschecker.com/golf/corales-puntacana-championship/top-10-finish/bet-history/max-greyserman" xr:uid="{2688BA44-5BFD-40EF-A278-B3D46E35A369}"/>
    <hyperlink ref="A31" r:id="rId29" tooltip="View odds history for Greyson Sigg" display="https://www.oddschecker.com/golf/corales-puntacana-championship/top-10-finish/bet-history/greyson-sigg" xr:uid="{736000A4-F90F-4F30-803C-C17133F7F10C}"/>
    <hyperlink ref="A32" r:id="rId30" tooltip="View odds history for Thriston Lawrence" display="https://www.oddschecker.com/golf/corales-puntacana-championship/top-10-finish/bet-history/thriston-lawrence" xr:uid="{AF7064D8-544B-4006-B7B5-9E9643C8DE2C}"/>
    <hyperlink ref="A33" r:id="rId31" tooltip="View odds history for Carl Yuan" display="https://www.oddschecker.com/golf/corales-puntacana-championship/top-10-finish/bet-history/carl-yuan" xr:uid="{3B46D6D9-1952-46FC-AD08-872B9457C98A}"/>
    <hyperlink ref="A34" r:id="rId32" tooltip="View odds history for Jacob Bridgeman" display="https://www.oddschecker.com/golf/corales-puntacana-championship/top-10-finish/bet-history/jacob-bridgeman" xr:uid="{B2937336-E2FA-482F-AA69-08AC175F8122}"/>
    <hyperlink ref="A35" r:id="rId33" tooltip="View odds history for Justin Suh" display="https://www.oddschecker.com/golf/corales-puntacana-championship/top-10-finish/bet-history/justin-suh" xr:uid="{2DA5F566-1F6B-481E-B154-917127D68E01}"/>
    <hyperlink ref="A36" r:id="rId34" tooltip="View odds history for Mac Meissner" display="https://www.oddschecker.com/golf/corales-puntacana-championship/top-10-finish/bet-history/mac-meissner" xr:uid="{2819BAA4-CA9D-4E40-A096-1F4D98BDD5ED}"/>
    <hyperlink ref="A37" r:id="rId35" tooltip="View odds history for Chad Ramey" display="https://www.oddschecker.com/golf/corales-puntacana-championship/top-10-finish/bet-history/chad-ramey" xr:uid="{ED8CA5DA-3CCD-4828-82BA-3714646ECB8B}"/>
    <hyperlink ref="A38" r:id="rId36" tooltip="View odds history for Jhonattan Vegas" display="https://www.oddschecker.com/golf/corales-puntacana-championship/top-10-finish/bet-history/jhonattan-vegas" xr:uid="{80896277-C2B3-4A47-AC0C-B4654B288E0B}"/>
    <hyperlink ref="A39" r:id="rId37" tooltip="View odds history for Jimmy Stanger" display="https://www.oddschecker.com/golf/corales-puntacana-championship/top-10-finish/bet-history/jimmy-stanger" xr:uid="{C9C2311D-BB5D-46AE-8A4B-6917B9894352}"/>
    <hyperlink ref="A40" r:id="rId38" tooltip="View odds history for Michael Kim" display="https://www.oddschecker.com/golf/corales-puntacana-championship/top-10-finish/bet-history/michael-kim" xr:uid="{4FEA7F5B-1ED1-4B49-B646-7ECB19C6DB4B}"/>
    <hyperlink ref="A41" r:id="rId39" tooltip="View odds history for Peter Kuest" display="https://www.oddschecker.com/golf/corales-puntacana-championship/top-10-finish/bet-history/peter-kuest" xr:uid="{92C55BA1-AAC5-4D9B-B37B-5B3CD0140B19}"/>
    <hyperlink ref="A42" r:id="rId40" tooltip="View odds history for Ben Silverman" display="https://www.oddschecker.com/golf/corales-puntacana-championship/top-10-finish/bet-history/ben-silverman" xr:uid="{83688826-4A6E-4E09-AD29-17234B141F3E}"/>
    <hyperlink ref="A43" r:id="rId41" tooltip="View odds history for Joe Highsmith" display="https://www.oddschecker.com/golf/corales-puntacana-championship/top-10-finish/bet-history/joe-highsmith" xr:uid="{DA108FAA-D9FA-41F0-88C4-3D56112A2281}"/>
    <hyperlink ref="A44" r:id="rId42" tooltip="View odds history for Christopher Gotterup" display="https://www.oddschecker.com/golf/corales-puntacana-championship/top-10-finish/bet-history/christopher-gotterup" xr:uid="{CA3F7C4F-51C8-43FD-8313-520635FC0484}"/>
    <hyperlink ref="A45" r:id="rId43" tooltip="View odds history for Hayden Springer" display="https://www.oddschecker.com/golf/corales-puntacana-championship/top-10-finish/bet-history/hayden-springer" xr:uid="{6E4F8EB3-6335-435E-BDC3-329712629ECE}"/>
    <hyperlink ref="A46" r:id="rId44" tooltip="View odds history for Alex Fitzpatrick" display="https://www.oddschecker.com/golf/corales-puntacana-championship/top-10-finish/bet-history/alex-fitzpatrick" xr:uid="{09490024-6D32-4802-823C-E34C358BDE75}"/>
    <hyperlink ref="A47" r:id="rId45" tooltip="View odds history for Lanto Griffin" display="https://www.oddschecker.com/golf/corales-puntacana-championship/top-10-finish/bet-history/lanto-griffin" xr:uid="{0FAB6750-4BCA-4BB0-AB02-CDC822E74A0E}"/>
    <hyperlink ref="A48" r:id="rId46" tooltip="View odds history for Rico Hoey" display="https://www.oddschecker.com/golf/corales-puntacana-championship/top-10-finish/bet-history/rico-hoey" xr:uid="{E4ACCB07-6D68-4FB2-932E-E5CCF7B32D00}"/>
    <hyperlink ref="A49" r:id="rId47" tooltip="View odds history for Alex Smalley" display="https://www.oddschecker.com/golf/corales-puntacana-championship/top-10-finish/bet-history/alex-smalley" xr:uid="{F918FDA9-2CAD-4750-ACF8-7588DBA56F06}"/>
    <hyperlink ref="A50" r:id="rId48" tooltip="View odds history for Vincent Whaley" display="https://www.oddschecker.com/golf/corales-puntacana-championship/top-10-finish/bet-history/vincent-whaley" xr:uid="{5DC15838-6838-4806-ADEB-38861BDAEF04}"/>
    <hyperlink ref="A51" r:id="rId49" tooltip="View odds history for Charley Hoffman" display="https://www.oddschecker.com/golf/corales-puntacana-championship/top-10-finish/bet-history/charley-hoffman" xr:uid="{F2C2CC21-5A60-4493-BEB3-6A1ABF904206}"/>
    <hyperlink ref="A52" r:id="rId50" tooltip="View odds history for Parker Coody" display="https://www.oddschecker.com/golf/corales-puntacana-championship/top-10-finish/bet-history/parker-coody" xr:uid="{0B5214D3-97B6-4933-B13C-DFAC1ED3C919}"/>
    <hyperlink ref="A53" r:id="rId51" tooltip="View odds history for Jorge Campillo" display="https://www.oddschecker.com/golf/corales-puntacana-championship/top-10-finish/bet-history/jorge-campillo" xr:uid="{C4293375-E141-4026-8437-5505B7F17430}"/>
    <hyperlink ref="A54" r:id="rId52" tooltip="View odds history for Carson Young" display="https://www.oddschecker.com/golf/corales-puntacana-championship/top-10-finish/bet-history/carson-young" xr:uid="{10EAE243-6115-4C62-822C-6C4AA9B0B20A}"/>
    <hyperlink ref="A55" r:id="rId53" tooltip="View odds history for Kevin Dougherty" display="https://www.oddschecker.com/golf/corales-puntacana-championship/top-10-finish/bet-history/kevin-dougherty" xr:uid="{1702A4E9-15F4-4814-8FBF-4AA30BC96755}"/>
    <hyperlink ref="A56" r:id="rId54" tooltip="View odds history for Austin Smotherman" display="https://www.oddschecker.com/golf/corales-puntacana-championship/top-10-finish/bet-history/austin-smotherman" xr:uid="{8615AD65-7029-459F-A737-FBCA8CF1C7A3}"/>
    <hyperlink ref="A57" r:id="rId55" tooltip="View odds history for Henrik Norlander" display="https://www.oddschecker.com/golf/corales-puntacana-championship/top-10-finish/bet-history/henrik-norlander" xr:uid="{2266EE9D-501C-4D66-8610-15A05A150B3A}"/>
    <hyperlink ref="A58" r:id="rId56" tooltip="View odds history for Brandon Wu" display="https://www.oddschecker.com/golf/corales-puntacana-championship/top-10-finish/bet-history/brandon-wu" xr:uid="{C2882153-AF20-4929-B788-3D2544C5ACB8}"/>
    <hyperlink ref="A59" r:id="rId57" tooltip="View odds history for Martin Trainer" display="https://www.oddschecker.com/golf/corales-puntacana-championship/top-10-finish/bet-history/martin-trainer" xr:uid="{D0F15A4E-97F2-4E5E-B613-5EC291446C09}"/>
    <hyperlink ref="A60" r:id="rId58" tooltip="View odds history for Ryan Palmer" display="https://www.oddschecker.com/golf/corales-puntacana-championship/top-10-finish/bet-history/ryan-palmer" xr:uid="{EC1D04D9-EA62-403C-9691-0B5515736D82}"/>
    <hyperlink ref="A61" r:id="rId59" tooltip="View odds history for Matthew Nesmith" display="https://www.oddschecker.com/golf/corales-puntacana-championship/top-10-finish/bet-history/matthew-nesmith" xr:uid="{171D94BA-A462-4A60-B48B-7D399B313D19}"/>
    <hyperlink ref="A62" r:id="rId60" tooltip="View odds history for Troy Merritt" display="https://www.oddschecker.com/golf/corales-puntacana-championship/top-10-finish/bet-history/troy-merritt" xr:uid="{9F5AB4D1-852F-44A6-A9A1-8E234D3A35DA}"/>
    <hyperlink ref="A63" r:id="rId61" tooltip="View odds history for Chez Reavie" display="https://www.oddschecker.com/golf/corales-puntacana-championship/top-10-finish/bet-history/chez-reavie" xr:uid="{2C6A128A-99EC-4396-A7BF-EC80D6C68BA5}"/>
    <hyperlink ref="A64" r:id="rId62" tooltip="View odds history for David Lipsky" display="https://www.oddschecker.com/golf/corales-puntacana-championship/top-10-finish/bet-history/david-lipsky" xr:uid="{9CAF46F8-428A-4894-8E52-FE2BBF56BE12}"/>
    <hyperlink ref="A65" r:id="rId63" tooltip="View odds history for Kevin Chappell" display="https://www.oddschecker.com/golf/corales-puntacana-championship/top-10-finish/bet-history/kevin-chappell" xr:uid="{B887F1E3-63D3-49DC-9683-86FD6ACAB8F1}"/>
    <hyperlink ref="A66" r:id="rId64" tooltip="View odds history for Francesco Molinari" display="https://www.oddschecker.com/golf/corales-puntacana-championship/top-10-finish/bet-history/francesco-molinari" xr:uid="{57723C03-4587-41CB-B189-34B064939532}"/>
    <hyperlink ref="A67" r:id="rId65" tooltip="View odds history for Wilson Furr" display="https://www.oddschecker.com/golf/corales-puntacana-championship/top-10-finish/bet-history/wilson-furr" xr:uid="{1EEFBE0A-A182-44A6-B628-8481F50280E5}"/>
    <hyperlink ref="A68" r:id="rId66" tooltip="View odds history for Kevin Tway" display="https://www.oddschecker.com/golf/corales-puntacana-championship/top-10-finish/bet-history/kevin-tway" xr:uid="{3D7F3762-2210-4BA1-A45D-2AA30039112A}"/>
    <hyperlink ref="A69" r:id="rId67" tooltip="View odds history for Ben Kohles" display="https://www.oddschecker.com/golf/corales-puntacana-championship/top-10-finish/bet-history/ben-kohles" xr:uid="{FC476807-1D2C-4D07-9296-677276125868}"/>
    <hyperlink ref="A70" r:id="rId68" tooltip="View odds history for Philip Knowles" display="https://www.oddschecker.com/golf/corales-puntacana-championship/top-10-finish/bet-history/philip-knowles" xr:uid="{52C3861E-2953-48B3-BDDF-70A772B90D2F}"/>
    <hyperlink ref="A71" r:id="rId69" tooltip="View odds history for Roger Sloan" display="https://www.oddschecker.com/golf/corales-puntacana-championship/top-10-finish/bet-history/roger-sloan" xr:uid="{802F65C3-5E44-42B4-9D78-017EEAA2A055}"/>
    <hyperlink ref="A72" r:id="rId70" tooltip="View odds history for Adam Long" display="https://www.oddschecker.com/golf/corales-puntacana-championship/top-10-finish/bet-history/adam-long" xr:uid="{109BC2A0-9AA9-4CE1-B8DF-39827089769B}"/>
    <hyperlink ref="A73" r:id="rId71" tooltip="View odds history for Nico Echavarria" display="https://www.oddschecker.com/golf/corales-puntacana-championship/top-10-finish/bet-history/nico-echavarria" xr:uid="{35456EFB-E9F7-47DE-9450-D572AC0B1893}"/>
    <hyperlink ref="A74" r:id="rId72" tooltip="View odds history for Rafael Campos" display="https://www.oddschecker.com/golf/corales-puntacana-championship/top-10-finish/bet-history/rafael-campos" xr:uid="{8F082484-E144-4881-9D32-A02B7F4BB258}"/>
    <hyperlink ref="A75" r:id="rId73" tooltip="View odds history for Austin Cook" display="https://www.oddschecker.com/golf/corales-puntacana-championship/top-10-finish/bet-history/austin-cook" xr:uid="{7D621004-8FD8-4131-9138-CF62D5C59540}"/>
    <hyperlink ref="A76" r:id="rId74" tooltip="View odds history for Adrien Dumont De Chassart" display="https://www.oddschecker.com/golf/corales-puntacana-championship/top-10-finish/bet-history/adrien-dumont-de-chassart" xr:uid="{EEF01979-E268-4AAF-999E-0354183DA4AB}"/>
    <hyperlink ref="A77" r:id="rId75" tooltip="View odds history for Harrison Endycott" display="https://www.oddschecker.com/golf/corales-puntacana-championship/top-10-finish/bet-history/harrison-endycott" xr:uid="{813556BE-8EFF-4FE9-BF1C-2005B16481D6}"/>
    <hyperlink ref="A78" r:id="rId76" tooltip="View odds history for Hayden Buckley" display="https://www.oddschecker.com/golf/corales-puntacana-championship/top-10-finish/bet-history/hayden-buckley" xr:uid="{E7B2B266-247C-4A38-991E-FA2CC9A22DD0}"/>
    <hyperlink ref="A79" r:id="rId77" tooltip="View odds history for Tyson Alexander" display="https://www.oddschecker.com/golf/corales-puntacana-championship/top-10-finish/bet-history/tyson-alexander" xr:uid="{C61BCA0A-5AB2-4621-9910-C59C2B98AFFE}"/>
    <hyperlink ref="A80" r:id="rId78" tooltip="View odds history for Scott Piercy" display="https://www.oddschecker.com/golf/corales-puntacana-championship/top-10-finish/bet-history/scott-piercy" xr:uid="{6FCEE9CD-6596-4A4F-AC7A-E628C5C52A9D}"/>
    <hyperlink ref="A81" r:id="rId79" tooltip="View odds history for Callum Tarren" display="https://www.oddschecker.com/golf/corales-puntacana-championship/top-10-finish/bet-history/callum-tarren" xr:uid="{2E3CCC59-283E-40B2-8107-82BF631DBE0D}"/>
    <hyperlink ref="A82" r:id="rId80" tooltip="View odds history for Patrick Fishburn" display="https://www.oddschecker.com/golf/corales-puntacana-championship/top-10-finish/bet-history/patrick-fishburn" xr:uid="{7C108DA5-F06A-4A0C-9E18-61FA988C60E2}"/>
    <hyperlink ref="A83" r:id="rId81" tooltip="View odds history for Tom Whitney" display="https://www.oddschecker.com/golf/corales-puntacana-championship/top-10-finish/bet-history/tom-whitney" xr:uid="{8F3A1D4E-1C1F-492A-B031-EC8E8F4E78E3}"/>
    <hyperlink ref="A84" r:id="rId82" tooltip="View odds history for Pierceson Coody" display="https://www.oddschecker.com/golf/corales-puntacana-championship/top-10-finish/bet-history/pierceson-coody" xr:uid="{343ABD71-6F91-4EF9-AD5E-91F793F9368A}"/>
    <hyperlink ref="A85" r:id="rId83" tooltip="View odds history for Kevin Kisner" display="https://www.oddschecker.com/golf/corales-puntacana-championship/top-10-finish/bet-history/kevin-kisner" xr:uid="{FC8F06A3-B6B0-4A59-A7EB-F9157F452C72}"/>
    <hyperlink ref="A86" r:id="rId84" tooltip="View odds history for James Hahn" display="https://www.oddschecker.com/golf/corales-puntacana-championship/top-10-finish/bet-history/james-hahn" xr:uid="{A970E7C9-0C09-4B83-B640-314A51678368}"/>
    <hyperlink ref="A87" r:id="rId85" tooltip="View odds history for Russell Knox" display="https://www.oddschecker.com/golf/corales-puntacana-championship/top-10-finish/bet-history/russell-knox" xr:uid="{4BF2DCD4-FEE9-4FB9-89C9-CC5C308A0C3D}"/>
    <hyperlink ref="A88" r:id="rId86" tooltip="View odds history for Zecheng Dou" display="https://www.oddschecker.com/golf/corales-puntacana-championship/top-10-finish/bet-history/zecheng-dou" xr:uid="{EF2D0764-E5A8-40C5-AA6A-5271513C91CE}"/>
    <hyperlink ref="A89" r:id="rId87" tooltip="View odds history for Patton Kizzire" display="https://www.oddschecker.com/golf/corales-puntacana-championship/top-10-finish/bet-history/patton-kizzire" xr:uid="{02DEEEE1-48EC-4285-9308-25FB105B5B54}"/>
    <hyperlink ref="A90" r:id="rId88" tooltip="View odds history for Fabian Gomez" display="https://www.oddschecker.com/golf/corales-puntacana-championship/top-10-finish/bet-history/fabian-gomez" xr:uid="{BDD6BDBD-1432-49A4-9509-1B5646EA6598}"/>
    <hyperlink ref="A91" r:id="rId89" tooltip="View odds history for Paul Barjon" display="https://www.oddschecker.com/golf/corales-puntacana-championship/top-10-finish/bet-history/paul-barjon" xr:uid="{4EA3F6D6-4B7A-43A2-9B1B-949C78E69B61}"/>
    <hyperlink ref="A92" r:id="rId90" tooltip="View odds history for Josh Teater" display="https://www.oddschecker.com/golf/corales-puntacana-championship/top-10-finish/bet-history/josh-teater" xr:uid="{CA7BAED7-5693-46DD-BDD9-D0881A7AEE1D}"/>
    <hyperlink ref="A93" r:id="rId91" tooltip="View odds history for Trace Crowe" display="https://www.oddschecker.com/golf/corales-puntacana-championship/top-10-finish/bet-history/trace-crowe" xr:uid="{1E81EC5B-1D4B-4099-A197-7B77795BB6FE}"/>
    <hyperlink ref="A94" r:id="rId92" tooltip="View odds history for Herman Wibe Sekne" display="https://www.oddschecker.com/golf/corales-puntacana-championship/top-10-finish/bet-history/herman-wibe-sekne" xr:uid="{06662AC4-E22A-4D7C-BF5B-681BF8C0FD8A}"/>
    <hyperlink ref="A95" r:id="rId93" tooltip="View odds history for MJ Daffue" display="https://www.oddschecker.com/golf/corales-puntacana-championship/top-10-finish/bet-history/mj-daffue" xr:uid="{E09C4C10-821A-4F7C-94D3-1D80E828A810}"/>
    <hyperlink ref="A96" r:id="rId94" tooltip="View odds history for Richy Werenski" display="https://www.oddschecker.com/golf/corales-puntacana-championship/top-10-finish/bet-history/richy-werenski" xr:uid="{DF105F3B-A9C4-4F09-ABBA-BE3E5C54A9C0}"/>
    <hyperlink ref="A97" r:id="rId95" tooltip="View odds history for Sean OHair" display="https://www.oddschecker.com/golf/corales-puntacana-championship/top-10-finish/bet-history/sean-ohair" xr:uid="{52604939-CE70-4D80-BA31-C48422A3E269}"/>
    <hyperlink ref="A98" r:id="rId96" tooltip="View odds history for Ryan McCormick" display="https://www.oddschecker.com/golf/corales-puntacana-championship/top-10-finish/bet-history/ryan-mccormick" xr:uid="{B0CC179A-3FDD-4D14-A51B-8B32A0DBBB56}"/>
    <hyperlink ref="A99" r:id="rId97" tooltip="View odds history for Tommy Gainey" display="https://www.oddschecker.com/golf/corales-puntacana-championship/top-10-finish/bet-history/tommy-gainey" xr:uid="{0FEA7C24-A7E9-43EB-8623-3CF00A63EC13}"/>
    <hyperlink ref="A100" r:id="rId98" tooltip="View odds history for Wesley Bryan" display="https://www.oddschecker.com/golf/corales-puntacana-championship/top-10-finish/bet-history/wesley-bryan" xr:uid="{65DF5D34-6DF3-4465-BF09-4160109CF628}"/>
    <hyperlink ref="A101" r:id="rId99" tooltip="View odds history for Ryan Brehm" display="https://www.oddschecker.com/golf/corales-puntacana-championship/top-10-finish/bet-history/ryan-brehm" xr:uid="{3798D9AC-FC40-4059-A5BF-444ABD6E6446}"/>
    <hyperlink ref="A102" r:id="rId100" tooltip="View odds history for Harry Higgs" display="https://www.oddschecker.com/golf/corales-puntacana-championship/top-10-finish/bet-history/harry-higgs" xr:uid="{E89B5890-3676-45A9-AE77-772A92FFC53A}"/>
    <hyperlink ref="A103" r:id="rId101" tooltip="View odds history for Jason Dufner" display="https://www.oddschecker.com/golf/corales-puntacana-championship/top-10-finish/bet-history/jason-dufner" xr:uid="{520BB06A-55DF-4D5B-814E-DE693474628F}"/>
    <hyperlink ref="A104" r:id="rId102" tooltip="View odds history for Bill Haas" display="https://www.oddschecker.com/golf/corales-puntacana-championship/top-10-finish/bet-history/bill-haas" xr:uid="{457EBDE1-6AC0-41A1-A38B-7A544034D1D4}"/>
    <hyperlink ref="A105" r:id="rId103" tooltip="View odds history for Jimmy Walker" display="https://www.oddschecker.com/golf/corales-puntacana-championship/top-10-finish/bet-history/jimmy-walker" xr:uid="{137EDFDB-21D1-45A4-9074-A47CB583A84E}"/>
    <hyperlink ref="A106" r:id="rId104" tooltip="View odds history for Scott Gutschewski" display="https://www.oddschecker.com/golf/corales-puntacana-championship/top-10-finish/bet-history/scott-gutschewski" xr:uid="{52D99242-54DF-4BF3-B7DA-68D75471C769}"/>
    <hyperlink ref="A107" r:id="rId105" tooltip="View odds history for Cody Gribble" display="https://www.oddschecker.com/golf/corales-puntacana-championship/top-10-finish/bet-history/cody-gribble" xr:uid="{3B905E4C-B0D4-4B8F-8C9A-2DFC97B2860B}"/>
    <hyperlink ref="A108" r:id="rId106" tooltip="View odds history for Ryan Armour" display="https://www.oddschecker.com/golf/corales-puntacana-championship/top-10-finish/bet-history/ryan-armour" xr:uid="{EA49BA4E-500B-4392-95F2-ECEE9CB3C236}"/>
    <hyperlink ref="A109" r:id="rId107" tooltip="View odds history for Sang-Moon Bae" display="https://www.oddschecker.com/golf/corales-puntacana-championship/top-10-finish/bet-history/sang-moon-bae" xr:uid="{3A7F4CC9-E72C-4A38-8E30-00ECFA4596FC}"/>
    <hyperlink ref="A110" r:id="rId108" tooltip="View odds history for Jonathan Byrd" display="https://www.oddschecker.com/golf/corales-puntacana-championship/top-10-finish/bet-history/jonathan-byrd" xr:uid="{56886CCC-B449-4028-82FD-E27095CBDE6C}"/>
    <hyperlink ref="A111" r:id="rId109" tooltip="View odds history for Ben Taylor" display="https://www.oddschecker.com/golf/corales-puntacana-championship/top-10-finish/bet-history/ben-taylor" xr:uid="{8F33787E-5940-4DFB-82C4-102CD7CC6022}"/>
    <hyperlink ref="A112" r:id="rId110" tooltip="View odds history for Jim Herman" display="https://www.oddschecker.com/golf/corales-puntacana-championship/top-10-finish/bet-history/jim-herman" xr:uid="{DF212F58-D434-4BB4-B9A2-4B126F725DFF}"/>
    <hyperlink ref="A113" r:id="rId111" tooltip="View odds history for Robert Streb" display="https://www.oddschecker.com/golf/corales-puntacana-championship/top-10-finish/bet-history/robert-streb" xr:uid="{DD5880C9-38D7-4BCE-8C53-FCD2E5040F37}"/>
    <hyperlink ref="A114" r:id="rId112" tooltip="View odds history for Paul Haley" display="https://www.oddschecker.com/golf/corales-puntacana-championship/top-10-finish/bet-history/paul-haley" xr:uid="{5A57C9B5-FDAD-41D7-9443-67678BB7E261}"/>
    <hyperlink ref="A115" r:id="rId113" tooltip="View odds history for Sung Kang" display="https://www.oddschecker.com/golf/corales-puntacana-championship/top-10-finish/bet-history/sung-kang" xr:uid="{A443F699-74A6-4E01-9851-7194A8DFC168}"/>
    <hyperlink ref="A116" r:id="rId114" tooltip="View odds history for Erik Compton" display="https://www.oddschecker.com/golf/corales-puntacana-championship/top-10-finish/bet-history/erik-compton" xr:uid="{6A144514-FB6D-44C5-BACB-EB9808A404E3}"/>
    <hyperlink ref="A117" r:id="rId115" tooltip="View odds history for Chase Johnson" display="https://www.oddschecker.com/golf/corales-puntacana-championship/top-10-finish/bet-history/chase-johnson" xr:uid="{71BFC60B-6522-4F70-92F4-BB6B844B2EAC}"/>
    <hyperlink ref="A118" r:id="rId116" tooltip="View odds history for William McGirt" display="https://www.oddschecker.com/golf/corales-puntacana-championship/top-10-finish/bet-history/william-mcgirt" xr:uid="{AC485C18-2926-4BED-9DFE-9E2F456957E2}"/>
    <hyperlink ref="A119" r:id="rId117" tooltip="View odds history for Ricky Barnes" display="https://www.oddschecker.com/golf/corales-puntacana-championship/top-10-finish/bet-history/ricky-barnes" xr:uid="{9E293868-6F08-4833-A781-E1019679A94B}"/>
    <hyperlink ref="A120" r:id="rId118" tooltip="View odds history for Brian Stuard" display="https://www.oddschecker.com/golf/corales-puntacana-championship/top-10-finish/bet-history/brian-stuard" xr:uid="{58BBB7A5-C515-4939-867F-75503FAC51B3}"/>
    <hyperlink ref="A121" r:id="rId119" tooltip="View odds history for Raul Pereda" display="https://www.oddschecker.com/golf/corales-puntacana-championship/top-10-finish/bet-history/raul-pereda" xr:uid="{D9AC5979-6468-45C4-94B6-FB50B913CC84}"/>
    <hyperlink ref="A122" r:id="rId120" tooltip="View odds history for Blaine Hale Jr" display="https://www.oddschecker.com/golf/corales-puntacana-championship/top-10-finish/bet-history/blaine-hale-jr" xr:uid="{3EC35E0F-5B01-43DE-993A-D1AFACCE7552}"/>
    <hyperlink ref="A123" r:id="rId121" tooltip="View odds history for Thomas Longbella" display="https://www.oddschecker.com/golf/corales-puntacana-championship/top-10-finish/bet-history/thomas-longbella" xr:uid="{BC7C9B4A-5F9A-47AD-874B-99DA73AC9F3D}"/>
    <hyperlink ref="A124" r:id="rId122" tooltip="View odds history for Joseph Deraney" display="https://www.oddschecker.com/golf/corales-puntacana-championship/top-10-finish/bet-history/joseph-deraney" xr:uid="{EB8F7E8E-F28B-428F-BE64-11925E358561}"/>
    <hyperlink ref="A125" r:id="rId123" tooltip="View odds history for Kyle Stanley" display="https://www.oddschecker.com/golf/corales-puntacana-championship/top-10-finish/bet-history/kyle-stanley" xr:uid="{0B5E1BCE-458C-4F94-AA24-D7C11ADE7AC2}"/>
    <hyperlink ref="A126" r:id="rId124" tooltip="View odds history for Juan Jose Guerra" display="https://www.oddschecker.com/golf/corales-puntacana-championship/top-10-finish/bet-history/juan-jose-guerra" xr:uid="{3159B15D-809F-4A53-AA9D-C60C417E9ADB}"/>
    <hyperlink ref="A127" r:id="rId125" tooltip="View odds history for Justin Hicks" display="https://www.oddschecker.com/golf/corales-puntacana-championship/top-10-finish/bet-history/justin-hicks" xr:uid="{091856A5-8A56-4D91-94E9-EBCCE55C6FD7}"/>
    <hyperlink ref="A128" r:id="rId126" tooltip="View odds history for George McNeill" display="https://www.oddschecker.com/golf/corales-puntacana-championship/top-10-finish/bet-history/george-mcneill" xr:uid="{334C98AC-34F4-4BE2-B173-66E5D0A72333}"/>
    <hyperlink ref="A129" r:id="rId127" tooltip="View odds history for Braden Shattuck" display="https://www.oddschecker.com/golf/corales-puntacana-championship/top-10-finish/bet-history/braden-shattuck" xr:uid="{7CCF5B46-A30C-468D-8C3E-4F88548AC10C}"/>
    <hyperlink ref="A130" r:id="rId128" tooltip="View odds history for Nick Watney" display="https://www.oddschecker.com/golf/corales-puntacana-championship/top-10-finish/bet-history/nick-watney" xr:uid="{73A2F285-61BA-4799-8E9F-54A2838F4065}"/>
    <hyperlink ref="A131" r:id="rId129" tooltip="View odds history for D A Points" display="https://www.oddschecker.com/golf/corales-puntacana-championship/top-10-finish/bet-history/d-a-points" xr:uid="{A9C27C18-B65B-43E6-B3A5-8E2C6487880B}"/>
    <hyperlink ref="A132" r:id="rId130" tooltip="View odds history for Brandon Berry" display="https://www.oddschecker.com/golf/corales-puntacana-championship/top-10-finish/bet-history/brandon-berry" xr:uid="{E31BA709-8F72-4F20-94E8-72C691E89CF3}"/>
    <hyperlink ref="A133" r:id="rId131" tooltip="View odds history for Ryan Celano" display="https://www.oddschecker.com/golf/corales-puntacana-championship/top-10-finish/bet-history/ryan-celano" xr:uid="{C8252962-98F6-4E49-AFCA-6298FED4A5C3}"/>
    <hyperlink ref="A134" r:id="rId132" tooltip="View odds history for Jeff Overton" display="https://www.oddschecker.com/golf/corales-puntacana-championship/top-10-finish/bet-history/jeff-overton" xr:uid="{254B5A6E-71D8-4165-8A63-FED956895156}"/>
    <hyperlink ref="A135" r:id="rId133" tooltip="View odds history for Willy Pumarol" display="https://www.oddschecker.com/golf/corales-puntacana-championship/top-10-finish/bet-history/willy-pumarol" xr:uid="{D3E89E5F-D000-4E51-8A44-94CD7A3116D5}"/>
    <hyperlink ref="A136" r:id="rId134" tooltip="View odds history for Hiram Silfa" display="https://www.oddschecker.com/golf/corales-puntacana-championship/top-10-finish/bet-history/hiram-silfa" xr:uid="{2538B3D3-4DA9-4460-8573-BA45F824D2A3}"/>
    <hyperlink ref="A137" r:id="rId135" tooltip="View odds history for Julio Santos" display="https://www.oddschecker.com/golf/corales-puntacana-championship/top-10-finish/bet-history/julio-santos" xr:uid="{4DD76979-E04E-42EE-819C-DC2BD5DAAAFA}"/>
  </hyperlinks>
  <pageMargins left="0.7" right="0.7" top="0.75" bottom="0.75" header="0.3" footer="0.3"/>
  <drawing r:id="rId13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2AC96E-2446-4734-9AC8-D04055E48A75}">
  <sheetPr codeName="Sheet19">
    <tabColor theme="1"/>
  </sheetPr>
  <dimension ref="A1:AE156"/>
  <sheetViews>
    <sheetView zoomScale="80" zoomScaleNormal="80" workbookViewId="0">
      <selection activeCell="AA117" sqref="AA117"/>
    </sheetView>
  </sheetViews>
  <sheetFormatPr defaultRowHeight="15"/>
  <cols>
    <col min="1" max="1" width="26" bestFit="1" customWidth="1"/>
    <col min="2" max="2" width="12" customWidth="1"/>
    <col min="3" max="3" width="9.140625" customWidth="1"/>
    <col min="9" max="9" width="9.42578125" customWidth="1"/>
    <col min="10" max="10" width="9.7109375" customWidth="1"/>
    <col min="13" max="13" width="9.28515625" customWidth="1"/>
    <col min="16" max="16" width="9.28515625" customWidth="1"/>
    <col min="18" max="18" width="10.28515625" bestFit="1" customWidth="1"/>
    <col min="20" max="20" width="9.28515625" customWidth="1"/>
    <col min="22" max="22" width="9.28515625" customWidth="1"/>
    <col min="23" max="23" width="9.5703125" customWidth="1"/>
    <col min="24" max="25" width="9.28515625" customWidth="1"/>
    <col min="26" max="26" width="15" bestFit="1" customWidth="1"/>
    <col min="27" max="27" width="16" bestFit="1" customWidth="1"/>
    <col min="31" max="31" width="16.42578125" bestFit="1" customWidth="1"/>
  </cols>
  <sheetData>
    <row r="1" spans="1:31">
      <c r="A1" t="s">
        <v>546</v>
      </c>
      <c r="B1" s="218" t="s">
        <v>608</v>
      </c>
      <c r="C1" s="218" t="s">
        <v>609</v>
      </c>
      <c r="D1" s="218" t="s">
        <v>610</v>
      </c>
      <c r="E1" s="218" t="s">
        <v>611</v>
      </c>
      <c r="F1" s="218" t="s">
        <v>625</v>
      </c>
      <c r="G1" s="218" t="s">
        <v>607</v>
      </c>
      <c r="H1" s="218" t="s">
        <v>612</v>
      </c>
      <c r="I1" s="218" t="s">
        <v>613</v>
      </c>
      <c r="J1" s="218" t="s">
        <v>614</v>
      </c>
      <c r="K1" s="218" t="s">
        <v>1110</v>
      </c>
      <c r="L1" s="218" t="s">
        <v>615</v>
      </c>
      <c r="M1" s="218" t="s">
        <v>621</v>
      </c>
      <c r="N1" s="218" t="s">
        <v>616</v>
      </c>
      <c r="O1" s="218" t="s">
        <v>617</v>
      </c>
      <c r="P1" s="218" t="s">
        <v>620</v>
      </c>
      <c r="Q1" s="218" t="s">
        <v>618</v>
      </c>
      <c r="R1" s="218" t="s">
        <v>619</v>
      </c>
      <c r="S1" s="218" t="s">
        <v>622</v>
      </c>
      <c r="T1" s="218" t="s">
        <v>623</v>
      </c>
      <c r="U1" s="218" t="s">
        <v>624</v>
      </c>
      <c r="V1" s="218" t="s">
        <v>669</v>
      </c>
      <c r="W1" s="218" t="s">
        <v>668</v>
      </c>
      <c r="X1" s="218" t="s">
        <v>670</v>
      </c>
      <c r="Y1" s="218" t="s">
        <v>1116</v>
      </c>
      <c r="Z1" s="240" t="s">
        <v>626</v>
      </c>
      <c r="AA1" s="240" t="s">
        <v>547</v>
      </c>
    </row>
    <row r="2" spans="1:31" hidden="1">
      <c r="A2" t="s">
        <v>95</v>
      </c>
      <c r="B2" s="38">
        <v>2.63</v>
      </c>
      <c r="C2" s="38">
        <v>2.38</v>
      </c>
      <c r="D2" s="38"/>
      <c r="E2" s="38">
        <v>2.5</v>
      </c>
      <c r="F2" s="38">
        <v>2.63</v>
      </c>
      <c r="G2" s="38"/>
      <c r="H2" s="38">
        <v>2.63</v>
      </c>
      <c r="I2" s="38">
        <v>2.2999999999999998</v>
      </c>
      <c r="J2" s="38">
        <v>2.63</v>
      </c>
      <c r="K2" s="38">
        <v>2.8</v>
      </c>
      <c r="L2" s="38">
        <v>2.63</v>
      </c>
      <c r="M2" s="38">
        <v>2.63</v>
      </c>
      <c r="N2" s="38">
        <v>2.5</v>
      </c>
      <c r="O2" s="38">
        <v>2.5</v>
      </c>
      <c r="P2" s="38">
        <v>2.5</v>
      </c>
      <c r="Q2" s="38">
        <v>2.63</v>
      </c>
      <c r="R2" s="38">
        <v>2.8</v>
      </c>
      <c r="S2" s="38">
        <v>2.62</v>
      </c>
      <c r="T2" s="38">
        <v>2.7</v>
      </c>
      <c r="U2" s="38">
        <v>2.62</v>
      </c>
      <c r="V2" s="38">
        <v>2.2999999999999998</v>
      </c>
      <c r="W2" s="38">
        <v>2.7</v>
      </c>
      <c r="X2" s="38"/>
      <c r="Y2" s="38"/>
      <c r="Z2" s="38">
        <v>2.94</v>
      </c>
      <c r="AA2" s="38">
        <v>2.86</v>
      </c>
      <c r="AC2" t="s">
        <v>491</v>
      </c>
      <c r="AE2" t="s">
        <v>439</v>
      </c>
    </row>
    <row r="3" spans="1:31" hidden="1">
      <c r="A3" t="s">
        <v>595</v>
      </c>
      <c r="B3" s="38">
        <v>2.9</v>
      </c>
      <c r="C3" s="38">
        <v>2.63</v>
      </c>
      <c r="D3" s="38"/>
      <c r="E3" s="38">
        <v>2.75</v>
      </c>
      <c r="F3" s="38">
        <v>2.8</v>
      </c>
      <c r="G3" s="38"/>
      <c r="H3" s="38">
        <v>2.8</v>
      </c>
      <c r="I3" s="38">
        <v>2.37</v>
      </c>
      <c r="J3" s="38">
        <v>2.75</v>
      </c>
      <c r="K3" s="38">
        <v>2.75</v>
      </c>
      <c r="L3" s="38">
        <v>2.8</v>
      </c>
      <c r="M3" s="38">
        <v>2.75</v>
      </c>
      <c r="N3" s="38">
        <v>2.63</v>
      </c>
      <c r="O3" s="38">
        <v>2.88</v>
      </c>
      <c r="P3" s="38">
        <v>2.7</v>
      </c>
      <c r="Q3" s="38">
        <v>2.75</v>
      </c>
      <c r="R3" s="38">
        <v>2.75</v>
      </c>
      <c r="S3" s="38">
        <v>2.8</v>
      </c>
      <c r="T3" s="38">
        <v>2.9</v>
      </c>
      <c r="U3" s="38">
        <v>2.88</v>
      </c>
      <c r="V3" s="38">
        <v>2.37</v>
      </c>
      <c r="W3" s="38">
        <v>2.9</v>
      </c>
      <c r="X3" s="38"/>
      <c r="Y3" s="38"/>
      <c r="Z3" s="38">
        <v>3.16</v>
      </c>
      <c r="AA3" s="38">
        <v>2.4700000000000002</v>
      </c>
      <c r="AC3" t="s">
        <v>10</v>
      </c>
      <c r="AE3" t="s">
        <v>10</v>
      </c>
    </row>
    <row r="4" spans="1:31" hidden="1">
      <c r="A4" t="s">
        <v>115</v>
      </c>
      <c r="B4" s="38">
        <v>3.4</v>
      </c>
      <c r="C4" s="38">
        <v>3</v>
      </c>
      <c r="D4" s="38"/>
      <c r="E4" s="38">
        <v>3.25</v>
      </c>
      <c r="F4" s="38">
        <v>3.3</v>
      </c>
      <c r="G4" s="38"/>
      <c r="H4" s="38">
        <v>3.4</v>
      </c>
      <c r="I4" s="38">
        <v>3</v>
      </c>
      <c r="J4" s="38">
        <v>2.75</v>
      </c>
      <c r="K4" s="38">
        <v>3.5</v>
      </c>
      <c r="L4" s="38">
        <v>3.4</v>
      </c>
      <c r="M4" s="38">
        <v>2.75</v>
      </c>
      <c r="N4" s="38">
        <v>3.25</v>
      </c>
      <c r="O4" s="38">
        <v>3.25</v>
      </c>
      <c r="P4" s="38">
        <v>3.1</v>
      </c>
      <c r="Q4" s="38">
        <v>2.75</v>
      </c>
      <c r="R4" s="38">
        <v>3.5</v>
      </c>
      <c r="S4" s="38">
        <v>3.4</v>
      </c>
      <c r="T4" s="38">
        <v>3.5</v>
      </c>
      <c r="U4" s="38">
        <v>3.4</v>
      </c>
      <c r="V4" s="38">
        <v>3</v>
      </c>
      <c r="W4" s="38">
        <v>3.5</v>
      </c>
      <c r="X4" s="38"/>
      <c r="Y4" s="38"/>
      <c r="Z4" s="38">
        <v>3.79</v>
      </c>
      <c r="AA4" s="38">
        <v>3.25</v>
      </c>
      <c r="AC4" t="s">
        <v>131</v>
      </c>
      <c r="AE4" t="s">
        <v>124</v>
      </c>
    </row>
    <row r="5" spans="1:31" hidden="1">
      <c r="A5" t="s">
        <v>152</v>
      </c>
      <c r="B5" s="38">
        <v>3.6</v>
      </c>
      <c r="C5" s="38">
        <v>3.25</v>
      </c>
      <c r="D5" s="38"/>
      <c r="E5" s="38">
        <v>3.5</v>
      </c>
      <c r="F5" s="38">
        <v>3.5</v>
      </c>
      <c r="G5" s="38"/>
      <c r="H5" s="38">
        <v>3.6</v>
      </c>
      <c r="I5" s="38">
        <v>3.2</v>
      </c>
      <c r="J5" s="38">
        <v>3.25</v>
      </c>
      <c r="K5" s="38">
        <v>3.8</v>
      </c>
      <c r="L5" s="38">
        <v>3.6</v>
      </c>
      <c r="M5" s="38">
        <v>3.25</v>
      </c>
      <c r="N5" s="38">
        <v>3.5</v>
      </c>
      <c r="O5" s="38">
        <v>3.5</v>
      </c>
      <c r="P5" s="38">
        <v>3.4</v>
      </c>
      <c r="Q5" s="38">
        <v>3.25</v>
      </c>
      <c r="R5" s="38">
        <v>3.8</v>
      </c>
      <c r="S5" s="38">
        <v>3.6</v>
      </c>
      <c r="T5" s="38">
        <v>3.7</v>
      </c>
      <c r="U5" s="38">
        <v>3.5</v>
      </c>
      <c r="V5" s="38">
        <v>3.2</v>
      </c>
      <c r="W5" s="38">
        <v>3.7</v>
      </c>
      <c r="X5" s="38"/>
      <c r="Y5" s="38"/>
      <c r="Z5" s="38">
        <v>4.43</v>
      </c>
      <c r="AA5" s="38">
        <v>4.43</v>
      </c>
      <c r="AC5" t="s">
        <v>596</v>
      </c>
      <c r="AE5" t="s">
        <v>795</v>
      </c>
    </row>
    <row r="6" spans="1:31" hidden="1">
      <c r="A6" t="s">
        <v>26</v>
      </c>
      <c r="B6" s="38">
        <v>4.2</v>
      </c>
      <c r="C6" s="38">
        <v>4</v>
      </c>
      <c r="D6" s="38"/>
      <c r="E6" s="38">
        <v>4.33</v>
      </c>
      <c r="F6" s="38">
        <v>4.33</v>
      </c>
      <c r="G6" s="38"/>
      <c r="H6" s="38">
        <v>3.8</v>
      </c>
      <c r="I6" s="38">
        <v>4</v>
      </c>
      <c r="J6" s="38">
        <v>3.25</v>
      </c>
      <c r="K6" s="38">
        <v>3.6</v>
      </c>
      <c r="L6" s="38">
        <v>3.8</v>
      </c>
      <c r="M6" s="38">
        <v>3.25</v>
      </c>
      <c r="N6" s="38">
        <v>3.75</v>
      </c>
      <c r="O6" s="38">
        <v>4.33</v>
      </c>
      <c r="P6" s="38">
        <v>3.75</v>
      </c>
      <c r="Q6" s="38">
        <v>3.25</v>
      </c>
      <c r="R6" s="38">
        <v>3.6</v>
      </c>
      <c r="S6" s="38">
        <v>3.8</v>
      </c>
      <c r="T6" s="38">
        <v>4</v>
      </c>
      <c r="U6" s="38">
        <v>4</v>
      </c>
      <c r="V6" s="38">
        <v>4</v>
      </c>
      <c r="W6" s="38">
        <v>4</v>
      </c>
      <c r="X6" s="38"/>
      <c r="Y6" s="38"/>
      <c r="Z6" s="38">
        <v>4.63</v>
      </c>
      <c r="AA6" s="38">
        <v>3.84</v>
      </c>
      <c r="AC6" t="s">
        <v>250</v>
      </c>
      <c r="AE6" t="s">
        <v>126</v>
      </c>
    </row>
    <row r="7" spans="1:31" hidden="1">
      <c r="A7" t="s">
        <v>121</v>
      </c>
      <c r="B7" s="38">
        <v>4.2</v>
      </c>
      <c r="C7" s="38">
        <v>4</v>
      </c>
      <c r="D7" s="38"/>
      <c r="E7" s="38">
        <v>4.33</v>
      </c>
      <c r="F7" s="38">
        <v>4</v>
      </c>
      <c r="G7" s="38"/>
      <c r="H7" s="38">
        <v>3.8</v>
      </c>
      <c r="I7" s="38">
        <v>4</v>
      </c>
      <c r="J7" s="38">
        <v>4.3499999999999996</v>
      </c>
      <c r="K7" s="38">
        <v>3.8</v>
      </c>
      <c r="L7" s="38">
        <v>3.8</v>
      </c>
      <c r="M7" s="38">
        <v>4.3499999999999996</v>
      </c>
      <c r="N7" s="38">
        <v>3.6</v>
      </c>
      <c r="O7" s="38">
        <v>4.33</v>
      </c>
      <c r="P7" s="38">
        <v>4</v>
      </c>
      <c r="Q7" s="38">
        <v>4.3499999999999996</v>
      </c>
      <c r="R7" s="38">
        <v>3.8</v>
      </c>
      <c r="S7" s="38">
        <v>3.8</v>
      </c>
      <c r="T7" s="38">
        <v>4</v>
      </c>
      <c r="U7" s="38">
        <v>4</v>
      </c>
      <c r="V7" s="38">
        <v>4</v>
      </c>
      <c r="W7" s="38">
        <v>4</v>
      </c>
      <c r="X7" s="38"/>
      <c r="Y7" s="38"/>
      <c r="Z7" s="38">
        <v>4.53</v>
      </c>
      <c r="AA7" s="38">
        <v>3.94</v>
      </c>
      <c r="AC7" t="s">
        <v>112</v>
      </c>
      <c r="AE7" t="s">
        <v>595</v>
      </c>
    </row>
    <row r="8" spans="1:31" hidden="1">
      <c r="A8" t="s">
        <v>28</v>
      </c>
      <c r="B8" s="38">
        <v>4.2</v>
      </c>
      <c r="C8" s="38">
        <v>4</v>
      </c>
      <c r="D8" s="38"/>
      <c r="E8" s="38">
        <v>4.33</v>
      </c>
      <c r="F8" s="38">
        <v>4.2</v>
      </c>
      <c r="G8" s="38"/>
      <c r="H8" s="38">
        <v>4.2</v>
      </c>
      <c r="I8" s="38">
        <v>3.6</v>
      </c>
      <c r="J8" s="38">
        <v>4.3499999999999996</v>
      </c>
      <c r="K8" s="38">
        <v>3.8</v>
      </c>
      <c r="L8" s="38">
        <v>4.2</v>
      </c>
      <c r="M8" s="38">
        <v>4.3499999999999996</v>
      </c>
      <c r="N8" s="38">
        <v>4</v>
      </c>
      <c r="O8" s="38">
        <v>4.33</v>
      </c>
      <c r="P8" s="38">
        <v>4.2</v>
      </c>
      <c r="Q8" s="38">
        <v>4.3499999999999996</v>
      </c>
      <c r="R8" s="38">
        <v>3.8</v>
      </c>
      <c r="S8" s="38">
        <v>4.2</v>
      </c>
      <c r="T8" s="38">
        <v>4.2</v>
      </c>
      <c r="U8" s="38">
        <v>4</v>
      </c>
      <c r="V8" s="38">
        <v>3.6</v>
      </c>
      <c r="W8" s="38">
        <v>4.2</v>
      </c>
      <c r="X8" s="38"/>
      <c r="Y8" s="38"/>
      <c r="Z8" s="38">
        <v>4.63</v>
      </c>
      <c r="AA8" s="38">
        <v>4.43</v>
      </c>
      <c r="AC8" t="s">
        <v>126</v>
      </c>
      <c r="AE8" t="s">
        <v>92</v>
      </c>
    </row>
    <row r="9" spans="1:31" hidden="1">
      <c r="A9" t="s">
        <v>632</v>
      </c>
      <c r="B9" s="38">
        <v>4.2</v>
      </c>
      <c r="C9" s="38">
        <v>4</v>
      </c>
      <c r="D9" s="38"/>
      <c r="E9" s="38">
        <v>4.33</v>
      </c>
      <c r="F9" s="38">
        <v>4.33</v>
      </c>
      <c r="G9" s="38"/>
      <c r="H9" s="38">
        <v>4.2</v>
      </c>
      <c r="I9" s="38">
        <v>4</v>
      </c>
      <c r="J9" s="38">
        <v>4.3499999999999996</v>
      </c>
      <c r="K9" s="38">
        <v>4.33</v>
      </c>
      <c r="L9" s="38">
        <v>4.2</v>
      </c>
      <c r="M9" s="38">
        <v>4.3499999999999996</v>
      </c>
      <c r="N9" s="38">
        <v>4</v>
      </c>
      <c r="O9" s="38">
        <v>4.33</v>
      </c>
      <c r="P9" s="38">
        <v>4</v>
      </c>
      <c r="Q9" s="38">
        <v>4.3499999999999996</v>
      </c>
      <c r="R9" s="38">
        <v>4.33</v>
      </c>
      <c r="S9" s="38">
        <v>4.2</v>
      </c>
      <c r="T9" s="38">
        <v>4.4000000000000004</v>
      </c>
      <c r="U9" s="38">
        <v>4.33</v>
      </c>
      <c r="V9" s="38">
        <v>4</v>
      </c>
      <c r="W9" s="38">
        <v>4.4000000000000004</v>
      </c>
      <c r="X9" s="38"/>
      <c r="Y9" s="38"/>
      <c r="Z9" s="38">
        <v>4.72</v>
      </c>
      <c r="AA9" s="38">
        <v>4.63</v>
      </c>
      <c r="AC9" t="s">
        <v>92</v>
      </c>
      <c r="AE9" t="s">
        <v>131</v>
      </c>
    </row>
    <row r="10" spans="1:31" hidden="1">
      <c r="A10" t="s">
        <v>122</v>
      </c>
      <c r="B10" s="38">
        <v>4.2</v>
      </c>
      <c r="C10" s="38">
        <v>4</v>
      </c>
      <c r="D10" s="38"/>
      <c r="E10" s="38">
        <v>4</v>
      </c>
      <c r="F10" s="38">
        <v>4.2</v>
      </c>
      <c r="G10" s="38"/>
      <c r="H10" s="38">
        <v>4.33</v>
      </c>
      <c r="I10" s="38">
        <v>3.6</v>
      </c>
      <c r="J10" s="38">
        <v>3.75</v>
      </c>
      <c r="K10" s="38">
        <v>3.8</v>
      </c>
      <c r="L10" s="38">
        <v>4.33</v>
      </c>
      <c r="M10" s="38">
        <v>3.75</v>
      </c>
      <c r="N10" s="38">
        <v>4</v>
      </c>
      <c r="O10" s="38">
        <v>4.33</v>
      </c>
      <c r="P10" s="38">
        <v>4.2</v>
      </c>
      <c r="Q10" s="38">
        <v>3.75</v>
      </c>
      <c r="R10" s="38">
        <v>3.8</v>
      </c>
      <c r="S10" s="38">
        <v>4.33</v>
      </c>
      <c r="T10" s="38">
        <v>4.4000000000000004</v>
      </c>
      <c r="U10" s="38">
        <v>4</v>
      </c>
      <c r="V10" s="38">
        <v>3.6</v>
      </c>
      <c r="W10" s="38">
        <v>4.4000000000000004</v>
      </c>
      <c r="X10" s="38"/>
      <c r="Y10" s="38"/>
      <c r="Z10" s="38">
        <v>4.63</v>
      </c>
      <c r="AA10" s="38">
        <v>5.51</v>
      </c>
      <c r="AC10" t="s">
        <v>439</v>
      </c>
      <c r="AE10" t="s">
        <v>39</v>
      </c>
    </row>
    <row r="11" spans="1:31" hidden="1">
      <c r="A11" t="s">
        <v>162</v>
      </c>
      <c r="B11" s="38">
        <v>4.5</v>
      </c>
      <c r="C11" s="38">
        <v>4</v>
      </c>
      <c r="D11" s="38"/>
      <c r="E11" s="38">
        <v>4.33</v>
      </c>
      <c r="F11" s="38">
        <v>4.5</v>
      </c>
      <c r="G11" s="38"/>
      <c r="H11" s="38">
        <v>4.5</v>
      </c>
      <c r="I11" s="38">
        <v>4</v>
      </c>
      <c r="J11" s="38">
        <v>4.3499999999999996</v>
      </c>
      <c r="K11" s="38">
        <v>4</v>
      </c>
      <c r="L11" s="38">
        <v>4.5</v>
      </c>
      <c r="M11" s="38">
        <v>4.3499999999999996</v>
      </c>
      <c r="N11" s="38">
        <v>4.33</v>
      </c>
      <c r="O11" s="38">
        <v>4.33</v>
      </c>
      <c r="P11" s="38">
        <v>4.2</v>
      </c>
      <c r="Q11" s="38">
        <v>4.3499999999999996</v>
      </c>
      <c r="R11" s="38">
        <v>4</v>
      </c>
      <c r="S11" s="38">
        <v>4.5</v>
      </c>
      <c r="T11" s="38">
        <v>4.5999999999999996</v>
      </c>
      <c r="U11" s="38">
        <v>4.5</v>
      </c>
      <c r="V11" s="38">
        <v>4</v>
      </c>
      <c r="W11" s="38">
        <v>4.5999999999999996</v>
      </c>
      <c r="X11" s="38"/>
      <c r="Y11" s="38"/>
      <c r="Z11" s="38">
        <v>4.92</v>
      </c>
      <c r="AA11" s="38">
        <v>4.04</v>
      </c>
      <c r="AC11" t="s">
        <v>801</v>
      </c>
      <c r="AE11" t="s">
        <v>112</v>
      </c>
    </row>
    <row r="12" spans="1:31" hidden="1">
      <c r="A12" t="s">
        <v>30</v>
      </c>
      <c r="B12" s="38">
        <v>4.75</v>
      </c>
      <c r="C12" s="38">
        <v>4.33</v>
      </c>
      <c r="D12" s="38"/>
      <c r="E12" s="38">
        <v>4.33</v>
      </c>
      <c r="F12" s="38">
        <v>4.5</v>
      </c>
      <c r="G12" s="38"/>
      <c r="H12" s="38">
        <v>4.5999999999999996</v>
      </c>
      <c r="I12" s="38">
        <v>4</v>
      </c>
      <c r="J12" s="38">
        <v>4.3499999999999996</v>
      </c>
      <c r="K12" s="38">
        <v>4.5</v>
      </c>
      <c r="L12" s="38">
        <v>4.5999999999999996</v>
      </c>
      <c r="M12" s="38">
        <v>4.3499999999999996</v>
      </c>
      <c r="N12" s="38">
        <v>4.33</v>
      </c>
      <c r="O12" s="38">
        <v>4.5</v>
      </c>
      <c r="P12" s="38">
        <v>4.33</v>
      </c>
      <c r="Q12" s="38">
        <v>4.3499999999999996</v>
      </c>
      <c r="R12" s="38">
        <v>4.5</v>
      </c>
      <c r="S12" s="38">
        <v>4.5999999999999996</v>
      </c>
      <c r="T12" s="38"/>
      <c r="U12" s="38">
        <v>4.5</v>
      </c>
      <c r="V12" s="38">
        <v>4</v>
      </c>
      <c r="W12" s="38"/>
      <c r="X12" s="38"/>
      <c r="Y12" s="38"/>
      <c r="Z12" s="38">
        <v>5.0199999999999996</v>
      </c>
      <c r="AA12" s="38">
        <v>4.63</v>
      </c>
      <c r="AC12" t="s">
        <v>595</v>
      </c>
      <c r="AE12" t="s">
        <v>801</v>
      </c>
    </row>
    <row r="13" spans="1:31" hidden="1">
      <c r="A13" t="s">
        <v>151</v>
      </c>
      <c r="B13" s="38">
        <v>4.75</v>
      </c>
      <c r="C13" s="38">
        <v>4.33</v>
      </c>
      <c r="D13" s="38"/>
      <c r="E13" s="38">
        <v>4.33</v>
      </c>
      <c r="F13" s="38">
        <v>4.5</v>
      </c>
      <c r="G13" s="38"/>
      <c r="H13" s="38">
        <v>4.5</v>
      </c>
      <c r="I13" s="38">
        <v>4.33</v>
      </c>
      <c r="J13" s="38">
        <v>4.3499999999999996</v>
      </c>
      <c r="K13" s="38">
        <v>4.5</v>
      </c>
      <c r="L13" s="38">
        <v>4.5</v>
      </c>
      <c r="M13" s="38">
        <v>4.3499999999999996</v>
      </c>
      <c r="N13" s="38">
        <v>4.33</v>
      </c>
      <c r="O13" s="38">
        <v>5</v>
      </c>
      <c r="P13" s="38">
        <v>4.4000000000000004</v>
      </c>
      <c r="Q13" s="38">
        <v>4.3499999999999996</v>
      </c>
      <c r="R13" s="38">
        <v>4.5</v>
      </c>
      <c r="S13" s="38">
        <v>4.5</v>
      </c>
      <c r="T13" s="38">
        <v>4.7</v>
      </c>
      <c r="U13" s="38">
        <v>4.5</v>
      </c>
      <c r="V13" s="38">
        <v>4.33</v>
      </c>
      <c r="W13" s="38">
        <v>4.7</v>
      </c>
      <c r="X13" s="38"/>
      <c r="Y13" s="38"/>
      <c r="Z13" s="38">
        <v>5.21</v>
      </c>
      <c r="AA13" s="38">
        <v>6.1</v>
      </c>
      <c r="AC13" t="s">
        <v>184</v>
      </c>
    </row>
    <row r="14" spans="1:31" hidden="1">
      <c r="A14" t="s">
        <v>97</v>
      </c>
      <c r="B14" s="38">
        <v>4.75</v>
      </c>
      <c r="C14" s="38">
        <v>4</v>
      </c>
      <c r="D14" s="38"/>
      <c r="E14" s="38">
        <v>4.5</v>
      </c>
      <c r="F14" s="38">
        <v>4.5999999999999996</v>
      </c>
      <c r="G14" s="38"/>
      <c r="H14" s="38">
        <v>4.5999999999999996</v>
      </c>
      <c r="I14" s="38">
        <v>4</v>
      </c>
      <c r="J14" s="38">
        <v>4.3499999999999996</v>
      </c>
      <c r="K14" s="38">
        <v>4.75</v>
      </c>
      <c r="L14" s="38">
        <v>4.5999999999999996</v>
      </c>
      <c r="M14" s="38">
        <v>4.3499999999999996</v>
      </c>
      <c r="N14" s="38">
        <v>4.5</v>
      </c>
      <c r="O14" s="38">
        <v>5</v>
      </c>
      <c r="P14" s="38">
        <v>4.33</v>
      </c>
      <c r="Q14" s="38">
        <v>4.3499999999999996</v>
      </c>
      <c r="R14" s="38">
        <v>4.75</v>
      </c>
      <c r="S14" s="38">
        <v>4.5999999999999996</v>
      </c>
      <c r="T14" s="38"/>
      <c r="U14" s="38">
        <v>4.5</v>
      </c>
      <c r="V14" s="38">
        <v>4</v>
      </c>
      <c r="W14" s="38"/>
      <c r="X14" s="38"/>
      <c r="Y14" s="38"/>
      <c r="Z14" s="38">
        <v>5.51</v>
      </c>
      <c r="AA14" s="38">
        <v>4.2300000000000004</v>
      </c>
      <c r="AC14" t="s">
        <v>799</v>
      </c>
    </row>
    <row r="15" spans="1:31" hidden="1">
      <c r="A15" t="s">
        <v>92</v>
      </c>
      <c r="B15" s="38">
        <v>5.5</v>
      </c>
      <c r="C15" s="38">
        <v>4.5</v>
      </c>
      <c r="D15" s="38"/>
      <c r="E15" s="38">
        <v>5.5</v>
      </c>
      <c r="F15" s="38">
        <v>5</v>
      </c>
      <c r="G15" s="38"/>
      <c r="H15" s="38">
        <v>5</v>
      </c>
      <c r="I15" s="38">
        <v>4.5</v>
      </c>
      <c r="J15" s="38">
        <v>5.5</v>
      </c>
      <c r="K15" s="38">
        <v>4.75</v>
      </c>
      <c r="L15" s="38">
        <v>5</v>
      </c>
      <c r="M15" s="38">
        <v>5.5</v>
      </c>
      <c r="N15" s="38">
        <v>4.5</v>
      </c>
      <c r="O15" s="38">
        <v>5</v>
      </c>
      <c r="P15" s="38">
        <v>4.5999999999999996</v>
      </c>
      <c r="Q15" s="38">
        <v>5.5</v>
      </c>
      <c r="R15" s="38">
        <v>4.75</v>
      </c>
      <c r="S15" s="38">
        <v>5</v>
      </c>
      <c r="T15" s="38">
        <v>5.5</v>
      </c>
      <c r="U15" s="38">
        <v>5</v>
      </c>
      <c r="V15" s="38">
        <v>4.5</v>
      </c>
      <c r="W15" s="38">
        <v>5.5</v>
      </c>
      <c r="X15" s="38"/>
      <c r="Y15" s="38"/>
      <c r="Z15" s="38">
        <v>5.9</v>
      </c>
      <c r="AA15" s="38">
        <v>5.7</v>
      </c>
      <c r="AC15" t="s">
        <v>39</v>
      </c>
    </row>
    <row r="16" spans="1:31" hidden="1">
      <c r="A16" t="s">
        <v>384</v>
      </c>
      <c r="B16" s="38">
        <v>5.5</v>
      </c>
      <c r="C16" s="38">
        <v>5</v>
      </c>
      <c r="D16" s="38"/>
      <c r="E16" s="38">
        <v>5</v>
      </c>
      <c r="F16" s="38">
        <v>5</v>
      </c>
      <c r="G16" s="38"/>
      <c r="H16" s="38">
        <v>5</v>
      </c>
      <c r="I16" s="38">
        <v>4.5</v>
      </c>
      <c r="J16" s="38">
        <v>5.5</v>
      </c>
      <c r="K16" s="38">
        <v>5.25</v>
      </c>
      <c r="L16" s="38">
        <v>5</v>
      </c>
      <c r="M16" s="38">
        <v>5.5</v>
      </c>
      <c r="N16" s="38">
        <v>5</v>
      </c>
      <c r="O16" s="38">
        <v>5.5</v>
      </c>
      <c r="P16" s="38">
        <v>5</v>
      </c>
      <c r="Q16" s="38">
        <v>5.5</v>
      </c>
      <c r="R16" s="38">
        <v>5.25</v>
      </c>
      <c r="S16" s="38">
        <v>5</v>
      </c>
      <c r="T16" s="38">
        <v>5.25</v>
      </c>
      <c r="U16" s="38">
        <v>5</v>
      </c>
      <c r="V16" s="38">
        <v>4.5</v>
      </c>
      <c r="W16" s="38">
        <v>5.25</v>
      </c>
      <c r="X16" s="38"/>
      <c r="Y16" s="38"/>
      <c r="Z16" s="38">
        <v>6.29</v>
      </c>
      <c r="AA16" s="38">
        <v>6.88</v>
      </c>
      <c r="AC16" t="s">
        <v>70</v>
      </c>
    </row>
    <row r="17" spans="1:29" hidden="1">
      <c r="A17" t="s">
        <v>633</v>
      </c>
      <c r="B17" s="38">
        <v>5.75</v>
      </c>
      <c r="C17" s="38">
        <v>5</v>
      </c>
      <c r="D17" s="38"/>
      <c r="E17" s="38">
        <v>5</v>
      </c>
      <c r="F17" s="38">
        <v>5</v>
      </c>
      <c r="G17" s="38"/>
      <c r="H17" s="38">
        <v>5.5</v>
      </c>
      <c r="I17" s="38">
        <v>4.5</v>
      </c>
      <c r="J17" s="38">
        <v>4.3499999999999996</v>
      </c>
      <c r="K17" s="38">
        <v>5.5</v>
      </c>
      <c r="L17" s="38">
        <v>5.5</v>
      </c>
      <c r="M17" s="38">
        <v>4.3499999999999996</v>
      </c>
      <c r="N17" s="38">
        <v>5.5</v>
      </c>
      <c r="O17" s="38">
        <v>5.5</v>
      </c>
      <c r="P17" s="38">
        <v>5</v>
      </c>
      <c r="Q17" s="38">
        <v>4.3499999999999996</v>
      </c>
      <c r="R17" s="38">
        <v>5.5</v>
      </c>
      <c r="S17" s="38">
        <v>5.5</v>
      </c>
      <c r="T17" s="38">
        <v>6</v>
      </c>
      <c r="U17" s="38">
        <v>5</v>
      </c>
      <c r="V17" s="38">
        <v>4.5</v>
      </c>
      <c r="W17" s="38">
        <v>6</v>
      </c>
      <c r="X17" s="38"/>
      <c r="Y17" s="38"/>
      <c r="Z17" s="38">
        <v>7.27</v>
      </c>
      <c r="AA17" s="38"/>
      <c r="AC17" t="s">
        <v>880</v>
      </c>
    </row>
    <row r="18" spans="1:29" hidden="1">
      <c r="A18" t="s">
        <v>11</v>
      </c>
      <c r="B18" s="38">
        <v>6</v>
      </c>
      <c r="C18" s="38">
        <v>6</v>
      </c>
      <c r="D18" s="38"/>
      <c r="E18" s="38">
        <v>6</v>
      </c>
      <c r="F18" s="38">
        <v>6</v>
      </c>
      <c r="G18" s="38"/>
      <c r="H18" s="38">
        <v>5.5</v>
      </c>
      <c r="I18" s="38">
        <v>5.5</v>
      </c>
      <c r="J18" s="38">
        <v>5.5</v>
      </c>
      <c r="K18" s="38">
        <v>6</v>
      </c>
      <c r="L18" s="38">
        <v>5.5</v>
      </c>
      <c r="M18" s="38">
        <v>5.5</v>
      </c>
      <c r="N18" s="38">
        <v>5.5</v>
      </c>
      <c r="O18" s="38">
        <v>6</v>
      </c>
      <c r="P18" s="38">
        <v>6</v>
      </c>
      <c r="Q18" s="38">
        <v>5.5</v>
      </c>
      <c r="R18" s="38">
        <v>6</v>
      </c>
      <c r="S18" s="38">
        <v>5.5</v>
      </c>
      <c r="T18" s="38">
        <v>6</v>
      </c>
      <c r="U18" s="38">
        <v>5</v>
      </c>
      <c r="V18" s="38">
        <v>5.5</v>
      </c>
      <c r="W18" s="38">
        <v>6</v>
      </c>
      <c r="X18" s="38"/>
      <c r="Y18" s="38"/>
      <c r="Z18" s="38">
        <v>6.88</v>
      </c>
      <c r="AA18" s="38">
        <v>6.29</v>
      </c>
      <c r="AC18" t="s">
        <v>159</v>
      </c>
    </row>
    <row r="19" spans="1:29" hidden="1">
      <c r="A19" t="s">
        <v>36</v>
      </c>
      <c r="B19" s="38">
        <v>5.75</v>
      </c>
      <c r="C19" s="38">
        <v>5.5</v>
      </c>
      <c r="D19" s="38"/>
      <c r="E19" s="38">
        <v>5.5</v>
      </c>
      <c r="F19" s="38">
        <v>5.5</v>
      </c>
      <c r="G19" s="38"/>
      <c r="H19" s="38">
        <v>5.5</v>
      </c>
      <c r="I19" s="38">
        <v>5</v>
      </c>
      <c r="J19" s="38">
        <v>5.5</v>
      </c>
      <c r="K19" s="38">
        <v>5.5</v>
      </c>
      <c r="L19" s="38">
        <v>5.5</v>
      </c>
      <c r="M19" s="38">
        <v>5.5</v>
      </c>
      <c r="N19" s="38">
        <v>5</v>
      </c>
      <c r="O19" s="38">
        <v>6</v>
      </c>
      <c r="P19" s="38">
        <v>5.5</v>
      </c>
      <c r="Q19" s="38">
        <v>5.5</v>
      </c>
      <c r="R19" s="38">
        <v>5.5</v>
      </c>
      <c r="S19" s="38">
        <v>5.5</v>
      </c>
      <c r="T19" s="38">
        <v>6</v>
      </c>
      <c r="U19" s="38">
        <v>5.5</v>
      </c>
      <c r="V19" s="38">
        <v>5</v>
      </c>
      <c r="W19" s="38">
        <v>6</v>
      </c>
      <c r="X19" s="38"/>
      <c r="Y19" s="38"/>
      <c r="Z19" s="38">
        <v>6.29</v>
      </c>
      <c r="AA19" s="38">
        <v>5.41</v>
      </c>
      <c r="AC19" t="s">
        <v>795</v>
      </c>
    </row>
    <row r="20" spans="1:29" hidden="1">
      <c r="A20" t="s">
        <v>147</v>
      </c>
      <c r="B20" s="38">
        <v>6</v>
      </c>
      <c r="C20" s="38">
        <v>5.5</v>
      </c>
      <c r="D20" s="38"/>
      <c r="E20" s="38">
        <v>6</v>
      </c>
      <c r="F20" s="38">
        <v>5.5</v>
      </c>
      <c r="G20" s="38"/>
      <c r="H20" s="38">
        <v>5.5</v>
      </c>
      <c r="I20" s="38">
        <v>5</v>
      </c>
      <c r="J20" s="38">
        <v>6</v>
      </c>
      <c r="K20" s="38">
        <v>6</v>
      </c>
      <c r="L20" s="38">
        <v>5.5</v>
      </c>
      <c r="M20" s="38">
        <v>6</v>
      </c>
      <c r="N20" s="38">
        <v>5</v>
      </c>
      <c r="O20" s="38">
        <v>6</v>
      </c>
      <c r="P20" s="38">
        <v>5.5</v>
      </c>
      <c r="Q20" s="38">
        <v>6</v>
      </c>
      <c r="R20" s="38">
        <v>6</v>
      </c>
      <c r="S20" s="38">
        <v>5.5</v>
      </c>
      <c r="T20" s="38">
        <v>6</v>
      </c>
      <c r="U20" s="38">
        <v>5.5</v>
      </c>
      <c r="V20" s="38">
        <v>5</v>
      </c>
      <c r="W20" s="38">
        <v>6</v>
      </c>
      <c r="X20" s="38"/>
      <c r="Y20" s="38"/>
      <c r="Z20" s="38">
        <v>7.27</v>
      </c>
      <c r="AA20" s="38">
        <v>6.1</v>
      </c>
      <c r="AC20" t="s">
        <v>124</v>
      </c>
    </row>
    <row r="21" spans="1:29" hidden="1">
      <c r="A21" t="s">
        <v>424</v>
      </c>
      <c r="B21" s="38">
        <v>5.75</v>
      </c>
      <c r="C21" s="38">
        <v>5.5</v>
      </c>
      <c r="D21" s="38"/>
      <c r="E21" s="38">
        <v>5.5</v>
      </c>
      <c r="F21" s="38">
        <v>5.5</v>
      </c>
      <c r="G21" s="38"/>
      <c r="H21" s="38">
        <v>5</v>
      </c>
      <c r="I21" s="38">
        <v>4.5</v>
      </c>
      <c r="J21" s="38">
        <v>5.5</v>
      </c>
      <c r="K21" s="38">
        <v>5</v>
      </c>
      <c r="L21" s="38">
        <v>5</v>
      </c>
      <c r="M21" s="38">
        <v>5.5</v>
      </c>
      <c r="N21" s="38">
        <v>5</v>
      </c>
      <c r="O21" s="38">
        <v>6</v>
      </c>
      <c r="P21" s="38">
        <v>5.5</v>
      </c>
      <c r="Q21" s="38">
        <v>5.5</v>
      </c>
      <c r="R21" s="38">
        <v>5</v>
      </c>
      <c r="S21" s="38">
        <v>5</v>
      </c>
      <c r="T21" s="38">
        <v>5.5</v>
      </c>
      <c r="U21" s="38">
        <v>5</v>
      </c>
      <c r="V21" s="38">
        <v>4.5</v>
      </c>
      <c r="W21" s="38">
        <v>5.5</v>
      </c>
      <c r="X21" s="38"/>
      <c r="Y21" s="38"/>
      <c r="Z21" s="38">
        <v>6.1</v>
      </c>
      <c r="AA21" s="38">
        <v>6.29</v>
      </c>
      <c r="AC21" t="s">
        <v>223</v>
      </c>
    </row>
    <row r="22" spans="1:29" hidden="1">
      <c r="A22" t="s">
        <v>137</v>
      </c>
      <c r="B22" s="38">
        <v>6</v>
      </c>
      <c r="C22" s="38">
        <v>6</v>
      </c>
      <c r="D22" s="38"/>
      <c r="E22" s="38">
        <v>6</v>
      </c>
      <c r="F22" s="38">
        <v>6</v>
      </c>
      <c r="G22" s="38"/>
      <c r="H22" s="38">
        <v>5.5</v>
      </c>
      <c r="I22" s="38">
        <v>5.5</v>
      </c>
      <c r="J22" s="38">
        <v>6</v>
      </c>
      <c r="K22" s="38">
        <v>5.5</v>
      </c>
      <c r="L22" s="38">
        <v>5.5</v>
      </c>
      <c r="M22" s="38">
        <v>6</v>
      </c>
      <c r="N22" s="38">
        <v>5.5</v>
      </c>
      <c r="O22" s="38">
        <v>6</v>
      </c>
      <c r="P22" s="38">
        <v>6</v>
      </c>
      <c r="Q22" s="38">
        <v>6</v>
      </c>
      <c r="R22" s="38">
        <v>5.5</v>
      </c>
      <c r="S22" s="38">
        <v>5.5</v>
      </c>
      <c r="T22" s="38">
        <v>6</v>
      </c>
      <c r="U22" s="38">
        <v>6</v>
      </c>
      <c r="V22" s="38">
        <v>5.5</v>
      </c>
      <c r="W22" s="38">
        <v>6</v>
      </c>
      <c r="X22" s="38"/>
      <c r="Y22" s="38"/>
      <c r="Z22" s="38">
        <v>6.88</v>
      </c>
      <c r="AA22" s="38">
        <v>6.68</v>
      </c>
    </row>
    <row r="23" spans="1:29" hidden="1">
      <c r="A23" t="s">
        <v>146</v>
      </c>
      <c r="B23" s="38">
        <v>5.5</v>
      </c>
      <c r="C23" s="38">
        <v>5</v>
      </c>
      <c r="D23" s="38"/>
      <c r="E23" s="38">
        <v>5.5</v>
      </c>
      <c r="F23" s="38">
        <v>5.5</v>
      </c>
      <c r="G23" s="38"/>
      <c r="H23" s="38">
        <v>6</v>
      </c>
      <c r="I23" s="38">
        <v>5</v>
      </c>
      <c r="J23" s="38">
        <v>5.5</v>
      </c>
      <c r="K23" s="38">
        <v>6</v>
      </c>
      <c r="L23" s="38">
        <v>6</v>
      </c>
      <c r="M23" s="38">
        <v>5.5</v>
      </c>
      <c r="N23" s="38">
        <v>6</v>
      </c>
      <c r="O23" s="38">
        <v>5.5</v>
      </c>
      <c r="P23" s="38">
        <v>5.5</v>
      </c>
      <c r="Q23" s="38">
        <v>5.5</v>
      </c>
      <c r="R23" s="38">
        <v>6</v>
      </c>
      <c r="S23" s="38">
        <v>6</v>
      </c>
      <c r="T23" s="38">
        <v>6</v>
      </c>
      <c r="U23" s="38">
        <v>5.5</v>
      </c>
      <c r="V23" s="38">
        <v>5</v>
      </c>
      <c r="W23" s="38">
        <v>6</v>
      </c>
      <c r="X23" s="38"/>
      <c r="Y23" s="38"/>
      <c r="Z23" s="38">
        <v>8.4499999999999993</v>
      </c>
      <c r="AA23" s="38">
        <v>7.08</v>
      </c>
    </row>
    <row r="24" spans="1:29" hidden="1">
      <c r="A24" t="s">
        <v>32</v>
      </c>
      <c r="B24" s="38">
        <v>6</v>
      </c>
      <c r="C24" s="38">
        <v>6.5</v>
      </c>
      <c r="D24" s="38"/>
      <c r="E24" s="38">
        <v>6</v>
      </c>
      <c r="F24" s="38">
        <v>6</v>
      </c>
      <c r="G24" s="38"/>
      <c r="H24" s="38">
        <v>5.5</v>
      </c>
      <c r="I24" s="38">
        <v>5.5</v>
      </c>
      <c r="J24" s="38">
        <v>5</v>
      </c>
      <c r="K24" s="38">
        <v>5.5</v>
      </c>
      <c r="L24" s="38">
        <v>5.5</v>
      </c>
      <c r="M24" s="38">
        <v>5</v>
      </c>
      <c r="N24" s="38">
        <v>5</v>
      </c>
      <c r="O24" s="38">
        <v>6</v>
      </c>
      <c r="P24" s="38">
        <v>6</v>
      </c>
      <c r="Q24" s="38">
        <v>5</v>
      </c>
      <c r="R24" s="38">
        <v>5.5</v>
      </c>
      <c r="S24" s="38">
        <v>5.5</v>
      </c>
      <c r="T24" s="38">
        <v>6</v>
      </c>
      <c r="U24" s="38">
        <v>6</v>
      </c>
      <c r="V24" s="38">
        <v>5.5</v>
      </c>
      <c r="W24" s="38">
        <v>6</v>
      </c>
      <c r="X24" s="38"/>
      <c r="Y24" s="38"/>
      <c r="Z24" s="38">
        <v>6.49</v>
      </c>
      <c r="AA24" s="38">
        <v>5.9</v>
      </c>
    </row>
    <row r="25" spans="1:29" hidden="1">
      <c r="A25" t="s">
        <v>116</v>
      </c>
      <c r="B25" s="38">
        <v>7</v>
      </c>
      <c r="C25" s="38">
        <v>7</v>
      </c>
      <c r="D25" s="38"/>
      <c r="E25" s="38">
        <v>7</v>
      </c>
      <c r="F25" s="38">
        <v>6.5</v>
      </c>
      <c r="G25" s="38"/>
      <c r="H25" s="38">
        <v>6.5</v>
      </c>
      <c r="I25" s="38">
        <v>6</v>
      </c>
      <c r="J25" s="38">
        <v>7</v>
      </c>
      <c r="K25" s="38">
        <v>6</v>
      </c>
      <c r="L25" s="38">
        <v>6.5</v>
      </c>
      <c r="M25" s="38">
        <v>7</v>
      </c>
      <c r="N25" s="38">
        <v>6</v>
      </c>
      <c r="O25" s="38">
        <v>7</v>
      </c>
      <c r="P25" s="38">
        <v>7</v>
      </c>
      <c r="Q25" s="38">
        <v>7</v>
      </c>
      <c r="R25" s="38">
        <v>6</v>
      </c>
      <c r="S25" s="38">
        <v>6.5</v>
      </c>
      <c r="T25" s="38">
        <v>7</v>
      </c>
      <c r="U25" s="38">
        <v>7</v>
      </c>
      <c r="V25" s="38">
        <v>6</v>
      </c>
      <c r="W25" s="38">
        <v>7</v>
      </c>
      <c r="X25" s="38"/>
      <c r="Y25" s="38"/>
      <c r="Z25" s="38">
        <v>8.06</v>
      </c>
      <c r="AA25" s="38">
        <v>7.27</v>
      </c>
    </row>
    <row r="26" spans="1:29" hidden="1">
      <c r="A26" t="s">
        <v>20</v>
      </c>
      <c r="B26" s="38">
        <v>7</v>
      </c>
      <c r="C26" s="38">
        <v>5.5</v>
      </c>
      <c r="D26" s="38"/>
      <c r="E26" s="38">
        <v>5.5</v>
      </c>
      <c r="F26" s="38">
        <v>6</v>
      </c>
      <c r="G26" s="38"/>
      <c r="H26" s="38">
        <v>6</v>
      </c>
      <c r="I26" s="38">
        <v>5.5</v>
      </c>
      <c r="J26" s="38">
        <v>6</v>
      </c>
      <c r="K26" s="38">
        <v>5.25</v>
      </c>
      <c r="L26" s="38">
        <v>6</v>
      </c>
      <c r="M26" s="38">
        <v>6</v>
      </c>
      <c r="N26" s="38">
        <v>5.5</v>
      </c>
      <c r="O26" s="38">
        <v>6</v>
      </c>
      <c r="P26" s="38">
        <v>5.5</v>
      </c>
      <c r="Q26" s="38">
        <v>6</v>
      </c>
      <c r="R26" s="38">
        <v>5.25</v>
      </c>
      <c r="S26" s="38">
        <v>6</v>
      </c>
      <c r="T26" s="38">
        <v>6.5</v>
      </c>
      <c r="U26" s="38">
        <v>5.5</v>
      </c>
      <c r="V26" s="38">
        <v>5.5</v>
      </c>
      <c r="W26" s="38">
        <v>6.5</v>
      </c>
      <c r="X26" s="38"/>
      <c r="Y26" s="38"/>
      <c r="Z26" s="38">
        <v>6.49</v>
      </c>
      <c r="AA26" s="38">
        <v>5.61</v>
      </c>
    </row>
    <row r="27" spans="1:29" hidden="1">
      <c r="A27" t="s">
        <v>39</v>
      </c>
      <c r="B27" s="38">
        <v>7</v>
      </c>
      <c r="C27" s="38">
        <v>6</v>
      </c>
      <c r="D27" s="38"/>
      <c r="E27" s="38">
        <v>6</v>
      </c>
      <c r="F27" s="38">
        <v>6</v>
      </c>
      <c r="G27" s="38"/>
      <c r="H27" s="38">
        <v>6.5</v>
      </c>
      <c r="I27" s="38">
        <v>5.5</v>
      </c>
      <c r="J27" s="38">
        <v>7</v>
      </c>
      <c r="K27" s="38">
        <v>7</v>
      </c>
      <c r="L27" s="38">
        <v>6.5</v>
      </c>
      <c r="M27" s="38">
        <v>7</v>
      </c>
      <c r="N27" s="38">
        <v>6.5</v>
      </c>
      <c r="O27" s="38">
        <v>6.5</v>
      </c>
      <c r="P27" s="38">
        <v>6.5</v>
      </c>
      <c r="Q27" s="38">
        <v>7</v>
      </c>
      <c r="R27" s="38">
        <v>7</v>
      </c>
      <c r="S27" s="38">
        <v>6.5</v>
      </c>
      <c r="T27" s="38">
        <v>7</v>
      </c>
      <c r="U27" s="38">
        <v>6.5</v>
      </c>
      <c r="V27" s="38">
        <v>5.5</v>
      </c>
      <c r="W27" s="38">
        <v>7</v>
      </c>
      <c r="X27" s="38"/>
      <c r="Y27" s="38"/>
      <c r="Z27" s="38">
        <v>7.66</v>
      </c>
      <c r="AA27" s="38">
        <v>5.51</v>
      </c>
    </row>
    <row r="28" spans="1:29" hidden="1">
      <c r="A28" t="s">
        <v>33</v>
      </c>
      <c r="B28" s="38">
        <v>7</v>
      </c>
      <c r="C28" s="38">
        <v>6</v>
      </c>
      <c r="D28" s="38"/>
      <c r="E28" s="38">
        <v>6</v>
      </c>
      <c r="F28" s="38">
        <v>6.5</v>
      </c>
      <c r="G28" s="38"/>
      <c r="H28" s="38">
        <v>6</v>
      </c>
      <c r="I28" s="38">
        <v>5.5</v>
      </c>
      <c r="J28" s="38">
        <v>5</v>
      </c>
      <c r="K28" s="38">
        <v>6</v>
      </c>
      <c r="L28" s="38">
        <v>6</v>
      </c>
      <c r="M28" s="38">
        <v>5</v>
      </c>
      <c r="N28" s="38">
        <v>5.5</v>
      </c>
      <c r="O28" s="38">
        <v>6.5</v>
      </c>
      <c r="P28" s="38">
        <v>6</v>
      </c>
      <c r="Q28" s="38">
        <v>5</v>
      </c>
      <c r="R28" s="38">
        <v>6</v>
      </c>
      <c r="S28" s="38">
        <v>6</v>
      </c>
      <c r="T28" s="38">
        <v>6.5</v>
      </c>
      <c r="U28" s="38">
        <v>6.5</v>
      </c>
      <c r="V28" s="38">
        <v>5.5</v>
      </c>
      <c r="W28" s="38">
        <v>6.5</v>
      </c>
      <c r="X28" s="38"/>
      <c r="Y28" s="38"/>
      <c r="Z28" s="38">
        <v>7.08</v>
      </c>
      <c r="AA28" s="38">
        <v>6.1</v>
      </c>
    </row>
    <row r="29" spans="1:29" hidden="1">
      <c r="A29" t="s">
        <v>493</v>
      </c>
      <c r="B29" s="38">
        <v>7</v>
      </c>
      <c r="C29" s="38">
        <v>6</v>
      </c>
      <c r="D29" s="38"/>
      <c r="E29" s="38">
        <v>6</v>
      </c>
      <c r="F29" s="38">
        <v>6</v>
      </c>
      <c r="G29" s="38"/>
      <c r="H29" s="38">
        <v>5.5</v>
      </c>
      <c r="I29" s="38">
        <v>5.5</v>
      </c>
      <c r="J29" s="38">
        <v>5</v>
      </c>
      <c r="K29" s="38">
        <v>6</v>
      </c>
      <c r="L29" s="38">
        <v>5.5</v>
      </c>
      <c r="M29" s="38">
        <v>5</v>
      </c>
      <c r="N29" s="38">
        <v>5</v>
      </c>
      <c r="O29" s="38">
        <v>6.5</v>
      </c>
      <c r="P29" s="38">
        <v>6</v>
      </c>
      <c r="Q29" s="38">
        <v>5</v>
      </c>
      <c r="R29" s="38">
        <v>6</v>
      </c>
      <c r="S29" s="38">
        <v>5.5</v>
      </c>
      <c r="T29" s="38">
        <v>6</v>
      </c>
      <c r="U29" s="38">
        <v>6.5</v>
      </c>
      <c r="V29" s="38">
        <v>5.5</v>
      </c>
      <c r="W29" s="38">
        <v>6</v>
      </c>
      <c r="X29" s="38"/>
      <c r="Y29" s="38"/>
      <c r="Z29" s="38">
        <v>6.88</v>
      </c>
      <c r="AA29" s="38">
        <v>5.31</v>
      </c>
    </row>
    <row r="30" spans="1:29" hidden="1">
      <c r="A30" t="s">
        <v>134</v>
      </c>
      <c r="B30" s="38">
        <v>7</v>
      </c>
      <c r="C30" s="38">
        <v>6</v>
      </c>
      <c r="D30" s="38"/>
      <c r="E30" s="38">
        <v>6</v>
      </c>
      <c r="F30" s="38">
        <v>6</v>
      </c>
      <c r="G30" s="38"/>
      <c r="H30" s="38">
        <v>5.5</v>
      </c>
      <c r="I30" s="38">
        <v>5.5</v>
      </c>
      <c r="J30" s="38">
        <v>6.5</v>
      </c>
      <c r="K30" s="38">
        <v>5.5</v>
      </c>
      <c r="L30" s="38">
        <v>5.5</v>
      </c>
      <c r="M30" s="38">
        <v>6.5</v>
      </c>
      <c r="N30" s="38">
        <v>5.5</v>
      </c>
      <c r="O30" s="38">
        <v>6.5</v>
      </c>
      <c r="P30" s="38">
        <v>6</v>
      </c>
      <c r="Q30" s="38">
        <v>6.5</v>
      </c>
      <c r="R30" s="38">
        <v>5.5</v>
      </c>
      <c r="S30" s="38">
        <v>5.5</v>
      </c>
      <c r="T30" s="38">
        <v>6.5</v>
      </c>
      <c r="U30" s="38">
        <v>6.5</v>
      </c>
      <c r="V30" s="38">
        <v>5.5</v>
      </c>
      <c r="W30" s="38">
        <v>6.5</v>
      </c>
      <c r="X30" s="38"/>
      <c r="Y30" s="38"/>
      <c r="Z30" s="38">
        <v>7.27</v>
      </c>
      <c r="AA30" s="38">
        <v>5.8</v>
      </c>
    </row>
    <row r="31" spans="1:29" hidden="1">
      <c r="A31" t="s">
        <v>1131</v>
      </c>
      <c r="B31" s="38">
        <v>7</v>
      </c>
      <c r="C31" s="38">
        <v>6</v>
      </c>
      <c r="D31" s="38"/>
      <c r="E31" s="38">
        <v>7</v>
      </c>
      <c r="F31" s="38">
        <v>5.5</v>
      </c>
      <c r="G31" s="38"/>
      <c r="H31" s="38">
        <v>6.5</v>
      </c>
      <c r="I31" s="38">
        <v>5.5</v>
      </c>
      <c r="J31" s="38">
        <v>7.5</v>
      </c>
      <c r="K31" s="38">
        <v>7.5</v>
      </c>
      <c r="L31" s="38">
        <v>6.5</v>
      </c>
      <c r="M31" s="38">
        <v>7.5</v>
      </c>
      <c r="N31" s="38">
        <v>6</v>
      </c>
      <c r="O31" s="38">
        <v>6.5</v>
      </c>
      <c r="P31" s="38">
        <v>6</v>
      </c>
      <c r="Q31" s="38">
        <v>7.5</v>
      </c>
      <c r="R31" s="38">
        <v>7.5</v>
      </c>
      <c r="S31" s="38">
        <v>6.5</v>
      </c>
      <c r="T31" s="38">
        <v>7</v>
      </c>
      <c r="U31" s="38">
        <v>5.5</v>
      </c>
      <c r="V31" s="38">
        <v>5.5</v>
      </c>
      <c r="W31" s="38">
        <v>7</v>
      </c>
      <c r="X31" s="38"/>
      <c r="Y31" s="38"/>
      <c r="Z31" s="38">
        <v>8.06</v>
      </c>
      <c r="AA31" s="38">
        <v>8.06</v>
      </c>
    </row>
    <row r="32" spans="1:29" hidden="1">
      <c r="A32" t="s">
        <v>48</v>
      </c>
      <c r="B32" s="38">
        <v>7</v>
      </c>
      <c r="C32" s="38">
        <v>7.5</v>
      </c>
      <c r="D32" s="38"/>
      <c r="E32" s="38">
        <v>7</v>
      </c>
      <c r="F32" s="38">
        <v>6.5</v>
      </c>
      <c r="G32" s="38"/>
      <c r="H32" s="38">
        <v>7</v>
      </c>
      <c r="I32" s="38">
        <v>5.5</v>
      </c>
      <c r="J32" s="38">
        <v>7.5</v>
      </c>
      <c r="K32" s="38">
        <v>7.5</v>
      </c>
      <c r="L32" s="38">
        <v>7</v>
      </c>
      <c r="M32" s="38">
        <v>7.5</v>
      </c>
      <c r="N32" s="38">
        <v>6.5</v>
      </c>
      <c r="O32" s="38">
        <v>7</v>
      </c>
      <c r="P32" s="38">
        <v>7</v>
      </c>
      <c r="Q32" s="38">
        <v>7.5</v>
      </c>
      <c r="R32" s="38">
        <v>7.5</v>
      </c>
      <c r="S32" s="38">
        <v>7</v>
      </c>
      <c r="T32" s="38">
        <v>7</v>
      </c>
      <c r="U32" s="38">
        <v>7</v>
      </c>
      <c r="V32" s="38">
        <v>5.5</v>
      </c>
      <c r="W32" s="38">
        <v>7</v>
      </c>
      <c r="X32" s="38"/>
      <c r="Y32" s="38"/>
      <c r="Z32" s="38">
        <v>8.06</v>
      </c>
      <c r="AA32" s="38">
        <v>7.08</v>
      </c>
    </row>
    <row r="33" spans="1:27" hidden="1">
      <c r="A33" t="s">
        <v>496</v>
      </c>
      <c r="B33" s="38">
        <v>7.5</v>
      </c>
      <c r="C33" s="38">
        <v>7</v>
      </c>
      <c r="D33" s="38"/>
      <c r="E33" s="38">
        <v>7</v>
      </c>
      <c r="F33" s="38">
        <v>7</v>
      </c>
      <c r="G33" s="38"/>
      <c r="H33" s="38">
        <v>6.5</v>
      </c>
      <c r="I33" s="38">
        <v>6</v>
      </c>
      <c r="J33" s="38">
        <v>7.5</v>
      </c>
      <c r="K33" s="38">
        <v>6.5</v>
      </c>
      <c r="L33" s="38">
        <v>6.5</v>
      </c>
      <c r="M33" s="38">
        <v>7.5</v>
      </c>
      <c r="N33" s="38">
        <v>6.5</v>
      </c>
      <c r="O33" s="38">
        <v>7</v>
      </c>
      <c r="P33" s="38">
        <v>7</v>
      </c>
      <c r="Q33" s="38">
        <v>7.5</v>
      </c>
      <c r="R33" s="38">
        <v>6.5</v>
      </c>
      <c r="S33" s="38">
        <v>6.5</v>
      </c>
      <c r="T33" s="38">
        <v>7</v>
      </c>
      <c r="U33" s="38">
        <v>7</v>
      </c>
      <c r="V33" s="38">
        <v>6</v>
      </c>
      <c r="W33" s="38">
        <v>7</v>
      </c>
      <c r="X33" s="38"/>
      <c r="Y33" s="38"/>
      <c r="Z33" s="38">
        <v>7.86</v>
      </c>
      <c r="AA33" s="38">
        <v>7.08</v>
      </c>
    </row>
    <row r="34" spans="1:27" hidden="1">
      <c r="A34" t="s">
        <v>109</v>
      </c>
      <c r="B34" s="38">
        <v>7</v>
      </c>
      <c r="C34" s="38">
        <v>6</v>
      </c>
      <c r="D34" s="38"/>
      <c r="E34" s="38">
        <v>7</v>
      </c>
      <c r="F34" s="38">
        <v>6</v>
      </c>
      <c r="G34" s="38"/>
      <c r="H34" s="38">
        <v>7</v>
      </c>
      <c r="I34" s="38">
        <v>5</v>
      </c>
      <c r="J34" s="38">
        <v>7.5</v>
      </c>
      <c r="K34" s="38">
        <v>7</v>
      </c>
      <c r="L34" s="38">
        <v>7</v>
      </c>
      <c r="M34" s="38">
        <v>7.5</v>
      </c>
      <c r="N34" s="38">
        <v>6.5</v>
      </c>
      <c r="O34" s="38">
        <v>6.5</v>
      </c>
      <c r="P34" s="38">
        <v>6.5</v>
      </c>
      <c r="Q34" s="38">
        <v>7.5</v>
      </c>
      <c r="R34" s="38">
        <v>7</v>
      </c>
      <c r="S34" s="38">
        <v>7</v>
      </c>
      <c r="T34" s="38">
        <v>7</v>
      </c>
      <c r="U34" s="38">
        <v>6.5</v>
      </c>
      <c r="V34" s="38">
        <v>5</v>
      </c>
      <c r="W34" s="38">
        <v>7</v>
      </c>
      <c r="X34" s="38"/>
      <c r="Y34" s="38"/>
      <c r="Z34" s="38">
        <v>8.4499999999999993</v>
      </c>
      <c r="AA34" s="38">
        <v>7.08</v>
      </c>
    </row>
    <row r="35" spans="1:27" hidden="1">
      <c r="A35" t="s">
        <v>560</v>
      </c>
      <c r="B35" s="38">
        <v>7.5</v>
      </c>
      <c r="C35" s="38">
        <v>6.5</v>
      </c>
      <c r="D35" s="38"/>
      <c r="E35" s="38">
        <v>6.5</v>
      </c>
      <c r="F35" s="38">
        <v>7</v>
      </c>
      <c r="G35" s="38"/>
      <c r="H35" s="38">
        <v>6.5</v>
      </c>
      <c r="I35" s="38">
        <v>7</v>
      </c>
      <c r="J35" s="38">
        <v>7</v>
      </c>
      <c r="K35" s="38">
        <v>5.5</v>
      </c>
      <c r="L35" s="38">
        <v>6.5</v>
      </c>
      <c r="M35" s="38">
        <v>7</v>
      </c>
      <c r="N35" s="38">
        <v>6.5</v>
      </c>
      <c r="O35" s="38">
        <v>7</v>
      </c>
      <c r="P35" s="38">
        <v>7</v>
      </c>
      <c r="Q35" s="38">
        <v>7</v>
      </c>
      <c r="R35" s="38">
        <v>5.5</v>
      </c>
      <c r="S35" s="38">
        <v>6.5</v>
      </c>
      <c r="T35" s="38">
        <v>7</v>
      </c>
      <c r="U35" s="38">
        <v>7.5</v>
      </c>
      <c r="V35" s="38">
        <v>7</v>
      </c>
      <c r="W35" s="38">
        <v>7</v>
      </c>
      <c r="X35" s="38"/>
      <c r="Y35" s="38"/>
      <c r="Z35" s="38">
        <v>7.66</v>
      </c>
      <c r="AA35" s="38">
        <v>6.1</v>
      </c>
    </row>
    <row r="36" spans="1:27" hidden="1">
      <c r="A36" t="s">
        <v>148</v>
      </c>
      <c r="B36" s="38">
        <v>7</v>
      </c>
      <c r="C36" s="38">
        <v>7</v>
      </c>
      <c r="D36" s="38"/>
      <c r="E36" s="38">
        <v>7</v>
      </c>
      <c r="F36" s="38">
        <v>6.5</v>
      </c>
      <c r="G36" s="38"/>
      <c r="H36" s="38">
        <v>7</v>
      </c>
      <c r="I36" s="38">
        <v>5.5</v>
      </c>
      <c r="J36" s="38">
        <v>7.5</v>
      </c>
      <c r="K36" s="38">
        <v>6.5</v>
      </c>
      <c r="L36" s="38">
        <v>7</v>
      </c>
      <c r="M36" s="38">
        <v>7.5</v>
      </c>
      <c r="N36" s="38">
        <v>6.5</v>
      </c>
      <c r="O36" s="38">
        <v>7</v>
      </c>
      <c r="P36" s="38">
        <v>7</v>
      </c>
      <c r="Q36" s="38">
        <v>7.5</v>
      </c>
      <c r="R36" s="38">
        <v>6.5</v>
      </c>
      <c r="S36" s="38">
        <v>7</v>
      </c>
      <c r="T36" s="38">
        <v>7</v>
      </c>
      <c r="U36" s="38">
        <v>7</v>
      </c>
      <c r="V36" s="38">
        <v>5.5</v>
      </c>
      <c r="W36" s="38">
        <v>7</v>
      </c>
      <c r="X36" s="38"/>
      <c r="Y36" s="38"/>
      <c r="Z36" s="38">
        <v>8.06</v>
      </c>
      <c r="AA36" s="38">
        <v>7.66</v>
      </c>
    </row>
    <row r="37" spans="1:27" hidden="1">
      <c r="A37" t="s">
        <v>241</v>
      </c>
      <c r="B37" s="38">
        <v>6</v>
      </c>
      <c r="C37" s="38">
        <v>6</v>
      </c>
      <c r="D37" s="38"/>
      <c r="E37" s="38">
        <v>6</v>
      </c>
      <c r="F37" s="38">
        <v>5.5</v>
      </c>
      <c r="G37" s="38"/>
      <c r="H37" s="38">
        <v>7.5</v>
      </c>
      <c r="I37" s="38">
        <v>5</v>
      </c>
      <c r="J37" s="38">
        <v>6</v>
      </c>
      <c r="K37" s="38">
        <v>6</v>
      </c>
      <c r="L37" s="38">
        <v>7.5</v>
      </c>
      <c r="M37" s="38">
        <v>6</v>
      </c>
      <c r="N37" s="38">
        <v>7</v>
      </c>
      <c r="O37" s="38">
        <v>6</v>
      </c>
      <c r="P37" s="38">
        <v>6</v>
      </c>
      <c r="Q37" s="38">
        <v>6</v>
      </c>
      <c r="R37" s="38">
        <v>6</v>
      </c>
      <c r="S37" s="38">
        <v>7.5</v>
      </c>
      <c r="T37" s="38">
        <v>7</v>
      </c>
      <c r="U37" s="38">
        <v>6</v>
      </c>
      <c r="V37" s="38">
        <v>5</v>
      </c>
      <c r="W37" s="38">
        <v>7</v>
      </c>
      <c r="X37" s="38"/>
      <c r="Y37" s="38"/>
      <c r="Z37" s="38">
        <v>7.47</v>
      </c>
      <c r="AA37" s="38">
        <v>6.49</v>
      </c>
    </row>
    <row r="38" spans="1:27" hidden="1">
      <c r="A38" t="s">
        <v>495</v>
      </c>
      <c r="B38" s="38">
        <v>7.5</v>
      </c>
      <c r="C38" s="38">
        <v>7</v>
      </c>
      <c r="D38" s="38"/>
      <c r="E38" s="38">
        <v>7</v>
      </c>
      <c r="F38" s="38">
        <v>7</v>
      </c>
      <c r="G38" s="38"/>
      <c r="H38" s="38">
        <v>8</v>
      </c>
      <c r="I38" s="38">
        <v>6</v>
      </c>
      <c r="J38" s="38">
        <v>5</v>
      </c>
      <c r="K38" s="38">
        <v>7</v>
      </c>
      <c r="L38" s="38">
        <v>8</v>
      </c>
      <c r="M38" s="38">
        <v>5</v>
      </c>
      <c r="N38" s="38">
        <v>7.5</v>
      </c>
      <c r="O38" s="38">
        <v>7</v>
      </c>
      <c r="P38" s="38">
        <v>7</v>
      </c>
      <c r="Q38" s="38">
        <v>5</v>
      </c>
      <c r="R38" s="38">
        <v>7</v>
      </c>
      <c r="S38" s="38">
        <v>8</v>
      </c>
      <c r="T38" s="38">
        <v>8</v>
      </c>
      <c r="U38" s="38">
        <v>7</v>
      </c>
      <c r="V38" s="38">
        <v>6</v>
      </c>
      <c r="W38" s="38">
        <v>8</v>
      </c>
      <c r="X38" s="38"/>
      <c r="Y38" s="38"/>
      <c r="Z38" s="38">
        <v>8.25</v>
      </c>
      <c r="AA38" s="38">
        <v>6.49</v>
      </c>
    </row>
    <row r="39" spans="1:27" hidden="1">
      <c r="A39" t="s">
        <v>62</v>
      </c>
      <c r="B39" s="38">
        <v>7</v>
      </c>
      <c r="C39" s="38">
        <v>7.5</v>
      </c>
      <c r="D39" s="38"/>
      <c r="E39" s="38">
        <v>7</v>
      </c>
      <c r="F39" s="38">
        <v>7</v>
      </c>
      <c r="G39" s="38"/>
      <c r="H39" s="38">
        <v>8</v>
      </c>
      <c r="I39" s="38">
        <v>6</v>
      </c>
      <c r="J39" s="38">
        <v>6</v>
      </c>
      <c r="K39" s="38">
        <v>6.5</v>
      </c>
      <c r="L39" s="38">
        <v>8</v>
      </c>
      <c r="M39" s="38">
        <v>6</v>
      </c>
      <c r="N39" s="38">
        <v>7.5</v>
      </c>
      <c r="O39" s="38">
        <v>7</v>
      </c>
      <c r="P39" s="38">
        <v>7.5</v>
      </c>
      <c r="Q39" s="38">
        <v>6</v>
      </c>
      <c r="R39" s="38">
        <v>6.5</v>
      </c>
      <c r="S39" s="38">
        <v>8</v>
      </c>
      <c r="T39" s="38">
        <v>7.5</v>
      </c>
      <c r="U39" s="38">
        <v>7</v>
      </c>
      <c r="V39" s="38">
        <v>6</v>
      </c>
      <c r="W39" s="38">
        <v>7.5</v>
      </c>
      <c r="X39" s="38"/>
      <c r="Y39" s="38"/>
      <c r="Z39" s="38">
        <v>10.8</v>
      </c>
      <c r="AA39" s="38">
        <v>8.64</v>
      </c>
    </row>
    <row r="40" spans="1:27" hidden="1">
      <c r="A40" t="s">
        <v>440</v>
      </c>
      <c r="B40" s="38">
        <v>7.5</v>
      </c>
      <c r="C40" s="38">
        <v>7.5</v>
      </c>
      <c r="D40" s="38"/>
      <c r="E40" s="38">
        <v>7.5</v>
      </c>
      <c r="F40" s="38">
        <v>7.5</v>
      </c>
      <c r="G40" s="38"/>
      <c r="H40" s="38">
        <v>7.5</v>
      </c>
      <c r="I40" s="38">
        <v>6</v>
      </c>
      <c r="J40" s="38">
        <v>7.5</v>
      </c>
      <c r="K40" s="38">
        <v>8</v>
      </c>
      <c r="L40" s="38">
        <v>7.5</v>
      </c>
      <c r="M40" s="38">
        <v>7.5</v>
      </c>
      <c r="N40" s="38">
        <v>7</v>
      </c>
      <c r="O40" s="38">
        <v>7</v>
      </c>
      <c r="P40" s="38">
        <v>7.5</v>
      </c>
      <c r="Q40" s="38">
        <v>7.5</v>
      </c>
      <c r="R40" s="38">
        <v>8</v>
      </c>
      <c r="S40" s="38">
        <v>7.5</v>
      </c>
      <c r="T40" s="38">
        <v>7.5</v>
      </c>
      <c r="U40" s="38">
        <v>7</v>
      </c>
      <c r="V40" s="38">
        <v>6</v>
      </c>
      <c r="W40" s="38">
        <v>7.5</v>
      </c>
      <c r="X40" s="38"/>
      <c r="Y40" s="38"/>
      <c r="Z40" s="38">
        <v>9.0399999999999991</v>
      </c>
      <c r="AA40" s="38">
        <v>10.8</v>
      </c>
    </row>
    <row r="41" spans="1:27" hidden="1">
      <c r="A41" t="s">
        <v>433</v>
      </c>
      <c r="B41" s="38">
        <v>7.5</v>
      </c>
      <c r="C41" s="38">
        <v>7.5</v>
      </c>
      <c r="D41" s="38"/>
      <c r="E41" s="38">
        <v>7.5</v>
      </c>
      <c r="F41" s="38">
        <v>7.5</v>
      </c>
      <c r="G41" s="38"/>
      <c r="H41" s="38">
        <v>7</v>
      </c>
      <c r="I41" s="38">
        <v>6.5</v>
      </c>
      <c r="J41" s="38">
        <v>7.5</v>
      </c>
      <c r="K41" s="38">
        <v>7.5</v>
      </c>
      <c r="L41" s="38">
        <v>7</v>
      </c>
      <c r="M41" s="38">
        <v>7.5</v>
      </c>
      <c r="N41" s="38">
        <v>6.5</v>
      </c>
      <c r="O41" s="38">
        <v>8</v>
      </c>
      <c r="P41" s="38">
        <v>7.5</v>
      </c>
      <c r="Q41" s="38">
        <v>7.5</v>
      </c>
      <c r="R41" s="38">
        <v>7.5</v>
      </c>
      <c r="S41" s="38">
        <v>7</v>
      </c>
      <c r="T41" s="38"/>
      <c r="U41" s="38">
        <v>7.5</v>
      </c>
      <c r="V41" s="38">
        <v>6.5</v>
      </c>
      <c r="W41" s="38"/>
      <c r="X41" s="38"/>
      <c r="Y41" s="38"/>
      <c r="Z41" s="38">
        <v>10.3</v>
      </c>
      <c r="AA41" s="38">
        <v>10.3</v>
      </c>
    </row>
    <row r="42" spans="1:27" hidden="1">
      <c r="A42" t="s">
        <v>522</v>
      </c>
      <c r="B42" s="38">
        <v>7.5</v>
      </c>
      <c r="C42" s="38">
        <v>7.5</v>
      </c>
      <c r="D42" s="38"/>
      <c r="E42" s="38">
        <v>7.5</v>
      </c>
      <c r="F42" s="38">
        <v>8</v>
      </c>
      <c r="G42" s="38"/>
      <c r="H42" s="38">
        <v>7.5</v>
      </c>
      <c r="I42" s="38">
        <v>7</v>
      </c>
      <c r="J42" s="38">
        <v>8</v>
      </c>
      <c r="K42" s="38">
        <v>6.5</v>
      </c>
      <c r="L42" s="38">
        <v>7.5</v>
      </c>
      <c r="M42" s="38">
        <v>8</v>
      </c>
      <c r="N42" s="38">
        <v>7</v>
      </c>
      <c r="O42" s="38">
        <v>7</v>
      </c>
      <c r="P42" s="38">
        <v>7.5</v>
      </c>
      <c r="Q42" s="38">
        <v>8</v>
      </c>
      <c r="R42" s="38">
        <v>6.5</v>
      </c>
      <c r="S42" s="38">
        <v>7.5</v>
      </c>
      <c r="T42" s="38">
        <v>7.5</v>
      </c>
      <c r="U42" s="38">
        <v>7.5</v>
      </c>
      <c r="V42" s="38">
        <v>7</v>
      </c>
      <c r="W42" s="38">
        <v>7.5</v>
      </c>
      <c r="X42" s="38"/>
      <c r="Y42" s="38"/>
      <c r="Z42" s="38">
        <v>9.0399999999999991</v>
      </c>
      <c r="AA42" s="38">
        <v>8.06</v>
      </c>
    </row>
    <row r="43" spans="1:27" hidden="1">
      <c r="A43" t="s">
        <v>596</v>
      </c>
      <c r="B43" s="38">
        <v>8</v>
      </c>
      <c r="C43" s="38">
        <v>7.5</v>
      </c>
      <c r="D43" s="38"/>
      <c r="E43" s="38">
        <v>8</v>
      </c>
      <c r="F43" s="38">
        <v>7.5</v>
      </c>
      <c r="G43" s="38"/>
      <c r="H43" s="38">
        <v>7</v>
      </c>
      <c r="I43" s="38">
        <v>6.5</v>
      </c>
      <c r="J43" s="38">
        <v>8.5</v>
      </c>
      <c r="K43" s="38">
        <v>7</v>
      </c>
      <c r="L43" s="38">
        <v>7</v>
      </c>
      <c r="M43" s="38">
        <v>8.5</v>
      </c>
      <c r="N43" s="38">
        <v>6.5</v>
      </c>
      <c r="O43" s="38">
        <v>8</v>
      </c>
      <c r="P43" s="38">
        <v>7.5</v>
      </c>
      <c r="Q43" s="38">
        <v>8.5</v>
      </c>
      <c r="R43" s="38">
        <v>7</v>
      </c>
      <c r="S43" s="38">
        <v>7</v>
      </c>
      <c r="T43" s="38">
        <v>7.5</v>
      </c>
      <c r="U43" s="38">
        <v>8</v>
      </c>
      <c r="V43" s="38">
        <v>6.5</v>
      </c>
      <c r="W43" s="38">
        <v>7.5</v>
      </c>
      <c r="X43" s="38"/>
      <c r="Y43" s="38"/>
      <c r="Z43" s="38">
        <v>8.4499999999999993</v>
      </c>
      <c r="AA43" s="38">
        <v>7.86</v>
      </c>
    </row>
    <row r="44" spans="1:27" hidden="1">
      <c r="A44" t="s">
        <v>557</v>
      </c>
      <c r="B44" s="38">
        <v>8</v>
      </c>
      <c r="C44" s="38">
        <v>8</v>
      </c>
      <c r="D44" s="38"/>
      <c r="E44" s="38">
        <v>8</v>
      </c>
      <c r="F44" s="38">
        <v>8</v>
      </c>
      <c r="G44" s="38"/>
      <c r="H44" s="38">
        <v>8</v>
      </c>
      <c r="I44" s="38">
        <v>7.5</v>
      </c>
      <c r="J44" s="38">
        <v>8.5</v>
      </c>
      <c r="K44" s="38">
        <v>7</v>
      </c>
      <c r="L44" s="38">
        <v>8</v>
      </c>
      <c r="M44" s="38">
        <v>8.5</v>
      </c>
      <c r="N44" s="38">
        <v>7.5</v>
      </c>
      <c r="O44" s="38">
        <v>8</v>
      </c>
      <c r="P44" s="38">
        <v>8</v>
      </c>
      <c r="Q44" s="38">
        <v>8.5</v>
      </c>
      <c r="R44" s="38">
        <v>7</v>
      </c>
      <c r="S44" s="38">
        <v>8</v>
      </c>
      <c r="T44" s="38">
        <v>8.5</v>
      </c>
      <c r="U44" s="38">
        <v>8</v>
      </c>
      <c r="V44" s="38">
        <v>7.5</v>
      </c>
      <c r="W44" s="38">
        <v>8.5</v>
      </c>
      <c r="X44" s="38"/>
      <c r="Y44" s="38"/>
      <c r="Z44" s="38">
        <v>8.06</v>
      </c>
      <c r="AA44" s="38">
        <v>5.51</v>
      </c>
    </row>
    <row r="45" spans="1:27" hidden="1">
      <c r="A45" t="s">
        <v>1133</v>
      </c>
      <c r="B45" s="38">
        <v>7.5</v>
      </c>
      <c r="C45" s="38">
        <v>6.5</v>
      </c>
      <c r="D45" s="38"/>
      <c r="E45" s="38">
        <v>7</v>
      </c>
      <c r="F45" s="38">
        <v>7</v>
      </c>
      <c r="G45" s="38"/>
      <c r="H45" s="38">
        <v>8</v>
      </c>
      <c r="I45" s="38">
        <v>6</v>
      </c>
      <c r="J45" s="38">
        <v>8.5</v>
      </c>
      <c r="K45" s="38">
        <v>7.5</v>
      </c>
      <c r="L45" s="38">
        <v>8</v>
      </c>
      <c r="M45" s="38">
        <v>8.5</v>
      </c>
      <c r="N45" s="38">
        <v>7.5</v>
      </c>
      <c r="O45" s="38">
        <v>7</v>
      </c>
      <c r="P45" s="38">
        <v>7</v>
      </c>
      <c r="Q45" s="38">
        <v>8.5</v>
      </c>
      <c r="R45" s="38">
        <v>7.5</v>
      </c>
      <c r="S45" s="38">
        <v>8</v>
      </c>
      <c r="T45" s="38">
        <v>8</v>
      </c>
      <c r="U45" s="38">
        <v>7</v>
      </c>
      <c r="V45" s="38">
        <v>6</v>
      </c>
      <c r="W45" s="38">
        <v>8</v>
      </c>
      <c r="X45" s="38"/>
      <c r="Y45" s="38"/>
      <c r="Z45" s="38">
        <v>9.43</v>
      </c>
      <c r="AA45" s="38">
        <v>8.84</v>
      </c>
    </row>
    <row r="46" spans="1:27" hidden="1">
      <c r="A46" t="s">
        <v>80</v>
      </c>
      <c r="B46" s="38">
        <v>8.5</v>
      </c>
      <c r="C46" s="38">
        <v>8.5</v>
      </c>
      <c r="D46" s="38"/>
      <c r="E46" s="38">
        <v>8</v>
      </c>
      <c r="F46" s="38">
        <v>8</v>
      </c>
      <c r="G46" s="38"/>
      <c r="H46" s="38">
        <v>7</v>
      </c>
      <c r="I46" s="38">
        <v>7.5</v>
      </c>
      <c r="J46" s="38">
        <v>8</v>
      </c>
      <c r="K46" s="38">
        <v>6</v>
      </c>
      <c r="L46" s="38">
        <v>7</v>
      </c>
      <c r="M46" s="38">
        <v>8</v>
      </c>
      <c r="N46" s="38">
        <v>6.5</v>
      </c>
      <c r="O46" s="38">
        <v>8</v>
      </c>
      <c r="P46" s="38">
        <v>7.5</v>
      </c>
      <c r="Q46" s="38">
        <v>8</v>
      </c>
      <c r="R46" s="38">
        <v>6</v>
      </c>
      <c r="S46" s="38">
        <v>7</v>
      </c>
      <c r="T46" s="38">
        <v>8</v>
      </c>
      <c r="U46" s="38">
        <v>8</v>
      </c>
      <c r="V46" s="38">
        <v>7.5</v>
      </c>
      <c r="W46" s="38">
        <v>8</v>
      </c>
      <c r="X46" s="38"/>
      <c r="Y46" s="38"/>
      <c r="Z46" s="38">
        <v>9.23</v>
      </c>
      <c r="AA46" s="38">
        <v>6.49</v>
      </c>
    </row>
    <row r="47" spans="1:27" hidden="1">
      <c r="A47" t="s">
        <v>485</v>
      </c>
      <c r="B47" s="38">
        <v>8</v>
      </c>
      <c r="C47" s="38">
        <v>8</v>
      </c>
      <c r="D47" s="38"/>
      <c r="E47" s="38">
        <v>8</v>
      </c>
      <c r="F47" s="38">
        <v>8.5</v>
      </c>
      <c r="G47" s="38"/>
      <c r="H47" s="38">
        <v>9</v>
      </c>
      <c r="I47" s="38">
        <v>7</v>
      </c>
      <c r="J47" s="38">
        <v>7.5</v>
      </c>
      <c r="K47" s="38">
        <v>7</v>
      </c>
      <c r="L47" s="38">
        <v>9</v>
      </c>
      <c r="M47" s="38">
        <v>7.5</v>
      </c>
      <c r="N47" s="38">
        <v>8</v>
      </c>
      <c r="O47" s="38">
        <v>8</v>
      </c>
      <c r="P47" s="38">
        <v>8</v>
      </c>
      <c r="Q47" s="38">
        <v>7.5</v>
      </c>
      <c r="R47" s="38">
        <v>7</v>
      </c>
      <c r="S47" s="38">
        <v>9</v>
      </c>
      <c r="T47" s="38">
        <v>9</v>
      </c>
      <c r="U47" s="38">
        <v>7</v>
      </c>
      <c r="V47" s="38">
        <v>7</v>
      </c>
      <c r="W47" s="38">
        <v>9</v>
      </c>
      <c r="X47" s="38"/>
      <c r="Y47" s="38"/>
      <c r="Z47" s="38">
        <v>9.0399999999999991</v>
      </c>
      <c r="AA47" s="38">
        <v>6.49</v>
      </c>
    </row>
    <row r="48" spans="1:27" hidden="1">
      <c r="A48" t="s">
        <v>79</v>
      </c>
      <c r="B48" s="38">
        <v>8</v>
      </c>
      <c r="C48" s="38">
        <v>7.5</v>
      </c>
      <c r="D48" s="38"/>
      <c r="E48" s="38">
        <v>8</v>
      </c>
      <c r="F48" s="38">
        <v>8</v>
      </c>
      <c r="G48" s="38"/>
      <c r="H48" s="38">
        <v>9</v>
      </c>
      <c r="I48" s="38">
        <v>6.5</v>
      </c>
      <c r="J48" s="38">
        <v>8.5</v>
      </c>
      <c r="K48" s="38">
        <v>9.5</v>
      </c>
      <c r="L48" s="38">
        <v>9</v>
      </c>
      <c r="M48" s="38">
        <v>8.5</v>
      </c>
      <c r="N48" s="38">
        <v>8.5</v>
      </c>
      <c r="O48" s="38">
        <v>8</v>
      </c>
      <c r="P48" s="38">
        <v>8</v>
      </c>
      <c r="Q48" s="38">
        <v>8.5</v>
      </c>
      <c r="R48" s="38">
        <v>9.5</v>
      </c>
      <c r="S48" s="38">
        <v>9</v>
      </c>
      <c r="T48" s="38">
        <v>9</v>
      </c>
      <c r="U48" s="38">
        <v>8</v>
      </c>
      <c r="V48" s="38">
        <v>6.5</v>
      </c>
      <c r="W48" s="38">
        <v>9</v>
      </c>
      <c r="X48" s="38"/>
      <c r="Y48" s="38"/>
      <c r="Z48" s="38">
        <v>10.3</v>
      </c>
      <c r="AA48" s="38">
        <v>7.47</v>
      </c>
    </row>
    <row r="49" spans="1:27" hidden="1">
      <c r="A49" t="s">
        <v>223</v>
      </c>
      <c r="B49" s="38">
        <v>9.5</v>
      </c>
      <c r="C49" s="38">
        <v>8.5</v>
      </c>
      <c r="D49" s="38"/>
      <c r="E49" s="38">
        <v>8.5</v>
      </c>
      <c r="F49" s="38">
        <v>9</v>
      </c>
      <c r="G49" s="38"/>
      <c r="H49" s="38">
        <v>8.5</v>
      </c>
      <c r="I49" s="38">
        <v>7.5</v>
      </c>
      <c r="J49" s="38">
        <v>8.5</v>
      </c>
      <c r="K49" s="38">
        <v>8.5</v>
      </c>
      <c r="L49" s="38">
        <v>8.5</v>
      </c>
      <c r="M49" s="38">
        <v>8.5</v>
      </c>
      <c r="N49" s="38">
        <v>8</v>
      </c>
      <c r="O49" s="38">
        <v>8.5</v>
      </c>
      <c r="P49" s="38">
        <v>8.5</v>
      </c>
      <c r="Q49" s="38">
        <v>8.5</v>
      </c>
      <c r="R49" s="38">
        <v>8.5</v>
      </c>
      <c r="S49" s="38">
        <v>8.5</v>
      </c>
      <c r="T49" s="38">
        <v>9</v>
      </c>
      <c r="U49" s="38">
        <v>8.5</v>
      </c>
      <c r="V49" s="38">
        <v>7.5</v>
      </c>
      <c r="W49" s="38">
        <v>9</v>
      </c>
      <c r="X49" s="38"/>
      <c r="Y49" s="38"/>
      <c r="Z49" s="38">
        <v>10.3</v>
      </c>
      <c r="AA49" s="38">
        <v>8.64</v>
      </c>
    </row>
    <row r="50" spans="1:27" hidden="1">
      <c r="A50" t="s">
        <v>50</v>
      </c>
      <c r="B50" s="38">
        <v>7.5</v>
      </c>
      <c r="C50" s="38">
        <v>7.5</v>
      </c>
      <c r="D50" s="38"/>
      <c r="E50" s="38">
        <v>8</v>
      </c>
      <c r="F50" s="38">
        <v>8</v>
      </c>
      <c r="G50" s="38"/>
      <c r="H50" s="38">
        <v>9.5</v>
      </c>
      <c r="I50" s="38">
        <v>7</v>
      </c>
      <c r="J50" s="38">
        <v>8</v>
      </c>
      <c r="K50" s="38">
        <v>8</v>
      </c>
      <c r="L50" s="38">
        <v>9.5</v>
      </c>
      <c r="M50" s="38">
        <v>8</v>
      </c>
      <c r="N50" s="38">
        <v>9</v>
      </c>
      <c r="O50" s="38">
        <v>8</v>
      </c>
      <c r="P50" s="38">
        <v>7.5</v>
      </c>
      <c r="Q50" s="38">
        <v>8</v>
      </c>
      <c r="R50" s="38">
        <v>8</v>
      </c>
      <c r="S50" s="38">
        <v>9.5</v>
      </c>
      <c r="T50" s="38">
        <v>9</v>
      </c>
      <c r="U50" s="38">
        <v>8</v>
      </c>
      <c r="V50" s="38">
        <v>7</v>
      </c>
      <c r="W50" s="38">
        <v>9</v>
      </c>
      <c r="X50" s="38"/>
      <c r="Y50" s="38"/>
      <c r="Z50" s="38">
        <v>10.3</v>
      </c>
      <c r="AA50" s="38">
        <v>9.0399999999999991</v>
      </c>
    </row>
    <row r="51" spans="1:27">
      <c r="A51" t="s">
        <v>497</v>
      </c>
      <c r="B51" s="38">
        <v>9.5</v>
      </c>
      <c r="C51" s="38">
        <v>8.5</v>
      </c>
      <c r="D51" s="38"/>
      <c r="E51" s="38">
        <v>8.5</v>
      </c>
      <c r="F51" s="38">
        <v>9</v>
      </c>
      <c r="G51" s="38"/>
      <c r="H51" s="38">
        <v>9.5</v>
      </c>
      <c r="I51" s="38">
        <v>7.5</v>
      </c>
      <c r="J51" s="38">
        <v>9</v>
      </c>
      <c r="K51" s="38">
        <v>7.5</v>
      </c>
      <c r="L51" s="38">
        <v>9.5</v>
      </c>
      <c r="M51" s="38">
        <v>9</v>
      </c>
      <c r="N51" s="38">
        <v>8.5</v>
      </c>
      <c r="O51" s="38">
        <v>8.5</v>
      </c>
      <c r="P51" s="38">
        <v>8.5</v>
      </c>
      <c r="Q51" s="38">
        <v>9</v>
      </c>
      <c r="R51" s="38">
        <v>7.5</v>
      </c>
      <c r="S51" s="38">
        <v>9.5</v>
      </c>
      <c r="T51" s="38">
        <v>9.5</v>
      </c>
      <c r="U51" s="38">
        <v>9</v>
      </c>
      <c r="V51" s="38">
        <v>7.5</v>
      </c>
      <c r="W51" s="38">
        <v>9.5</v>
      </c>
      <c r="X51" s="38"/>
      <c r="Y51" s="38"/>
      <c r="Z51" s="38">
        <v>11</v>
      </c>
      <c r="AA51" s="38">
        <v>8.4499999999999993</v>
      </c>
    </row>
    <row r="52" spans="1:27">
      <c r="A52" t="s">
        <v>693</v>
      </c>
      <c r="B52" s="38">
        <v>10</v>
      </c>
      <c r="C52" s="38">
        <v>10</v>
      </c>
      <c r="D52" s="38"/>
      <c r="E52" s="38">
        <v>10</v>
      </c>
      <c r="F52" s="38">
        <v>9.5</v>
      </c>
      <c r="G52" s="38"/>
      <c r="H52" s="38">
        <v>10</v>
      </c>
      <c r="I52" s="38">
        <v>7.5</v>
      </c>
      <c r="J52" s="38">
        <v>8.5</v>
      </c>
      <c r="K52" s="38">
        <v>10</v>
      </c>
      <c r="L52" s="38">
        <v>10</v>
      </c>
      <c r="M52" s="38">
        <v>8.5</v>
      </c>
      <c r="N52" s="38">
        <v>9.5</v>
      </c>
      <c r="O52" s="38">
        <v>10</v>
      </c>
      <c r="P52" s="38">
        <v>9.5</v>
      </c>
      <c r="Q52" s="38">
        <v>8.5</v>
      </c>
      <c r="R52" s="38">
        <v>10</v>
      </c>
      <c r="S52" s="38">
        <v>10</v>
      </c>
      <c r="T52" s="38">
        <v>10</v>
      </c>
      <c r="U52" s="38">
        <v>10</v>
      </c>
      <c r="V52" s="38">
        <v>7.5</v>
      </c>
      <c r="W52" s="38">
        <v>10</v>
      </c>
      <c r="X52" s="38"/>
      <c r="Y52" s="38"/>
      <c r="Z52" s="38">
        <v>13</v>
      </c>
      <c r="AA52" s="38">
        <v>11.3</v>
      </c>
    </row>
    <row r="53" spans="1:27" hidden="1">
      <c r="A53" t="s">
        <v>136</v>
      </c>
      <c r="B53" s="38">
        <v>9.5</v>
      </c>
      <c r="C53" s="38">
        <v>8.5</v>
      </c>
      <c r="D53" s="38"/>
      <c r="E53" s="38">
        <v>8.5</v>
      </c>
      <c r="F53" s="38">
        <v>9</v>
      </c>
      <c r="G53" s="38"/>
      <c r="H53" s="38">
        <v>10</v>
      </c>
      <c r="I53" s="38">
        <v>8.5</v>
      </c>
      <c r="J53" s="38">
        <v>9</v>
      </c>
      <c r="K53" s="38">
        <v>9</v>
      </c>
      <c r="L53" s="38">
        <v>10</v>
      </c>
      <c r="M53" s="38">
        <v>9</v>
      </c>
      <c r="N53" s="38">
        <v>10</v>
      </c>
      <c r="O53" s="38">
        <v>8.5</v>
      </c>
      <c r="P53" s="38">
        <v>8.5</v>
      </c>
      <c r="Q53" s="38">
        <v>9</v>
      </c>
      <c r="R53" s="38">
        <v>9</v>
      </c>
      <c r="S53" s="38">
        <v>10</v>
      </c>
      <c r="T53" s="38">
        <v>10</v>
      </c>
      <c r="U53" s="38">
        <v>8.5</v>
      </c>
      <c r="V53" s="38">
        <v>8.5</v>
      </c>
      <c r="W53" s="38">
        <v>10</v>
      </c>
      <c r="X53" s="38"/>
      <c r="Y53" s="38"/>
      <c r="Z53" s="38">
        <v>11.3</v>
      </c>
      <c r="AA53" s="38">
        <v>8.64</v>
      </c>
    </row>
    <row r="54" spans="1:27" hidden="1">
      <c r="A54" t="s">
        <v>562</v>
      </c>
      <c r="B54" s="38">
        <v>10</v>
      </c>
      <c r="C54" s="38">
        <v>10</v>
      </c>
      <c r="D54" s="38"/>
      <c r="E54" s="38">
        <v>9</v>
      </c>
      <c r="F54" s="38">
        <v>8</v>
      </c>
      <c r="G54" s="38"/>
      <c r="H54" s="38">
        <v>10</v>
      </c>
      <c r="I54" s="38">
        <v>7.5</v>
      </c>
      <c r="J54" s="38">
        <v>9</v>
      </c>
      <c r="K54" s="38">
        <v>9.5</v>
      </c>
      <c r="L54" s="38">
        <v>10</v>
      </c>
      <c r="M54" s="38">
        <v>9</v>
      </c>
      <c r="N54" s="38">
        <v>9</v>
      </c>
      <c r="O54" s="38">
        <v>10</v>
      </c>
      <c r="P54" s="38">
        <v>9.5</v>
      </c>
      <c r="Q54" s="38">
        <v>9</v>
      </c>
      <c r="R54" s="38">
        <v>9.5</v>
      </c>
      <c r="S54" s="38">
        <v>10</v>
      </c>
      <c r="T54" s="38">
        <v>10</v>
      </c>
      <c r="U54" s="38">
        <v>8.5</v>
      </c>
      <c r="V54" s="38">
        <v>7.5</v>
      </c>
      <c r="W54" s="38">
        <v>10</v>
      </c>
      <c r="X54" s="38"/>
      <c r="Y54" s="38"/>
      <c r="Z54" s="38">
        <v>11.8</v>
      </c>
      <c r="AA54" s="38">
        <v>7.66</v>
      </c>
    </row>
    <row r="55" spans="1:27" hidden="1">
      <c r="A55" t="s">
        <v>99</v>
      </c>
      <c r="B55" s="38">
        <v>8.5</v>
      </c>
      <c r="C55" s="38">
        <v>8.5</v>
      </c>
      <c r="D55" s="38"/>
      <c r="E55" s="38">
        <v>8</v>
      </c>
      <c r="F55" s="38">
        <v>9</v>
      </c>
      <c r="G55" s="38"/>
      <c r="H55" s="38">
        <v>9</v>
      </c>
      <c r="I55" s="38">
        <v>7.5</v>
      </c>
      <c r="J55" s="38">
        <v>8.5</v>
      </c>
      <c r="K55" s="38">
        <v>10</v>
      </c>
      <c r="L55" s="38">
        <v>9</v>
      </c>
      <c r="M55" s="38">
        <v>8.5</v>
      </c>
      <c r="N55" s="38">
        <v>8.5</v>
      </c>
      <c r="O55" s="38">
        <v>8</v>
      </c>
      <c r="P55" s="38">
        <v>8.5</v>
      </c>
      <c r="Q55" s="38">
        <v>8.5</v>
      </c>
      <c r="R55" s="38">
        <v>10</v>
      </c>
      <c r="S55" s="38">
        <v>9</v>
      </c>
      <c r="T55" s="38">
        <v>9</v>
      </c>
      <c r="U55" s="38">
        <v>9</v>
      </c>
      <c r="V55" s="38">
        <v>7.5</v>
      </c>
      <c r="W55" s="38">
        <v>9</v>
      </c>
      <c r="X55" s="38"/>
      <c r="Y55" s="38"/>
      <c r="Z55" s="38">
        <v>11.8</v>
      </c>
      <c r="AA55" s="38">
        <v>10.3</v>
      </c>
    </row>
    <row r="56" spans="1:27" hidden="1">
      <c r="A56" t="s">
        <v>157</v>
      </c>
      <c r="B56" s="38">
        <v>10</v>
      </c>
      <c r="C56" s="38">
        <v>10</v>
      </c>
      <c r="D56" s="38"/>
      <c r="E56" s="38">
        <v>10</v>
      </c>
      <c r="F56" s="38">
        <v>9.5</v>
      </c>
      <c r="G56" s="38"/>
      <c r="H56" s="38">
        <v>9.5</v>
      </c>
      <c r="I56" s="38">
        <v>10</v>
      </c>
      <c r="J56" s="38">
        <v>11</v>
      </c>
      <c r="K56" s="38">
        <v>11</v>
      </c>
      <c r="L56" s="38">
        <v>9.5</v>
      </c>
      <c r="M56" s="38">
        <v>11</v>
      </c>
      <c r="N56" s="38">
        <v>9</v>
      </c>
      <c r="O56" s="38">
        <v>10</v>
      </c>
      <c r="P56" s="38">
        <v>10</v>
      </c>
      <c r="Q56" s="38">
        <v>11</v>
      </c>
      <c r="R56" s="38">
        <v>11</v>
      </c>
      <c r="S56" s="38">
        <v>9.5</v>
      </c>
      <c r="T56" s="38">
        <v>10</v>
      </c>
      <c r="U56" s="38">
        <v>9.5</v>
      </c>
      <c r="V56" s="38">
        <v>10</v>
      </c>
      <c r="W56" s="38">
        <v>10</v>
      </c>
      <c r="X56" s="38"/>
      <c r="Y56" s="38"/>
      <c r="Z56" s="38">
        <v>13.7</v>
      </c>
      <c r="AA56" s="38">
        <v>15.2</v>
      </c>
    </row>
    <row r="57" spans="1:27" hidden="1">
      <c r="A57" t="s">
        <v>133</v>
      </c>
      <c r="B57" s="38">
        <v>10</v>
      </c>
      <c r="C57" s="38">
        <v>9</v>
      </c>
      <c r="D57" s="38"/>
      <c r="E57" s="38">
        <v>9</v>
      </c>
      <c r="F57" s="38">
        <v>9</v>
      </c>
      <c r="G57" s="38"/>
      <c r="H57" s="38">
        <v>11</v>
      </c>
      <c r="I57" s="38">
        <v>8.5</v>
      </c>
      <c r="J57" s="38">
        <v>9</v>
      </c>
      <c r="K57" s="38">
        <v>10</v>
      </c>
      <c r="L57" s="38">
        <v>11</v>
      </c>
      <c r="M57" s="38">
        <v>9</v>
      </c>
      <c r="N57" s="38">
        <v>10</v>
      </c>
      <c r="O57" s="38">
        <v>9.5</v>
      </c>
      <c r="P57" s="38">
        <v>9</v>
      </c>
      <c r="Q57" s="38">
        <v>9</v>
      </c>
      <c r="R57" s="38">
        <v>10</v>
      </c>
      <c r="S57" s="38">
        <v>11</v>
      </c>
      <c r="T57" s="38">
        <v>11</v>
      </c>
      <c r="U57" s="38">
        <v>9.5</v>
      </c>
      <c r="V57" s="38">
        <v>8.5</v>
      </c>
      <c r="W57" s="38">
        <v>11</v>
      </c>
      <c r="X57" s="38"/>
      <c r="Y57" s="38"/>
      <c r="Z57" s="38">
        <v>12.3</v>
      </c>
      <c r="AA57" s="38">
        <v>9.82</v>
      </c>
    </row>
    <row r="58" spans="1:27" hidden="1">
      <c r="A58" t="s">
        <v>83</v>
      </c>
      <c r="B58" s="38">
        <v>10</v>
      </c>
      <c r="C58" s="38">
        <v>8.5</v>
      </c>
      <c r="D58" s="38"/>
      <c r="E58" s="38">
        <v>10</v>
      </c>
      <c r="F58" s="38">
        <v>8.5</v>
      </c>
      <c r="G58" s="38"/>
      <c r="H58" s="38">
        <v>11</v>
      </c>
      <c r="I58" s="38">
        <v>10</v>
      </c>
      <c r="J58" s="38">
        <v>11</v>
      </c>
      <c r="K58" s="38">
        <v>9.5</v>
      </c>
      <c r="L58" s="38">
        <v>11</v>
      </c>
      <c r="M58" s="38">
        <v>11</v>
      </c>
      <c r="N58" s="38">
        <v>10</v>
      </c>
      <c r="O58" s="38">
        <v>9</v>
      </c>
      <c r="P58" s="38">
        <v>9.5</v>
      </c>
      <c r="Q58" s="38">
        <v>11</v>
      </c>
      <c r="R58" s="38">
        <v>9.5</v>
      </c>
      <c r="S58" s="38">
        <v>11</v>
      </c>
      <c r="T58" s="38">
        <v>11</v>
      </c>
      <c r="U58" s="38">
        <v>9</v>
      </c>
      <c r="V58" s="38">
        <v>10</v>
      </c>
      <c r="W58" s="38">
        <v>11</v>
      </c>
      <c r="X58" s="38"/>
      <c r="Y58" s="38"/>
      <c r="Z58" s="38">
        <v>14.7</v>
      </c>
      <c r="AA58" s="38">
        <v>19.600000000000001</v>
      </c>
    </row>
    <row r="59" spans="1:27" hidden="1">
      <c r="A59" t="s">
        <v>87</v>
      </c>
      <c r="B59" s="38">
        <v>11</v>
      </c>
      <c r="C59" s="38">
        <v>10</v>
      </c>
      <c r="D59" s="38"/>
      <c r="E59" s="38">
        <v>10</v>
      </c>
      <c r="F59" s="38">
        <v>10</v>
      </c>
      <c r="G59" s="38"/>
      <c r="H59" s="38">
        <v>9.5</v>
      </c>
      <c r="I59" s="38">
        <v>8.5</v>
      </c>
      <c r="J59" s="38">
        <v>8.5</v>
      </c>
      <c r="K59" s="38">
        <v>10</v>
      </c>
      <c r="L59" s="38">
        <v>9.5</v>
      </c>
      <c r="M59" s="38">
        <v>8.5</v>
      </c>
      <c r="N59" s="38">
        <v>9</v>
      </c>
      <c r="O59" s="38">
        <v>10</v>
      </c>
      <c r="P59" s="38">
        <v>10</v>
      </c>
      <c r="Q59" s="38">
        <v>8.5</v>
      </c>
      <c r="R59" s="38">
        <v>10</v>
      </c>
      <c r="S59" s="38">
        <v>9.5</v>
      </c>
      <c r="T59" s="38">
        <v>10</v>
      </c>
      <c r="U59" s="38">
        <v>10</v>
      </c>
      <c r="V59" s="38">
        <v>8.5</v>
      </c>
      <c r="W59" s="38">
        <v>10</v>
      </c>
      <c r="X59" s="38"/>
      <c r="Y59" s="38"/>
      <c r="Z59" s="38">
        <v>13.7</v>
      </c>
      <c r="AA59" s="38"/>
    </row>
    <row r="60" spans="1:27" hidden="1">
      <c r="A60" t="s">
        <v>801</v>
      </c>
      <c r="B60" s="38">
        <v>11</v>
      </c>
      <c r="C60" s="38">
        <v>11</v>
      </c>
      <c r="D60" s="38"/>
      <c r="E60" s="38">
        <v>11</v>
      </c>
      <c r="F60" s="38">
        <v>11</v>
      </c>
      <c r="G60" s="38"/>
      <c r="H60" s="38">
        <v>12</v>
      </c>
      <c r="I60" s="38">
        <v>10</v>
      </c>
      <c r="J60" s="38">
        <v>9</v>
      </c>
      <c r="K60" s="38">
        <v>10</v>
      </c>
      <c r="L60" s="38">
        <v>12</v>
      </c>
      <c r="M60" s="38">
        <v>9</v>
      </c>
      <c r="N60" s="38">
        <v>11</v>
      </c>
      <c r="O60" s="38">
        <v>12</v>
      </c>
      <c r="P60" s="38">
        <v>11</v>
      </c>
      <c r="Q60" s="38">
        <v>9</v>
      </c>
      <c r="R60" s="38">
        <v>10</v>
      </c>
      <c r="S60" s="38">
        <v>12</v>
      </c>
      <c r="T60" s="38">
        <v>12</v>
      </c>
      <c r="U60" s="38">
        <v>10</v>
      </c>
      <c r="V60" s="38">
        <v>10</v>
      </c>
      <c r="W60" s="38">
        <v>12</v>
      </c>
      <c r="X60" s="38"/>
      <c r="Y60" s="38"/>
      <c r="Z60" s="38">
        <v>15.2</v>
      </c>
      <c r="AA60" s="38">
        <v>10.8</v>
      </c>
    </row>
    <row r="61" spans="1:27" hidden="1">
      <c r="A61" t="s">
        <v>156</v>
      </c>
      <c r="B61" s="38">
        <v>11</v>
      </c>
      <c r="C61" s="38">
        <v>12</v>
      </c>
      <c r="D61" s="38"/>
      <c r="E61" s="38">
        <v>10</v>
      </c>
      <c r="F61" s="38">
        <v>10</v>
      </c>
      <c r="G61" s="38"/>
      <c r="H61" s="38">
        <v>9.5</v>
      </c>
      <c r="I61" s="38">
        <v>10</v>
      </c>
      <c r="J61" s="38">
        <v>11</v>
      </c>
      <c r="K61" s="38">
        <v>9.5</v>
      </c>
      <c r="L61" s="38">
        <v>9.5</v>
      </c>
      <c r="M61" s="38">
        <v>11</v>
      </c>
      <c r="N61" s="38">
        <v>9</v>
      </c>
      <c r="O61" s="38">
        <v>11</v>
      </c>
      <c r="P61" s="38">
        <v>10</v>
      </c>
      <c r="Q61" s="38">
        <v>11</v>
      </c>
      <c r="R61" s="38">
        <v>9.5</v>
      </c>
      <c r="S61" s="38">
        <v>9.5</v>
      </c>
      <c r="T61" s="38">
        <v>10</v>
      </c>
      <c r="U61" s="38">
        <v>10</v>
      </c>
      <c r="V61" s="38">
        <v>10</v>
      </c>
      <c r="W61" s="38">
        <v>10</v>
      </c>
      <c r="X61" s="38"/>
      <c r="Y61" s="38"/>
      <c r="Z61" s="38">
        <v>12.3</v>
      </c>
      <c r="AA61" s="38">
        <v>10.8</v>
      </c>
    </row>
    <row r="62" spans="1:27" hidden="1">
      <c r="A62" t="s">
        <v>177</v>
      </c>
      <c r="B62" s="38">
        <v>12</v>
      </c>
      <c r="C62" s="38">
        <v>12</v>
      </c>
      <c r="D62" s="38"/>
      <c r="E62" s="38">
        <v>12</v>
      </c>
      <c r="F62" s="38">
        <v>11</v>
      </c>
      <c r="G62" s="38"/>
      <c r="H62" s="38">
        <v>10</v>
      </c>
      <c r="I62" s="38">
        <v>10</v>
      </c>
      <c r="J62" s="38">
        <v>9</v>
      </c>
      <c r="K62" s="38">
        <v>11</v>
      </c>
      <c r="L62" s="38">
        <v>10</v>
      </c>
      <c r="M62" s="38">
        <v>9</v>
      </c>
      <c r="N62" s="38">
        <v>9</v>
      </c>
      <c r="O62" s="38">
        <v>12</v>
      </c>
      <c r="P62" s="38">
        <v>12</v>
      </c>
      <c r="Q62" s="38">
        <v>9</v>
      </c>
      <c r="R62" s="38">
        <v>11</v>
      </c>
      <c r="S62" s="38">
        <v>10</v>
      </c>
      <c r="T62" s="38">
        <v>11</v>
      </c>
      <c r="U62" s="38">
        <v>11</v>
      </c>
      <c r="V62" s="38">
        <v>10</v>
      </c>
      <c r="W62" s="38">
        <v>11</v>
      </c>
      <c r="X62" s="38"/>
      <c r="Y62" s="38"/>
      <c r="Z62" s="38">
        <v>13.7</v>
      </c>
      <c r="AA62" s="38">
        <v>13.7</v>
      </c>
    </row>
    <row r="63" spans="1:27" hidden="1">
      <c r="A63" t="s">
        <v>163</v>
      </c>
      <c r="B63" s="38">
        <v>11</v>
      </c>
      <c r="C63" s="38">
        <v>10</v>
      </c>
      <c r="D63" s="38"/>
      <c r="E63" s="38">
        <v>10</v>
      </c>
      <c r="F63" s="38">
        <v>12</v>
      </c>
      <c r="G63" s="38"/>
      <c r="H63" s="38">
        <v>13</v>
      </c>
      <c r="I63" s="38">
        <v>10</v>
      </c>
      <c r="J63" s="38">
        <v>11</v>
      </c>
      <c r="K63" s="38">
        <v>13</v>
      </c>
      <c r="L63" s="38">
        <v>13</v>
      </c>
      <c r="M63" s="38">
        <v>11</v>
      </c>
      <c r="N63" s="38">
        <v>12</v>
      </c>
      <c r="O63" s="38">
        <v>10</v>
      </c>
      <c r="P63" s="38">
        <v>10</v>
      </c>
      <c r="Q63" s="38">
        <v>11</v>
      </c>
      <c r="R63" s="38">
        <v>13</v>
      </c>
      <c r="S63" s="38">
        <v>13</v>
      </c>
      <c r="T63" s="38">
        <v>12</v>
      </c>
      <c r="U63" s="38">
        <v>10</v>
      </c>
      <c r="V63" s="38">
        <v>10</v>
      </c>
      <c r="W63" s="38">
        <v>12</v>
      </c>
      <c r="X63" s="38"/>
      <c r="Y63" s="38"/>
      <c r="Z63" s="38">
        <v>16.7</v>
      </c>
      <c r="AA63" s="38">
        <v>15.2</v>
      </c>
    </row>
    <row r="64" spans="1:27" hidden="1">
      <c r="A64" t="s">
        <v>84</v>
      </c>
      <c r="B64" s="38">
        <v>10</v>
      </c>
      <c r="C64" s="38">
        <v>10</v>
      </c>
      <c r="D64" s="38"/>
      <c r="E64" s="38">
        <v>10</v>
      </c>
      <c r="F64" s="38">
        <v>10</v>
      </c>
      <c r="G64" s="38"/>
      <c r="H64" s="38">
        <v>12</v>
      </c>
      <c r="I64" s="38">
        <v>10</v>
      </c>
      <c r="J64" s="38">
        <v>11</v>
      </c>
      <c r="K64" s="38">
        <v>13</v>
      </c>
      <c r="L64" s="38">
        <v>12</v>
      </c>
      <c r="M64" s="38">
        <v>11</v>
      </c>
      <c r="N64" s="38">
        <v>11</v>
      </c>
      <c r="O64" s="38">
        <v>10</v>
      </c>
      <c r="P64" s="38">
        <v>10</v>
      </c>
      <c r="Q64" s="38">
        <v>11</v>
      </c>
      <c r="R64" s="38">
        <v>13</v>
      </c>
      <c r="S64" s="38">
        <v>12</v>
      </c>
      <c r="T64" s="38">
        <v>11</v>
      </c>
      <c r="U64" s="38">
        <v>10</v>
      </c>
      <c r="V64" s="38">
        <v>10</v>
      </c>
      <c r="W64" s="38">
        <v>11</v>
      </c>
      <c r="X64" s="38"/>
      <c r="Y64" s="38"/>
      <c r="Z64" s="38">
        <v>19.600000000000001</v>
      </c>
      <c r="AA64" s="38"/>
    </row>
    <row r="65" spans="1:31" hidden="1">
      <c r="A65" t="s">
        <v>239</v>
      </c>
      <c r="B65" s="38">
        <v>12</v>
      </c>
      <c r="C65" s="38">
        <v>12</v>
      </c>
      <c r="D65" s="38"/>
      <c r="E65" s="38">
        <v>12</v>
      </c>
      <c r="F65" s="38">
        <v>10</v>
      </c>
      <c r="G65" s="38"/>
      <c r="H65" s="38">
        <v>10</v>
      </c>
      <c r="I65" s="38">
        <v>10</v>
      </c>
      <c r="J65" s="38">
        <v>13</v>
      </c>
      <c r="K65" s="38">
        <v>13</v>
      </c>
      <c r="L65" s="38">
        <v>10</v>
      </c>
      <c r="M65" s="38">
        <v>13</v>
      </c>
      <c r="N65" s="38">
        <v>10</v>
      </c>
      <c r="O65" s="38">
        <v>12</v>
      </c>
      <c r="P65" s="38">
        <v>11</v>
      </c>
      <c r="Q65" s="38">
        <v>13</v>
      </c>
      <c r="R65" s="38">
        <v>13</v>
      </c>
      <c r="S65" s="38">
        <v>10</v>
      </c>
      <c r="T65" s="38">
        <v>11</v>
      </c>
      <c r="U65" s="38">
        <v>10</v>
      </c>
      <c r="V65" s="38">
        <v>10</v>
      </c>
      <c r="W65" s="38">
        <v>11</v>
      </c>
      <c r="X65" s="38"/>
      <c r="Y65" s="38"/>
      <c r="Z65" s="38">
        <v>15.7</v>
      </c>
      <c r="AA65" s="38">
        <v>18.100000000000001</v>
      </c>
    </row>
    <row r="66" spans="1:31">
      <c r="A66" t="s">
        <v>692</v>
      </c>
      <c r="B66" s="38">
        <v>12</v>
      </c>
      <c r="C66" s="38">
        <v>12</v>
      </c>
      <c r="D66" s="38"/>
      <c r="E66" s="38">
        <v>12</v>
      </c>
      <c r="F66" s="38">
        <v>12</v>
      </c>
      <c r="G66" s="38"/>
      <c r="H66" s="38">
        <v>13</v>
      </c>
      <c r="I66" s="38">
        <v>10</v>
      </c>
      <c r="J66" s="38">
        <v>13</v>
      </c>
      <c r="K66" s="38">
        <v>13</v>
      </c>
      <c r="L66" s="38">
        <v>13</v>
      </c>
      <c r="M66" s="38">
        <v>13</v>
      </c>
      <c r="N66" s="38">
        <v>13</v>
      </c>
      <c r="O66" s="38">
        <v>13</v>
      </c>
      <c r="P66" s="38">
        <v>12</v>
      </c>
      <c r="Q66" s="38">
        <v>13</v>
      </c>
      <c r="R66" s="38">
        <v>13</v>
      </c>
      <c r="S66" s="38">
        <v>13</v>
      </c>
      <c r="T66" s="38">
        <v>13</v>
      </c>
      <c r="U66" s="38">
        <v>13</v>
      </c>
      <c r="V66" s="38">
        <v>10</v>
      </c>
      <c r="W66" s="38">
        <v>13</v>
      </c>
      <c r="X66" s="38"/>
      <c r="Y66" s="38"/>
      <c r="Z66" s="38">
        <v>15.6</v>
      </c>
      <c r="AA66" s="38"/>
    </row>
    <row r="67" spans="1:31" hidden="1">
      <c r="A67" t="s">
        <v>41</v>
      </c>
      <c r="B67" s="38">
        <v>12</v>
      </c>
      <c r="C67" s="38">
        <v>11</v>
      </c>
      <c r="D67" s="38"/>
      <c r="E67" s="38">
        <v>12</v>
      </c>
      <c r="F67" s="38">
        <v>11</v>
      </c>
      <c r="G67" s="38"/>
      <c r="H67" s="38">
        <v>13</v>
      </c>
      <c r="I67" s="38">
        <v>11</v>
      </c>
      <c r="J67" s="38">
        <v>13</v>
      </c>
      <c r="K67" s="38">
        <v>10</v>
      </c>
      <c r="L67" s="38">
        <v>13</v>
      </c>
      <c r="M67" s="38">
        <v>13</v>
      </c>
      <c r="N67" s="38">
        <v>12</v>
      </c>
      <c r="O67" s="38">
        <v>12</v>
      </c>
      <c r="P67" s="38">
        <v>11</v>
      </c>
      <c r="Q67" s="38">
        <v>13</v>
      </c>
      <c r="R67" s="38">
        <v>10</v>
      </c>
      <c r="S67" s="38">
        <v>13</v>
      </c>
      <c r="T67" s="38">
        <v>13</v>
      </c>
      <c r="U67" s="38">
        <v>12</v>
      </c>
      <c r="V67" s="38">
        <v>11</v>
      </c>
      <c r="W67" s="38">
        <v>13</v>
      </c>
      <c r="X67" s="38"/>
      <c r="Y67" s="38"/>
      <c r="Z67" s="38">
        <v>14.7</v>
      </c>
      <c r="AA67" s="38">
        <v>13.7</v>
      </c>
    </row>
    <row r="68" spans="1:31" hidden="1">
      <c r="A68" t="s">
        <v>419</v>
      </c>
      <c r="B68" s="38">
        <v>12</v>
      </c>
      <c r="C68" s="38">
        <v>12</v>
      </c>
      <c r="D68" s="38"/>
      <c r="E68" s="38">
        <v>12</v>
      </c>
      <c r="F68" s="38">
        <v>11</v>
      </c>
      <c r="G68" s="38"/>
      <c r="H68" s="38">
        <v>13</v>
      </c>
      <c r="I68" s="38">
        <v>10</v>
      </c>
      <c r="J68" s="38">
        <v>11</v>
      </c>
      <c r="K68" s="38">
        <v>11</v>
      </c>
      <c r="L68" s="38">
        <v>13</v>
      </c>
      <c r="M68" s="38">
        <v>11</v>
      </c>
      <c r="N68" s="38">
        <v>12</v>
      </c>
      <c r="O68" s="38">
        <v>12</v>
      </c>
      <c r="P68" s="38">
        <v>12</v>
      </c>
      <c r="Q68" s="38">
        <v>11</v>
      </c>
      <c r="R68" s="38">
        <v>11</v>
      </c>
      <c r="S68" s="38">
        <v>13</v>
      </c>
      <c r="T68" s="38">
        <v>13</v>
      </c>
      <c r="U68" s="38">
        <v>12</v>
      </c>
      <c r="V68" s="38">
        <v>10</v>
      </c>
      <c r="W68" s="38">
        <v>13</v>
      </c>
      <c r="X68" s="38"/>
      <c r="Y68" s="38"/>
      <c r="Z68" s="38">
        <v>15.7</v>
      </c>
      <c r="AA68" s="38">
        <v>11.8</v>
      </c>
    </row>
    <row r="69" spans="1:31" hidden="1">
      <c r="A69" t="s">
        <v>249</v>
      </c>
      <c r="B69" s="38"/>
      <c r="C69" s="38"/>
      <c r="D69" s="38"/>
      <c r="E69" s="38"/>
      <c r="F69" s="38"/>
      <c r="G69" s="38"/>
      <c r="H69" s="38"/>
      <c r="I69" s="38"/>
      <c r="J69" s="38"/>
      <c r="K69" s="38"/>
      <c r="L69" s="38"/>
      <c r="M69" s="38"/>
      <c r="N69" s="38">
        <v>15</v>
      </c>
      <c r="O69" s="38"/>
      <c r="P69" s="38"/>
      <c r="Q69" s="38"/>
      <c r="R69" s="38"/>
      <c r="S69" s="38"/>
      <c r="T69" s="38"/>
      <c r="U69" s="38"/>
      <c r="V69" s="38"/>
      <c r="W69" s="38"/>
      <c r="X69" s="38"/>
      <c r="Y69" s="38"/>
      <c r="Z69" s="38"/>
      <c r="AA69" s="38"/>
    </row>
    <row r="70" spans="1:31" hidden="1">
      <c r="A70" t="s">
        <v>393</v>
      </c>
      <c r="B70" s="38">
        <v>15</v>
      </c>
      <c r="C70" s="38">
        <v>13</v>
      </c>
      <c r="D70" s="38"/>
      <c r="E70" s="38">
        <v>13</v>
      </c>
      <c r="F70" s="38">
        <v>11</v>
      </c>
      <c r="G70" s="38"/>
      <c r="H70" s="38">
        <v>13</v>
      </c>
      <c r="I70" s="38">
        <v>11</v>
      </c>
      <c r="J70" s="38">
        <v>11</v>
      </c>
      <c r="K70" s="38">
        <v>13</v>
      </c>
      <c r="L70" s="38">
        <v>13</v>
      </c>
      <c r="M70" s="38">
        <v>11</v>
      </c>
      <c r="N70" s="38">
        <v>12</v>
      </c>
      <c r="O70" s="38">
        <v>13</v>
      </c>
      <c r="P70" s="38">
        <v>13</v>
      </c>
      <c r="Q70" s="38">
        <v>11</v>
      </c>
      <c r="R70" s="38">
        <v>13</v>
      </c>
      <c r="S70" s="38">
        <v>13</v>
      </c>
      <c r="T70" s="38">
        <v>13</v>
      </c>
      <c r="U70" s="38">
        <v>12</v>
      </c>
      <c r="V70" s="38">
        <v>11</v>
      </c>
      <c r="W70" s="38">
        <v>13</v>
      </c>
      <c r="X70" s="38"/>
      <c r="Y70" s="38"/>
      <c r="Z70" s="38">
        <v>17.7</v>
      </c>
      <c r="AA70" s="38">
        <v>16.2</v>
      </c>
    </row>
    <row r="71" spans="1:31" hidden="1">
      <c r="A71" t="s">
        <v>167</v>
      </c>
      <c r="B71" s="38">
        <v>15</v>
      </c>
      <c r="C71" s="38">
        <v>15</v>
      </c>
      <c r="D71" s="38"/>
      <c r="E71" s="38">
        <v>15</v>
      </c>
      <c r="F71" s="38">
        <v>13</v>
      </c>
      <c r="G71" s="38"/>
      <c r="H71" s="38">
        <v>15</v>
      </c>
      <c r="I71" s="38">
        <v>13</v>
      </c>
      <c r="J71" s="38">
        <v>15</v>
      </c>
      <c r="K71" s="38">
        <v>15</v>
      </c>
      <c r="L71" s="38">
        <v>15</v>
      </c>
      <c r="M71" s="38">
        <v>15</v>
      </c>
      <c r="N71" s="38">
        <v>15</v>
      </c>
      <c r="O71" s="38">
        <v>15</v>
      </c>
      <c r="P71" s="38">
        <v>14</v>
      </c>
      <c r="Q71" s="38">
        <v>15</v>
      </c>
      <c r="R71" s="38">
        <v>15</v>
      </c>
      <c r="S71" s="38">
        <v>15</v>
      </c>
      <c r="T71" s="38">
        <v>15</v>
      </c>
      <c r="U71" s="38">
        <v>13</v>
      </c>
      <c r="V71" s="38">
        <v>13</v>
      </c>
      <c r="W71" s="38">
        <v>15</v>
      </c>
      <c r="X71" s="38"/>
      <c r="Y71" s="38"/>
      <c r="Z71" s="38">
        <v>22</v>
      </c>
      <c r="AA71" s="38">
        <v>24</v>
      </c>
    </row>
    <row r="72" spans="1:31" hidden="1">
      <c r="A72" t="s">
        <v>103</v>
      </c>
      <c r="B72" s="38">
        <v>11</v>
      </c>
      <c r="C72" s="38">
        <v>10</v>
      </c>
      <c r="D72" s="38"/>
      <c r="E72" s="38">
        <v>10</v>
      </c>
      <c r="F72" s="38">
        <v>11</v>
      </c>
      <c r="G72" s="38"/>
      <c r="H72" s="38">
        <v>13</v>
      </c>
      <c r="I72" s="38">
        <v>8.5</v>
      </c>
      <c r="J72" s="38">
        <v>11</v>
      </c>
      <c r="K72" s="38">
        <v>15</v>
      </c>
      <c r="L72" s="38">
        <v>13</v>
      </c>
      <c r="M72" s="38">
        <v>11</v>
      </c>
      <c r="N72" s="38">
        <v>12</v>
      </c>
      <c r="O72" s="38">
        <v>10</v>
      </c>
      <c r="P72" s="38">
        <v>10</v>
      </c>
      <c r="Q72" s="38">
        <v>11</v>
      </c>
      <c r="R72" s="38">
        <v>15</v>
      </c>
      <c r="S72" s="38">
        <v>13</v>
      </c>
      <c r="T72" s="38">
        <v>12</v>
      </c>
      <c r="U72" s="38">
        <v>11</v>
      </c>
      <c r="V72" s="38">
        <v>8.5</v>
      </c>
      <c r="W72" s="38">
        <v>12</v>
      </c>
      <c r="X72" s="38"/>
      <c r="Y72" s="38"/>
      <c r="Z72" s="38">
        <v>16.7</v>
      </c>
      <c r="AA72" s="38">
        <v>14.7</v>
      </c>
    </row>
    <row r="73" spans="1:31" hidden="1">
      <c r="A73" t="s">
        <v>558</v>
      </c>
      <c r="B73" s="38">
        <v>12</v>
      </c>
      <c r="C73" s="38">
        <v>12</v>
      </c>
      <c r="D73" s="38"/>
      <c r="E73" s="38">
        <v>12</v>
      </c>
      <c r="F73" s="38">
        <v>12</v>
      </c>
      <c r="G73" s="38"/>
      <c r="H73" s="38">
        <v>15</v>
      </c>
      <c r="I73" s="38">
        <v>10</v>
      </c>
      <c r="J73" s="38">
        <v>11</v>
      </c>
      <c r="K73" s="38">
        <v>13</v>
      </c>
      <c r="L73" s="38">
        <v>15</v>
      </c>
      <c r="M73" s="38">
        <v>11</v>
      </c>
      <c r="N73" s="38">
        <v>15</v>
      </c>
      <c r="O73" s="38">
        <v>12</v>
      </c>
      <c r="P73" s="38">
        <v>13</v>
      </c>
      <c r="Q73" s="38">
        <v>11</v>
      </c>
      <c r="R73" s="38">
        <v>13</v>
      </c>
      <c r="S73" s="38">
        <v>15</v>
      </c>
      <c r="T73" s="38">
        <v>15</v>
      </c>
      <c r="U73" s="38">
        <v>13</v>
      </c>
      <c r="V73" s="38">
        <v>10</v>
      </c>
      <c r="W73" s="38">
        <v>15</v>
      </c>
      <c r="X73" s="38"/>
      <c r="Y73" s="38"/>
      <c r="Z73" s="38">
        <v>15.7</v>
      </c>
      <c r="AA73" s="38">
        <v>15.2</v>
      </c>
    </row>
    <row r="74" spans="1:31" hidden="1">
      <c r="A74" t="s">
        <v>186</v>
      </c>
      <c r="B74" s="38">
        <v>15</v>
      </c>
      <c r="C74" s="38">
        <v>13</v>
      </c>
      <c r="D74" s="38"/>
      <c r="E74" s="38">
        <v>13</v>
      </c>
      <c r="F74" s="38">
        <v>13</v>
      </c>
      <c r="G74" s="38"/>
      <c r="H74" s="38">
        <v>12</v>
      </c>
      <c r="I74" s="38">
        <v>11</v>
      </c>
      <c r="J74" s="38">
        <v>15</v>
      </c>
      <c r="K74" s="38">
        <v>13</v>
      </c>
      <c r="L74" s="38">
        <v>12</v>
      </c>
      <c r="M74" s="38">
        <v>15</v>
      </c>
      <c r="N74" s="38">
        <v>11</v>
      </c>
      <c r="O74" s="38">
        <v>13</v>
      </c>
      <c r="P74" s="38">
        <v>13</v>
      </c>
      <c r="Q74" s="38">
        <v>15</v>
      </c>
      <c r="R74" s="38">
        <v>13</v>
      </c>
      <c r="S74" s="38">
        <v>12</v>
      </c>
      <c r="T74" s="38">
        <v>13</v>
      </c>
      <c r="U74" s="38">
        <v>13</v>
      </c>
      <c r="V74" s="38">
        <v>11</v>
      </c>
      <c r="W74" s="38">
        <v>13</v>
      </c>
      <c r="X74" s="38"/>
      <c r="Y74" s="38"/>
      <c r="Z74" s="38">
        <v>17.2</v>
      </c>
      <c r="AA74" s="38">
        <v>19.100000000000001</v>
      </c>
      <c r="AC74" s="338" t="s">
        <v>491</v>
      </c>
      <c r="AE74" t="s">
        <v>439</v>
      </c>
    </row>
    <row r="75" spans="1:31" hidden="1">
      <c r="A75" t="s">
        <v>1148</v>
      </c>
      <c r="B75" s="38">
        <v>15</v>
      </c>
      <c r="C75" s="38">
        <v>13</v>
      </c>
      <c r="D75" s="38"/>
      <c r="E75" s="38">
        <v>13</v>
      </c>
      <c r="F75" s="38">
        <v>13</v>
      </c>
      <c r="G75" s="38"/>
      <c r="H75" s="38">
        <v>11</v>
      </c>
      <c r="I75" s="38">
        <v>13</v>
      </c>
      <c r="J75" s="38">
        <v>13</v>
      </c>
      <c r="K75" s="38">
        <v>15</v>
      </c>
      <c r="L75" s="38">
        <v>11</v>
      </c>
      <c r="M75" s="38">
        <v>13</v>
      </c>
      <c r="N75" s="38">
        <v>10</v>
      </c>
      <c r="O75" s="38">
        <v>13</v>
      </c>
      <c r="P75" s="38">
        <v>13</v>
      </c>
      <c r="Q75" s="38">
        <v>13</v>
      </c>
      <c r="R75" s="38">
        <v>15</v>
      </c>
      <c r="S75" s="38">
        <v>11</v>
      </c>
      <c r="T75" s="38">
        <v>13</v>
      </c>
      <c r="U75" s="38">
        <v>15</v>
      </c>
      <c r="V75" s="38">
        <v>13</v>
      </c>
      <c r="W75" s="38">
        <v>13</v>
      </c>
      <c r="X75" s="38"/>
      <c r="Y75" s="38"/>
      <c r="Z75" s="38">
        <v>15.2</v>
      </c>
      <c r="AA75" s="38">
        <v>14.2</v>
      </c>
      <c r="AC75" s="338" t="s">
        <v>10</v>
      </c>
      <c r="AE75" s="338" t="s">
        <v>10</v>
      </c>
    </row>
    <row r="76" spans="1:31" hidden="1">
      <c r="A76" t="s">
        <v>160</v>
      </c>
      <c r="B76" s="38">
        <v>15</v>
      </c>
      <c r="C76" s="38">
        <v>12</v>
      </c>
      <c r="D76" s="38"/>
      <c r="E76" s="38">
        <v>13</v>
      </c>
      <c r="F76" s="38">
        <v>13</v>
      </c>
      <c r="G76" s="38"/>
      <c r="H76" s="38">
        <v>13</v>
      </c>
      <c r="I76" s="38">
        <v>13</v>
      </c>
      <c r="J76" s="38">
        <v>13</v>
      </c>
      <c r="K76" s="38">
        <v>12</v>
      </c>
      <c r="L76" s="38">
        <v>13</v>
      </c>
      <c r="M76" s="38">
        <v>13</v>
      </c>
      <c r="N76" s="38">
        <v>13</v>
      </c>
      <c r="O76" s="38">
        <v>13</v>
      </c>
      <c r="P76" s="38">
        <v>12</v>
      </c>
      <c r="Q76" s="38">
        <v>13</v>
      </c>
      <c r="R76" s="38">
        <v>12</v>
      </c>
      <c r="S76" s="38">
        <v>13</v>
      </c>
      <c r="T76" s="38">
        <v>15</v>
      </c>
      <c r="U76" s="38">
        <v>12</v>
      </c>
      <c r="V76" s="38">
        <v>13</v>
      </c>
      <c r="W76" s="38">
        <v>15</v>
      </c>
      <c r="X76" s="38"/>
      <c r="Y76" s="38"/>
      <c r="Z76" s="38">
        <v>17.2</v>
      </c>
      <c r="AA76" s="38"/>
      <c r="AC76" s="338" t="s">
        <v>131</v>
      </c>
      <c r="AE76" t="s">
        <v>124</v>
      </c>
    </row>
    <row r="77" spans="1:31" hidden="1">
      <c r="A77" t="s">
        <v>60</v>
      </c>
      <c r="B77" s="38">
        <v>15</v>
      </c>
      <c r="C77" s="38">
        <v>13</v>
      </c>
      <c r="D77" s="38"/>
      <c r="E77" s="38">
        <v>13</v>
      </c>
      <c r="F77" s="38">
        <v>13</v>
      </c>
      <c r="G77" s="38"/>
      <c r="H77" s="38">
        <v>12</v>
      </c>
      <c r="I77" s="38">
        <v>11</v>
      </c>
      <c r="J77" s="38">
        <v>15</v>
      </c>
      <c r="K77" s="38">
        <v>15</v>
      </c>
      <c r="L77" s="38">
        <v>12</v>
      </c>
      <c r="M77" s="38">
        <v>15</v>
      </c>
      <c r="N77" s="38">
        <v>11</v>
      </c>
      <c r="O77" s="38">
        <v>13</v>
      </c>
      <c r="P77" s="38">
        <v>13</v>
      </c>
      <c r="Q77" s="38">
        <v>15</v>
      </c>
      <c r="R77" s="38">
        <v>15</v>
      </c>
      <c r="S77" s="38">
        <v>12</v>
      </c>
      <c r="T77" s="38">
        <v>13</v>
      </c>
      <c r="U77" s="38">
        <v>13</v>
      </c>
      <c r="V77" s="38">
        <v>11</v>
      </c>
      <c r="W77" s="38">
        <v>13</v>
      </c>
      <c r="X77" s="38"/>
      <c r="Y77" s="38"/>
      <c r="Z77" s="38">
        <v>17.2</v>
      </c>
      <c r="AA77" s="38">
        <v>14.2</v>
      </c>
      <c r="AC77" s="338" t="s">
        <v>596</v>
      </c>
      <c r="AE77" t="s">
        <v>795</v>
      </c>
    </row>
    <row r="78" spans="1:31" hidden="1">
      <c r="A78" t="s">
        <v>107</v>
      </c>
      <c r="B78" s="38">
        <v>12</v>
      </c>
      <c r="C78" s="38">
        <v>11</v>
      </c>
      <c r="D78" s="38"/>
      <c r="E78" s="38">
        <v>12</v>
      </c>
      <c r="F78" s="38">
        <v>12</v>
      </c>
      <c r="G78" s="38"/>
      <c r="H78" s="38">
        <v>11</v>
      </c>
      <c r="I78" s="38">
        <v>8.5</v>
      </c>
      <c r="J78" s="38">
        <v>15</v>
      </c>
      <c r="K78" s="38">
        <v>13</v>
      </c>
      <c r="L78" s="38">
        <v>11</v>
      </c>
      <c r="M78" s="38">
        <v>15</v>
      </c>
      <c r="N78" s="38">
        <v>10</v>
      </c>
      <c r="O78" s="38">
        <v>12</v>
      </c>
      <c r="P78" s="38">
        <v>12</v>
      </c>
      <c r="Q78" s="38">
        <v>15</v>
      </c>
      <c r="R78" s="38">
        <v>13</v>
      </c>
      <c r="S78" s="38">
        <v>11</v>
      </c>
      <c r="T78" s="38">
        <v>12</v>
      </c>
      <c r="U78" s="38">
        <v>12</v>
      </c>
      <c r="V78" s="38">
        <v>8.5</v>
      </c>
      <c r="W78" s="38">
        <v>12</v>
      </c>
      <c r="X78" s="38"/>
      <c r="Y78" s="38"/>
      <c r="Z78" s="38">
        <v>16.2</v>
      </c>
      <c r="AA78" s="38">
        <v>11.8</v>
      </c>
      <c r="AC78" t="s">
        <v>250</v>
      </c>
      <c r="AE78" t="s">
        <v>126</v>
      </c>
    </row>
    <row r="79" spans="1:31" hidden="1">
      <c r="A79" t="s">
        <v>155</v>
      </c>
      <c r="B79" s="38">
        <v>15</v>
      </c>
      <c r="C79" s="38">
        <v>15</v>
      </c>
      <c r="D79" s="38"/>
      <c r="E79" s="38">
        <v>12</v>
      </c>
      <c r="F79" s="38">
        <v>12</v>
      </c>
      <c r="G79" s="38"/>
      <c r="H79" s="38">
        <v>15</v>
      </c>
      <c r="I79" s="38">
        <v>11</v>
      </c>
      <c r="J79" s="38">
        <v>13</v>
      </c>
      <c r="K79" s="38">
        <v>15</v>
      </c>
      <c r="L79" s="38">
        <v>15</v>
      </c>
      <c r="M79" s="38">
        <v>13</v>
      </c>
      <c r="N79" s="38">
        <v>15</v>
      </c>
      <c r="O79" s="38">
        <v>12</v>
      </c>
      <c r="P79" s="38">
        <v>13</v>
      </c>
      <c r="Q79" s="38">
        <v>13</v>
      </c>
      <c r="R79" s="38">
        <v>15</v>
      </c>
      <c r="S79" s="38">
        <v>15</v>
      </c>
      <c r="T79" s="38">
        <v>15</v>
      </c>
      <c r="U79" s="38">
        <v>12</v>
      </c>
      <c r="V79" s="38">
        <v>11</v>
      </c>
      <c r="W79" s="38">
        <v>15</v>
      </c>
      <c r="X79" s="38"/>
      <c r="Y79" s="38"/>
      <c r="Z79" s="38">
        <v>19.600000000000001</v>
      </c>
      <c r="AA79" s="38">
        <v>22</v>
      </c>
      <c r="AC79" t="s">
        <v>112</v>
      </c>
      <c r="AE79" t="s">
        <v>595</v>
      </c>
    </row>
    <row r="80" spans="1:31" hidden="1">
      <c r="A80" t="s">
        <v>21</v>
      </c>
      <c r="B80" s="38">
        <v>15</v>
      </c>
      <c r="C80" s="38">
        <v>15</v>
      </c>
      <c r="D80" s="38"/>
      <c r="E80" s="38">
        <v>15</v>
      </c>
      <c r="F80" s="38">
        <v>15</v>
      </c>
      <c r="G80" s="38"/>
      <c r="H80" s="38">
        <v>17</v>
      </c>
      <c r="I80" s="38">
        <v>13</v>
      </c>
      <c r="J80" s="38">
        <v>15</v>
      </c>
      <c r="K80" s="38"/>
      <c r="L80" s="38">
        <v>17</v>
      </c>
      <c r="M80" s="38">
        <v>15</v>
      </c>
      <c r="N80" s="38">
        <v>15</v>
      </c>
      <c r="O80" s="38">
        <v>15</v>
      </c>
      <c r="P80" s="38">
        <v>15</v>
      </c>
      <c r="Q80" s="38">
        <v>15</v>
      </c>
      <c r="R80" s="38"/>
      <c r="S80" s="38">
        <v>17</v>
      </c>
      <c r="T80" s="38">
        <v>17</v>
      </c>
      <c r="U80" s="38">
        <v>15</v>
      </c>
      <c r="V80" s="38">
        <v>13</v>
      </c>
      <c r="W80" s="38">
        <v>17</v>
      </c>
      <c r="X80" s="38"/>
      <c r="Y80" s="38"/>
      <c r="Z80" s="38">
        <v>19.100000000000001</v>
      </c>
      <c r="AA80" s="38">
        <v>14.7</v>
      </c>
      <c r="AC80" t="s">
        <v>126</v>
      </c>
      <c r="AE80" t="s">
        <v>92</v>
      </c>
    </row>
    <row r="81" spans="1:31" hidden="1">
      <c r="A81" t="s">
        <v>556</v>
      </c>
      <c r="B81" s="38">
        <v>17</v>
      </c>
      <c r="C81" s="38">
        <v>15</v>
      </c>
      <c r="D81" s="38"/>
      <c r="E81" s="38">
        <v>17</v>
      </c>
      <c r="F81" s="38">
        <v>15</v>
      </c>
      <c r="G81" s="38"/>
      <c r="H81" s="38">
        <v>17</v>
      </c>
      <c r="I81" s="38">
        <v>13</v>
      </c>
      <c r="J81" s="38">
        <v>15</v>
      </c>
      <c r="K81" s="38">
        <v>15</v>
      </c>
      <c r="L81" s="38">
        <v>17</v>
      </c>
      <c r="M81" s="38">
        <v>15</v>
      </c>
      <c r="N81" s="38">
        <v>15</v>
      </c>
      <c r="O81" s="38">
        <v>17</v>
      </c>
      <c r="P81" s="38">
        <v>15</v>
      </c>
      <c r="Q81" s="38">
        <v>15</v>
      </c>
      <c r="R81" s="38">
        <v>15</v>
      </c>
      <c r="S81" s="38">
        <v>17</v>
      </c>
      <c r="T81" s="38">
        <v>17</v>
      </c>
      <c r="U81" s="38">
        <v>15</v>
      </c>
      <c r="V81" s="38">
        <v>13</v>
      </c>
      <c r="W81" s="38">
        <v>17</v>
      </c>
      <c r="X81" s="38"/>
      <c r="Y81" s="38"/>
      <c r="Z81" s="38">
        <v>19.100000000000001</v>
      </c>
      <c r="AA81" s="38">
        <v>15.2</v>
      </c>
      <c r="AC81" t="s">
        <v>92</v>
      </c>
      <c r="AE81" t="s">
        <v>131</v>
      </c>
    </row>
    <row r="82" spans="1:31" hidden="1">
      <c r="A82" t="s">
        <v>563</v>
      </c>
      <c r="B82" s="38">
        <v>15</v>
      </c>
      <c r="C82" s="38">
        <v>17</v>
      </c>
      <c r="D82" s="38"/>
      <c r="E82" s="38">
        <v>15</v>
      </c>
      <c r="F82" s="38">
        <v>13</v>
      </c>
      <c r="G82" s="38"/>
      <c r="H82" s="38">
        <v>17</v>
      </c>
      <c r="I82" s="38">
        <v>13</v>
      </c>
      <c r="J82" s="38">
        <v>15</v>
      </c>
      <c r="K82" s="38">
        <v>17</v>
      </c>
      <c r="L82" s="38">
        <v>17</v>
      </c>
      <c r="M82" s="38">
        <v>15</v>
      </c>
      <c r="N82" s="38">
        <v>15</v>
      </c>
      <c r="O82" s="38">
        <v>15</v>
      </c>
      <c r="P82" s="38">
        <v>15</v>
      </c>
      <c r="Q82" s="38">
        <v>15</v>
      </c>
      <c r="R82" s="38">
        <v>17</v>
      </c>
      <c r="S82" s="38">
        <v>17</v>
      </c>
      <c r="T82" s="38">
        <v>17</v>
      </c>
      <c r="U82" s="38">
        <v>13</v>
      </c>
      <c r="V82" s="38">
        <v>13</v>
      </c>
      <c r="W82" s="38">
        <v>17</v>
      </c>
      <c r="X82" s="38"/>
      <c r="Y82" s="38"/>
      <c r="Z82" s="38">
        <v>21</v>
      </c>
      <c r="AA82" s="38">
        <v>17.7</v>
      </c>
      <c r="AC82" t="s">
        <v>439</v>
      </c>
      <c r="AE82" t="s">
        <v>39</v>
      </c>
    </row>
    <row r="83" spans="1:31" hidden="1">
      <c r="A83" t="s">
        <v>490</v>
      </c>
      <c r="B83" s="38">
        <v>15</v>
      </c>
      <c r="C83" s="38">
        <v>13</v>
      </c>
      <c r="D83" s="38"/>
      <c r="E83" s="38">
        <v>13</v>
      </c>
      <c r="F83" s="38">
        <v>14</v>
      </c>
      <c r="G83" s="38"/>
      <c r="H83" s="38">
        <v>13</v>
      </c>
      <c r="I83" s="38">
        <v>11</v>
      </c>
      <c r="J83" s="38">
        <v>15</v>
      </c>
      <c r="K83" s="38">
        <v>17</v>
      </c>
      <c r="L83" s="38">
        <v>13</v>
      </c>
      <c r="M83" s="38">
        <v>15</v>
      </c>
      <c r="N83" s="38">
        <v>13</v>
      </c>
      <c r="O83" s="38">
        <v>13</v>
      </c>
      <c r="P83" s="38">
        <v>14</v>
      </c>
      <c r="Q83" s="38">
        <v>15</v>
      </c>
      <c r="R83" s="38">
        <v>17</v>
      </c>
      <c r="S83" s="38">
        <v>13</v>
      </c>
      <c r="T83" s="38">
        <v>15</v>
      </c>
      <c r="U83" s="38">
        <v>13</v>
      </c>
      <c r="V83" s="38">
        <v>11</v>
      </c>
      <c r="W83" s="38">
        <v>15</v>
      </c>
      <c r="X83" s="38"/>
      <c r="Y83" s="38"/>
      <c r="Z83" s="38">
        <v>19.600000000000001</v>
      </c>
      <c r="AA83" s="38"/>
      <c r="AC83" t="s">
        <v>801</v>
      </c>
      <c r="AE83" t="s">
        <v>112</v>
      </c>
    </row>
    <row r="84" spans="1:31" hidden="1">
      <c r="A84" t="s">
        <v>242</v>
      </c>
      <c r="B84" s="38"/>
      <c r="C84" s="38"/>
      <c r="D84" s="38"/>
      <c r="E84" s="38"/>
      <c r="F84" s="38"/>
      <c r="G84" s="38"/>
      <c r="H84" s="38"/>
      <c r="I84" s="38"/>
      <c r="J84" s="38"/>
      <c r="K84" s="38"/>
      <c r="L84" s="38"/>
      <c r="M84" s="38"/>
      <c r="N84" s="38">
        <v>17</v>
      </c>
      <c r="O84" s="38"/>
      <c r="P84" s="38"/>
      <c r="Q84" s="38"/>
      <c r="R84" s="38"/>
      <c r="S84" s="38"/>
      <c r="T84" s="38">
        <v>19</v>
      </c>
      <c r="U84" s="38"/>
      <c r="V84" s="38"/>
      <c r="W84" s="38">
        <v>19</v>
      </c>
      <c r="X84" s="38"/>
      <c r="Y84" s="38"/>
      <c r="Z84" s="38"/>
      <c r="AA84" s="38"/>
      <c r="AC84" t="s">
        <v>595</v>
      </c>
      <c r="AE84" t="s">
        <v>801</v>
      </c>
    </row>
    <row r="85" spans="1:31" hidden="1">
      <c r="A85" t="s">
        <v>117</v>
      </c>
      <c r="B85" s="38">
        <v>17</v>
      </c>
      <c r="C85" s="38">
        <v>17</v>
      </c>
      <c r="D85" s="38"/>
      <c r="E85" s="38">
        <v>17</v>
      </c>
      <c r="F85" s="38">
        <v>13</v>
      </c>
      <c r="G85" s="38"/>
      <c r="H85" s="38">
        <v>15</v>
      </c>
      <c r="I85" s="38">
        <v>12</v>
      </c>
      <c r="J85" s="38">
        <v>19</v>
      </c>
      <c r="K85" s="38">
        <v>17</v>
      </c>
      <c r="L85" s="38">
        <v>15</v>
      </c>
      <c r="M85" s="38">
        <v>19</v>
      </c>
      <c r="N85" s="38">
        <v>13</v>
      </c>
      <c r="O85" s="38">
        <v>17</v>
      </c>
      <c r="P85" s="38">
        <v>17</v>
      </c>
      <c r="Q85" s="38">
        <v>19</v>
      </c>
      <c r="R85" s="38">
        <v>17</v>
      </c>
      <c r="S85" s="38">
        <v>15</v>
      </c>
      <c r="T85" s="38">
        <v>17</v>
      </c>
      <c r="U85" s="38">
        <v>13</v>
      </c>
      <c r="V85" s="38">
        <v>12</v>
      </c>
      <c r="W85" s="38">
        <v>17</v>
      </c>
      <c r="X85" s="38"/>
      <c r="Y85" s="38"/>
      <c r="Z85" s="38">
        <v>22</v>
      </c>
      <c r="AA85" s="38">
        <v>24</v>
      </c>
      <c r="AC85" s="338" t="s">
        <v>184</v>
      </c>
    </row>
    <row r="86" spans="1:31" hidden="1">
      <c r="A86" t="s">
        <v>181</v>
      </c>
      <c r="B86" s="38">
        <v>19</v>
      </c>
      <c r="C86" s="38">
        <v>17</v>
      </c>
      <c r="D86" s="38"/>
      <c r="E86" s="38">
        <v>19</v>
      </c>
      <c r="F86" s="38">
        <v>17</v>
      </c>
      <c r="G86" s="38"/>
      <c r="H86" s="38">
        <v>15</v>
      </c>
      <c r="I86" s="38">
        <v>15</v>
      </c>
      <c r="J86" s="38">
        <v>15</v>
      </c>
      <c r="K86" s="38">
        <v>19</v>
      </c>
      <c r="L86" s="38">
        <v>15</v>
      </c>
      <c r="M86" s="38">
        <v>15</v>
      </c>
      <c r="N86" s="38">
        <v>15</v>
      </c>
      <c r="O86" s="38">
        <v>19</v>
      </c>
      <c r="P86" s="38">
        <v>17</v>
      </c>
      <c r="Q86" s="38">
        <v>15</v>
      </c>
      <c r="R86" s="38">
        <v>19</v>
      </c>
      <c r="S86" s="38">
        <v>15</v>
      </c>
      <c r="T86" s="38">
        <v>17</v>
      </c>
      <c r="U86" s="38">
        <v>17</v>
      </c>
      <c r="V86" s="38">
        <v>15</v>
      </c>
      <c r="W86" s="38">
        <v>17</v>
      </c>
      <c r="X86" s="38"/>
      <c r="Y86" s="38"/>
      <c r="Z86" s="38">
        <v>24</v>
      </c>
      <c r="AA86" s="38">
        <v>27</v>
      </c>
      <c r="AC86" t="s">
        <v>799</v>
      </c>
    </row>
    <row r="87" spans="1:31" hidden="1">
      <c r="A87" t="s">
        <v>81</v>
      </c>
      <c r="B87" s="38">
        <v>15</v>
      </c>
      <c r="C87" s="38">
        <v>17</v>
      </c>
      <c r="D87" s="38"/>
      <c r="E87" s="38">
        <v>17</v>
      </c>
      <c r="F87" s="38">
        <v>13</v>
      </c>
      <c r="G87" s="38"/>
      <c r="H87" s="38">
        <v>17</v>
      </c>
      <c r="I87" s="38">
        <v>12</v>
      </c>
      <c r="J87" s="38">
        <v>19</v>
      </c>
      <c r="K87" s="38">
        <v>15</v>
      </c>
      <c r="L87" s="38">
        <v>17</v>
      </c>
      <c r="M87" s="38">
        <v>19</v>
      </c>
      <c r="N87" s="38">
        <v>15</v>
      </c>
      <c r="O87" s="38">
        <v>17</v>
      </c>
      <c r="P87" s="38">
        <v>17</v>
      </c>
      <c r="Q87" s="38">
        <v>19</v>
      </c>
      <c r="R87" s="38">
        <v>15</v>
      </c>
      <c r="S87" s="38">
        <v>17</v>
      </c>
      <c r="T87" s="38">
        <v>17</v>
      </c>
      <c r="U87" s="38">
        <v>15</v>
      </c>
      <c r="V87" s="38">
        <v>12</v>
      </c>
      <c r="W87" s="38">
        <v>17</v>
      </c>
      <c r="X87" s="38"/>
      <c r="Y87" s="38"/>
      <c r="Z87" s="38">
        <v>18.100000000000001</v>
      </c>
      <c r="AA87" s="38"/>
      <c r="AC87" t="s">
        <v>39</v>
      </c>
    </row>
    <row r="88" spans="1:31" hidden="1">
      <c r="A88" t="s">
        <v>91</v>
      </c>
      <c r="B88" s="38">
        <v>15</v>
      </c>
      <c r="C88" s="38">
        <v>15</v>
      </c>
      <c r="D88" s="38"/>
      <c r="E88" s="38">
        <v>15</v>
      </c>
      <c r="F88" s="38">
        <v>13</v>
      </c>
      <c r="G88" s="38"/>
      <c r="H88" s="38">
        <v>13</v>
      </c>
      <c r="I88" s="38">
        <v>13</v>
      </c>
      <c r="J88" s="38">
        <v>19</v>
      </c>
      <c r="K88" s="38">
        <v>19</v>
      </c>
      <c r="L88" s="38">
        <v>13</v>
      </c>
      <c r="M88" s="38">
        <v>19</v>
      </c>
      <c r="N88" s="38">
        <v>13</v>
      </c>
      <c r="O88" s="38">
        <v>15</v>
      </c>
      <c r="P88" s="38">
        <v>16</v>
      </c>
      <c r="Q88" s="38">
        <v>19</v>
      </c>
      <c r="R88" s="38">
        <v>19</v>
      </c>
      <c r="S88" s="38">
        <v>13</v>
      </c>
      <c r="T88" s="38">
        <v>15</v>
      </c>
      <c r="U88" s="38">
        <v>12</v>
      </c>
      <c r="V88" s="38">
        <v>13</v>
      </c>
      <c r="W88" s="38">
        <v>15</v>
      </c>
      <c r="X88" s="38"/>
      <c r="Y88" s="38"/>
      <c r="Z88" s="38">
        <v>19.600000000000001</v>
      </c>
      <c r="AA88" s="38"/>
      <c r="AC88" t="s">
        <v>70</v>
      </c>
    </row>
    <row r="89" spans="1:31" hidden="1">
      <c r="A89" t="s">
        <v>1158</v>
      </c>
      <c r="B89" s="38"/>
      <c r="C89" s="38"/>
      <c r="D89" s="38"/>
      <c r="E89" s="38"/>
      <c r="F89" s="38"/>
      <c r="G89" s="38"/>
      <c r="H89" s="38"/>
      <c r="I89" s="38"/>
      <c r="J89" s="38"/>
      <c r="K89" s="38"/>
      <c r="L89" s="38"/>
      <c r="M89" s="38"/>
      <c r="N89" s="38"/>
      <c r="O89" s="38"/>
      <c r="P89" s="38"/>
      <c r="Q89" s="38"/>
      <c r="R89" s="38"/>
      <c r="S89" s="38"/>
      <c r="T89" s="38">
        <v>19</v>
      </c>
      <c r="U89" s="38"/>
      <c r="V89" s="38"/>
      <c r="W89" s="38">
        <v>19</v>
      </c>
      <c r="X89" s="38"/>
      <c r="Y89" s="38"/>
      <c r="Z89" s="38"/>
      <c r="AA89" s="38"/>
      <c r="AC89" t="s">
        <v>880</v>
      </c>
    </row>
    <row r="90" spans="1:31" hidden="1">
      <c r="A90" t="s">
        <v>401</v>
      </c>
      <c r="B90" s="38">
        <v>19</v>
      </c>
      <c r="C90" s="38">
        <v>21</v>
      </c>
      <c r="D90" s="38"/>
      <c r="E90" s="38">
        <v>21</v>
      </c>
      <c r="F90" s="38">
        <v>17</v>
      </c>
      <c r="G90" s="38"/>
      <c r="H90" s="38">
        <v>21</v>
      </c>
      <c r="I90" s="38">
        <v>17</v>
      </c>
      <c r="J90" s="38">
        <v>21</v>
      </c>
      <c r="K90" s="38">
        <v>21</v>
      </c>
      <c r="L90" s="38">
        <v>21</v>
      </c>
      <c r="M90" s="38">
        <v>21</v>
      </c>
      <c r="N90" s="38">
        <v>19</v>
      </c>
      <c r="O90" s="38">
        <v>19</v>
      </c>
      <c r="P90" s="38">
        <v>21</v>
      </c>
      <c r="Q90" s="38">
        <v>21</v>
      </c>
      <c r="R90" s="38">
        <v>21</v>
      </c>
      <c r="S90" s="38">
        <v>21</v>
      </c>
      <c r="T90" s="38">
        <v>21</v>
      </c>
      <c r="U90" s="38">
        <v>19</v>
      </c>
      <c r="V90" s="38">
        <v>17</v>
      </c>
      <c r="W90" s="38">
        <v>21</v>
      </c>
      <c r="X90" s="38"/>
      <c r="Y90" s="38"/>
      <c r="Z90" s="38">
        <v>27</v>
      </c>
      <c r="AA90" s="38">
        <v>22</v>
      </c>
      <c r="AC90" t="s">
        <v>159</v>
      </c>
    </row>
    <row r="91" spans="1:31" hidden="1">
      <c r="A91" t="s">
        <v>444</v>
      </c>
      <c r="B91" s="38">
        <v>17</v>
      </c>
      <c r="C91" s="38">
        <v>21</v>
      </c>
      <c r="D91" s="38"/>
      <c r="E91" s="38">
        <v>19</v>
      </c>
      <c r="F91" s="38">
        <v>15</v>
      </c>
      <c r="G91" s="38"/>
      <c r="H91" s="38">
        <v>21</v>
      </c>
      <c r="I91" s="38">
        <v>15</v>
      </c>
      <c r="J91" s="38">
        <v>15</v>
      </c>
      <c r="K91" s="38">
        <v>21</v>
      </c>
      <c r="L91" s="38">
        <v>21</v>
      </c>
      <c r="M91" s="38">
        <v>15</v>
      </c>
      <c r="N91" s="38">
        <v>19</v>
      </c>
      <c r="O91" s="38">
        <v>17</v>
      </c>
      <c r="P91" s="38">
        <v>17</v>
      </c>
      <c r="Q91" s="38">
        <v>15</v>
      </c>
      <c r="R91" s="38">
        <v>21</v>
      </c>
      <c r="S91" s="38">
        <v>21</v>
      </c>
      <c r="T91" s="38">
        <v>19</v>
      </c>
      <c r="U91" s="38">
        <v>17</v>
      </c>
      <c r="V91" s="38">
        <v>15</v>
      </c>
      <c r="W91" s="38">
        <v>19</v>
      </c>
      <c r="X91" s="38"/>
      <c r="Y91" s="38"/>
      <c r="Z91" s="38">
        <v>28</v>
      </c>
      <c r="AA91" s="38">
        <v>31</v>
      </c>
      <c r="AC91" t="s">
        <v>795</v>
      </c>
    </row>
    <row r="92" spans="1:31" hidden="1">
      <c r="A92" t="s">
        <v>559</v>
      </c>
      <c r="B92" s="38">
        <v>19</v>
      </c>
      <c r="C92" s="38">
        <v>23</v>
      </c>
      <c r="D92" s="38"/>
      <c r="E92" s="38">
        <v>23</v>
      </c>
      <c r="F92" s="38">
        <v>17</v>
      </c>
      <c r="G92" s="38"/>
      <c r="H92" s="38">
        <v>17</v>
      </c>
      <c r="I92" s="38">
        <v>17</v>
      </c>
      <c r="J92" s="38">
        <v>23</v>
      </c>
      <c r="K92" s="38">
        <v>21</v>
      </c>
      <c r="L92" s="38">
        <v>17</v>
      </c>
      <c r="M92" s="38">
        <v>23</v>
      </c>
      <c r="N92" s="38">
        <v>15</v>
      </c>
      <c r="O92" s="38">
        <v>21</v>
      </c>
      <c r="P92" s="38">
        <v>19</v>
      </c>
      <c r="Q92" s="38">
        <v>23</v>
      </c>
      <c r="R92" s="38">
        <v>21</v>
      </c>
      <c r="S92" s="38">
        <v>17</v>
      </c>
      <c r="T92" s="38">
        <v>19</v>
      </c>
      <c r="U92" s="38">
        <v>17</v>
      </c>
      <c r="V92" s="38">
        <v>17</v>
      </c>
      <c r="W92" s="38">
        <v>19</v>
      </c>
      <c r="X92" s="38"/>
      <c r="Y92" s="38"/>
      <c r="Z92" s="38">
        <v>25</v>
      </c>
      <c r="AA92" s="38">
        <v>18.600000000000001</v>
      </c>
      <c r="AC92" t="s">
        <v>124</v>
      </c>
    </row>
    <row r="93" spans="1:31" hidden="1">
      <c r="A93" t="s">
        <v>1149</v>
      </c>
      <c r="B93" s="38">
        <v>17</v>
      </c>
      <c r="C93" s="38">
        <v>17</v>
      </c>
      <c r="D93" s="38"/>
      <c r="E93" s="38">
        <v>17</v>
      </c>
      <c r="F93" s="38">
        <v>17</v>
      </c>
      <c r="G93" s="38"/>
      <c r="H93" s="38"/>
      <c r="I93" s="38">
        <v>13</v>
      </c>
      <c r="J93" s="38">
        <v>23</v>
      </c>
      <c r="K93" s="38">
        <v>19</v>
      </c>
      <c r="L93" s="38">
        <v>13</v>
      </c>
      <c r="M93" s="38">
        <v>23</v>
      </c>
      <c r="N93" s="38">
        <v>12</v>
      </c>
      <c r="O93" s="38"/>
      <c r="P93" s="38">
        <v>17</v>
      </c>
      <c r="Q93" s="38">
        <v>23</v>
      </c>
      <c r="R93" s="38">
        <v>19</v>
      </c>
      <c r="S93" s="38">
        <v>13</v>
      </c>
      <c r="T93" s="38"/>
      <c r="U93" s="38">
        <v>13</v>
      </c>
      <c r="V93" s="38">
        <v>13</v>
      </c>
      <c r="W93" s="38"/>
      <c r="X93" s="38"/>
      <c r="Y93" s="38"/>
      <c r="Z93" s="38">
        <v>47</v>
      </c>
      <c r="AA93" s="38"/>
      <c r="AC93" t="s">
        <v>223</v>
      </c>
    </row>
    <row r="94" spans="1:31" hidden="1">
      <c r="A94" t="s">
        <v>31</v>
      </c>
      <c r="B94" s="38">
        <v>17</v>
      </c>
      <c r="C94" s="38">
        <v>21</v>
      </c>
      <c r="D94" s="38"/>
      <c r="E94" s="38">
        <v>21</v>
      </c>
      <c r="F94" s="38">
        <v>17</v>
      </c>
      <c r="G94" s="38"/>
      <c r="H94" s="38">
        <v>15</v>
      </c>
      <c r="I94" s="38">
        <v>15</v>
      </c>
      <c r="J94" s="38">
        <v>23</v>
      </c>
      <c r="K94" s="38">
        <v>23</v>
      </c>
      <c r="L94" s="38">
        <v>15</v>
      </c>
      <c r="M94" s="38">
        <v>23</v>
      </c>
      <c r="N94" s="38">
        <v>15</v>
      </c>
      <c r="O94" s="38">
        <v>19</v>
      </c>
      <c r="P94" s="38">
        <v>19</v>
      </c>
      <c r="Q94" s="38">
        <v>23</v>
      </c>
      <c r="R94" s="38">
        <v>23</v>
      </c>
      <c r="S94" s="38">
        <v>15</v>
      </c>
      <c r="T94" s="38">
        <v>17</v>
      </c>
      <c r="U94" s="38">
        <v>13</v>
      </c>
      <c r="V94" s="38">
        <v>15</v>
      </c>
      <c r="W94" s="38">
        <v>17</v>
      </c>
      <c r="X94" s="38"/>
      <c r="Y94" s="38"/>
      <c r="Z94" s="38">
        <v>19.100000000000001</v>
      </c>
      <c r="AA94" s="38">
        <v>22</v>
      </c>
    </row>
    <row r="95" spans="1:31" hidden="1">
      <c r="A95" t="s">
        <v>94</v>
      </c>
      <c r="B95" s="38">
        <v>21</v>
      </c>
      <c r="C95" s="38">
        <v>21</v>
      </c>
      <c r="D95" s="38"/>
      <c r="E95" s="38">
        <v>19</v>
      </c>
      <c r="F95" s="38">
        <v>21</v>
      </c>
      <c r="G95" s="38"/>
      <c r="H95" s="38">
        <v>19</v>
      </c>
      <c r="I95" s="38">
        <v>15</v>
      </c>
      <c r="J95" s="38">
        <v>23</v>
      </c>
      <c r="K95" s="38">
        <v>21</v>
      </c>
      <c r="L95" s="38">
        <v>19</v>
      </c>
      <c r="M95" s="38">
        <v>23</v>
      </c>
      <c r="N95" s="38">
        <v>17</v>
      </c>
      <c r="O95" s="38">
        <v>19</v>
      </c>
      <c r="P95" s="38">
        <v>21</v>
      </c>
      <c r="Q95" s="38">
        <v>23</v>
      </c>
      <c r="R95" s="38">
        <v>21</v>
      </c>
      <c r="S95" s="38">
        <v>19</v>
      </c>
      <c r="T95" s="38">
        <v>21</v>
      </c>
      <c r="U95" s="38">
        <v>17</v>
      </c>
      <c r="V95" s="38">
        <v>15</v>
      </c>
      <c r="W95" s="38">
        <v>21</v>
      </c>
      <c r="X95" s="38"/>
      <c r="Y95" s="38"/>
      <c r="Z95" s="38">
        <v>25</v>
      </c>
      <c r="AA95" s="38">
        <v>25</v>
      </c>
    </row>
    <row r="96" spans="1:31" hidden="1">
      <c r="A96" t="s">
        <v>159</v>
      </c>
      <c r="B96" s="38">
        <v>19</v>
      </c>
      <c r="C96" s="38">
        <v>21</v>
      </c>
      <c r="D96" s="38"/>
      <c r="E96" s="38">
        <v>21</v>
      </c>
      <c r="F96" s="38">
        <v>17</v>
      </c>
      <c r="G96" s="38"/>
      <c r="H96" s="38">
        <v>17</v>
      </c>
      <c r="I96" s="38">
        <v>13</v>
      </c>
      <c r="J96" s="38">
        <v>15</v>
      </c>
      <c r="K96" s="38">
        <v>23</v>
      </c>
      <c r="L96" s="38">
        <v>17</v>
      </c>
      <c r="M96" s="38">
        <v>15</v>
      </c>
      <c r="N96" s="38">
        <v>17</v>
      </c>
      <c r="O96" s="38">
        <v>19</v>
      </c>
      <c r="P96" s="38">
        <v>21</v>
      </c>
      <c r="Q96" s="38">
        <v>15</v>
      </c>
      <c r="R96" s="38">
        <v>23</v>
      </c>
      <c r="S96" s="38">
        <v>17</v>
      </c>
      <c r="T96" s="38">
        <v>19</v>
      </c>
      <c r="U96" s="38">
        <v>17</v>
      </c>
      <c r="V96" s="38">
        <v>13</v>
      </c>
      <c r="W96" s="38">
        <v>19</v>
      </c>
      <c r="X96" s="38"/>
      <c r="Y96" s="38"/>
      <c r="Z96" s="38">
        <v>28</v>
      </c>
      <c r="AA96" s="38">
        <v>35</v>
      </c>
    </row>
    <row r="97" spans="1:27" hidden="1">
      <c r="A97" t="s">
        <v>561</v>
      </c>
      <c r="B97" s="38">
        <v>19</v>
      </c>
      <c r="C97" s="38">
        <v>26</v>
      </c>
      <c r="D97" s="38"/>
      <c r="E97" s="38">
        <v>21</v>
      </c>
      <c r="F97" s="38">
        <v>19</v>
      </c>
      <c r="G97" s="38"/>
      <c r="H97" s="38">
        <v>23</v>
      </c>
      <c r="I97" s="38">
        <v>17</v>
      </c>
      <c r="J97" s="38">
        <v>21</v>
      </c>
      <c r="K97" s="38">
        <v>23</v>
      </c>
      <c r="L97" s="38">
        <v>23</v>
      </c>
      <c r="M97" s="38">
        <v>21</v>
      </c>
      <c r="N97" s="38">
        <v>21</v>
      </c>
      <c r="O97" s="38">
        <v>19</v>
      </c>
      <c r="P97" s="38">
        <v>21</v>
      </c>
      <c r="Q97" s="38">
        <v>21</v>
      </c>
      <c r="R97" s="38">
        <v>23</v>
      </c>
      <c r="S97" s="38">
        <v>23</v>
      </c>
      <c r="T97" s="38">
        <v>21</v>
      </c>
      <c r="U97" s="38">
        <v>19</v>
      </c>
      <c r="V97" s="38">
        <v>17</v>
      </c>
      <c r="W97" s="38">
        <v>21</v>
      </c>
      <c r="X97" s="38"/>
      <c r="Y97" s="38"/>
      <c r="Z97" s="38">
        <v>26</v>
      </c>
      <c r="AA97" s="38">
        <v>24</v>
      </c>
    </row>
    <row r="98" spans="1:27" hidden="1">
      <c r="A98" t="s">
        <v>861</v>
      </c>
      <c r="B98" s="38">
        <v>23</v>
      </c>
      <c r="C98" s="38">
        <v>26</v>
      </c>
      <c r="D98" s="38"/>
      <c r="E98" s="38">
        <v>26</v>
      </c>
      <c r="F98" s="38">
        <v>23</v>
      </c>
      <c r="G98" s="38"/>
      <c r="H98" s="38">
        <v>26</v>
      </c>
      <c r="I98" s="38">
        <v>17</v>
      </c>
      <c r="J98" s="38">
        <v>23</v>
      </c>
      <c r="K98" s="38">
        <v>23</v>
      </c>
      <c r="L98" s="38">
        <v>26</v>
      </c>
      <c r="M98" s="38">
        <v>23</v>
      </c>
      <c r="N98" s="38">
        <v>23</v>
      </c>
      <c r="O98" s="38">
        <v>26</v>
      </c>
      <c r="P98" s="38">
        <v>23</v>
      </c>
      <c r="Q98" s="38">
        <v>23</v>
      </c>
      <c r="R98" s="38">
        <v>23</v>
      </c>
      <c r="S98" s="38">
        <v>26</v>
      </c>
      <c r="T98" s="38">
        <v>26</v>
      </c>
      <c r="U98" s="38">
        <v>23</v>
      </c>
      <c r="V98" s="38">
        <v>17</v>
      </c>
      <c r="W98" s="38">
        <v>26</v>
      </c>
      <c r="X98" s="38"/>
      <c r="Y98" s="38"/>
      <c r="Z98" s="38">
        <v>39</v>
      </c>
      <c r="AA98" s="38"/>
    </row>
    <row r="99" spans="1:27" hidden="1">
      <c r="A99" t="s">
        <v>373</v>
      </c>
      <c r="B99" s="38">
        <v>23</v>
      </c>
      <c r="C99" s="38">
        <v>26</v>
      </c>
      <c r="D99" s="38"/>
      <c r="E99" s="38">
        <v>26</v>
      </c>
      <c r="F99" s="38">
        <v>23</v>
      </c>
      <c r="G99" s="38"/>
      <c r="H99" s="38">
        <v>23</v>
      </c>
      <c r="I99" s="38">
        <v>21</v>
      </c>
      <c r="J99" s="38">
        <v>29</v>
      </c>
      <c r="K99" s="38">
        <v>21</v>
      </c>
      <c r="L99" s="38">
        <v>23</v>
      </c>
      <c r="M99" s="38">
        <v>29</v>
      </c>
      <c r="N99" s="38">
        <v>21</v>
      </c>
      <c r="O99" s="38">
        <v>26</v>
      </c>
      <c r="P99" s="38">
        <v>26</v>
      </c>
      <c r="Q99" s="38">
        <v>29</v>
      </c>
      <c r="R99" s="38">
        <v>21</v>
      </c>
      <c r="S99" s="38">
        <v>23</v>
      </c>
      <c r="T99" s="38">
        <v>23</v>
      </c>
      <c r="U99" s="38">
        <v>21</v>
      </c>
      <c r="V99" s="38">
        <v>21</v>
      </c>
      <c r="W99" s="38">
        <v>23</v>
      </c>
      <c r="X99" s="38"/>
      <c r="Y99" s="38"/>
      <c r="Z99" s="38">
        <v>27</v>
      </c>
      <c r="AA99" s="38">
        <v>31</v>
      </c>
    </row>
    <row r="100" spans="1:27" hidden="1">
      <c r="A100" t="s">
        <v>37</v>
      </c>
      <c r="B100" s="38">
        <v>19</v>
      </c>
      <c r="C100" s="38">
        <v>26</v>
      </c>
      <c r="D100" s="38"/>
      <c r="E100" s="38">
        <v>19</v>
      </c>
      <c r="F100" s="38">
        <v>19</v>
      </c>
      <c r="G100" s="38"/>
      <c r="H100" s="38">
        <v>29</v>
      </c>
      <c r="I100" s="38">
        <v>17</v>
      </c>
      <c r="J100" s="38">
        <v>19</v>
      </c>
      <c r="K100" s="38">
        <v>23</v>
      </c>
      <c r="L100" s="38">
        <v>29</v>
      </c>
      <c r="M100" s="38">
        <v>19</v>
      </c>
      <c r="N100" s="38">
        <v>26</v>
      </c>
      <c r="O100" s="38">
        <v>19</v>
      </c>
      <c r="P100" s="38">
        <v>21</v>
      </c>
      <c r="Q100" s="38">
        <v>19</v>
      </c>
      <c r="R100" s="38">
        <v>23</v>
      </c>
      <c r="S100" s="38">
        <v>29</v>
      </c>
      <c r="T100" s="38">
        <v>26</v>
      </c>
      <c r="U100" s="38">
        <v>19</v>
      </c>
      <c r="V100" s="38">
        <v>17</v>
      </c>
      <c r="W100" s="38">
        <v>26</v>
      </c>
      <c r="X100" s="38"/>
      <c r="Y100" s="38"/>
      <c r="Z100" s="38">
        <v>39</v>
      </c>
      <c r="AA100" s="38">
        <v>24</v>
      </c>
    </row>
    <row r="101" spans="1:27" hidden="1">
      <c r="A101" t="s">
        <v>86</v>
      </c>
      <c r="B101" s="38">
        <v>23</v>
      </c>
      <c r="C101" s="38">
        <v>34</v>
      </c>
      <c r="D101" s="38"/>
      <c r="E101" s="38">
        <v>29</v>
      </c>
      <c r="F101" s="38">
        <v>21</v>
      </c>
      <c r="G101" s="38"/>
      <c r="H101" s="38">
        <v>19</v>
      </c>
      <c r="I101" s="38">
        <v>23</v>
      </c>
      <c r="J101" s="38">
        <v>29</v>
      </c>
      <c r="K101" s="38">
        <v>34</v>
      </c>
      <c r="L101" s="38">
        <v>19</v>
      </c>
      <c r="M101" s="38">
        <v>29</v>
      </c>
      <c r="N101" s="38">
        <v>19</v>
      </c>
      <c r="O101" s="38">
        <v>26</v>
      </c>
      <c r="P101" s="38">
        <v>29</v>
      </c>
      <c r="Q101" s="38">
        <v>29</v>
      </c>
      <c r="R101" s="38">
        <v>34</v>
      </c>
      <c r="S101" s="38">
        <v>19</v>
      </c>
      <c r="T101" s="38">
        <v>21</v>
      </c>
      <c r="U101" s="38">
        <v>26</v>
      </c>
      <c r="V101" s="38">
        <v>23</v>
      </c>
      <c r="W101" s="38">
        <v>21</v>
      </c>
      <c r="X101" s="38"/>
      <c r="Y101" s="38"/>
      <c r="Z101" s="38">
        <v>31</v>
      </c>
      <c r="AA101" s="38">
        <v>24</v>
      </c>
    </row>
    <row r="102" spans="1:27">
      <c r="A102" t="s">
        <v>111</v>
      </c>
      <c r="B102" s="38">
        <v>26</v>
      </c>
      <c r="C102" s="38">
        <v>34</v>
      </c>
      <c r="D102" s="38"/>
      <c r="E102" s="38">
        <v>29</v>
      </c>
      <c r="F102" s="38">
        <v>21</v>
      </c>
      <c r="G102" s="38"/>
      <c r="H102" s="38">
        <v>26</v>
      </c>
      <c r="I102" s="38">
        <v>26</v>
      </c>
      <c r="J102" s="38">
        <v>41</v>
      </c>
      <c r="K102" s="38">
        <v>41</v>
      </c>
      <c r="L102" s="38">
        <v>26</v>
      </c>
      <c r="M102" s="38">
        <v>41</v>
      </c>
      <c r="N102" s="38">
        <v>23</v>
      </c>
      <c r="O102" s="38">
        <v>26</v>
      </c>
      <c r="P102" s="38">
        <v>34</v>
      </c>
      <c r="Q102" s="38">
        <v>41</v>
      </c>
      <c r="R102" s="38">
        <v>41</v>
      </c>
      <c r="S102" s="38">
        <v>26</v>
      </c>
      <c r="T102" s="38">
        <v>26</v>
      </c>
      <c r="U102" s="38">
        <v>26</v>
      </c>
      <c r="V102" s="38">
        <v>26</v>
      </c>
      <c r="W102" s="38">
        <v>26</v>
      </c>
      <c r="X102" s="38"/>
      <c r="Y102" s="38"/>
      <c r="Z102" s="38">
        <v>24</v>
      </c>
      <c r="AA102" s="38">
        <v>95</v>
      </c>
    </row>
    <row r="103" spans="1:27" hidden="1">
      <c r="A103" t="s">
        <v>243</v>
      </c>
      <c r="B103" s="38">
        <v>29</v>
      </c>
      <c r="C103" s="38">
        <v>34</v>
      </c>
      <c r="D103" s="38"/>
      <c r="E103" s="38">
        <v>34</v>
      </c>
      <c r="F103" s="38">
        <v>26</v>
      </c>
      <c r="G103" s="38"/>
      <c r="H103" s="38">
        <v>31</v>
      </c>
      <c r="I103" s="38">
        <v>29</v>
      </c>
      <c r="J103" s="38">
        <v>41</v>
      </c>
      <c r="K103" s="38">
        <v>41</v>
      </c>
      <c r="L103" s="38">
        <v>31</v>
      </c>
      <c r="M103" s="38">
        <v>41</v>
      </c>
      <c r="N103" s="38">
        <v>26</v>
      </c>
      <c r="O103" s="38">
        <v>29</v>
      </c>
      <c r="P103" s="38">
        <v>34</v>
      </c>
      <c r="Q103" s="38">
        <v>41</v>
      </c>
      <c r="R103" s="38">
        <v>41</v>
      </c>
      <c r="S103" s="38">
        <v>29</v>
      </c>
      <c r="T103" s="38">
        <v>31</v>
      </c>
      <c r="U103" s="38">
        <v>29</v>
      </c>
      <c r="V103" s="38">
        <v>29</v>
      </c>
      <c r="W103" s="38">
        <v>31</v>
      </c>
      <c r="X103" s="38"/>
      <c r="Y103" s="38"/>
      <c r="Z103" s="38">
        <v>33</v>
      </c>
      <c r="AA103" s="38"/>
    </row>
    <row r="104" spans="1:27">
      <c r="A104" t="s">
        <v>45</v>
      </c>
      <c r="B104" s="38">
        <v>26</v>
      </c>
      <c r="C104" s="38">
        <v>29</v>
      </c>
      <c r="D104" s="38"/>
      <c r="E104" s="38">
        <v>29</v>
      </c>
      <c r="F104" s="38">
        <v>23</v>
      </c>
      <c r="G104" s="38"/>
      <c r="H104" s="38">
        <v>23</v>
      </c>
      <c r="I104" s="38">
        <v>29</v>
      </c>
      <c r="J104" s="38">
        <v>41</v>
      </c>
      <c r="K104" s="38">
        <v>41</v>
      </c>
      <c r="L104" s="38">
        <v>23</v>
      </c>
      <c r="M104" s="38">
        <v>41</v>
      </c>
      <c r="N104" s="38">
        <v>21</v>
      </c>
      <c r="O104" s="38">
        <v>26</v>
      </c>
      <c r="P104" s="38">
        <v>29</v>
      </c>
      <c r="Q104" s="38">
        <v>41</v>
      </c>
      <c r="R104" s="38">
        <v>41</v>
      </c>
      <c r="S104" s="38">
        <v>23</v>
      </c>
      <c r="T104" s="38">
        <v>26</v>
      </c>
      <c r="U104" s="38">
        <v>26</v>
      </c>
      <c r="V104" s="38">
        <v>29</v>
      </c>
      <c r="W104" s="38">
        <v>26</v>
      </c>
      <c r="X104" s="38"/>
      <c r="Y104" s="38"/>
      <c r="Z104" s="38">
        <v>33</v>
      </c>
      <c r="AA104" s="38">
        <v>63.929000000000002</v>
      </c>
    </row>
    <row r="105" spans="1:27" hidden="1">
      <c r="A105" t="s">
        <v>413</v>
      </c>
      <c r="B105" s="38">
        <v>29</v>
      </c>
      <c r="C105" s="38">
        <v>34</v>
      </c>
      <c r="D105" s="38"/>
      <c r="E105" s="38">
        <v>29</v>
      </c>
      <c r="F105" s="38">
        <v>29</v>
      </c>
      <c r="G105" s="38"/>
      <c r="H105" s="38">
        <v>31</v>
      </c>
      <c r="I105" s="38">
        <v>29</v>
      </c>
      <c r="J105" s="38">
        <v>41</v>
      </c>
      <c r="K105" s="38">
        <v>41</v>
      </c>
      <c r="L105" s="38">
        <v>31</v>
      </c>
      <c r="M105" s="38">
        <v>41</v>
      </c>
      <c r="N105" s="38">
        <v>29</v>
      </c>
      <c r="O105" s="38">
        <v>29</v>
      </c>
      <c r="P105" s="38">
        <v>34</v>
      </c>
      <c r="Q105" s="38">
        <v>41</v>
      </c>
      <c r="R105" s="38">
        <v>41</v>
      </c>
      <c r="S105" s="38">
        <v>29</v>
      </c>
      <c r="T105" s="38">
        <v>31</v>
      </c>
      <c r="U105" s="38">
        <v>29</v>
      </c>
      <c r="V105" s="38">
        <v>29</v>
      </c>
      <c r="W105" s="38">
        <v>31</v>
      </c>
      <c r="X105" s="38"/>
      <c r="Y105" s="38"/>
      <c r="Z105" s="38">
        <v>41</v>
      </c>
      <c r="AA105" s="38">
        <v>59</v>
      </c>
    </row>
    <row r="106" spans="1:27" hidden="1">
      <c r="A106" t="s">
        <v>96</v>
      </c>
      <c r="B106" s="38">
        <v>26</v>
      </c>
      <c r="C106" s="38">
        <v>26</v>
      </c>
      <c r="D106" s="38"/>
      <c r="E106" s="38">
        <v>26</v>
      </c>
      <c r="F106" s="38">
        <v>23</v>
      </c>
      <c r="G106" s="38"/>
      <c r="H106" s="38">
        <v>26</v>
      </c>
      <c r="I106" s="38">
        <v>21</v>
      </c>
      <c r="J106" s="38">
        <v>23</v>
      </c>
      <c r="K106" s="38">
        <v>41</v>
      </c>
      <c r="L106" s="38">
        <v>26</v>
      </c>
      <c r="M106" s="38">
        <v>23</v>
      </c>
      <c r="N106" s="38">
        <v>23</v>
      </c>
      <c r="O106" s="38">
        <v>26</v>
      </c>
      <c r="P106" s="38">
        <v>26</v>
      </c>
      <c r="Q106" s="38">
        <v>23</v>
      </c>
      <c r="R106" s="38">
        <v>41</v>
      </c>
      <c r="S106" s="38">
        <v>26</v>
      </c>
      <c r="T106" s="38">
        <v>26</v>
      </c>
      <c r="U106" s="38">
        <v>26</v>
      </c>
      <c r="V106" s="38">
        <v>21</v>
      </c>
      <c r="W106" s="38">
        <v>26</v>
      </c>
      <c r="X106" s="38"/>
      <c r="Y106" s="38"/>
      <c r="Z106" s="38">
        <v>35</v>
      </c>
      <c r="AA106" s="38">
        <v>45</v>
      </c>
    </row>
    <row r="107" spans="1:27" hidden="1">
      <c r="A107" t="s">
        <v>185</v>
      </c>
      <c r="B107" s="38">
        <v>29</v>
      </c>
      <c r="C107" s="38">
        <v>34</v>
      </c>
      <c r="D107" s="38"/>
      <c r="E107" s="38">
        <v>34</v>
      </c>
      <c r="F107" s="38">
        <v>23</v>
      </c>
      <c r="G107" s="38"/>
      <c r="H107" s="38">
        <v>26</v>
      </c>
      <c r="I107" s="38">
        <v>26</v>
      </c>
      <c r="J107" s="38">
        <v>41</v>
      </c>
      <c r="K107" s="38">
        <v>34</v>
      </c>
      <c r="L107" s="38">
        <v>26</v>
      </c>
      <c r="M107" s="38">
        <v>41</v>
      </c>
      <c r="N107" s="38">
        <v>26</v>
      </c>
      <c r="O107" s="38">
        <v>26</v>
      </c>
      <c r="P107" s="38">
        <v>31</v>
      </c>
      <c r="Q107" s="38">
        <v>41</v>
      </c>
      <c r="R107" s="38">
        <v>34</v>
      </c>
      <c r="S107" s="38">
        <v>26</v>
      </c>
      <c r="T107" s="38">
        <v>29</v>
      </c>
      <c r="U107" s="38">
        <v>26</v>
      </c>
      <c r="V107" s="38">
        <v>26</v>
      </c>
      <c r="W107" s="38">
        <v>29</v>
      </c>
      <c r="X107" s="38"/>
      <c r="Y107" s="38"/>
      <c r="Z107" s="38">
        <v>33</v>
      </c>
      <c r="AA107" s="38">
        <v>54</v>
      </c>
    </row>
    <row r="108" spans="1:27" hidden="1">
      <c r="A108" t="s">
        <v>880</v>
      </c>
      <c r="B108" s="38">
        <v>26</v>
      </c>
      <c r="C108" s="38">
        <v>29</v>
      </c>
      <c r="D108" s="38"/>
      <c r="E108" s="38">
        <v>26</v>
      </c>
      <c r="F108" s="38">
        <v>23</v>
      </c>
      <c r="G108" s="38"/>
      <c r="H108" s="38">
        <v>34</v>
      </c>
      <c r="I108" s="38">
        <v>21</v>
      </c>
      <c r="J108" s="38">
        <v>41</v>
      </c>
      <c r="K108" s="38">
        <v>34</v>
      </c>
      <c r="L108" s="38">
        <v>34</v>
      </c>
      <c r="M108" s="38">
        <v>41</v>
      </c>
      <c r="N108" s="38">
        <v>31</v>
      </c>
      <c r="O108" s="38">
        <v>26</v>
      </c>
      <c r="P108" s="38">
        <v>29</v>
      </c>
      <c r="Q108" s="38">
        <v>41</v>
      </c>
      <c r="R108" s="38">
        <v>34</v>
      </c>
      <c r="S108" s="38">
        <v>34</v>
      </c>
      <c r="T108" s="38">
        <v>31</v>
      </c>
      <c r="U108" s="38">
        <v>26</v>
      </c>
      <c r="V108" s="38">
        <v>21</v>
      </c>
      <c r="W108" s="38">
        <v>31</v>
      </c>
      <c r="X108" s="38"/>
      <c r="Y108" s="38"/>
      <c r="Z108" s="38">
        <v>28</v>
      </c>
      <c r="AA108" s="38">
        <v>54</v>
      </c>
    </row>
    <row r="109" spans="1:27" hidden="1">
      <c r="A109" t="s">
        <v>173</v>
      </c>
      <c r="B109" s="38">
        <v>21</v>
      </c>
      <c r="C109" s="38">
        <v>21</v>
      </c>
      <c r="D109" s="38"/>
      <c r="E109" s="38">
        <v>21</v>
      </c>
      <c r="F109" s="38">
        <v>21</v>
      </c>
      <c r="G109" s="38"/>
      <c r="H109" s="38"/>
      <c r="I109" s="38">
        <v>13</v>
      </c>
      <c r="J109" s="38">
        <v>29</v>
      </c>
      <c r="K109" s="38">
        <v>41</v>
      </c>
      <c r="L109" s="38">
        <v>21</v>
      </c>
      <c r="M109" s="38">
        <v>29</v>
      </c>
      <c r="N109" s="38">
        <v>19</v>
      </c>
      <c r="O109" s="38">
        <v>19</v>
      </c>
      <c r="P109" s="38">
        <v>21</v>
      </c>
      <c r="Q109" s="38">
        <v>29</v>
      </c>
      <c r="R109" s="38">
        <v>41</v>
      </c>
      <c r="S109" s="38">
        <v>21</v>
      </c>
      <c r="T109" s="38">
        <v>21</v>
      </c>
      <c r="U109" s="38">
        <v>17</v>
      </c>
      <c r="V109" s="38">
        <v>13</v>
      </c>
      <c r="W109" s="38">
        <v>21</v>
      </c>
      <c r="X109" s="38"/>
      <c r="Y109" s="38"/>
      <c r="Z109" s="38">
        <v>29</v>
      </c>
      <c r="AA109" s="38"/>
    </row>
    <row r="110" spans="1:27" hidden="1">
      <c r="A110" t="s">
        <v>71</v>
      </c>
      <c r="B110" s="38">
        <v>46</v>
      </c>
      <c r="C110" s="38"/>
      <c r="D110" s="38"/>
      <c r="E110" s="38"/>
      <c r="F110" s="38"/>
      <c r="G110" s="38"/>
      <c r="H110" s="38"/>
      <c r="I110" s="38"/>
      <c r="J110" s="38"/>
      <c r="K110" s="38"/>
      <c r="L110" s="38"/>
      <c r="M110" s="38"/>
      <c r="N110" s="38">
        <v>34</v>
      </c>
      <c r="O110" s="38">
        <v>41</v>
      </c>
      <c r="P110" s="38"/>
      <c r="Q110" s="38"/>
      <c r="R110" s="38"/>
      <c r="S110" s="38"/>
      <c r="T110" s="38"/>
      <c r="U110" s="38"/>
      <c r="V110" s="38"/>
      <c r="W110" s="38"/>
      <c r="X110" s="38"/>
      <c r="Y110" s="38"/>
      <c r="Z110" s="38"/>
      <c r="AA110" s="38"/>
    </row>
    <row r="111" spans="1:27" hidden="1">
      <c r="A111" t="s">
        <v>168</v>
      </c>
      <c r="B111" s="38">
        <v>36</v>
      </c>
      <c r="C111" s="38">
        <v>34</v>
      </c>
      <c r="D111" s="38"/>
      <c r="E111" s="38">
        <v>34</v>
      </c>
      <c r="F111" s="38">
        <v>31</v>
      </c>
      <c r="G111" s="38"/>
      <c r="H111" s="38">
        <v>41</v>
      </c>
      <c r="I111" s="38">
        <v>36</v>
      </c>
      <c r="J111" s="38">
        <v>41</v>
      </c>
      <c r="K111" s="38">
        <v>51</v>
      </c>
      <c r="L111" s="38">
        <v>41</v>
      </c>
      <c r="M111" s="38">
        <v>41</v>
      </c>
      <c r="N111" s="38">
        <v>36</v>
      </c>
      <c r="O111" s="38">
        <v>34</v>
      </c>
      <c r="P111" s="38">
        <v>34</v>
      </c>
      <c r="Q111" s="38">
        <v>41</v>
      </c>
      <c r="R111" s="38">
        <v>51</v>
      </c>
      <c r="S111" s="38">
        <v>41</v>
      </c>
      <c r="T111" s="38">
        <v>41</v>
      </c>
      <c r="U111" s="38">
        <v>34</v>
      </c>
      <c r="V111" s="38">
        <v>36</v>
      </c>
      <c r="W111" s="38">
        <v>41</v>
      </c>
      <c r="X111" s="38"/>
      <c r="Y111" s="38"/>
      <c r="Z111" s="38">
        <v>45</v>
      </c>
      <c r="AA111" s="38">
        <v>108</v>
      </c>
    </row>
    <row r="112" spans="1:27" hidden="1">
      <c r="A112" t="s">
        <v>119</v>
      </c>
      <c r="B112" s="38">
        <v>46</v>
      </c>
      <c r="C112" s="38">
        <v>41</v>
      </c>
      <c r="D112" s="38"/>
      <c r="E112" s="38">
        <v>41</v>
      </c>
      <c r="F112" s="38">
        <v>29</v>
      </c>
      <c r="G112" s="38"/>
      <c r="H112" s="38"/>
      <c r="I112" s="38">
        <v>31</v>
      </c>
      <c r="J112" s="38">
        <v>29</v>
      </c>
      <c r="K112" s="38">
        <v>51</v>
      </c>
      <c r="L112" s="38">
        <v>26</v>
      </c>
      <c r="M112" s="38">
        <v>29</v>
      </c>
      <c r="N112" s="38">
        <v>23</v>
      </c>
      <c r="O112" s="38">
        <v>41</v>
      </c>
      <c r="P112" s="38">
        <v>41</v>
      </c>
      <c r="Q112" s="38">
        <v>29</v>
      </c>
      <c r="R112" s="38">
        <v>51</v>
      </c>
      <c r="S112" s="38">
        <v>26</v>
      </c>
      <c r="T112" s="38"/>
      <c r="U112" s="38">
        <v>34</v>
      </c>
      <c r="V112" s="38">
        <v>31</v>
      </c>
      <c r="W112" s="38"/>
      <c r="X112" s="38"/>
      <c r="Y112" s="38"/>
      <c r="Z112" s="38">
        <v>43</v>
      </c>
      <c r="AA112" s="38"/>
    </row>
    <row r="113" spans="1:31" hidden="1">
      <c r="A113" t="s">
        <v>184</v>
      </c>
      <c r="B113" s="38">
        <v>36</v>
      </c>
      <c r="C113" s="38">
        <v>34</v>
      </c>
      <c r="D113" s="38"/>
      <c r="E113" s="38">
        <v>34</v>
      </c>
      <c r="F113" s="38">
        <v>34</v>
      </c>
      <c r="G113" s="38"/>
      <c r="H113" s="38">
        <v>46</v>
      </c>
      <c r="I113" s="38">
        <v>36</v>
      </c>
      <c r="J113" s="38">
        <v>41</v>
      </c>
      <c r="K113" s="38">
        <v>41</v>
      </c>
      <c r="L113" s="38">
        <v>46</v>
      </c>
      <c r="M113" s="38">
        <v>41</v>
      </c>
      <c r="N113" s="38">
        <v>41</v>
      </c>
      <c r="O113" s="38">
        <v>34</v>
      </c>
      <c r="P113" s="38">
        <v>34</v>
      </c>
      <c r="Q113" s="38">
        <v>41</v>
      </c>
      <c r="R113" s="38">
        <v>41</v>
      </c>
      <c r="S113" s="38">
        <v>51</v>
      </c>
      <c r="T113" s="38">
        <v>41</v>
      </c>
      <c r="U113" s="38">
        <v>34</v>
      </c>
      <c r="V113" s="38">
        <v>36</v>
      </c>
      <c r="W113" s="38">
        <v>41</v>
      </c>
      <c r="X113" s="38"/>
      <c r="Y113" s="38"/>
      <c r="Z113" s="38">
        <v>41</v>
      </c>
      <c r="AA113" s="38"/>
    </row>
    <row r="114" spans="1:31" hidden="1">
      <c r="A114" t="s">
        <v>174</v>
      </c>
      <c r="B114" s="38">
        <v>34</v>
      </c>
      <c r="C114" s="38">
        <v>29</v>
      </c>
      <c r="D114" s="38"/>
      <c r="E114" s="38">
        <v>29</v>
      </c>
      <c r="F114" s="38">
        <v>51</v>
      </c>
      <c r="G114" s="38"/>
      <c r="H114" s="38"/>
      <c r="I114" s="38">
        <v>36</v>
      </c>
      <c r="J114" s="38">
        <v>41</v>
      </c>
      <c r="K114" s="38">
        <v>51</v>
      </c>
      <c r="L114" s="38">
        <v>51</v>
      </c>
      <c r="M114" s="38">
        <v>41</v>
      </c>
      <c r="N114" s="38">
        <v>46</v>
      </c>
      <c r="O114" s="38">
        <v>41</v>
      </c>
      <c r="P114" s="38">
        <v>34</v>
      </c>
      <c r="Q114" s="38">
        <v>41</v>
      </c>
      <c r="R114" s="38">
        <v>51</v>
      </c>
      <c r="S114" s="38">
        <v>51</v>
      </c>
      <c r="T114" s="38"/>
      <c r="U114" s="38">
        <v>41</v>
      </c>
      <c r="V114" s="38">
        <v>36</v>
      </c>
      <c r="W114" s="38"/>
      <c r="X114" s="38"/>
      <c r="Y114" s="38"/>
      <c r="Z114" s="38">
        <v>47</v>
      </c>
      <c r="AA114" s="38">
        <v>118</v>
      </c>
    </row>
    <row r="115" spans="1:31" hidden="1">
      <c r="A115" t="s">
        <v>1132</v>
      </c>
      <c r="B115" s="38">
        <v>46</v>
      </c>
      <c r="C115" s="38">
        <v>51</v>
      </c>
      <c r="D115" s="38"/>
      <c r="E115" s="38">
        <v>51</v>
      </c>
      <c r="F115" s="38">
        <v>41</v>
      </c>
      <c r="G115" s="38"/>
      <c r="H115" s="38">
        <v>46</v>
      </c>
      <c r="I115" s="38">
        <v>31</v>
      </c>
      <c r="J115" s="38">
        <v>41</v>
      </c>
      <c r="K115" s="38">
        <v>51</v>
      </c>
      <c r="L115" s="38">
        <v>46</v>
      </c>
      <c r="M115" s="38">
        <v>41</v>
      </c>
      <c r="N115" s="38">
        <v>41</v>
      </c>
      <c r="O115" s="38">
        <v>41</v>
      </c>
      <c r="P115" s="38">
        <v>46</v>
      </c>
      <c r="Q115" s="38">
        <v>41</v>
      </c>
      <c r="R115" s="38">
        <v>51</v>
      </c>
      <c r="S115" s="38">
        <v>51</v>
      </c>
      <c r="T115" s="38">
        <v>46</v>
      </c>
      <c r="U115" s="38">
        <v>41</v>
      </c>
      <c r="V115" s="38">
        <v>31</v>
      </c>
      <c r="W115" s="38">
        <v>46</v>
      </c>
      <c r="X115" s="38"/>
      <c r="Y115" s="38"/>
      <c r="Z115" s="38">
        <v>43</v>
      </c>
      <c r="AA115" s="38">
        <v>74</v>
      </c>
    </row>
    <row r="116" spans="1:31" hidden="1">
      <c r="A116" t="s">
        <v>1140</v>
      </c>
      <c r="B116" s="38">
        <v>34</v>
      </c>
      <c r="C116" s="38">
        <v>51</v>
      </c>
      <c r="D116" s="38"/>
      <c r="E116" s="38">
        <v>34</v>
      </c>
      <c r="F116" s="38">
        <v>29</v>
      </c>
      <c r="G116" s="38"/>
      <c r="H116" s="38">
        <v>36</v>
      </c>
      <c r="I116" s="38">
        <v>36</v>
      </c>
      <c r="J116" s="38">
        <v>41</v>
      </c>
      <c r="K116" s="38">
        <v>41</v>
      </c>
      <c r="L116" s="38">
        <v>36</v>
      </c>
      <c r="M116" s="38">
        <v>41</v>
      </c>
      <c r="N116" s="38">
        <v>31</v>
      </c>
      <c r="O116" s="38">
        <v>34</v>
      </c>
      <c r="P116" s="38">
        <v>41</v>
      </c>
      <c r="Q116" s="38">
        <v>41</v>
      </c>
      <c r="R116" s="38">
        <v>41</v>
      </c>
      <c r="S116" s="38">
        <v>34</v>
      </c>
      <c r="T116" s="38">
        <v>36</v>
      </c>
      <c r="U116" s="38">
        <v>29</v>
      </c>
      <c r="V116" s="38">
        <v>36</v>
      </c>
      <c r="W116" s="38">
        <v>36</v>
      </c>
      <c r="X116" s="38"/>
      <c r="Y116" s="38"/>
      <c r="Z116" s="38">
        <v>49</v>
      </c>
      <c r="AA116" s="38"/>
    </row>
    <row r="117" spans="1:31">
      <c r="A117" t="s">
        <v>189</v>
      </c>
      <c r="B117" s="38">
        <v>31</v>
      </c>
      <c r="C117" s="38">
        <v>34</v>
      </c>
      <c r="D117" s="38"/>
      <c r="E117" s="38">
        <v>34</v>
      </c>
      <c r="F117" s="38">
        <v>23</v>
      </c>
      <c r="G117" s="38"/>
      <c r="H117" s="38"/>
      <c r="I117" s="38">
        <v>23</v>
      </c>
      <c r="J117" s="38">
        <v>29</v>
      </c>
      <c r="K117" s="38">
        <v>51</v>
      </c>
      <c r="L117" s="38">
        <v>29</v>
      </c>
      <c r="M117" s="38">
        <v>29</v>
      </c>
      <c r="N117" s="38">
        <v>26</v>
      </c>
      <c r="O117" s="38">
        <v>34</v>
      </c>
      <c r="P117" s="38">
        <v>34</v>
      </c>
      <c r="Q117" s="38">
        <v>29</v>
      </c>
      <c r="R117" s="38">
        <v>51</v>
      </c>
      <c r="S117" s="38">
        <v>29</v>
      </c>
      <c r="T117" s="38">
        <v>31</v>
      </c>
      <c r="U117" s="38">
        <v>29</v>
      </c>
      <c r="V117" s="38">
        <v>23</v>
      </c>
      <c r="W117" s="38">
        <v>31</v>
      </c>
      <c r="X117" s="38"/>
      <c r="Y117" s="38"/>
      <c r="Z117" s="38">
        <v>33</v>
      </c>
      <c r="AA117" s="38">
        <v>39</v>
      </c>
      <c r="AC117" t="s">
        <v>491</v>
      </c>
      <c r="AE117" t="s">
        <v>439</v>
      </c>
    </row>
    <row r="118" spans="1:31" hidden="1">
      <c r="A118" t="s">
        <v>867</v>
      </c>
      <c r="B118" s="38">
        <v>34</v>
      </c>
      <c r="C118" s="38">
        <v>41</v>
      </c>
      <c r="D118" s="38"/>
      <c r="E118" s="38">
        <v>41</v>
      </c>
      <c r="F118" s="38">
        <v>31</v>
      </c>
      <c r="G118" s="38"/>
      <c r="H118" s="38">
        <v>61</v>
      </c>
      <c r="I118" s="38">
        <v>29</v>
      </c>
      <c r="J118" s="38">
        <v>41</v>
      </c>
      <c r="K118" s="38">
        <v>51</v>
      </c>
      <c r="L118" s="38">
        <v>61</v>
      </c>
      <c r="M118" s="38">
        <v>41</v>
      </c>
      <c r="N118" s="38">
        <v>51</v>
      </c>
      <c r="O118" s="38">
        <v>34</v>
      </c>
      <c r="P118" s="38">
        <v>34</v>
      </c>
      <c r="Q118" s="38">
        <v>41</v>
      </c>
      <c r="R118" s="38">
        <v>51</v>
      </c>
      <c r="S118" s="38">
        <v>67</v>
      </c>
      <c r="T118" s="38">
        <v>51</v>
      </c>
      <c r="U118" s="38">
        <v>29</v>
      </c>
      <c r="V118" s="38">
        <v>29</v>
      </c>
      <c r="W118" s="38">
        <v>51</v>
      </c>
      <c r="X118" s="38"/>
      <c r="Y118" s="38"/>
      <c r="Z118" s="38">
        <v>39</v>
      </c>
      <c r="AA118" s="38">
        <v>64</v>
      </c>
      <c r="AC118" t="s">
        <v>10</v>
      </c>
      <c r="AE118" t="s">
        <v>10</v>
      </c>
    </row>
    <row r="119" spans="1:31" hidden="1">
      <c r="A119" t="s">
        <v>191</v>
      </c>
      <c r="B119" s="38">
        <v>46</v>
      </c>
      <c r="C119" s="38">
        <v>41</v>
      </c>
      <c r="D119" s="38"/>
      <c r="E119" s="38">
        <v>41</v>
      </c>
      <c r="F119" s="38">
        <v>36</v>
      </c>
      <c r="G119" s="38"/>
      <c r="H119" s="38">
        <v>46</v>
      </c>
      <c r="I119" s="38">
        <v>36</v>
      </c>
      <c r="J119" s="38">
        <v>41</v>
      </c>
      <c r="K119" s="38">
        <v>67</v>
      </c>
      <c r="L119" s="38">
        <v>46</v>
      </c>
      <c r="M119" s="38">
        <v>41</v>
      </c>
      <c r="N119" s="38">
        <v>41</v>
      </c>
      <c r="O119" s="38">
        <v>41</v>
      </c>
      <c r="P119" s="38">
        <v>41</v>
      </c>
      <c r="Q119" s="38">
        <v>41</v>
      </c>
      <c r="R119" s="38">
        <v>67</v>
      </c>
      <c r="S119" s="38">
        <v>51</v>
      </c>
      <c r="T119" s="38">
        <v>46</v>
      </c>
      <c r="U119" s="38">
        <v>34</v>
      </c>
      <c r="V119" s="38">
        <v>36</v>
      </c>
      <c r="W119" s="38">
        <v>46</v>
      </c>
      <c r="X119" s="38"/>
      <c r="Y119" s="38"/>
      <c r="Z119" s="38">
        <v>45</v>
      </c>
      <c r="AA119" s="38">
        <v>127</v>
      </c>
      <c r="AC119" t="s">
        <v>131</v>
      </c>
      <c r="AE119" t="s">
        <v>124</v>
      </c>
    </row>
    <row r="120" spans="1:31" hidden="1">
      <c r="A120" t="s">
        <v>564</v>
      </c>
      <c r="B120" s="38">
        <v>34</v>
      </c>
      <c r="C120" s="38">
        <v>51</v>
      </c>
      <c r="D120" s="38"/>
      <c r="E120" s="38">
        <v>41</v>
      </c>
      <c r="F120" s="38">
        <v>41</v>
      </c>
      <c r="G120" s="38"/>
      <c r="H120" s="38">
        <v>71</v>
      </c>
      <c r="I120" s="38">
        <v>36</v>
      </c>
      <c r="J120" s="38">
        <v>41</v>
      </c>
      <c r="K120" s="38">
        <v>51</v>
      </c>
      <c r="L120" s="38">
        <v>71</v>
      </c>
      <c r="M120" s="38">
        <v>41</v>
      </c>
      <c r="N120" s="38">
        <v>61</v>
      </c>
      <c r="O120" s="38">
        <v>34</v>
      </c>
      <c r="P120" s="38">
        <v>36</v>
      </c>
      <c r="Q120" s="38">
        <v>41</v>
      </c>
      <c r="R120" s="38">
        <v>51</v>
      </c>
      <c r="S120" s="38">
        <v>67</v>
      </c>
      <c r="T120" s="38">
        <v>56</v>
      </c>
      <c r="U120" s="38">
        <v>41</v>
      </c>
      <c r="V120" s="38">
        <v>36</v>
      </c>
      <c r="W120" s="38">
        <v>56</v>
      </c>
      <c r="X120" s="38"/>
      <c r="Y120" s="38"/>
      <c r="Z120" s="38">
        <v>45</v>
      </c>
      <c r="AA120" s="38">
        <v>93</v>
      </c>
      <c r="AC120" t="s">
        <v>596</v>
      </c>
      <c r="AE120" t="s">
        <v>795</v>
      </c>
    </row>
    <row r="121" spans="1:31" hidden="1">
      <c r="A121" t="s">
        <v>1154</v>
      </c>
      <c r="B121" s="38">
        <v>76</v>
      </c>
      <c r="C121" s="38"/>
      <c r="D121" s="38"/>
      <c r="E121" s="38"/>
      <c r="F121" s="38">
        <v>71</v>
      </c>
      <c r="G121" s="38"/>
      <c r="H121" s="38"/>
      <c r="I121" s="38"/>
      <c r="J121" s="38">
        <v>81</v>
      </c>
      <c r="K121" s="38">
        <v>81</v>
      </c>
      <c r="L121" s="38"/>
      <c r="M121" s="38">
        <v>81</v>
      </c>
      <c r="N121" s="38"/>
      <c r="O121" s="38">
        <v>67</v>
      </c>
      <c r="P121" s="38"/>
      <c r="Q121" s="38">
        <v>81</v>
      </c>
      <c r="R121" s="38">
        <v>81</v>
      </c>
      <c r="S121" s="38">
        <v>51</v>
      </c>
      <c r="T121" s="38"/>
      <c r="U121" s="38">
        <v>67</v>
      </c>
      <c r="V121" s="38"/>
      <c r="W121" s="38"/>
      <c r="X121" s="38"/>
      <c r="Y121" s="38"/>
      <c r="Z121" s="38">
        <v>54</v>
      </c>
      <c r="AA121" s="38"/>
      <c r="AC121" t="s">
        <v>250</v>
      </c>
      <c r="AE121" t="s">
        <v>126</v>
      </c>
    </row>
    <row r="122" spans="1:31" hidden="1">
      <c r="A122" t="s">
        <v>1137</v>
      </c>
      <c r="B122" s="38">
        <v>76</v>
      </c>
      <c r="C122" s="38">
        <v>51</v>
      </c>
      <c r="D122" s="38"/>
      <c r="E122" s="38">
        <v>51</v>
      </c>
      <c r="F122" s="38">
        <v>67</v>
      </c>
      <c r="G122" s="38"/>
      <c r="H122" s="38">
        <v>61</v>
      </c>
      <c r="I122" s="38">
        <v>56</v>
      </c>
      <c r="J122" s="38">
        <v>81</v>
      </c>
      <c r="K122" s="38">
        <v>41</v>
      </c>
      <c r="L122" s="38">
        <v>61</v>
      </c>
      <c r="M122" s="38">
        <v>81</v>
      </c>
      <c r="N122" s="38">
        <v>56</v>
      </c>
      <c r="O122" s="38">
        <v>61</v>
      </c>
      <c r="P122" s="38">
        <v>56</v>
      </c>
      <c r="Q122" s="38">
        <v>81</v>
      </c>
      <c r="R122" s="38">
        <v>41</v>
      </c>
      <c r="S122" s="38">
        <v>67</v>
      </c>
      <c r="T122" s="38">
        <v>65</v>
      </c>
      <c r="U122" s="38">
        <v>67</v>
      </c>
      <c r="V122" s="38">
        <v>56</v>
      </c>
      <c r="W122" s="38">
        <v>65</v>
      </c>
      <c r="X122" s="38"/>
      <c r="Y122" s="38"/>
      <c r="Z122" s="38">
        <v>47</v>
      </c>
      <c r="AA122" s="38">
        <v>59</v>
      </c>
      <c r="AC122" t="s">
        <v>112</v>
      </c>
      <c r="AE122" t="s">
        <v>595</v>
      </c>
    </row>
    <row r="123" spans="1:31" hidden="1">
      <c r="A123" t="s">
        <v>1153</v>
      </c>
      <c r="B123" s="38">
        <v>46</v>
      </c>
      <c r="C123" s="38"/>
      <c r="D123" s="38"/>
      <c r="E123" s="38">
        <v>46</v>
      </c>
      <c r="F123" s="38">
        <v>46</v>
      </c>
      <c r="G123" s="38"/>
      <c r="H123" s="38"/>
      <c r="I123" s="38">
        <v>36</v>
      </c>
      <c r="J123" s="38">
        <v>81</v>
      </c>
      <c r="K123" s="38"/>
      <c r="L123" s="38"/>
      <c r="M123" s="38">
        <v>81</v>
      </c>
      <c r="N123" s="38"/>
      <c r="O123" s="38">
        <v>46</v>
      </c>
      <c r="P123" s="38"/>
      <c r="Q123" s="38">
        <v>81</v>
      </c>
      <c r="R123" s="38"/>
      <c r="S123" s="38">
        <v>51</v>
      </c>
      <c r="T123" s="38">
        <v>51</v>
      </c>
      <c r="U123" s="38"/>
      <c r="V123" s="38">
        <v>36</v>
      </c>
      <c r="W123" s="38">
        <v>51</v>
      </c>
      <c r="X123" s="38"/>
      <c r="Y123" s="38"/>
      <c r="Z123" s="38"/>
      <c r="AA123" s="38"/>
      <c r="AC123" t="s">
        <v>126</v>
      </c>
      <c r="AE123" t="s">
        <v>92</v>
      </c>
    </row>
    <row r="124" spans="1:31" hidden="1">
      <c r="A124" t="s">
        <v>221</v>
      </c>
      <c r="B124" s="38">
        <v>56</v>
      </c>
      <c r="C124" s="38">
        <v>67</v>
      </c>
      <c r="D124" s="38"/>
      <c r="E124" s="38">
        <v>67</v>
      </c>
      <c r="F124" s="38">
        <v>71</v>
      </c>
      <c r="G124" s="38"/>
      <c r="H124" s="38">
        <v>101</v>
      </c>
      <c r="I124" s="38">
        <v>56</v>
      </c>
      <c r="J124" s="38">
        <v>41</v>
      </c>
      <c r="K124" s="38">
        <v>101</v>
      </c>
      <c r="L124" s="38">
        <v>101</v>
      </c>
      <c r="M124" s="38">
        <v>41</v>
      </c>
      <c r="N124" s="38">
        <v>91</v>
      </c>
      <c r="O124" s="38">
        <v>61</v>
      </c>
      <c r="P124" s="38">
        <v>67</v>
      </c>
      <c r="Q124" s="38">
        <v>41</v>
      </c>
      <c r="R124" s="38">
        <v>101</v>
      </c>
      <c r="S124" s="38">
        <v>101</v>
      </c>
      <c r="T124" s="38">
        <v>85</v>
      </c>
      <c r="U124" s="38">
        <v>67</v>
      </c>
      <c r="V124" s="38">
        <v>56</v>
      </c>
      <c r="W124" s="38">
        <v>85</v>
      </c>
      <c r="X124" s="38"/>
      <c r="Y124" s="38"/>
      <c r="Z124" s="38">
        <v>45</v>
      </c>
      <c r="AA124" s="38"/>
      <c r="AC124" t="s">
        <v>92</v>
      </c>
      <c r="AE124" t="s">
        <v>131</v>
      </c>
    </row>
    <row r="125" spans="1:31" hidden="1">
      <c r="A125" t="s">
        <v>1143</v>
      </c>
      <c r="B125" s="38">
        <v>76</v>
      </c>
      <c r="C125" s="38"/>
      <c r="D125" s="38"/>
      <c r="E125" s="38">
        <v>81</v>
      </c>
      <c r="F125" s="38">
        <v>76</v>
      </c>
      <c r="G125" s="38"/>
      <c r="H125" s="38">
        <v>81</v>
      </c>
      <c r="I125" s="38">
        <v>81</v>
      </c>
      <c r="J125" s="38">
        <v>81</v>
      </c>
      <c r="K125" s="38">
        <v>101</v>
      </c>
      <c r="L125" s="38">
        <v>81</v>
      </c>
      <c r="M125" s="38">
        <v>81</v>
      </c>
      <c r="N125" s="38">
        <v>71</v>
      </c>
      <c r="O125" s="38">
        <v>67</v>
      </c>
      <c r="P125" s="38">
        <v>76</v>
      </c>
      <c r="Q125" s="38">
        <v>81</v>
      </c>
      <c r="R125" s="38">
        <v>101</v>
      </c>
      <c r="S125" s="38">
        <v>81</v>
      </c>
      <c r="T125" s="38">
        <v>80</v>
      </c>
      <c r="U125" s="38">
        <v>67</v>
      </c>
      <c r="V125" s="38">
        <v>81</v>
      </c>
      <c r="W125" s="38">
        <v>80</v>
      </c>
      <c r="X125" s="38"/>
      <c r="Y125" s="38"/>
      <c r="Z125" s="38">
        <v>1.22</v>
      </c>
      <c r="AA125" s="38"/>
      <c r="AC125" t="s">
        <v>439</v>
      </c>
      <c r="AE125" t="s">
        <v>39</v>
      </c>
    </row>
    <row r="126" spans="1:31" hidden="1">
      <c r="A126" t="s">
        <v>1136</v>
      </c>
      <c r="B126" s="38">
        <v>71</v>
      </c>
      <c r="C126" s="38">
        <v>67</v>
      </c>
      <c r="D126" s="38"/>
      <c r="E126" s="38">
        <v>67</v>
      </c>
      <c r="F126" s="38">
        <v>56</v>
      </c>
      <c r="G126" s="38"/>
      <c r="H126" s="38">
        <v>36</v>
      </c>
      <c r="I126" s="38">
        <v>81</v>
      </c>
      <c r="J126" s="38">
        <v>81</v>
      </c>
      <c r="K126" s="38">
        <v>101</v>
      </c>
      <c r="L126" s="38">
        <v>36</v>
      </c>
      <c r="M126" s="38">
        <v>81</v>
      </c>
      <c r="N126" s="38">
        <v>36</v>
      </c>
      <c r="O126" s="38">
        <v>67</v>
      </c>
      <c r="P126" s="38">
        <v>67</v>
      </c>
      <c r="Q126" s="38">
        <v>81</v>
      </c>
      <c r="R126" s="38">
        <v>101</v>
      </c>
      <c r="S126" s="38">
        <v>34</v>
      </c>
      <c r="T126" s="38">
        <v>51</v>
      </c>
      <c r="U126" s="38">
        <v>51</v>
      </c>
      <c r="V126" s="38">
        <v>81</v>
      </c>
      <c r="W126" s="38">
        <v>51</v>
      </c>
      <c r="X126" s="38"/>
      <c r="Y126" s="38"/>
      <c r="Z126" s="38">
        <v>39</v>
      </c>
      <c r="AA126" s="38"/>
      <c r="AC126" t="s">
        <v>801</v>
      </c>
      <c r="AE126" t="s">
        <v>112</v>
      </c>
    </row>
    <row r="127" spans="1:31" hidden="1">
      <c r="A127" t="s">
        <v>879</v>
      </c>
      <c r="B127" s="38">
        <v>101</v>
      </c>
      <c r="C127" s="38">
        <v>67</v>
      </c>
      <c r="D127" s="38"/>
      <c r="E127" s="38">
        <v>101</v>
      </c>
      <c r="F127" s="38">
        <v>101</v>
      </c>
      <c r="G127" s="38"/>
      <c r="H127" s="38">
        <v>76</v>
      </c>
      <c r="I127" s="38">
        <v>67</v>
      </c>
      <c r="J127" s="38">
        <v>81</v>
      </c>
      <c r="K127" s="38">
        <v>126</v>
      </c>
      <c r="L127" s="38">
        <v>71</v>
      </c>
      <c r="M127" s="38">
        <v>81</v>
      </c>
      <c r="N127" s="38">
        <v>67</v>
      </c>
      <c r="O127" s="38">
        <v>81</v>
      </c>
      <c r="P127" s="38">
        <v>76</v>
      </c>
      <c r="Q127" s="38">
        <v>81</v>
      </c>
      <c r="R127" s="38">
        <v>126</v>
      </c>
      <c r="S127" s="38">
        <v>81</v>
      </c>
      <c r="T127" s="38">
        <v>85</v>
      </c>
      <c r="U127" s="38">
        <v>101</v>
      </c>
      <c r="V127" s="38">
        <v>67</v>
      </c>
      <c r="W127" s="38">
        <v>85</v>
      </c>
      <c r="X127" s="38"/>
      <c r="Y127" s="38"/>
      <c r="Z127" s="38">
        <v>45</v>
      </c>
      <c r="AA127" s="38">
        <v>98</v>
      </c>
      <c r="AC127" t="s">
        <v>595</v>
      </c>
      <c r="AE127" t="s">
        <v>801</v>
      </c>
    </row>
    <row r="128" spans="1:31" hidden="1">
      <c r="A128" t="s">
        <v>1142</v>
      </c>
      <c r="B128" s="38">
        <v>76</v>
      </c>
      <c r="C128" s="38">
        <v>101</v>
      </c>
      <c r="D128" s="38"/>
      <c r="E128" s="38">
        <v>101</v>
      </c>
      <c r="F128" s="38">
        <v>81</v>
      </c>
      <c r="G128" s="38"/>
      <c r="H128" s="38">
        <v>126</v>
      </c>
      <c r="I128" s="38">
        <v>81</v>
      </c>
      <c r="J128" s="38">
        <v>81</v>
      </c>
      <c r="K128" s="38">
        <v>126</v>
      </c>
      <c r="L128" s="38">
        <v>126</v>
      </c>
      <c r="M128" s="38">
        <v>81</v>
      </c>
      <c r="N128" s="38">
        <v>126</v>
      </c>
      <c r="O128" s="38">
        <v>81</v>
      </c>
      <c r="P128" s="38">
        <v>81</v>
      </c>
      <c r="Q128" s="38">
        <v>81</v>
      </c>
      <c r="R128" s="38">
        <v>126</v>
      </c>
      <c r="S128" s="38">
        <v>126</v>
      </c>
      <c r="T128" s="38">
        <v>106</v>
      </c>
      <c r="U128" s="38">
        <v>81</v>
      </c>
      <c r="V128" s="38">
        <v>81</v>
      </c>
      <c r="W128" s="38">
        <v>106</v>
      </c>
      <c r="X128" s="38"/>
      <c r="Y128" s="38"/>
      <c r="Z128" s="38">
        <v>45</v>
      </c>
      <c r="AA128" s="38"/>
      <c r="AC128" t="s">
        <v>184</v>
      </c>
    </row>
    <row r="129" spans="1:29" hidden="1">
      <c r="A129" t="s">
        <v>138</v>
      </c>
      <c r="B129" s="38">
        <v>111</v>
      </c>
      <c r="C129" s="38">
        <v>67</v>
      </c>
      <c r="D129" s="38"/>
      <c r="E129" s="38">
        <v>101</v>
      </c>
      <c r="F129" s="38">
        <v>111</v>
      </c>
      <c r="G129" s="38"/>
      <c r="H129" s="38">
        <v>126</v>
      </c>
      <c r="I129" s="38">
        <v>71</v>
      </c>
      <c r="J129" s="38">
        <v>81</v>
      </c>
      <c r="K129" s="38">
        <v>126</v>
      </c>
      <c r="L129" s="38">
        <v>126</v>
      </c>
      <c r="M129" s="38">
        <v>81</v>
      </c>
      <c r="N129" s="38">
        <v>101</v>
      </c>
      <c r="O129" s="38">
        <v>101</v>
      </c>
      <c r="P129" s="38">
        <v>81</v>
      </c>
      <c r="Q129" s="38">
        <v>81</v>
      </c>
      <c r="R129" s="38">
        <v>126</v>
      </c>
      <c r="S129" s="38">
        <v>126</v>
      </c>
      <c r="T129" s="38">
        <v>121</v>
      </c>
      <c r="U129" s="38">
        <v>101</v>
      </c>
      <c r="V129" s="38">
        <v>71</v>
      </c>
      <c r="W129" s="38">
        <v>121</v>
      </c>
      <c r="X129" s="38"/>
      <c r="Y129" s="38"/>
      <c r="Z129" s="38">
        <v>45</v>
      </c>
      <c r="AA129" s="38"/>
      <c r="AC129" t="s">
        <v>799</v>
      </c>
    </row>
    <row r="130" spans="1:29" hidden="1">
      <c r="A130" t="s">
        <v>873</v>
      </c>
      <c r="B130" s="38">
        <v>126</v>
      </c>
      <c r="C130" s="38">
        <v>101</v>
      </c>
      <c r="D130" s="38"/>
      <c r="E130" s="38">
        <v>126</v>
      </c>
      <c r="F130" s="38">
        <v>126</v>
      </c>
      <c r="G130" s="38"/>
      <c r="H130" s="38">
        <v>151</v>
      </c>
      <c r="I130" s="38">
        <v>81</v>
      </c>
      <c r="J130" s="38">
        <v>81</v>
      </c>
      <c r="K130" s="38">
        <v>151</v>
      </c>
      <c r="L130" s="38">
        <v>151</v>
      </c>
      <c r="M130" s="38">
        <v>81</v>
      </c>
      <c r="N130" s="38">
        <v>151</v>
      </c>
      <c r="O130" s="38">
        <v>126</v>
      </c>
      <c r="P130" s="38">
        <v>101</v>
      </c>
      <c r="Q130" s="38">
        <v>81</v>
      </c>
      <c r="R130" s="38">
        <v>151</v>
      </c>
      <c r="S130" s="38">
        <v>151</v>
      </c>
      <c r="T130" s="38">
        <v>141</v>
      </c>
      <c r="U130" s="38">
        <v>126</v>
      </c>
      <c r="V130" s="38">
        <v>81</v>
      </c>
      <c r="W130" s="38">
        <v>141</v>
      </c>
      <c r="X130" s="38"/>
      <c r="Y130" s="38"/>
      <c r="Z130" s="38">
        <v>45</v>
      </c>
      <c r="AA130" s="38"/>
      <c r="AC130" t="s">
        <v>39</v>
      </c>
    </row>
    <row r="131" spans="1:29" hidden="1">
      <c r="A131" t="s">
        <v>1145</v>
      </c>
      <c r="B131" s="38">
        <v>101</v>
      </c>
      <c r="C131" s="38">
        <v>151</v>
      </c>
      <c r="D131" s="38"/>
      <c r="E131" s="38">
        <v>126</v>
      </c>
      <c r="F131" s="38">
        <v>101</v>
      </c>
      <c r="G131" s="38"/>
      <c r="H131" s="38">
        <v>151</v>
      </c>
      <c r="I131" s="38">
        <v>67</v>
      </c>
      <c r="J131" s="38">
        <v>81</v>
      </c>
      <c r="K131" s="38">
        <v>126</v>
      </c>
      <c r="L131" s="38">
        <v>151</v>
      </c>
      <c r="M131" s="38">
        <v>81</v>
      </c>
      <c r="N131" s="38">
        <v>126</v>
      </c>
      <c r="O131" s="38">
        <v>101</v>
      </c>
      <c r="P131" s="38">
        <v>101</v>
      </c>
      <c r="Q131" s="38">
        <v>81</v>
      </c>
      <c r="R131" s="38">
        <v>126</v>
      </c>
      <c r="S131" s="38">
        <v>151</v>
      </c>
      <c r="T131" s="38">
        <v>131</v>
      </c>
      <c r="U131" s="38">
        <v>101</v>
      </c>
      <c r="V131" s="38">
        <v>67</v>
      </c>
      <c r="W131" s="38">
        <v>131</v>
      </c>
      <c r="X131" s="38"/>
      <c r="Y131" s="38"/>
      <c r="Z131" s="38">
        <v>45</v>
      </c>
      <c r="AA131" s="38"/>
      <c r="AC131" t="s">
        <v>70</v>
      </c>
    </row>
    <row r="132" spans="1:29" hidden="1">
      <c r="A132" t="s">
        <v>1134</v>
      </c>
      <c r="B132" s="38">
        <v>126</v>
      </c>
      <c r="C132" s="38">
        <v>151</v>
      </c>
      <c r="D132" s="38"/>
      <c r="E132" s="38">
        <v>101</v>
      </c>
      <c r="F132" s="38">
        <v>126</v>
      </c>
      <c r="G132" s="38"/>
      <c r="H132" s="38">
        <v>176</v>
      </c>
      <c r="I132" s="38">
        <v>81</v>
      </c>
      <c r="J132" s="38">
        <v>81</v>
      </c>
      <c r="K132" s="38">
        <v>151</v>
      </c>
      <c r="L132" s="38">
        <v>176</v>
      </c>
      <c r="M132" s="38">
        <v>81</v>
      </c>
      <c r="N132" s="38">
        <v>151</v>
      </c>
      <c r="O132" s="38">
        <v>101</v>
      </c>
      <c r="P132" s="38">
        <v>101</v>
      </c>
      <c r="Q132" s="38">
        <v>81</v>
      </c>
      <c r="R132" s="38">
        <v>151</v>
      </c>
      <c r="S132" s="38">
        <v>201</v>
      </c>
      <c r="T132" s="38">
        <v>161</v>
      </c>
      <c r="U132" s="38">
        <v>126</v>
      </c>
      <c r="V132" s="38">
        <v>81</v>
      </c>
      <c r="W132" s="38">
        <v>161</v>
      </c>
      <c r="X132" s="38"/>
      <c r="Y132" s="38"/>
      <c r="Z132" s="38">
        <v>45</v>
      </c>
      <c r="AA132" s="38"/>
      <c r="AC132" t="s">
        <v>880</v>
      </c>
    </row>
    <row r="133" spans="1:29" hidden="1">
      <c r="A133" t="s">
        <v>800</v>
      </c>
      <c r="B133" s="38">
        <v>126</v>
      </c>
      <c r="C133" s="38">
        <v>101</v>
      </c>
      <c r="D133" s="38"/>
      <c r="E133" s="38">
        <v>126</v>
      </c>
      <c r="F133" s="38">
        <v>151</v>
      </c>
      <c r="G133" s="38"/>
      <c r="H133" s="38">
        <v>176</v>
      </c>
      <c r="I133" s="38">
        <v>81</v>
      </c>
      <c r="J133" s="38">
        <v>81</v>
      </c>
      <c r="K133" s="38">
        <v>151</v>
      </c>
      <c r="L133" s="38">
        <v>176</v>
      </c>
      <c r="M133" s="38">
        <v>81</v>
      </c>
      <c r="N133" s="38">
        <v>151</v>
      </c>
      <c r="O133" s="38">
        <v>126</v>
      </c>
      <c r="P133" s="38">
        <v>91</v>
      </c>
      <c r="Q133" s="38">
        <v>81</v>
      </c>
      <c r="R133" s="38">
        <v>151</v>
      </c>
      <c r="S133" s="38">
        <v>201</v>
      </c>
      <c r="T133" s="38">
        <v>161</v>
      </c>
      <c r="U133" s="38">
        <v>151</v>
      </c>
      <c r="V133" s="38">
        <v>81</v>
      </c>
      <c r="W133" s="38">
        <v>161</v>
      </c>
      <c r="X133" s="38"/>
      <c r="Y133" s="38"/>
      <c r="Z133" s="38">
        <v>45</v>
      </c>
      <c r="AA133" s="38"/>
      <c r="AC133" t="s">
        <v>159</v>
      </c>
    </row>
    <row r="134" spans="1:29" hidden="1">
      <c r="A134" t="s">
        <v>1146</v>
      </c>
      <c r="B134" s="38">
        <v>126</v>
      </c>
      <c r="C134" s="38">
        <v>201</v>
      </c>
      <c r="D134" s="38"/>
      <c r="E134" s="38">
        <v>151</v>
      </c>
      <c r="F134" s="38">
        <v>111</v>
      </c>
      <c r="G134" s="38"/>
      <c r="H134" s="38">
        <v>201</v>
      </c>
      <c r="I134" s="38">
        <v>81</v>
      </c>
      <c r="J134" s="38">
        <v>81</v>
      </c>
      <c r="K134" s="38">
        <v>151</v>
      </c>
      <c r="L134" s="38">
        <v>226</v>
      </c>
      <c r="M134" s="38">
        <v>81</v>
      </c>
      <c r="N134" s="38">
        <v>201</v>
      </c>
      <c r="O134" s="38">
        <v>151</v>
      </c>
      <c r="P134" s="38">
        <v>151</v>
      </c>
      <c r="Q134" s="38">
        <v>81</v>
      </c>
      <c r="R134" s="38">
        <v>151</v>
      </c>
      <c r="S134" s="38">
        <v>251</v>
      </c>
      <c r="T134" s="38">
        <v>191</v>
      </c>
      <c r="U134" s="38">
        <v>126</v>
      </c>
      <c r="V134" s="38">
        <v>81</v>
      </c>
      <c r="W134" s="38">
        <v>191</v>
      </c>
      <c r="X134" s="38"/>
      <c r="Y134" s="38"/>
      <c r="Z134" s="38">
        <v>49</v>
      </c>
      <c r="AA134" s="38"/>
      <c r="AC134" t="s">
        <v>795</v>
      </c>
    </row>
    <row r="135" spans="1:29" hidden="1">
      <c r="A135" t="s">
        <v>1144</v>
      </c>
      <c r="B135" s="38">
        <v>161</v>
      </c>
      <c r="C135" s="38">
        <v>251</v>
      </c>
      <c r="D135" s="38"/>
      <c r="E135" s="38">
        <v>151</v>
      </c>
      <c r="F135" s="38">
        <v>251</v>
      </c>
      <c r="G135" s="38"/>
      <c r="H135" s="38">
        <v>301</v>
      </c>
      <c r="I135" s="38">
        <v>81</v>
      </c>
      <c r="J135" s="38">
        <v>81</v>
      </c>
      <c r="K135" s="38">
        <v>176</v>
      </c>
      <c r="L135" s="38">
        <v>301</v>
      </c>
      <c r="M135" s="38">
        <v>81</v>
      </c>
      <c r="N135" s="38">
        <v>251</v>
      </c>
      <c r="O135" s="38">
        <v>151</v>
      </c>
      <c r="P135" s="38">
        <v>201</v>
      </c>
      <c r="Q135" s="38">
        <v>81</v>
      </c>
      <c r="R135" s="38">
        <v>176</v>
      </c>
      <c r="S135" s="38">
        <v>301</v>
      </c>
      <c r="T135" s="38"/>
      <c r="U135" s="38">
        <v>251</v>
      </c>
      <c r="V135" s="38">
        <v>81</v>
      </c>
      <c r="W135" s="38"/>
      <c r="X135" s="38"/>
      <c r="Y135" s="38"/>
      <c r="Z135" s="38">
        <v>39</v>
      </c>
      <c r="AA135" s="38"/>
      <c r="AC135" t="s">
        <v>124</v>
      </c>
    </row>
    <row r="136" spans="1:29" hidden="1">
      <c r="A136" t="s">
        <v>1139</v>
      </c>
      <c r="B136" s="38">
        <v>161</v>
      </c>
      <c r="C136" s="38">
        <v>201</v>
      </c>
      <c r="D136" s="38"/>
      <c r="E136" s="38">
        <v>201</v>
      </c>
      <c r="F136" s="38">
        <v>251</v>
      </c>
      <c r="G136" s="38"/>
      <c r="H136" s="38">
        <v>351</v>
      </c>
      <c r="I136" s="38">
        <v>71</v>
      </c>
      <c r="J136" s="38">
        <v>81</v>
      </c>
      <c r="K136" s="38">
        <v>176</v>
      </c>
      <c r="L136" s="38">
        <v>351</v>
      </c>
      <c r="M136" s="38">
        <v>81</v>
      </c>
      <c r="N136" s="38">
        <v>301</v>
      </c>
      <c r="O136" s="38">
        <v>151</v>
      </c>
      <c r="P136" s="38">
        <v>201</v>
      </c>
      <c r="Q136" s="38">
        <v>81</v>
      </c>
      <c r="R136" s="38">
        <v>176</v>
      </c>
      <c r="S136" s="38">
        <v>401</v>
      </c>
      <c r="T136" s="38">
        <v>276</v>
      </c>
      <c r="U136" s="38">
        <v>301</v>
      </c>
      <c r="V136" s="38">
        <v>71</v>
      </c>
      <c r="W136" s="38">
        <v>276</v>
      </c>
      <c r="X136" s="38"/>
      <c r="Y136" s="38"/>
      <c r="Z136" s="38">
        <v>41</v>
      </c>
      <c r="AA136" s="38"/>
      <c r="AC136" t="s">
        <v>223</v>
      </c>
    </row>
    <row r="137" spans="1:29" hidden="1">
      <c r="A137" t="s">
        <v>176</v>
      </c>
      <c r="B137" s="38"/>
      <c r="C137" s="38"/>
      <c r="D137" s="38"/>
      <c r="E137" s="38"/>
      <c r="F137" s="38"/>
      <c r="G137" s="38"/>
      <c r="H137" s="38"/>
      <c r="I137" s="38"/>
      <c r="J137" s="38"/>
      <c r="K137" s="38"/>
      <c r="L137" s="38"/>
      <c r="M137" s="38"/>
      <c r="N137" s="38"/>
      <c r="O137" s="38"/>
      <c r="P137" s="38"/>
      <c r="Q137" s="38"/>
      <c r="R137" s="38"/>
      <c r="S137" s="38"/>
      <c r="T137" s="38"/>
      <c r="U137" s="38"/>
      <c r="V137" s="38"/>
      <c r="W137" s="38"/>
      <c r="X137" s="38"/>
      <c r="Y137" s="38"/>
      <c r="Z137" s="38"/>
      <c r="AA137" s="38"/>
    </row>
    <row r="138" spans="1:29">
      <c r="B138" s="38"/>
      <c r="C138" s="38"/>
      <c r="D138" s="38"/>
      <c r="E138" s="38"/>
      <c r="F138" s="38"/>
      <c r="G138" s="38"/>
      <c r="H138" s="38"/>
      <c r="I138" s="38"/>
      <c r="J138" s="38"/>
      <c r="K138" s="38"/>
      <c r="L138" s="38"/>
      <c r="M138" s="38"/>
      <c r="N138" s="38"/>
      <c r="O138" s="38"/>
      <c r="P138" s="38"/>
      <c r="Q138" s="38"/>
      <c r="R138" s="38"/>
      <c r="S138" s="38"/>
      <c r="T138" s="38"/>
      <c r="U138" s="38"/>
      <c r="V138" s="38"/>
      <c r="W138" s="38"/>
      <c r="X138" s="38"/>
      <c r="Y138" s="38"/>
      <c r="Z138" s="38"/>
      <c r="AA138" s="38"/>
    </row>
    <row r="139" spans="1:29">
      <c r="B139" s="38"/>
      <c r="C139" s="38"/>
      <c r="D139" s="38"/>
      <c r="E139" s="38"/>
      <c r="F139" s="38"/>
      <c r="G139" s="38"/>
      <c r="H139" s="38"/>
      <c r="I139" s="38"/>
      <c r="J139" s="38"/>
      <c r="K139" s="38"/>
      <c r="L139" s="38"/>
      <c r="M139" s="38"/>
      <c r="N139" s="38"/>
      <c r="O139" s="38"/>
      <c r="P139" s="38"/>
      <c r="Q139" s="38"/>
      <c r="R139" s="38"/>
      <c r="S139" s="38"/>
      <c r="T139" s="38"/>
      <c r="U139" s="38"/>
      <c r="V139" s="38"/>
      <c r="W139" s="38"/>
      <c r="X139" s="38"/>
      <c r="Y139" s="38"/>
      <c r="Z139" s="38"/>
      <c r="AA139" s="38"/>
    </row>
    <row r="140" spans="1:29">
      <c r="B140" s="38"/>
      <c r="C140" s="38"/>
      <c r="D140" s="38"/>
      <c r="E140" s="38"/>
      <c r="F140" s="38"/>
      <c r="G140" s="38"/>
      <c r="H140" s="38"/>
      <c r="I140" s="38"/>
      <c r="J140" s="38"/>
      <c r="K140" s="38"/>
      <c r="L140" s="38"/>
      <c r="M140" s="38"/>
      <c r="N140" s="38"/>
      <c r="O140" s="38"/>
      <c r="P140" s="38"/>
      <c r="Q140" s="38"/>
      <c r="R140" s="38"/>
      <c r="S140" s="38"/>
      <c r="T140" s="38"/>
      <c r="U140" s="38"/>
      <c r="V140" s="38"/>
      <c r="W140" s="38"/>
      <c r="X140" s="38"/>
      <c r="Y140" s="38"/>
      <c r="Z140" s="38"/>
      <c r="AA140" s="38"/>
    </row>
    <row r="141" spans="1:29">
      <c r="B141" s="38"/>
      <c r="C141" s="38"/>
      <c r="D141" s="38"/>
      <c r="E141" s="38"/>
      <c r="F141" s="38"/>
      <c r="G141" s="38"/>
      <c r="H141" s="38"/>
      <c r="I141" s="38"/>
      <c r="J141" s="38"/>
      <c r="K141" s="38"/>
      <c r="L141" s="38"/>
      <c r="M141" s="38"/>
      <c r="N141" s="38"/>
      <c r="O141" s="38"/>
      <c r="P141" s="38"/>
      <c r="Q141" s="38"/>
      <c r="R141" s="38"/>
      <c r="S141" s="38"/>
      <c r="T141" s="38"/>
      <c r="U141" s="38"/>
      <c r="V141" s="38"/>
      <c r="W141" s="38"/>
      <c r="X141" s="38"/>
      <c r="Y141" s="38"/>
      <c r="Z141" s="38"/>
      <c r="AA141" s="38"/>
    </row>
    <row r="142" spans="1:29">
      <c r="B142" s="38"/>
      <c r="C142" s="38"/>
      <c r="D142" s="38"/>
      <c r="E142" s="38"/>
      <c r="F142" s="38"/>
      <c r="G142" s="38"/>
      <c r="H142" s="38"/>
      <c r="I142" s="38"/>
      <c r="J142" s="38"/>
      <c r="K142" s="38"/>
      <c r="L142" s="38"/>
      <c r="M142" s="38"/>
      <c r="N142" s="38"/>
      <c r="O142" s="38"/>
      <c r="P142" s="38"/>
      <c r="Q142" s="38"/>
      <c r="R142" s="38"/>
      <c r="S142" s="38"/>
      <c r="T142" s="38"/>
      <c r="U142" s="38"/>
      <c r="V142" s="38"/>
      <c r="W142" s="38"/>
      <c r="X142" s="38"/>
      <c r="Y142" s="38"/>
      <c r="Z142" s="38"/>
      <c r="AA142" s="38"/>
    </row>
    <row r="143" spans="1:29">
      <c r="B143" s="38"/>
      <c r="C143" s="38"/>
      <c r="D143" s="38"/>
      <c r="E143" s="38"/>
      <c r="F143" s="38"/>
      <c r="G143" s="38"/>
      <c r="H143" s="38"/>
      <c r="I143" s="38"/>
      <c r="J143" s="38"/>
      <c r="K143" s="38"/>
      <c r="L143" s="38"/>
      <c r="M143" s="38"/>
      <c r="N143" s="38"/>
      <c r="O143" s="38"/>
      <c r="P143" s="38"/>
      <c r="Q143" s="38"/>
      <c r="R143" s="38"/>
      <c r="S143" s="38"/>
      <c r="T143" s="38"/>
      <c r="U143" s="38"/>
      <c r="V143" s="38"/>
      <c r="W143" s="38"/>
      <c r="X143" s="38"/>
      <c r="Y143" s="38"/>
      <c r="Z143" s="38"/>
      <c r="AA143" s="38"/>
    </row>
    <row r="144" spans="1:29">
      <c r="B144" s="38"/>
      <c r="C144" s="38"/>
      <c r="D144" s="38"/>
      <c r="E144" s="38"/>
      <c r="F144" s="38"/>
      <c r="G144" s="38"/>
      <c r="H144" s="38"/>
      <c r="I144" s="38"/>
      <c r="J144" s="38"/>
      <c r="K144" s="38"/>
      <c r="L144" s="38"/>
      <c r="M144" s="38"/>
      <c r="N144" s="38"/>
      <c r="O144" s="38"/>
      <c r="P144" s="38"/>
      <c r="Q144" s="38"/>
      <c r="R144" s="38"/>
      <c r="S144" s="38"/>
      <c r="T144" s="38"/>
      <c r="U144" s="38"/>
      <c r="V144" s="38"/>
      <c r="W144" s="38"/>
      <c r="X144" s="38"/>
      <c r="Y144" s="38"/>
      <c r="Z144" s="38"/>
      <c r="AA144" s="38"/>
    </row>
    <row r="145" spans="2:27">
      <c r="B145" s="38"/>
      <c r="C145" s="38"/>
      <c r="D145" s="38"/>
      <c r="E145" s="38"/>
      <c r="F145" s="38"/>
      <c r="G145" s="38"/>
      <c r="H145" s="38"/>
      <c r="I145" s="38"/>
      <c r="J145" s="38"/>
      <c r="K145" s="38"/>
      <c r="L145" s="38"/>
      <c r="M145" s="38"/>
      <c r="N145" s="38"/>
      <c r="O145" s="38"/>
      <c r="P145" s="38"/>
      <c r="Q145" s="38"/>
      <c r="R145" s="38"/>
      <c r="S145" s="38"/>
      <c r="T145" s="38"/>
      <c r="U145" s="38"/>
      <c r="V145" s="38"/>
      <c r="W145" s="38"/>
      <c r="X145" s="38"/>
      <c r="Y145" s="38"/>
      <c r="Z145" s="38"/>
      <c r="AA145" s="38"/>
    </row>
    <row r="146" spans="2:27">
      <c r="B146" s="38"/>
      <c r="C146" s="38"/>
      <c r="D146" s="38"/>
      <c r="E146" s="38"/>
      <c r="F146" s="38"/>
      <c r="G146" s="38"/>
      <c r="H146" s="38"/>
      <c r="I146" s="38"/>
      <c r="J146" s="38"/>
      <c r="K146" s="38"/>
      <c r="L146" s="38"/>
      <c r="M146" s="38"/>
      <c r="N146" s="38"/>
      <c r="O146" s="38"/>
      <c r="P146" s="38"/>
      <c r="Q146" s="38"/>
      <c r="R146" s="38"/>
      <c r="S146" s="38"/>
      <c r="T146" s="38"/>
      <c r="U146" s="38"/>
      <c r="V146" s="38"/>
      <c r="W146" s="38"/>
      <c r="X146" s="38"/>
      <c r="Y146" s="38"/>
      <c r="Z146" s="38"/>
      <c r="AA146" s="38"/>
    </row>
    <row r="147" spans="2:27">
      <c r="B147" s="38"/>
      <c r="C147" s="38"/>
      <c r="D147" s="38"/>
      <c r="E147" s="38"/>
      <c r="F147" s="38"/>
      <c r="G147" s="38"/>
      <c r="H147" s="38"/>
      <c r="I147" s="38"/>
      <c r="J147" s="38"/>
      <c r="K147" s="38"/>
      <c r="L147" s="38"/>
      <c r="M147" s="38"/>
      <c r="N147" s="38"/>
      <c r="O147" s="38"/>
      <c r="P147" s="38"/>
      <c r="Q147" s="38"/>
      <c r="R147" s="38"/>
      <c r="S147" s="38"/>
      <c r="T147" s="38"/>
      <c r="U147" s="38"/>
      <c r="V147" s="38"/>
      <c r="W147" s="38"/>
      <c r="X147" s="38"/>
      <c r="Y147" s="38"/>
      <c r="Z147" s="38"/>
      <c r="AA147" s="38"/>
    </row>
    <row r="148" spans="2:27">
      <c r="B148" s="38"/>
      <c r="C148" s="38"/>
      <c r="D148" s="38"/>
      <c r="E148" s="38"/>
      <c r="F148" s="38"/>
      <c r="G148" s="38"/>
      <c r="H148" s="38"/>
      <c r="I148" s="38"/>
      <c r="J148" s="38"/>
      <c r="K148" s="38"/>
      <c r="L148" s="38"/>
      <c r="M148" s="38"/>
      <c r="N148" s="38"/>
      <c r="O148" s="38"/>
      <c r="P148" s="38"/>
      <c r="Q148" s="38"/>
      <c r="R148" s="38"/>
      <c r="S148" s="38"/>
      <c r="T148" s="38"/>
      <c r="U148" s="38"/>
      <c r="V148" s="38"/>
      <c r="W148" s="38"/>
      <c r="X148" s="38"/>
      <c r="Y148" s="38"/>
      <c r="Z148" s="38"/>
      <c r="AA148" s="38"/>
    </row>
    <row r="149" spans="2:27">
      <c r="B149" s="38"/>
      <c r="C149" s="38"/>
      <c r="D149" s="38"/>
      <c r="E149" s="38"/>
      <c r="F149" s="38"/>
      <c r="G149" s="38"/>
      <c r="H149" s="38"/>
      <c r="I149" s="38"/>
      <c r="J149" s="38"/>
      <c r="K149" s="38"/>
      <c r="L149" s="38"/>
      <c r="M149" s="38"/>
      <c r="N149" s="38"/>
      <c r="O149" s="38"/>
      <c r="P149" s="38"/>
      <c r="Q149" s="38"/>
      <c r="R149" s="38"/>
      <c r="S149" s="38"/>
      <c r="T149" s="38"/>
      <c r="U149" s="38"/>
      <c r="V149" s="38"/>
      <c r="W149" s="38"/>
      <c r="X149" s="38"/>
      <c r="Y149" s="38"/>
      <c r="Z149" s="38"/>
      <c r="AA149" s="38"/>
    </row>
    <row r="150" spans="2:27">
      <c r="B150" s="38"/>
      <c r="C150" s="38"/>
      <c r="D150" s="38"/>
      <c r="E150" s="38"/>
      <c r="F150" s="38"/>
      <c r="G150" s="38"/>
      <c r="H150" s="38"/>
      <c r="I150" s="38"/>
      <c r="J150" s="38"/>
      <c r="K150" s="38"/>
      <c r="L150" s="38"/>
      <c r="M150" s="38"/>
      <c r="N150" s="38"/>
      <c r="O150" s="38"/>
      <c r="P150" s="38"/>
      <c r="Q150" s="38"/>
      <c r="R150" s="38"/>
      <c r="S150" s="38"/>
      <c r="T150" s="38"/>
      <c r="U150" s="38"/>
      <c r="V150" s="38"/>
      <c r="W150" s="38"/>
      <c r="X150" s="38"/>
      <c r="Y150" s="38"/>
      <c r="Z150" s="38"/>
      <c r="AA150" s="38"/>
    </row>
    <row r="151" spans="2:27">
      <c r="B151" s="38"/>
      <c r="C151" s="38"/>
      <c r="D151" s="38"/>
      <c r="E151" s="38"/>
      <c r="F151" s="38"/>
      <c r="G151" s="38"/>
      <c r="H151" s="38"/>
      <c r="I151" s="38"/>
      <c r="J151" s="38"/>
      <c r="K151" s="38"/>
      <c r="L151" s="38"/>
      <c r="M151" s="38"/>
      <c r="N151" s="38"/>
      <c r="O151" s="38"/>
      <c r="P151" s="38"/>
      <c r="Q151" s="38"/>
      <c r="R151" s="38"/>
      <c r="S151" s="38"/>
      <c r="T151" s="38"/>
      <c r="U151" s="38"/>
      <c r="V151" s="38"/>
      <c r="W151" s="38"/>
      <c r="X151" s="38"/>
      <c r="Y151" s="38"/>
      <c r="Z151" s="38"/>
      <c r="AA151" s="38"/>
    </row>
    <row r="152" spans="2:27">
      <c r="B152" s="38"/>
      <c r="C152" s="38"/>
      <c r="D152" s="38"/>
      <c r="E152" s="38"/>
      <c r="F152" s="38"/>
      <c r="G152" s="38"/>
      <c r="H152" s="38"/>
      <c r="I152" s="38"/>
      <c r="J152" s="38"/>
      <c r="K152" s="38"/>
      <c r="L152" s="38"/>
      <c r="M152" s="38"/>
      <c r="N152" s="38"/>
      <c r="O152" s="38"/>
      <c r="P152" s="38"/>
      <c r="Q152" s="38"/>
      <c r="R152" s="38"/>
      <c r="S152" s="38"/>
      <c r="T152" s="38"/>
      <c r="U152" s="38"/>
      <c r="V152" s="38"/>
      <c r="W152" s="38"/>
      <c r="X152" s="38"/>
      <c r="Y152" s="38"/>
      <c r="Z152" s="38"/>
      <c r="AA152" s="38"/>
    </row>
    <row r="153" spans="2:27">
      <c r="B153" s="38"/>
      <c r="C153" s="38"/>
      <c r="D153" s="38"/>
      <c r="E153" s="38"/>
      <c r="F153" s="38"/>
      <c r="G153" s="38"/>
      <c r="H153" s="38"/>
      <c r="I153" s="38"/>
      <c r="J153" s="38"/>
      <c r="K153" s="38"/>
      <c r="L153" s="38"/>
      <c r="M153" s="38"/>
      <c r="N153" s="38"/>
      <c r="O153" s="38"/>
      <c r="P153" s="38"/>
      <c r="Q153" s="38"/>
      <c r="R153" s="38"/>
      <c r="S153" s="38"/>
      <c r="T153" s="38"/>
      <c r="U153" s="38"/>
      <c r="V153" s="38"/>
      <c r="W153" s="38"/>
      <c r="X153" s="38"/>
      <c r="Y153" s="38"/>
      <c r="Z153" s="38"/>
      <c r="AA153" s="38"/>
    </row>
    <row r="154" spans="2:27">
      <c r="B154" s="38"/>
      <c r="C154" s="38"/>
      <c r="D154" s="38"/>
      <c r="E154" s="38"/>
      <c r="F154" s="38"/>
      <c r="G154" s="38"/>
      <c r="H154" s="38"/>
      <c r="I154" s="38"/>
      <c r="J154" s="38"/>
      <c r="K154" s="38"/>
      <c r="L154" s="38"/>
      <c r="M154" s="38"/>
      <c r="N154" s="38"/>
      <c r="O154" s="38"/>
      <c r="P154" s="38"/>
      <c r="Q154" s="38"/>
      <c r="R154" s="38"/>
      <c r="S154" s="38"/>
      <c r="T154" s="38"/>
      <c r="U154" s="38"/>
      <c r="V154" s="38"/>
      <c r="W154" s="38"/>
      <c r="X154" s="38"/>
      <c r="Y154" s="38"/>
      <c r="Z154" s="38"/>
      <c r="AA154" s="38"/>
    </row>
    <row r="155" spans="2:27">
      <c r="B155" s="38"/>
      <c r="C155" s="38"/>
      <c r="D155" s="38"/>
      <c r="E155" s="38"/>
      <c r="F155" s="38"/>
      <c r="G155" s="38"/>
      <c r="H155" s="38"/>
      <c r="I155" s="38"/>
      <c r="J155" s="38"/>
      <c r="K155" s="38"/>
      <c r="L155" s="38"/>
      <c r="M155" s="38"/>
      <c r="N155" s="38"/>
      <c r="O155" s="38"/>
      <c r="P155" s="38"/>
      <c r="Q155" s="38"/>
      <c r="R155" s="38"/>
      <c r="S155" s="38"/>
      <c r="T155" s="38"/>
      <c r="U155" s="38"/>
      <c r="V155" s="38"/>
      <c r="W155" s="38"/>
      <c r="X155" s="38"/>
      <c r="Y155" s="38"/>
      <c r="Z155" s="38"/>
      <c r="AA155" s="38"/>
    </row>
    <row r="156" spans="2:27">
      <c r="B156" s="38"/>
      <c r="C156" s="38"/>
      <c r="D156" s="38"/>
      <c r="E156" s="38"/>
      <c r="F156" s="38"/>
      <c r="G156" s="38"/>
      <c r="H156" s="38"/>
      <c r="I156" s="38"/>
      <c r="J156" s="38"/>
      <c r="K156" s="38"/>
      <c r="L156" s="38"/>
      <c r="M156" s="38"/>
      <c r="N156" s="38"/>
      <c r="O156" s="38"/>
      <c r="P156" s="38"/>
      <c r="Q156" s="38"/>
      <c r="R156" s="38"/>
      <c r="S156" s="38"/>
      <c r="T156" s="38"/>
      <c r="U156" s="38"/>
      <c r="V156" s="38"/>
      <c r="W156" s="38"/>
      <c r="X156" s="38"/>
      <c r="Y156" s="38"/>
      <c r="Z156" s="38"/>
      <c r="AA156" s="38"/>
    </row>
  </sheetData>
  <sortState xmlns:xlrd2="http://schemas.microsoft.com/office/spreadsheetml/2017/richdata2" ref="AC74:AC92">
    <sortCondition ref="AC74:AC92"/>
  </sortState>
  <conditionalFormatting sqref="B2:AA137">
    <cfRule type="expression" dxfId="529" priority="53369">
      <formula>B2=MAX($B2:$AA2)</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52788" id="{EF1CCCEC-2A2F-4557-9103-A986D67254B1}">
            <xm:f>$A1=VLOOKUP($A1,'Course Adjusted Result'!$A:$A,1,FALSE)</xm:f>
            <x14:dxf>
              <fill>
                <patternFill>
                  <bgColor rgb="FF92D050"/>
                </patternFill>
              </fill>
            </x14:dxf>
          </x14:cfRule>
          <xm:sqref>A1:A1048576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33C6F-64D2-4FA9-A449-990A0500014C}">
  <sheetPr codeName="Sheet36">
    <tabColor rgb="FFFFFF00"/>
  </sheetPr>
  <dimension ref="A1:Q52"/>
  <sheetViews>
    <sheetView tabSelected="1" workbookViewId="0">
      <selection activeCell="M37" sqref="M37"/>
    </sheetView>
  </sheetViews>
  <sheetFormatPr defaultRowHeight="15"/>
  <cols>
    <col min="1" max="1" width="23.140625" bestFit="1" customWidth="1"/>
    <col min="2" max="2" width="19.7109375" bestFit="1" customWidth="1"/>
    <col min="3" max="3" width="15.7109375" bestFit="1" customWidth="1"/>
    <col min="4" max="4" width="20.28515625" customWidth="1"/>
    <col min="5" max="5" width="15.7109375" bestFit="1" customWidth="1"/>
    <col min="6" max="7" width="9" customWidth="1"/>
    <col min="8" max="8" width="13.5703125" bestFit="1" customWidth="1"/>
    <col min="9" max="9" width="20.85546875" bestFit="1" customWidth="1"/>
    <col min="10" max="10" width="23.5703125" bestFit="1" customWidth="1"/>
    <col min="11" max="11" width="19.42578125" bestFit="1" customWidth="1"/>
    <col min="12" max="12" width="18.85546875" bestFit="1" customWidth="1"/>
    <col min="13" max="14" width="17.5703125" bestFit="1" customWidth="1"/>
    <col min="17" max="17" width="10.140625" customWidth="1"/>
    <col min="20" max="20" width="15.140625" bestFit="1" customWidth="1"/>
  </cols>
  <sheetData>
    <row r="1" spans="1:14">
      <c r="A1" s="406" t="s">
        <v>584</v>
      </c>
      <c r="B1" s="406"/>
      <c r="C1" s="406"/>
      <c r="D1" s="406"/>
      <c r="E1" s="406"/>
      <c r="F1" s="406"/>
      <c r="G1" s="406"/>
      <c r="H1" s="406"/>
      <c r="I1" s="406"/>
      <c r="K1" s="1" t="s">
        <v>606</v>
      </c>
      <c r="L1" s="1" t="s">
        <v>812</v>
      </c>
    </row>
    <row r="2" spans="1:14">
      <c r="A2" t="s">
        <v>35</v>
      </c>
      <c r="B2" s="38">
        <v>105.53456210706372</v>
      </c>
      <c r="C2" s="160">
        <f>B2/SUM($B$2:$B$4)</f>
        <v>0.30154273087318029</v>
      </c>
      <c r="D2" s="38">
        <f>1/C2</f>
        <v>3.3162795770413367</v>
      </c>
      <c r="E2" s="182">
        <f>D2/SUM($D$2:$D$4)</f>
        <v>0.36671154441673171</v>
      </c>
      <c r="F2" s="187">
        <f>E2*$K$2</f>
        <v>9.1677886104182917</v>
      </c>
      <c r="G2">
        <v>5.9</v>
      </c>
      <c r="H2" s="187">
        <f>F2*(G2-1)*0.98-($K$2-F2)</f>
        <v>28.191509517646928</v>
      </c>
      <c r="I2" s="195">
        <v>1</v>
      </c>
      <c r="K2" s="337">
        <v>25</v>
      </c>
      <c r="L2" s="337">
        <v>10</v>
      </c>
    </row>
    <row r="3" spans="1:14">
      <c r="A3" t="s">
        <v>492</v>
      </c>
      <c r="B3" s="38">
        <v>121.7</v>
      </c>
      <c r="C3" s="160">
        <f>B3/SUM($B$2:$B$4)</f>
        <v>0.34773205682169367</v>
      </c>
      <c r="D3" s="38">
        <f>1/C3</f>
        <v>2.8757774280004598</v>
      </c>
      <c r="E3" s="182">
        <f>D3/SUM($D$2:$D$4)</f>
        <v>0.3180011689369337</v>
      </c>
      <c r="F3" s="187">
        <f>E3*$K$2</f>
        <v>7.9500292234233427</v>
      </c>
      <c r="G3">
        <v>364.54</v>
      </c>
      <c r="H3" s="187">
        <f>F3*(G3-1)*0.98-($K$2-F3)</f>
        <v>2815.3005806290794</v>
      </c>
      <c r="I3" s="14">
        <f>I2*(F3/$F$2)</f>
        <v>0.86716977902270942</v>
      </c>
    </row>
    <row r="4" spans="1:14">
      <c r="A4" t="s">
        <v>73</v>
      </c>
      <c r="B4" s="38">
        <v>122.74755088059227</v>
      </c>
      <c r="C4" s="160">
        <f>B4/SUM($B$2:$B$4)</f>
        <v>0.3507252123051261</v>
      </c>
      <c r="D4" s="38">
        <f>1/C4</f>
        <v>2.8512349979847293</v>
      </c>
      <c r="E4" s="182">
        <f>D4/SUM($D$2:$D$4)</f>
        <v>0.31528728664633454</v>
      </c>
      <c r="F4" s="187">
        <f>E4*$K$2</f>
        <v>7.8821821661583638</v>
      </c>
      <c r="G4">
        <v>14.5</v>
      </c>
      <c r="H4" s="187">
        <f>F4*(G4-1)*0.98-($K$2-F4)</f>
        <v>87.163452224433513</v>
      </c>
      <c r="I4" s="14">
        <f>I3*(F4/$F$2)</f>
        <v>0.74556585646802176</v>
      </c>
    </row>
    <row r="5" spans="1:14">
      <c r="C5" s="160"/>
      <c r="D5" s="38"/>
      <c r="E5" s="182"/>
      <c r="F5" s="187"/>
      <c r="H5" s="187"/>
      <c r="I5" s="14"/>
    </row>
    <row r="6" spans="1:14">
      <c r="A6" s="404" t="s">
        <v>538</v>
      </c>
      <c r="B6" s="404"/>
      <c r="C6" s="404"/>
      <c r="D6" s="404"/>
      <c r="E6" s="404"/>
      <c r="F6" s="404"/>
      <c r="G6" s="404"/>
      <c r="H6" s="404"/>
      <c r="I6" s="404"/>
      <c r="K6" s="1" t="s">
        <v>473</v>
      </c>
      <c r="L6" s="1" t="s">
        <v>474</v>
      </c>
      <c r="M6" s="1" t="s">
        <v>480</v>
      </c>
      <c r="N6" s="1"/>
    </row>
    <row r="7" spans="1:14" ht="13.9" customHeight="1">
      <c r="A7" s="38" t="s">
        <v>35</v>
      </c>
      <c r="B7" s="14">
        <v>105.53456210706372</v>
      </c>
      <c r="C7" s="160">
        <f>B7/SUM($B$7:$B$10)</f>
        <v>0.22266795353947935</v>
      </c>
      <c r="D7" s="38">
        <f>1/C7</f>
        <v>4.4909920089722233</v>
      </c>
      <c r="E7" s="182">
        <f>D7/SUM($D$7:$D$10)</f>
        <v>0.27946925490262498</v>
      </c>
      <c r="F7" s="187">
        <f>E7*$K$2</f>
        <v>6.9867313725656244</v>
      </c>
      <c r="G7">
        <v>5.9</v>
      </c>
      <c r="H7" s="187">
        <f>F7*(G7-1)*0.98-($K$2-F7)</f>
        <v>15.53701542362575</v>
      </c>
      <c r="I7" s="195">
        <v>1</v>
      </c>
      <c r="K7" s="160">
        <f>1/(G7+1)</f>
        <v>0.14492753623188406</v>
      </c>
      <c r="L7" s="193">
        <f>(K7*H7)+(K8*H8)+(K9*H9)+(K10*H10)-($K$2*(1-SUM(K7:K10)))</f>
        <v>-2.1772294498310387</v>
      </c>
      <c r="M7" s="187">
        <f>(K7*H7)+(K8*H8)+(K9*H9)+(K10*H10)-($K$2*(1-WinnerKPIs!$Q$11))</f>
        <v>-0.94377267007806864</v>
      </c>
      <c r="N7" s="187"/>
    </row>
    <row r="8" spans="1:14">
      <c r="A8" s="38" t="s">
        <v>492</v>
      </c>
      <c r="B8" s="14">
        <v>121.7</v>
      </c>
      <c r="C8" s="160">
        <f>B8/SUM($B$7:$B$10)</f>
        <v>0.25677549993776727</v>
      </c>
      <c r="D8" s="38">
        <f>1/C8</f>
        <v>3.894452548013196</v>
      </c>
      <c r="E8" s="182">
        <f>D8/SUM($D$7:$D$10)</f>
        <v>0.24234729201755048</v>
      </c>
      <c r="F8" s="187">
        <f>E8*$K$2</f>
        <v>6.058682300438762</v>
      </c>
      <c r="G8">
        <v>364.54</v>
      </c>
      <c r="H8" s="187">
        <f>F8*(G8-1)*0.98-($K$2-F8)</f>
        <v>2139.5805785319162</v>
      </c>
      <c r="I8" s="14">
        <f>F8/$F$7</f>
        <v>0.8671697790227092</v>
      </c>
      <c r="K8" s="160">
        <f>1/(G8+1)</f>
        <v>2.7356787218909009E-3</v>
      </c>
      <c r="L8" s="193"/>
    </row>
    <row r="9" spans="1:14">
      <c r="A9" s="38" t="s">
        <v>73</v>
      </c>
      <c r="B9" s="14">
        <v>122.74755088059227</v>
      </c>
      <c r="C9" s="160">
        <f>B9/SUM($B$7:$B$10)</f>
        <v>0.25898573330731806</v>
      </c>
      <c r="D9" s="38">
        <f>1/C9</f>
        <v>3.8612165513124168</v>
      </c>
      <c r="E9" s="182">
        <f>D9/SUM($D$7:$D$10)</f>
        <v>0.2402790542617593</v>
      </c>
      <c r="F9" s="187">
        <f>E9*$K$2</f>
        <v>6.0069763565439827</v>
      </c>
      <c r="G9">
        <v>14.5</v>
      </c>
      <c r="H9" s="187">
        <f>F9*(G9-1)*0.98-($K$2-F9)</f>
        <v>60.479273553620885</v>
      </c>
      <c r="I9" s="14">
        <f>F9/$F$7</f>
        <v>0.85976918765350185</v>
      </c>
      <c r="K9" s="160">
        <f>1/(G9+1)</f>
        <v>6.4516129032258063E-2</v>
      </c>
      <c r="L9" s="193"/>
    </row>
    <row r="10" spans="1:14">
      <c r="A10" s="38" t="s">
        <v>439</v>
      </c>
      <c r="B10" s="14">
        <v>123.97276210554998</v>
      </c>
      <c r="C10" s="160">
        <f>B10/SUM($B$7:$B$10)</f>
        <v>0.26157081321543535</v>
      </c>
      <c r="D10" s="38">
        <f>1/C10</f>
        <v>3.8230565088941266</v>
      </c>
      <c r="E10" s="182">
        <f>D10/SUM($D$7:$D$10)</f>
        <v>0.2379043988180653</v>
      </c>
      <c r="F10" s="187">
        <f>E10*$K$2</f>
        <v>5.9476099704516328</v>
      </c>
      <c r="G10">
        <v>17</v>
      </c>
      <c r="H10" s="187">
        <f>F10*(G10-1)*0.98-($K$2-F10)</f>
        <v>74.20613430713324</v>
      </c>
      <c r="I10" s="14">
        <f>F10/$F$7</f>
        <v>0.85127216910124137</v>
      </c>
      <c r="K10" s="160">
        <f>1/(G10+1)</f>
        <v>5.5555555555555552E-2</v>
      </c>
    </row>
    <row r="11" spans="1:14">
      <c r="K11" s="194">
        <f>SUM(K7:K10)</f>
        <v>0.26773489954158858</v>
      </c>
    </row>
    <row r="12" spans="1:14">
      <c r="A12" s="405" t="s">
        <v>536</v>
      </c>
      <c r="B12" s="405"/>
      <c r="C12" s="405"/>
      <c r="D12" s="405"/>
      <c r="E12" s="405"/>
      <c r="F12" s="405"/>
      <c r="G12" s="405"/>
      <c r="H12" s="405"/>
      <c r="I12" s="405"/>
    </row>
    <row r="13" spans="1:14">
      <c r="A13" s="38" t="s">
        <v>492</v>
      </c>
      <c r="B13" s="14">
        <v>121.7</v>
      </c>
      <c r="C13" s="160">
        <f>B13/SUM($B$13:$B$16)</f>
        <v>0.19687942822564056</v>
      </c>
      <c r="D13" s="38">
        <f>1/C13</f>
        <v>5.0792508339363671</v>
      </c>
      <c r="E13" s="182">
        <f>D13/SUM($D$13:$D$16)</f>
        <v>0.30885294444770456</v>
      </c>
      <c r="F13" s="455">
        <f>(E13*$L$2)</f>
        <v>3.0885294444770457</v>
      </c>
      <c r="G13">
        <v>44.58</v>
      </c>
      <c r="H13" s="187">
        <f>F13*(G13-1)*0.98-($L$2-F13)</f>
        <v>124.99468037098049</v>
      </c>
      <c r="I13" s="195">
        <f>F13/F7</f>
        <v>0.44205641805617252</v>
      </c>
      <c r="K13" s="160">
        <f>1/(G13+1)</f>
        <v>2.1939447125932428E-2</v>
      </c>
      <c r="L13" s="193">
        <f>(K13*H13)+(K14*H14)+(K15*H15)+(K16*H16)-($L$2*(1-SUM(K13:K16)))</f>
        <v>-0.60537194291373275</v>
      </c>
      <c r="M13" s="187">
        <f>(K13*H13)+(K14*H14)+(K15*H15)+(K16*H16)-($L$2*(1-T10KPIs!$Z$8))</f>
        <v>-0.71959558329890072</v>
      </c>
      <c r="N13" t="s">
        <v>701</v>
      </c>
    </row>
    <row r="14" spans="1:14">
      <c r="A14" s="38" t="s">
        <v>69</v>
      </c>
      <c r="B14" s="14">
        <v>142.12610458569071</v>
      </c>
      <c r="C14" s="160">
        <f>B14/SUM($B$13:$B$16)</f>
        <v>0.22992363358067688</v>
      </c>
      <c r="D14" s="38">
        <f>1/C14</f>
        <v>4.3492701660402142</v>
      </c>
      <c r="E14" s="182">
        <f>D14/SUM($D$13:$D$16)</f>
        <v>0.26446516246157603</v>
      </c>
      <c r="F14" s="187">
        <f>(E14*$L$2)</f>
        <v>2.6446516246157605</v>
      </c>
      <c r="G14">
        <v>10.5</v>
      </c>
      <c r="H14" s="187">
        <f>F14*(G14-1)*0.98-($L$2-F14)</f>
        <v>17.266358249788492</v>
      </c>
      <c r="I14" s="14">
        <f>$I$13*(F14/$F$13)</f>
        <v>0.37852487573808175</v>
      </c>
      <c r="K14" s="160">
        <f>1/(G14+1)</f>
        <v>8.6956521739130432E-2</v>
      </c>
    </row>
    <row r="15" spans="1:14">
      <c r="A15" t="s">
        <v>52</v>
      </c>
      <c r="B15" s="14">
        <v>164.01872190436532</v>
      </c>
      <c r="C15" s="160">
        <f>B15/SUM($B$13:$B$16)</f>
        <v>0.26534028091069672</v>
      </c>
      <c r="D15" s="38">
        <f>1/C15</f>
        <v>3.7687455390030333</v>
      </c>
      <c r="E15" s="182">
        <f>D15/SUM($D$13:$D$16)</f>
        <v>0.22916532273188786</v>
      </c>
      <c r="F15" s="187">
        <f>(E15*$L$2)</f>
        <v>2.2916532273188785</v>
      </c>
      <c r="G15">
        <v>23</v>
      </c>
      <c r="H15" s="187">
        <f>F15*(G15-1)*0.98-($L$2-F15)</f>
        <v>41.699696808313902</v>
      </c>
      <c r="I15" s="14">
        <f>$I$13*(F15/$F$13)</f>
        <v>0.32800076389330995</v>
      </c>
      <c r="K15" s="160">
        <f>1/(G15+1)</f>
        <v>4.1666666666666664E-2</v>
      </c>
    </row>
    <row r="16" spans="1:14">
      <c r="A16" t="s">
        <v>489</v>
      </c>
      <c r="B16" s="14">
        <v>190.3</v>
      </c>
      <c r="C16" s="160">
        <f>B16/SUM($B$13:$B$16)</f>
        <v>0.307856657282986</v>
      </c>
      <c r="D16" s="38">
        <f>1/C16</f>
        <v>3.2482649841831632</v>
      </c>
      <c r="E16" s="182">
        <f>D16/SUM($D$13:$D$16)</f>
        <v>0.19751657035883155</v>
      </c>
      <c r="F16" s="187">
        <f>(E16*$L$2)</f>
        <v>1.9751657035883154</v>
      </c>
      <c r="G16">
        <v>67</v>
      </c>
      <c r="H16" s="187">
        <f>F16*(G16-1)*0.98-($L$2-F16)</f>
        <v>119.72888341168054</v>
      </c>
      <c r="I16" s="14">
        <f>$I$13*(F16/$F$13)</f>
        <v>0.28270239662341667</v>
      </c>
      <c r="K16" s="160">
        <f>1/(G16+1)</f>
        <v>1.4705882352941176E-2</v>
      </c>
    </row>
    <row r="17" spans="1:17">
      <c r="K17" s="194">
        <f>SUM(K13:K16)</f>
        <v>0.1652685178846707</v>
      </c>
    </row>
    <row r="18" spans="1:17">
      <c r="A18" s="407" t="s">
        <v>475</v>
      </c>
      <c r="B18" s="407"/>
      <c r="C18" s="407"/>
      <c r="D18" s="407"/>
      <c r="E18" s="407"/>
      <c r="F18" s="407"/>
      <c r="G18" s="407"/>
      <c r="H18" s="407"/>
    </row>
    <row r="19" spans="1:17">
      <c r="A19" s="1" t="s">
        <v>476</v>
      </c>
      <c r="B19" s="408" t="s">
        <v>671</v>
      </c>
      <c r="C19" s="408"/>
      <c r="D19" s="408"/>
      <c r="E19" s="408"/>
      <c r="F19" s="408"/>
      <c r="G19" s="408"/>
      <c r="H19" s="408"/>
      <c r="K19" s="194">
        <f>SUM(K11,K17)</f>
        <v>0.43300341742625925</v>
      </c>
    </row>
    <row r="20" spans="1:17">
      <c r="A20" s="1" t="s">
        <v>477</v>
      </c>
      <c r="B20" s="408" t="s">
        <v>478</v>
      </c>
      <c r="C20" s="408"/>
      <c r="D20" s="408"/>
      <c r="E20" s="408"/>
      <c r="F20" s="408"/>
      <c r="G20" s="408"/>
      <c r="H20" s="408"/>
    </row>
    <row r="21" spans="1:17">
      <c r="B21" t="s">
        <v>798</v>
      </c>
      <c r="K21" s="38"/>
      <c r="L21" s="14"/>
    </row>
    <row r="22" spans="1:17">
      <c r="B22" t="s">
        <v>479</v>
      </c>
      <c r="K22" s="38"/>
      <c r="L22" s="14"/>
    </row>
    <row r="24" spans="1:17">
      <c r="A24" s="137"/>
      <c r="B24" s="303" t="s">
        <v>585</v>
      </c>
      <c r="C24" s="303"/>
      <c r="D24" s="303" t="s">
        <v>586</v>
      </c>
      <c r="E24" s="303"/>
      <c r="G24" s="410"/>
      <c r="H24" s="410"/>
      <c r="I24" s="410"/>
      <c r="J24" s="410"/>
    </row>
    <row r="25" spans="1:17">
      <c r="A25" s="175" t="s">
        <v>537</v>
      </c>
      <c r="B25" s="137"/>
      <c r="C25" s="267"/>
      <c r="D25" s="409">
        <f>SUM(F7:F10)</f>
        <v>25.000000000000004</v>
      </c>
      <c r="E25" s="409">
        <f>D25+D29</f>
        <v>35</v>
      </c>
      <c r="G25" s="242"/>
      <c r="H25" s="238"/>
    </row>
    <row r="26" spans="1:17">
      <c r="A26" s="137"/>
      <c r="B26" s="384"/>
      <c r="C26" s="341"/>
      <c r="D26" s="409"/>
      <c r="E26" s="409"/>
      <c r="F26" s="187"/>
      <c r="H26" s="238"/>
    </row>
    <row r="27" spans="1:17">
      <c r="A27" s="137"/>
      <c r="B27" s="384"/>
      <c r="C27" s="267"/>
      <c r="D27" s="409"/>
      <c r="E27" s="409"/>
      <c r="H27" s="238"/>
    </row>
    <row r="28" spans="1:17">
      <c r="A28" s="137"/>
      <c r="B28" s="384"/>
      <c r="C28" s="267"/>
      <c r="D28" s="409"/>
      <c r="E28" s="409"/>
      <c r="H28" s="238"/>
    </row>
    <row r="29" spans="1:17">
      <c r="A29" s="175" t="s">
        <v>536</v>
      </c>
      <c r="B29" s="384"/>
      <c r="C29" s="267"/>
      <c r="D29" s="409">
        <f>SUM(F13:F16)</f>
        <v>10</v>
      </c>
      <c r="E29" s="409"/>
      <c r="H29" s="238"/>
      <c r="Q29" s="187">
        <f>10-F13-F14</f>
        <v>4.2668189309071938</v>
      </c>
    </row>
    <row r="30" spans="1:17">
      <c r="A30" s="137" t="s">
        <v>558</v>
      </c>
      <c r="B30" s="384">
        <f>350+H13</f>
        <v>474.99468037098052</v>
      </c>
      <c r="C30" s="267"/>
      <c r="D30" s="409"/>
      <c r="E30" s="409"/>
      <c r="H30" s="238"/>
    </row>
    <row r="31" spans="1:17" ht="15.75" thickBot="1">
      <c r="A31" s="137" t="s">
        <v>493</v>
      </c>
      <c r="B31" s="384">
        <v>120.78972836674102</v>
      </c>
      <c r="C31" s="267"/>
      <c r="D31" s="409"/>
      <c r="E31" s="409"/>
    </row>
    <row r="32" spans="1:17">
      <c r="A32" s="137"/>
      <c r="B32" s="384"/>
      <c r="C32" s="267"/>
      <c r="D32" s="409"/>
      <c r="E32" s="409"/>
      <c r="G32" s="411" t="s">
        <v>579</v>
      </c>
      <c r="H32" s="412"/>
      <c r="I32" s="412"/>
      <c r="J32" s="413"/>
      <c r="K32" t="s">
        <v>811</v>
      </c>
    </row>
    <row r="33" spans="1:13">
      <c r="D33" s="1"/>
      <c r="E33" s="187"/>
      <c r="G33" s="22" t="s">
        <v>698</v>
      </c>
      <c r="H33" s="484">
        <v>1</v>
      </c>
      <c r="I33" s="449" t="s">
        <v>700</v>
      </c>
      <c r="J33" s="486">
        <f>T10KPIs!T$14+1</f>
        <v>8.8416530493911747</v>
      </c>
      <c r="K33" t="s">
        <v>1128</v>
      </c>
      <c r="L33" s="485">
        <f>T10KPIs!Y$14+1</f>
        <v>4.9208265246955873</v>
      </c>
    </row>
    <row r="34" spans="1:13">
      <c r="G34" s="22" t="s">
        <v>699</v>
      </c>
      <c r="H34" s="484">
        <v>1</v>
      </c>
      <c r="I34" s="449" t="s">
        <v>1160</v>
      </c>
      <c r="J34" s="486">
        <f>T10KPIs!U$14+1</f>
        <v>21.852232906282417</v>
      </c>
      <c r="K34" t="s">
        <v>1129</v>
      </c>
      <c r="L34" s="485">
        <f>T10KPIs!Z$14+1</f>
        <v>11.426116453141208</v>
      </c>
    </row>
    <row r="35" spans="1:13">
      <c r="C35" s="187">
        <v>7.0871787974843876</v>
      </c>
      <c r="G35" s="22" t="s">
        <v>1117</v>
      </c>
      <c r="H35" s="484">
        <v>1</v>
      </c>
      <c r="I35" s="449" t="s">
        <v>1163</v>
      </c>
      <c r="J35" s="486">
        <f>T10KPIs!V$14+1</f>
        <v>35.824457036692984</v>
      </c>
      <c r="K35" t="s">
        <v>1130</v>
      </c>
      <c r="L35" s="485">
        <f>T10KPIs!AA$14+1</f>
        <v>18.412228518346492</v>
      </c>
    </row>
    <row r="36" spans="1:13" ht="15.75" thickBot="1">
      <c r="C36" s="187">
        <v>5.8180459145120702</v>
      </c>
      <c r="G36" s="90" t="s">
        <v>507</v>
      </c>
      <c r="H36" s="138">
        <v>2</v>
      </c>
      <c r="I36" s="91" t="s">
        <v>1162</v>
      </c>
      <c r="J36" s="487">
        <f>T10KPIs!W$14+1</f>
        <v>71.533316023864487</v>
      </c>
      <c r="K36" s="449" t="s">
        <v>1161</v>
      </c>
      <c r="L36" s="485">
        <f>T10KPIs!AB$14+1</f>
        <v>36.266658011932243</v>
      </c>
    </row>
    <row r="37" spans="1:13">
      <c r="C37" s="187">
        <v>6.1903223413408517</v>
      </c>
      <c r="K37" s="449"/>
    </row>
    <row r="38" spans="1:13">
      <c r="C38" s="187">
        <v>5.9044529466626878</v>
      </c>
    </row>
    <row r="44" spans="1:13">
      <c r="A44" s="404" t="s">
        <v>538</v>
      </c>
      <c r="B44" s="404"/>
      <c r="C44" s="404"/>
      <c r="D44" s="404"/>
      <c r="E44" s="404"/>
      <c r="F44" s="404"/>
      <c r="G44" s="404"/>
      <c r="H44" s="404"/>
      <c r="I44" s="404"/>
      <c r="K44" s="1" t="s">
        <v>473</v>
      </c>
      <c r="L44" s="1" t="s">
        <v>474</v>
      </c>
      <c r="M44" s="1" t="s">
        <v>480</v>
      </c>
    </row>
    <row r="45" spans="1:13">
      <c r="A45" s="38" t="s">
        <v>492</v>
      </c>
      <c r="B45" s="14">
        <v>119.5</v>
      </c>
      <c r="C45" s="160">
        <f>B45/SUM($B$45:$B$49)</f>
        <v>0.14441172954109155</v>
      </c>
      <c r="D45" s="38">
        <f>1/C45</f>
        <v>6.9246452706977353</v>
      </c>
      <c r="E45" s="182">
        <f>D45/SUM($D$45:$D$49)</f>
        <v>0.2696133577886704</v>
      </c>
      <c r="F45" s="187">
        <f>E45*$K$2</f>
        <v>6.7403339447167605</v>
      </c>
      <c r="G45">
        <v>14</v>
      </c>
      <c r="H45" s="187">
        <f>F45*(G45-1)*0.98-($K$2-F45)</f>
        <v>67.612188400408286</v>
      </c>
      <c r="I45" s="195">
        <v>1</v>
      </c>
      <c r="K45" s="160">
        <f>1/(G45+1)</f>
        <v>6.6666666666666666E-2</v>
      </c>
      <c r="L45" s="193">
        <f>(K45*H45)+(K46*H46)+(K47*H47)+(K48*H48)+(K49*H49)-($K$2*(1-SUM(K45:K49)))</f>
        <v>-1.449889589577559</v>
      </c>
      <c r="M45" s="187">
        <f>(K45*H45)+(K46*H46)+(K47*H47)+(K48*H48)+(K49*H49)-($K$2*(1-WinnerKPIs!$Q$45))</f>
        <v>1.2748748266664371</v>
      </c>
    </row>
    <row r="46" spans="1:13">
      <c r="A46" s="38" t="s">
        <v>488</v>
      </c>
      <c r="B46" s="14">
        <v>163.9</v>
      </c>
      <c r="C46" s="160">
        <f>B46/SUM($B$45:$B$49)</f>
        <v>0.19806763574715402</v>
      </c>
      <c r="D46" s="38">
        <f>1/C46</f>
        <v>5.0487804139620458</v>
      </c>
      <c r="E46" s="182">
        <f>D46/SUM($D$45:$D$49)</f>
        <v>0.19657593810705376</v>
      </c>
      <c r="F46" s="187">
        <f>E46*$K$2</f>
        <v>4.9143984526763438</v>
      </c>
      <c r="G46">
        <v>27</v>
      </c>
      <c r="H46" s="187">
        <f>F46*(G46-1)*0.98-($K$2-F46)</f>
        <v>105.13327102686958</v>
      </c>
      <c r="I46" s="14">
        <f>F46/$F$45</f>
        <v>0.7291031116534471</v>
      </c>
      <c r="K46" s="160">
        <f>1/(G46+1)</f>
        <v>3.5714285714285712E-2</v>
      </c>
      <c r="L46" s="193"/>
    </row>
    <row r="47" spans="1:13">
      <c r="A47" s="38" t="s">
        <v>52</v>
      </c>
      <c r="B47" s="14">
        <v>173.84046463312316</v>
      </c>
      <c r="C47" s="160">
        <f>B47/SUM($B$45:$B$49)</f>
        <v>0.21008035281921567</v>
      </c>
      <c r="D47" s="38">
        <f>1/C47</f>
        <v>4.7600833994245457</v>
      </c>
      <c r="E47" s="182">
        <f>D47/SUM($D$45:$D$49)</f>
        <v>0.18533542419908616</v>
      </c>
      <c r="F47" s="187">
        <f>E47*$K$2</f>
        <v>4.6333856049771542</v>
      </c>
      <c r="G47">
        <v>50</v>
      </c>
      <c r="H47" s="187">
        <f>F47*(G47-1)*0.98-($K$2-F47)</f>
        <v>202.12856235598011</v>
      </c>
      <c r="I47" s="14">
        <f>F47/$F$45</f>
        <v>0.6874118764707372</v>
      </c>
      <c r="K47" s="160">
        <f>1/(G47+1)</f>
        <v>1.9607843137254902E-2</v>
      </c>
      <c r="L47" s="193"/>
    </row>
    <row r="48" spans="1:13">
      <c r="A48" s="38" t="s">
        <v>487</v>
      </c>
      <c r="B48" s="14">
        <v>191.42700197445436</v>
      </c>
      <c r="C48" s="160">
        <f>B48/SUM($B$45:$B$49)</f>
        <v>0.23133309151461842</v>
      </c>
      <c r="D48" s="38">
        <f>1/C48</f>
        <v>4.3227710893095805</v>
      </c>
      <c r="E48" s="182">
        <f>D48/SUM($D$45:$D$49)</f>
        <v>0.16830852452072387</v>
      </c>
      <c r="F48" s="187">
        <f>E48*$K$2</f>
        <v>4.2077131130180963</v>
      </c>
      <c r="G48">
        <v>70</v>
      </c>
      <c r="H48" s="187">
        <f>F48*(G48-1)*0.98-($K$2-F48)</f>
        <v>263.73327381530174</v>
      </c>
      <c r="I48" s="14">
        <f>F48/$F$45</f>
        <v>0.62425884941742471</v>
      </c>
      <c r="K48" s="160">
        <f>1/(G48+1)</f>
        <v>1.4084507042253521E-2</v>
      </c>
    </row>
    <row r="49" spans="1:11">
      <c r="A49" t="s">
        <v>42</v>
      </c>
      <c r="B49" s="14">
        <v>178.8276432408019</v>
      </c>
      <c r="C49" s="160">
        <f>B49/SUM($B$45:$B$49)</f>
        <v>0.21610719037792045</v>
      </c>
      <c r="D49" s="38">
        <f>1/C49</f>
        <v>4.6273333073797129</v>
      </c>
      <c r="E49" s="182">
        <f>D49/SUM($D$45:$D$49)</f>
        <v>0.18016675538446597</v>
      </c>
      <c r="F49" s="187">
        <f>E49*$K$2</f>
        <v>4.5041688846116497</v>
      </c>
      <c r="G49">
        <v>20</v>
      </c>
      <c r="H49" s="187">
        <f>F49*(G49-1)*0.98-($K$2-F49)</f>
        <v>63.371793516080565</v>
      </c>
      <c r="I49" s="14">
        <f>F49/$F$45</f>
        <v>0.66824120608180371</v>
      </c>
      <c r="K49" s="160">
        <f>1/(G49+1)</f>
        <v>4.7619047619047616E-2</v>
      </c>
    </row>
    <row r="50" spans="1:11">
      <c r="K50" s="194">
        <f>SUM(K45:K49)</f>
        <v>0.18369235017950841</v>
      </c>
    </row>
    <row r="52" spans="1:11">
      <c r="K52" s="194">
        <f>SUM(K17,K50)</f>
        <v>0.34896086806417914</v>
      </c>
    </row>
  </sheetData>
  <mergeCells count="12">
    <mergeCell ref="A44:I44"/>
    <mergeCell ref="A6:I6"/>
    <mergeCell ref="A12:I12"/>
    <mergeCell ref="A1:I1"/>
    <mergeCell ref="A18:H18"/>
    <mergeCell ref="B19:H19"/>
    <mergeCell ref="B20:H20"/>
    <mergeCell ref="E25:E32"/>
    <mergeCell ref="D25:D28"/>
    <mergeCell ref="D29:D32"/>
    <mergeCell ref="G24:J24"/>
    <mergeCell ref="G32:J32"/>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0858B-AFDA-4DB1-BB9D-AE5C2F462D91}">
  <sheetPr codeName="Sheet4">
    <tabColor rgb="FFFFFF00"/>
  </sheetPr>
  <dimension ref="A1:Y78"/>
  <sheetViews>
    <sheetView zoomScale="70" zoomScaleNormal="70" workbookViewId="0">
      <selection activeCell="T83" sqref="T83"/>
    </sheetView>
  </sheetViews>
  <sheetFormatPr defaultRowHeight="15"/>
  <cols>
    <col min="2" max="2" width="6.7109375" customWidth="1"/>
    <col min="3" max="3" width="27.7109375" customWidth="1"/>
    <col min="4" max="4" width="15.7109375" customWidth="1"/>
    <col min="5" max="5" width="20.5703125" bestFit="1" customWidth="1"/>
    <col min="6" max="6" width="24" bestFit="1" customWidth="1"/>
    <col min="7" max="7" width="20.5703125" customWidth="1"/>
    <col min="8" max="8" width="25.7109375" customWidth="1"/>
    <col min="9" max="9" width="23.5703125" customWidth="1"/>
    <col min="10" max="10" width="23.42578125" bestFit="1" customWidth="1"/>
    <col min="11" max="11" width="20.5703125" customWidth="1"/>
    <col min="13" max="13" width="35.85546875" bestFit="1" customWidth="1"/>
    <col min="14" max="15" width="15.7109375" bestFit="1" customWidth="1"/>
    <col min="16" max="16" width="15" customWidth="1"/>
    <col min="17" max="17" width="10.7109375" bestFit="1" customWidth="1"/>
    <col min="18" max="18" width="13.5703125" bestFit="1" customWidth="1"/>
    <col min="19" max="19" width="11.140625" customWidth="1"/>
    <col min="23" max="23" width="42.28515625" customWidth="1"/>
    <col min="24" max="24" width="15.7109375" bestFit="1" customWidth="1"/>
    <col min="25" max="25" width="17" customWidth="1"/>
  </cols>
  <sheetData>
    <row r="1" spans="1:25" ht="15.75" thickBot="1">
      <c r="A1" s="178" t="s">
        <v>366</v>
      </c>
      <c r="B1" s="178" t="s">
        <v>262</v>
      </c>
      <c r="C1" s="27" t="s">
        <v>470</v>
      </c>
      <c r="D1" s="191" t="s">
        <v>469</v>
      </c>
      <c r="E1" s="306" t="s">
        <v>468</v>
      </c>
      <c r="F1" s="306" t="s">
        <v>627</v>
      </c>
      <c r="G1" s="190" t="s">
        <v>364</v>
      </c>
      <c r="H1" s="121" t="s">
        <v>631</v>
      </c>
      <c r="I1" s="112" t="s">
        <v>468</v>
      </c>
      <c r="J1" s="112" t="s">
        <v>630</v>
      </c>
      <c r="K1" s="112" t="s">
        <v>364</v>
      </c>
      <c r="M1" s="415" t="s">
        <v>471</v>
      </c>
      <c r="N1" s="416"/>
      <c r="O1" s="416"/>
      <c r="P1" s="417"/>
      <c r="Q1" s="1"/>
    </row>
    <row r="2" spans="1:25" ht="15.75" thickBot="1">
      <c r="A2" s="418">
        <v>2022</v>
      </c>
      <c r="B2" s="31">
        <v>1</v>
      </c>
      <c r="C2" s="31" t="s">
        <v>268</v>
      </c>
      <c r="D2" s="50">
        <v>80</v>
      </c>
      <c r="E2">
        <f>D2</f>
        <v>80</v>
      </c>
      <c r="F2" s="284">
        <f>SUM($D$2:D2)/SUM($G$2:G2)</f>
        <v>8</v>
      </c>
      <c r="G2">
        <f>10</f>
        <v>10</v>
      </c>
      <c r="H2" s="49">
        <v>80</v>
      </c>
      <c r="I2" s="29">
        <f>H2</f>
        <v>80</v>
      </c>
      <c r="J2" s="315">
        <f>SUM($H$2:H2)/SUM($K$2:K2)</f>
        <v>8</v>
      </c>
      <c r="K2">
        <f>10</f>
        <v>10</v>
      </c>
      <c r="M2" s="178"/>
      <c r="N2" s="115" t="s">
        <v>467</v>
      </c>
      <c r="O2" s="115" t="s">
        <v>466</v>
      </c>
      <c r="P2" s="127" t="s">
        <v>465</v>
      </c>
    </row>
    <row r="3" spans="1:25">
      <c r="A3" s="419"/>
      <c r="B3" s="22">
        <v>2</v>
      </c>
      <c r="C3" s="22" t="s">
        <v>273</v>
      </c>
      <c r="D3" s="22">
        <v>-10</v>
      </c>
      <c r="E3">
        <f t="shared" ref="E3:E46" si="0">E2+D3</f>
        <v>70</v>
      </c>
      <c r="F3" s="284">
        <f>SUM($D$2:D3)/SUM($G$2:G3)</f>
        <v>3.5</v>
      </c>
      <c r="G3">
        <v>10</v>
      </c>
      <c r="H3" s="22">
        <v>-10</v>
      </c>
      <c r="I3">
        <f t="shared" ref="I3:I46" si="1">I2+H3</f>
        <v>70</v>
      </c>
      <c r="J3" s="183">
        <f>SUM($H$2:H3)/SUM($K$2:K3)</f>
        <v>3.5</v>
      </c>
      <c r="K3">
        <v>10</v>
      </c>
      <c r="M3" s="119" t="s">
        <v>464</v>
      </c>
      <c r="N3">
        <f>2850*0.7</f>
        <v>1994.9999999999998</v>
      </c>
      <c r="O3">
        <f>2850*0.2</f>
        <v>570</v>
      </c>
      <c r="P3" s="33">
        <f>2850*0.1</f>
        <v>285</v>
      </c>
    </row>
    <row r="4" spans="1:25" ht="15.75" thickBot="1">
      <c r="A4" s="419"/>
      <c r="B4" s="22">
        <v>3</v>
      </c>
      <c r="C4" s="22" t="s">
        <v>462</v>
      </c>
      <c r="D4" s="50">
        <v>50</v>
      </c>
      <c r="E4">
        <f t="shared" si="0"/>
        <v>120</v>
      </c>
      <c r="F4" s="284">
        <f>SUM($D$2:D4)/SUM($G$2:G4)</f>
        <v>4</v>
      </c>
      <c r="G4">
        <v>10</v>
      </c>
      <c r="H4" s="50">
        <v>50</v>
      </c>
      <c r="I4" s="18">
        <f t="shared" si="1"/>
        <v>120</v>
      </c>
      <c r="J4" s="183">
        <f>SUM($H$2:H4)/SUM($K$2:K4)</f>
        <v>4</v>
      </c>
      <c r="K4">
        <v>10</v>
      </c>
      <c r="M4" s="192" t="s">
        <v>463</v>
      </c>
      <c r="N4" s="91">
        <f>2850-O4-P4</f>
        <v>950</v>
      </c>
      <c r="O4" s="91">
        <v>1500</v>
      </c>
      <c r="P4" s="92">
        <v>400</v>
      </c>
    </row>
    <row r="5" spans="1:25">
      <c r="A5" s="419"/>
      <c r="B5" s="22">
        <v>4</v>
      </c>
      <c r="C5" s="22" t="s">
        <v>272</v>
      </c>
      <c r="D5" s="50">
        <v>54</v>
      </c>
      <c r="E5">
        <f t="shared" si="0"/>
        <v>174</v>
      </c>
      <c r="F5" s="284">
        <f>SUM($D$2:D5)/SUM($G$2:G5)</f>
        <v>4.3499999999999996</v>
      </c>
      <c r="G5">
        <v>10</v>
      </c>
      <c r="H5" s="50">
        <v>54</v>
      </c>
      <c r="I5" s="18">
        <f t="shared" si="1"/>
        <v>174</v>
      </c>
      <c r="J5" s="183">
        <f>SUM($H$2:H5)/SUM($K$2:K5)</f>
        <v>4.3499999999999996</v>
      </c>
      <c r="K5">
        <v>10</v>
      </c>
      <c r="Q5" t="s">
        <v>432</v>
      </c>
      <c r="R5">
        <f>P4-R6</f>
        <v>300</v>
      </c>
      <c r="S5" s="1"/>
      <c r="T5" s="1"/>
      <c r="U5" s="1"/>
      <c r="V5" s="1"/>
      <c r="W5" s="1"/>
      <c r="X5" s="157"/>
      <c r="Y5" s="157"/>
    </row>
    <row r="6" spans="1:25">
      <c r="A6" s="419"/>
      <c r="B6" s="22">
        <v>5</v>
      </c>
      <c r="C6" s="22" t="s">
        <v>274</v>
      </c>
      <c r="D6" s="50">
        <v>107</v>
      </c>
      <c r="E6">
        <f t="shared" si="0"/>
        <v>281</v>
      </c>
      <c r="F6" s="284">
        <f>SUM($D$2:D6)/SUM($G$2:G6)</f>
        <v>5.62</v>
      </c>
      <c r="G6">
        <v>10</v>
      </c>
      <c r="H6" s="50">
        <v>107</v>
      </c>
      <c r="I6" s="18">
        <f t="shared" si="1"/>
        <v>281</v>
      </c>
      <c r="J6" s="183">
        <f>SUM($H$2:H6)/SUM($K$2:K6)</f>
        <v>5.62</v>
      </c>
      <c r="K6">
        <v>10</v>
      </c>
      <c r="Q6" t="s">
        <v>461</v>
      </c>
      <c r="R6">
        <v>100</v>
      </c>
      <c r="S6" s="1"/>
      <c r="T6" s="1"/>
      <c r="U6" s="1"/>
      <c r="V6" s="1"/>
      <c r="W6" s="1"/>
      <c r="X6" s="157"/>
      <c r="Y6" s="157"/>
    </row>
    <row r="7" spans="1:25">
      <c r="A7" s="419"/>
      <c r="B7" s="22">
        <v>6</v>
      </c>
      <c r="C7" s="22" t="s">
        <v>460</v>
      </c>
      <c r="D7" s="22">
        <v>-20</v>
      </c>
      <c r="E7">
        <f t="shared" si="0"/>
        <v>261</v>
      </c>
      <c r="F7" s="284">
        <f>SUM($D$2:D7)/SUM($G$2:G7)</f>
        <v>3.7285714285714286</v>
      </c>
      <c r="G7">
        <v>20</v>
      </c>
      <c r="H7" s="22">
        <v>-20</v>
      </c>
      <c r="I7">
        <f t="shared" si="1"/>
        <v>261</v>
      </c>
      <c r="J7" s="183">
        <f>SUM($H$2:H7)/SUM($K$2:K7)</f>
        <v>3.7285714285714286</v>
      </c>
      <c r="K7">
        <v>20</v>
      </c>
      <c r="S7" s="1"/>
      <c r="T7" s="1"/>
      <c r="U7" s="1"/>
      <c r="V7" s="1"/>
      <c r="W7" s="1"/>
      <c r="X7" s="157"/>
      <c r="Y7" s="157"/>
    </row>
    <row r="8" spans="1:25">
      <c r="A8" s="419"/>
      <c r="B8" s="22">
        <v>7</v>
      </c>
      <c r="C8" s="22" t="s">
        <v>276</v>
      </c>
      <c r="D8" s="22">
        <v>-20</v>
      </c>
      <c r="E8">
        <f t="shared" si="0"/>
        <v>241</v>
      </c>
      <c r="F8" s="284">
        <f>SUM($D$2:D8)/SUM($G$2:G8)</f>
        <v>2.6777777777777776</v>
      </c>
      <c r="G8">
        <v>20</v>
      </c>
      <c r="H8" s="22">
        <v>-20</v>
      </c>
      <c r="I8">
        <f t="shared" si="1"/>
        <v>241</v>
      </c>
      <c r="J8" s="183">
        <f>SUM($H$2:H8)/SUM($K$2:K8)</f>
        <v>2.6777777777777776</v>
      </c>
      <c r="K8">
        <v>20</v>
      </c>
    </row>
    <row r="9" spans="1:25">
      <c r="A9" s="419"/>
      <c r="B9" s="22">
        <v>8</v>
      </c>
      <c r="C9" s="22" t="s">
        <v>278</v>
      </c>
      <c r="D9" s="50">
        <v>131</v>
      </c>
      <c r="E9">
        <f t="shared" si="0"/>
        <v>372</v>
      </c>
      <c r="F9" s="284">
        <f>SUM($D$2:D9)/SUM($G$2:G9)</f>
        <v>3.3818181818181818</v>
      </c>
      <c r="G9">
        <v>20</v>
      </c>
      <c r="H9" s="50">
        <v>131</v>
      </c>
      <c r="I9" s="18">
        <f t="shared" si="1"/>
        <v>372</v>
      </c>
      <c r="J9" s="183">
        <f>SUM($H$2:H9)/SUM($K$2:K9)</f>
        <v>3.3818181818181818</v>
      </c>
      <c r="K9">
        <v>20</v>
      </c>
    </row>
    <row r="10" spans="1:25">
      <c r="A10" s="419"/>
      <c r="B10" s="22">
        <v>9</v>
      </c>
      <c r="C10" s="22" t="s">
        <v>279</v>
      </c>
      <c r="D10" s="22">
        <v>-20</v>
      </c>
      <c r="E10">
        <f t="shared" si="0"/>
        <v>352</v>
      </c>
      <c r="F10" s="284">
        <f>SUM($D$2:D10)/SUM($G$2:G10)</f>
        <v>2.7076923076923078</v>
      </c>
      <c r="G10">
        <v>20</v>
      </c>
      <c r="H10" s="22">
        <v>-20</v>
      </c>
      <c r="I10">
        <f t="shared" si="1"/>
        <v>352</v>
      </c>
      <c r="J10" s="183">
        <f>SUM($H$2:H10)/SUM($K$2:K10)</f>
        <v>2.7076923076923078</v>
      </c>
      <c r="K10">
        <v>20</v>
      </c>
    </row>
    <row r="11" spans="1:25">
      <c r="A11" s="419"/>
      <c r="B11" s="22">
        <v>10</v>
      </c>
      <c r="C11" s="22" t="s">
        <v>459</v>
      </c>
      <c r="D11" s="74">
        <v>38</v>
      </c>
      <c r="E11">
        <f t="shared" si="0"/>
        <v>390</v>
      </c>
      <c r="F11" s="284">
        <f>SUM($D$2:D11)/SUM($G$2:G11)</f>
        <v>2.6</v>
      </c>
      <c r="G11">
        <v>20</v>
      </c>
      <c r="H11" s="74">
        <v>0</v>
      </c>
      <c r="I11" s="19">
        <f t="shared" si="1"/>
        <v>352</v>
      </c>
      <c r="J11" s="183">
        <f>SUM($H$2:H11)/SUM($K$2:K11)</f>
        <v>2.3466666666666667</v>
      </c>
      <c r="K11">
        <v>20</v>
      </c>
    </row>
    <row r="12" spans="1:25">
      <c r="A12" s="419"/>
      <c r="B12" s="22">
        <v>11</v>
      </c>
      <c r="C12" s="22" t="s">
        <v>281</v>
      </c>
      <c r="D12" s="22">
        <v>-11</v>
      </c>
      <c r="E12">
        <f t="shared" si="0"/>
        <v>379</v>
      </c>
      <c r="F12" s="284">
        <f>SUM($D$2:D12)/SUM($G$2:G12)</f>
        <v>2.2294117647058824</v>
      </c>
      <c r="G12">
        <v>20</v>
      </c>
      <c r="H12" s="22">
        <v>-11</v>
      </c>
      <c r="I12">
        <f t="shared" si="1"/>
        <v>341</v>
      </c>
      <c r="J12" s="183">
        <f>SUM($H$2:H12)/SUM($K$2:K12)</f>
        <v>2.0058823529411764</v>
      </c>
      <c r="K12">
        <v>20</v>
      </c>
    </row>
    <row r="13" spans="1:25">
      <c r="A13" s="419"/>
      <c r="B13" s="22">
        <v>12</v>
      </c>
      <c r="C13" s="22" t="s">
        <v>454</v>
      </c>
      <c r="D13" s="50">
        <v>81</v>
      </c>
      <c r="E13">
        <f t="shared" si="0"/>
        <v>460</v>
      </c>
      <c r="F13" s="284">
        <f>SUM($D$2:D13)/SUM($G$2:G13)</f>
        <v>2.4210526315789473</v>
      </c>
      <c r="G13">
        <v>20</v>
      </c>
      <c r="H13" s="50">
        <v>81</v>
      </c>
      <c r="I13" s="18">
        <f t="shared" si="1"/>
        <v>422</v>
      </c>
      <c r="J13" s="183">
        <f>SUM($H$2:H13)/SUM($K$2:K13)</f>
        <v>2.2210526315789472</v>
      </c>
      <c r="K13">
        <v>20</v>
      </c>
    </row>
    <row r="14" spans="1:25">
      <c r="A14" s="419"/>
      <c r="B14" s="22">
        <v>13</v>
      </c>
      <c r="C14" s="22" t="s">
        <v>452</v>
      </c>
      <c r="D14" s="22">
        <v>-25</v>
      </c>
      <c r="E14">
        <f t="shared" si="0"/>
        <v>435</v>
      </c>
      <c r="F14" s="284">
        <f>SUM($D$2:D14)/SUM($G$2:G14)</f>
        <v>2.0232558139534884</v>
      </c>
      <c r="G14">
        <v>25</v>
      </c>
      <c r="H14" s="22">
        <v>-25</v>
      </c>
      <c r="I14">
        <f t="shared" si="1"/>
        <v>397</v>
      </c>
      <c r="J14" s="183">
        <f>SUM($H$2:H14)/SUM($K$2:K14)</f>
        <v>1.8465116279069766</v>
      </c>
      <c r="K14">
        <v>25</v>
      </c>
    </row>
    <row r="15" spans="1:25">
      <c r="A15" s="419"/>
      <c r="B15" s="22">
        <v>14</v>
      </c>
      <c r="C15" s="22" t="s">
        <v>458</v>
      </c>
      <c r="D15" s="50">
        <v>80</v>
      </c>
      <c r="E15">
        <f t="shared" si="0"/>
        <v>515</v>
      </c>
      <c r="F15" s="284">
        <f>SUM($D$2:D15)/SUM($G$2:G15)</f>
        <v>2.1458333333333335</v>
      </c>
      <c r="G15">
        <v>25</v>
      </c>
      <c r="H15" s="50">
        <v>80</v>
      </c>
      <c r="I15" s="18">
        <f t="shared" si="1"/>
        <v>477</v>
      </c>
      <c r="J15" s="183">
        <f>SUM($H$2:H15)/SUM($K$2:K15)</f>
        <v>1.9875</v>
      </c>
      <c r="K15">
        <v>25</v>
      </c>
    </row>
    <row r="16" spans="1:25">
      <c r="A16" s="419"/>
      <c r="B16" s="22">
        <v>15</v>
      </c>
      <c r="C16" s="22" t="s">
        <v>286</v>
      </c>
      <c r="D16" s="22">
        <v>-25</v>
      </c>
      <c r="E16">
        <f t="shared" si="0"/>
        <v>490</v>
      </c>
      <c r="F16" s="284">
        <f>SUM($D$2:D16)/SUM($G$2:G16)</f>
        <v>1.8490566037735849</v>
      </c>
      <c r="G16">
        <v>25</v>
      </c>
      <c r="H16" s="22">
        <v>-25</v>
      </c>
      <c r="I16">
        <f t="shared" si="1"/>
        <v>452</v>
      </c>
      <c r="J16" s="183">
        <f>SUM($H$2:H16)/SUM($K$2:K16)</f>
        <v>1.7056603773584906</v>
      </c>
      <c r="K16">
        <v>25</v>
      </c>
    </row>
    <row r="17" spans="1:17">
      <c r="A17" s="419"/>
      <c r="B17" s="22">
        <v>16</v>
      </c>
      <c r="C17" s="22" t="s">
        <v>289</v>
      </c>
      <c r="D17" s="50">
        <v>59</v>
      </c>
      <c r="E17">
        <f t="shared" si="0"/>
        <v>549</v>
      </c>
      <c r="F17" s="284">
        <f>SUM($D$2:D17)/SUM($G$2:G17)</f>
        <v>1.893103448275862</v>
      </c>
      <c r="G17">
        <v>25</v>
      </c>
      <c r="H17" s="50">
        <v>59</v>
      </c>
      <c r="I17" s="18">
        <f t="shared" si="1"/>
        <v>511</v>
      </c>
      <c r="J17" s="183">
        <f>SUM($H$2:H17)/SUM($K$2:K17)</f>
        <v>1.7620689655172415</v>
      </c>
      <c r="K17">
        <v>25</v>
      </c>
    </row>
    <row r="18" spans="1:17">
      <c r="A18" s="419"/>
      <c r="B18" s="22">
        <v>17</v>
      </c>
      <c r="C18" s="22" t="s">
        <v>453</v>
      </c>
      <c r="D18" s="22">
        <v>-25</v>
      </c>
      <c r="E18">
        <f t="shared" si="0"/>
        <v>524</v>
      </c>
      <c r="F18" s="284">
        <f>SUM($D$2:D18)/SUM($G$2:G18)</f>
        <v>1.6634920634920636</v>
      </c>
      <c r="G18">
        <v>25</v>
      </c>
      <c r="H18" s="22">
        <v>-25</v>
      </c>
      <c r="I18">
        <f t="shared" si="1"/>
        <v>486</v>
      </c>
      <c r="J18" s="183">
        <f>SUM($H$2:H18)/SUM($K$2:K18)</f>
        <v>1.5428571428571429</v>
      </c>
      <c r="K18">
        <v>25</v>
      </c>
    </row>
    <row r="19" spans="1:17">
      <c r="A19" s="419"/>
      <c r="B19" s="22">
        <v>18</v>
      </c>
      <c r="C19" s="22" t="s">
        <v>457</v>
      </c>
      <c r="D19" s="22">
        <v>-25</v>
      </c>
      <c r="E19">
        <f t="shared" si="0"/>
        <v>499</v>
      </c>
      <c r="F19" s="284">
        <f>SUM($D$2:D19)/SUM($G$2:G19)</f>
        <v>1.4676470588235293</v>
      </c>
      <c r="G19">
        <v>25</v>
      </c>
      <c r="H19" s="22">
        <v>-25</v>
      </c>
      <c r="I19">
        <f t="shared" si="1"/>
        <v>461</v>
      </c>
      <c r="J19" s="183">
        <f>SUM($H$2:H19)/SUM($K$2:K19)</f>
        <v>1.3558823529411765</v>
      </c>
      <c r="K19">
        <v>25</v>
      </c>
    </row>
    <row r="20" spans="1:17">
      <c r="A20" s="419" t="s">
        <v>368</v>
      </c>
      <c r="B20" s="22">
        <v>19</v>
      </c>
      <c r="C20" s="22" t="s">
        <v>456</v>
      </c>
      <c r="D20" s="22">
        <v>-25</v>
      </c>
      <c r="E20">
        <f t="shared" si="0"/>
        <v>474</v>
      </c>
      <c r="F20" s="284">
        <f>SUM($D$2:D20)/SUM($G$2:G20)</f>
        <v>1.2986301369863014</v>
      </c>
      <c r="G20">
        <v>25</v>
      </c>
      <c r="H20" s="22">
        <v>-25</v>
      </c>
      <c r="I20">
        <f t="shared" si="1"/>
        <v>436</v>
      </c>
      <c r="J20" s="183">
        <f>SUM($H$2:H20)/SUM($K$2:K20)</f>
        <v>1.1945205479452055</v>
      </c>
      <c r="K20">
        <v>25</v>
      </c>
    </row>
    <row r="21" spans="1:17" ht="15.75" thickBot="1">
      <c r="A21" s="419"/>
      <c r="B21" s="22">
        <v>20</v>
      </c>
      <c r="C21" s="22" t="s">
        <v>455</v>
      </c>
      <c r="D21" s="22">
        <v>-25</v>
      </c>
      <c r="E21">
        <f t="shared" si="0"/>
        <v>449</v>
      </c>
      <c r="F21" s="284">
        <f>SUM($D$2:D21)/SUM($G$2:G21)</f>
        <v>1.1512820512820512</v>
      </c>
      <c r="G21">
        <v>25</v>
      </c>
      <c r="H21" s="22">
        <v>-25</v>
      </c>
      <c r="I21">
        <f t="shared" si="1"/>
        <v>411</v>
      </c>
      <c r="J21" s="183">
        <f>SUM($H$2:H21)/SUM($K$2:K21)</f>
        <v>1.0538461538461539</v>
      </c>
      <c r="K21">
        <v>25</v>
      </c>
    </row>
    <row r="22" spans="1:17">
      <c r="A22" s="420">
        <v>2023</v>
      </c>
      <c r="B22" s="48">
        <v>21</v>
      </c>
      <c r="C22" s="29" t="s">
        <v>269</v>
      </c>
      <c r="D22" s="31">
        <v>-50</v>
      </c>
      <c r="E22" s="29">
        <f t="shared" si="0"/>
        <v>399</v>
      </c>
      <c r="F22" s="311">
        <f>SUM($D$2:D22)/SUM($G$2:G22)</f>
        <v>0.90681818181818186</v>
      </c>
      <c r="G22" s="29">
        <v>50</v>
      </c>
      <c r="H22" s="31">
        <v>-50</v>
      </c>
      <c r="I22" s="29">
        <f t="shared" si="1"/>
        <v>361</v>
      </c>
      <c r="J22" s="315">
        <f>SUM($H$2:H22)/SUM($K$2:K22)</f>
        <v>0.82045454545454544</v>
      </c>
      <c r="K22">
        <v>50</v>
      </c>
    </row>
    <row r="23" spans="1:17">
      <c r="A23" s="414"/>
      <c r="B23" s="34">
        <v>22</v>
      </c>
      <c r="C23" t="s">
        <v>268</v>
      </c>
      <c r="D23" s="50">
        <v>210</v>
      </c>
      <c r="E23">
        <f t="shared" si="0"/>
        <v>609</v>
      </c>
      <c r="F23" s="284">
        <f>SUM($D$2:D23)/SUM($G$2:G23)</f>
        <v>1.2428571428571429</v>
      </c>
      <c r="G23">
        <v>50</v>
      </c>
      <c r="H23" s="50">
        <v>210</v>
      </c>
      <c r="I23" s="18">
        <f t="shared" si="1"/>
        <v>571</v>
      </c>
      <c r="J23" s="183">
        <f>SUM($H$2:H23)/SUM($K$2:K23)</f>
        <v>1.1653061224489796</v>
      </c>
      <c r="K23">
        <v>50</v>
      </c>
    </row>
    <row r="24" spans="1:17">
      <c r="A24" s="414"/>
      <c r="B24" s="34">
        <v>23</v>
      </c>
      <c r="C24" t="s">
        <v>273</v>
      </c>
      <c r="D24" s="22">
        <v>-50</v>
      </c>
      <c r="E24">
        <f t="shared" si="0"/>
        <v>559</v>
      </c>
      <c r="F24" s="284">
        <f>SUM($D$2:D24)/SUM($G$2:G24)</f>
        <v>1.0351851851851852</v>
      </c>
      <c r="G24">
        <v>50</v>
      </c>
      <c r="H24" s="22">
        <v>-50</v>
      </c>
      <c r="I24">
        <f t="shared" si="1"/>
        <v>521</v>
      </c>
      <c r="J24" s="183">
        <f>SUM($H$2:H24)/SUM($K$2:K24)</f>
        <v>0.96481481481481479</v>
      </c>
      <c r="K24">
        <v>50</v>
      </c>
    </row>
    <row r="25" spans="1:17">
      <c r="A25" s="414"/>
      <c r="B25" s="34">
        <v>24</v>
      </c>
      <c r="C25" t="s">
        <v>272</v>
      </c>
      <c r="D25" s="50">
        <v>88</v>
      </c>
      <c r="E25">
        <f t="shared" si="0"/>
        <v>647</v>
      </c>
      <c r="F25" s="284">
        <f>SUM($D$2:D25)/SUM($G$2:G25)</f>
        <v>1.0966101694915253</v>
      </c>
      <c r="G25">
        <v>50</v>
      </c>
      <c r="H25" s="50">
        <v>88</v>
      </c>
      <c r="I25" s="18">
        <f t="shared" si="1"/>
        <v>609</v>
      </c>
      <c r="J25" s="183">
        <f>SUM($H$2:H25)/SUM($K$2:K25)</f>
        <v>1.0322033898305085</v>
      </c>
      <c r="K25">
        <v>50</v>
      </c>
    </row>
    <row r="26" spans="1:17">
      <c r="A26" s="414"/>
      <c r="B26" s="34">
        <v>25</v>
      </c>
      <c r="C26" t="s">
        <v>274</v>
      </c>
      <c r="D26" s="22">
        <v>-50</v>
      </c>
      <c r="E26">
        <f t="shared" si="0"/>
        <v>597</v>
      </c>
      <c r="F26" s="284">
        <f>SUM($D$2:D26)/SUM($G$2:G26)</f>
        <v>0.93281250000000004</v>
      </c>
      <c r="G26">
        <v>50</v>
      </c>
      <c r="H26" s="22">
        <v>-50</v>
      </c>
      <c r="I26">
        <f t="shared" si="1"/>
        <v>559</v>
      </c>
      <c r="J26" s="183">
        <f>SUM($H$2:H26)/SUM($K$2:K26)</f>
        <v>0.87343749999999998</v>
      </c>
      <c r="K26">
        <v>50</v>
      </c>
    </row>
    <row r="27" spans="1:17">
      <c r="A27" s="414"/>
      <c r="B27" s="34">
        <v>26</v>
      </c>
      <c r="C27" t="s">
        <v>277</v>
      </c>
      <c r="D27" s="74">
        <v>268</v>
      </c>
      <c r="E27">
        <f t="shared" si="0"/>
        <v>865</v>
      </c>
      <c r="F27" s="284">
        <f>SUM($D$2:D27)/SUM($G$2:G27)</f>
        <v>1.2536231884057971</v>
      </c>
      <c r="G27">
        <v>50</v>
      </c>
      <c r="H27" s="50">
        <v>0</v>
      </c>
      <c r="I27" s="18">
        <f t="shared" si="1"/>
        <v>559</v>
      </c>
      <c r="J27" s="183">
        <f>SUM($H$2:H27)/SUM($K$2:K27)</f>
        <v>0.81014492753623191</v>
      </c>
      <c r="K27">
        <v>50</v>
      </c>
    </row>
    <row r="28" spans="1:17">
      <c r="A28" s="414"/>
      <c r="B28" s="34">
        <v>27</v>
      </c>
      <c r="C28" t="s">
        <v>276</v>
      </c>
      <c r="D28" s="22">
        <v>-50</v>
      </c>
      <c r="E28">
        <f t="shared" si="0"/>
        <v>815</v>
      </c>
      <c r="F28" s="284">
        <f>SUM($D$2:D28)/SUM($G$2:G28)</f>
        <v>1.1013513513513513</v>
      </c>
      <c r="G28">
        <v>50</v>
      </c>
      <c r="H28" s="22">
        <v>-50</v>
      </c>
      <c r="I28">
        <f t="shared" si="1"/>
        <v>509</v>
      </c>
      <c r="J28" s="183">
        <f>SUM($H$2:H28)/SUM($K$2:K28)</f>
        <v>0.68783783783783781</v>
      </c>
      <c r="K28">
        <v>50</v>
      </c>
    </row>
    <row r="29" spans="1:17" ht="15.75" thickBot="1">
      <c r="A29" s="414"/>
      <c r="B29" s="34">
        <v>28</v>
      </c>
      <c r="C29" t="s">
        <v>278</v>
      </c>
      <c r="D29" s="22">
        <v>-50</v>
      </c>
      <c r="E29">
        <f t="shared" si="0"/>
        <v>765</v>
      </c>
      <c r="F29" s="284">
        <f>SUM($D$2:D29)/SUM($G$2:G29)</f>
        <v>0.96835443037974689</v>
      </c>
      <c r="G29">
        <v>50</v>
      </c>
      <c r="H29" s="22">
        <v>-50</v>
      </c>
      <c r="I29">
        <f t="shared" si="1"/>
        <v>459</v>
      </c>
      <c r="J29" s="183">
        <f>SUM($H$2:H29)/SUM($K$2:K29)</f>
        <v>0.58101265822784809</v>
      </c>
      <c r="K29">
        <v>50</v>
      </c>
    </row>
    <row r="30" spans="1:17" ht="15.75" thickBot="1">
      <c r="A30" s="414"/>
      <c r="B30" s="34">
        <v>29</v>
      </c>
      <c r="C30" t="s">
        <v>279</v>
      </c>
      <c r="D30" s="22">
        <v>-50</v>
      </c>
      <c r="E30">
        <f t="shared" si="0"/>
        <v>715</v>
      </c>
      <c r="F30" s="284">
        <f>SUM($D$2:D30)/SUM($G$2:G30)</f>
        <v>0.85119047619047616</v>
      </c>
      <c r="G30">
        <v>50</v>
      </c>
      <c r="H30" s="22">
        <v>-50</v>
      </c>
      <c r="I30">
        <f t="shared" si="1"/>
        <v>409</v>
      </c>
      <c r="J30" s="183">
        <f>SUM($H$2:H30)/SUM($K$2:K30)</f>
        <v>0.4869047619047619</v>
      </c>
      <c r="K30">
        <v>50</v>
      </c>
      <c r="N30" s="93" t="s">
        <v>449</v>
      </c>
      <c r="O30" s="115" t="s">
        <v>448</v>
      </c>
      <c r="P30" s="127" t="s">
        <v>482</v>
      </c>
    </row>
    <row r="31" spans="1:17">
      <c r="A31" s="414"/>
      <c r="B31" s="34">
        <v>30</v>
      </c>
      <c r="C31" t="s">
        <v>280</v>
      </c>
      <c r="D31" s="22">
        <v>-50</v>
      </c>
      <c r="E31">
        <f t="shared" si="0"/>
        <v>665</v>
      </c>
      <c r="F31" s="284">
        <f>SUM($D$2:D31)/SUM($G$2:G31)</f>
        <v>0.7471910112359551</v>
      </c>
      <c r="G31">
        <v>50</v>
      </c>
      <c r="H31" s="22">
        <v>-50</v>
      </c>
      <c r="I31">
        <f t="shared" si="1"/>
        <v>359</v>
      </c>
      <c r="J31" s="183">
        <f>SUM($H$2:H31)/SUM($K$2:K31)</f>
        <v>0.40337078651685393</v>
      </c>
      <c r="K31">
        <v>50</v>
      </c>
      <c r="M31" s="300" t="s">
        <v>483</v>
      </c>
      <c r="N31" s="308">
        <f>SUM(D2:D21)/COUNT(B2:B21)</f>
        <v>22.45</v>
      </c>
      <c r="O31" s="309">
        <f>SUM(D22:D42)/COUNT(D22:D42)</f>
        <v>48.523809523809526</v>
      </c>
      <c r="P31" s="295">
        <f>SUM(D43:D76)/COUNT(D43:D76)</f>
        <v>8.7058823529411757</v>
      </c>
      <c r="Q31">
        <f>AVERAGE(D43:D76)</f>
        <v>8.7058823529411757</v>
      </c>
    </row>
    <row r="32" spans="1:17" ht="15.75" thickBot="1">
      <c r="A32" s="414"/>
      <c r="B32" s="34">
        <v>31</v>
      </c>
      <c r="C32" s="1" t="s">
        <v>281</v>
      </c>
      <c r="D32" s="22">
        <v>-50</v>
      </c>
      <c r="E32">
        <f t="shared" si="0"/>
        <v>615</v>
      </c>
      <c r="F32" s="284">
        <f>SUM($D$2:D32)/SUM($G$2:G32)</f>
        <v>0.6542553191489362</v>
      </c>
      <c r="G32">
        <v>50</v>
      </c>
      <c r="H32" s="50">
        <v>340</v>
      </c>
      <c r="I32" s="18">
        <f t="shared" si="1"/>
        <v>699</v>
      </c>
      <c r="J32" s="183">
        <f>SUM($H$2:H32)/SUM($K$2:K32)</f>
        <v>0.74361702127659579</v>
      </c>
      <c r="K32">
        <v>50</v>
      </c>
      <c r="M32" s="301" t="s">
        <v>628</v>
      </c>
      <c r="N32" s="310">
        <f>SUM(D2:D21)/SUM(G2:G21)</f>
        <v>1.1512820512820512</v>
      </c>
      <c r="O32" s="198">
        <f>SUM(D22:D42)/SUM(G22:G42)</f>
        <v>1.0189999999999999</v>
      </c>
      <c r="P32" s="109">
        <f>SUM(D43:D76)/SUM(G43:G76)</f>
        <v>0.3288888888888889</v>
      </c>
    </row>
    <row r="33" spans="1:17" ht="15.75" thickBot="1">
      <c r="A33" s="414"/>
      <c r="B33" s="34">
        <v>32</v>
      </c>
      <c r="C33" t="s">
        <v>454</v>
      </c>
      <c r="D33" s="22">
        <v>-50</v>
      </c>
      <c r="E33">
        <f t="shared" si="0"/>
        <v>565</v>
      </c>
      <c r="F33" s="284">
        <f>SUM($D$2:D33)/SUM($G$2:G33)</f>
        <v>0.57070707070707072</v>
      </c>
      <c r="G33">
        <v>50</v>
      </c>
      <c r="H33" s="22">
        <v>-50</v>
      </c>
      <c r="I33">
        <f t="shared" si="1"/>
        <v>649</v>
      </c>
      <c r="J33" s="183">
        <f>SUM($H$2:H33)/SUM($K$2:K33)</f>
        <v>0.65555555555555556</v>
      </c>
      <c r="K33">
        <v>50</v>
      </c>
    </row>
    <row r="34" spans="1:17" ht="15.75" thickBot="1">
      <c r="A34" s="414"/>
      <c r="B34" s="34">
        <v>33</v>
      </c>
      <c r="C34" t="s">
        <v>453</v>
      </c>
      <c r="D34" s="74">
        <v>222</v>
      </c>
      <c r="E34">
        <f t="shared" si="0"/>
        <v>787</v>
      </c>
      <c r="F34" s="284">
        <f>SUM($D$2:D34)/SUM($G$2:G34)</f>
        <v>0.75673076923076921</v>
      </c>
      <c r="G34">
        <v>50</v>
      </c>
      <c r="H34" s="50">
        <v>44</v>
      </c>
      <c r="I34" s="18">
        <f t="shared" si="1"/>
        <v>693</v>
      </c>
      <c r="J34" s="183">
        <f>SUM($H$2:H34)/SUM($K$2:K34)</f>
        <v>0.66634615384615381</v>
      </c>
      <c r="K34">
        <v>50</v>
      </c>
      <c r="N34" s="93" t="s">
        <v>449</v>
      </c>
      <c r="O34" s="115" t="s">
        <v>448</v>
      </c>
      <c r="P34" s="127" t="s">
        <v>482</v>
      </c>
    </row>
    <row r="35" spans="1:17">
      <c r="A35" s="414"/>
      <c r="B35" s="34">
        <v>34</v>
      </c>
      <c r="C35" t="s">
        <v>452</v>
      </c>
      <c r="D35" s="74">
        <v>808</v>
      </c>
      <c r="E35">
        <f t="shared" si="0"/>
        <v>1595</v>
      </c>
      <c r="F35" s="284">
        <f>SUM($D$2:D35)/SUM($G$2:G35)</f>
        <v>1.463302752293578</v>
      </c>
      <c r="G35">
        <v>50</v>
      </c>
      <c r="H35" s="50">
        <v>8</v>
      </c>
      <c r="I35">
        <f t="shared" si="1"/>
        <v>701</v>
      </c>
      <c r="J35" s="183">
        <f>SUM($H$2:H35)/SUM($K$2:K35)</f>
        <v>0.64311926605504588</v>
      </c>
      <c r="K35">
        <v>50</v>
      </c>
      <c r="M35" s="298" t="s">
        <v>484</v>
      </c>
      <c r="N35" s="308">
        <f>SUM(H2:H21)/COUNT(B2:B21)</f>
        <v>20.55</v>
      </c>
      <c r="O35" s="309">
        <f>SUM(H22:H42)/COUNT(B22:B42)</f>
        <v>10.619047619047619</v>
      </c>
      <c r="P35" s="295">
        <f>SUM(H43:H76)/COUNT(H43:H76)</f>
        <v>69.362222222222215</v>
      </c>
    </row>
    <row r="36" spans="1:17" ht="15.75" thickBot="1">
      <c r="A36" s="414"/>
      <c r="B36" s="34">
        <v>35</v>
      </c>
      <c r="C36" t="s">
        <v>288</v>
      </c>
      <c r="D36" s="22">
        <v>-40</v>
      </c>
      <c r="E36">
        <f t="shared" si="0"/>
        <v>1555</v>
      </c>
      <c r="F36" s="284">
        <f>SUM($D$2:D36)/SUM($G$2:G36)</f>
        <v>1.3761061946902655</v>
      </c>
      <c r="G36">
        <v>40</v>
      </c>
      <c r="H36" s="50">
        <v>60</v>
      </c>
      <c r="I36" s="18">
        <f t="shared" si="1"/>
        <v>761</v>
      </c>
      <c r="J36" s="183">
        <f>SUM($H$2:H36)/SUM($K$2:K36)</f>
        <v>0.67345132743362834</v>
      </c>
      <c r="K36">
        <v>40</v>
      </c>
      <c r="M36" s="299" t="s">
        <v>629</v>
      </c>
      <c r="N36" s="310">
        <f>SUM(H2:H21)/SUM(K2:K21)</f>
        <v>1.0538461538461539</v>
      </c>
      <c r="O36" s="314">
        <f>SUM(H22:H42)/SUM(K22:K42)</f>
        <v>0.24239130434782608</v>
      </c>
      <c r="P36" s="184">
        <f>SUM(H43:H76)/SUM(K43:K76)</f>
        <v>2.774488888888889</v>
      </c>
      <c r="Q36" t="s">
        <v>568</v>
      </c>
    </row>
    <row r="37" spans="1:17">
      <c r="A37" s="414"/>
      <c r="B37" s="34">
        <v>36</v>
      </c>
      <c r="C37" t="s">
        <v>289</v>
      </c>
      <c r="D37" s="22">
        <v>-40</v>
      </c>
      <c r="E37">
        <f t="shared" si="0"/>
        <v>1515</v>
      </c>
      <c r="F37" s="284">
        <f>SUM($D$2:D37)/SUM($G$2:G37)</f>
        <v>1.2948717948717949</v>
      </c>
      <c r="G37">
        <v>40</v>
      </c>
      <c r="H37" s="22">
        <v>-40</v>
      </c>
      <c r="I37">
        <f t="shared" si="1"/>
        <v>721</v>
      </c>
      <c r="J37" s="183">
        <f>SUM($H$2:H37)/SUM($K$2:K37)</f>
        <v>0.61623931623931627</v>
      </c>
      <c r="K37">
        <v>40</v>
      </c>
    </row>
    <row r="38" spans="1:17">
      <c r="A38" s="414"/>
      <c r="B38" s="34">
        <v>37</v>
      </c>
      <c r="C38" s="312" t="s">
        <v>291</v>
      </c>
      <c r="D38" s="22">
        <v>-40</v>
      </c>
      <c r="E38">
        <f t="shared" si="0"/>
        <v>1475</v>
      </c>
      <c r="F38" s="284">
        <f>SUM($D$2:D38)/SUM($G$2:G38)</f>
        <v>1.21900826446281</v>
      </c>
      <c r="G38">
        <v>40</v>
      </c>
      <c r="H38" s="50">
        <v>40</v>
      </c>
      <c r="I38" s="18">
        <f t="shared" si="1"/>
        <v>761</v>
      </c>
      <c r="J38" s="183">
        <f>SUM($H$2:H38)/SUM($K$2:K38)</f>
        <v>0.62892561983471074</v>
      </c>
      <c r="K38">
        <v>40</v>
      </c>
    </row>
    <row r="39" spans="1:17">
      <c r="A39" s="414"/>
      <c r="B39" s="34">
        <v>38</v>
      </c>
      <c r="C39" s="313" t="s">
        <v>293</v>
      </c>
      <c r="D39" s="22">
        <v>-40</v>
      </c>
      <c r="E39">
        <f t="shared" si="0"/>
        <v>1435</v>
      </c>
      <c r="F39" s="284">
        <f>SUM($D$2:D39)/SUM($G$2:G39)</f>
        <v>1.1479999999999999</v>
      </c>
      <c r="G39" s="159">
        <v>40</v>
      </c>
      <c r="H39" s="51"/>
      <c r="I39">
        <f t="shared" si="1"/>
        <v>761</v>
      </c>
      <c r="J39" s="183">
        <f>SUM($H$2:H39)/SUM($K$2:K39)</f>
        <v>0.62892561983471074</v>
      </c>
      <c r="K39" s="304"/>
    </row>
    <row r="40" spans="1:17">
      <c r="A40" s="414"/>
      <c r="B40" s="34">
        <v>39</v>
      </c>
      <c r="C40" t="s">
        <v>294</v>
      </c>
      <c r="D40" s="74">
        <v>133</v>
      </c>
      <c r="E40">
        <f t="shared" si="0"/>
        <v>1568</v>
      </c>
      <c r="F40" s="284">
        <f>SUM($D$2:D40)/SUM($G$2:G40)</f>
        <v>1.2155038759689922</v>
      </c>
      <c r="G40" s="159">
        <v>40</v>
      </c>
      <c r="H40" s="51"/>
      <c r="I40">
        <f t="shared" si="1"/>
        <v>761</v>
      </c>
      <c r="J40" s="183">
        <f>SUM($H$2:H40)/SUM($K$2:K40)</f>
        <v>0.62892561983471074</v>
      </c>
      <c r="K40" s="304"/>
    </row>
    <row r="41" spans="1:17">
      <c r="A41" s="414"/>
      <c r="B41" s="34">
        <v>40</v>
      </c>
      <c r="C41" t="s">
        <v>295</v>
      </c>
      <c r="D41" s="22">
        <v>-50</v>
      </c>
      <c r="E41">
        <f t="shared" si="0"/>
        <v>1518</v>
      </c>
      <c r="F41" s="284">
        <f>SUM($D$2:D41)/SUM($G$2:G41)</f>
        <v>1.1328358208955225</v>
      </c>
      <c r="G41">
        <v>50</v>
      </c>
      <c r="H41" s="22">
        <v>-71</v>
      </c>
      <c r="I41">
        <f t="shared" si="1"/>
        <v>690</v>
      </c>
      <c r="J41" s="183">
        <f>SUM($H$2:H41)/SUM($K$2:K41)</f>
        <v>0.54761904761904767</v>
      </c>
      <c r="K41">
        <v>50</v>
      </c>
    </row>
    <row r="42" spans="1:17" ht="15.75" thickBot="1">
      <c r="A42" s="421"/>
      <c r="B42" s="179">
        <v>41</v>
      </c>
      <c r="C42" s="91" t="s">
        <v>314</v>
      </c>
      <c r="D42" s="90">
        <v>-50</v>
      </c>
      <c r="E42" s="91">
        <f t="shared" si="0"/>
        <v>1468</v>
      </c>
      <c r="F42" s="314">
        <f>SUM($D$2:D42)/SUM($G$2:G42)</f>
        <v>1.056115107913669</v>
      </c>
      <c r="G42" s="91">
        <v>50</v>
      </c>
      <c r="H42" s="90">
        <v>-56</v>
      </c>
      <c r="I42" s="91">
        <f t="shared" si="1"/>
        <v>634</v>
      </c>
      <c r="J42" s="184">
        <f>SUM($H$2:H42)/SUM($K$2:K42)</f>
        <v>0.48396946564885496</v>
      </c>
      <c r="K42">
        <v>50</v>
      </c>
    </row>
    <row r="43" spans="1:17">
      <c r="A43" s="414">
        <v>2024</v>
      </c>
      <c r="B43" s="34">
        <v>42</v>
      </c>
      <c r="C43" s="33" t="s">
        <v>338</v>
      </c>
      <c r="D43" s="22">
        <v>-25</v>
      </c>
      <c r="E43">
        <f t="shared" si="0"/>
        <v>1443</v>
      </c>
      <c r="F43" s="284">
        <f>SUM($D$2:D43)/SUM($G$2:G43)</f>
        <v>1.0197879858657244</v>
      </c>
      <c r="G43">
        <v>25</v>
      </c>
      <c r="H43" s="81">
        <v>-25</v>
      </c>
      <c r="I43" s="16">
        <f t="shared" si="1"/>
        <v>609</v>
      </c>
      <c r="J43" s="183">
        <f>SUM($H$2:H43)/SUM($K$2:K43)</f>
        <v>0.45617977528089887</v>
      </c>
      <c r="K43">
        <v>25</v>
      </c>
    </row>
    <row r="44" spans="1:17">
      <c r="A44" s="414"/>
      <c r="B44" s="34">
        <v>43</v>
      </c>
      <c r="C44" s="33" t="s">
        <v>702</v>
      </c>
      <c r="D44" s="22">
        <v>-25</v>
      </c>
      <c r="E44">
        <f t="shared" si="0"/>
        <v>1418</v>
      </c>
      <c r="F44" s="284">
        <f>SUM($D$2:D44)/SUM($G$2:G44)</f>
        <v>0.98472222222222228</v>
      </c>
      <c r="G44">
        <v>25</v>
      </c>
      <c r="H44" s="81">
        <v>-25</v>
      </c>
      <c r="I44" s="16">
        <f t="shared" si="1"/>
        <v>584</v>
      </c>
      <c r="J44" s="183">
        <f>SUM($H$2:H44)/SUM($K$2:K44)</f>
        <v>0.42941176470588233</v>
      </c>
      <c r="K44">
        <v>25</v>
      </c>
      <c r="N44" s="120"/>
    </row>
    <row r="45" spans="1:17">
      <c r="A45" s="414"/>
      <c r="B45" s="34">
        <v>44</v>
      </c>
      <c r="C45" s="33" t="s">
        <v>340</v>
      </c>
      <c r="D45" s="22">
        <v>-25</v>
      </c>
      <c r="E45">
        <f t="shared" si="0"/>
        <v>1393</v>
      </c>
      <c r="F45" s="284">
        <f>SUM($D$2:D45)/SUM($G$2:G45)</f>
        <v>0.95085324232081914</v>
      </c>
      <c r="G45">
        <v>25</v>
      </c>
      <c r="H45" s="81">
        <v>-25</v>
      </c>
      <c r="I45" s="16">
        <f t="shared" si="1"/>
        <v>559</v>
      </c>
      <c r="J45" s="183">
        <f>SUM($H$2:H45)/SUM($K$2:K45)</f>
        <v>0.40361010830324912</v>
      </c>
      <c r="K45">
        <v>25</v>
      </c>
    </row>
    <row r="46" spans="1:17">
      <c r="A46" s="414"/>
      <c r="B46" s="34">
        <v>45</v>
      </c>
      <c r="C46" s="33" t="s">
        <v>341</v>
      </c>
      <c r="D46" s="22">
        <v>-25</v>
      </c>
      <c r="E46">
        <f t="shared" si="0"/>
        <v>1368</v>
      </c>
      <c r="F46" s="284">
        <f>SUM($D$2:D46)/SUM($G$2:G46)</f>
        <v>0.91812080536912755</v>
      </c>
      <c r="G46">
        <v>25</v>
      </c>
      <c r="H46" s="58">
        <f>54.52-25</f>
        <v>29.520000000000003</v>
      </c>
      <c r="I46" s="16">
        <f t="shared" si="1"/>
        <v>588.52</v>
      </c>
      <c r="J46" s="183">
        <f>SUM($H$2:H46)/SUM($K$2:K46)</f>
        <v>0.41739007092198582</v>
      </c>
      <c r="K46">
        <v>25</v>
      </c>
    </row>
    <row r="47" spans="1:17">
      <c r="A47" s="414"/>
      <c r="B47" s="34">
        <v>46</v>
      </c>
      <c r="C47" s="33" t="s">
        <v>342</v>
      </c>
      <c r="D47" s="22">
        <v>-25</v>
      </c>
      <c r="E47">
        <f>E46+D47</f>
        <v>1343</v>
      </c>
      <c r="F47" s="284">
        <f>SUM($D$2:D47)/SUM($G$2:G47)</f>
        <v>0.88646864686468652</v>
      </c>
      <c r="G47">
        <v>25</v>
      </c>
      <c r="H47" s="58">
        <v>33</v>
      </c>
      <c r="I47" s="16">
        <f>I46+H47</f>
        <v>621.52</v>
      </c>
      <c r="J47" s="183">
        <f>SUM($H$2:H47)/SUM($K$2:K47)</f>
        <v>0.4331149825783972</v>
      </c>
      <c r="K47">
        <v>25</v>
      </c>
    </row>
    <row r="48" spans="1:17">
      <c r="A48" s="414"/>
      <c r="B48" s="34">
        <v>47</v>
      </c>
      <c r="C48" s="33" t="s">
        <v>365</v>
      </c>
      <c r="D48" s="22">
        <v>-25</v>
      </c>
      <c r="E48">
        <f>E47+D48</f>
        <v>1318</v>
      </c>
      <c r="F48" s="284">
        <f>SUM($D$2:D48)/SUM($G$2:G48)</f>
        <v>0.85584415584415585</v>
      </c>
      <c r="G48">
        <v>25</v>
      </c>
      <c r="H48" s="81">
        <v>-25</v>
      </c>
      <c r="I48" s="16">
        <f>I47+H48</f>
        <v>596.52</v>
      </c>
      <c r="J48" s="183">
        <f>SUM($H$2:H48)/SUM($K$2:K48)</f>
        <v>0.40857534246575339</v>
      </c>
      <c r="K48">
        <v>25</v>
      </c>
    </row>
    <row r="49" spans="1:13">
      <c r="A49" s="414"/>
      <c r="B49" s="34">
        <v>48</v>
      </c>
      <c r="C49" s="33" t="s">
        <v>343</v>
      </c>
      <c r="D49" s="22">
        <v>-25</v>
      </c>
      <c r="E49">
        <f>E48+D49</f>
        <v>1293</v>
      </c>
      <c r="F49" s="284">
        <f>SUM($D$2:D49)/SUM($G$2:G49)</f>
        <v>0.82619808306709264</v>
      </c>
      <c r="G49">
        <v>25</v>
      </c>
      <c r="H49" s="81">
        <v>-17</v>
      </c>
      <c r="I49" s="16">
        <f>I48+H49</f>
        <v>579.52</v>
      </c>
      <c r="J49" s="183">
        <f>SUM($H$2:H49)/SUM($K$2:K49)</f>
        <v>0.39024915824915823</v>
      </c>
      <c r="K49" s="16">
        <v>25</v>
      </c>
    </row>
    <row r="50" spans="1:13">
      <c r="A50" s="414"/>
      <c r="B50" s="34">
        <v>49</v>
      </c>
      <c r="C50" s="33" t="s">
        <v>674</v>
      </c>
      <c r="D50" s="50">
        <v>449</v>
      </c>
      <c r="E50">
        <f>E49+D50</f>
        <v>1742</v>
      </c>
      <c r="F50" s="284">
        <f>SUM($D$2:D50)/SUM($G$2:G50)</f>
        <v>1.0955974842767295</v>
      </c>
      <c r="G50">
        <v>25</v>
      </c>
      <c r="H50" s="58">
        <f>1381</f>
        <v>1381</v>
      </c>
      <c r="I50" s="16">
        <f>I49+H50</f>
        <v>1960.52</v>
      </c>
      <c r="J50" s="183">
        <f>SUM($H$2:H50)/SUM($K$2:K50)</f>
        <v>1.2983576158940398</v>
      </c>
      <c r="K50" s="16">
        <v>25</v>
      </c>
    </row>
    <row r="51" spans="1:13">
      <c r="A51" s="414"/>
      <c r="B51" s="34">
        <v>50</v>
      </c>
      <c r="C51" s="33" t="s">
        <v>673</v>
      </c>
      <c r="D51" s="22">
        <v>-25</v>
      </c>
      <c r="E51">
        <f>E50+D51</f>
        <v>1717</v>
      </c>
      <c r="F51" s="284">
        <f>SUM($D$2:D51)/SUM($G$2:G51)</f>
        <v>1.0631578947368421</v>
      </c>
      <c r="G51">
        <v>25</v>
      </c>
      <c r="H51" s="81">
        <v>-25</v>
      </c>
      <c r="I51" s="16">
        <f>I50+H51</f>
        <v>1935.52</v>
      </c>
      <c r="J51" s="183">
        <f>SUM($H$2:H51)/SUM($K$2:K51)</f>
        <v>1.2609250814332247</v>
      </c>
      <c r="K51" s="16">
        <v>25</v>
      </c>
      <c r="M51" s="16"/>
    </row>
    <row r="52" spans="1:13">
      <c r="A52" s="414"/>
      <c r="B52" s="34">
        <v>51</v>
      </c>
      <c r="C52" s="355" t="s">
        <v>345</v>
      </c>
      <c r="D52" s="22">
        <v>-25</v>
      </c>
      <c r="E52">
        <f t="shared" ref="E52:E53" si="2">E51+D52</f>
        <v>1692</v>
      </c>
      <c r="F52" s="284">
        <f>SUM($D$2:D52)/SUM($G$2:G52)</f>
        <v>1.0317073170731708</v>
      </c>
      <c r="G52">
        <v>25</v>
      </c>
      <c r="H52" s="58">
        <v>35</v>
      </c>
      <c r="I52" s="16">
        <f t="shared" ref="I52:I53" si="3">I51+H52</f>
        <v>1970.52</v>
      </c>
      <c r="J52" s="183">
        <f>SUM($H$2:H52)/SUM($K$2:K52)</f>
        <v>1.2631538461538461</v>
      </c>
      <c r="K52" s="16">
        <v>25</v>
      </c>
    </row>
    <row r="53" spans="1:13">
      <c r="A53" s="414"/>
      <c r="B53" s="34">
        <v>52</v>
      </c>
      <c r="C53" s="355" t="s">
        <v>346</v>
      </c>
      <c r="D53" s="22">
        <v>-25</v>
      </c>
      <c r="E53">
        <f t="shared" si="2"/>
        <v>1667</v>
      </c>
      <c r="F53" s="284">
        <f>SUM($D$2:D53)/SUM($G$2:G53)</f>
        <v>1.0012012012012013</v>
      </c>
      <c r="G53">
        <v>25</v>
      </c>
      <c r="H53" s="58">
        <v>2</v>
      </c>
      <c r="I53" s="16">
        <f t="shared" si="3"/>
        <v>1972.52</v>
      </c>
      <c r="J53" s="183">
        <f>SUM($H$2:H53)/SUM($K$2:K53)</f>
        <v>1.2444921135646687</v>
      </c>
      <c r="K53" s="16">
        <v>25</v>
      </c>
    </row>
    <row r="54" spans="1:13">
      <c r="A54" s="414"/>
      <c r="B54" s="34">
        <v>53</v>
      </c>
      <c r="C54" s="33" t="s">
        <v>347</v>
      </c>
      <c r="D54" s="50">
        <v>33</v>
      </c>
      <c r="E54">
        <f t="shared" ref="E54" si="4">E53+D54</f>
        <v>1700</v>
      </c>
      <c r="F54" s="284">
        <f>SUM($D$2:D54)/SUM($G$2:G54)</f>
        <v>1.0059171597633136</v>
      </c>
      <c r="G54">
        <v>25</v>
      </c>
      <c r="H54" s="81">
        <v>-25</v>
      </c>
      <c r="I54" s="16">
        <f t="shared" ref="I54" si="5">I53+H54</f>
        <v>1947.52</v>
      </c>
      <c r="J54" s="183">
        <f>SUM($H$2:H54)/SUM($K$2:K54)</f>
        <v>1.209639751552795</v>
      </c>
      <c r="K54" s="16">
        <v>25</v>
      </c>
    </row>
    <row r="55" spans="1:13">
      <c r="A55" s="414"/>
      <c r="B55" s="34">
        <v>54</v>
      </c>
      <c r="C55" s="33" t="s">
        <v>348</v>
      </c>
      <c r="D55" s="22">
        <v>-25</v>
      </c>
      <c r="E55">
        <f t="shared" ref="E55" si="6">E54+D55</f>
        <v>1675</v>
      </c>
      <c r="F55" s="284">
        <f>SUM($D$2:D55)/SUM($G$2:G55)</f>
        <v>0.97667638483965014</v>
      </c>
      <c r="G55">
        <v>25</v>
      </c>
      <c r="H55" s="81">
        <v>-25</v>
      </c>
      <c r="I55" s="16">
        <f t="shared" ref="I55" si="7">I54+H55</f>
        <v>1922.52</v>
      </c>
      <c r="J55" s="183">
        <f>SUM($H$2:H55)/SUM($K$2:K55)</f>
        <v>1.1758532110091744</v>
      </c>
      <c r="K55" s="16">
        <v>25</v>
      </c>
    </row>
    <row r="56" spans="1:13">
      <c r="A56" s="414"/>
      <c r="B56" s="34">
        <v>55</v>
      </c>
      <c r="C56" s="33" t="s">
        <v>1122</v>
      </c>
      <c r="D56" s="22">
        <v>-25</v>
      </c>
      <c r="E56">
        <f t="shared" ref="E56:E60" si="8">E55+D56</f>
        <v>1650</v>
      </c>
      <c r="F56" s="284">
        <f>SUM($D$2:D56)/SUM($G$2:G56)</f>
        <v>0.94827586206896552</v>
      </c>
      <c r="G56">
        <v>25</v>
      </c>
      <c r="H56" s="81">
        <v>-25</v>
      </c>
      <c r="I56" s="16">
        <f t="shared" ref="I56:I57" si="9">I55+H56</f>
        <v>1897.52</v>
      </c>
      <c r="J56" s="183">
        <f>SUM($H$2:H56)/SUM($K$2:K56)</f>
        <v>1.1430843373493975</v>
      </c>
      <c r="K56" s="16">
        <v>25</v>
      </c>
    </row>
    <row r="57" spans="1:13">
      <c r="A57" s="414"/>
      <c r="B57" s="34">
        <v>56</v>
      </c>
      <c r="C57" s="33" t="s">
        <v>675</v>
      </c>
      <c r="D57" s="22">
        <v>-25</v>
      </c>
      <c r="E57">
        <f t="shared" si="8"/>
        <v>1625</v>
      </c>
      <c r="F57" s="284">
        <f>SUM($D$2:D57)/SUM($G$2:G57)</f>
        <v>0.92067988668555245</v>
      </c>
      <c r="G57">
        <v>25</v>
      </c>
      <c r="H57" s="81">
        <v>-25</v>
      </c>
      <c r="I57" s="16">
        <f t="shared" si="9"/>
        <v>1872.52</v>
      </c>
      <c r="J57" s="183">
        <f>SUM($H$2:H57)/SUM($K$2:K57)</f>
        <v>1.1112878338278931</v>
      </c>
      <c r="K57" s="16">
        <v>25</v>
      </c>
    </row>
    <row r="58" spans="1:13">
      <c r="A58" s="414"/>
      <c r="B58" s="34">
        <v>57</v>
      </c>
      <c r="C58" s="291" t="s">
        <v>268</v>
      </c>
      <c r="D58" s="61"/>
      <c r="E58" s="17">
        <f t="shared" si="8"/>
        <v>1625</v>
      </c>
      <c r="F58" s="456">
        <f>SUM($D$2:D58)/SUM($G$2:G58)</f>
        <v>0.90782122905027929</v>
      </c>
      <c r="G58" s="17">
        <v>25</v>
      </c>
      <c r="H58" s="71">
        <v>-25</v>
      </c>
      <c r="I58" s="59">
        <f t="shared" ref="I58:I60" si="10">I57+H58</f>
        <v>1847.52</v>
      </c>
      <c r="J58" s="457">
        <f>SUM($H$2:H58)/SUM($K$2:K58)</f>
        <v>1.0804210526315789</v>
      </c>
      <c r="K58" s="16">
        <v>25</v>
      </c>
    </row>
    <row r="59" spans="1:13">
      <c r="A59" s="414"/>
      <c r="B59" s="34">
        <v>58</v>
      </c>
      <c r="C59" s="355" t="s">
        <v>677</v>
      </c>
      <c r="D59" s="50">
        <v>16</v>
      </c>
      <c r="E59">
        <f t="shared" si="8"/>
        <v>1641</v>
      </c>
      <c r="F59" s="284">
        <f>SUM($D$2:D59)/SUM($G$2:G59)</f>
        <v>0.90413223140495869</v>
      </c>
      <c r="G59">
        <v>25</v>
      </c>
      <c r="H59" s="50">
        <v>16</v>
      </c>
      <c r="I59" s="16">
        <f t="shared" si="10"/>
        <v>1863.52</v>
      </c>
      <c r="J59" s="183">
        <f>SUM($H$2:H59)/SUM($K$2:K59)</f>
        <v>1.0740749279538906</v>
      </c>
      <c r="K59" s="16">
        <v>25</v>
      </c>
    </row>
    <row r="60" spans="1:13">
      <c r="A60" s="414"/>
      <c r="B60" s="34">
        <v>59</v>
      </c>
      <c r="C60" s="355" t="s">
        <v>676</v>
      </c>
      <c r="D60" s="458">
        <v>-25</v>
      </c>
      <c r="E60">
        <f t="shared" si="8"/>
        <v>1616</v>
      </c>
      <c r="F60" s="284">
        <f>SUM($D$2:D60)/SUM($G$2:G60)</f>
        <v>0.87826086956521743</v>
      </c>
      <c r="G60">
        <v>25</v>
      </c>
      <c r="H60" s="50">
        <v>19</v>
      </c>
      <c r="I60" s="16">
        <f t="shared" si="10"/>
        <v>1882.52</v>
      </c>
      <c r="J60" s="183">
        <f>SUM($H$2:H60)/SUM($K$2:K60)</f>
        <v>1.0696136363636364</v>
      </c>
      <c r="K60" s="16">
        <v>25</v>
      </c>
    </row>
    <row r="61" spans="1:13">
      <c r="A61" s="414"/>
      <c r="B61" s="34">
        <v>60</v>
      </c>
      <c r="C61" s="33"/>
      <c r="D61" s="22"/>
      <c r="F61" s="16"/>
      <c r="G61" s="16"/>
      <c r="H61" s="81"/>
      <c r="I61" s="16"/>
      <c r="J61" s="82"/>
      <c r="K61" s="16"/>
    </row>
    <row r="62" spans="1:13">
      <c r="A62" s="414"/>
      <c r="B62" s="34">
        <v>61</v>
      </c>
      <c r="C62" s="33"/>
      <c r="D62" s="22"/>
      <c r="F62" s="16"/>
      <c r="G62" s="16"/>
      <c r="H62" s="81"/>
      <c r="I62" s="16"/>
      <c r="J62" s="82"/>
      <c r="K62" s="16"/>
    </row>
    <row r="63" spans="1:13">
      <c r="A63" s="414"/>
      <c r="B63" s="34">
        <v>62</v>
      </c>
      <c r="C63" s="33"/>
      <c r="D63" s="22"/>
      <c r="F63" s="16"/>
      <c r="G63" s="16"/>
      <c r="H63" s="81"/>
      <c r="I63" s="16"/>
      <c r="J63" s="82"/>
      <c r="K63" s="16"/>
    </row>
    <row r="64" spans="1:13">
      <c r="A64" s="414"/>
      <c r="B64" s="34">
        <v>63</v>
      </c>
      <c r="C64" s="33"/>
      <c r="D64" s="22"/>
      <c r="F64" s="16"/>
      <c r="G64" s="16"/>
      <c r="H64" s="81"/>
      <c r="I64" s="16"/>
      <c r="J64" s="82"/>
      <c r="K64" s="16"/>
    </row>
    <row r="65" spans="1:11">
      <c r="A65" s="414"/>
      <c r="B65" s="34">
        <v>64</v>
      </c>
      <c r="C65" s="33"/>
      <c r="D65" s="22"/>
      <c r="F65" s="16"/>
      <c r="G65" s="16"/>
      <c r="H65" s="81"/>
      <c r="I65" s="16"/>
      <c r="J65" s="82"/>
      <c r="K65" s="16"/>
    </row>
    <row r="66" spans="1:11">
      <c r="A66" s="414"/>
      <c r="B66" s="34">
        <v>65</v>
      </c>
      <c r="C66" s="33"/>
      <c r="D66" s="22"/>
      <c r="F66" s="16"/>
      <c r="G66" s="16"/>
      <c r="H66" s="81"/>
      <c r="I66" s="16"/>
      <c r="J66" s="82"/>
      <c r="K66" s="16"/>
    </row>
    <row r="67" spans="1:11">
      <c r="A67" s="414"/>
      <c r="B67" s="34">
        <v>66</v>
      </c>
      <c r="C67" s="33"/>
      <c r="D67" s="22"/>
      <c r="F67" s="16"/>
      <c r="G67" s="16"/>
      <c r="H67" s="81"/>
      <c r="I67" s="16"/>
      <c r="J67" s="82"/>
      <c r="K67" s="16"/>
    </row>
    <row r="68" spans="1:11">
      <c r="A68" s="414"/>
      <c r="B68" s="34">
        <v>67</v>
      </c>
      <c r="C68" s="33"/>
      <c r="D68" s="22"/>
      <c r="F68" s="16"/>
      <c r="G68" s="16"/>
      <c r="H68" s="81"/>
      <c r="I68" s="16"/>
      <c r="J68" s="82"/>
      <c r="K68" s="16"/>
    </row>
    <row r="69" spans="1:11">
      <c r="A69" s="414"/>
      <c r="B69" s="34">
        <v>68</v>
      </c>
      <c r="C69" s="33"/>
      <c r="D69" s="22"/>
      <c r="F69" s="16"/>
      <c r="G69" s="16"/>
      <c r="H69" s="81"/>
      <c r="I69" s="16"/>
      <c r="J69" s="82"/>
      <c r="K69" s="16"/>
    </row>
    <row r="70" spans="1:11">
      <c r="A70" s="414"/>
      <c r="B70" s="34">
        <v>69</v>
      </c>
      <c r="C70" s="33"/>
      <c r="D70" s="22"/>
      <c r="F70" s="16"/>
      <c r="G70" s="16"/>
      <c r="H70" s="81"/>
      <c r="I70" s="16"/>
      <c r="J70" s="82"/>
      <c r="K70" s="16"/>
    </row>
    <row r="71" spans="1:11">
      <c r="A71" s="414"/>
      <c r="B71" s="34">
        <v>70</v>
      </c>
      <c r="C71" s="33"/>
      <c r="D71" s="22"/>
      <c r="F71" s="16"/>
      <c r="G71" s="16"/>
      <c r="H71" s="81"/>
      <c r="I71" s="16"/>
      <c r="J71" s="82"/>
      <c r="K71" s="16"/>
    </row>
    <row r="72" spans="1:11">
      <c r="A72" s="414"/>
      <c r="B72" s="34">
        <v>71</v>
      </c>
      <c r="C72" s="33"/>
      <c r="D72" s="22"/>
      <c r="F72" s="16"/>
      <c r="G72" s="16"/>
      <c r="H72" s="81"/>
      <c r="I72" s="16"/>
      <c r="J72" s="82"/>
      <c r="K72" s="16"/>
    </row>
    <row r="73" spans="1:11">
      <c r="A73" s="414"/>
      <c r="B73" s="34">
        <v>72</v>
      </c>
      <c r="C73" s="33"/>
      <c r="D73" s="22"/>
      <c r="F73" s="16"/>
      <c r="G73" s="16"/>
      <c r="H73" s="81"/>
      <c r="I73" s="16"/>
      <c r="J73" s="82"/>
      <c r="K73" s="16"/>
    </row>
    <row r="74" spans="1:11">
      <c r="A74" s="414"/>
      <c r="B74" s="34">
        <v>73</v>
      </c>
      <c r="C74" s="33"/>
      <c r="D74" s="22"/>
      <c r="F74" s="16"/>
      <c r="G74" s="16"/>
      <c r="H74" s="81"/>
      <c r="I74" s="16"/>
      <c r="J74" s="82"/>
      <c r="K74" s="16"/>
    </row>
    <row r="75" spans="1:11">
      <c r="A75" s="414"/>
      <c r="B75" s="34">
        <v>74</v>
      </c>
      <c r="C75" s="33"/>
      <c r="D75" s="22"/>
      <c r="F75" s="16"/>
      <c r="G75" s="16"/>
      <c r="H75" s="81"/>
      <c r="I75" s="16"/>
      <c r="J75" s="82"/>
      <c r="K75" s="16"/>
    </row>
    <row r="76" spans="1:11" ht="15.75" thickBot="1">
      <c r="A76" s="414"/>
      <c r="B76" s="34">
        <v>75</v>
      </c>
      <c r="C76" s="33"/>
      <c r="D76" s="22"/>
      <c r="H76" s="22"/>
      <c r="J76" s="33"/>
    </row>
    <row r="77" spans="1:11" ht="15.75" thickBot="1">
      <c r="A77" s="27"/>
      <c r="B77" s="178"/>
      <c r="C77" s="188" t="s">
        <v>451</v>
      </c>
      <c r="D77" s="297">
        <f>SUM(D2:D76)</f>
        <v>1616</v>
      </c>
      <c r="E77" s="318"/>
      <c r="F77" s="307"/>
      <c r="G77" s="307"/>
      <c r="H77" s="297">
        <f>SUM(H2:H76)</f>
        <v>1882.52</v>
      </c>
      <c r="I77" s="307"/>
      <c r="J77" s="316"/>
      <c r="K77" s="317"/>
    </row>
    <row r="78" spans="1:11">
      <c r="C78" t="s">
        <v>450</v>
      </c>
      <c r="D78" s="305">
        <f>D77/COUNT(D2:D76)</f>
        <v>27.862068965517242</v>
      </c>
      <c r="E78" s="305"/>
      <c r="F78" s="305"/>
      <c r="G78" s="305"/>
      <c r="H78" s="305">
        <f>H77/COUNT(H2:H76)</f>
        <v>33.026666666666664</v>
      </c>
      <c r="I78" s="187"/>
      <c r="J78" s="187"/>
      <c r="K78" s="305"/>
    </row>
  </sheetData>
  <mergeCells count="5">
    <mergeCell ref="A43:A76"/>
    <mergeCell ref="M1:P1"/>
    <mergeCell ref="A2:A19"/>
    <mergeCell ref="A20:A21"/>
    <mergeCell ref="A22:A42"/>
  </mergeCells>
  <pageMargins left="0.7" right="0.7" top="0.75" bottom="0.75" header="0.3" footer="0.3"/>
  <pageSetup paperSize="9" orientation="portrait" r:id="rId1"/>
  <headerFooter>
    <oddHeader>&amp;C&amp;G</oddHeader>
    <oddFooter>&amp;C&amp;1#&amp;"Calibri"&amp;10&amp;KA80000CONFIDENTIAL</oddFoot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CC70E-F9F3-49E2-9DB7-128499F75690}">
  <sheetPr codeName="Sheet1">
    <tabColor rgb="FF00B0F0"/>
  </sheetPr>
  <dimension ref="A1:T103"/>
  <sheetViews>
    <sheetView zoomScale="85" zoomScaleNormal="85" workbookViewId="0">
      <selection activeCell="L93" sqref="L93"/>
    </sheetView>
  </sheetViews>
  <sheetFormatPr defaultRowHeight="15"/>
  <cols>
    <col min="2" max="3" width="18.140625" bestFit="1" customWidth="1"/>
    <col min="11" max="11" width="17.7109375" customWidth="1"/>
    <col min="12" max="12" width="17.85546875" bestFit="1" customWidth="1"/>
    <col min="13" max="13" width="18.140625" bestFit="1" customWidth="1"/>
    <col min="20" max="20" width="9.140625" hidden="1" customWidth="1"/>
    <col min="21" max="21" width="20" customWidth="1"/>
    <col min="22" max="22" width="18.28515625" customWidth="1"/>
  </cols>
  <sheetData>
    <row r="1" spans="1:9" ht="15.75" thickBot="1">
      <c r="A1" s="27"/>
      <c r="B1" s="415" t="s">
        <v>260</v>
      </c>
      <c r="C1" s="416"/>
      <c r="D1" s="416"/>
      <c r="E1" s="416"/>
      <c r="F1" s="416"/>
      <c r="G1" s="416"/>
      <c r="H1" s="416"/>
      <c r="I1" s="417"/>
    </row>
    <row r="2" spans="1:9" ht="15.75" thickBot="1">
      <c r="A2" s="41" t="s">
        <v>261</v>
      </c>
      <c r="B2" s="176" t="s">
        <v>262</v>
      </c>
      <c r="C2" s="42" t="s">
        <v>0</v>
      </c>
      <c r="D2" s="43" t="s">
        <v>263</v>
      </c>
      <c r="E2" s="44" t="s">
        <v>264</v>
      </c>
      <c r="F2" s="45" t="s">
        <v>265</v>
      </c>
      <c r="G2" s="37" t="s">
        <v>266</v>
      </c>
      <c r="H2" s="37" t="s">
        <v>267</v>
      </c>
      <c r="I2" s="46" t="s">
        <v>200</v>
      </c>
    </row>
    <row r="3" spans="1:9">
      <c r="A3" s="425">
        <v>2024</v>
      </c>
      <c r="B3" s="286" t="s">
        <v>338</v>
      </c>
      <c r="C3" s="196" t="s">
        <v>132</v>
      </c>
      <c r="D3" s="29">
        <v>133</v>
      </c>
      <c r="E3" s="29">
        <v>79</v>
      </c>
      <c r="F3" s="29">
        <v>34</v>
      </c>
      <c r="G3" s="29">
        <v>15</v>
      </c>
      <c r="H3" s="29">
        <v>70</v>
      </c>
      <c r="I3" s="30">
        <v>30</v>
      </c>
    </row>
    <row r="4" spans="1:9">
      <c r="A4" s="426"/>
      <c r="B4" s="1" t="s">
        <v>702</v>
      </c>
      <c r="C4" s="225" t="s">
        <v>372</v>
      </c>
      <c r="D4" s="52">
        <v>35</v>
      </c>
      <c r="E4" s="52">
        <v>149</v>
      </c>
      <c r="F4" s="52">
        <v>172</v>
      </c>
      <c r="G4" s="52">
        <v>173</v>
      </c>
      <c r="H4" s="52">
        <v>192</v>
      </c>
      <c r="I4" s="53">
        <v>188</v>
      </c>
    </row>
    <row r="5" spans="1:9">
      <c r="A5" s="426"/>
      <c r="B5" s="1" t="s">
        <v>340</v>
      </c>
      <c r="C5" s="225" t="s">
        <v>539</v>
      </c>
      <c r="D5" s="52">
        <v>26</v>
      </c>
      <c r="E5" s="52">
        <v>188</v>
      </c>
      <c r="F5" s="52">
        <v>194</v>
      </c>
      <c r="G5" s="52">
        <v>177</v>
      </c>
      <c r="H5" s="52">
        <v>14</v>
      </c>
      <c r="I5" s="53">
        <v>110</v>
      </c>
    </row>
    <row r="6" spans="1:9">
      <c r="A6" s="426"/>
      <c r="B6" s="1" t="s">
        <v>341</v>
      </c>
      <c r="C6" s="17" t="s">
        <v>487</v>
      </c>
      <c r="D6">
        <v>29</v>
      </c>
      <c r="E6">
        <v>140</v>
      </c>
      <c r="F6">
        <v>9</v>
      </c>
      <c r="G6">
        <v>103</v>
      </c>
      <c r="H6">
        <v>31</v>
      </c>
      <c r="I6" s="33">
        <v>4</v>
      </c>
    </row>
    <row r="7" spans="1:9">
      <c r="A7" s="426"/>
      <c r="B7" s="1" t="s">
        <v>342</v>
      </c>
      <c r="C7" s="17" t="s">
        <v>18</v>
      </c>
      <c r="I7" s="33"/>
    </row>
    <row r="8" spans="1:9">
      <c r="A8" s="426"/>
      <c r="B8" s="1" t="s">
        <v>365</v>
      </c>
      <c r="C8" s="17" t="s">
        <v>158</v>
      </c>
      <c r="D8">
        <v>152</v>
      </c>
      <c r="E8">
        <v>107</v>
      </c>
      <c r="F8">
        <v>47</v>
      </c>
      <c r="G8">
        <v>156</v>
      </c>
      <c r="H8">
        <v>50</v>
      </c>
      <c r="I8" s="33">
        <v>77</v>
      </c>
    </row>
    <row r="9" spans="1:9">
      <c r="A9" s="426"/>
      <c r="B9" s="1" t="s">
        <v>343</v>
      </c>
      <c r="C9" s="17" t="s">
        <v>129</v>
      </c>
      <c r="D9">
        <v>77</v>
      </c>
      <c r="E9">
        <v>98</v>
      </c>
      <c r="F9">
        <v>97</v>
      </c>
      <c r="G9">
        <v>7</v>
      </c>
      <c r="H9">
        <v>161</v>
      </c>
      <c r="I9" s="33">
        <v>102</v>
      </c>
    </row>
    <row r="10" spans="1:9">
      <c r="A10" s="426"/>
      <c r="B10" s="1" t="s">
        <v>674</v>
      </c>
      <c r="C10" s="18" t="s">
        <v>492</v>
      </c>
      <c r="D10">
        <v>22</v>
      </c>
      <c r="E10">
        <v>163</v>
      </c>
      <c r="F10">
        <v>57</v>
      </c>
      <c r="G10">
        <v>29</v>
      </c>
      <c r="H10">
        <v>52</v>
      </c>
      <c r="I10" s="33">
        <v>22</v>
      </c>
    </row>
    <row r="11" spans="1:9">
      <c r="A11" s="426"/>
      <c r="B11" s="1" t="s">
        <v>673</v>
      </c>
      <c r="C11" s="17" t="s">
        <v>88</v>
      </c>
      <c r="D11">
        <v>81</v>
      </c>
      <c r="E11">
        <v>27</v>
      </c>
      <c r="F11">
        <v>86</v>
      </c>
      <c r="G11">
        <v>10</v>
      </c>
      <c r="H11">
        <v>107</v>
      </c>
      <c r="I11" s="33">
        <v>55</v>
      </c>
    </row>
    <row r="12" spans="1:9">
      <c r="A12" s="426"/>
      <c r="B12" s="175" t="s">
        <v>345</v>
      </c>
      <c r="C12" s="17" t="s">
        <v>175</v>
      </c>
      <c r="D12">
        <v>177</v>
      </c>
      <c r="E12">
        <v>32</v>
      </c>
      <c r="F12">
        <v>137</v>
      </c>
      <c r="G12">
        <v>71</v>
      </c>
      <c r="H12">
        <v>69</v>
      </c>
      <c r="I12" s="33">
        <v>105</v>
      </c>
    </row>
    <row r="13" spans="1:9">
      <c r="A13" s="426"/>
      <c r="B13" s="175" t="s">
        <v>346</v>
      </c>
      <c r="C13" s="17" t="s">
        <v>35</v>
      </c>
      <c r="D13">
        <v>124</v>
      </c>
      <c r="E13">
        <v>103</v>
      </c>
      <c r="F13">
        <v>1</v>
      </c>
      <c r="G13">
        <v>19</v>
      </c>
      <c r="H13">
        <v>144</v>
      </c>
      <c r="I13" s="33">
        <v>2</v>
      </c>
    </row>
    <row r="14" spans="1:9">
      <c r="A14" s="426"/>
      <c r="B14" s="176" t="s">
        <v>347</v>
      </c>
      <c r="C14" s="137" t="s">
        <v>35</v>
      </c>
      <c r="D14">
        <v>120</v>
      </c>
      <c r="E14">
        <v>105</v>
      </c>
      <c r="F14">
        <v>2</v>
      </c>
      <c r="G14">
        <v>8</v>
      </c>
      <c r="H14">
        <v>107</v>
      </c>
      <c r="I14" s="33">
        <v>1</v>
      </c>
    </row>
    <row r="15" spans="1:9">
      <c r="A15" s="426"/>
      <c r="B15" s="1" t="s">
        <v>348</v>
      </c>
      <c r="C15" s="17" t="s">
        <v>142</v>
      </c>
      <c r="D15">
        <v>135</v>
      </c>
      <c r="E15">
        <v>166</v>
      </c>
      <c r="F15">
        <v>61</v>
      </c>
      <c r="G15">
        <v>82</v>
      </c>
      <c r="H15">
        <v>25</v>
      </c>
      <c r="I15" s="33">
        <v>107</v>
      </c>
    </row>
    <row r="16" spans="1:9">
      <c r="A16" s="426"/>
      <c r="B16" s="1" t="s">
        <v>1122</v>
      </c>
      <c r="C16" s="17" t="s">
        <v>52</v>
      </c>
      <c r="D16">
        <v>9</v>
      </c>
      <c r="E16">
        <v>87</v>
      </c>
      <c r="F16">
        <v>71</v>
      </c>
      <c r="G16">
        <v>51</v>
      </c>
      <c r="H16">
        <v>109</v>
      </c>
      <c r="I16" s="33">
        <v>38</v>
      </c>
    </row>
    <row r="17" spans="1:9">
      <c r="A17" s="426"/>
      <c r="B17" s="1" t="s">
        <v>675</v>
      </c>
      <c r="C17" s="17" t="s">
        <v>370</v>
      </c>
      <c r="D17">
        <v>96</v>
      </c>
      <c r="E17">
        <v>23</v>
      </c>
      <c r="F17">
        <v>37</v>
      </c>
      <c r="G17">
        <v>137</v>
      </c>
      <c r="H17">
        <v>49</v>
      </c>
      <c r="I17" s="33">
        <v>20</v>
      </c>
    </row>
    <row r="18" spans="1:9">
      <c r="A18" s="426"/>
      <c r="B18" s="1" t="s">
        <v>677</v>
      </c>
      <c r="C18" s="18" t="s">
        <v>35</v>
      </c>
      <c r="D18">
        <v>76</v>
      </c>
      <c r="E18">
        <v>14</v>
      </c>
      <c r="F18">
        <v>1</v>
      </c>
      <c r="G18">
        <v>5</v>
      </c>
      <c r="H18">
        <v>96</v>
      </c>
      <c r="I18" s="33">
        <v>1</v>
      </c>
    </row>
    <row r="19" spans="1:9">
      <c r="A19" s="426"/>
      <c r="B19" s="1" t="s">
        <v>676</v>
      </c>
      <c r="C19" s="459" t="s">
        <v>115</v>
      </c>
      <c r="D19">
        <v>100</v>
      </c>
      <c r="E19">
        <v>84</v>
      </c>
      <c r="F19">
        <v>73</v>
      </c>
      <c r="G19">
        <v>61</v>
      </c>
      <c r="H19">
        <v>18</v>
      </c>
      <c r="I19" s="33">
        <v>10</v>
      </c>
    </row>
    <row r="20" spans="1:9">
      <c r="A20" s="426"/>
      <c r="I20" s="33"/>
    </row>
    <row r="21" spans="1:9">
      <c r="A21" s="426"/>
      <c r="I21" s="33"/>
    </row>
    <row r="22" spans="1:9">
      <c r="A22" s="426"/>
      <c r="I22" s="33"/>
    </row>
    <row r="23" spans="1:9">
      <c r="A23" s="426"/>
      <c r="I23" s="33"/>
    </row>
    <row r="24" spans="1:9">
      <c r="A24" s="426"/>
      <c r="I24" s="33"/>
    </row>
    <row r="25" spans="1:9">
      <c r="A25" s="426"/>
      <c r="I25" s="33"/>
    </row>
    <row r="26" spans="1:9">
      <c r="A26" s="426"/>
      <c r="I26" s="33"/>
    </row>
    <row r="27" spans="1:9">
      <c r="A27" s="426"/>
      <c r="I27" s="33"/>
    </row>
    <row r="28" spans="1:9">
      <c r="A28" s="426"/>
      <c r="I28" s="33"/>
    </row>
    <row r="29" spans="1:9">
      <c r="A29" s="426"/>
      <c r="I29" s="33"/>
    </row>
    <row r="30" spans="1:9">
      <c r="A30" s="426"/>
      <c r="I30" s="33"/>
    </row>
    <row r="31" spans="1:9">
      <c r="A31" s="426"/>
      <c r="I31" s="33"/>
    </row>
    <row r="32" spans="1:9">
      <c r="A32" s="426"/>
      <c r="I32" s="33"/>
    </row>
    <row r="33" spans="1:9">
      <c r="A33" s="426"/>
      <c r="I33" s="33"/>
    </row>
    <row r="34" spans="1:9" ht="15.75" thickBot="1">
      <c r="A34" s="427"/>
      <c r="B34" s="91"/>
      <c r="C34" s="91"/>
      <c r="D34" s="91"/>
      <c r="E34" s="91"/>
      <c r="F34" s="91"/>
      <c r="G34" s="91"/>
      <c r="H34" s="91"/>
      <c r="I34" s="92"/>
    </row>
    <row r="35" spans="1:9">
      <c r="A35" s="422">
        <v>2023</v>
      </c>
      <c r="B35" s="197" t="s">
        <v>338</v>
      </c>
      <c r="C35" s="142" t="s">
        <v>15</v>
      </c>
      <c r="D35" s="31">
        <v>17</v>
      </c>
      <c r="E35" s="29">
        <v>3</v>
      </c>
      <c r="F35" s="29">
        <v>48</v>
      </c>
      <c r="G35" s="29">
        <v>3</v>
      </c>
      <c r="H35" s="29">
        <v>74</v>
      </c>
      <c r="I35" s="30">
        <v>4</v>
      </c>
    </row>
    <row r="36" spans="1:9">
      <c r="A36" s="423"/>
      <c r="B36" s="176" t="s">
        <v>339</v>
      </c>
      <c r="C36" s="126" t="s">
        <v>128</v>
      </c>
      <c r="D36" s="22">
        <v>107</v>
      </c>
      <c r="E36">
        <v>7</v>
      </c>
      <c r="F36">
        <v>9</v>
      </c>
      <c r="G36">
        <v>96</v>
      </c>
      <c r="H36">
        <v>173</v>
      </c>
      <c r="I36" s="33">
        <v>51</v>
      </c>
    </row>
    <row r="37" spans="1:9">
      <c r="A37" s="423"/>
      <c r="B37" s="176" t="s">
        <v>340</v>
      </c>
      <c r="C37" s="158" t="s">
        <v>15</v>
      </c>
      <c r="D37" s="22">
        <v>13</v>
      </c>
      <c r="E37">
        <v>27</v>
      </c>
      <c r="F37">
        <v>121</v>
      </c>
      <c r="G37">
        <v>4</v>
      </c>
      <c r="H37">
        <v>16</v>
      </c>
      <c r="I37" s="33">
        <v>3</v>
      </c>
    </row>
    <row r="38" spans="1:9">
      <c r="A38" s="423"/>
      <c r="B38" s="176" t="s">
        <v>341</v>
      </c>
      <c r="C38" s="158" t="s">
        <v>66</v>
      </c>
      <c r="D38" s="22">
        <v>54</v>
      </c>
      <c r="E38">
        <v>19</v>
      </c>
      <c r="F38">
        <v>38</v>
      </c>
      <c r="G38">
        <v>33</v>
      </c>
      <c r="H38">
        <v>33</v>
      </c>
      <c r="I38" s="33">
        <v>7</v>
      </c>
    </row>
    <row r="39" spans="1:9">
      <c r="A39" s="423"/>
      <c r="B39" s="176" t="s">
        <v>342</v>
      </c>
      <c r="C39" s="89" t="s">
        <v>143</v>
      </c>
      <c r="D39" s="22">
        <v>151</v>
      </c>
      <c r="E39">
        <v>11</v>
      </c>
      <c r="F39">
        <v>74</v>
      </c>
      <c r="G39">
        <v>121</v>
      </c>
      <c r="H39">
        <v>24</v>
      </c>
      <c r="I39" s="33">
        <v>25</v>
      </c>
    </row>
    <row r="40" spans="1:9">
      <c r="A40" s="423"/>
      <c r="B40" s="176" t="s">
        <v>365</v>
      </c>
      <c r="C40" s="89" t="s">
        <v>35</v>
      </c>
      <c r="D40" s="22">
        <v>41</v>
      </c>
      <c r="E40">
        <v>24</v>
      </c>
      <c r="F40">
        <v>56</v>
      </c>
      <c r="G40">
        <v>54</v>
      </c>
      <c r="H40">
        <v>159</v>
      </c>
      <c r="I40" s="33">
        <v>24</v>
      </c>
    </row>
    <row r="41" spans="1:9">
      <c r="A41" s="423"/>
      <c r="B41" s="176" t="s">
        <v>343</v>
      </c>
      <c r="C41" s="158" t="s">
        <v>15</v>
      </c>
      <c r="D41" s="22">
        <v>4</v>
      </c>
      <c r="E41">
        <v>44</v>
      </c>
      <c r="F41">
        <v>34</v>
      </c>
      <c r="G41">
        <v>16</v>
      </c>
      <c r="H41">
        <v>20</v>
      </c>
      <c r="I41" s="33">
        <v>1</v>
      </c>
    </row>
    <row r="42" spans="1:9">
      <c r="A42" s="423"/>
      <c r="B42" s="176" t="s">
        <v>344</v>
      </c>
      <c r="C42" s="158" t="s">
        <v>132</v>
      </c>
      <c r="D42" s="22">
        <v>116</v>
      </c>
      <c r="E42">
        <v>86</v>
      </c>
      <c r="F42">
        <v>44</v>
      </c>
      <c r="G42">
        <v>38</v>
      </c>
      <c r="H42">
        <v>47</v>
      </c>
      <c r="I42" s="33">
        <v>27</v>
      </c>
    </row>
    <row r="43" spans="1:9">
      <c r="A43" s="423"/>
      <c r="B43" s="176" t="s">
        <v>345</v>
      </c>
      <c r="C43" s="89" t="s">
        <v>103</v>
      </c>
      <c r="D43" s="22">
        <v>132</v>
      </c>
      <c r="E43">
        <v>73</v>
      </c>
      <c r="F43">
        <v>170</v>
      </c>
      <c r="G43">
        <v>192</v>
      </c>
      <c r="H43">
        <v>88</v>
      </c>
      <c r="I43" s="33">
        <v>157</v>
      </c>
    </row>
    <row r="44" spans="1:9">
      <c r="A44" s="423"/>
      <c r="B44" s="176" t="s">
        <v>346</v>
      </c>
      <c r="C44" s="89" t="s">
        <v>54</v>
      </c>
      <c r="D44" s="22">
        <v>29</v>
      </c>
      <c r="E44">
        <v>195</v>
      </c>
      <c r="F44">
        <v>69</v>
      </c>
      <c r="G44">
        <v>63</v>
      </c>
      <c r="H44">
        <v>129</v>
      </c>
      <c r="I44" s="33">
        <v>84</v>
      </c>
    </row>
    <row r="45" spans="1:9">
      <c r="A45" s="423"/>
      <c r="B45" s="176" t="s">
        <v>347</v>
      </c>
      <c r="C45" s="89" t="s">
        <v>35</v>
      </c>
      <c r="D45" s="22">
        <v>23</v>
      </c>
      <c r="E45">
        <v>50</v>
      </c>
      <c r="F45">
        <v>12</v>
      </c>
      <c r="G45">
        <v>56</v>
      </c>
      <c r="H45">
        <v>100</v>
      </c>
      <c r="I45" s="33">
        <v>5</v>
      </c>
    </row>
    <row r="46" spans="1:9">
      <c r="A46" s="423"/>
      <c r="B46" s="176" t="s">
        <v>348</v>
      </c>
      <c r="C46" s="158" t="s">
        <v>49</v>
      </c>
      <c r="D46" s="22">
        <v>80</v>
      </c>
      <c r="E46">
        <v>126</v>
      </c>
      <c r="F46">
        <v>98</v>
      </c>
      <c r="G46">
        <v>100</v>
      </c>
      <c r="H46">
        <v>41</v>
      </c>
      <c r="I46" s="33">
        <v>49</v>
      </c>
    </row>
    <row r="47" spans="1:9" ht="15.75" thickBot="1">
      <c r="A47" s="423"/>
      <c r="B47" s="41" t="s">
        <v>349</v>
      </c>
      <c r="C47" s="186" t="s">
        <v>82</v>
      </c>
      <c r="D47" s="90">
        <v>103</v>
      </c>
      <c r="E47" s="91">
        <v>167</v>
      </c>
      <c r="F47" s="91">
        <v>31</v>
      </c>
      <c r="G47" s="91">
        <v>2</v>
      </c>
      <c r="H47" s="91">
        <v>136</v>
      </c>
      <c r="I47" s="92">
        <v>61</v>
      </c>
    </row>
    <row r="48" spans="1:9">
      <c r="A48" s="423"/>
      <c r="B48" s="161" t="s">
        <v>447</v>
      </c>
      <c r="C48" s="89" t="s">
        <v>93</v>
      </c>
      <c r="D48" s="62">
        <v>99</v>
      </c>
      <c r="E48" s="19">
        <v>100</v>
      </c>
      <c r="F48" s="19">
        <v>56</v>
      </c>
      <c r="G48" s="59">
        <v>153</v>
      </c>
      <c r="H48" s="164">
        <v>151</v>
      </c>
      <c r="I48" s="88">
        <v>74</v>
      </c>
    </row>
    <row r="49" spans="1:9">
      <c r="A49" s="423"/>
      <c r="B49" s="161" t="s">
        <v>268</v>
      </c>
      <c r="C49" s="106" t="s">
        <v>15</v>
      </c>
      <c r="D49" s="54">
        <v>6</v>
      </c>
      <c r="E49" s="17">
        <v>116</v>
      </c>
      <c r="F49" s="18">
        <v>4</v>
      </c>
      <c r="G49" s="55">
        <v>17</v>
      </c>
      <c r="H49" s="56">
        <v>12</v>
      </c>
      <c r="I49" s="57">
        <v>1</v>
      </c>
    </row>
    <row r="50" spans="1:9">
      <c r="A50" s="423"/>
      <c r="B50" s="176" t="s">
        <v>273</v>
      </c>
      <c r="C50" s="89" t="s">
        <v>72</v>
      </c>
      <c r="D50" s="62">
        <v>53</v>
      </c>
      <c r="E50" s="63">
        <v>71</v>
      </c>
      <c r="F50" s="64">
        <v>172</v>
      </c>
      <c r="G50" s="65">
        <v>33</v>
      </c>
      <c r="H50" s="65">
        <v>38</v>
      </c>
      <c r="I50" s="66">
        <v>45</v>
      </c>
    </row>
    <row r="51" spans="1:9">
      <c r="A51" s="423"/>
      <c r="B51" s="161" t="s">
        <v>272</v>
      </c>
      <c r="C51" s="106" t="s">
        <v>69</v>
      </c>
      <c r="D51" s="22">
        <v>74</v>
      </c>
      <c r="E51">
        <v>67</v>
      </c>
      <c r="F51">
        <v>1</v>
      </c>
      <c r="G51" s="16">
        <v>78</v>
      </c>
      <c r="H51" s="16">
        <v>44</v>
      </c>
      <c r="I51" s="57">
        <v>4</v>
      </c>
    </row>
    <row r="52" spans="1:9">
      <c r="A52" s="423"/>
      <c r="B52" s="161" t="s">
        <v>274</v>
      </c>
      <c r="C52" s="89" t="s">
        <v>18</v>
      </c>
      <c r="D52" s="50">
        <v>8</v>
      </c>
      <c r="E52" s="17">
        <v>174</v>
      </c>
      <c r="F52" s="20">
        <v>38</v>
      </c>
      <c r="G52" s="55">
        <v>19</v>
      </c>
      <c r="H52" s="73">
        <v>74</v>
      </c>
      <c r="I52" s="66">
        <v>25</v>
      </c>
    </row>
    <row r="53" spans="1:9">
      <c r="A53" s="423"/>
      <c r="B53" s="161" t="s">
        <v>277</v>
      </c>
      <c r="C53" s="106" t="s">
        <v>68</v>
      </c>
      <c r="D53" s="74">
        <v>63</v>
      </c>
      <c r="E53" s="19">
        <v>56</v>
      </c>
      <c r="F53" s="20">
        <v>27</v>
      </c>
      <c r="G53" s="69">
        <v>26</v>
      </c>
      <c r="H53" s="56">
        <v>11</v>
      </c>
      <c r="I53" s="75">
        <v>8</v>
      </c>
    </row>
    <row r="54" spans="1:9">
      <c r="A54" s="423"/>
      <c r="B54" s="161" t="s">
        <v>278</v>
      </c>
      <c r="C54" s="89" t="s">
        <v>90</v>
      </c>
      <c r="D54" s="74">
        <v>79</v>
      </c>
      <c r="E54" s="19">
        <v>74</v>
      </c>
      <c r="F54" s="19">
        <v>56</v>
      </c>
      <c r="G54" s="59">
        <v>155</v>
      </c>
      <c r="H54" s="59">
        <v>134</v>
      </c>
      <c r="I54" s="77">
        <v>89</v>
      </c>
    </row>
    <row r="55" spans="1:9">
      <c r="A55" s="423"/>
      <c r="B55" s="161" t="s">
        <v>279</v>
      </c>
      <c r="C55" s="89" t="s">
        <v>47</v>
      </c>
      <c r="D55" s="78">
        <v>44</v>
      </c>
      <c r="E55" s="20">
        <v>27</v>
      </c>
      <c r="F55" s="18">
        <v>11</v>
      </c>
      <c r="G55" s="59">
        <v>138</v>
      </c>
      <c r="H55" s="59">
        <v>102</v>
      </c>
      <c r="I55" s="79">
        <v>15</v>
      </c>
    </row>
    <row r="56" spans="1:9">
      <c r="A56" s="423"/>
      <c r="B56" s="161" t="s">
        <v>280</v>
      </c>
      <c r="C56" s="89" t="s">
        <v>158</v>
      </c>
      <c r="D56" s="61">
        <v>147</v>
      </c>
      <c r="E56" s="17">
        <v>109</v>
      </c>
      <c r="F56" s="20">
        <v>48</v>
      </c>
      <c r="G56" s="69">
        <v>30</v>
      </c>
      <c r="H56" s="69">
        <v>43</v>
      </c>
      <c r="I56" s="80">
        <v>24</v>
      </c>
    </row>
    <row r="57" spans="1:9">
      <c r="A57" s="423"/>
      <c r="B57" s="161" t="s">
        <v>281</v>
      </c>
      <c r="C57" s="89" t="s">
        <v>18</v>
      </c>
      <c r="D57" s="50">
        <v>7</v>
      </c>
      <c r="E57" s="17">
        <v>146</v>
      </c>
      <c r="F57" s="20">
        <v>23</v>
      </c>
      <c r="G57" s="68">
        <v>61</v>
      </c>
      <c r="H57" s="69">
        <v>49</v>
      </c>
      <c r="I57" s="79">
        <v>15</v>
      </c>
    </row>
    <row r="58" spans="1:9">
      <c r="A58" s="423"/>
      <c r="B58" s="161" t="s">
        <v>282</v>
      </c>
      <c r="C58" s="89" t="s">
        <v>58</v>
      </c>
      <c r="D58" s="22">
        <v>85</v>
      </c>
      <c r="E58">
        <v>89</v>
      </c>
      <c r="F58">
        <v>67</v>
      </c>
      <c r="G58" s="16">
        <v>97</v>
      </c>
      <c r="H58" s="16">
        <v>43</v>
      </c>
      <c r="I58" s="82">
        <v>31</v>
      </c>
    </row>
    <row r="59" spans="1:9">
      <c r="A59" s="423"/>
      <c r="B59" s="161" t="s">
        <v>284</v>
      </c>
      <c r="C59" s="110" t="s">
        <v>44</v>
      </c>
      <c r="D59" s="22">
        <v>27</v>
      </c>
      <c r="E59">
        <v>96</v>
      </c>
      <c r="F59">
        <v>9</v>
      </c>
      <c r="G59" s="16">
        <v>21</v>
      </c>
      <c r="H59" s="16">
        <v>38</v>
      </c>
      <c r="I59" s="82">
        <v>9</v>
      </c>
    </row>
    <row r="60" spans="1:9">
      <c r="A60" s="423"/>
      <c r="B60" s="161" t="s">
        <v>283</v>
      </c>
      <c r="C60" s="110" t="s">
        <v>110</v>
      </c>
      <c r="D60" s="22">
        <v>104</v>
      </c>
      <c r="E60">
        <v>21</v>
      </c>
      <c r="F60">
        <v>18</v>
      </c>
      <c r="G60" s="16">
        <v>137</v>
      </c>
      <c r="H60" s="16">
        <v>74</v>
      </c>
      <c r="I60" s="82">
        <v>55</v>
      </c>
    </row>
    <row r="61" spans="1:9">
      <c r="A61" s="423"/>
      <c r="B61" s="161" t="s">
        <v>288</v>
      </c>
      <c r="C61" s="111" t="s">
        <v>13</v>
      </c>
      <c r="D61" s="22">
        <v>11</v>
      </c>
      <c r="E61">
        <v>135</v>
      </c>
      <c r="F61">
        <v>105</v>
      </c>
      <c r="G61">
        <v>98</v>
      </c>
      <c r="H61">
        <v>159</v>
      </c>
      <c r="I61" s="33">
        <v>94</v>
      </c>
    </row>
    <row r="62" spans="1:9">
      <c r="A62" s="423"/>
      <c r="B62" s="161" t="s">
        <v>286</v>
      </c>
      <c r="C62" s="89" t="s">
        <v>154</v>
      </c>
      <c r="D62" s="22">
        <v>139</v>
      </c>
      <c r="E62">
        <v>14</v>
      </c>
      <c r="F62">
        <v>82</v>
      </c>
      <c r="G62">
        <v>115</v>
      </c>
      <c r="H62">
        <v>47</v>
      </c>
      <c r="I62" s="33">
        <v>41</v>
      </c>
    </row>
    <row r="63" spans="1:9">
      <c r="A63" s="423"/>
      <c r="B63" s="161" t="s">
        <v>289</v>
      </c>
      <c r="C63" s="89" t="s">
        <v>101</v>
      </c>
      <c r="D63" s="22">
        <v>95</v>
      </c>
      <c r="E63">
        <v>85</v>
      </c>
      <c r="F63">
        <v>82</v>
      </c>
      <c r="G63">
        <v>144</v>
      </c>
      <c r="H63">
        <v>89</v>
      </c>
      <c r="I63" s="33">
        <v>69</v>
      </c>
    </row>
    <row r="64" spans="1:9">
      <c r="A64" s="423"/>
      <c r="B64" s="161" t="s">
        <v>291</v>
      </c>
      <c r="C64" s="111" t="s">
        <v>145</v>
      </c>
      <c r="D64" s="22">
        <v>142</v>
      </c>
      <c r="E64">
        <v>11</v>
      </c>
      <c r="F64">
        <v>27</v>
      </c>
      <c r="G64">
        <v>134</v>
      </c>
      <c r="H64">
        <v>180</v>
      </c>
      <c r="I64" s="82">
        <v>94</v>
      </c>
    </row>
    <row r="65" spans="1:9">
      <c r="A65" s="423"/>
      <c r="B65" s="294" t="s">
        <v>293</v>
      </c>
      <c r="C65" s="89" t="s">
        <v>23</v>
      </c>
      <c r="D65" s="22">
        <v>18</v>
      </c>
      <c r="E65">
        <v>165</v>
      </c>
      <c r="F65">
        <v>50</v>
      </c>
      <c r="G65">
        <v>155</v>
      </c>
      <c r="H65">
        <v>182</v>
      </c>
      <c r="I65" s="33">
        <v>119</v>
      </c>
    </row>
    <row r="66" spans="1:9">
      <c r="A66" s="423"/>
      <c r="B66" s="176" t="s">
        <v>294</v>
      </c>
      <c r="C66" s="106" t="s">
        <v>124</v>
      </c>
      <c r="D66" s="22">
        <v>122</v>
      </c>
      <c r="E66">
        <v>7</v>
      </c>
      <c r="F66">
        <v>9</v>
      </c>
      <c r="G66">
        <v>93</v>
      </c>
      <c r="H66">
        <v>118</v>
      </c>
      <c r="I66" s="33">
        <v>18</v>
      </c>
    </row>
    <row r="67" spans="1:9">
      <c r="A67" s="423"/>
      <c r="B67" s="176" t="s">
        <v>295</v>
      </c>
      <c r="C67" s="89" t="s">
        <v>296</v>
      </c>
      <c r="D67" s="22">
        <v>142</v>
      </c>
      <c r="E67">
        <v>3</v>
      </c>
      <c r="F67">
        <v>2</v>
      </c>
      <c r="G67">
        <v>94</v>
      </c>
      <c r="H67">
        <v>110</v>
      </c>
      <c r="I67" s="33">
        <v>10</v>
      </c>
    </row>
    <row r="68" spans="1:9" ht="15.75" thickBot="1">
      <c r="A68" s="424"/>
      <c r="B68" s="41" t="s">
        <v>297</v>
      </c>
      <c r="C68" s="140" t="s">
        <v>65</v>
      </c>
      <c r="D68" s="22">
        <v>58</v>
      </c>
      <c r="E68">
        <v>131</v>
      </c>
      <c r="F68">
        <v>94</v>
      </c>
      <c r="G68">
        <v>174</v>
      </c>
      <c r="H68">
        <v>130</v>
      </c>
      <c r="I68" s="33">
        <v>150</v>
      </c>
    </row>
    <row r="69" spans="1:9">
      <c r="A69" s="425">
        <v>2022</v>
      </c>
      <c r="B69" s="286" t="s">
        <v>338</v>
      </c>
      <c r="C69" s="181" t="s">
        <v>287</v>
      </c>
      <c r="D69" s="31">
        <v>111</v>
      </c>
      <c r="E69" s="29">
        <v>156</v>
      </c>
      <c r="F69" s="29">
        <v>7</v>
      </c>
      <c r="G69" s="29">
        <v>76</v>
      </c>
      <c r="H69" s="29">
        <v>11</v>
      </c>
      <c r="I69" s="30">
        <v>9</v>
      </c>
    </row>
    <row r="70" spans="1:9">
      <c r="A70" s="426"/>
      <c r="B70" s="1" t="s">
        <v>339</v>
      </c>
      <c r="C70" s="89" t="s">
        <v>129</v>
      </c>
      <c r="D70" s="22">
        <v>52</v>
      </c>
      <c r="E70">
        <v>80</v>
      </c>
      <c r="F70">
        <v>21</v>
      </c>
      <c r="G70">
        <v>47</v>
      </c>
      <c r="H70">
        <v>205</v>
      </c>
      <c r="I70" s="33">
        <v>91</v>
      </c>
    </row>
    <row r="71" spans="1:9">
      <c r="A71" s="426"/>
      <c r="B71" s="1" t="s">
        <v>340</v>
      </c>
      <c r="C71" s="89" t="s">
        <v>389</v>
      </c>
      <c r="D71" s="22">
        <v>45</v>
      </c>
      <c r="E71">
        <v>76</v>
      </c>
      <c r="F71">
        <v>36</v>
      </c>
      <c r="G71">
        <v>222</v>
      </c>
      <c r="H71">
        <v>144</v>
      </c>
      <c r="I71" s="33">
        <v>125</v>
      </c>
    </row>
    <row r="72" spans="1:9">
      <c r="A72" s="426"/>
      <c r="B72" s="1" t="s">
        <v>341</v>
      </c>
      <c r="C72" s="89" t="s">
        <v>23</v>
      </c>
      <c r="D72" s="22">
        <v>5</v>
      </c>
      <c r="E72">
        <v>169</v>
      </c>
      <c r="F72">
        <v>33</v>
      </c>
      <c r="G72">
        <v>16</v>
      </c>
      <c r="H72">
        <v>208</v>
      </c>
      <c r="I72" s="33">
        <v>23</v>
      </c>
    </row>
    <row r="73" spans="1:9">
      <c r="A73" s="426"/>
      <c r="B73" s="1" t="s">
        <v>342</v>
      </c>
      <c r="C73" s="89" t="s">
        <v>139</v>
      </c>
      <c r="D73" s="22">
        <v>103</v>
      </c>
      <c r="E73">
        <v>102</v>
      </c>
      <c r="F73">
        <v>6</v>
      </c>
      <c r="G73">
        <v>44</v>
      </c>
      <c r="H73">
        <v>157</v>
      </c>
      <c r="I73" s="33">
        <v>37</v>
      </c>
    </row>
    <row r="74" spans="1:9">
      <c r="A74" s="426"/>
      <c r="B74" s="1" t="s">
        <v>365</v>
      </c>
      <c r="C74" s="89" t="s">
        <v>35</v>
      </c>
      <c r="D74" s="22">
        <v>34</v>
      </c>
      <c r="E74">
        <v>123</v>
      </c>
      <c r="F74">
        <v>38</v>
      </c>
      <c r="G74">
        <v>71</v>
      </c>
      <c r="H74">
        <v>60</v>
      </c>
      <c r="I74" s="33">
        <v>33</v>
      </c>
    </row>
    <row r="75" spans="1:9">
      <c r="A75" s="426"/>
      <c r="B75" s="1" t="s">
        <v>343</v>
      </c>
      <c r="C75" s="89" t="s">
        <v>382</v>
      </c>
      <c r="D75" s="22">
        <v>44</v>
      </c>
      <c r="E75">
        <v>137</v>
      </c>
      <c r="F75">
        <v>55</v>
      </c>
      <c r="G75">
        <v>41</v>
      </c>
      <c r="H75">
        <v>154</v>
      </c>
      <c r="I75" s="33">
        <v>50</v>
      </c>
    </row>
    <row r="76" spans="1:9">
      <c r="A76" s="426"/>
      <c r="B76" s="1" t="s">
        <v>344</v>
      </c>
      <c r="C76" s="89" t="s">
        <v>110</v>
      </c>
      <c r="D76" s="22">
        <v>89</v>
      </c>
      <c r="E76">
        <v>151</v>
      </c>
      <c r="F76">
        <v>129</v>
      </c>
      <c r="G76">
        <v>169</v>
      </c>
      <c r="H76">
        <v>141</v>
      </c>
      <c r="I76" s="33">
        <v>172</v>
      </c>
    </row>
    <row r="77" spans="1:9">
      <c r="A77" s="426"/>
      <c r="B77" s="1" t="s">
        <v>346</v>
      </c>
      <c r="C77" s="158" t="s">
        <v>35</v>
      </c>
      <c r="D77" s="22">
        <v>23</v>
      </c>
      <c r="E77">
        <v>120</v>
      </c>
      <c r="F77">
        <v>34</v>
      </c>
      <c r="G77">
        <v>38</v>
      </c>
      <c r="H77">
        <v>24</v>
      </c>
      <c r="I77" s="33">
        <v>9</v>
      </c>
    </row>
    <row r="78" spans="1:9">
      <c r="A78" s="426"/>
      <c r="B78" s="1" t="s">
        <v>347</v>
      </c>
      <c r="C78" s="89" t="s">
        <v>287</v>
      </c>
      <c r="D78" s="22">
        <v>110</v>
      </c>
      <c r="E78">
        <v>141</v>
      </c>
      <c r="F78">
        <v>20</v>
      </c>
      <c r="G78">
        <v>23</v>
      </c>
      <c r="H78">
        <v>12</v>
      </c>
      <c r="I78" s="33">
        <v>5</v>
      </c>
    </row>
    <row r="79" spans="1:9">
      <c r="A79" s="426"/>
      <c r="B79" s="1" t="s">
        <v>348</v>
      </c>
      <c r="C79" s="158" t="s">
        <v>27</v>
      </c>
      <c r="D79" s="22">
        <v>25</v>
      </c>
      <c r="E79">
        <v>93</v>
      </c>
      <c r="F79">
        <v>18</v>
      </c>
      <c r="G79">
        <v>72</v>
      </c>
      <c r="H79">
        <v>57</v>
      </c>
      <c r="I79" s="33">
        <v>19</v>
      </c>
    </row>
    <row r="80" spans="1:9">
      <c r="A80" s="426"/>
      <c r="B80" s="1" t="s">
        <v>349</v>
      </c>
      <c r="C80" s="89" t="s">
        <v>148</v>
      </c>
      <c r="D80" s="22">
        <v>187</v>
      </c>
      <c r="E80">
        <v>45</v>
      </c>
      <c r="F80">
        <v>67</v>
      </c>
      <c r="G80">
        <v>178</v>
      </c>
      <c r="H80">
        <v>157</v>
      </c>
      <c r="I80" s="33">
        <v>175</v>
      </c>
    </row>
    <row r="81" spans="1:9" ht="15.75" thickBot="1">
      <c r="A81" s="426"/>
      <c r="B81" s="138" t="s">
        <v>447</v>
      </c>
      <c r="C81" s="140" t="s">
        <v>112</v>
      </c>
      <c r="D81" s="90">
        <v>154</v>
      </c>
      <c r="E81" s="91">
        <v>45</v>
      </c>
      <c r="F81" s="91">
        <v>98</v>
      </c>
      <c r="G81" s="91">
        <v>130</v>
      </c>
      <c r="H81" s="91">
        <v>84</v>
      </c>
      <c r="I81" s="92">
        <v>75</v>
      </c>
    </row>
    <row r="82" spans="1:9">
      <c r="A82" s="426"/>
      <c r="B82" s="1" t="s">
        <v>268</v>
      </c>
      <c r="C82" s="139" t="s">
        <v>35</v>
      </c>
      <c r="D82" s="78">
        <v>24</v>
      </c>
      <c r="E82" s="20">
        <v>34</v>
      </c>
      <c r="F82" s="20">
        <v>30</v>
      </c>
      <c r="G82" s="20">
        <v>33</v>
      </c>
      <c r="H82" s="18">
        <v>15</v>
      </c>
      <c r="I82" s="60">
        <v>8</v>
      </c>
    </row>
    <row r="83" spans="1:9">
      <c r="A83" s="426"/>
      <c r="B83" s="1" t="s">
        <v>270</v>
      </c>
      <c r="C83" s="163" t="s">
        <v>271</v>
      </c>
      <c r="D83" s="51"/>
      <c r="E83" s="52"/>
      <c r="F83" s="52"/>
      <c r="G83" s="52"/>
      <c r="H83" s="52"/>
      <c r="I83" s="53"/>
    </row>
    <row r="84" spans="1:9">
      <c r="A84" s="426"/>
      <c r="B84" s="1" t="s">
        <v>273</v>
      </c>
      <c r="C84" s="89" t="s">
        <v>76</v>
      </c>
      <c r="D84" s="22">
        <v>26</v>
      </c>
      <c r="E84">
        <v>138</v>
      </c>
      <c r="F84">
        <v>55</v>
      </c>
      <c r="G84">
        <v>87</v>
      </c>
      <c r="H84">
        <v>180</v>
      </c>
      <c r="I84" s="33">
        <v>72</v>
      </c>
    </row>
    <row r="85" spans="1:9">
      <c r="A85" s="426"/>
      <c r="B85" s="1" t="s">
        <v>272</v>
      </c>
      <c r="C85" s="106" t="s">
        <v>15</v>
      </c>
      <c r="D85" s="58">
        <v>10.45</v>
      </c>
      <c r="E85" s="55">
        <v>12</v>
      </c>
      <c r="F85" s="59">
        <v>118.8</v>
      </c>
      <c r="H85" s="17">
        <v>129</v>
      </c>
      <c r="I85" s="60">
        <v>6</v>
      </c>
    </row>
    <row r="86" spans="1:9">
      <c r="A86" s="426"/>
      <c r="B86" s="1" t="s">
        <v>274</v>
      </c>
      <c r="C86" s="106" t="s">
        <v>66</v>
      </c>
      <c r="D86" s="67">
        <v>59.5</v>
      </c>
      <c r="E86" s="68">
        <v>81</v>
      </c>
      <c r="F86" s="69">
        <v>35</v>
      </c>
      <c r="G86" s="59">
        <v>106</v>
      </c>
      <c r="H86" s="68">
        <v>59</v>
      </c>
      <c r="I86" s="70">
        <v>24</v>
      </c>
    </row>
    <row r="87" spans="1:9">
      <c r="A87" s="426"/>
      <c r="B87" s="1" t="s">
        <v>275</v>
      </c>
      <c r="C87" s="89" t="s">
        <v>92</v>
      </c>
      <c r="D87" s="71">
        <v>103.5</v>
      </c>
      <c r="E87" s="68">
        <v>67</v>
      </c>
      <c r="F87" s="59">
        <v>141</v>
      </c>
      <c r="G87" s="59">
        <v>125</v>
      </c>
      <c r="H87" s="59">
        <v>117.5</v>
      </c>
      <c r="I87" s="72">
        <v>94</v>
      </c>
    </row>
    <row r="88" spans="1:9">
      <c r="A88" s="426"/>
      <c r="B88" s="1" t="s">
        <v>276</v>
      </c>
      <c r="C88" s="89" t="s">
        <v>42</v>
      </c>
      <c r="D88" s="58">
        <v>14</v>
      </c>
      <c r="E88" s="59">
        <v>165</v>
      </c>
      <c r="F88" s="55">
        <v>5</v>
      </c>
      <c r="G88" s="69">
        <v>24</v>
      </c>
      <c r="H88" s="68">
        <v>82</v>
      </c>
      <c r="I88" s="60">
        <v>4</v>
      </c>
    </row>
    <row r="89" spans="1:9">
      <c r="A89" s="426"/>
      <c r="B89" s="1" t="s">
        <v>278</v>
      </c>
      <c r="C89" s="106" t="s">
        <v>27</v>
      </c>
      <c r="D89" s="76">
        <v>25</v>
      </c>
      <c r="E89" s="59">
        <v>107</v>
      </c>
      <c r="F89" s="55">
        <v>12</v>
      </c>
      <c r="G89" s="68">
        <v>69</v>
      </c>
      <c r="H89" s="69">
        <v>25</v>
      </c>
      <c r="I89" s="60">
        <v>13</v>
      </c>
    </row>
    <row r="90" spans="1:9">
      <c r="A90" s="426"/>
      <c r="B90" s="1" t="s">
        <v>279</v>
      </c>
      <c r="C90" s="89" t="s">
        <v>115</v>
      </c>
      <c r="D90" s="71">
        <v>134.5</v>
      </c>
      <c r="E90" s="55">
        <v>15</v>
      </c>
      <c r="F90" s="59">
        <v>140</v>
      </c>
      <c r="G90" s="69">
        <v>25</v>
      </c>
      <c r="H90" s="55">
        <v>16</v>
      </c>
      <c r="I90" s="70">
        <v>26</v>
      </c>
    </row>
    <row r="91" spans="1:9">
      <c r="A91" s="426"/>
      <c r="B91" s="1" t="s">
        <v>280</v>
      </c>
      <c r="C91" s="111" t="s">
        <v>6</v>
      </c>
      <c r="D91" s="58">
        <v>3</v>
      </c>
      <c r="E91" s="68">
        <v>100</v>
      </c>
      <c r="F91" s="16">
        <v>31</v>
      </c>
      <c r="G91" s="16">
        <v>26</v>
      </c>
      <c r="H91" s="16">
        <v>52.5</v>
      </c>
      <c r="I91" s="60">
        <v>3</v>
      </c>
    </row>
    <row r="92" spans="1:9">
      <c r="A92" s="426"/>
      <c r="B92" s="1" t="s">
        <v>281</v>
      </c>
      <c r="C92" s="89" t="s">
        <v>72</v>
      </c>
      <c r="D92" s="71">
        <v>108</v>
      </c>
      <c r="E92" s="69">
        <v>40</v>
      </c>
      <c r="F92" s="16">
        <v>25</v>
      </c>
      <c r="G92" s="16">
        <v>18</v>
      </c>
      <c r="H92" s="16">
        <v>22</v>
      </c>
      <c r="I92" s="60">
        <v>2</v>
      </c>
    </row>
    <row r="93" spans="1:9">
      <c r="A93" s="426"/>
      <c r="B93" s="1" t="s">
        <v>282</v>
      </c>
      <c r="C93" s="106" t="s">
        <v>73</v>
      </c>
      <c r="D93" s="81">
        <v>34.5</v>
      </c>
      <c r="E93">
        <v>58</v>
      </c>
      <c r="F93">
        <v>12</v>
      </c>
      <c r="G93">
        <v>29</v>
      </c>
      <c r="H93">
        <v>62</v>
      </c>
      <c r="I93" s="60">
        <v>9</v>
      </c>
    </row>
    <row r="94" spans="1:9">
      <c r="A94" s="426"/>
      <c r="B94" s="1" t="s">
        <v>283</v>
      </c>
      <c r="C94" s="89" t="s">
        <v>126</v>
      </c>
      <c r="D94" s="81">
        <v>118.5</v>
      </c>
      <c r="E94" s="16">
        <v>94</v>
      </c>
      <c r="F94" s="16">
        <v>132</v>
      </c>
      <c r="G94" s="16">
        <v>87</v>
      </c>
      <c r="H94" s="16">
        <v>82</v>
      </c>
      <c r="I94" s="72">
        <v>77</v>
      </c>
    </row>
    <row r="95" spans="1:9">
      <c r="A95" s="426"/>
      <c r="B95" s="1" t="s">
        <v>285</v>
      </c>
      <c r="C95" s="106" t="s">
        <v>73</v>
      </c>
      <c r="D95" s="81">
        <v>46</v>
      </c>
      <c r="E95" s="16">
        <v>57</v>
      </c>
      <c r="F95" s="16">
        <v>8</v>
      </c>
      <c r="G95" s="16">
        <v>31</v>
      </c>
      <c r="H95" s="16">
        <v>31</v>
      </c>
      <c r="I95" s="60">
        <v>4</v>
      </c>
    </row>
    <row r="96" spans="1:9">
      <c r="A96" s="426"/>
      <c r="B96" s="1" t="s">
        <v>286</v>
      </c>
      <c r="C96" s="89" t="s">
        <v>287</v>
      </c>
      <c r="D96" s="81">
        <v>104.5</v>
      </c>
      <c r="E96" s="16">
        <v>142</v>
      </c>
      <c r="F96" s="16">
        <v>5</v>
      </c>
      <c r="G96" s="16">
        <v>32</v>
      </c>
      <c r="H96" s="16">
        <v>16</v>
      </c>
      <c r="I96" s="60">
        <v>9</v>
      </c>
    </row>
    <row r="97" spans="1:9">
      <c r="A97" s="426"/>
      <c r="B97" s="1" t="s">
        <v>289</v>
      </c>
      <c r="C97" s="106" t="s">
        <v>69</v>
      </c>
      <c r="D97" s="81">
        <v>53.5</v>
      </c>
      <c r="E97">
        <v>144</v>
      </c>
      <c r="F97">
        <v>17</v>
      </c>
      <c r="G97">
        <v>66</v>
      </c>
      <c r="H97">
        <v>148</v>
      </c>
      <c r="I97" s="70">
        <v>26</v>
      </c>
    </row>
    <row r="98" spans="1:9">
      <c r="A98" s="426"/>
      <c r="B98" s="1" t="s">
        <v>284</v>
      </c>
      <c r="C98" s="89" t="s">
        <v>69</v>
      </c>
      <c r="D98" s="83">
        <v>51</v>
      </c>
      <c r="E98" s="177">
        <v>135.5</v>
      </c>
      <c r="F98" s="177">
        <v>12</v>
      </c>
      <c r="G98" s="177">
        <v>43</v>
      </c>
      <c r="H98" s="177">
        <v>142.5</v>
      </c>
      <c r="I98" s="60">
        <v>14</v>
      </c>
    </row>
    <row r="99" spans="1:9">
      <c r="A99" s="426"/>
      <c r="B99" s="255" t="s">
        <v>290</v>
      </c>
      <c r="C99" s="89" t="s">
        <v>233</v>
      </c>
      <c r="D99" s="81">
        <v>13.5</v>
      </c>
      <c r="E99" s="16">
        <v>173</v>
      </c>
      <c r="F99" s="16">
        <v>1</v>
      </c>
      <c r="G99" s="16">
        <v>68</v>
      </c>
      <c r="H99" s="16">
        <v>120</v>
      </c>
      <c r="I99" s="60">
        <v>8</v>
      </c>
    </row>
    <row r="100" spans="1:9" ht="15.75" thickBot="1">
      <c r="A100" s="427"/>
      <c r="B100" s="319" t="s">
        <v>292</v>
      </c>
      <c r="C100" s="140" t="s">
        <v>40</v>
      </c>
      <c r="D100" s="85">
        <v>48</v>
      </c>
      <c r="E100" s="86">
        <v>96</v>
      </c>
      <c r="F100" s="86">
        <v>55</v>
      </c>
      <c r="G100" s="86">
        <v>26</v>
      </c>
      <c r="H100" s="86">
        <v>12</v>
      </c>
      <c r="I100" s="87">
        <v>8</v>
      </c>
    </row>
    <row r="101" spans="1:9" ht="15.75" thickBot="1">
      <c r="A101" s="161"/>
      <c r="C101" s="93" t="s">
        <v>298</v>
      </c>
      <c r="D101" s="98">
        <f>AVERAGE(D3:D100)</f>
        <v>70.919135802469128</v>
      </c>
      <c r="E101" s="99">
        <f t="shared" ref="E101:I101" si="0">AVERAGE(E3:E100)</f>
        <v>88.771604938271608</v>
      </c>
      <c r="F101" s="99">
        <f t="shared" si="0"/>
        <v>52.602469135802473</v>
      </c>
      <c r="G101" s="99">
        <f t="shared" si="0"/>
        <v>73.45</v>
      </c>
      <c r="H101" s="99">
        <f t="shared" si="0"/>
        <v>85.03086419753086</v>
      </c>
      <c r="I101" s="100">
        <f t="shared" si="0"/>
        <v>44.320987654320987</v>
      </c>
    </row>
    <row r="102" spans="1:9" ht="15.75" thickBot="1">
      <c r="A102" s="161"/>
      <c r="C102" s="93" t="s">
        <v>1</v>
      </c>
      <c r="D102" s="361">
        <f t="shared" ref="D102:I102" si="1">_xlfn.RANK.AVG(D$101,$D$101:$I$101,1)</f>
        <v>3</v>
      </c>
      <c r="E102" s="165">
        <f t="shared" si="1"/>
        <v>6</v>
      </c>
      <c r="F102" s="360">
        <f t="shared" si="1"/>
        <v>2</v>
      </c>
      <c r="G102" s="166">
        <f t="shared" si="1"/>
        <v>4</v>
      </c>
      <c r="H102" s="165">
        <f t="shared" si="1"/>
        <v>5</v>
      </c>
      <c r="I102" s="87">
        <f t="shared" si="1"/>
        <v>1</v>
      </c>
    </row>
    <row r="103" spans="1:9" ht="15.75" thickBot="1">
      <c r="C103" s="93" t="s">
        <v>299</v>
      </c>
      <c r="D103" s="95">
        <f>$I$101/D101</f>
        <v>0.62495103969918797</v>
      </c>
      <c r="E103" s="96">
        <f t="shared" ref="E103:I103" si="2">$I$101/E101</f>
        <v>0.49926986996731798</v>
      </c>
      <c r="F103" s="96">
        <f t="shared" si="2"/>
        <v>0.84256477656778062</v>
      </c>
      <c r="G103" s="96">
        <f t="shared" si="2"/>
        <v>0.60341712259116387</v>
      </c>
      <c r="H103" s="96">
        <f>$I$101/H101</f>
        <v>0.52123411978221412</v>
      </c>
      <c r="I103" s="97">
        <f>$I$101/I101</f>
        <v>1</v>
      </c>
    </row>
  </sheetData>
  <mergeCells count="4">
    <mergeCell ref="A35:A68"/>
    <mergeCell ref="A69:A100"/>
    <mergeCell ref="A3:A34"/>
    <mergeCell ref="B1:I1"/>
  </mergeCells>
  <conditionalFormatting sqref="D2:I101">
    <cfRule type="cellIs" dxfId="483" priority="130" operator="between">
      <formula>101</formula>
      <formula>250</formula>
    </cfRule>
    <cfRule type="cellIs" dxfId="482" priority="131" operator="between">
      <formula>51</formula>
      <formula>100.5</formula>
    </cfRule>
    <cfRule type="cellIs" dxfId="481" priority="132" operator="between">
      <formula>21</formula>
      <formula>50.5</formula>
    </cfRule>
    <cfRule type="cellIs" dxfId="480" priority="133" operator="lessThanOrEqual">
      <formula>20.5</formula>
    </cfRule>
  </conditionalFormatting>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CB6C4-4F0B-4060-9AC9-6167D7885865}">
  <sheetPr codeName="Sheet3">
    <tabColor rgb="FF00B0F0"/>
  </sheetPr>
  <dimension ref="A1:AC121"/>
  <sheetViews>
    <sheetView zoomScale="80" zoomScaleNormal="80" workbookViewId="0">
      <selection activeCell="U1" sqref="U1"/>
    </sheetView>
  </sheetViews>
  <sheetFormatPr defaultRowHeight="15"/>
  <cols>
    <col min="2" max="2" width="19.7109375" bestFit="1" customWidth="1"/>
    <col min="3" max="3" width="17.42578125" customWidth="1"/>
    <col min="4" max="4" width="14.85546875" customWidth="1"/>
    <col min="5" max="6" width="14.7109375" customWidth="1"/>
    <col min="7" max="7" width="14.85546875" bestFit="1" customWidth="1"/>
    <col min="8" max="8" width="7.85546875" bestFit="1" customWidth="1"/>
    <col min="9" max="9" width="7.140625" bestFit="1" customWidth="1"/>
    <col min="10" max="10" width="9.5703125" customWidth="1"/>
    <col min="11" max="11" width="15.5703125" bestFit="1" customWidth="1"/>
    <col min="12" max="12" width="9.28515625" customWidth="1"/>
    <col min="15" max="15" width="17.42578125" customWidth="1"/>
    <col min="16" max="16" width="20.42578125" customWidth="1"/>
    <col min="17" max="17" width="15.85546875" customWidth="1"/>
    <col min="18" max="18" width="13.5703125" customWidth="1"/>
    <col min="19" max="19" width="20" bestFit="1" customWidth="1"/>
    <col min="20" max="20" width="13.85546875" customWidth="1"/>
    <col min="21" max="21" width="11.7109375" customWidth="1"/>
    <col min="22" max="22" width="15.7109375" customWidth="1"/>
    <col min="23" max="23" width="12.28515625" customWidth="1"/>
    <col min="24" max="24" width="9.42578125" customWidth="1"/>
    <col min="25" max="25" width="9.85546875" customWidth="1"/>
    <col min="26" max="26" width="18" customWidth="1"/>
    <col min="27" max="27" width="17.140625" customWidth="1"/>
    <col min="28" max="28" width="16.42578125" customWidth="1"/>
    <col min="29" max="29" width="18.85546875" customWidth="1"/>
  </cols>
  <sheetData>
    <row r="1" spans="1:29" ht="15.75" thickBot="1">
      <c r="A1" s="119"/>
      <c r="B1" s="415" t="s">
        <v>300</v>
      </c>
      <c r="C1" s="416"/>
      <c r="D1" s="416"/>
      <c r="E1" s="416"/>
      <c r="F1" s="416"/>
      <c r="G1" s="416"/>
      <c r="H1" s="416"/>
      <c r="I1" s="416"/>
      <c r="J1" s="416"/>
      <c r="K1" s="416"/>
      <c r="L1" s="416"/>
      <c r="M1" s="416"/>
      <c r="N1" s="367"/>
      <c r="O1" s="432" t="s">
        <v>592</v>
      </c>
      <c r="P1" s="433"/>
      <c r="T1" s="148" t="s">
        <v>481</v>
      </c>
      <c r="U1" s="227">
        <f>COUNTA(D3:D47)</f>
        <v>16</v>
      </c>
      <c r="W1" s="148" t="s">
        <v>312</v>
      </c>
      <c r="X1" s="25">
        <f>U1+U2+U3</f>
        <v>82</v>
      </c>
    </row>
    <row r="2" spans="1:29" ht="15.75" thickBot="1">
      <c r="A2" s="101" t="s">
        <v>366</v>
      </c>
      <c r="B2" s="286" t="s">
        <v>262</v>
      </c>
      <c r="C2" s="287" t="s">
        <v>0</v>
      </c>
      <c r="D2" s="280" t="s">
        <v>324</v>
      </c>
      <c r="E2" s="281" t="s">
        <v>323</v>
      </c>
      <c r="F2" s="282" t="s">
        <v>528</v>
      </c>
      <c r="G2" s="283" t="s">
        <v>529</v>
      </c>
      <c r="H2" s="345" t="s">
        <v>537</v>
      </c>
      <c r="I2" s="346" t="s">
        <v>536</v>
      </c>
      <c r="J2" s="346" t="s">
        <v>535</v>
      </c>
      <c r="K2" s="265" t="s">
        <v>566</v>
      </c>
      <c r="L2" s="265" t="s">
        <v>472</v>
      </c>
      <c r="M2" s="278" t="s">
        <v>217</v>
      </c>
      <c r="N2" s="255"/>
      <c r="O2" s="134" t="s">
        <v>301</v>
      </c>
      <c r="P2" s="125" t="s">
        <v>304</v>
      </c>
      <c r="T2" s="148" t="s">
        <v>311</v>
      </c>
      <c r="U2" s="102">
        <v>34</v>
      </c>
    </row>
    <row r="3" spans="1:29" ht="15.75" thickBot="1">
      <c r="A3" s="161">
        <v>2024</v>
      </c>
      <c r="B3" s="119" t="s">
        <v>338</v>
      </c>
      <c r="C3" s="181" t="s">
        <v>132</v>
      </c>
      <c r="D3" s="29">
        <v>18</v>
      </c>
      <c r="E3" s="29">
        <v>16</v>
      </c>
      <c r="F3" s="29">
        <v>18</v>
      </c>
      <c r="G3" s="30">
        <v>16</v>
      </c>
      <c r="H3" s="292">
        <f>1/22</f>
        <v>4.5454545454545456E-2</v>
      </c>
      <c r="I3" s="219">
        <f>4/22</f>
        <v>0.18181818181818182</v>
      </c>
      <c r="J3" s="323"/>
      <c r="K3" s="363"/>
      <c r="L3" s="266">
        <v>240</v>
      </c>
      <c r="M3" s="28">
        <v>283</v>
      </c>
      <c r="N3" s="159"/>
      <c r="O3" s="104" t="s">
        <v>305</v>
      </c>
      <c r="P3" s="128">
        <f>R3</f>
        <v>0.1875</v>
      </c>
      <c r="Q3" s="105">
        <f>P3</f>
        <v>0.1875</v>
      </c>
      <c r="R3" s="38">
        <f>COUNTIF($F:$F, "&lt;=3")/$U$1</f>
        <v>0.1875</v>
      </c>
      <c r="T3" s="148" t="s">
        <v>313</v>
      </c>
      <c r="U3" s="102">
        <v>32</v>
      </c>
      <c r="Y3" s="182"/>
    </row>
    <row r="4" spans="1:29" ht="15.75" thickBot="1">
      <c r="A4" s="22"/>
      <c r="B4" s="329" t="s">
        <v>339</v>
      </c>
      <c r="C4" s="126" t="s">
        <v>372</v>
      </c>
      <c r="D4">
        <v>104</v>
      </c>
      <c r="E4">
        <v>104</v>
      </c>
      <c r="F4">
        <v>104</v>
      </c>
      <c r="G4" s="57">
        <v>104</v>
      </c>
      <c r="H4" s="288">
        <v>0</v>
      </c>
      <c r="I4" s="220">
        <v>0</v>
      </c>
      <c r="J4" s="324"/>
      <c r="K4" s="34"/>
      <c r="L4" s="33">
        <v>1000</v>
      </c>
      <c r="M4" s="34">
        <v>285</v>
      </c>
      <c r="O4" s="107" t="s">
        <v>355</v>
      </c>
      <c r="P4" s="129">
        <f>R4</f>
        <v>0.125</v>
      </c>
      <c r="Q4" s="105">
        <f>SUM($P$3:P4)</f>
        <v>0.3125</v>
      </c>
      <c r="R4" s="38">
        <f>COUNTIFS($F:$F, "&gt;=4",$F:$F, "&lt;=9")/$U$1</f>
        <v>0.125</v>
      </c>
    </row>
    <row r="5" spans="1:29" ht="15.75" thickBot="1">
      <c r="A5" s="161"/>
      <c r="B5" s="329" t="s">
        <v>340</v>
      </c>
      <c r="C5" s="126" t="s">
        <v>539</v>
      </c>
      <c r="D5">
        <v>113</v>
      </c>
      <c r="E5">
        <v>111</v>
      </c>
      <c r="F5">
        <v>85</v>
      </c>
      <c r="G5" s="57">
        <v>84</v>
      </c>
      <c r="H5" s="288"/>
      <c r="I5" s="220"/>
      <c r="J5" s="325"/>
      <c r="K5" s="34"/>
      <c r="L5" s="33">
        <v>1000</v>
      </c>
      <c r="M5" s="32">
        <v>324</v>
      </c>
      <c r="N5" s="159"/>
      <c r="O5" s="107" t="s">
        <v>308</v>
      </c>
      <c r="P5" s="129">
        <f>R5</f>
        <v>0.375</v>
      </c>
      <c r="Q5" s="105">
        <f>SUM($P$3:P5)</f>
        <v>0.6875</v>
      </c>
      <c r="R5" s="38">
        <f>COUNTIFS($F:$F, "&gt;=10",$F:$F, "&lt;=38")/$U$1</f>
        <v>0.375</v>
      </c>
      <c r="T5" s="415" t="s">
        <v>310</v>
      </c>
      <c r="U5" s="416"/>
      <c r="V5" s="417"/>
    </row>
    <row r="6" spans="1:29" ht="15.75" thickBot="1">
      <c r="A6" s="161"/>
      <c r="B6" s="321" t="s">
        <v>341</v>
      </c>
      <c r="C6" s="89" t="s">
        <v>487</v>
      </c>
      <c r="D6" s="16">
        <f>Farmers!M2</f>
        <v>10</v>
      </c>
      <c r="E6" s="16">
        <f>Farmers!O2</f>
        <v>5</v>
      </c>
      <c r="F6" s="16">
        <f>Farmers!Q2</f>
        <v>11</v>
      </c>
      <c r="G6" s="82">
        <f>Farmers!S2</f>
        <v>11</v>
      </c>
      <c r="H6" s="288">
        <f>Farmers!U2</f>
        <v>0</v>
      </c>
      <c r="I6" s="220">
        <f>Farmers!V2</f>
        <v>0.5</v>
      </c>
      <c r="J6" s="327"/>
      <c r="K6" s="34">
        <f>Farmers!T2</f>
        <v>50</v>
      </c>
      <c r="L6" s="33">
        <v>210</v>
      </c>
      <c r="M6" s="32">
        <v>321</v>
      </c>
      <c r="N6" s="159"/>
      <c r="O6" s="107" t="s">
        <v>309</v>
      </c>
      <c r="P6" s="129">
        <f>R6</f>
        <v>0.125</v>
      </c>
      <c r="Q6" s="105">
        <f>SUM($P$3:P6)</f>
        <v>0.8125</v>
      </c>
      <c r="R6" s="38">
        <f>COUNTIFS($F:$F, "&gt;=39",$F:$F, "&lt;=79")/$U$1</f>
        <v>0.125</v>
      </c>
      <c r="T6" s="144" t="s">
        <v>301</v>
      </c>
      <c r="U6" s="145" t="s">
        <v>304</v>
      </c>
      <c r="V6" s="145" t="s">
        <v>364</v>
      </c>
    </row>
    <row r="7" spans="1:29" ht="15.75" thickBot="1">
      <c r="A7" s="161"/>
      <c r="B7" s="329" t="s">
        <v>342</v>
      </c>
      <c r="C7" s="84" t="s">
        <v>18</v>
      </c>
      <c r="G7" s="57"/>
      <c r="H7" s="288"/>
      <c r="I7" s="220"/>
      <c r="J7" s="325"/>
      <c r="K7" s="34"/>
      <c r="L7" s="33"/>
      <c r="M7" s="32"/>
      <c r="N7" s="159"/>
      <c r="O7" s="108" t="s">
        <v>306</v>
      </c>
      <c r="P7" s="130">
        <f>R7</f>
        <v>0.1875</v>
      </c>
      <c r="Q7" s="105">
        <f>SUM($P$3:P7)</f>
        <v>1</v>
      </c>
      <c r="R7" s="38">
        <f>COUNTIFS($F:$F, "&gt;79")/$U$1</f>
        <v>0.1875</v>
      </c>
      <c r="T7" s="113">
        <v>1</v>
      </c>
      <c r="U7" s="146">
        <f>X7</f>
        <v>0.15853658536585366</v>
      </c>
      <c r="V7" s="295">
        <f>25*(X7/SUM($X$7:$X$9))</f>
        <v>12.037037037037036</v>
      </c>
      <c r="W7" s="16">
        <f>COUNTIF($D:$D, "1") + COUNTIF($F:$F, "1")</f>
        <v>13</v>
      </c>
      <c r="X7" s="105">
        <f>W7/$X$1</f>
        <v>0.15853658536585366</v>
      </c>
    </row>
    <row r="8" spans="1:29" ht="15.75" thickBot="1">
      <c r="A8" s="161"/>
      <c r="B8" s="321" t="s">
        <v>365</v>
      </c>
      <c r="C8" s="89" t="s">
        <v>158</v>
      </c>
      <c r="D8">
        <v>82</v>
      </c>
      <c r="E8">
        <v>67</v>
      </c>
      <c r="F8">
        <v>64</v>
      </c>
      <c r="G8" s="332">
        <v>41</v>
      </c>
      <c r="H8" s="288">
        <v>0</v>
      </c>
      <c r="I8" s="220">
        <v>0.25</v>
      </c>
      <c r="J8" s="325"/>
      <c r="K8" s="34">
        <v>69</v>
      </c>
      <c r="L8" s="33">
        <v>130</v>
      </c>
      <c r="M8" s="34">
        <v>325</v>
      </c>
      <c r="Q8" s="105"/>
      <c r="R8" s="38"/>
      <c r="T8" s="107">
        <v>2</v>
      </c>
      <c r="U8" s="23">
        <f>X8</f>
        <v>0.12195121951219512</v>
      </c>
      <c r="V8" s="199">
        <f>25*(X8/SUM($X$7:$X$9))</f>
        <v>9.2592592592592595</v>
      </c>
      <c r="W8" s="16">
        <f>COUNTIF($D:$D, "2") + COUNTIF($F:$F, "2")</f>
        <v>10</v>
      </c>
      <c r="X8" s="105">
        <f>W8/$X$1</f>
        <v>0.12195121951219512</v>
      </c>
    </row>
    <row r="9" spans="1:29" ht="15.75" thickBot="1">
      <c r="A9" s="161"/>
      <c r="B9" s="321" t="s">
        <v>343</v>
      </c>
      <c r="C9" s="89" t="s">
        <v>129</v>
      </c>
      <c r="D9">
        <v>32</v>
      </c>
      <c r="E9">
        <v>33</v>
      </c>
      <c r="F9">
        <v>32</v>
      </c>
      <c r="G9" s="57">
        <v>33</v>
      </c>
      <c r="H9" s="288">
        <v>0</v>
      </c>
      <c r="I9" s="220">
        <v>0</v>
      </c>
      <c r="J9" s="347">
        <v>-44</v>
      </c>
      <c r="K9" s="32">
        <v>42</v>
      </c>
      <c r="L9" s="33">
        <v>100</v>
      </c>
      <c r="M9" s="34">
        <v>323</v>
      </c>
      <c r="O9" s="432" t="s">
        <v>591</v>
      </c>
      <c r="P9" s="433"/>
      <c r="T9" s="108">
        <v>3</v>
      </c>
      <c r="U9" s="147">
        <f>X9</f>
        <v>4.878048780487805E-2</v>
      </c>
      <c r="V9" s="296">
        <f>25*(X9/SUM($X$7:$X$9))</f>
        <v>3.7037037037037033</v>
      </c>
      <c r="W9" s="16">
        <f>COUNTIF($D:$D, "3") + COUNTIF($F:$F, "3")</f>
        <v>4</v>
      </c>
      <c r="X9" s="105">
        <f>W9/$X$1</f>
        <v>4.878048780487805E-2</v>
      </c>
      <c r="Z9" s="428" t="s">
        <v>881</v>
      </c>
      <c r="AA9" s="429"/>
    </row>
    <row r="10" spans="1:29" ht="15.75" thickBot="1">
      <c r="A10" s="161"/>
      <c r="B10" s="321" t="s">
        <v>674</v>
      </c>
      <c r="C10" s="106" t="s">
        <v>492</v>
      </c>
      <c r="D10">
        <v>5</v>
      </c>
      <c r="E10">
        <v>4</v>
      </c>
      <c r="F10">
        <v>1</v>
      </c>
      <c r="G10" s="57">
        <v>1</v>
      </c>
      <c r="H10" s="288">
        <v>0</v>
      </c>
      <c r="I10" s="220">
        <v>0</v>
      </c>
      <c r="J10" s="348"/>
      <c r="K10" s="34">
        <v>62</v>
      </c>
      <c r="L10" s="33">
        <v>54</v>
      </c>
      <c r="M10" s="32">
        <v>181</v>
      </c>
      <c r="N10" s="159"/>
      <c r="O10" s="134" t="s">
        <v>301</v>
      </c>
      <c r="P10" s="125" t="s">
        <v>304</v>
      </c>
      <c r="T10" s="114"/>
      <c r="X10" s="114">
        <f>SUM(X7:X9)</f>
        <v>0.32926829268292684</v>
      </c>
      <c r="Z10" s="134" t="s">
        <v>301</v>
      </c>
      <c r="AA10" s="125" t="s">
        <v>304</v>
      </c>
    </row>
    <row r="11" spans="1:29">
      <c r="A11" s="161"/>
      <c r="B11" s="321" t="s">
        <v>673</v>
      </c>
      <c r="C11" s="89" t="s">
        <v>88</v>
      </c>
      <c r="D11">
        <v>13</v>
      </c>
      <c r="E11">
        <v>17</v>
      </c>
      <c r="F11">
        <v>25</v>
      </c>
      <c r="G11" s="57">
        <v>25</v>
      </c>
      <c r="H11" s="288">
        <v>0</v>
      </c>
      <c r="I11" s="220">
        <v>0</v>
      </c>
      <c r="J11" s="347">
        <v>-14</v>
      </c>
      <c r="K11" s="32">
        <v>81</v>
      </c>
      <c r="L11" s="33"/>
      <c r="M11" s="34">
        <v>294</v>
      </c>
      <c r="O11" s="104" t="s">
        <v>305</v>
      </c>
      <c r="P11" s="149">
        <f>R11</f>
        <v>0.31707317073170732</v>
      </c>
      <c r="Q11" s="105">
        <f>P11</f>
        <v>0.31707317073170732</v>
      </c>
      <c r="R11" s="38">
        <f>(COUNTIF($D$48:$D$1048576, "&lt;=3")+(COUNTIF($F:$F, "&lt;=3")))/$X$1</f>
        <v>0.31707317073170732</v>
      </c>
      <c r="Z11" s="104" t="s">
        <v>305</v>
      </c>
      <c r="AA11" s="149">
        <f>AC11</f>
        <v>0.25</v>
      </c>
      <c r="AB11" s="105">
        <f>AA11</f>
        <v>0.25</v>
      </c>
      <c r="AC11" s="38">
        <f>(COUNTIF($G$3:$G$47, "&lt;=3"))/COUNT($G$3:$G$47)</f>
        <v>0.25</v>
      </c>
    </row>
    <row r="12" spans="1:29" ht="15.75" thickBot="1">
      <c r="A12" s="161"/>
      <c r="B12" s="328" t="s">
        <v>345</v>
      </c>
      <c r="C12" s="89" t="s">
        <v>175</v>
      </c>
      <c r="D12">
        <v>49</v>
      </c>
      <c r="E12">
        <v>37</v>
      </c>
      <c r="F12">
        <v>54</v>
      </c>
      <c r="G12" s="57">
        <v>37</v>
      </c>
      <c r="H12" s="288"/>
      <c r="I12" s="220"/>
      <c r="J12" s="325"/>
      <c r="K12" s="34">
        <v>27</v>
      </c>
      <c r="L12" s="33"/>
      <c r="M12" s="32">
        <v>118</v>
      </c>
      <c r="N12" s="159"/>
      <c r="O12" s="107" t="s">
        <v>375</v>
      </c>
      <c r="P12" s="129">
        <f t="shared" ref="P12:P16" si="0">R12</f>
        <v>0.18292682926829268</v>
      </c>
      <c r="Q12" s="105">
        <f>SUM($P$11:P12)</f>
        <v>0.5</v>
      </c>
      <c r="R12" s="38">
        <f>(COUNTIFS($D$48:$D$1048576, "&gt;=4",$D$48:$D$1048576, "&lt;=10")+COUNTIFS($F:$F, "&gt;=4",$F:$F, "&lt;=10"))/$X$1</f>
        <v>0.18292682926829268</v>
      </c>
      <c r="T12" s="403" t="s">
        <v>514</v>
      </c>
      <c r="U12" s="403"/>
      <c r="W12" s="403" t="s">
        <v>513</v>
      </c>
      <c r="X12" s="403"/>
      <c r="Z12" s="107" t="s">
        <v>375</v>
      </c>
      <c r="AA12" s="129">
        <f t="shared" ref="AA12:AA16" si="1">AC12</f>
        <v>0.125</v>
      </c>
      <c r="AB12" s="105">
        <f>SUM($AA$11:AA12)</f>
        <v>0.375</v>
      </c>
      <c r="AC12" s="38">
        <f>COUNTIFS($G$3:$G$47, "&gt;=4",$G$3:$G$47, "&lt;=10")/COUNT($G$3:$G$47)</f>
        <v>0.125</v>
      </c>
    </row>
    <row r="13" spans="1:29">
      <c r="A13" s="161"/>
      <c r="B13" s="328" t="s">
        <v>346</v>
      </c>
      <c r="C13" s="283" t="s">
        <v>35</v>
      </c>
      <c r="D13">
        <v>22</v>
      </c>
      <c r="E13">
        <v>8</v>
      </c>
      <c r="F13">
        <v>5</v>
      </c>
      <c r="G13" s="57">
        <v>2</v>
      </c>
      <c r="H13" s="288">
        <v>0</v>
      </c>
      <c r="I13" s="220">
        <v>0.8</v>
      </c>
      <c r="J13" s="347">
        <v>16</v>
      </c>
      <c r="K13" s="34">
        <v>68</v>
      </c>
      <c r="L13" s="33"/>
      <c r="M13" s="32">
        <v>320</v>
      </c>
      <c r="N13" s="159"/>
      <c r="O13" s="107" t="s">
        <v>376</v>
      </c>
      <c r="P13" s="129">
        <f t="shared" si="0"/>
        <v>0.13414634146341464</v>
      </c>
      <c r="Q13" s="105">
        <f>SUM($P$11:P13)</f>
        <v>0.63414634146341464</v>
      </c>
      <c r="R13" s="38">
        <f>(COUNTIFS($D$48:$D$1048576, "&gt;=11",$D$48:$D$1048576, "&lt;=20")+COUNTIFS($F:$F, "&gt;=11",$F:$F, "&lt;=20"))/$X$1</f>
        <v>0.13414634146341464</v>
      </c>
      <c r="T13" s="1" t="s">
        <v>512</v>
      </c>
      <c r="U13" s="1" t="s">
        <v>511</v>
      </c>
      <c r="W13" s="1" t="s">
        <v>512</v>
      </c>
      <c r="X13" s="1" t="s">
        <v>511</v>
      </c>
      <c r="Z13" s="107" t="s">
        <v>376</v>
      </c>
      <c r="AA13" s="129">
        <f t="shared" si="1"/>
        <v>0.125</v>
      </c>
      <c r="AB13" s="105">
        <f>SUM($AA$11:AA13)</f>
        <v>0.5</v>
      </c>
      <c r="AC13" s="38">
        <f>COUNTIFS($G$3:$G$47, "&gt;=11",$G$3:$G$47, "&lt;=20")/COUNT($G$3:$G$47)</f>
        <v>0.125</v>
      </c>
    </row>
    <row r="14" spans="1:29">
      <c r="A14" s="161"/>
      <c r="B14" s="321" t="s">
        <v>347</v>
      </c>
      <c r="C14" s="158" t="s">
        <v>35</v>
      </c>
      <c r="D14">
        <v>15</v>
      </c>
      <c r="E14">
        <v>7</v>
      </c>
      <c r="F14">
        <v>2</v>
      </c>
      <c r="G14" s="57">
        <v>1</v>
      </c>
      <c r="H14" s="288">
        <v>0.16666666666666666</v>
      </c>
      <c r="I14" s="220">
        <v>0.83333333333333337</v>
      </c>
      <c r="J14" s="347">
        <v>7</v>
      </c>
      <c r="K14" s="34">
        <v>142</v>
      </c>
      <c r="L14" s="33"/>
      <c r="M14" s="32">
        <v>456</v>
      </c>
      <c r="N14" s="159"/>
      <c r="O14" s="107" t="s">
        <v>377</v>
      </c>
      <c r="P14" s="129">
        <f t="shared" si="0"/>
        <v>0.12195121951219512</v>
      </c>
      <c r="Q14" s="105">
        <f>SUM($P$11:P14)</f>
        <v>0.75609756097560976</v>
      </c>
      <c r="R14" s="38">
        <f>(COUNTIFS($D$48:$D$1048576, "&gt;=21",$D$48:$D$1048576, "&lt;=30")+COUNTIFS($F:$F, "&gt;=21",$F:$F, "&lt;=30"))/$X$1</f>
        <v>0.12195121951219512</v>
      </c>
      <c r="T14" s="19" t="s">
        <v>303</v>
      </c>
      <c r="U14">
        <v>-0.27</v>
      </c>
      <c r="W14" s="19" t="s">
        <v>303</v>
      </c>
      <c r="X14">
        <v>-0.38</v>
      </c>
      <c r="Z14" s="107" t="s">
        <v>377</v>
      </c>
      <c r="AA14" s="129">
        <f t="shared" si="1"/>
        <v>0.125</v>
      </c>
      <c r="AB14" s="105">
        <f>SUM($AA$11:AA14)</f>
        <v>0.625</v>
      </c>
      <c r="AC14" s="38">
        <f>COUNTIFS($G$3:$G$47, "&gt;=21",$G$3:$G$47, "&lt;=30")/COUNT($G$3:$G$47)</f>
        <v>0.125</v>
      </c>
    </row>
    <row r="15" spans="1:29">
      <c r="A15" s="161"/>
      <c r="B15" s="321" t="s">
        <v>348</v>
      </c>
      <c r="C15" s="89" t="s">
        <v>142</v>
      </c>
      <c r="D15">
        <v>84</v>
      </c>
      <c r="E15">
        <v>67</v>
      </c>
      <c r="F15">
        <v>119</v>
      </c>
      <c r="G15" s="57">
        <v>95</v>
      </c>
      <c r="H15" s="288">
        <v>0</v>
      </c>
      <c r="I15" s="220">
        <v>0.14285714285714285</v>
      </c>
      <c r="J15" s="347">
        <v>25</v>
      </c>
      <c r="K15" s="34">
        <v>37</v>
      </c>
      <c r="L15" s="33"/>
      <c r="M15" s="32">
        <v>291</v>
      </c>
      <c r="N15" s="159"/>
      <c r="O15" s="107" t="s">
        <v>378</v>
      </c>
      <c r="P15" s="129">
        <f t="shared" si="0"/>
        <v>6.097560975609756E-2</v>
      </c>
      <c r="Q15" s="105">
        <f>SUM($P$11:P15)</f>
        <v>0.81707317073170738</v>
      </c>
      <c r="R15" s="38">
        <f>(COUNTIFS($D$48:$D$1048576, "&gt;=31",$D$48:$D$1048576, "&lt;=40")+COUNTIFS($F:$F, "&gt;=31",$F:$F, "&lt;=40"))/$X$1</f>
        <v>6.097560975609756E-2</v>
      </c>
      <c r="T15" s="18" t="s">
        <v>208</v>
      </c>
      <c r="U15">
        <v>-0.46</v>
      </c>
      <c r="W15" s="18" t="s">
        <v>208</v>
      </c>
      <c r="X15">
        <v>-0.5</v>
      </c>
      <c r="Z15" s="107" t="s">
        <v>378</v>
      </c>
      <c r="AA15" s="129">
        <f t="shared" si="1"/>
        <v>0.125</v>
      </c>
      <c r="AB15" s="105">
        <f>SUM($AA$11:AA15)</f>
        <v>0.75</v>
      </c>
      <c r="AC15" s="38">
        <f>COUNTIFS($G$3:$G$47, "&gt;=31",$G$3:$G$47, "&lt;=40")/COUNT($G$3:$G$47)</f>
        <v>0.125</v>
      </c>
    </row>
    <row r="16" spans="1:29">
      <c r="B16" s="321" t="s">
        <v>1122</v>
      </c>
      <c r="C16" s="398" t="s">
        <v>52</v>
      </c>
      <c r="D16" s="16">
        <v>7</v>
      </c>
      <c r="E16" s="230">
        <v>12</v>
      </c>
      <c r="F16" s="159">
        <v>5</v>
      </c>
      <c r="G16" s="159">
        <v>7</v>
      </c>
      <c r="H16" s="288">
        <v>0</v>
      </c>
      <c r="I16" s="220">
        <v>0.25</v>
      </c>
      <c r="J16" s="347">
        <v>8</v>
      </c>
      <c r="K16" s="34">
        <v>114</v>
      </c>
      <c r="L16" s="33"/>
      <c r="M16" s="34">
        <v>259</v>
      </c>
      <c r="N16" s="159"/>
      <c r="O16" s="107" t="s">
        <v>379</v>
      </c>
      <c r="P16" s="129">
        <f t="shared" si="0"/>
        <v>0.13414634146341464</v>
      </c>
      <c r="Q16" s="105">
        <f>SUM($P$11:P16)</f>
        <v>0.95121951219512202</v>
      </c>
      <c r="R16" s="38">
        <f>(COUNTIFS($D$48:$D$1048576, "&gt;=41",$D$48:$D$1048576, "&lt;=79")+COUNTIFS($F:$F, "&gt;=41",$F:$F, "&lt;=79"))/$X$1</f>
        <v>0.13414634146341464</v>
      </c>
      <c r="T16" s="17" t="s">
        <v>209</v>
      </c>
      <c r="U16">
        <v>-0.04</v>
      </c>
      <c r="W16" s="17" t="s">
        <v>209</v>
      </c>
      <c r="X16">
        <v>0.18</v>
      </c>
      <c r="Z16" s="107" t="s">
        <v>379</v>
      </c>
      <c r="AA16" s="129">
        <f t="shared" si="1"/>
        <v>6.25E-2</v>
      </c>
      <c r="AB16" s="105">
        <f>SUM($AA$11:AA16)</f>
        <v>0.8125</v>
      </c>
      <c r="AC16" s="38">
        <f>COUNTIFS($G$3:$G$47, "&gt;=41",$G$3:$G$47, "&lt;=79")/COUNT($G$3:$G$47)</f>
        <v>6.25E-2</v>
      </c>
    </row>
    <row r="17" spans="1:29" ht="15.75" thickBot="1">
      <c r="A17" s="161"/>
      <c r="B17" s="321" t="s">
        <v>675</v>
      </c>
      <c r="C17" s="89" t="s">
        <v>370</v>
      </c>
      <c r="D17">
        <v>21</v>
      </c>
      <c r="E17">
        <v>16</v>
      </c>
      <c r="F17">
        <v>28</v>
      </c>
      <c r="G17" s="57">
        <v>27</v>
      </c>
      <c r="H17" s="288">
        <v>0</v>
      </c>
      <c r="I17" s="220">
        <v>0</v>
      </c>
      <c r="J17" s="347">
        <v>2</v>
      </c>
      <c r="K17" s="34">
        <v>123</v>
      </c>
      <c r="L17" s="33"/>
      <c r="M17" s="32">
        <v>323</v>
      </c>
      <c r="N17" s="159"/>
      <c r="O17" s="108" t="s">
        <v>317</v>
      </c>
      <c r="P17" s="130">
        <f>R17</f>
        <v>4.878048780487805E-2</v>
      </c>
      <c r="Q17" s="105">
        <f>SUM($P$11:P17)</f>
        <v>1</v>
      </c>
      <c r="R17" s="38">
        <f>(COUNTIF($D$48:$D$1048576, "&gt;=80")+(COUNTIF($F:$F, "&gt;=80")))/$X$1</f>
        <v>4.878048780487805E-2</v>
      </c>
      <c r="Z17" s="108" t="s">
        <v>317</v>
      </c>
      <c r="AA17" s="130">
        <f>AC17</f>
        <v>0.1875</v>
      </c>
      <c r="AB17" s="105">
        <f>SUM($AA$11:AA17)</f>
        <v>1</v>
      </c>
      <c r="AC17" s="38">
        <f>COUNTIF($G$3:$G$47, "&gt;=80")/COUNT($G$3:$G$47)</f>
        <v>0.1875</v>
      </c>
    </row>
    <row r="18" spans="1:29">
      <c r="A18" s="161"/>
      <c r="B18" s="453" t="s">
        <v>268</v>
      </c>
      <c r="C18" s="84" t="s">
        <v>35</v>
      </c>
      <c r="D18" s="52"/>
      <c r="E18" s="52"/>
      <c r="F18" s="52"/>
      <c r="G18" s="202"/>
      <c r="H18" s="461"/>
      <c r="I18" s="180"/>
      <c r="J18" s="324"/>
      <c r="K18" s="372"/>
      <c r="L18" s="53"/>
      <c r="M18" s="462"/>
      <c r="N18" s="159"/>
    </row>
    <row r="19" spans="1:29">
      <c r="A19" s="161"/>
      <c r="B19" s="328" t="s">
        <v>677</v>
      </c>
      <c r="C19" s="106" t="s">
        <v>35</v>
      </c>
      <c r="D19">
        <v>1</v>
      </c>
      <c r="E19">
        <v>2</v>
      </c>
      <c r="F19">
        <v>1</v>
      </c>
      <c r="G19" s="57">
        <v>1</v>
      </c>
      <c r="H19" s="288">
        <v>0</v>
      </c>
      <c r="I19" s="220">
        <v>0</v>
      </c>
      <c r="J19" s="347">
        <v>1</v>
      </c>
      <c r="K19" s="34">
        <v>68</v>
      </c>
      <c r="L19" s="33"/>
      <c r="M19" s="32"/>
      <c r="N19" s="159"/>
      <c r="T19" s="1" t="s">
        <v>1</v>
      </c>
      <c r="U19" s="1" t="s">
        <v>436</v>
      </c>
    </row>
    <row r="20" spans="1:29">
      <c r="A20" s="161"/>
      <c r="B20" s="328" t="s">
        <v>676</v>
      </c>
      <c r="C20" s="460" t="s">
        <v>115</v>
      </c>
      <c r="D20">
        <v>4</v>
      </c>
      <c r="E20">
        <v>2</v>
      </c>
      <c r="F20">
        <v>14</v>
      </c>
      <c r="G20" s="57">
        <v>9</v>
      </c>
      <c r="H20" s="288">
        <v>0</v>
      </c>
      <c r="I20" s="220">
        <v>0</v>
      </c>
      <c r="J20" s="347">
        <v>4</v>
      </c>
      <c r="K20" s="34">
        <v>106</v>
      </c>
      <c r="L20" s="33"/>
      <c r="M20" s="32"/>
      <c r="N20" s="159"/>
      <c r="T20">
        <v>1</v>
      </c>
      <c r="U20" s="105">
        <f>X7</f>
        <v>0.15853658536585366</v>
      </c>
      <c r="W20" t="s">
        <v>508</v>
      </c>
    </row>
    <row r="21" spans="1:29">
      <c r="A21" s="161"/>
      <c r="B21" s="321" t="s">
        <v>678</v>
      </c>
      <c r="C21" s="34"/>
      <c r="G21" s="57"/>
      <c r="H21" s="288"/>
      <c r="I21" s="220"/>
      <c r="J21" s="325"/>
      <c r="K21" s="34"/>
      <c r="L21" s="33"/>
      <c r="M21" s="32"/>
      <c r="N21" s="159"/>
      <c r="T21">
        <v>2</v>
      </c>
      <c r="U21" s="105">
        <f>X8</f>
        <v>0.12195121951219512</v>
      </c>
      <c r="W21" t="s">
        <v>509</v>
      </c>
    </row>
    <row r="22" spans="1:29">
      <c r="A22" s="161"/>
      <c r="B22" s="328" t="s">
        <v>679</v>
      </c>
      <c r="C22" s="34"/>
      <c r="G22" s="57"/>
      <c r="H22" s="288"/>
      <c r="I22" s="220"/>
      <c r="J22" s="325"/>
      <c r="K22" s="34"/>
      <c r="L22" s="33"/>
      <c r="M22" s="32"/>
      <c r="N22" s="159"/>
      <c r="T22">
        <v>3</v>
      </c>
      <c r="U22" s="105">
        <f>X9</f>
        <v>4.878048780487805E-2</v>
      </c>
      <c r="V22" s="201">
        <f>SUM(U20:U22)</f>
        <v>0.32926829268292684</v>
      </c>
      <c r="W22" t="s">
        <v>510</v>
      </c>
    </row>
    <row r="23" spans="1:29">
      <c r="A23" s="161"/>
      <c r="B23" s="328" t="s">
        <v>274</v>
      </c>
      <c r="C23" s="34"/>
      <c r="G23" s="57"/>
      <c r="H23" s="288"/>
      <c r="I23" s="220"/>
      <c r="J23" s="325"/>
      <c r="K23" s="34"/>
      <c r="L23" s="33"/>
      <c r="M23" s="32"/>
      <c r="N23" s="159"/>
      <c r="T23">
        <v>4</v>
      </c>
      <c r="U23" s="182">
        <f t="shared" ref="U23:U29" si="2">$R$46/7</f>
        <v>2.9616724738675958E-2</v>
      </c>
    </row>
    <row r="24" spans="1:29">
      <c r="A24" s="161"/>
      <c r="B24" s="453" t="s">
        <v>276</v>
      </c>
      <c r="C24" s="34"/>
      <c r="G24" s="57"/>
      <c r="H24" s="288"/>
      <c r="I24" s="220"/>
      <c r="J24" s="325"/>
      <c r="K24" s="34"/>
      <c r="L24" s="33"/>
      <c r="M24" s="32"/>
      <c r="N24" s="159"/>
      <c r="T24">
        <v>5</v>
      </c>
      <c r="U24" s="182">
        <f t="shared" si="2"/>
        <v>2.9616724738675958E-2</v>
      </c>
    </row>
    <row r="25" spans="1:29">
      <c r="A25" s="161"/>
      <c r="B25" s="321" t="s">
        <v>278</v>
      </c>
      <c r="C25" s="34"/>
      <c r="G25" s="57"/>
      <c r="H25" s="288"/>
      <c r="I25" s="220"/>
      <c r="J25" s="325"/>
      <c r="K25" s="34"/>
      <c r="L25" s="33"/>
      <c r="M25" s="32"/>
      <c r="N25" s="159"/>
      <c r="T25">
        <v>6</v>
      </c>
      <c r="U25" s="182">
        <f t="shared" si="2"/>
        <v>2.9616724738675958E-2</v>
      </c>
    </row>
    <row r="26" spans="1:29">
      <c r="A26" s="161"/>
      <c r="B26" s="321" t="s">
        <v>680</v>
      </c>
      <c r="C26" s="34"/>
      <c r="G26" s="57"/>
      <c r="H26" s="288"/>
      <c r="I26" s="220"/>
      <c r="J26" s="325"/>
      <c r="K26" s="34"/>
      <c r="L26" s="33"/>
      <c r="M26" s="32"/>
      <c r="N26" s="159"/>
      <c r="T26">
        <v>7</v>
      </c>
      <c r="U26" s="182">
        <f t="shared" si="2"/>
        <v>2.9616724738675958E-2</v>
      </c>
    </row>
    <row r="27" spans="1:29">
      <c r="A27" s="161"/>
      <c r="B27" s="321" t="s">
        <v>681</v>
      </c>
      <c r="C27" s="34"/>
      <c r="G27" s="57"/>
      <c r="H27" s="288"/>
      <c r="I27" s="220"/>
      <c r="J27" s="325"/>
      <c r="K27" s="34"/>
      <c r="L27" s="33"/>
      <c r="M27" s="32"/>
      <c r="N27" s="159"/>
      <c r="T27">
        <v>8</v>
      </c>
      <c r="U27" s="182">
        <f t="shared" si="2"/>
        <v>2.9616724738675958E-2</v>
      </c>
    </row>
    <row r="28" spans="1:29">
      <c r="A28" s="161"/>
      <c r="B28" s="453" t="s">
        <v>281</v>
      </c>
      <c r="C28" s="34"/>
      <c r="G28" s="57"/>
      <c r="H28" s="288"/>
      <c r="I28" s="220"/>
      <c r="J28" s="325"/>
      <c r="K28" s="34"/>
      <c r="L28" s="33"/>
      <c r="M28" s="32"/>
      <c r="N28" s="159"/>
      <c r="T28">
        <v>9</v>
      </c>
      <c r="U28" s="182">
        <f t="shared" si="2"/>
        <v>2.9616724738675958E-2</v>
      </c>
    </row>
    <row r="29" spans="1:29">
      <c r="A29" s="161"/>
      <c r="B29" s="321" t="s">
        <v>282</v>
      </c>
      <c r="C29" s="34"/>
      <c r="G29" s="57"/>
      <c r="H29" s="288"/>
      <c r="I29" s="220"/>
      <c r="J29" s="325"/>
      <c r="K29" s="34"/>
      <c r="L29" s="33"/>
      <c r="M29" s="32"/>
      <c r="N29" s="159"/>
      <c r="T29">
        <v>10</v>
      </c>
      <c r="U29" s="182">
        <f t="shared" si="2"/>
        <v>2.9616724738675958E-2</v>
      </c>
      <c r="V29" s="105">
        <f>SUM(U20:U29)</f>
        <v>0.53658536585365846</v>
      </c>
    </row>
    <row r="30" spans="1:29">
      <c r="A30" s="161"/>
      <c r="B30" s="321" t="s">
        <v>284</v>
      </c>
      <c r="C30" s="34"/>
      <c r="G30" s="57"/>
      <c r="H30" s="288"/>
      <c r="I30" s="220"/>
      <c r="J30" s="325"/>
      <c r="K30" s="34"/>
      <c r="L30" s="33"/>
      <c r="M30" s="32"/>
      <c r="N30" s="159"/>
      <c r="T30" s="1" t="s">
        <v>538</v>
      </c>
      <c r="U30" s="157" t="s">
        <v>498</v>
      </c>
      <c r="V30" s="114">
        <f>V22+2.7%</f>
        <v>0.35626829268292687</v>
      </c>
    </row>
    <row r="31" spans="1:29">
      <c r="A31" s="161"/>
      <c r="B31" s="321" t="s">
        <v>283</v>
      </c>
      <c r="C31" s="34"/>
      <c r="G31" s="57"/>
      <c r="H31" s="288"/>
      <c r="I31" s="220"/>
      <c r="J31" s="325"/>
      <c r="K31" s="34"/>
      <c r="L31" s="33"/>
      <c r="M31" s="32"/>
      <c r="N31" s="159"/>
    </row>
    <row r="32" spans="1:29">
      <c r="A32" s="161"/>
      <c r="B32" s="328" t="s">
        <v>682</v>
      </c>
      <c r="C32" s="34"/>
      <c r="G32" s="57"/>
      <c r="H32" s="288"/>
      <c r="I32" s="220"/>
      <c r="J32" s="325"/>
      <c r="K32" s="34"/>
      <c r="L32" s="33"/>
      <c r="M32" s="32"/>
      <c r="N32" s="159"/>
    </row>
    <row r="33" spans="1:29">
      <c r="A33" s="161"/>
      <c r="B33" s="328" t="s">
        <v>683</v>
      </c>
      <c r="C33" s="34"/>
      <c r="G33" s="57"/>
      <c r="H33" s="288"/>
      <c r="I33" s="220"/>
      <c r="J33" s="325"/>
      <c r="K33" s="34"/>
      <c r="L33" s="33"/>
      <c r="M33" s="32"/>
      <c r="N33" s="159"/>
    </row>
    <row r="34" spans="1:29" ht="15.75" thickBot="1">
      <c r="A34" s="161"/>
      <c r="B34" s="328" t="s">
        <v>684</v>
      </c>
      <c r="C34" s="34"/>
      <c r="G34" s="57"/>
      <c r="H34" s="288"/>
      <c r="I34" s="220"/>
      <c r="J34" s="325"/>
      <c r="K34" s="34"/>
      <c r="L34" s="33"/>
      <c r="M34" s="32"/>
      <c r="N34" s="159"/>
    </row>
    <row r="35" spans="1:29" ht="15.75" thickBot="1">
      <c r="A35" s="161"/>
      <c r="B35" s="454" t="s">
        <v>286</v>
      </c>
      <c r="C35" s="34"/>
      <c r="G35" s="57"/>
      <c r="H35" s="288"/>
      <c r="I35" s="220"/>
      <c r="J35" s="325"/>
      <c r="K35" s="34"/>
      <c r="L35" s="33"/>
      <c r="M35" s="32"/>
      <c r="N35" s="159"/>
      <c r="O35" s="430" t="s">
        <v>590</v>
      </c>
      <c r="P35" s="431"/>
      <c r="Z35" s="434"/>
      <c r="AA35" s="434"/>
    </row>
    <row r="36" spans="1:29" ht="15.75" thickBot="1">
      <c r="A36" s="161"/>
      <c r="B36" s="321" t="s">
        <v>685</v>
      </c>
      <c r="C36" s="34"/>
      <c r="G36" s="57"/>
      <c r="H36" s="288"/>
      <c r="I36" s="220"/>
      <c r="J36" s="325"/>
      <c r="K36" s="34"/>
      <c r="L36" s="33"/>
      <c r="M36" s="32"/>
      <c r="N36" s="159"/>
      <c r="O36" s="134" t="s">
        <v>301</v>
      </c>
      <c r="P36" s="125" t="s">
        <v>304</v>
      </c>
      <c r="Z36" s="364"/>
      <c r="AA36" s="364"/>
    </row>
    <row r="37" spans="1:29">
      <c r="A37" s="161"/>
      <c r="B37" s="321" t="s">
        <v>686</v>
      </c>
      <c r="C37" s="34"/>
      <c r="G37" s="57"/>
      <c r="H37" s="288"/>
      <c r="I37" s="220"/>
      <c r="J37" s="325"/>
      <c r="K37" s="34"/>
      <c r="L37" s="33"/>
      <c r="M37" s="32"/>
      <c r="N37" s="159"/>
      <c r="O37" s="104" t="s">
        <v>305</v>
      </c>
      <c r="P37" s="128">
        <f>R37</f>
        <v>6.25E-2</v>
      </c>
      <c r="Q37" s="105">
        <f>P37</f>
        <v>6.25E-2</v>
      </c>
      <c r="R37" s="38">
        <f>COUNTIF($D$3:$D$47, "&lt;=3")/$U$1</f>
        <v>6.25E-2</v>
      </c>
      <c r="Z37" s="365"/>
      <c r="AA37" s="366"/>
      <c r="AB37" s="105"/>
      <c r="AC37" s="38"/>
    </row>
    <row r="38" spans="1:29">
      <c r="A38" s="161"/>
      <c r="B38" s="321" t="s">
        <v>687</v>
      </c>
      <c r="C38" s="34"/>
      <c r="G38" s="57"/>
      <c r="H38" s="288"/>
      <c r="I38" s="220"/>
      <c r="J38" s="325"/>
      <c r="K38" s="34"/>
      <c r="L38" s="33"/>
      <c r="M38" s="32"/>
      <c r="N38" s="159"/>
      <c r="O38" s="107" t="s">
        <v>355</v>
      </c>
      <c r="P38" s="129">
        <f>R38</f>
        <v>0.1875</v>
      </c>
      <c r="Q38" s="105">
        <f>SUM($P$37:P38)</f>
        <v>0.25</v>
      </c>
      <c r="R38" s="38">
        <f>COUNTIFS($D$3:$D$47, "&gt;=4",$D$3:$D$47, "&lt;=9")/$U$1</f>
        <v>0.1875</v>
      </c>
      <c r="Z38" s="150"/>
      <c r="AA38" s="23"/>
      <c r="AB38" s="105"/>
      <c r="AC38" s="38"/>
    </row>
    <row r="39" spans="1:29">
      <c r="A39" s="161"/>
      <c r="B39" s="321" t="s">
        <v>688</v>
      </c>
      <c r="C39" s="34"/>
      <c r="G39" s="57"/>
      <c r="H39" s="288"/>
      <c r="I39" s="220"/>
      <c r="J39" s="325"/>
      <c r="K39" s="34"/>
      <c r="L39" s="33"/>
      <c r="M39" s="32"/>
      <c r="N39" s="159"/>
      <c r="O39" s="107" t="s">
        <v>308</v>
      </c>
      <c r="P39" s="129">
        <f>R39</f>
        <v>0.4375</v>
      </c>
      <c r="Q39" s="105">
        <f>SUM($P$37:P39)</f>
        <v>0.6875</v>
      </c>
      <c r="R39" s="38">
        <f>COUNTIFS($D$3:$D$47, "&gt;=10",$D$3:$D$47, "&lt;=38")/$U$1</f>
        <v>0.4375</v>
      </c>
      <c r="Z39" s="150"/>
      <c r="AA39" s="23"/>
      <c r="AB39" s="105"/>
      <c r="AC39" s="38"/>
    </row>
    <row r="40" spans="1:29">
      <c r="A40" s="161"/>
      <c r="B40" s="321" t="s">
        <v>689</v>
      </c>
      <c r="C40" s="34"/>
      <c r="G40" s="57"/>
      <c r="H40" s="288"/>
      <c r="I40" s="220"/>
      <c r="J40" s="325"/>
      <c r="K40" s="34"/>
      <c r="L40" s="33"/>
      <c r="M40" s="32"/>
      <c r="N40" s="159"/>
      <c r="O40" s="107" t="s">
        <v>309</v>
      </c>
      <c r="P40" s="129">
        <f>R40</f>
        <v>6.25E-2</v>
      </c>
      <c r="Q40" s="105">
        <f>SUM($P$37:P40)</f>
        <v>0.75</v>
      </c>
      <c r="R40" s="38">
        <f>COUNTIFS($D$3:$D$47, "&gt;=39",$D$3:$D$47, "&lt;=79")/$U$1</f>
        <v>6.25E-2</v>
      </c>
      <c r="Z40" s="150"/>
      <c r="AA40" s="23"/>
      <c r="AB40" s="105"/>
      <c r="AC40" s="38"/>
    </row>
    <row r="41" spans="1:29" ht="15.75" thickBot="1">
      <c r="A41" s="161"/>
      <c r="B41" s="321" t="s">
        <v>690</v>
      </c>
      <c r="C41" s="34"/>
      <c r="G41" s="57"/>
      <c r="H41" s="288"/>
      <c r="I41" s="220"/>
      <c r="J41" s="325"/>
      <c r="K41" s="34"/>
      <c r="L41" s="33"/>
      <c r="M41" s="32"/>
      <c r="N41" s="159"/>
      <c r="O41" s="108" t="s">
        <v>306</v>
      </c>
      <c r="P41" s="130">
        <f>R41</f>
        <v>0.25</v>
      </c>
      <c r="Q41" s="105">
        <f>SUM($P$37:P41)</f>
        <v>1</v>
      </c>
      <c r="R41" s="38">
        <f>COUNTIFS($D$3:$D$47, "&gt;79")/$U$1</f>
        <v>0.25</v>
      </c>
      <c r="Z41" s="150"/>
      <c r="AA41" s="23"/>
      <c r="AB41" s="105"/>
      <c r="AC41" s="38"/>
    </row>
    <row r="42" spans="1:29" ht="15.75" thickBot="1">
      <c r="A42" s="161"/>
      <c r="B42" s="321" t="s">
        <v>293</v>
      </c>
      <c r="C42" s="34"/>
      <c r="G42" s="57"/>
      <c r="H42" s="288"/>
      <c r="I42" s="220"/>
      <c r="J42" s="325"/>
      <c r="K42" s="34"/>
      <c r="L42" s="33"/>
      <c r="M42" s="32"/>
      <c r="N42" s="159"/>
      <c r="Q42" s="105"/>
      <c r="R42" s="38"/>
      <c r="Z42" s="150"/>
      <c r="AA42" s="23"/>
      <c r="AB42" s="105"/>
      <c r="AC42" s="38"/>
    </row>
    <row r="43" spans="1:29" ht="15.75" thickBot="1">
      <c r="A43" s="161"/>
      <c r="B43" s="321" t="s">
        <v>294</v>
      </c>
      <c r="C43" s="34"/>
      <c r="G43" s="57"/>
      <c r="H43" s="288"/>
      <c r="I43" s="220"/>
      <c r="J43" s="325"/>
      <c r="K43" s="34"/>
      <c r="L43" s="33"/>
      <c r="M43" s="32"/>
      <c r="N43" s="159"/>
      <c r="O43" s="430" t="s">
        <v>589</v>
      </c>
      <c r="P43" s="431"/>
      <c r="Z43" s="428" t="s">
        <v>882</v>
      </c>
      <c r="AA43" s="429"/>
    </row>
    <row r="44" spans="1:29" ht="15.75" thickBot="1">
      <c r="A44" s="161"/>
      <c r="B44" s="321" t="s">
        <v>295</v>
      </c>
      <c r="C44" s="89"/>
      <c r="G44" s="57"/>
      <c r="H44" s="288"/>
      <c r="I44" s="220"/>
      <c r="J44" s="325"/>
      <c r="K44" s="34"/>
      <c r="L44" s="33"/>
      <c r="M44" s="32"/>
      <c r="N44" s="159"/>
      <c r="O44" s="134" t="s">
        <v>301</v>
      </c>
      <c r="P44" s="125" t="s">
        <v>304</v>
      </c>
      <c r="Z44" s="134" t="s">
        <v>301</v>
      </c>
      <c r="AA44" s="125" t="s">
        <v>304</v>
      </c>
    </row>
    <row r="45" spans="1:29">
      <c r="A45" s="161"/>
      <c r="B45" s="321" t="s">
        <v>314</v>
      </c>
      <c r="C45" s="89"/>
      <c r="G45" s="57"/>
      <c r="H45" s="288"/>
      <c r="I45" s="220"/>
      <c r="J45" s="325"/>
      <c r="K45" s="34"/>
      <c r="L45" s="33"/>
      <c r="M45" s="32"/>
      <c r="N45" s="159"/>
      <c r="O45" s="104" t="s">
        <v>305</v>
      </c>
      <c r="P45" s="149">
        <f>R45</f>
        <v>0.29268292682926828</v>
      </c>
      <c r="Q45" s="105">
        <f>P45</f>
        <v>0.29268292682926828</v>
      </c>
      <c r="R45" s="38">
        <f>COUNTIF($D:$D, "&lt;=3")/$X$1</f>
        <v>0.29268292682926828</v>
      </c>
      <c r="Z45" s="104" t="s">
        <v>305</v>
      </c>
      <c r="AA45" s="149">
        <f>AC45</f>
        <v>0.125</v>
      </c>
      <c r="AB45" s="105">
        <f>AA45</f>
        <v>0.125</v>
      </c>
      <c r="AC45" s="38">
        <f>(COUNTIF($E$3:$E$47, "&lt;=3"))/COUNT($E$3:$E$47)</f>
        <v>0.125</v>
      </c>
    </row>
    <row r="46" spans="1:29">
      <c r="A46" s="161"/>
      <c r="B46" s="321" t="s">
        <v>315</v>
      </c>
      <c r="C46" s="89"/>
      <c r="G46" s="57"/>
      <c r="H46" s="288"/>
      <c r="I46" s="220"/>
      <c r="J46" s="325"/>
      <c r="K46" s="34"/>
      <c r="L46" s="33"/>
      <c r="M46" s="32"/>
      <c r="N46" s="159"/>
      <c r="O46" s="107" t="s">
        <v>375</v>
      </c>
      <c r="P46" s="129">
        <f t="shared" ref="P46:P51" si="3">R46</f>
        <v>0.2073170731707317</v>
      </c>
      <c r="Q46" s="105">
        <f>SUM($P$45:P46)</f>
        <v>0.5</v>
      </c>
      <c r="R46" s="38">
        <f>COUNTIFS($D:$D, "&gt;=4",$D:$D, "&lt;=10")/$X$1</f>
        <v>0.2073170731707317</v>
      </c>
      <c r="S46" s="1"/>
      <c r="Z46" s="107" t="s">
        <v>375</v>
      </c>
      <c r="AA46" s="129">
        <f t="shared" ref="AA46:AA50" si="4">AC46</f>
        <v>0.25</v>
      </c>
      <c r="AB46" s="105">
        <f>SUM($AA$45:AA46)</f>
        <v>0.375</v>
      </c>
      <c r="AC46" s="38">
        <f>COUNTIFS($E$3:$E$47, "&gt;=4",$E$3:$E$47, "&lt;=10")/COUNT($E$3:$E$47)</f>
        <v>0.25</v>
      </c>
    </row>
    <row r="47" spans="1:29" ht="15.75" thickBot="1">
      <c r="A47" s="270"/>
      <c r="B47" s="192" t="s">
        <v>318</v>
      </c>
      <c r="C47" s="140"/>
      <c r="D47" s="91"/>
      <c r="E47" s="91"/>
      <c r="F47" s="91"/>
      <c r="G47" s="132"/>
      <c r="H47" s="293"/>
      <c r="I47" s="221"/>
      <c r="J47" s="326"/>
      <c r="K47" s="179"/>
      <c r="L47" s="92"/>
      <c r="M47" s="224"/>
      <c r="N47" s="159"/>
      <c r="O47" s="107" t="s">
        <v>376</v>
      </c>
      <c r="P47" s="129">
        <f t="shared" si="3"/>
        <v>0.13414634146341464</v>
      </c>
      <c r="Q47" s="105">
        <f>SUM($P$45:P47)</f>
        <v>0.63414634146341464</v>
      </c>
      <c r="R47" s="38">
        <f>COUNTIFS($D:$D, "&gt;=11",$D:$D, "&lt;=20")/$X$1</f>
        <v>0.13414634146341464</v>
      </c>
      <c r="Z47" s="107" t="s">
        <v>376</v>
      </c>
      <c r="AA47" s="129">
        <f t="shared" si="4"/>
        <v>0.25</v>
      </c>
      <c r="AB47" s="105">
        <f>SUM($AA$45:AA47)</f>
        <v>0.625</v>
      </c>
      <c r="AC47" s="38">
        <f>COUNTIFS($E$3:$E$47, "&gt;=11",$E$3:$E$47, "&lt;=20")/COUNT($E$3:$E$47)</f>
        <v>0.25</v>
      </c>
    </row>
    <row r="48" spans="1:29">
      <c r="A48" s="161">
        <v>2023</v>
      </c>
      <c r="B48" s="321" t="s">
        <v>338</v>
      </c>
      <c r="C48" s="70" t="s">
        <v>15</v>
      </c>
      <c r="D48" s="159">
        <v>1</v>
      </c>
      <c r="E48" s="159">
        <v>1</v>
      </c>
      <c r="G48" s="159"/>
      <c r="H48" s="151">
        <f>1/18</f>
        <v>5.5555555555555552E-2</v>
      </c>
      <c r="I48" s="15">
        <f>12/18</f>
        <v>0.66666666666666663</v>
      </c>
      <c r="J48" s="225">
        <v>0</v>
      </c>
      <c r="K48" s="34"/>
      <c r="L48" s="33"/>
      <c r="M48" s="32">
        <v>197</v>
      </c>
      <c r="N48" s="159"/>
      <c r="O48" s="107" t="s">
        <v>377</v>
      </c>
      <c r="P48" s="129">
        <f t="shared" si="3"/>
        <v>0.12195121951219512</v>
      </c>
      <c r="Q48" s="105">
        <f>SUM($P$45:P48)</f>
        <v>0.75609756097560976</v>
      </c>
      <c r="R48" s="38">
        <f>COUNTIFS($D:$D, "&gt;=21",$D:$D, "&lt;=30")/$X$1</f>
        <v>0.12195121951219512</v>
      </c>
      <c r="Z48" s="107" t="s">
        <v>377</v>
      </c>
      <c r="AA48" s="129">
        <f t="shared" si="4"/>
        <v>0</v>
      </c>
      <c r="AB48" s="105">
        <f>SUM($AA$45:AA48)</f>
        <v>0.625</v>
      </c>
      <c r="AC48" s="38">
        <f>COUNTIFS($E$3:$E$47, "&gt;=21",$E$3:$E$47, "&lt;=30")/COUNT($E$2:$E$46)</f>
        <v>0</v>
      </c>
    </row>
    <row r="49" spans="1:29">
      <c r="A49" s="161"/>
      <c r="B49" s="321" t="s">
        <v>339</v>
      </c>
      <c r="C49" s="349" t="s">
        <v>128</v>
      </c>
      <c r="D49">
        <v>8</v>
      </c>
      <c r="E49">
        <v>17</v>
      </c>
      <c r="H49" s="151">
        <v>0</v>
      </c>
      <c r="I49" s="15">
        <v>0</v>
      </c>
      <c r="J49" s="159">
        <v>7</v>
      </c>
      <c r="K49" s="34"/>
      <c r="L49" s="33"/>
      <c r="M49" s="32">
        <v>229</v>
      </c>
      <c r="N49" s="159"/>
      <c r="O49" s="107" t="s">
        <v>378</v>
      </c>
      <c r="P49" s="129">
        <f t="shared" si="3"/>
        <v>6.097560975609756E-2</v>
      </c>
      <c r="Q49" s="105">
        <f>SUM($P$45:P49)</f>
        <v>0.81707317073170738</v>
      </c>
      <c r="R49" s="38">
        <f>COUNTIFS($D:$D, "&gt;=31",$D:$D, "&lt;=40")/$X$1</f>
        <v>6.097560975609756E-2</v>
      </c>
      <c r="Z49" s="107" t="s">
        <v>378</v>
      </c>
      <c r="AA49" s="129">
        <f t="shared" si="4"/>
        <v>0.125</v>
      </c>
      <c r="AB49" s="105">
        <f>SUM($AA$45:AA49)</f>
        <v>0.75</v>
      </c>
      <c r="AC49" s="38">
        <f>COUNTIFS($E$3:$E$47, "&gt;=31",$E$3:$E$47, "&lt;=40")/COUNT($G$3:$G$47)</f>
        <v>0.125</v>
      </c>
    </row>
    <row r="50" spans="1:29">
      <c r="A50" s="161"/>
      <c r="B50" s="321" t="s">
        <v>340</v>
      </c>
      <c r="C50" s="70" t="s">
        <v>15</v>
      </c>
      <c r="D50">
        <v>1</v>
      </c>
      <c r="E50">
        <v>2</v>
      </c>
      <c r="H50" s="151">
        <v>1</v>
      </c>
      <c r="I50" s="15">
        <v>1</v>
      </c>
      <c r="J50" s="159">
        <v>1</v>
      </c>
      <c r="K50" s="34"/>
      <c r="L50" s="33"/>
      <c r="M50" s="32">
        <v>306</v>
      </c>
      <c r="N50" s="159"/>
      <c r="O50" s="107" t="s">
        <v>379</v>
      </c>
      <c r="P50" s="129">
        <f t="shared" si="3"/>
        <v>0.12195121951219512</v>
      </c>
      <c r="Q50" s="105">
        <f>SUM($P$45:P50)</f>
        <v>0.9390243902439025</v>
      </c>
      <c r="R50" s="38">
        <f>COUNTIFS($D:$D, "&gt;=41",$D:$D, "&lt;=79")/$X$1</f>
        <v>0.12195121951219512</v>
      </c>
      <c r="Z50" s="107" t="s">
        <v>379</v>
      </c>
      <c r="AA50" s="129">
        <f t="shared" si="4"/>
        <v>0.125</v>
      </c>
      <c r="AB50" s="105">
        <f>SUM($AA$45:AA50)</f>
        <v>0.875</v>
      </c>
      <c r="AC50" s="38">
        <f>COUNTIFS($E$3:$E$47, "&gt;=41",$E$3:$E$47, "&lt;=79")/COUNT($E$3:$E$47)</f>
        <v>0.125</v>
      </c>
    </row>
    <row r="51" spans="1:29" ht="15.75" thickBot="1">
      <c r="A51" s="161"/>
      <c r="B51" s="321" t="s">
        <v>341</v>
      </c>
      <c r="C51" s="70" t="s">
        <v>66</v>
      </c>
      <c r="D51">
        <v>2</v>
      </c>
      <c r="E51">
        <v>2</v>
      </c>
      <c r="H51" s="152">
        <v>0.5</v>
      </c>
      <c r="I51" s="369">
        <v>1</v>
      </c>
      <c r="J51">
        <v>7</v>
      </c>
      <c r="K51" s="34"/>
      <c r="L51" s="33"/>
      <c r="M51" s="32">
        <v>274</v>
      </c>
      <c r="N51" s="159"/>
      <c r="O51" s="108" t="s">
        <v>317</v>
      </c>
      <c r="P51" s="130">
        <f t="shared" si="3"/>
        <v>6.097560975609756E-2</v>
      </c>
      <c r="Q51" s="105">
        <f>SUM($P$45:P51)</f>
        <v>1</v>
      </c>
      <c r="R51" s="38">
        <f>COUNTIF($D:$D, "&gt;=80")/$X$1</f>
        <v>6.097560975609756E-2</v>
      </c>
      <c r="Z51" s="108" t="s">
        <v>317</v>
      </c>
      <c r="AA51" s="130">
        <f>AC51</f>
        <v>0.125</v>
      </c>
      <c r="AB51" s="105">
        <f>SUM($AA$45:AA51)</f>
        <v>1</v>
      </c>
      <c r="AC51" s="38">
        <f>COUNTIF($E$3:$E$47, "&gt;=80")/COUNT($E$3:$E$47)</f>
        <v>0.125</v>
      </c>
    </row>
    <row r="52" spans="1:29">
      <c r="A52" s="161"/>
      <c r="B52" s="321" t="s">
        <v>342</v>
      </c>
      <c r="C52" s="291" t="s">
        <v>143</v>
      </c>
      <c r="D52">
        <v>14</v>
      </c>
      <c r="E52">
        <v>9</v>
      </c>
      <c r="H52" s="152">
        <v>0</v>
      </c>
      <c r="I52" s="369">
        <v>0.2</v>
      </c>
      <c r="J52">
        <v>-16</v>
      </c>
      <c r="K52" s="34"/>
      <c r="L52" s="33"/>
      <c r="M52" s="32">
        <v>202</v>
      </c>
      <c r="N52" s="159"/>
    </row>
    <row r="53" spans="1:29">
      <c r="A53" s="161"/>
      <c r="B53" s="321" t="s">
        <v>365</v>
      </c>
      <c r="C53" s="291" t="s">
        <v>35</v>
      </c>
      <c r="D53">
        <v>13</v>
      </c>
      <c r="E53">
        <v>14</v>
      </c>
      <c r="H53" s="152">
        <v>0</v>
      </c>
      <c r="I53" s="153">
        <v>0.5</v>
      </c>
      <c r="J53">
        <v>28</v>
      </c>
      <c r="K53" s="34"/>
      <c r="L53" s="33"/>
      <c r="M53" s="32">
        <v>380</v>
      </c>
      <c r="N53" s="159"/>
      <c r="V53" s="1"/>
      <c r="W53" s="1"/>
    </row>
    <row r="54" spans="1:29">
      <c r="A54" s="161"/>
      <c r="B54" s="321" t="s">
        <v>343</v>
      </c>
      <c r="C54" s="70" t="s">
        <v>15</v>
      </c>
      <c r="D54">
        <v>1</v>
      </c>
      <c r="E54">
        <v>1</v>
      </c>
      <c r="H54" s="152">
        <v>0.5</v>
      </c>
      <c r="I54" s="153">
        <v>1</v>
      </c>
      <c r="J54">
        <v>2</v>
      </c>
      <c r="K54" s="34"/>
      <c r="L54" s="33"/>
      <c r="M54" s="32">
        <v>391</v>
      </c>
      <c r="N54" s="159"/>
    </row>
    <row r="55" spans="1:29">
      <c r="A55" s="161"/>
      <c r="B55" s="321" t="s">
        <v>344</v>
      </c>
      <c r="C55" s="70" t="s">
        <v>132</v>
      </c>
      <c r="D55">
        <v>2</v>
      </c>
      <c r="E55">
        <v>2</v>
      </c>
      <c r="H55" s="152">
        <v>0</v>
      </c>
      <c r="I55" s="153">
        <v>0.66659999999999997</v>
      </c>
      <c r="J55">
        <v>35</v>
      </c>
      <c r="K55" s="34"/>
      <c r="L55" s="33"/>
      <c r="M55" s="32">
        <v>181</v>
      </c>
      <c r="N55" s="159"/>
    </row>
    <row r="56" spans="1:29">
      <c r="A56" s="161"/>
      <c r="B56" s="321" t="s">
        <v>345</v>
      </c>
      <c r="C56" s="291" t="s">
        <v>103</v>
      </c>
      <c r="D56">
        <v>30</v>
      </c>
      <c r="E56">
        <v>30</v>
      </c>
      <c r="H56" s="152">
        <v>0</v>
      </c>
      <c r="I56" s="369">
        <v>0</v>
      </c>
      <c r="J56">
        <v>-27</v>
      </c>
      <c r="K56" s="34"/>
      <c r="L56" s="33"/>
      <c r="M56" s="32">
        <v>59</v>
      </c>
      <c r="N56" s="159"/>
    </row>
    <row r="57" spans="1:29">
      <c r="A57" s="161"/>
      <c r="B57" s="321" t="s">
        <v>346</v>
      </c>
      <c r="C57" s="349" t="s">
        <v>54</v>
      </c>
      <c r="D57" s="159">
        <v>54</v>
      </c>
      <c r="E57" s="159">
        <v>63</v>
      </c>
      <c r="F57" s="159"/>
      <c r="G57" s="159"/>
      <c r="H57" s="156">
        <v>0</v>
      </c>
      <c r="I57" s="153">
        <v>0</v>
      </c>
      <c r="J57">
        <v>-38</v>
      </c>
      <c r="K57" s="34"/>
      <c r="L57" s="33"/>
      <c r="M57" s="32">
        <v>391</v>
      </c>
      <c r="N57" s="159"/>
    </row>
    <row r="58" spans="1:29">
      <c r="A58" s="161"/>
      <c r="B58" s="321" t="s">
        <v>347</v>
      </c>
      <c r="C58" s="291" t="s">
        <v>35</v>
      </c>
      <c r="D58" s="159">
        <v>5</v>
      </c>
      <c r="E58" s="159">
        <v>5</v>
      </c>
      <c r="F58" s="159"/>
      <c r="G58" s="159"/>
      <c r="H58" s="156">
        <v>0.2</v>
      </c>
      <c r="I58" s="153">
        <v>0.6</v>
      </c>
      <c r="J58">
        <v>22</v>
      </c>
      <c r="K58" s="34"/>
      <c r="L58" s="33"/>
      <c r="M58" s="32">
        <v>434</v>
      </c>
      <c r="N58" s="159"/>
    </row>
    <row r="59" spans="1:29">
      <c r="A59" s="161"/>
      <c r="B59" s="321" t="s">
        <v>348</v>
      </c>
      <c r="C59" s="349" t="s">
        <v>49</v>
      </c>
      <c r="D59" s="159">
        <v>22</v>
      </c>
      <c r="E59" s="159">
        <v>18</v>
      </c>
      <c r="F59" s="159"/>
      <c r="G59" s="159"/>
      <c r="H59" s="156">
        <v>0</v>
      </c>
      <c r="I59" s="153">
        <v>0</v>
      </c>
      <c r="J59">
        <v>31</v>
      </c>
      <c r="K59" s="34"/>
      <c r="L59" s="33"/>
      <c r="M59" s="32">
        <v>216</v>
      </c>
      <c r="N59" s="159"/>
    </row>
    <row r="60" spans="1:29">
      <c r="A60" s="161"/>
      <c r="B60" s="321" t="s">
        <v>349</v>
      </c>
      <c r="C60" s="388" t="s">
        <v>82</v>
      </c>
      <c r="D60" s="159">
        <v>3</v>
      </c>
      <c r="E60" s="370">
        <v>3</v>
      </c>
      <c r="F60" s="159"/>
      <c r="G60" s="159"/>
      <c r="H60" s="156">
        <v>0</v>
      </c>
      <c r="I60" s="153">
        <v>0.2</v>
      </c>
      <c r="J60">
        <v>25</v>
      </c>
      <c r="K60" s="34"/>
      <c r="L60" s="33"/>
      <c r="M60" s="32">
        <v>92</v>
      </c>
    </row>
    <row r="61" spans="1:29">
      <c r="A61" s="161"/>
      <c r="B61" s="393" t="s">
        <v>269</v>
      </c>
      <c r="C61" s="291" t="s">
        <v>93</v>
      </c>
      <c r="D61" s="103">
        <v>60</v>
      </c>
      <c r="H61" s="203">
        <v>0</v>
      </c>
      <c r="I61" s="204">
        <f>1/6</f>
        <v>0.16666666666666666</v>
      </c>
      <c r="J61">
        <v>-7</v>
      </c>
      <c r="K61" s="34"/>
      <c r="L61" s="33"/>
      <c r="M61" s="34">
        <v>209</v>
      </c>
    </row>
    <row r="62" spans="1:29">
      <c r="A62" s="161"/>
      <c r="B62" s="393" t="s">
        <v>268</v>
      </c>
      <c r="C62" s="60" t="s">
        <v>15</v>
      </c>
      <c r="D62" s="103">
        <v>1</v>
      </c>
      <c r="H62" s="203">
        <f>3/7</f>
        <v>0.42857142857142855</v>
      </c>
      <c r="I62" s="204">
        <f>5/6</f>
        <v>0.83333333333333337</v>
      </c>
      <c r="J62" s="261">
        <v>0</v>
      </c>
      <c r="K62" s="34"/>
      <c r="L62" s="33"/>
      <c r="M62" s="34">
        <v>335</v>
      </c>
      <c r="N62" s="103"/>
    </row>
    <row r="63" spans="1:29">
      <c r="A63" s="161"/>
      <c r="B63" s="321" t="s">
        <v>273</v>
      </c>
      <c r="C63" s="291" t="s">
        <v>72</v>
      </c>
      <c r="D63" s="103">
        <v>35</v>
      </c>
      <c r="E63" s="103"/>
      <c r="F63" s="103"/>
      <c r="G63" s="103"/>
      <c r="H63" s="203">
        <v>0</v>
      </c>
      <c r="I63" s="204">
        <f>2/8</f>
        <v>0.25</v>
      </c>
      <c r="J63" s="262">
        <v>7</v>
      </c>
      <c r="K63" s="34"/>
      <c r="L63" s="33"/>
      <c r="M63" s="116">
        <v>392</v>
      </c>
      <c r="N63" s="103"/>
    </row>
    <row r="64" spans="1:29">
      <c r="A64" s="161"/>
      <c r="B64" s="393" t="s">
        <v>272</v>
      </c>
      <c r="C64" s="60" t="s">
        <v>69</v>
      </c>
      <c r="D64" s="103">
        <v>2</v>
      </c>
      <c r="E64" s="103"/>
      <c r="F64" s="103"/>
      <c r="G64" s="103"/>
      <c r="H64" s="203">
        <v>8.3333333333333329E-2</v>
      </c>
      <c r="I64" s="204">
        <v>0.25</v>
      </c>
      <c r="J64" s="261">
        <v>-2</v>
      </c>
      <c r="K64" s="34"/>
      <c r="L64" s="33"/>
      <c r="M64" s="116">
        <v>173</v>
      </c>
    </row>
    <row r="65" spans="1:24">
      <c r="A65" s="161"/>
      <c r="B65" s="393" t="s">
        <v>274</v>
      </c>
      <c r="C65" s="291" t="s">
        <v>18</v>
      </c>
      <c r="D65">
        <v>8</v>
      </c>
      <c r="H65" s="203">
        <v>0</v>
      </c>
      <c r="I65" s="204">
        <f>3/10</f>
        <v>0.3</v>
      </c>
      <c r="J65" s="261">
        <v>15</v>
      </c>
      <c r="K65" s="34"/>
      <c r="L65" s="33"/>
      <c r="M65" s="34">
        <v>370</v>
      </c>
    </row>
    <row r="66" spans="1:24">
      <c r="A66" s="161"/>
      <c r="B66" s="393" t="s">
        <v>277</v>
      </c>
      <c r="C66" s="60" t="s">
        <v>68</v>
      </c>
      <c r="D66">
        <v>2</v>
      </c>
      <c r="H66" s="203">
        <v>0</v>
      </c>
      <c r="I66" s="204">
        <f>4/8</f>
        <v>0.5</v>
      </c>
      <c r="J66" s="261">
        <v>-2</v>
      </c>
      <c r="K66" s="34"/>
      <c r="L66" s="33"/>
      <c r="M66" s="34">
        <v>210</v>
      </c>
    </row>
    <row r="67" spans="1:24">
      <c r="A67" s="161"/>
      <c r="B67" s="394" t="s">
        <v>276</v>
      </c>
      <c r="C67" s="289" t="s">
        <v>307</v>
      </c>
      <c r="D67" s="52"/>
      <c r="E67" s="52"/>
      <c r="F67" s="52"/>
      <c r="G67" s="52"/>
      <c r="H67" s="51"/>
      <c r="I67" s="371"/>
      <c r="J67" s="371"/>
      <c r="K67" s="34"/>
      <c r="L67" s="33"/>
      <c r="M67" s="372"/>
    </row>
    <row r="68" spans="1:24">
      <c r="A68" s="161"/>
      <c r="B68" s="393" t="s">
        <v>278</v>
      </c>
      <c r="C68" s="291" t="s">
        <v>90</v>
      </c>
      <c r="D68">
        <v>58</v>
      </c>
      <c r="H68" s="151">
        <v>0</v>
      </c>
      <c r="I68" s="15">
        <v>0.21052631578947367</v>
      </c>
      <c r="J68">
        <v>42</v>
      </c>
      <c r="K68" s="34"/>
      <c r="L68" s="33"/>
      <c r="M68" s="34">
        <v>276</v>
      </c>
    </row>
    <row r="69" spans="1:24">
      <c r="A69" s="161"/>
      <c r="B69" s="393" t="s">
        <v>279</v>
      </c>
      <c r="C69" s="291" t="s">
        <v>47</v>
      </c>
      <c r="D69">
        <v>9</v>
      </c>
      <c r="H69" s="151">
        <v>0</v>
      </c>
      <c r="I69" s="15">
        <v>0.4</v>
      </c>
      <c r="J69">
        <v>10</v>
      </c>
      <c r="K69" s="34"/>
      <c r="L69" s="33"/>
      <c r="M69" s="34">
        <v>376</v>
      </c>
    </row>
    <row r="70" spans="1:24">
      <c r="A70" s="161"/>
      <c r="B70" s="393" t="s">
        <v>280</v>
      </c>
      <c r="C70" s="291" t="s">
        <v>158</v>
      </c>
      <c r="D70">
        <v>15</v>
      </c>
      <c r="H70" s="151">
        <v>0</v>
      </c>
      <c r="I70" s="15">
        <v>0.25</v>
      </c>
      <c r="J70">
        <v>-5</v>
      </c>
      <c r="K70" s="34"/>
      <c r="L70" s="33"/>
      <c r="M70" s="34">
        <v>213</v>
      </c>
    </row>
    <row r="71" spans="1:24">
      <c r="A71" s="161"/>
      <c r="B71" s="393" t="s">
        <v>281</v>
      </c>
      <c r="C71" s="291" t="s">
        <v>18</v>
      </c>
      <c r="D71">
        <v>11</v>
      </c>
      <c r="H71" s="151">
        <v>0.05</v>
      </c>
      <c r="I71" s="15">
        <v>0.3</v>
      </c>
      <c r="J71">
        <v>12</v>
      </c>
      <c r="K71" s="34"/>
      <c r="L71" s="33"/>
      <c r="M71" s="34">
        <v>422</v>
      </c>
    </row>
    <row r="72" spans="1:24">
      <c r="A72" s="161"/>
      <c r="B72" s="393" t="s">
        <v>282</v>
      </c>
      <c r="C72" s="291" t="s">
        <v>58</v>
      </c>
      <c r="D72">
        <v>30</v>
      </c>
      <c r="H72" s="151">
        <v>6.25E-2</v>
      </c>
      <c r="I72" s="15">
        <v>0.25</v>
      </c>
      <c r="J72" s="16">
        <v>1</v>
      </c>
      <c r="K72" s="34"/>
      <c r="L72" s="33"/>
      <c r="M72" s="34">
        <v>404</v>
      </c>
    </row>
    <row r="73" spans="1:24" ht="15.75" thickBot="1">
      <c r="A73" s="161"/>
      <c r="B73" s="393" t="s">
        <v>284</v>
      </c>
      <c r="C73" s="389" t="s">
        <v>44</v>
      </c>
      <c r="D73">
        <v>1</v>
      </c>
      <c r="H73" s="151">
        <v>0</v>
      </c>
      <c r="I73" s="15">
        <v>0.41176470588235292</v>
      </c>
      <c r="J73" s="16">
        <v>2</v>
      </c>
      <c r="K73" s="34"/>
      <c r="L73" s="33"/>
      <c r="M73" s="34">
        <v>244</v>
      </c>
    </row>
    <row r="74" spans="1:24" ht="15.75" thickBot="1">
      <c r="A74" s="161"/>
      <c r="B74" s="393" t="s">
        <v>283</v>
      </c>
      <c r="C74" s="389" t="s">
        <v>110</v>
      </c>
      <c r="D74">
        <v>2</v>
      </c>
      <c r="H74" s="151">
        <v>0</v>
      </c>
      <c r="I74" s="15">
        <v>0.13636363636363635</v>
      </c>
      <c r="J74" s="263">
        <v>-3</v>
      </c>
      <c r="K74" s="34"/>
      <c r="L74" s="33"/>
      <c r="M74" s="34">
        <v>193</v>
      </c>
      <c r="O74" s="415" t="s">
        <v>588</v>
      </c>
      <c r="P74" s="416"/>
      <c r="Q74" s="416"/>
      <c r="R74" s="416"/>
      <c r="S74" s="416"/>
      <c r="T74" s="416"/>
      <c r="U74" s="416"/>
      <c r="V74" s="416"/>
      <c r="W74" s="416"/>
      <c r="X74" s="417"/>
    </row>
    <row r="75" spans="1:24" ht="15.75" thickBot="1">
      <c r="A75" s="161"/>
      <c r="B75" s="393" t="s">
        <v>288</v>
      </c>
      <c r="C75" s="355" t="s">
        <v>13</v>
      </c>
      <c r="D75">
        <v>5</v>
      </c>
      <c r="H75" s="154">
        <v>0</v>
      </c>
      <c r="I75" s="155">
        <v>9.0909090909090912E-2</v>
      </c>
      <c r="J75" s="263">
        <v>9</v>
      </c>
      <c r="K75" s="34"/>
      <c r="L75" s="33"/>
      <c r="M75" s="34">
        <v>93</v>
      </c>
      <c r="O75" s="189" t="s">
        <v>324</v>
      </c>
      <c r="P75" s="124" t="s">
        <v>323</v>
      </c>
      <c r="Q75" s="228" t="s">
        <v>528</v>
      </c>
      <c r="R75" s="229" t="s">
        <v>529</v>
      </c>
      <c r="S75" s="276" t="s">
        <v>217</v>
      </c>
      <c r="T75" s="254" t="s">
        <v>537</v>
      </c>
      <c r="U75" s="254" t="s">
        <v>536</v>
      </c>
      <c r="V75" s="254" t="s">
        <v>535</v>
      </c>
      <c r="W75" s="244" t="s">
        <v>566</v>
      </c>
      <c r="X75" s="274" t="s">
        <v>472</v>
      </c>
    </row>
    <row r="76" spans="1:24" ht="15.75" thickBot="1">
      <c r="A76" s="161"/>
      <c r="B76" s="393" t="s">
        <v>286</v>
      </c>
      <c r="C76" s="291" t="s">
        <v>154</v>
      </c>
      <c r="D76">
        <v>38</v>
      </c>
      <c r="H76" s="151">
        <v>0</v>
      </c>
      <c r="I76" s="15">
        <v>0.21739130434782608</v>
      </c>
      <c r="J76">
        <v>30</v>
      </c>
      <c r="K76" s="34"/>
      <c r="L76" s="33"/>
      <c r="M76" s="34">
        <v>433</v>
      </c>
      <c r="O76" s="277">
        <f>AVERAGE(D3:D47)</f>
        <v>36.25</v>
      </c>
      <c r="P76" s="271">
        <f>AVERAGE(E3:E47)</f>
        <v>31.75</v>
      </c>
      <c r="Q76" s="271">
        <f t="shared" ref="P76:R76" si="5">AVERAGE(F3:F47)</f>
        <v>35.5</v>
      </c>
      <c r="R76" s="271">
        <f>AVERAGE(G3:G47)</f>
        <v>30.875</v>
      </c>
      <c r="S76" s="275"/>
      <c r="T76" s="273">
        <f>AVERAGE(H:H)</f>
        <v>5.9877850494008338E-2</v>
      </c>
      <c r="U76" s="272">
        <f>AVERAGE(I:I)</f>
        <v>0.29330119079989986</v>
      </c>
      <c r="V76" s="271">
        <f>AVERAGE(J:J)</f>
        <v>5.4729729729729728</v>
      </c>
      <c r="W76" s="271">
        <f>AVERAGE(K:K)</f>
        <v>76.07692307692308</v>
      </c>
      <c r="X76" s="330">
        <f>AVERAGE(L:L)</f>
        <v>390.57142857142856</v>
      </c>
    </row>
    <row r="77" spans="1:24" ht="14.25" customHeight="1" thickBot="1">
      <c r="A77" s="161"/>
      <c r="B77" s="393" t="s">
        <v>289</v>
      </c>
      <c r="C77" s="291" t="s">
        <v>101</v>
      </c>
      <c r="D77">
        <v>49</v>
      </c>
      <c r="H77" s="151">
        <v>0</v>
      </c>
      <c r="I77" s="15">
        <v>6.8965517241379309E-2</v>
      </c>
      <c r="J77" s="16">
        <v>5</v>
      </c>
      <c r="K77" s="34"/>
      <c r="L77" s="33"/>
      <c r="M77" s="34">
        <v>228</v>
      </c>
    </row>
    <row r="78" spans="1:24" ht="15.75" thickBot="1">
      <c r="A78" s="161"/>
      <c r="B78" s="393" t="s">
        <v>291</v>
      </c>
      <c r="C78" s="355" t="s">
        <v>145</v>
      </c>
      <c r="D78">
        <v>30</v>
      </c>
      <c r="H78" s="151">
        <v>0</v>
      </c>
      <c r="I78" s="15">
        <v>0.125</v>
      </c>
      <c r="J78" s="16">
        <v>51</v>
      </c>
      <c r="K78" s="34"/>
      <c r="L78" s="33"/>
      <c r="M78" s="34">
        <v>249</v>
      </c>
      <c r="O78" s="415">
        <v>2023</v>
      </c>
      <c r="P78" s="417"/>
    </row>
    <row r="79" spans="1:24" ht="15.75" thickBot="1">
      <c r="A79" s="161"/>
      <c r="B79" s="395" t="s">
        <v>293</v>
      </c>
      <c r="C79" s="291" t="s">
        <v>23</v>
      </c>
      <c r="D79">
        <v>37</v>
      </c>
      <c r="H79" s="205">
        <v>0</v>
      </c>
      <c r="I79" s="206">
        <v>0</v>
      </c>
      <c r="J79" s="16">
        <v>4</v>
      </c>
      <c r="K79" s="34"/>
      <c r="L79" s="33"/>
      <c r="M79" s="34">
        <v>168</v>
      </c>
      <c r="O79" s="135" t="s">
        <v>357</v>
      </c>
      <c r="P79" s="40" t="s">
        <v>356</v>
      </c>
    </row>
    <row r="80" spans="1:24">
      <c r="A80" s="161"/>
      <c r="B80" s="321" t="s">
        <v>294</v>
      </c>
      <c r="C80" s="60" t="s">
        <v>124</v>
      </c>
      <c r="D80">
        <v>2</v>
      </c>
      <c r="H80" s="203">
        <v>0</v>
      </c>
      <c r="I80" s="246">
        <f>7/22</f>
        <v>0.31818181818181818</v>
      </c>
      <c r="J80">
        <v>0</v>
      </c>
      <c r="K80" s="34"/>
      <c r="L80" s="33"/>
      <c r="M80" s="34">
        <v>197</v>
      </c>
      <c r="O80" s="116" t="s">
        <v>358</v>
      </c>
      <c r="P80" s="57">
        <f>AVERAGE(M48,M50,M51,M62,M64,M66,M73,M74,M80,M94,M96)</f>
        <v>275.90909090909093</v>
      </c>
    </row>
    <row r="81" spans="1:16" ht="15.75" thickBot="1">
      <c r="A81" s="22"/>
      <c r="B81" s="321" t="s">
        <v>295</v>
      </c>
      <c r="C81" s="291" t="s">
        <v>296</v>
      </c>
      <c r="D81">
        <v>15</v>
      </c>
      <c r="H81" s="203">
        <v>0</v>
      </c>
      <c r="I81" s="246">
        <f>5/19</f>
        <v>0.26315789473684209</v>
      </c>
      <c r="J81">
        <v>0</v>
      </c>
      <c r="K81" s="34"/>
      <c r="L81" s="33"/>
      <c r="M81" s="34">
        <v>180</v>
      </c>
      <c r="O81" s="131" t="s">
        <v>359</v>
      </c>
      <c r="P81" s="132">
        <f>AVERAGE(M3, M4,M49,M61,M63,M65,M68,M69,M70,M71,M72,M75,M76,M77,M78,M79,M81,M82,M85,M86,M87,M88,M89,M90,M91,M92)</f>
        <v>315.07692307692309</v>
      </c>
    </row>
    <row r="82" spans="1:16" ht="15.75" thickBot="1">
      <c r="A82" s="161"/>
      <c r="B82" s="321" t="s">
        <v>314</v>
      </c>
      <c r="C82" s="291" t="s">
        <v>65</v>
      </c>
      <c r="D82">
        <v>76</v>
      </c>
      <c r="H82" s="203">
        <f>1/36</f>
        <v>2.7777777777777776E-2</v>
      </c>
      <c r="I82" s="246">
        <f>3/26</f>
        <v>0.11538461538461539</v>
      </c>
      <c r="J82">
        <v>20</v>
      </c>
      <c r="K82" s="34"/>
      <c r="L82" s="33"/>
      <c r="M82" s="34">
        <v>174</v>
      </c>
    </row>
    <row r="83" spans="1:16" ht="15.75" thickBot="1">
      <c r="A83" s="161"/>
      <c r="B83" s="329" t="s">
        <v>315</v>
      </c>
      <c r="C83" s="289" t="s">
        <v>316</v>
      </c>
      <c r="H83" s="208"/>
      <c r="I83" s="162"/>
      <c r="J83" s="373"/>
      <c r="K83" s="34"/>
      <c r="L83" s="33"/>
      <c r="M83" s="372"/>
      <c r="O83" s="135" t="s">
        <v>360</v>
      </c>
      <c r="P83" s="40" t="s">
        <v>207</v>
      </c>
    </row>
    <row r="84" spans="1:16" ht="15.75" thickBot="1">
      <c r="A84" s="161"/>
      <c r="B84" s="396" t="s">
        <v>318</v>
      </c>
      <c r="C84" s="390" t="s">
        <v>232</v>
      </c>
      <c r="D84" s="91"/>
      <c r="E84" s="91"/>
      <c r="F84" s="91"/>
      <c r="G84" s="91"/>
      <c r="H84" s="209"/>
      <c r="I84" s="210"/>
      <c r="J84" s="264"/>
      <c r="K84" s="34"/>
      <c r="L84" s="33"/>
      <c r="M84" s="374"/>
      <c r="N84" s="34"/>
      <c r="O84" s="116" t="s">
        <v>362</v>
      </c>
      <c r="P84" s="141">
        <f>(COUNTIFS(M3:M118, "&lt;=232", D3:D118, "&lt;=3"))/(COUNTIF(M3:M118, "&lt;=232"))</f>
        <v>0.32142857142857145</v>
      </c>
    </row>
    <row r="85" spans="1:16" ht="15.75" thickBot="1">
      <c r="A85" s="269">
        <v>2022</v>
      </c>
      <c r="B85" s="321" t="s">
        <v>338</v>
      </c>
      <c r="C85" s="290" t="s">
        <v>287</v>
      </c>
      <c r="D85" s="31">
        <v>8</v>
      </c>
      <c r="E85" s="29">
        <v>6</v>
      </c>
      <c r="F85" s="29"/>
      <c r="G85" s="30"/>
      <c r="H85" s="208">
        <f>3/13</f>
        <v>0.23076923076923078</v>
      </c>
      <c r="I85" s="180">
        <f>5/13</f>
        <v>0.38461538461538464</v>
      </c>
      <c r="J85">
        <v>5</v>
      </c>
      <c r="K85" s="34"/>
      <c r="L85" s="33"/>
      <c r="M85" s="33">
        <v>514</v>
      </c>
      <c r="O85" s="131" t="s">
        <v>363</v>
      </c>
      <c r="P85" s="133">
        <f>(COUNTIFS(M3:M118, "&gt;232", D3:D118, "&lt;=3"))/(COUNTIF(M3:M118, "&gt;232"))</f>
        <v>0.25490196078431371</v>
      </c>
    </row>
    <row r="86" spans="1:16">
      <c r="A86" s="161"/>
      <c r="B86" s="321" t="s">
        <v>339</v>
      </c>
      <c r="C86" s="291" t="s">
        <v>129</v>
      </c>
      <c r="D86" s="22">
        <v>9</v>
      </c>
      <c r="E86">
        <v>21</v>
      </c>
      <c r="G86" s="33"/>
      <c r="H86" s="208">
        <v>0</v>
      </c>
      <c r="I86" s="180">
        <v>0</v>
      </c>
      <c r="J86">
        <v>19</v>
      </c>
      <c r="K86" s="34"/>
      <c r="L86" s="33"/>
      <c r="M86" s="33">
        <v>282</v>
      </c>
    </row>
    <row r="87" spans="1:16">
      <c r="A87" s="161"/>
      <c r="B87" s="321" t="s">
        <v>340</v>
      </c>
      <c r="C87" s="349" t="s">
        <v>389</v>
      </c>
      <c r="D87" s="81">
        <v>21</v>
      </c>
      <c r="E87">
        <v>56</v>
      </c>
      <c r="G87" s="33"/>
      <c r="H87" s="208">
        <v>0</v>
      </c>
      <c r="I87" s="180">
        <v>0</v>
      </c>
      <c r="J87">
        <v>1</v>
      </c>
      <c r="K87" s="34"/>
      <c r="L87" s="33"/>
      <c r="M87" s="33">
        <v>321</v>
      </c>
      <c r="O87" t="s">
        <v>369</v>
      </c>
    </row>
    <row r="88" spans="1:16" ht="15.75" thickBot="1">
      <c r="A88" s="161"/>
      <c r="B88" s="321" t="s">
        <v>341</v>
      </c>
      <c r="C88" s="291" t="s">
        <v>23</v>
      </c>
      <c r="D88" s="22">
        <v>19</v>
      </c>
      <c r="E88">
        <v>16</v>
      </c>
      <c r="G88" s="33"/>
      <c r="H88" s="208">
        <v>0</v>
      </c>
      <c r="I88" s="180">
        <v>0</v>
      </c>
      <c r="J88">
        <v>-1</v>
      </c>
      <c r="K88" s="34"/>
      <c r="L88" s="33"/>
      <c r="M88" s="33">
        <v>486</v>
      </c>
    </row>
    <row r="89" spans="1:16" ht="15.75" thickBot="1">
      <c r="A89" s="161"/>
      <c r="B89" s="321" t="s">
        <v>342</v>
      </c>
      <c r="C89" s="349" t="s">
        <v>139</v>
      </c>
      <c r="D89" s="22">
        <v>23</v>
      </c>
      <c r="E89">
        <v>23</v>
      </c>
      <c r="G89" s="33"/>
      <c r="H89" s="208">
        <v>0</v>
      </c>
      <c r="I89" s="180">
        <v>0.33329999999999999</v>
      </c>
      <c r="J89">
        <v>30</v>
      </c>
      <c r="K89" s="34"/>
      <c r="L89" s="33"/>
      <c r="M89" s="33">
        <v>181</v>
      </c>
      <c r="O89" s="222" t="s">
        <v>435</v>
      </c>
      <c r="P89" s="223"/>
    </row>
    <row r="90" spans="1:16" ht="15.75" thickBot="1">
      <c r="A90" s="161"/>
      <c r="B90" s="321" t="s">
        <v>365</v>
      </c>
      <c r="C90" s="349" t="s">
        <v>35</v>
      </c>
      <c r="D90" s="22">
        <v>8</v>
      </c>
      <c r="E90">
        <v>8</v>
      </c>
      <c r="G90" s="33"/>
      <c r="H90" s="208">
        <v>0</v>
      </c>
      <c r="I90" s="180">
        <v>0</v>
      </c>
      <c r="J90">
        <v>37</v>
      </c>
      <c r="K90" s="34"/>
      <c r="L90" s="33"/>
      <c r="M90" s="33">
        <v>512</v>
      </c>
      <c r="O90" s="135" t="s">
        <v>437</v>
      </c>
      <c r="P90" s="40" t="s">
        <v>436</v>
      </c>
    </row>
    <row r="91" spans="1:16">
      <c r="A91" s="161"/>
      <c r="B91" s="321" t="s">
        <v>343</v>
      </c>
      <c r="C91" s="349" t="s">
        <v>382</v>
      </c>
      <c r="D91" s="22">
        <v>29</v>
      </c>
      <c r="E91">
        <v>28</v>
      </c>
      <c r="G91" s="33"/>
      <c r="H91" s="208">
        <v>0</v>
      </c>
      <c r="I91" s="180">
        <v>1</v>
      </c>
      <c r="J91">
        <v>65</v>
      </c>
      <c r="K91" s="34"/>
      <c r="L91" s="33"/>
      <c r="M91" s="33">
        <v>685</v>
      </c>
      <c r="O91" s="34" t="s">
        <v>446</v>
      </c>
      <c r="P91" s="183">
        <f>8/(COUNT(D3:D61)+COUNT(E85:E98))</f>
        <v>0.18604651162790697</v>
      </c>
    </row>
    <row r="92" spans="1:16" ht="15.75" thickBot="1">
      <c r="A92" s="161"/>
      <c r="B92" s="321" t="s">
        <v>344</v>
      </c>
      <c r="C92" s="349" t="s">
        <v>110</v>
      </c>
      <c r="D92" s="22">
        <v>87</v>
      </c>
      <c r="E92">
        <v>88</v>
      </c>
      <c r="G92" s="33"/>
      <c r="H92" s="208">
        <v>0</v>
      </c>
      <c r="I92" s="180">
        <v>0</v>
      </c>
      <c r="J92">
        <v>47</v>
      </c>
      <c r="K92" s="34"/>
      <c r="L92" s="33"/>
      <c r="M92" s="33">
        <v>227</v>
      </c>
      <c r="O92" s="179" t="s">
        <v>438</v>
      </c>
      <c r="P92" s="184">
        <f>15/(COUNT(D62:D82)+COUNT(D99:D118))</f>
        <v>0.38461538461538464</v>
      </c>
    </row>
    <row r="93" spans="1:16">
      <c r="A93" s="161"/>
      <c r="B93" s="329" t="s">
        <v>345</v>
      </c>
      <c r="C93" s="289" t="s">
        <v>37</v>
      </c>
      <c r="D93" s="22"/>
      <c r="G93" s="33"/>
      <c r="H93" s="208"/>
      <c r="I93" s="180"/>
      <c r="J93" s="52"/>
      <c r="K93" s="34"/>
      <c r="L93" s="33"/>
      <c r="M93" s="53"/>
    </row>
    <row r="94" spans="1:16">
      <c r="A94" s="161"/>
      <c r="B94" s="321" t="s">
        <v>346</v>
      </c>
      <c r="C94" s="391" t="s">
        <v>35</v>
      </c>
      <c r="D94" s="22">
        <v>2</v>
      </c>
      <c r="E94">
        <v>1</v>
      </c>
      <c r="G94" s="33"/>
      <c r="H94" s="208">
        <v>0.25</v>
      </c>
      <c r="I94" s="180">
        <v>0.5</v>
      </c>
      <c r="J94">
        <v>51</v>
      </c>
      <c r="K94" s="34"/>
      <c r="L94" s="33"/>
      <c r="M94" s="33">
        <v>533</v>
      </c>
      <c r="P94" s="105"/>
    </row>
    <row r="95" spans="1:16">
      <c r="A95" s="161"/>
      <c r="B95" s="321" t="s">
        <v>347</v>
      </c>
      <c r="C95" s="349" t="s">
        <v>287</v>
      </c>
      <c r="D95" s="22">
        <v>19</v>
      </c>
      <c r="E95">
        <v>11</v>
      </c>
      <c r="G95" s="33"/>
      <c r="H95" s="208">
        <v>0.33</v>
      </c>
      <c r="I95" s="180">
        <v>0.33</v>
      </c>
      <c r="J95">
        <v>-3</v>
      </c>
      <c r="K95" s="34"/>
      <c r="L95" s="33"/>
      <c r="M95" s="33">
        <v>806</v>
      </c>
    </row>
    <row r="96" spans="1:16">
      <c r="A96" s="161"/>
      <c r="B96" s="321" t="s">
        <v>348</v>
      </c>
      <c r="C96" s="391" t="s">
        <v>27</v>
      </c>
      <c r="D96" s="22">
        <v>2</v>
      </c>
      <c r="E96">
        <v>2</v>
      </c>
      <c r="G96" s="33"/>
      <c r="H96" s="208">
        <v>0</v>
      </c>
      <c r="I96" s="180">
        <f>1/6</f>
        <v>0.16666666666666666</v>
      </c>
      <c r="J96">
        <v>-10</v>
      </c>
      <c r="K96" s="34"/>
      <c r="L96" s="33"/>
      <c r="M96" s="33">
        <v>373</v>
      </c>
    </row>
    <row r="97" spans="1:19">
      <c r="A97" s="161"/>
      <c r="B97" s="321" t="s">
        <v>349</v>
      </c>
      <c r="C97" s="349" t="s">
        <v>148</v>
      </c>
      <c r="D97" s="22">
        <v>47</v>
      </c>
      <c r="E97">
        <v>45</v>
      </c>
      <c r="G97" s="33"/>
      <c r="H97" s="208">
        <v>0</v>
      </c>
      <c r="I97" s="180">
        <f>1/7</f>
        <v>0.14285714285714285</v>
      </c>
      <c r="J97">
        <v>-72</v>
      </c>
      <c r="K97" s="34"/>
      <c r="L97" s="33"/>
      <c r="M97" s="33">
        <v>26</v>
      </c>
      <c r="S97" t="s">
        <v>499</v>
      </c>
    </row>
    <row r="98" spans="1:19">
      <c r="A98" s="161"/>
      <c r="B98" s="393" t="s">
        <v>269</v>
      </c>
      <c r="C98" s="349" t="s">
        <v>112</v>
      </c>
      <c r="D98" s="22">
        <v>46</v>
      </c>
      <c r="E98">
        <v>34</v>
      </c>
      <c r="G98" s="33"/>
      <c r="H98" s="208">
        <v>0</v>
      </c>
      <c r="I98" s="180">
        <v>0</v>
      </c>
      <c r="J98">
        <v>-18</v>
      </c>
      <c r="K98" s="34"/>
      <c r="L98" s="33"/>
      <c r="M98" s="33">
        <v>209</v>
      </c>
      <c r="N98" s="103"/>
      <c r="S98" t="s">
        <v>500</v>
      </c>
    </row>
    <row r="99" spans="1:19">
      <c r="A99" s="161"/>
      <c r="B99" s="321" t="s">
        <v>268</v>
      </c>
      <c r="C99" s="60" t="s">
        <v>35</v>
      </c>
      <c r="D99" s="107">
        <v>1</v>
      </c>
      <c r="E99" s="150"/>
      <c r="F99" s="103"/>
      <c r="G99" s="57"/>
      <c r="H99" s="247">
        <f>2/6</f>
        <v>0.33333333333333331</v>
      </c>
      <c r="I99" s="207">
        <v>0.5</v>
      </c>
      <c r="J99">
        <v>1</v>
      </c>
      <c r="K99" s="34"/>
      <c r="L99" s="33"/>
      <c r="M99" s="375">
        <v>785</v>
      </c>
      <c r="N99" s="368"/>
      <c r="S99" s="1" t="s">
        <v>501</v>
      </c>
    </row>
    <row r="100" spans="1:19">
      <c r="A100" s="161"/>
      <c r="B100" s="397" t="s">
        <v>273</v>
      </c>
      <c r="C100" s="291" t="s">
        <v>76</v>
      </c>
      <c r="D100" s="257">
        <v>46</v>
      </c>
      <c r="E100" s="371">
        <v>44</v>
      </c>
      <c r="F100" s="376"/>
      <c r="G100" s="202"/>
      <c r="H100" s="248">
        <v>0</v>
      </c>
      <c r="I100" s="249">
        <v>0.1111</v>
      </c>
      <c r="J100" s="52">
        <v>-11</v>
      </c>
      <c r="K100" s="34"/>
      <c r="L100" s="33"/>
      <c r="M100" s="377">
        <v>461</v>
      </c>
      <c r="N100" s="103"/>
      <c r="S100" t="s">
        <v>502</v>
      </c>
    </row>
    <row r="101" spans="1:19">
      <c r="A101" s="161"/>
      <c r="B101" s="321" t="s">
        <v>270</v>
      </c>
      <c r="C101" s="60" t="s">
        <v>271</v>
      </c>
      <c r="D101" s="107">
        <v>1</v>
      </c>
      <c r="E101" s="150"/>
      <c r="F101" s="103"/>
      <c r="G101" s="57"/>
      <c r="H101" s="248"/>
      <c r="I101" s="249"/>
      <c r="J101" s="52"/>
      <c r="K101" s="34"/>
      <c r="L101" s="33"/>
      <c r="M101" s="378"/>
      <c r="N101" s="103"/>
    </row>
    <row r="102" spans="1:19">
      <c r="A102" s="161"/>
      <c r="B102" s="321" t="s">
        <v>272</v>
      </c>
      <c r="C102" s="60" t="s">
        <v>15</v>
      </c>
      <c r="D102" s="107">
        <v>1</v>
      </c>
      <c r="E102" s="150"/>
      <c r="F102" s="103"/>
      <c r="G102" s="57"/>
      <c r="H102" s="247">
        <v>0</v>
      </c>
      <c r="I102" s="207">
        <f>3/8</f>
        <v>0.375</v>
      </c>
      <c r="J102" s="137">
        <v>1</v>
      </c>
      <c r="K102" s="34"/>
      <c r="L102" s="33"/>
      <c r="M102" s="375">
        <v>151</v>
      </c>
      <c r="N102" s="103"/>
    </row>
    <row r="103" spans="1:19">
      <c r="A103" s="161"/>
      <c r="B103" s="321" t="s">
        <v>274</v>
      </c>
      <c r="C103" s="60" t="s">
        <v>66</v>
      </c>
      <c r="D103" s="107">
        <v>3</v>
      </c>
      <c r="E103" s="150"/>
      <c r="F103" s="103"/>
      <c r="G103" s="57"/>
      <c r="H103" s="247">
        <v>0</v>
      </c>
      <c r="I103" s="207">
        <f>1/7</f>
        <v>0.14285714285714285</v>
      </c>
      <c r="J103" s="137">
        <v>5</v>
      </c>
      <c r="K103" s="34"/>
      <c r="L103" s="33"/>
      <c r="M103" s="375">
        <v>246</v>
      </c>
      <c r="N103" s="103"/>
    </row>
    <row r="104" spans="1:19">
      <c r="A104" s="161"/>
      <c r="B104" s="321" t="s">
        <v>275</v>
      </c>
      <c r="C104" s="291" t="s">
        <v>92</v>
      </c>
      <c r="D104" s="107">
        <v>79</v>
      </c>
      <c r="E104" s="150"/>
      <c r="F104" s="103"/>
      <c r="G104" s="57"/>
      <c r="H104" s="247">
        <v>0</v>
      </c>
      <c r="I104" s="207">
        <v>0</v>
      </c>
      <c r="J104" s="137">
        <v>-22</v>
      </c>
      <c r="K104" s="34"/>
      <c r="L104" s="33"/>
      <c r="M104" s="375">
        <v>371</v>
      </c>
      <c r="N104" s="103"/>
    </row>
    <row r="105" spans="1:19">
      <c r="A105" s="161"/>
      <c r="B105" s="321" t="s">
        <v>276</v>
      </c>
      <c r="C105" s="291" t="s">
        <v>42</v>
      </c>
      <c r="D105" s="81">
        <v>7</v>
      </c>
      <c r="E105" s="16"/>
      <c r="F105" s="103"/>
      <c r="G105" s="82"/>
      <c r="H105" s="203">
        <v>0</v>
      </c>
      <c r="I105" s="250">
        <f>6/9</f>
        <v>0.66666666666666663</v>
      </c>
      <c r="J105" s="16">
        <v>-1</v>
      </c>
      <c r="K105" s="34"/>
      <c r="L105" s="33"/>
      <c r="M105" s="375">
        <v>876</v>
      </c>
    </row>
    <row r="106" spans="1:19">
      <c r="A106" s="161"/>
      <c r="B106" s="321" t="s">
        <v>278</v>
      </c>
      <c r="C106" s="60" t="s">
        <v>27</v>
      </c>
      <c r="D106" s="107">
        <v>3</v>
      </c>
      <c r="E106" s="150"/>
      <c r="F106" s="103"/>
      <c r="G106" s="57"/>
      <c r="H106" s="203">
        <v>0.09</v>
      </c>
      <c r="I106" s="250">
        <f>3/11</f>
        <v>0.27272727272727271</v>
      </c>
      <c r="J106">
        <v>-3</v>
      </c>
      <c r="K106" s="34"/>
      <c r="L106" s="33"/>
      <c r="M106" s="33">
        <v>470</v>
      </c>
    </row>
    <row r="107" spans="1:19">
      <c r="A107" s="161"/>
      <c r="B107" s="321" t="s">
        <v>279</v>
      </c>
      <c r="C107" s="291" t="s">
        <v>115</v>
      </c>
      <c r="D107" s="107">
        <v>27</v>
      </c>
      <c r="E107" s="150"/>
      <c r="F107" s="103"/>
      <c r="G107" s="57"/>
      <c r="H107" s="203">
        <v>0</v>
      </c>
      <c r="I107" s="250">
        <f>4/12</f>
        <v>0.33333333333333331</v>
      </c>
      <c r="J107">
        <v>-12</v>
      </c>
      <c r="K107" s="34"/>
      <c r="L107" s="33"/>
      <c r="M107" s="33">
        <v>587</v>
      </c>
    </row>
    <row r="108" spans="1:19">
      <c r="A108" s="161"/>
      <c r="B108" s="321" t="s">
        <v>280</v>
      </c>
      <c r="C108" s="60" t="s">
        <v>6</v>
      </c>
      <c r="D108" s="107">
        <v>2</v>
      </c>
      <c r="E108" s="150"/>
      <c r="G108" s="57"/>
      <c r="H108" s="203">
        <v>0</v>
      </c>
      <c r="I108" s="250">
        <v>0.5</v>
      </c>
      <c r="J108">
        <v>2</v>
      </c>
      <c r="K108" s="34"/>
      <c r="L108" s="33"/>
      <c r="M108" s="33">
        <v>256</v>
      </c>
    </row>
    <row r="109" spans="1:19">
      <c r="A109" s="161"/>
      <c r="B109" s="321" t="s">
        <v>281</v>
      </c>
      <c r="C109" s="291" t="s">
        <v>72</v>
      </c>
      <c r="D109" s="107">
        <v>8</v>
      </c>
      <c r="E109" s="150"/>
      <c r="G109" s="57"/>
      <c r="H109" s="203">
        <v>0</v>
      </c>
      <c r="I109" s="250">
        <f>7/12</f>
        <v>0.58333333333333337</v>
      </c>
      <c r="J109">
        <v>-1</v>
      </c>
      <c r="K109" s="34"/>
      <c r="L109" s="33"/>
      <c r="M109" s="33">
        <v>830</v>
      </c>
    </row>
    <row r="110" spans="1:19">
      <c r="A110" s="161"/>
      <c r="B110" s="321" t="s">
        <v>282</v>
      </c>
      <c r="C110" s="60" t="s">
        <v>73</v>
      </c>
      <c r="D110" s="22">
        <v>1</v>
      </c>
      <c r="G110" s="57"/>
      <c r="H110" s="203">
        <v>0</v>
      </c>
      <c r="I110" s="250">
        <f>3/12</f>
        <v>0.25</v>
      </c>
      <c r="J110">
        <v>1</v>
      </c>
      <c r="K110" s="34"/>
      <c r="L110" s="33"/>
      <c r="M110" s="33">
        <v>405</v>
      </c>
    </row>
    <row r="111" spans="1:19">
      <c r="A111" s="161"/>
      <c r="B111" s="321" t="s">
        <v>283</v>
      </c>
      <c r="C111" s="291" t="s">
        <v>126</v>
      </c>
      <c r="D111" s="22">
        <v>33</v>
      </c>
      <c r="G111" s="57"/>
      <c r="H111" s="203">
        <v>0</v>
      </c>
      <c r="I111" s="250">
        <f>3/17</f>
        <v>0.17647058823529413</v>
      </c>
      <c r="J111">
        <v>14</v>
      </c>
      <c r="K111" s="34"/>
      <c r="L111" s="33"/>
      <c r="M111" s="33">
        <v>53</v>
      </c>
    </row>
    <row r="112" spans="1:19">
      <c r="A112" s="161"/>
      <c r="B112" s="321" t="s">
        <v>285</v>
      </c>
      <c r="C112" s="60" t="s">
        <v>73</v>
      </c>
      <c r="D112" s="22">
        <v>1</v>
      </c>
      <c r="G112" s="57"/>
      <c r="H112" s="203">
        <v>7.6923076923076927E-2</v>
      </c>
      <c r="I112" s="250">
        <v>0.30769230769230771</v>
      </c>
      <c r="J112">
        <v>5</v>
      </c>
      <c r="K112" s="34"/>
      <c r="L112" s="33"/>
      <c r="M112" s="33">
        <v>642</v>
      </c>
    </row>
    <row r="113" spans="1:14">
      <c r="A113" s="161"/>
      <c r="B113" s="321" t="s">
        <v>286</v>
      </c>
      <c r="C113" s="291" t="s">
        <v>287</v>
      </c>
      <c r="D113" s="22">
        <v>14</v>
      </c>
      <c r="G113" s="57"/>
      <c r="H113" s="203">
        <f>2/11</f>
        <v>0.18181818181818182</v>
      </c>
      <c r="I113" s="250">
        <f>4/11</f>
        <v>0.36363636363636365</v>
      </c>
      <c r="J113">
        <v>-8</v>
      </c>
      <c r="K113" s="34"/>
      <c r="L113" s="33"/>
      <c r="M113" s="33">
        <v>871</v>
      </c>
    </row>
    <row r="114" spans="1:14">
      <c r="A114" s="161"/>
      <c r="B114" s="321" t="s">
        <v>289</v>
      </c>
      <c r="C114" s="60" t="s">
        <v>69</v>
      </c>
      <c r="D114" s="22">
        <v>3</v>
      </c>
      <c r="G114" s="57"/>
      <c r="H114" s="203">
        <v>0</v>
      </c>
      <c r="I114" s="250">
        <f>3/16</f>
        <v>0.1875</v>
      </c>
      <c r="J114">
        <v>-1</v>
      </c>
      <c r="K114" s="34"/>
      <c r="L114" s="33"/>
      <c r="M114" s="33">
        <v>113</v>
      </c>
    </row>
    <row r="115" spans="1:14">
      <c r="A115" s="161"/>
      <c r="B115" s="321" t="s">
        <v>284</v>
      </c>
      <c r="C115" s="291" t="s">
        <v>69</v>
      </c>
      <c r="D115" s="22">
        <v>5</v>
      </c>
      <c r="G115" s="57"/>
      <c r="H115" s="203">
        <f>1/17</f>
        <v>5.8823529411764705E-2</v>
      </c>
      <c r="I115" s="250">
        <f>4/17</f>
        <v>0.23529411764705882</v>
      </c>
      <c r="J115">
        <v>15</v>
      </c>
      <c r="K115" s="34"/>
      <c r="L115" s="33"/>
      <c r="M115" s="33">
        <v>227</v>
      </c>
      <c r="N115" s="103"/>
    </row>
    <row r="116" spans="1:14" ht="15.75" thickBot="1">
      <c r="A116" s="270"/>
      <c r="B116" s="329" t="s">
        <v>367</v>
      </c>
      <c r="C116" s="392" t="s">
        <v>124</v>
      </c>
      <c r="D116" s="258"/>
      <c r="E116" s="376"/>
      <c r="F116" s="376"/>
      <c r="G116" s="202"/>
      <c r="H116" s="203"/>
      <c r="I116" s="250"/>
      <c r="J116" s="52"/>
      <c r="K116" s="34"/>
      <c r="L116" s="33"/>
      <c r="M116" s="378"/>
      <c r="N116" s="103"/>
    </row>
    <row r="117" spans="1:14">
      <c r="A117" s="420" t="s">
        <v>368</v>
      </c>
      <c r="B117" s="321" t="s">
        <v>290</v>
      </c>
      <c r="C117" s="291" t="s">
        <v>233</v>
      </c>
      <c r="D117" s="245">
        <v>9</v>
      </c>
      <c r="E117" s="103"/>
      <c r="F117" s="103"/>
      <c r="G117" s="57"/>
      <c r="H117" s="203">
        <v>0</v>
      </c>
      <c r="I117" s="250">
        <f>8/17</f>
        <v>0.47058823529411764</v>
      </c>
      <c r="J117">
        <v>-1</v>
      </c>
      <c r="K117" s="34"/>
      <c r="L117" s="33"/>
      <c r="M117" s="375">
        <v>391</v>
      </c>
      <c r="N117" s="103"/>
    </row>
    <row r="118" spans="1:14" ht="15.75" thickBot="1">
      <c r="A118" s="421"/>
      <c r="B118" s="192" t="s">
        <v>292</v>
      </c>
      <c r="C118" s="291" t="s">
        <v>40</v>
      </c>
      <c r="D118" s="245">
        <v>9</v>
      </c>
      <c r="E118" s="103"/>
      <c r="F118" s="103"/>
      <c r="G118" s="150"/>
      <c r="H118" s="247">
        <f>1/17</f>
        <v>5.8823529411764705E-2</v>
      </c>
      <c r="I118" s="207">
        <f>10/17</f>
        <v>0.58823529411764708</v>
      </c>
      <c r="J118" s="103">
        <v>-1</v>
      </c>
      <c r="K118" s="179"/>
      <c r="L118" s="92"/>
      <c r="M118" s="379">
        <v>296</v>
      </c>
    </row>
    <row r="120" spans="1:14">
      <c r="J120" t="s">
        <v>515</v>
      </c>
    </row>
    <row r="121" spans="1:14">
      <c r="J121" t="s">
        <v>516</v>
      </c>
    </row>
  </sheetData>
  <autoFilter ref="K2:L2" xr:uid="{6F9CB6C4-4F0B-4060-9AC9-6167D7885865}"/>
  <mergeCells count="14">
    <mergeCell ref="A117:A118"/>
    <mergeCell ref="Z9:AA9"/>
    <mergeCell ref="O43:P43"/>
    <mergeCell ref="O1:P1"/>
    <mergeCell ref="W12:X12"/>
    <mergeCell ref="O35:P35"/>
    <mergeCell ref="T5:V5"/>
    <mergeCell ref="O9:P9"/>
    <mergeCell ref="T12:U12"/>
    <mergeCell ref="O74:X74"/>
    <mergeCell ref="O78:P78"/>
    <mergeCell ref="Z35:AA35"/>
    <mergeCell ref="Z43:AA43"/>
    <mergeCell ref="B1:M1"/>
  </mergeCells>
  <phoneticPr fontId="19" type="noConversion"/>
  <conditionalFormatting sqref="J1788:J1048576 J2:J118">
    <cfRule type="cellIs" dxfId="479" priority="30" operator="between">
      <formula>4</formula>
      <formula>-4</formula>
    </cfRule>
  </conditionalFormatting>
  <conditionalFormatting sqref="O30">
    <cfRule type="cellIs" priority="31" operator="between">
      <formula>4</formula>
      <formula>-4</formula>
    </cfRule>
  </conditionalFormatting>
  <conditionalFormatting sqref="O76:R76 D3:G15 D17:G1048576 K3:K1048576">
    <cfRule type="cellIs" dxfId="478" priority="96" operator="between">
      <formula>101</formula>
      <formula>250</formula>
    </cfRule>
    <cfRule type="cellIs" dxfId="477" priority="97" operator="between">
      <formula>51</formula>
      <formula>100.5</formula>
    </cfRule>
    <cfRule type="cellIs" dxfId="476" priority="98" operator="between">
      <formula>21</formula>
      <formula>50.5</formula>
    </cfRule>
    <cfRule type="cellIs" dxfId="475" priority="99" operator="lessThanOrEqual">
      <formula>20.5</formula>
    </cfRule>
  </conditionalFormatting>
  <conditionalFormatting sqref="J1788:J1048576 J3:J118">
    <cfRule type="cellIs" dxfId="474" priority="109" operator="between">
      <formula>5</formula>
      <formula>9</formula>
    </cfRule>
    <cfRule type="cellIs" dxfId="473" priority="110" operator="lessThanOrEqual">
      <formula>-10</formula>
    </cfRule>
    <cfRule type="cellIs" dxfId="472" priority="111" operator="between">
      <formula>-5</formula>
      <formula>-9</formula>
    </cfRule>
    <cfRule type="cellIs" dxfId="471" priority="112" operator="greaterThanOrEqual">
      <formula>10</formula>
    </cfRule>
  </conditionalFormatting>
  <conditionalFormatting sqref="H3:I15 H17:I1048576">
    <cfRule type="cellIs" dxfId="470" priority="105" operator="between">
      <formula>0.005</formula>
      <formula>0.09</formula>
    </cfRule>
    <cfRule type="cellIs" dxfId="469" priority="106" operator="equal">
      <formula>0</formula>
    </cfRule>
    <cfRule type="cellIs" dxfId="468" priority="107" operator="between">
      <formula>0.1</formula>
      <formula>0.19</formula>
    </cfRule>
    <cfRule type="cellIs" dxfId="467" priority="108" operator="greaterThanOrEqual">
      <formula>0.2</formula>
    </cfRule>
  </conditionalFormatting>
  <conditionalFormatting sqref="F16:G16">
    <cfRule type="containsErrors" dxfId="466" priority="9">
      <formula>ISERROR(F16)</formula>
    </cfRule>
  </conditionalFormatting>
  <conditionalFormatting sqref="D16:G16">
    <cfRule type="cellIs" dxfId="465" priority="5" operator="between">
      <formula>101</formula>
      <formula>250</formula>
    </cfRule>
    <cfRule type="cellIs" dxfId="464" priority="6" operator="between">
      <formula>51</formula>
      <formula>100.5</formula>
    </cfRule>
    <cfRule type="cellIs" dxfId="463" priority="7" operator="between">
      <formula>21</formula>
      <formula>50.5</formula>
    </cfRule>
    <cfRule type="cellIs" dxfId="462" priority="8" operator="lessThanOrEqual">
      <formula>20.5</formula>
    </cfRule>
  </conditionalFormatting>
  <conditionalFormatting sqref="H16:I16">
    <cfRule type="cellIs" dxfId="461" priority="1" operator="between">
      <formula>0.005</formula>
      <formula>0.09</formula>
    </cfRule>
    <cfRule type="cellIs" dxfId="460" priority="2" operator="equal">
      <formula>0</formula>
    </cfRule>
    <cfRule type="cellIs" dxfId="459" priority="3" operator="between">
      <formula>0.1</formula>
      <formula>0.19</formula>
    </cfRule>
    <cfRule type="cellIs" dxfId="458" priority="4" operator="greaterThanOrEqual">
      <formula>0.2</formula>
    </cfRule>
  </conditionalFormatting>
  <pageMargins left="0.7" right="0.7" top="0.75" bottom="0.75" header="0.3" footer="0.3"/>
  <pageSetup orientation="portrait" r:id="rId1"/>
  <drawing r:id="rId2"/>
  <tableParts count="1">
    <tablePart r:id="rId3"/>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08E5B-4B47-44F2-A307-2A1D593A54D8}">
  <sheetPr codeName="Sheet16">
    <tabColor rgb="FF00B0F0"/>
  </sheetPr>
  <dimension ref="A1:AE133"/>
  <sheetViews>
    <sheetView zoomScale="80" zoomScaleNormal="80" workbookViewId="0">
      <selection activeCell="Y14" sqref="Y14"/>
    </sheetView>
  </sheetViews>
  <sheetFormatPr defaultRowHeight="15"/>
  <cols>
    <col min="2" max="2" width="18" bestFit="1" customWidth="1"/>
    <col min="3" max="3" width="10" bestFit="1" customWidth="1"/>
    <col min="4" max="4" width="13.5703125" bestFit="1" customWidth="1"/>
    <col min="5" max="5" width="11.28515625" bestFit="1" customWidth="1"/>
    <col min="6" max="6" width="14.85546875" bestFit="1" customWidth="1"/>
    <col min="10" max="10" width="13" bestFit="1" customWidth="1"/>
    <col min="11" max="11" width="22.5703125" bestFit="1" customWidth="1"/>
    <col min="14" max="14" width="16.7109375" customWidth="1"/>
    <col min="21" max="21" width="10.140625" customWidth="1"/>
    <col min="23" max="23" width="8.42578125" customWidth="1"/>
    <col min="25" max="25" width="15" bestFit="1" customWidth="1"/>
    <col min="26" max="28" width="11.42578125" bestFit="1" customWidth="1"/>
    <col min="30" max="30" width="10.140625" customWidth="1"/>
  </cols>
  <sheetData>
    <row r="1" spans="1:31" ht="15.75" thickBot="1">
      <c r="A1" s="101" t="s">
        <v>366</v>
      </c>
      <c r="B1" s="101" t="s">
        <v>262</v>
      </c>
      <c r="C1" s="121" t="s">
        <v>324</v>
      </c>
      <c r="D1" s="124" t="s">
        <v>323</v>
      </c>
      <c r="E1" s="228" t="s">
        <v>528</v>
      </c>
      <c r="F1" s="229" t="s">
        <v>529</v>
      </c>
      <c r="G1" s="253" t="s">
        <v>537</v>
      </c>
      <c r="H1" s="254" t="s">
        <v>536</v>
      </c>
      <c r="I1" s="285" t="s">
        <v>535</v>
      </c>
      <c r="J1" s="188" t="s">
        <v>672</v>
      </c>
      <c r="K1" s="479" t="s">
        <v>302</v>
      </c>
      <c r="L1" s="1"/>
      <c r="M1" s="1"/>
      <c r="N1" s="101" t="s">
        <v>262</v>
      </c>
      <c r="O1" s="211" t="s">
        <v>504</v>
      </c>
      <c r="P1" s="212" t="s">
        <v>505</v>
      </c>
      <c r="Q1" s="213" t="s">
        <v>506</v>
      </c>
      <c r="R1" s="40" t="s">
        <v>507</v>
      </c>
      <c r="T1" s="415" t="s">
        <v>541</v>
      </c>
      <c r="U1" s="416"/>
      <c r="V1" s="416"/>
      <c r="W1" s="417"/>
      <c r="Y1" s="148" t="s">
        <v>481</v>
      </c>
      <c r="Z1" s="227">
        <f>COUNTA(Table322[DG CR])</f>
        <v>12</v>
      </c>
      <c r="AD1" s="303" t="s">
        <v>335</v>
      </c>
      <c r="AE1" s="303" t="s">
        <v>532</v>
      </c>
    </row>
    <row r="2" spans="1:31" ht="15.75" thickBot="1">
      <c r="A2" s="161">
        <v>2024</v>
      </c>
      <c r="B2" s="481" t="s">
        <v>338</v>
      </c>
      <c r="C2" s="471"/>
      <c r="D2" s="471"/>
      <c r="E2" s="471"/>
      <c r="F2" s="471"/>
      <c r="G2" s="456"/>
      <c r="H2" s="456"/>
      <c r="I2" s="482"/>
      <c r="J2" s="483"/>
      <c r="K2" s="479">
        <v>283</v>
      </c>
      <c r="L2" s="185"/>
      <c r="M2" s="185"/>
      <c r="N2" s="481" t="s">
        <v>338</v>
      </c>
      <c r="O2" s="456"/>
      <c r="P2" s="456"/>
      <c r="Q2" s="456"/>
      <c r="R2" s="465"/>
      <c r="S2" s="1"/>
      <c r="T2" s="211" t="s">
        <v>504</v>
      </c>
      <c r="U2" s="212" t="s">
        <v>505</v>
      </c>
      <c r="V2" s="213" t="s">
        <v>506</v>
      </c>
      <c r="W2" s="40" t="s">
        <v>507</v>
      </c>
      <c r="Y2" s="148" t="s">
        <v>311</v>
      </c>
      <c r="Z2" s="102">
        <v>34</v>
      </c>
      <c r="AD2" s="103">
        <v>10</v>
      </c>
      <c r="AE2" s="103">
        <v>10</v>
      </c>
    </row>
    <row r="3" spans="1:31" ht="15.75" thickBot="1">
      <c r="A3" s="22"/>
      <c r="B3" s="321" t="s">
        <v>339</v>
      </c>
      <c r="C3" s="467">
        <v>36.777777777777779</v>
      </c>
      <c r="D3" s="467">
        <v>35.111111111111114</v>
      </c>
      <c r="E3" s="467">
        <v>35.888888888888886</v>
      </c>
      <c r="F3" s="467">
        <v>34.666666666666664</v>
      </c>
      <c r="G3" s="153">
        <v>0</v>
      </c>
      <c r="H3" s="153">
        <v>0.2857142857142857</v>
      </c>
      <c r="I3" s="470"/>
      <c r="J3" s="469"/>
      <c r="K3" s="479">
        <v>285</v>
      </c>
      <c r="N3" s="321" t="s">
        <v>339</v>
      </c>
      <c r="O3" s="284">
        <f>COUNTIF('Sony Open'!$K$2:$K$10,"&lt;=10")/COUNT('Sony Open'!$K$2:$K$10)</f>
        <v>0.33333333333333331</v>
      </c>
      <c r="P3" s="284">
        <f>COUNTIF('Sony Open'!$K$2:$K$10,"&lt;=20")/COUNT('Sony Open'!$K$2:$K$10)</f>
        <v>0.33333333333333331</v>
      </c>
      <c r="Q3" s="284">
        <f>COUNTIF('Sony Open'!$K$2:$K$10,"&lt;=35")/COUNT('Sony Open'!$K$2:$K$10)</f>
        <v>0.55555555555555558</v>
      </c>
      <c r="R3" s="350">
        <f t="shared" ref="R3:R9" si="0">1-Q3</f>
        <v>0.44444444444444442</v>
      </c>
      <c r="S3" s="236"/>
      <c r="T3" s="214">
        <v>0.26886209029066171</v>
      </c>
      <c r="U3" s="215">
        <v>0.40038651824366112</v>
      </c>
      <c r="V3" s="215">
        <v>0.62126365697794272</v>
      </c>
      <c r="W3" s="216">
        <v>0.37873634302205739</v>
      </c>
      <c r="Y3" s="217"/>
      <c r="Z3" s="255"/>
      <c r="AD3" s="103">
        <v>43</v>
      </c>
      <c r="AE3" s="103">
        <v>43</v>
      </c>
    </row>
    <row r="4" spans="1:31">
      <c r="A4" s="161"/>
      <c r="B4" s="321" t="s">
        <v>340</v>
      </c>
      <c r="C4" s="467">
        <v>64.285714285714292</v>
      </c>
      <c r="D4" s="467">
        <v>48.714285714285715</v>
      </c>
      <c r="E4" s="467">
        <v>26.857142857142858</v>
      </c>
      <c r="F4" s="467">
        <v>25.285714285714285</v>
      </c>
      <c r="G4" s="153">
        <v>0</v>
      </c>
      <c r="H4" s="153">
        <v>0.1111111111111111</v>
      </c>
      <c r="I4" s="468"/>
      <c r="J4" s="469"/>
      <c r="K4" s="479">
        <v>333</v>
      </c>
      <c r="L4" s="185"/>
      <c r="M4" s="185"/>
      <c r="N4" s="321" t="s">
        <v>340</v>
      </c>
      <c r="O4" s="284">
        <f>COUNTIF(AMEX!$Q$2:$Q$11,"&lt;=10")/COUNT(AMEX!$Q$2:$Q$11)</f>
        <v>0.1</v>
      </c>
      <c r="P4" s="284">
        <f>COUNTIF(AMEX!$Q$2:$Q$11,"&lt;=20")/COUNT(AMEX!$Q$2:$Q$11)</f>
        <v>0.3</v>
      </c>
      <c r="Q4" s="284">
        <f>COUNTIF(AMEX!$Q$2:$Q$11,"&lt;=35")/COUNT(AMEX!$Q$2:$Q$11)</f>
        <v>0.7</v>
      </c>
      <c r="R4" s="350">
        <f t="shared" si="0"/>
        <v>0.30000000000000004</v>
      </c>
      <c r="S4" s="236"/>
      <c r="T4" s="14">
        <f>T3*5</f>
        <v>1.3443104514533086</v>
      </c>
      <c r="U4" s="14">
        <f>U3*5</f>
        <v>2.0019325912183055</v>
      </c>
      <c r="V4" s="14">
        <f>V3*5</f>
        <v>3.1063182848897135</v>
      </c>
      <c r="W4" s="14">
        <f>W3*5</f>
        <v>1.8936817151102869</v>
      </c>
      <c r="AD4" s="103">
        <v>5</v>
      </c>
      <c r="AE4" s="103">
        <v>5</v>
      </c>
    </row>
    <row r="5" spans="1:31" ht="15.75" thickBot="1">
      <c r="A5" s="161"/>
      <c r="B5" s="321" t="s">
        <v>341</v>
      </c>
      <c r="C5" s="467">
        <f>AVERAGE(Farmers!$M$2:$M$13)</f>
        <v>47.166666666666664</v>
      </c>
      <c r="D5" s="467">
        <f>AVERAGE(Farmers!$O$2:$O$13)</f>
        <v>48.416666666666664</v>
      </c>
      <c r="E5" s="467">
        <f>AVERAGE(Farmers!$Q$2:$Q$13)</f>
        <v>22.454545454545453</v>
      </c>
      <c r="F5" s="467">
        <f>AVERAGE(Farmers!$S$2:$S$13)</f>
        <v>22.454545454545453</v>
      </c>
      <c r="G5" s="284">
        <f>AVERAGE(Farmers!U2:U13)</f>
        <v>0</v>
      </c>
      <c r="H5" s="284">
        <f>AVERAGE(Farmers!V2:V13)</f>
        <v>0.25</v>
      </c>
      <c r="I5" s="467"/>
      <c r="J5" s="469">
        <f>1/4</f>
        <v>0.25</v>
      </c>
      <c r="K5" s="479">
        <v>321</v>
      </c>
      <c r="L5" s="185" t="s">
        <v>543</v>
      </c>
      <c r="M5" s="185"/>
      <c r="N5" s="321" t="s">
        <v>341</v>
      </c>
      <c r="O5" s="284">
        <f>COUNTIF(Farmers!$Q$2:$Q$13,"&lt;=10")/COUNT(Farmers!$Q$2:$Q$13)</f>
        <v>0.36363636363636365</v>
      </c>
      <c r="P5" s="284">
        <f>COUNTIF(Farmers!$Q$2:$Q$13,"&lt;=20")/COUNT(Farmers!$Q$2:$Q$13)</f>
        <v>0.45454545454545453</v>
      </c>
      <c r="Q5" s="284">
        <f>COUNTIF(Farmers!$Q$2:$Q$13,"&lt;=35")/COUNT(Farmers!$Q$2:$Q$13)</f>
        <v>0.81818181818181823</v>
      </c>
      <c r="R5" s="350">
        <f t="shared" si="0"/>
        <v>0.18181818181818177</v>
      </c>
      <c r="S5" s="236"/>
      <c r="AD5" s="103">
        <v>98</v>
      </c>
      <c r="AE5" s="103">
        <v>98</v>
      </c>
    </row>
    <row r="6" spans="1:31" ht="15.75" thickBot="1">
      <c r="A6" s="161"/>
      <c r="B6" s="464" t="s">
        <v>342</v>
      </c>
      <c r="C6" s="471"/>
      <c r="D6" s="471"/>
      <c r="E6" s="471"/>
      <c r="F6" s="471"/>
      <c r="G6" s="456"/>
      <c r="H6" s="456"/>
      <c r="I6" s="470"/>
      <c r="J6" s="469">
        <f>1/4</f>
        <v>0.25</v>
      </c>
      <c r="K6" s="476"/>
      <c r="L6" s="185"/>
      <c r="M6" s="185"/>
      <c r="N6" s="464" t="s">
        <v>342</v>
      </c>
      <c r="O6" s="456"/>
      <c r="P6" s="456"/>
      <c r="Q6" s="456"/>
      <c r="R6" s="466"/>
      <c r="S6" s="236"/>
      <c r="T6" s="415" t="s">
        <v>542</v>
      </c>
      <c r="U6" s="416"/>
      <c r="V6" s="416"/>
      <c r="W6" s="417"/>
      <c r="Y6" s="148" t="s">
        <v>312</v>
      </c>
      <c r="Z6" s="25">
        <f>Z1+Z2+Z3</f>
        <v>46</v>
      </c>
      <c r="AD6" s="103">
        <v>21</v>
      </c>
      <c r="AE6" s="103">
        <v>21</v>
      </c>
    </row>
    <row r="7" spans="1:31" ht="15.75" thickBot="1">
      <c r="A7" s="22"/>
      <c r="B7" s="321" t="s">
        <v>365</v>
      </c>
      <c r="C7" s="467">
        <f>AVERAGE(Pheonix!$M$2:$M$12)</f>
        <v>56.454545454545453</v>
      </c>
      <c r="D7" s="467">
        <f>AVERAGE(Pheonix!$O$2:$O$12)</f>
        <v>52</v>
      </c>
      <c r="E7" s="467">
        <f>AVERAGE(Pheonix!$Q$2:$Q$12)</f>
        <v>40.090909090909093</v>
      </c>
      <c r="F7" s="467">
        <f>AVERAGE(Pheonix!$S$2:$S$12)</f>
        <v>42.18181818181818</v>
      </c>
      <c r="G7" s="284">
        <f>AVERAGE(Pheonix!$U$2:$U$12)</f>
        <v>0</v>
      </c>
      <c r="H7" s="284">
        <f>AVERAGE(Pheonix!$V$2:$V$12)</f>
        <v>0.23333333333333331</v>
      </c>
      <c r="I7" s="284"/>
      <c r="J7" s="284">
        <v>0</v>
      </c>
      <c r="K7" s="449">
        <v>325</v>
      </c>
      <c r="N7" s="321" t="s">
        <v>365</v>
      </c>
      <c r="O7" s="284">
        <f>COUNTIF(Pheonix!$Q$2:$Q$12,"&lt;=10")/COUNT(Pheonix!$Q$2:$Q$12)</f>
        <v>9.0909090909090912E-2</v>
      </c>
      <c r="P7" s="284">
        <f>COUNTIF(Pheonix!$Q$2:$Q$12,"&lt;=20")/COUNT(Pheonix!$Q$2:$Q$12)</f>
        <v>0.36363636363636365</v>
      </c>
      <c r="Q7" s="284">
        <f>COUNTIF(Pheonix!$Q$2:$Q$12,"&lt;=35")/COUNT(Pheonix!$Q$2:$Q$12)</f>
        <v>0.54545454545454541</v>
      </c>
      <c r="R7" s="350">
        <f t="shared" si="0"/>
        <v>0.45454545454545459</v>
      </c>
      <c r="S7" s="236"/>
      <c r="T7" s="211" t="s">
        <v>504</v>
      </c>
      <c r="U7" s="212" t="s">
        <v>505</v>
      </c>
      <c r="V7" s="213" t="s">
        <v>506</v>
      </c>
      <c r="W7" s="40" t="s">
        <v>507</v>
      </c>
      <c r="AD7" s="103">
        <v>25</v>
      </c>
      <c r="AE7" s="103">
        <v>25</v>
      </c>
    </row>
    <row r="8" spans="1:31" ht="15.75" thickBot="1">
      <c r="A8" s="22"/>
      <c r="B8" s="464" t="s">
        <v>343</v>
      </c>
      <c r="C8" s="471"/>
      <c r="D8" s="471"/>
      <c r="E8" s="471"/>
      <c r="F8" s="471"/>
      <c r="G8" s="456"/>
      <c r="H8" s="456"/>
      <c r="I8" s="343"/>
      <c r="J8" s="284">
        <f>1/4</f>
        <v>0.25</v>
      </c>
      <c r="K8" s="476"/>
      <c r="N8" s="463" t="s">
        <v>343</v>
      </c>
      <c r="O8" s="456"/>
      <c r="P8" s="456"/>
      <c r="Q8" s="456"/>
      <c r="R8" s="465"/>
      <c r="S8" s="236"/>
      <c r="T8" s="214">
        <f>($Z$2/$Z$6)*T3+($Z$1/$Z$6)*O47</f>
        <v>0.25504826436503458</v>
      </c>
      <c r="U8" s="215">
        <f>($Z$2/$Z$6)*U3+($Z$1/$Z$6)*P47</f>
        <v>0.38365195880723835</v>
      </c>
      <c r="V8" s="215">
        <f>($Z$2/$Z$6)*V3+($Z$1/$Z$6)*Q47</f>
        <v>0.60302447724807973</v>
      </c>
      <c r="W8" s="216">
        <f>($Z$2/$Z$6)*W3+($Z$1/$Z$6)*R47</f>
        <v>0.39697552275192033</v>
      </c>
      <c r="Y8" s="148" t="s">
        <v>1159</v>
      </c>
      <c r="Z8" s="340">
        <f>SUM(J5:J46)/COUNT(J5:J46)</f>
        <v>0.15384615384615385</v>
      </c>
      <c r="AD8" s="103">
        <v>46</v>
      </c>
      <c r="AE8" s="103">
        <v>46</v>
      </c>
    </row>
    <row r="9" spans="1:31">
      <c r="A9" s="22"/>
      <c r="B9" s="321" t="s">
        <v>674</v>
      </c>
      <c r="C9" s="467">
        <f>AVERAGE(Mexico!$M$2:$M$13)</f>
        <v>34.5</v>
      </c>
      <c r="D9" s="467">
        <f>AVERAGE(Mexico!$O$2:$O$13)</f>
        <v>34.25</v>
      </c>
      <c r="E9" s="467">
        <f>AVERAGE(Mexico!$Q$2:$Q$13)</f>
        <v>35.5</v>
      </c>
      <c r="F9" s="467">
        <f>AVERAGE(Mexico!$S$2:$S$13)</f>
        <v>35.666666666666664</v>
      </c>
      <c r="G9" s="284">
        <f>AVERAGE(Mexico!$U$2:$U$13)</f>
        <v>0</v>
      </c>
      <c r="H9" s="284">
        <f>AVERAGE(Mexico!$V$2:$V$13)</f>
        <v>8.6363636363636365E-2</v>
      </c>
      <c r="I9" s="343">
        <f>AVERAGE(Mexico!$W$2:$W$13)</f>
        <v>-52</v>
      </c>
      <c r="J9" s="284">
        <v>0</v>
      </c>
      <c r="K9" s="449">
        <v>324</v>
      </c>
      <c r="N9" s="321" t="s">
        <v>674</v>
      </c>
      <c r="O9" s="284">
        <f>COUNTIF(Mexico!$Q$2:$Q$13,"&lt;=10")/COUNT(Mexico!$Q$2:$Q$13)</f>
        <v>0.25</v>
      </c>
      <c r="P9" s="284">
        <f>COUNTIF(Mexico!$Q$2:$Q$13,"&lt;=20")/COUNT(Mexico!$Q$2:$Q$13)</f>
        <v>0.33333333333333331</v>
      </c>
      <c r="Q9" s="284">
        <f>COUNTIF(Mexico!$Q$2:$Q$13,"&lt;=35")/COUNT(Mexico!$Q$2:$Q$13)</f>
        <v>0.58333333333333337</v>
      </c>
      <c r="R9" s="350">
        <f t="shared" si="0"/>
        <v>0.41666666666666663</v>
      </c>
      <c r="S9" s="236"/>
      <c r="T9" s="14">
        <f>T8*5</f>
        <v>1.275241321825173</v>
      </c>
      <c r="U9" s="14">
        <f>U8*5</f>
        <v>1.9182597940361918</v>
      </c>
      <c r="V9" s="14">
        <f>V8*5</f>
        <v>3.0151223862403986</v>
      </c>
      <c r="W9" s="14">
        <f>W8*5</f>
        <v>1.9848776137596016</v>
      </c>
      <c r="AD9" s="103">
        <v>6</v>
      </c>
      <c r="AE9" s="103">
        <v>6</v>
      </c>
    </row>
    <row r="10" spans="1:31">
      <c r="A10" s="22"/>
      <c r="B10" s="321" t="s">
        <v>673</v>
      </c>
      <c r="C10" s="467">
        <f>AVERAGE(Cognizant!$L$2:$L$16)</f>
        <v>50.2</v>
      </c>
      <c r="D10" s="467">
        <f>AVERAGE(Cognizant!$M$2:$M$16)</f>
        <v>51.8</v>
      </c>
      <c r="E10" s="467">
        <f>AVERAGE(Cognizant!$N$2:$N$16)</f>
        <v>47.6</v>
      </c>
      <c r="F10" s="467">
        <f>AVERAGE(Cognizant!$O$2:$O$16)</f>
        <v>51.666666666666664</v>
      </c>
      <c r="G10" s="284">
        <f>AVERAGE(Cognizant!$Q$2:$Q$16)</f>
        <v>1.4285714285714287E-2</v>
      </c>
      <c r="H10" s="284">
        <f>AVERAGE(Cognizant!$R$2:$R$16)</f>
        <v>0.12261904761904761</v>
      </c>
      <c r="I10" s="343">
        <f>AVERAGE(Cognizant!$S$2:$S$16)</f>
        <v>7.6923076923076927E-2</v>
      </c>
      <c r="J10" s="284">
        <v>0.25</v>
      </c>
      <c r="K10" s="449"/>
      <c r="N10" s="321" t="s">
        <v>673</v>
      </c>
      <c r="O10" s="284">
        <f>COUNTIF(Cognizant!$N$2:$N$16,"&lt;=10")/COUNT(Cognizant!$N$2:$N$16)</f>
        <v>0.13333333333333333</v>
      </c>
      <c r="P10" s="284">
        <f>COUNTIF(Cognizant!$N$2:$N$16,"&lt;=20")/COUNT(Cognizant!$N$2:$N$16)</f>
        <v>0.2</v>
      </c>
      <c r="Q10" s="284">
        <f>COUNTIF(Cognizant!$N$2:$N$16,"&lt;=35")/COUNT(Cognizant!$N$2:$N$16)</f>
        <v>0.33333333333333331</v>
      </c>
      <c r="R10" s="350">
        <f t="shared" ref="R10" si="1">1-Q10</f>
        <v>0.66666666666666674</v>
      </c>
      <c r="S10" s="236"/>
      <c r="AD10" s="103">
        <v>76</v>
      </c>
      <c r="AE10" s="103">
        <v>76</v>
      </c>
    </row>
    <row r="11" spans="1:31">
      <c r="A11" s="22"/>
      <c r="B11" s="328" t="s">
        <v>345</v>
      </c>
      <c r="C11" s="467">
        <f>AVERAGE('Puerto Rico'!$L$2:$L$13)</f>
        <v>52.333333333333336</v>
      </c>
      <c r="D11" s="467">
        <f>AVERAGE('Puerto Rico'!$M$2:$M$13)</f>
        <v>52.25</v>
      </c>
      <c r="E11" s="467">
        <f>AVERAGE('Puerto Rico'!$N$2:$N$13)</f>
        <v>49.333333333333336</v>
      </c>
      <c r="F11" s="467">
        <f>AVERAGE('Puerto Rico'!$O$2:$O$13)</f>
        <v>50.75</v>
      </c>
      <c r="G11" s="284">
        <f>AVERAGE('Puerto Rico'!Q$2:Q$13)</f>
        <v>0</v>
      </c>
      <c r="H11" s="284">
        <f>AVERAGE('Puerto Rico'!R$2:R$13)</f>
        <v>2.2222222222222223E-2</v>
      </c>
      <c r="I11" s="343">
        <f>AVERAGE('Puerto Rico'!S$2:S$13)</f>
        <v>-1.7777777777777777</v>
      </c>
      <c r="J11" s="284">
        <v>0.25</v>
      </c>
      <c r="K11" s="449"/>
      <c r="N11" s="328" t="s">
        <v>345</v>
      </c>
      <c r="O11" s="284">
        <f>COUNTIF('Puerto Rico'!$N$2:$N$13,"&lt;=10")/COUNT('Puerto Rico'!$N$2:$N$13)</f>
        <v>8.3333333333333329E-2</v>
      </c>
      <c r="P11" s="284">
        <f>COUNTIF('Puerto Rico'!$N$2:$N$13,"&lt;=20")/COUNT('Puerto Rico'!$N$2:$N$13)</f>
        <v>0.25</v>
      </c>
      <c r="Q11" s="284">
        <f>COUNTIF('Puerto Rico'!$N$2:$N$13,"&lt;=35")/COUNT('Puerto Rico'!$N$2:$N$13)</f>
        <v>0.41666666666666669</v>
      </c>
      <c r="R11" s="350">
        <f t="shared" ref="R11" si="2">1-Q11</f>
        <v>0.58333333333333326</v>
      </c>
      <c r="T11" t="s">
        <v>545</v>
      </c>
      <c r="AD11" s="103">
        <v>113</v>
      </c>
      <c r="AE11" s="103">
        <v>85</v>
      </c>
    </row>
    <row r="12" spans="1:31" ht="15.75" thickBot="1">
      <c r="A12" s="22"/>
      <c r="B12" s="464" t="s">
        <v>346</v>
      </c>
      <c r="C12" s="471"/>
      <c r="D12" s="471"/>
      <c r="E12" s="471"/>
      <c r="F12" s="471"/>
      <c r="G12" s="456"/>
      <c r="H12" s="456"/>
      <c r="I12" s="443"/>
      <c r="J12" s="472">
        <v>0.5</v>
      </c>
      <c r="K12" s="476"/>
      <c r="N12" s="463" t="s">
        <v>346</v>
      </c>
      <c r="O12" s="456"/>
      <c r="P12" s="456"/>
      <c r="Q12" s="456"/>
      <c r="R12" s="465"/>
      <c r="AD12" s="103">
        <v>79</v>
      </c>
      <c r="AE12" s="103">
        <v>52</v>
      </c>
    </row>
    <row r="13" spans="1:31" ht="15.75" thickBot="1">
      <c r="A13" s="22"/>
      <c r="B13" s="321" t="s">
        <v>347</v>
      </c>
      <c r="C13" s="467">
        <f>AVERAGE(PLAYERS!$L$2:$L$12)</f>
        <v>41.090909090909093</v>
      </c>
      <c r="D13" s="467">
        <f>AVERAGE(PLAYERS!$M$2:$M$12)</f>
        <v>30</v>
      </c>
      <c r="E13" s="467">
        <f>AVERAGE(PLAYERS!$N$2:$N$12)</f>
        <v>32.727272727272727</v>
      </c>
      <c r="F13" s="467">
        <f>AVERAGE(PLAYERS!$O$2:$O$12)</f>
        <v>24.818181818181817</v>
      </c>
      <c r="G13" s="284">
        <f>AVERAGE(PLAYERS!P$2:P$12)</f>
        <v>4.3290043290043288E-2</v>
      </c>
      <c r="H13" s="284">
        <f>AVERAGE(PLAYERS!Q$2:Q$12)</f>
        <v>0.31341991341991338</v>
      </c>
      <c r="I13" s="343">
        <f>AVERAGE(PLAYERS!R$2:R$12)</f>
        <v>19.727272727272727</v>
      </c>
      <c r="J13" s="469">
        <v>0</v>
      </c>
      <c r="K13" s="449"/>
      <c r="N13" s="321" t="s">
        <v>347</v>
      </c>
      <c r="O13" s="284">
        <f>COUNTIF(PLAYERS!$N$2:$N$12,"&lt;=10")/COUNT(PLAYERS!$N$2:$N$12)</f>
        <v>0.36363636363636365</v>
      </c>
      <c r="P13" s="284">
        <f>COUNTIF(PLAYERS!$N$2:$N$12,"&lt;=20")/COUNT(PLAYERS!$N$2:$N$12)</f>
        <v>0.45454545454545453</v>
      </c>
      <c r="Q13" s="284">
        <f>COUNTIF(PLAYERS!$N$2:$N$12,"&lt;=35")/COUNT(PLAYERS!$N$2:$N$12)</f>
        <v>0.54545454545454541</v>
      </c>
      <c r="R13" s="350">
        <f t="shared" ref="R13" si="3">1-Q13</f>
        <v>0.45454545454545459</v>
      </c>
      <c r="T13" s="415" t="s">
        <v>578</v>
      </c>
      <c r="U13" s="416"/>
      <c r="V13" s="416"/>
      <c r="W13" s="416"/>
      <c r="X13" s="417"/>
      <c r="Y13" s="435" t="s">
        <v>811</v>
      </c>
      <c r="Z13" s="403"/>
      <c r="AA13" s="403"/>
      <c r="AB13" s="403"/>
      <c r="AD13" s="103">
        <v>35</v>
      </c>
      <c r="AE13" s="103">
        <v>11</v>
      </c>
    </row>
    <row r="14" spans="1:31">
      <c r="A14" s="22"/>
      <c r="B14" s="321" t="s">
        <v>348</v>
      </c>
      <c r="C14" s="467">
        <f>AVERAGE(Valspar!$L$2:$L$11)</f>
        <v>57.4</v>
      </c>
      <c r="D14" s="467">
        <f>AVERAGE(Valspar!$M$2:$M$11)</f>
        <v>56.3</v>
      </c>
      <c r="E14" s="467">
        <f>AVERAGE(Valspar!$N$2:$N$11)</f>
        <v>60.9</v>
      </c>
      <c r="F14" s="467">
        <f>AVERAGE(Valspar!$O$2:$O$11)</f>
        <v>57.1</v>
      </c>
      <c r="G14" s="284">
        <f>AVERAGE(Valspar!P$2:P$11)</f>
        <v>0</v>
      </c>
      <c r="H14" s="284">
        <f>AVERAGE(Valspar!Q$2:Q$11)</f>
        <v>0.16607142857142856</v>
      </c>
      <c r="I14" s="343">
        <f>AVERAGE(Valspar!R$2:R$11)</f>
        <v>3.2</v>
      </c>
      <c r="J14" s="469">
        <v>0</v>
      </c>
      <c r="K14" s="449"/>
      <c r="N14" s="321" t="s">
        <v>348</v>
      </c>
      <c r="O14" s="284">
        <f>COUNTIF(Valspar!$N$2:$N$11,"&lt;=10")/COUNT(Valspar!$N$2:$N$11)</f>
        <v>0.1</v>
      </c>
      <c r="P14" s="284">
        <f>COUNTIF(Valspar!$N$2:$N$11,"&lt;=20")/COUNT(Valspar!$N$2:$N$11)</f>
        <v>0.1</v>
      </c>
      <c r="Q14" s="284">
        <f>COUNTIF(Valspar!$N$2:$N$11,"&lt;=35")/COUNT(Valspar!$N$2:$N$11)</f>
        <v>0.2</v>
      </c>
      <c r="R14" s="350">
        <f t="shared" ref="R14" si="4">1-Q14</f>
        <v>0.8</v>
      </c>
      <c r="T14" s="81">
        <f>(0.2/T8)*10</f>
        <v>7.8416530493911747</v>
      </c>
      <c r="U14" s="16">
        <f>(0.4/U8)*20</f>
        <v>20.852232906282417</v>
      </c>
      <c r="V14" s="16">
        <f>(0.6/V8)*35</f>
        <v>34.824457036692984</v>
      </c>
      <c r="W14" s="16">
        <f>(0.8/W8)*35</f>
        <v>70.533316023864487</v>
      </c>
      <c r="X14" s="82">
        <f>(1/W8)*35</f>
        <v>88.16664502983059</v>
      </c>
      <c r="Y14" s="16">
        <f>T14/2</f>
        <v>3.9208265246955873</v>
      </c>
      <c r="Z14" s="16">
        <f t="shared" ref="Z14:AA14" si="5">U14/2</f>
        <v>10.426116453141208</v>
      </c>
      <c r="AA14" s="16">
        <f t="shared" si="5"/>
        <v>17.412228518346492</v>
      </c>
      <c r="AB14" s="16">
        <f>W14/2</f>
        <v>35.266658011932243</v>
      </c>
      <c r="AD14" s="103">
        <v>57</v>
      </c>
      <c r="AE14" s="103">
        <v>4</v>
      </c>
    </row>
    <row r="15" spans="1:31" ht="15.75" thickBot="1">
      <c r="A15" s="22"/>
      <c r="B15" s="321" t="s">
        <v>1122</v>
      </c>
      <c r="C15" s="467">
        <f>AVERAGE(Houston!$L$2:$L$11)</f>
        <v>39.700000000000003</v>
      </c>
      <c r="D15" s="467">
        <f>AVERAGE(Houston!$M$2:$M$11)</f>
        <v>41.4</v>
      </c>
      <c r="E15" s="467">
        <f>AVERAGE(Houston!$N$2:$N$11)</f>
        <v>34.299999999999997</v>
      </c>
      <c r="F15" s="467">
        <f>AVERAGE(Houston!$O$2:$O$11)</f>
        <v>37.700000000000003</v>
      </c>
      <c r="G15" s="284">
        <f>AVERAGE(Houston!P$2:P$11)</f>
        <v>2.8571428571428571E-2</v>
      </c>
      <c r="H15" s="284">
        <f>AVERAGE(Houston!Q$2:Q$11)</f>
        <v>0.16250000000000001</v>
      </c>
      <c r="I15" s="343">
        <f>AVERAGE(Houston!R$2:R$11)</f>
        <v>2.6</v>
      </c>
      <c r="J15" s="469">
        <v>0</v>
      </c>
      <c r="K15" s="449"/>
      <c r="N15" s="321" t="s">
        <v>1122</v>
      </c>
      <c r="O15" s="284">
        <f>COUNTIF(Houston!$N$2:$N$11,"&lt;=10")/COUNT(Houston!$N$2:$N$11)</f>
        <v>0.4</v>
      </c>
      <c r="P15" s="284">
        <f>COUNTIF(Houston!$N$2:$N$11,"&lt;=20")/COUNT(Houston!$N$2:$N$11)</f>
        <v>0.4</v>
      </c>
      <c r="Q15" s="284">
        <f>COUNTIF(Houston!$N$2:$N$11,"&lt;=35")/COUNT(Houston!$N$2:$N$11)</f>
        <v>0.6</v>
      </c>
      <c r="R15" s="350">
        <f t="shared" ref="R15" si="6">1-Q15</f>
        <v>0.4</v>
      </c>
      <c r="T15" s="351">
        <v>0.2</v>
      </c>
      <c r="U15" s="352">
        <v>0.4</v>
      </c>
      <c r="V15" s="352">
        <v>0.6</v>
      </c>
      <c r="W15" s="352">
        <v>0.8</v>
      </c>
      <c r="X15" s="353">
        <v>1</v>
      </c>
      <c r="Y15" s="16"/>
      <c r="Z15" s="16"/>
      <c r="AA15" s="16"/>
      <c r="AB15" s="16"/>
      <c r="AD15" s="103">
        <v>61</v>
      </c>
      <c r="AE15" s="103">
        <v>35</v>
      </c>
    </row>
    <row r="16" spans="1:31">
      <c r="A16" s="22"/>
      <c r="B16" s="321" t="s">
        <v>675</v>
      </c>
      <c r="C16" s="467">
        <f>AVERAGE(Texas!L$2:L$12)</f>
        <v>42</v>
      </c>
      <c r="D16" s="467">
        <f>AVERAGE(Texas!M$2:M$12)</f>
        <v>41.272727272727273</v>
      </c>
      <c r="E16" s="467">
        <f>AVERAGE(Texas!N$2:N$12)</f>
        <v>20.545454545454547</v>
      </c>
      <c r="F16" s="467">
        <f>AVERAGE(Texas!O$2:O$12)</f>
        <v>22.272727272727273</v>
      </c>
      <c r="G16" s="284">
        <f>AVERAGE(Texas!P$2:P$12)</f>
        <v>1.1363636363636364E-2</v>
      </c>
      <c r="H16" s="284">
        <f>AVERAGE(Texas!Q$2:Q$12)</f>
        <v>0.11432178932178932</v>
      </c>
      <c r="I16" s="343">
        <f>AVERAGE(Texas!R$2:R$12)</f>
        <v>23.636363636363637</v>
      </c>
      <c r="J16" s="469">
        <v>0</v>
      </c>
      <c r="K16" s="449"/>
      <c r="N16" s="321" t="s">
        <v>675</v>
      </c>
      <c r="O16" s="284">
        <f>COUNTIF(Texas!$N$2:$N$12,"&lt;=10")/COUNT(Texas!$N$2:$N$12)</f>
        <v>0.27272727272727271</v>
      </c>
      <c r="P16" s="284">
        <f>COUNTIF(Texas!$N$2:$N$12,"&lt;=20")/COUNT(Texas!$N$2:$N$12)</f>
        <v>0.54545454545454541</v>
      </c>
      <c r="Q16" s="284">
        <f>COUNTIF(Texas!$N$2:$N$12,"&lt;=35")/COUNT(Texas!$N$2:$N$12)</f>
        <v>0.81818181818181823</v>
      </c>
      <c r="R16" s="350">
        <f t="shared" ref="R16" si="7">1-Q16</f>
        <v>0.18181818181818177</v>
      </c>
      <c r="T16" s="15"/>
      <c r="U16" s="15"/>
      <c r="V16" s="15"/>
      <c r="W16" s="15"/>
      <c r="X16" s="15"/>
      <c r="AD16" s="103">
        <v>17</v>
      </c>
      <c r="AE16" s="103">
        <v>12</v>
      </c>
    </row>
    <row r="17" spans="1:31">
      <c r="A17" s="22"/>
      <c r="B17" s="464" t="s">
        <v>268</v>
      </c>
      <c r="C17" s="473"/>
      <c r="D17" s="473"/>
      <c r="E17" s="473"/>
      <c r="F17" s="473"/>
      <c r="G17" s="456"/>
      <c r="H17" s="456"/>
      <c r="I17" s="443"/>
      <c r="J17" s="474"/>
      <c r="K17" s="480"/>
      <c r="N17" s="464" t="s">
        <v>268</v>
      </c>
      <c r="O17" s="17"/>
      <c r="P17" s="17"/>
      <c r="Q17" s="17"/>
      <c r="R17" s="291"/>
      <c r="T17" s="16"/>
      <c r="U17" s="16"/>
      <c r="V17" s="16"/>
      <c r="W17" s="16"/>
      <c r="X17" s="16"/>
      <c r="AD17" s="103">
        <v>88</v>
      </c>
      <c r="AE17" s="103">
        <v>32</v>
      </c>
    </row>
    <row r="18" spans="1:31">
      <c r="A18" s="22"/>
      <c r="B18" s="464" t="s">
        <v>677</v>
      </c>
      <c r="C18" s="473"/>
      <c r="D18" s="473"/>
      <c r="E18" s="473"/>
      <c r="F18" s="473"/>
      <c r="G18" s="456"/>
      <c r="H18" s="456"/>
      <c r="I18" s="443"/>
      <c r="J18" s="474"/>
      <c r="K18" s="480"/>
      <c r="N18" s="464" t="s">
        <v>677</v>
      </c>
      <c r="O18" s="17"/>
      <c r="P18" s="17"/>
      <c r="Q18" s="17"/>
      <c r="R18" s="291"/>
      <c r="AD18" s="103">
        <v>89</v>
      </c>
      <c r="AE18" s="103">
        <v>34</v>
      </c>
    </row>
    <row r="19" spans="1:31" ht="15.75" thickBot="1">
      <c r="A19" s="22"/>
      <c r="B19" s="328" t="s">
        <v>676</v>
      </c>
      <c r="C19" s="467">
        <f>AVERAGE(Corales!L$2:L$11)</f>
        <v>38.9</v>
      </c>
      <c r="D19" s="467">
        <f>AVERAGE(Corales!M$2:M$11)</f>
        <v>37.700000000000003</v>
      </c>
      <c r="E19" s="467">
        <f>AVERAGE(Corales!N$2:N$11)</f>
        <v>37.4</v>
      </c>
      <c r="F19" s="467">
        <f>AVERAGE(Corales!O$2:O$11)</f>
        <v>35.200000000000003</v>
      </c>
      <c r="G19" s="469">
        <f>AVERAGE(Corales!P$2:P$11)</f>
        <v>0</v>
      </c>
      <c r="H19" s="469">
        <f>AVERAGE(Corales!Q$2:Q$11)</f>
        <v>0</v>
      </c>
      <c r="I19" s="467">
        <f>AVERAGE(Corales!R$2:R$11)</f>
        <v>-10.428571428571429</v>
      </c>
      <c r="J19" s="469">
        <v>0.25</v>
      </c>
      <c r="K19" s="449"/>
      <c r="N19" s="321" t="s">
        <v>676</v>
      </c>
      <c r="O19" s="284">
        <f>COUNTIF(Corales!$N$2:$N$11,"&lt;=10")/COUNT(Corales!$N$2:$N$11)</f>
        <v>0.1</v>
      </c>
      <c r="P19" s="284">
        <f>COUNTIF(Corales!$N$2:$N$11,"&lt;=20")/COUNT(Corales!$N$2:$N$11)</f>
        <v>0.3</v>
      </c>
      <c r="Q19" s="284">
        <f>COUNTIF(Corales!$N$2:$N$11,"&lt;=35")/COUNT(Corales!$N$2:$N$11)</f>
        <v>0.5</v>
      </c>
      <c r="R19" s="350">
        <f t="shared" ref="R19" si="8">1-Q19</f>
        <v>0.5</v>
      </c>
      <c r="AD19" s="103">
        <v>49</v>
      </c>
      <c r="AE19" s="103">
        <v>28</v>
      </c>
    </row>
    <row r="20" spans="1:31" ht="15.75" thickBot="1">
      <c r="A20" s="22"/>
      <c r="B20" s="321" t="s">
        <v>678</v>
      </c>
      <c r="C20" s="449"/>
      <c r="D20" s="449"/>
      <c r="E20" s="449"/>
      <c r="F20" s="475"/>
      <c r="G20" s="469"/>
      <c r="H20" s="469"/>
      <c r="I20" s="343"/>
      <c r="J20" s="469"/>
      <c r="K20" s="449"/>
      <c r="N20" s="321" t="s">
        <v>678</v>
      </c>
      <c r="R20" s="33"/>
      <c r="T20" s="436" t="s">
        <v>803</v>
      </c>
      <c r="U20" s="437"/>
      <c r="AD20" s="103">
        <v>98</v>
      </c>
      <c r="AE20" s="103">
        <v>49</v>
      </c>
    </row>
    <row r="21" spans="1:31" ht="15.75" thickBot="1">
      <c r="A21" s="22"/>
      <c r="B21" s="328" t="s">
        <v>679</v>
      </c>
      <c r="C21" s="449"/>
      <c r="D21" s="449"/>
      <c r="E21" s="449"/>
      <c r="F21" s="475"/>
      <c r="G21" s="469"/>
      <c r="H21" s="469"/>
      <c r="I21" s="343"/>
      <c r="J21" s="469"/>
      <c r="K21" s="449"/>
      <c r="N21" s="328" t="s">
        <v>679</v>
      </c>
      <c r="R21" s="33"/>
      <c r="T21" s="385" t="s">
        <v>804</v>
      </c>
      <c r="U21" s="386" t="s">
        <v>304</v>
      </c>
      <c r="AD21" s="103">
        <v>10</v>
      </c>
      <c r="AE21" s="103">
        <v>11</v>
      </c>
    </row>
    <row r="22" spans="1:31">
      <c r="A22" s="22"/>
      <c r="B22" s="464" t="s">
        <v>274</v>
      </c>
      <c r="C22" s="476"/>
      <c r="D22" s="476"/>
      <c r="E22" s="476"/>
      <c r="F22" s="477"/>
      <c r="G22" s="478"/>
      <c r="H22" s="478"/>
      <c r="I22" s="443"/>
      <c r="J22" s="478"/>
      <c r="K22" s="476"/>
      <c r="N22" s="328" t="s">
        <v>274</v>
      </c>
      <c r="R22" s="33"/>
      <c r="T22" s="113" t="s">
        <v>504</v>
      </c>
      <c r="U22" s="128">
        <f>(COUNTIFS($AE:$AE,"&gt;=1",$AE:$AE,"&lt;=10"))/COUNT($AE:$AE)</f>
        <v>0.20454545454545456</v>
      </c>
      <c r="V22" s="105">
        <f>U22</f>
        <v>0.20454545454545456</v>
      </c>
      <c r="AD22" s="103">
        <v>16</v>
      </c>
      <c r="AE22" s="103">
        <v>5</v>
      </c>
    </row>
    <row r="23" spans="1:31">
      <c r="A23" s="22"/>
      <c r="B23" s="321" t="s">
        <v>276</v>
      </c>
      <c r="C23" s="449"/>
      <c r="D23" s="449"/>
      <c r="E23" s="449"/>
      <c r="F23" s="475"/>
      <c r="G23" s="469"/>
      <c r="H23" s="469"/>
      <c r="I23" s="343"/>
      <c r="J23" s="469"/>
      <c r="K23" s="449"/>
      <c r="N23" s="321" t="s">
        <v>276</v>
      </c>
      <c r="R23" s="33"/>
      <c r="T23" s="107" t="s">
        <v>376</v>
      </c>
      <c r="U23" s="129">
        <f>(COUNTIFS($AE:$AE,"&gt;=11",$AE:$AE,"&lt;=20"))/COUNT($AE:$AE)</f>
        <v>0.12121212121212122</v>
      </c>
      <c r="V23" s="105">
        <f>SUM($U$22:U23)</f>
        <v>0.3257575757575758</v>
      </c>
      <c r="AD23" s="103">
        <v>8</v>
      </c>
      <c r="AE23" s="103">
        <v>6</v>
      </c>
    </row>
    <row r="24" spans="1:31">
      <c r="A24" s="22"/>
      <c r="B24" s="321" t="s">
        <v>278</v>
      </c>
      <c r="C24" s="449"/>
      <c r="D24" s="449"/>
      <c r="E24" s="449"/>
      <c r="F24" s="475"/>
      <c r="G24" s="469"/>
      <c r="H24" s="469"/>
      <c r="I24" s="343"/>
      <c r="J24" s="469"/>
      <c r="K24" s="449"/>
      <c r="N24" s="321" t="s">
        <v>278</v>
      </c>
      <c r="R24" s="33"/>
      <c r="T24" s="107" t="s">
        <v>377</v>
      </c>
      <c r="U24" s="129">
        <f>(COUNTIFS($AE:$AE,"&gt;=21",$AE:$AE,"&lt;=30"))/COUNT($AE:$AE)</f>
        <v>0.13636363636363635</v>
      </c>
      <c r="V24" s="105">
        <f>SUM($U$22:U24)</f>
        <v>0.46212121212121215</v>
      </c>
      <c r="AD24" s="103">
        <v>21</v>
      </c>
      <c r="AE24" s="103">
        <v>30</v>
      </c>
    </row>
    <row r="25" spans="1:31">
      <c r="A25" s="22"/>
      <c r="B25" s="321" t="s">
        <v>680</v>
      </c>
      <c r="C25" s="449"/>
      <c r="D25" s="449"/>
      <c r="E25" s="449"/>
      <c r="F25" s="475"/>
      <c r="G25" s="469"/>
      <c r="H25" s="469"/>
      <c r="I25" s="343"/>
      <c r="J25" s="469"/>
      <c r="K25" s="449"/>
      <c r="N25" s="321" t="s">
        <v>680</v>
      </c>
      <c r="R25" s="33"/>
      <c r="T25" s="107" t="s">
        <v>378</v>
      </c>
      <c r="U25" s="129">
        <f>(COUNTIFS($AE:$AE,"&gt;=31",$AE:$AE,"&lt;=40"))/COUNT($AE:$AE)</f>
        <v>0.11363636363636363</v>
      </c>
      <c r="V25" s="105">
        <f>SUM($U$22:U25)</f>
        <v>0.5757575757575758</v>
      </c>
      <c r="AD25" s="103">
        <v>92</v>
      </c>
      <c r="AE25" s="103">
        <v>92</v>
      </c>
    </row>
    <row r="26" spans="1:31">
      <c r="A26" s="22"/>
      <c r="B26" s="464" t="s">
        <v>681</v>
      </c>
      <c r="C26" s="476"/>
      <c r="D26" s="476"/>
      <c r="E26" s="476"/>
      <c r="F26" s="477"/>
      <c r="G26" s="478"/>
      <c r="H26" s="478"/>
      <c r="I26" s="443"/>
      <c r="J26" s="478"/>
      <c r="K26" s="476"/>
      <c r="N26" s="464" t="s">
        <v>681</v>
      </c>
      <c r="O26" s="17"/>
      <c r="P26" s="17"/>
      <c r="Q26" s="17"/>
      <c r="R26" s="291"/>
      <c r="T26" s="107" t="s">
        <v>1111</v>
      </c>
      <c r="U26" s="129">
        <f>(COUNTIFS($AE:$AE,"&gt;=41",$AE:$AE,"&lt;=50"))/COUNT($AE:$AE)</f>
        <v>0.11363636363636363</v>
      </c>
      <c r="V26" s="105">
        <f>SUM($U$22:U26)</f>
        <v>0.68939393939393945</v>
      </c>
      <c r="AD26" s="103">
        <v>116</v>
      </c>
      <c r="AE26" s="103">
        <v>31</v>
      </c>
    </row>
    <row r="27" spans="1:31">
      <c r="A27" s="22"/>
      <c r="B27" s="321" t="s">
        <v>281</v>
      </c>
      <c r="C27" s="449"/>
      <c r="D27" s="449"/>
      <c r="E27" s="449"/>
      <c r="F27" s="475"/>
      <c r="G27" s="469"/>
      <c r="H27" s="469"/>
      <c r="I27" s="343"/>
      <c r="J27" s="469"/>
      <c r="K27" s="449"/>
      <c r="N27" s="321" t="s">
        <v>281</v>
      </c>
      <c r="R27" s="33"/>
      <c r="T27" s="107" t="s">
        <v>1112</v>
      </c>
      <c r="U27" s="129">
        <f>(COUNTIFS($AE:$AE,"&gt;=51",$AE:$AE,"&lt;=60"))/COUNT($AE:$AE)</f>
        <v>0.12121212121212122</v>
      </c>
      <c r="V27" s="105">
        <f>SUM($U$22:U30)</f>
        <v>1</v>
      </c>
      <c r="AD27" s="103">
        <v>57</v>
      </c>
      <c r="AE27" s="103">
        <v>37</v>
      </c>
    </row>
    <row r="28" spans="1:31">
      <c r="A28" s="22"/>
      <c r="B28" s="464" t="s">
        <v>282</v>
      </c>
      <c r="C28" s="476"/>
      <c r="D28" s="476"/>
      <c r="E28" s="476"/>
      <c r="F28" s="477"/>
      <c r="G28" s="478"/>
      <c r="H28" s="478"/>
      <c r="I28" s="443"/>
      <c r="J28" s="478"/>
      <c r="K28" s="476"/>
      <c r="N28" s="464" t="s">
        <v>282</v>
      </c>
      <c r="O28" s="17"/>
      <c r="P28" s="17"/>
      <c r="Q28" s="17"/>
      <c r="R28" s="291"/>
      <c r="T28" s="107" t="s">
        <v>1113</v>
      </c>
      <c r="U28" s="129">
        <f>(COUNTIFS($AE:$AE,"&gt;=61",$AE:$AE,"&lt;=70"))/COUNT($AE:$AE)</f>
        <v>3.787878787878788E-2</v>
      </c>
      <c r="V28" s="105">
        <f>SUM($U$22:U31)</f>
        <v>1</v>
      </c>
      <c r="AD28" s="103">
        <v>88</v>
      </c>
      <c r="AE28" s="103">
        <v>60</v>
      </c>
    </row>
    <row r="29" spans="1:31">
      <c r="A29" s="22"/>
      <c r="B29" s="321" t="s">
        <v>284</v>
      </c>
      <c r="C29" s="449"/>
      <c r="D29" s="449"/>
      <c r="E29" s="449"/>
      <c r="F29" s="475"/>
      <c r="G29" s="469"/>
      <c r="H29" s="469"/>
      <c r="I29" s="343"/>
      <c r="J29" s="469"/>
      <c r="K29" s="449"/>
      <c r="N29" s="321" t="s">
        <v>284</v>
      </c>
      <c r="R29" s="33"/>
      <c r="T29" s="107" t="s">
        <v>1114</v>
      </c>
      <c r="U29" s="129">
        <f>(COUNTIFS($AE:$AE,"&gt;=71",$AE:$AE,"&lt;=80"))/COUNT($AE:$AE)</f>
        <v>3.0303030303030304E-2</v>
      </c>
      <c r="V29" s="105">
        <f>SUM($U$22:U32)</f>
        <v>1</v>
      </c>
      <c r="AD29" s="103">
        <v>63</v>
      </c>
      <c r="AE29" s="103">
        <v>2</v>
      </c>
    </row>
    <row r="30" spans="1:31" ht="15.75" thickBot="1">
      <c r="A30" s="22"/>
      <c r="B30" s="321" t="s">
        <v>283</v>
      </c>
      <c r="C30" s="449"/>
      <c r="D30" s="449"/>
      <c r="E30" s="449"/>
      <c r="F30" s="475"/>
      <c r="G30" s="469"/>
      <c r="H30" s="469"/>
      <c r="I30" s="343"/>
      <c r="J30" s="469"/>
      <c r="K30" s="449"/>
      <c r="N30" s="321" t="s">
        <v>283</v>
      </c>
      <c r="R30" s="33"/>
      <c r="T30" s="108" t="s">
        <v>317</v>
      </c>
      <c r="U30" s="130">
        <f>(COUNTIF($AE:$AE,"&gt;=80")/COUNT($AE:$AE))</f>
        <v>0.12121212121212122</v>
      </c>
      <c r="V30" s="105">
        <f>SUM($U$22:U33)</f>
        <v>1</v>
      </c>
      <c r="AD30" s="103">
        <v>74</v>
      </c>
      <c r="AE30" s="103">
        <v>10</v>
      </c>
    </row>
    <row r="31" spans="1:31">
      <c r="A31" s="22"/>
      <c r="B31" s="328" t="s">
        <v>682</v>
      </c>
      <c r="C31" s="449"/>
      <c r="D31" s="449"/>
      <c r="E31" s="449"/>
      <c r="F31" s="475"/>
      <c r="G31" s="469"/>
      <c r="H31" s="469"/>
      <c r="I31" s="343"/>
      <c r="J31" s="469"/>
      <c r="K31" s="449"/>
      <c r="N31" s="328" t="s">
        <v>682</v>
      </c>
      <c r="R31" s="33"/>
      <c r="AD31" s="103">
        <v>14</v>
      </c>
      <c r="AE31" s="103">
        <v>23</v>
      </c>
    </row>
    <row r="32" spans="1:31">
      <c r="A32" s="22"/>
      <c r="B32" s="328" t="s">
        <v>683</v>
      </c>
      <c r="C32" s="449"/>
      <c r="D32" s="449"/>
      <c r="E32" s="449"/>
      <c r="F32" s="475"/>
      <c r="G32" s="469"/>
      <c r="H32" s="469"/>
      <c r="I32" s="343"/>
      <c r="J32" s="469"/>
      <c r="K32" s="449"/>
      <c r="N32" s="328" t="s">
        <v>683</v>
      </c>
      <c r="R32" s="33"/>
      <c r="AD32" s="103">
        <v>7</v>
      </c>
      <c r="AE32" s="103">
        <v>32</v>
      </c>
    </row>
    <row r="33" spans="1:31">
      <c r="A33" s="22"/>
      <c r="B33" s="328" t="s">
        <v>684</v>
      </c>
      <c r="C33" s="449"/>
      <c r="D33" s="449"/>
      <c r="E33" s="449"/>
      <c r="F33" s="475"/>
      <c r="G33" s="469"/>
      <c r="H33" s="469"/>
      <c r="I33" s="343"/>
      <c r="J33" s="469"/>
      <c r="K33" s="449"/>
      <c r="N33" s="328" t="s">
        <v>684</v>
      </c>
      <c r="R33" s="33"/>
      <c r="AD33" s="103">
        <v>82</v>
      </c>
      <c r="AE33" s="103">
        <v>64</v>
      </c>
    </row>
    <row r="34" spans="1:31">
      <c r="A34" s="22"/>
      <c r="B34" s="328" t="s">
        <v>286</v>
      </c>
      <c r="C34" s="449"/>
      <c r="D34" s="449"/>
      <c r="E34" s="449"/>
      <c r="F34" s="475"/>
      <c r="G34" s="469"/>
      <c r="H34" s="469"/>
      <c r="I34" s="343"/>
      <c r="J34" s="469"/>
      <c r="K34" s="449"/>
      <c r="N34" s="328" t="s">
        <v>286</v>
      </c>
      <c r="R34" s="33"/>
      <c r="AD34" s="103">
        <v>65</v>
      </c>
      <c r="AE34" s="103">
        <v>61</v>
      </c>
    </row>
    <row r="35" spans="1:31">
      <c r="A35" s="22"/>
      <c r="B35" s="321" t="s">
        <v>685</v>
      </c>
      <c r="C35" s="449"/>
      <c r="D35" s="449"/>
      <c r="E35" s="449"/>
      <c r="F35" s="475"/>
      <c r="G35" s="469"/>
      <c r="H35" s="469"/>
      <c r="I35" s="343"/>
      <c r="J35" s="469"/>
      <c r="K35" s="449"/>
      <c r="N35" s="321" t="s">
        <v>685</v>
      </c>
      <c r="R35" s="33"/>
      <c r="AD35" s="103">
        <v>49</v>
      </c>
      <c r="AE35" s="103">
        <v>5</v>
      </c>
    </row>
    <row r="36" spans="1:31">
      <c r="A36" s="22"/>
      <c r="B36" s="321" t="s">
        <v>686</v>
      </c>
      <c r="C36" s="449"/>
      <c r="D36" s="449"/>
      <c r="E36" s="449"/>
      <c r="F36" s="475"/>
      <c r="G36" s="469"/>
      <c r="H36" s="469"/>
      <c r="I36" s="343"/>
      <c r="J36" s="469"/>
      <c r="K36" s="449"/>
      <c r="N36" s="321" t="s">
        <v>686</v>
      </c>
      <c r="R36" s="33"/>
      <c r="AD36" s="103">
        <v>44</v>
      </c>
      <c r="AE36" s="103">
        <v>16</v>
      </c>
    </row>
    <row r="37" spans="1:31">
      <c r="A37" s="22"/>
      <c r="B37" s="321" t="s">
        <v>687</v>
      </c>
      <c r="C37" s="449"/>
      <c r="D37" s="449"/>
      <c r="E37" s="449"/>
      <c r="F37" s="475"/>
      <c r="G37" s="469"/>
      <c r="H37" s="469"/>
      <c r="I37" s="343"/>
      <c r="J37" s="469"/>
      <c r="K37" s="449"/>
      <c r="N37" s="321" t="s">
        <v>687</v>
      </c>
      <c r="R37" s="33"/>
      <c r="AD37" s="103">
        <v>45</v>
      </c>
      <c r="AE37" s="103">
        <v>12</v>
      </c>
    </row>
    <row r="38" spans="1:31">
      <c r="A38" s="22"/>
      <c r="B38" s="321" t="s">
        <v>688</v>
      </c>
      <c r="C38" s="449"/>
      <c r="D38" s="449"/>
      <c r="E38" s="449"/>
      <c r="F38" s="475"/>
      <c r="G38" s="469"/>
      <c r="H38" s="469"/>
      <c r="I38" s="343"/>
      <c r="J38" s="469"/>
      <c r="K38" s="449"/>
      <c r="N38" s="321" t="s">
        <v>688</v>
      </c>
      <c r="R38" s="33"/>
      <c r="AD38" s="103">
        <v>31</v>
      </c>
      <c r="AE38" s="103">
        <v>21</v>
      </c>
    </row>
    <row r="39" spans="1:31">
      <c r="A39" s="22"/>
      <c r="B39" s="321" t="s">
        <v>689</v>
      </c>
      <c r="C39" s="449"/>
      <c r="D39" s="449"/>
      <c r="E39" s="449"/>
      <c r="F39" s="475"/>
      <c r="G39" s="469"/>
      <c r="H39" s="469"/>
      <c r="I39" s="343"/>
      <c r="J39" s="469"/>
      <c r="K39" s="449"/>
      <c r="N39" s="321" t="s">
        <v>689</v>
      </c>
      <c r="R39" s="33"/>
      <c r="AD39" s="103">
        <v>66</v>
      </c>
      <c r="AE39" s="103">
        <v>85</v>
      </c>
    </row>
    <row r="40" spans="1:31">
      <c r="A40" s="22"/>
      <c r="B40" s="321" t="s">
        <v>690</v>
      </c>
      <c r="C40" s="449"/>
      <c r="D40" s="449"/>
      <c r="E40" s="449"/>
      <c r="F40" s="475"/>
      <c r="G40" s="469"/>
      <c r="H40" s="469"/>
      <c r="I40" s="343"/>
      <c r="J40" s="469"/>
      <c r="K40" s="449"/>
      <c r="N40" s="321" t="s">
        <v>690</v>
      </c>
      <c r="R40" s="33"/>
      <c r="AD40" s="103">
        <v>25</v>
      </c>
      <c r="AE40" s="103">
        <v>11</v>
      </c>
    </row>
    <row r="41" spans="1:31">
      <c r="A41" s="22"/>
      <c r="B41" s="321" t="s">
        <v>293</v>
      </c>
      <c r="C41" s="449"/>
      <c r="D41" s="449"/>
      <c r="E41" s="449"/>
      <c r="F41" s="475"/>
      <c r="G41" s="469"/>
      <c r="H41" s="469"/>
      <c r="I41" s="343"/>
      <c r="J41" s="469"/>
      <c r="K41" s="449"/>
      <c r="N41" s="321" t="s">
        <v>293</v>
      </c>
      <c r="R41" s="33"/>
      <c r="AD41" s="103">
        <v>16</v>
      </c>
      <c r="AE41" s="103">
        <v>32</v>
      </c>
    </row>
    <row r="42" spans="1:31">
      <c r="A42" s="22"/>
      <c r="B42" s="321" t="s">
        <v>294</v>
      </c>
      <c r="C42" s="449"/>
      <c r="D42" s="449"/>
      <c r="E42" s="449"/>
      <c r="F42" s="475"/>
      <c r="G42" s="469"/>
      <c r="H42" s="469"/>
      <c r="I42" s="343"/>
      <c r="J42" s="469"/>
      <c r="K42" s="449"/>
      <c r="N42" s="321" t="s">
        <v>294</v>
      </c>
      <c r="R42" s="33"/>
      <c r="AD42" s="103">
        <v>98</v>
      </c>
      <c r="AE42" s="103">
        <v>59</v>
      </c>
    </row>
    <row r="43" spans="1:31">
      <c r="A43" s="22"/>
      <c r="B43" s="321" t="s">
        <v>295</v>
      </c>
      <c r="C43" s="449"/>
      <c r="D43" s="449"/>
      <c r="E43" s="449"/>
      <c r="F43" s="475"/>
      <c r="G43" s="469"/>
      <c r="H43" s="469"/>
      <c r="I43" s="343"/>
      <c r="J43" s="469"/>
      <c r="K43" s="449"/>
      <c r="N43" s="321" t="s">
        <v>295</v>
      </c>
      <c r="R43" s="33"/>
      <c r="AD43" s="103">
        <v>100</v>
      </c>
      <c r="AE43" s="103">
        <v>75</v>
      </c>
    </row>
    <row r="44" spans="1:31">
      <c r="A44" s="22"/>
      <c r="B44" s="321" t="s">
        <v>314</v>
      </c>
      <c r="C44" s="449"/>
      <c r="D44" s="449"/>
      <c r="E44" s="449"/>
      <c r="F44" s="475"/>
      <c r="G44" s="469"/>
      <c r="H44" s="469"/>
      <c r="I44" s="343"/>
      <c r="J44" s="469"/>
      <c r="K44" s="449"/>
      <c r="N44" s="321" t="s">
        <v>314</v>
      </c>
      <c r="R44" s="33"/>
      <c r="AD44" s="103">
        <v>5</v>
      </c>
      <c r="AE44" s="103">
        <v>1</v>
      </c>
    </row>
    <row r="45" spans="1:31" ht="15.75" thickBot="1">
      <c r="A45" s="22"/>
      <c r="B45" s="321" t="s">
        <v>315</v>
      </c>
      <c r="C45" s="449"/>
      <c r="D45" s="449"/>
      <c r="E45" s="449"/>
      <c r="F45" s="475"/>
      <c r="G45" s="469"/>
      <c r="H45" s="469"/>
      <c r="I45" s="343"/>
      <c r="J45" s="469"/>
      <c r="K45" s="449"/>
      <c r="N45" s="321" t="s">
        <v>315</v>
      </c>
      <c r="R45" s="33"/>
      <c r="AD45" s="103">
        <v>22</v>
      </c>
      <c r="AE45" s="103">
        <v>8</v>
      </c>
    </row>
    <row r="46" spans="1:31" ht="15.75" thickBot="1">
      <c r="A46" s="22"/>
      <c r="B46" s="321" t="s">
        <v>318</v>
      </c>
      <c r="C46" s="449"/>
      <c r="D46" s="449"/>
      <c r="E46" s="449"/>
      <c r="F46" s="475"/>
      <c r="G46" s="469"/>
      <c r="H46" s="469"/>
      <c r="I46" s="343"/>
      <c r="J46" s="469"/>
      <c r="K46" s="449"/>
      <c r="N46" s="192" t="s">
        <v>318</v>
      </c>
      <c r="R46" s="33"/>
      <c r="T46" s="430" t="s">
        <v>805</v>
      </c>
      <c r="U46" s="431"/>
      <c r="AD46" s="103">
        <v>7</v>
      </c>
      <c r="AE46" s="103">
        <v>5</v>
      </c>
    </row>
    <row r="47" spans="1:31" ht="15.75" thickBot="1">
      <c r="A47" s="27"/>
      <c r="B47" s="279"/>
      <c r="C47" s="277">
        <f>AVERAGE(C2:C46)</f>
        <v>46.734078884078876</v>
      </c>
      <c r="D47" s="252">
        <f>AVERAGE(D2:D45)</f>
        <v>44.101232563732566</v>
      </c>
      <c r="E47" s="252">
        <f>AVERAGE(E2:E45)</f>
        <v>36.966462241462246</v>
      </c>
      <c r="F47" s="252">
        <f>AVERAGE(F2:F45)</f>
        <v>36.646915584415581</v>
      </c>
      <c r="G47" s="251">
        <f>AVERAGE(G2:G46)</f>
        <v>8.1259018759018749E-3</v>
      </c>
      <c r="H47" s="251">
        <f>AVERAGE(H2:H46)</f>
        <v>0.15563973063973063</v>
      </c>
      <c r="I47" s="322">
        <f>AVERAGE(I2:I46)</f>
        <v>-1.8707237207237204</v>
      </c>
      <c r="J47" s="354">
        <f>AVERAGE(J2:J46)</f>
        <v>0.15384615384615385</v>
      </c>
      <c r="K47" s="449"/>
      <c r="N47" s="26" t="s">
        <v>298</v>
      </c>
      <c r="O47" s="215">
        <f>AVERAGE(O2:O45)</f>
        <v>0.21590909090909094</v>
      </c>
      <c r="P47" s="215">
        <f>AVERAGE(P2:P45)</f>
        <v>0.33623737373737378</v>
      </c>
      <c r="Q47" s="215">
        <f>AVERAGE(Q2:Q45)</f>
        <v>0.55134680134680136</v>
      </c>
      <c r="R47" s="216">
        <f>AVERAGE(R2:R45)</f>
        <v>0.44865319865319869</v>
      </c>
      <c r="T47" s="134" t="s">
        <v>804</v>
      </c>
      <c r="U47" s="125" t="s">
        <v>304</v>
      </c>
      <c r="AD47" s="103">
        <v>64</v>
      </c>
      <c r="AE47" s="103">
        <v>51</v>
      </c>
    </row>
    <row r="48" spans="1:31">
      <c r="T48" s="107" t="s">
        <v>504</v>
      </c>
      <c r="U48" s="128">
        <f>(COUNTIFS($AD:$AD,"&gt;=1",$AD:$AD,"&lt;=10"))/COUNT($AD:$AD)</f>
        <v>0.12878787878787878</v>
      </c>
      <c r="V48" s="105">
        <f>U48</f>
        <v>0.12878787878787878</v>
      </c>
      <c r="W48" s="105"/>
      <c r="AD48" s="103">
        <v>40</v>
      </c>
      <c r="AE48" s="103">
        <v>60</v>
      </c>
    </row>
    <row r="49" spans="20:31">
      <c r="T49" s="107" t="s">
        <v>376</v>
      </c>
      <c r="U49" s="129">
        <f>(COUNTIFS($AD:$AD,"&gt;=11",$AD:$AD,"&lt;=20"))/COUNT($AD:$AD)</f>
        <v>0.12121212121212122</v>
      </c>
      <c r="V49" s="105">
        <f>SUM($U$48:U49)</f>
        <v>0.25</v>
      </c>
      <c r="AD49" s="103">
        <v>34</v>
      </c>
      <c r="AE49" s="103">
        <v>31</v>
      </c>
    </row>
    <row r="50" spans="20:31">
      <c r="T50" s="107" t="s">
        <v>377</v>
      </c>
      <c r="U50" s="129">
        <f>(COUNTIFS($AD:$AD,"&gt;=21",$AD:$AD,"&lt;=30"))/COUNT($AD:$AD)</f>
        <v>0.10606060606060606</v>
      </c>
      <c r="V50" s="105">
        <f>SUM($U$48:U50)</f>
        <v>0.35606060606060608</v>
      </c>
      <c r="AD50" s="103">
        <v>58</v>
      </c>
      <c r="AE50" s="103">
        <v>33</v>
      </c>
    </row>
    <row r="51" spans="20:31">
      <c r="T51" s="107" t="s">
        <v>378</v>
      </c>
      <c r="U51" s="129">
        <f>(COUNTIFS($AD:$AD,"&gt;=31",$AD:$AD,"&lt;=40"))/COUNT($AD:$AD)</f>
        <v>7.575757575757576E-2</v>
      </c>
      <c r="V51" s="105">
        <f>SUM($U$48:U51)</f>
        <v>0.43181818181818182</v>
      </c>
      <c r="AD51" s="103">
        <v>12</v>
      </c>
      <c r="AE51" s="103">
        <v>15</v>
      </c>
    </row>
    <row r="52" spans="20:31">
      <c r="T52" s="107" t="s">
        <v>379</v>
      </c>
      <c r="U52" s="129">
        <f>(COUNTIFS($AD:$AD,"&gt;=41",$AD:$AD,"&lt;=79"))/COUNT($AD:$AD)</f>
        <v>0.35606060606060608</v>
      </c>
      <c r="V52" s="105">
        <f>SUM($U$48:U52)</f>
        <v>0.78787878787878785</v>
      </c>
      <c r="AD52" s="103">
        <v>48</v>
      </c>
      <c r="AE52" s="103">
        <v>58</v>
      </c>
    </row>
    <row r="53" spans="20:31" ht="15.75" thickBot="1">
      <c r="T53" s="108" t="s">
        <v>317</v>
      </c>
      <c r="U53" s="130">
        <f>(COUNTIF($AD:$AD,"&gt;=80"))/COUNT($AD:$AD)</f>
        <v>0.21212121212121213</v>
      </c>
      <c r="V53" s="105">
        <f>SUM($U$48:U53)</f>
        <v>1</v>
      </c>
      <c r="AD53" s="103">
        <v>11</v>
      </c>
      <c r="AE53" s="103">
        <v>21</v>
      </c>
    </row>
    <row r="54" spans="20:31">
      <c r="U54" s="105"/>
      <c r="AD54" s="103">
        <v>17</v>
      </c>
      <c r="AE54" s="103">
        <v>44</v>
      </c>
    </row>
    <row r="55" spans="20:31">
      <c r="AD55" s="103">
        <v>96</v>
      </c>
      <c r="AE55" s="103">
        <v>99</v>
      </c>
    </row>
    <row r="56" spans="20:31">
      <c r="AD56" s="103">
        <v>25</v>
      </c>
      <c r="AE56" s="103">
        <v>25</v>
      </c>
    </row>
    <row r="57" spans="20:31">
      <c r="AD57" s="103">
        <v>57</v>
      </c>
      <c r="AE57" s="103">
        <v>59</v>
      </c>
    </row>
    <row r="58" spans="20:31">
      <c r="AD58" s="103">
        <v>75</v>
      </c>
      <c r="AE58" s="103">
        <v>60</v>
      </c>
    </row>
    <row r="59" spans="20:31">
      <c r="AD59" s="103">
        <v>1</v>
      </c>
      <c r="AE59" s="103">
        <v>1</v>
      </c>
    </row>
    <row r="60" spans="20:31">
      <c r="AD60" s="103">
        <v>12</v>
      </c>
      <c r="AE60" s="103">
        <v>6</v>
      </c>
    </row>
    <row r="61" spans="20:31">
      <c r="AD61" s="103">
        <v>50</v>
      </c>
      <c r="AE61" s="103">
        <v>39</v>
      </c>
    </row>
    <row r="62" spans="20:31">
      <c r="AD62" s="103">
        <v>54</v>
      </c>
      <c r="AE62" s="103">
        <v>44</v>
      </c>
    </row>
    <row r="63" spans="20:31">
      <c r="AD63" s="103">
        <v>84</v>
      </c>
      <c r="AE63" s="103">
        <v>63</v>
      </c>
    </row>
    <row r="64" spans="20:31">
      <c r="AD64" s="103">
        <v>22</v>
      </c>
      <c r="AE64" s="103">
        <v>14</v>
      </c>
    </row>
    <row r="65" spans="30:31">
      <c r="AD65" s="103">
        <v>20</v>
      </c>
      <c r="AE65" s="103">
        <v>26</v>
      </c>
    </row>
    <row r="66" spans="30:31">
      <c r="AD66" s="103">
        <v>31</v>
      </c>
      <c r="AE66" s="103">
        <v>40</v>
      </c>
    </row>
    <row r="67" spans="30:31">
      <c r="AD67" s="103">
        <v>49</v>
      </c>
      <c r="AE67" s="103">
        <v>55</v>
      </c>
    </row>
    <row r="68" spans="30:31">
      <c r="AD68" s="103">
        <v>80</v>
      </c>
      <c r="AE68" s="103">
        <v>62</v>
      </c>
    </row>
    <row r="69" spans="30:31">
      <c r="AD69" s="103">
        <v>111</v>
      </c>
      <c r="AE69" s="103">
        <v>109</v>
      </c>
    </row>
    <row r="70" spans="30:31">
      <c r="AD70" s="103">
        <v>104</v>
      </c>
      <c r="AE70" s="103">
        <v>111</v>
      </c>
    </row>
    <row r="71" spans="30:31">
      <c r="AD71" s="103">
        <v>49</v>
      </c>
      <c r="AE71" s="103">
        <v>54</v>
      </c>
    </row>
    <row r="72" spans="30:31">
      <c r="AD72" s="103">
        <v>28</v>
      </c>
      <c r="AE72" s="103">
        <v>22</v>
      </c>
    </row>
    <row r="73" spans="30:31">
      <c r="AD73" s="103">
        <v>2</v>
      </c>
      <c r="AE73" s="103">
        <v>2</v>
      </c>
    </row>
    <row r="74" spans="30:31">
      <c r="AD74" s="103">
        <v>14</v>
      </c>
      <c r="AE74" s="103">
        <v>11</v>
      </c>
    </row>
    <row r="75" spans="30:31">
      <c r="AD75" s="103">
        <v>10</v>
      </c>
      <c r="AE75" s="103">
        <v>20</v>
      </c>
    </row>
    <row r="76" spans="30:31">
      <c r="AD76" s="103">
        <v>81</v>
      </c>
      <c r="AE76" s="103">
        <v>82</v>
      </c>
    </row>
    <row r="77" spans="30:31">
      <c r="AD77" s="103">
        <v>86</v>
      </c>
      <c r="AE77" s="103">
        <v>86</v>
      </c>
    </row>
    <row r="78" spans="30:31">
      <c r="AD78" s="103">
        <v>94</v>
      </c>
      <c r="AE78" s="103">
        <v>94</v>
      </c>
    </row>
    <row r="79" spans="30:31">
      <c r="AD79" s="103">
        <v>65</v>
      </c>
      <c r="AE79" s="103">
        <v>67</v>
      </c>
    </row>
    <row r="80" spans="30:31">
      <c r="AD80" s="103">
        <v>83</v>
      </c>
      <c r="AE80" s="103">
        <v>33</v>
      </c>
    </row>
    <row r="81" spans="30:31">
      <c r="AD81" s="103">
        <v>42</v>
      </c>
      <c r="AE81" s="103">
        <v>46</v>
      </c>
    </row>
    <row r="82" spans="30:31">
      <c r="AD82" s="103">
        <v>74</v>
      </c>
      <c r="AE82" s="103">
        <v>75</v>
      </c>
    </row>
    <row r="83" spans="30:31">
      <c r="AD83">
        <v>15</v>
      </c>
      <c r="AE83">
        <v>2</v>
      </c>
    </row>
    <row r="84" spans="30:31">
      <c r="AD84">
        <v>14</v>
      </c>
      <c r="AE84">
        <v>7</v>
      </c>
    </row>
    <row r="85" spans="30:31">
      <c r="AD85">
        <v>42</v>
      </c>
      <c r="AE85">
        <v>15</v>
      </c>
    </row>
    <row r="86" spans="30:31">
      <c r="AD86">
        <v>57</v>
      </c>
      <c r="AE86">
        <v>53</v>
      </c>
    </row>
    <row r="87" spans="30:31">
      <c r="AD87">
        <v>87</v>
      </c>
      <c r="AE87">
        <v>71</v>
      </c>
    </row>
    <row r="88" spans="30:31">
      <c r="AD88">
        <v>27</v>
      </c>
      <c r="AE88">
        <v>23</v>
      </c>
    </row>
    <row r="89" spans="30:31">
      <c r="AD89">
        <v>67</v>
      </c>
      <c r="AE89">
        <v>44</v>
      </c>
    </row>
    <row r="90" spans="30:31">
      <c r="AD90">
        <v>43</v>
      </c>
      <c r="AE90">
        <v>4</v>
      </c>
    </row>
    <row r="91" spans="30:31">
      <c r="AD91">
        <v>55</v>
      </c>
      <c r="AE91">
        <v>47</v>
      </c>
    </row>
    <row r="92" spans="30:31">
      <c r="AD92">
        <v>44</v>
      </c>
      <c r="AE92">
        <v>93</v>
      </c>
    </row>
    <row r="93" spans="30:31">
      <c r="AD93">
        <v>84</v>
      </c>
      <c r="AE93">
        <v>119</v>
      </c>
    </row>
    <row r="94" spans="30:31">
      <c r="AD94">
        <v>31</v>
      </c>
      <c r="AE94">
        <v>44</v>
      </c>
    </row>
    <row r="95" spans="30:31">
      <c r="AD95">
        <v>36</v>
      </c>
      <c r="AE95">
        <v>28</v>
      </c>
    </row>
    <row r="96" spans="30:31">
      <c r="AD96">
        <v>121</v>
      </c>
      <c r="AE96">
        <v>115</v>
      </c>
    </row>
    <row r="97" spans="30:31">
      <c r="AD97">
        <v>2</v>
      </c>
      <c r="AE97">
        <v>1</v>
      </c>
    </row>
    <row r="98" spans="30:31">
      <c r="AD98">
        <v>46</v>
      </c>
      <c r="AE98">
        <v>42</v>
      </c>
    </row>
    <row r="99" spans="30:31">
      <c r="AD99">
        <v>85</v>
      </c>
      <c r="AE99">
        <v>43</v>
      </c>
    </row>
    <row r="100" spans="30:31">
      <c r="AD100">
        <v>56</v>
      </c>
      <c r="AE100">
        <v>117</v>
      </c>
    </row>
    <row r="101" spans="30:31">
      <c r="AD101">
        <v>51</v>
      </c>
      <c r="AE101">
        <v>45</v>
      </c>
    </row>
    <row r="102" spans="30:31">
      <c r="AD102">
        <v>62</v>
      </c>
      <c r="AE102">
        <v>55</v>
      </c>
    </row>
    <row r="103" spans="30:31">
      <c r="AD103">
        <v>7</v>
      </c>
      <c r="AE103">
        <v>5</v>
      </c>
    </row>
    <row r="104" spans="30:31">
      <c r="AD104">
        <v>3</v>
      </c>
      <c r="AE104">
        <v>3</v>
      </c>
    </row>
    <row r="105" spans="30:31">
      <c r="AD105">
        <v>47</v>
      </c>
      <c r="AE105">
        <v>37</v>
      </c>
    </row>
    <row r="106" spans="30:31">
      <c r="AD106">
        <v>88</v>
      </c>
      <c r="AE106">
        <v>57</v>
      </c>
    </row>
    <row r="107" spans="30:31">
      <c r="AD107">
        <v>116</v>
      </c>
      <c r="AE107">
        <v>119</v>
      </c>
    </row>
    <row r="108" spans="30:31">
      <c r="AD108">
        <v>22</v>
      </c>
      <c r="AE108">
        <v>6</v>
      </c>
    </row>
    <row r="109" spans="30:31">
      <c r="AD109">
        <v>17</v>
      </c>
      <c r="AE109">
        <v>9</v>
      </c>
    </row>
    <row r="110" spans="30:31">
      <c r="AD110">
        <v>8</v>
      </c>
      <c r="AE110">
        <v>24</v>
      </c>
    </row>
    <row r="111" spans="30:31">
      <c r="AD111">
        <v>30</v>
      </c>
      <c r="AE111">
        <v>28</v>
      </c>
    </row>
    <row r="112" spans="30:31">
      <c r="AD112">
        <v>59</v>
      </c>
      <c r="AE112">
        <v>55</v>
      </c>
    </row>
    <row r="113" spans="30:31">
      <c r="AD113">
        <v>21</v>
      </c>
      <c r="AE113">
        <v>28</v>
      </c>
    </row>
    <row r="114" spans="30:31">
      <c r="AD114">
        <v>65</v>
      </c>
      <c r="AE114">
        <v>41</v>
      </c>
    </row>
    <row r="115" spans="30:31">
      <c r="AD115">
        <v>39</v>
      </c>
      <c r="AE115">
        <v>4</v>
      </c>
    </row>
    <row r="116" spans="30:31">
      <c r="AD116">
        <v>49</v>
      </c>
      <c r="AE116">
        <v>23</v>
      </c>
    </row>
    <row r="117" spans="30:31">
      <c r="AD117">
        <v>42</v>
      </c>
      <c r="AE117">
        <v>17</v>
      </c>
    </row>
    <row r="118" spans="30:31">
      <c r="AD118">
        <v>46</v>
      </c>
      <c r="AE118">
        <v>22</v>
      </c>
    </row>
    <row r="119" spans="30:31">
      <c r="AD119">
        <v>90</v>
      </c>
      <c r="AE119">
        <v>6</v>
      </c>
    </row>
    <row r="120" spans="30:31">
      <c r="AD120">
        <v>20</v>
      </c>
      <c r="AE120">
        <v>10</v>
      </c>
    </row>
    <row r="121" spans="30:31">
      <c r="AD121">
        <v>14</v>
      </c>
      <c r="AE121">
        <v>12</v>
      </c>
    </row>
    <row r="122" spans="30:31">
      <c r="AD122">
        <v>23</v>
      </c>
      <c r="AE122">
        <v>13</v>
      </c>
    </row>
    <row r="123" spans="30:31">
      <c r="AD123">
        <v>53</v>
      </c>
      <c r="AE123">
        <v>50</v>
      </c>
    </row>
    <row r="124" spans="30:31">
      <c r="AD124">
        <v>4</v>
      </c>
      <c r="AE124">
        <v>14</v>
      </c>
    </row>
    <row r="125" spans="30:31">
      <c r="AD125">
        <v>93</v>
      </c>
      <c r="AE125">
        <v>96</v>
      </c>
    </row>
    <row r="126" spans="30:31">
      <c r="AD126">
        <v>57</v>
      </c>
      <c r="AE126">
        <v>60</v>
      </c>
    </row>
    <row r="127" spans="30:31">
      <c r="AD127">
        <v>37</v>
      </c>
      <c r="AE127">
        <v>33</v>
      </c>
    </row>
    <row r="128" spans="30:31">
      <c r="AD128">
        <v>32</v>
      </c>
      <c r="AE128">
        <v>45</v>
      </c>
    </row>
    <row r="129" spans="30:31">
      <c r="AD129">
        <v>19</v>
      </c>
      <c r="AE129">
        <v>13</v>
      </c>
    </row>
    <row r="130" spans="30:31">
      <c r="AD130">
        <v>25</v>
      </c>
      <c r="AE130">
        <v>23</v>
      </c>
    </row>
    <row r="131" spans="30:31">
      <c r="AD131">
        <v>79</v>
      </c>
      <c r="AE131">
        <v>51</v>
      </c>
    </row>
    <row r="132" spans="30:31">
      <c r="AD132">
        <v>1</v>
      </c>
      <c r="AE132">
        <v>1</v>
      </c>
    </row>
    <row r="133" spans="30:31">
      <c r="AD133">
        <v>42</v>
      </c>
      <c r="AE133">
        <v>38</v>
      </c>
    </row>
  </sheetData>
  <mergeCells count="6">
    <mergeCell ref="Y13:AB13"/>
    <mergeCell ref="T46:U46"/>
    <mergeCell ref="T20:U20"/>
    <mergeCell ref="T1:W1"/>
    <mergeCell ref="T6:W6"/>
    <mergeCell ref="T13:X13"/>
  </mergeCells>
  <conditionalFormatting sqref="C1:F1048576">
    <cfRule type="cellIs" dxfId="457" priority="2" operator="between">
      <formula>101</formula>
      <formula>250</formula>
    </cfRule>
    <cfRule type="cellIs" dxfId="456" priority="3" operator="between">
      <formula>50.5</formula>
      <formula>100</formula>
    </cfRule>
    <cfRule type="cellIs" dxfId="455" priority="4" operator="between">
      <formula>20.5</formula>
      <formula>50.49</formula>
    </cfRule>
    <cfRule type="cellIs" dxfId="454" priority="5" operator="between">
      <formula>20</formula>
      <formula>1</formula>
    </cfRule>
  </conditionalFormatting>
  <conditionalFormatting sqref="I1:I1048576">
    <cfRule type="cellIs" dxfId="453" priority="6" operator="between">
      <formula>4</formula>
      <formula>-4</formula>
    </cfRule>
    <cfRule type="cellIs" dxfId="452" priority="15" operator="between">
      <formula>5</formula>
      <formula>9</formula>
    </cfRule>
    <cfRule type="cellIs" dxfId="451" priority="16" operator="lessThanOrEqual">
      <formula>-10</formula>
    </cfRule>
    <cfRule type="cellIs" dxfId="450" priority="17" operator="between">
      <formula>-5</formula>
      <formula>-9</formula>
    </cfRule>
    <cfRule type="cellIs" dxfId="449" priority="18" operator="greaterThanOrEqual">
      <formula>10</formula>
    </cfRule>
  </conditionalFormatting>
  <pageMargins left="0.7" right="0.7" top="0.75" bottom="0.75" header="0.3" footer="0.3"/>
  <drawing r:id="rId1"/>
  <legacyDrawing r:id="rId2"/>
  <tableParts count="1">
    <tablePart r:id="rId3"/>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549EF-A8FB-4156-88A5-F4E724C3EA5C}">
  <sheetPr codeName="Sheet84">
    <tabColor rgb="FF92D050"/>
  </sheetPr>
  <dimension ref="A1:AA69"/>
  <sheetViews>
    <sheetView zoomScale="90" zoomScaleNormal="90" workbookViewId="0">
      <selection activeCell="L2" activeCellId="1" sqref="A2 L2:S2"/>
    </sheetView>
  </sheetViews>
  <sheetFormatPr defaultRowHeight="15"/>
  <cols>
    <col min="1" max="1" width="25.85546875" customWidth="1"/>
    <col min="2" max="5" width="9.140625"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4" bestFit="1" customWidth="1"/>
    <col min="24" max="24" width="25.85546875" bestFit="1" customWidth="1"/>
  </cols>
  <sheetData>
    <row r="1" spans="1:27"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122" t="s">
        <v>537</v>
      </c>
      <c r="Q1" s="122" t="s">
        <v>536</v>
      </c>
      <c r="R1" s="362" t="s">
        <v>535</v>
      </c>
      <c r="S1" s="241" t="s">
        <v>566</v>
      </c>
      <c r="T1" s="241" t="s">
        <v>565</v>
      </c>
      <c r="U1" s="241" t="s">
        <v>472</v>
      </c>
      <c r="V1" s="331" t="s">
        <v>210</v>
      </c>
      <c r="W1" s="1"/>
      <c r="X1" s="403" t="s">
        <v>1119</v>
      </c>
      <c r="Y1" s="403"/>
      <c r="Z1" s="403"/>
      <c r="AA1" s="403"/>
    </row>
    <row r="2" spans="1:27">
      <c r="A2" s="438" t="s">
        <v>35</v>
      </c>
      <c r="B2" s="439">
        <v>76</v>
      </c>
      <c r="C2" s="439">
        <v>14</v>
      </c>
      <c r="D2" s="439">
        <v>1</v>
      </c>
      <c r="E2" s="439">
        <v>5</v>
      </c>
      <c r="F2" s="439">
        <v>96</v>
      </c>
      <c r="G2" s="439">
        <v>1</v>
      </c>
      <c r="H2" s="439">
        <v>87.5</v>
      </c>
      <c r="I2" s="440">
        <v>111.53260327794813</v>
      </c>
      <c r="J2" s="259">
        <v>105.53456210706372</v>
      </c>
      <c r="K2" s="260">
        <v>128.12086984975519</v>
      </c>
      <c r="L2" s="441">
        <f>RANK(H2,$H$2:$H$69,1)</f>
        <v>1</v>
      </c>
      <c r="M2" s="230">
        <f>RANK(I2,$I$2:$I$69,1)</f>
        <v>2</v>
      </c>
      <c r="N2" s="438">
        <f>RANK(J2,$J$2:$J$69,1)</f>
        <v>1</v>
      </c>
      <c r="O2" s="438">
        <f>RANK(K2,$K$2:$K$69,1)</f>
        <v>1</v>
      </c>
      <c r="P2" s="442">
        <v>0</v>
      </c>
      <c r="Q2" s="442">
        <v>0</v>
      </c>
      <c r="R2" s="439">
        <v>1</v>
      </c>
      <c r="S2" s="439">
        <f>RANK(U2,$U$2:$U$69,0)</f>
        <v>68</v>
      </c>
      <c r="T2" s="440">
        <v>48.858593568085055</v>
      </c>
      <c r="U2" s="440">
        <v>2.16</v>
      </c>
      <c r="V2" s="439">
        <v>1</v>
      </c>
      <c r="X2" t="s">
        <v>559</v>
      </c>
      <c r="Y2" s="14">
        <v>331.3</v>
      </c>
      <c r="Z2" s="14">
        <v>331.3</v>
      </c>
      <c r="AA2" s="14">
        <f t="shared" ref="AA2:AA46" si="0">Z2-Y2</f>
        <v>0</v>
      </c>
    </row>
    <row r="3" spans="1:27">
      <c r="A3" s="159" t="s">
        <v>64</v>
      </c>
      <c r="B3">
        <v>59</v>
      </c>
      <c r="C3">
        <v>61</v>
      </c>
      <c r="D3">
        <v>49</v>
      </c>
      <c r="E3">
        <v>108</v>
      </c>
      <c r="F3">
        <v>13</v>
      </c>
      <c r="G3">
        <v>5</v>
      </c>
      <c r="H3">
        <v>148.79999999999998</v>
      </c>
      <c r="I3" s="14">
        <v>188.14486218777196</v>
      </c>
      <c r="J3" s="259">
        <v>173.40896570704098</v>
      </c>
      <c r="K3" s="260">
        <v>213.84355516858528</v>
      </c>
      <c r="L3" s="16">
        <f>RANK(H3,$H$2:$H$69,1)</f>
        <v>14</v>
      </c>
      <c r="M3" s="230">
        <f>RANK(I3,$I$2:$I$69,1)</f>
        <v>11</v>
      </c>
      <c r="N3" s="159">
        <f>RANK(J3,$J$2:$J$69,1)</f>
        <v>17</v>
      </c>
      <c r="O3" s="159">
        <f>RANK(K3,$K$2:$K$69,1)</f>
        <v>11</v>
      </c>
      <c r="P3" s="15">
        <v>0</v>
      </c>
      <c r="Q3" s="15">
        <v>0</v>
      </c>
      <c r="R3">
        <v>12</v>
      </c>
      <c r="S3">
        <f>RANK(U3,$U$2:$U$69,0)</f>
        <v>53</v>
      </c>
      <c r="T3" s="14">
        <v>18.787536913005521</v>
      </c>
      <c r="U3" s="14">
        <v>9.23</v>
      </c>
      <c r="V3" s="439">
        <v>2</v>
      </c>
      <c r="X3" t="s">
        <v>117</v>
      </c>
      <c r="Y3" s="14">
        <v>334.6</v>
      </c>
      <c r="Z3" s="14">
        <v>334.6</v>
      </c>
      <c r="AA3" s="14">
        <f t="shared" si="0"/>
        <v>0</v>
      </c>
    </row>
    <row r="4" spans="1:27">
      <c r="A4" s="159" t="s">
        <v>18</v>
      </c>
      <c r="B4">
        <v>7</v>
      </c>
      <c r="C4">
        <v>109</v>
      </c>
      <c r="D4">
        <v>33</v>
      </c>
      <c r="E4">
        <v>72</v>
      </c>
      <c r="F4">
        <v>15</v>
      </c>
      <c r="G4">
        <v>3</v>
      </c>
      <c r="H4">
        <v>126.79999999999998</v>
      </c>
      <c r="I4" s="14">
        <v>142.42859498379738</v>
      </c>
      <c r="J4" s="259">
        <v>136.6950694746721</v>
      </c>
      <c r="K4" s="260">
        <v>151.78156424715405</v>
      </c>
      <c r="L4" s="16">
        <f>RANK(H4,$H$2:$H$69,1)</f>
        <v>8</v>
      </c>
      <c r="M4" s="230">
        <f>RANK(I4,$I$2:$I$69,1)</f>
        <v>3</v>
      </c>
      <c r="N4" s="159">
        <f>RANK(J4,$J$2:$J$69,1)</f>
        <v>6</v>
      </c>
      <c r="O4" s="159">
        <f>RANK(K4,$K$2:$K$69,1)</f>
        <v>3</v>
      </c>
      <c r="P4" s="15">
        <v>0</v>
      </c>
      <c r="Q4" s="15">
        <v>0</v>
      </c>
      <c r="R4">
        <v>29</v>
      </c>
      <c r="S4">
        <f>RANK(U4,$U$2:$U$69,0)</f>
        <v>55</v>
      </c>
      <c r="T4" s="14">
        <v>15.821188596605566</v>
      </c>
      <c r="U4" s="14">
        <v>8.64</v>
      </c>
      <c r="V4" s="439">
        <v>3</v>
      </c>
      <c r="X4" t="s">
        <v>186</v>
      </c>
      <c r="Y4" s="14">
        <v>334.9</v>
      </c>
      <c r="Z4" s="14">
        <v>334.9</v>
      </c>
      <c r="AA4" s="14">
        <f t="shared" si="0"/>
        <v>0</v>
      </c>
    </row>
    <row r="5" spans="1:27">
      <c r="A5" s="438" t="s">
        <v>40</v>
      </c>
      <c r="B5" s="439">
        <v>113</v>
      </c>
      <c r="C5" s="439">
        <v>36</v>
      </c>
      <c r="D5" s="439">
        <v>149</v>
      </c>
      <c r="E5" s="439">
        <v>102</v>
      </c>
      <c r="F5" s="439">
        <v>57</v>
      </c>
      <c r="G5" s="439">
        <v>91</v>
      </c>
      <c r="H5" s="439">
        <v>246</v>
      </c>
      <c r="I5" s="440">
        <v>401.31927545309691</v>
      </c>
      <c r="J5" s="259">
        <v>158.62959120802853</v>
      </c>
      <c r="K5" s="260">
        <v>243.03161499739761</v>
      </c>
      <c r="L5" s="441">
        <f>RANK(H5,$H$2:$H$69,1)</f>
        <v>54</v>
      </c>
      <c r="M5" s="230">
        <f>RANK(I5,$I$2:$I$69,1)</f>
        <v>52</v>
      </c>
      <c r="N5" s="438">
        <f>RANK(J5,$J$2:$J$69,1)</f>
        <v>12</v>
      </c>
      <c r="O5" s="438">
        <f>RANK(K5,$K$2:$K$69,1)</f>
        <v>17</v>
      </c>
      <c r="P5" s="442">
        <v>0</v>
      </c>
      <c r="Q5" s="442">
        <v>0</v>
      </c>
      <c r="R5" s="439">
        <v>-36</v>
      </c>
      <c r="S5" s="439">
        <f>RANK(U5,$U$2:$U$69,0)</f>
        <v>64</v>
      </c>
      <c r="T5" s="440">
        <v>35.251020268450787</v>
      </c>
      <c r="U5" s="440">
        <v>4.5</v>
      </c>
      <c r="V5" s="439">
        <v>3</v>
      </c>
      <c r="X5" t="s">
        <v>157</v>
      </c>
      <c r="Y5" s="14">
        <v>337.9</v>
      </c>
      <c r="Z5" s="14">
        <v>337.9</v>
      </c>
      <c r="AA5" s="14">
        <f t="shared" si="0"/>
        <v>0</v>
      </c>
    </row>
    <row r="6" spans="1:27">
      <c r="A6" s="159" t="s">
        <v>42</v>
      </c>
      <c r="B6">
        <v>39</v>
      </c>
      <c r="C6">
        <v>97</v>
      </c>
      <c r="D6">
        <v>6</v>
      </c>
      <c r="E6">
        <v>39</v>
      </c>
      <c r="F6">
        <v>171</v>
      </c>
      <c r="G6">
        <v>56</v>
      </c>
      <c r="H6">
        <v>165.9</v>
      </c>
      <c r="I6" s="14">
        <v>249.21688040498813</v>
      </c>
      <c r="J6" s="259">
        <v>181.49597491949709</v>
      </c>
      <c r="K6" s="260">
        <v>242.08926840305872</v>
      </c>
      <c r="L6" s="16">
        <f>RANK(H6,$H$2:$H$69,1)</f>
        <v>25</v>
      </c>
      <c r="M6" s="230">
        <f>RANK(I6,$I$2:$I$69,1)</f>
        <v>28</v>
      </c>
      <c r="N6" s="159">
        <f>RANK(J6,$J$2:$J$69,1)</f>
        <v>23</v>
      </c>
      <c r="O6" s="159">
        <f>RANK(K6,$K$2:$K$69,1)</f>
        <v>16</v>
      </c>
      <c r="P6" s="15">
        <v>0</v>
      </c>
      <c r="Q6" s="15">
        <v>0</v>
      </c>
      <c r="R6">
        <v>-21</v>
      </c>
      <c r="S6">
        <f>RANK(U6,$U$2:$U$69,0)</f>
        <v>50</v>
      </c>
      <c r="T6" s="14">
        <v>18.149597491949709</v>
      </c>
      <c r="U6" s="14">
        <v>10</v>
      </c>
      <c r="V6" s="439">
        <v>5</v>
      </c>
      <c r="X6" t="s">
        <v>94</v>
      </c>
      <c r="Y6" s="14">
        <v>340.99999999999994</v>
      </c>
      <c r="Z6" s="14">
        <v>340.99999999999994</v>
      </c>
      <c r="AA6" s="14">
        <f t="shared" si="0"/>
        <v>0</v>
      </c>
    </row>
    <row r="7" spans="1:27">
      <c r="A7" s="438" t="s">
        <v>126</v>
      </c>
      <c r="B7" s="439">
        <v>163</v>
      </c>
      <c r="C7" s="439">
        <v>9</v>
      </c>
      <c r="D7" s="439">
        <v>94</v>
      </c>
      <c r="E7" s="439">
        <v>50</v>
      </c>
      <c r="F7" s="439">
        <v>60</v>
      </c>
      <c r="G7" s="439">
        <v>61</v>
      </c>
      <c r="H7" s="439">
        <v>196.7</v>
      </c>
      <c r="I7" s="440">
        <v>312.77365525519122</v>
      </c>
      <c r="J7" s="259">
        <v>199.11971001721952</v>
      </c>
      <c r="K7" s="260">
        <v>301.06505771842762</v>
      </c>
      <c r="L7" s="441">
        <f>RANK(H7,$H$2:$H$69,1)</f>
        <v>38</v>
      </c>
      <c r="M7" s="230">
        <f>RANK(I7,$I$2:$I$69,1)</f>
        <v>43</v>
      </c>
      <c r="N7" s="438">
        <f>RANK(J7,$J$2:$J$69,1)</f>
        <v>40</v>
      </c>
      <c r="O7" s="438">
        <f>RANK(K7,$K$2:$K$69,1)</f>
        <v>40</v>
      </c>
      <c r="P7" s="442">
        <v>0</v>
      </c>
      <c r="Q7" s="442">
        <v>0</v>
      </c>
      <c r="R7" s="439">
        <v>-31</v>
      </c>
      <c r="S7" s="439">
        <f>RANK(U7,$U$2:$U$69,0)</f>
        <v>37</v>
      </c>
      <c r="T7" s="440">
        <v>15.316900770555348</v>
      </c>
      <c r="U7" s="440">
        <v>13</v>
      </c>
      <c r="V7" s="439">
        <v>5</v>
      </c>
      <c r="X7" t="s">
        <v>445</v>
      </c>
      <c r="Y7" s="14">
        <v>346.5</v>
      </c>
      <c r="Z7" s="14">
        <v>346.5</v>
      </c>
      <c r="AA7" s="14">
        <f t="shared" si="0"/>
        <v>0</v>
      </c>
    </row>
    <row r="8" spans="1:27">
      <c r="A8" s="438" t="s">
        <v>110</v>
      </c>
      <c r="B8" s="439">
        <v>151</v>
      </c>
      <c r="C8" s="439">
        <v>4</v>
      </c>
      <c r="D8" s="439">
        <v>137</v>
      </c>
      <c r="E8" s="439">
        <v>131</v>
      </c>
      <c r="F8" s="439">
        <v>127</v>
      </c>
      <c r="G8" s="439">
        <v>132</v>
      </c>
      <c r="H8" s="439">
        <v>277</v>
      </c>
      <c r="I8" s="440">
        <v>494.96209010902976</v>
      </c>
      <c r="J8" s="259">
        <v>224.97108631059493</v>
      </c>
      <c r="K8" s="260">
        <v>389.68692914570937</v>
      </c>
      <c r="L8" s="441">
        <f>RANK(H8,$H$2:$H$69,1)</f>
        <v>64</v>
      </c>
      <c r="M8" s="230">
        <f>RANK(I8,$I$2:$I$69,1)</f>
        <v>67</v>
      </c>
      <c r="N8" s="438">
        <f>RANK(J8,$J$2:$J$69,1)</f>
        <v>51</v>
      </c>
      <c r="O8" s="438">
        <f>RANK(K8,$K$2:$K$69,1)</f>
        <v>60</v>
      </c>
      <c r="P8" s="442">
        <v>0</v>
      </c>
      <c r="Q8" s="442">
        <v>0</v>
      </c>
      <c r="R8" s="439">
        <v>0</v>
      </c>
      <c r="S8" s="439">
        <f>RANK(U8,$U$2:$U$69,0)</f>
        <v>35</v>
      </c>
      <c r="T8" s="440">
        <v>15.30415553133299</v>
      </c>
      <c r="U8" s="440">
        <v>14.7</v>
      </c>
      <c r="V8" s="439">
        <v>5</v>
      </c>
      <c r="X8" t="s">
        <v>401</v>
      </c>
      <c r="Y8" s="14">
        <v>354.09999999999997</v>
      </c>
      <c r="Z8" s="14">
        <v>354.09999999999997</v>
      </c>
      <c r="AA8" s="14">
        <f t="shared" si="0"/>
        <v>0</v>
      </c>
    </row>
    <row r="9" spans="1:27">
      <c r="A9" s="159" t="s">
        <v>38</v>
      </c>
      <c r="B9">
        <v>32</v>
      </c>
      <c r="C9">
        <v>140</v>
      </c>
      <c r="D9">
        <v>118</v>
      </c>
      <c r="E9">
        <v>75</v>
      </c>
      <c r="F9">
        <v>123</v>
      </c>
      <c r="G9">
        <v>103</v>
      </c>
      <c r="H9">
        <v>261.8</v>
      </c>
      <c r="I9" s="14">
        <v>405.69040539175097</v>
      </c>
      <c r="J9" s="259">
        <v>253.68796506993149</v>
      </c>
      <c r="K9" s="260">
        <v>366.93646454625593</v>
      </c>
      <c r="L9" s="16">
        <f>RANK(H9,$H$2:$H$69,1)</f>
        <v>59</v>
      </c>
      <c r="M9" s="230">
        <f>RANK(I9,$I$2:$I$69,1)</f>
        <v>53</v>
      </c>
      <c r="N9" s="159">
        <f>RANK(J9,$J$2:$J$69,1)</f>
        <v>60</v>
      </c>
      <c r="O9" s="159">
        <f>RANK(K9,$K$2:$K$69,1)</f>
        <v>53</v>
      </c>
      <c r="P9" s="15">
        <v>0</v>
      </c>
      <c r="Q9" s="15">
        <v>0</v>
      </c>
      <c r="R9">
        <v>-41</v>
      </c>
      <c r="S9">
        <f>RANK(U9,$U$2:$U$69,0)</f>
        <v>11</v>
      </c>
      <c r="T9" s="14">
        <v>7.461410737350926</v>
      </c>
      <c r="U9" s="14">
        <v>34</v>
      </c>
      <c r="V9" s="439">
        <v>5</v>
      </c>
      <c r="X9" t="s">
        <v>522</v>
      </c>
      <c r="Y9" s="14">
        <v>361.19999999999993</v>
      </c>
      <c r="Z9" s="14">
        <v>361.19999999999993</v>
      </c>
      <c r="AA9" s="14">
        <f t="shared" si="0"/>
        <v>0</v>
      </c>
    </row>
    <row r="10" spans="1:27">
      <c r="A10" s="438" t="s">
        <v>135</v>
      </c>
      <c r="B10" s="439">
        <v>152</v>
      </c>
      <c r="C10" s="439">
        <v>5</v>
      </c>
      <c r="D10" s="439">
        <v>80</v>
      </c>
      <c r="E10" s="439">
        <v>53</v>
      </c>
      <c r="F10" s="439">
        <v>161</v>
      </c>
      <c r="G10" s="439">
        <v>94</v>
      </c>
      <c r="H10" s="439">
        <v>220.6</v>
      </c>
      <c r="I10" s="440">
        <v>379.9088394683605</v>
      </c>
      <c r="J10" s="259">
        <v>185.78363345436208</v>
      </c>
      <c r="K10" s="260">
        <v>292.91573362927329</v>
      </c>
      <c r="L10" s="441">
        <f>RANK(H10,$H$2:$H$69,1)</f>
        <v>48</v>
      </c>
      <c r="M10" s="230">
        <f>RANK(I10,$I$2:$I$69,1)</f>
        <v>51</v>
      </c>
      <c r="N10" s="438">
        <f>RANK(J10,$J$2:$J$69,1)</f>
        <v>28</v>
      </c>
      <c r="O10" s="438">
        <f>RANK(K10,$K$2:$K$69,1)</f>
        <v>36</v>
      </c>
      <c r="P10" s="442">
        <v>0</v>
      </c>
      <c r="Q10" s="442">
        <v>0</v>
      </c>
      <c r="R10" s="439">
        <v>-68</v>
      </c>
      <c r="S10" s="439">
        <f>RANK(U10,$U$2:$U$69,0)</f>
        <v>63</v>
      </c>
      <c r="T10" s="440">
        <v>33.778842446247651</v>
      </c>
      <c r="U10" s="440">
        <v>5.5</v>
      </c>
      <c r="V10" s="439">
        <v>9</v>
      </c>
      <c r="X10" t="s">
        <v>486</v>
      </c>
      <c r="Y10" s="14">
        <v>372</v>
      </c>
      <c r="Z10" s="14">
        <v>372</v>
      </c>
      <c r="AA10" s="14">
        <f t="shared" si="0"/>
        <v>0</v>
      </c>
    </row>
    <row r="11" spans="1:27">
      <c r="A11" s="159" t="s">
        <v>439</v>
      </c>
      <c r="B11">
        <v>19</v>
      </c>
      <c r="C11">
        <v>33</v>
      </c>
      <c r="D11">
        <v>26</v>
      </c>
      <c r="E11">
        <v>108</v>
      </c>
      <c r="F11">
        <v>76</v>
      </c>
      <c r="G11">
        <v>12</v>
      </c>
      <c r="H11">
        <v>121.10000000000001</v>
      </c>
      <c r="I11" s="14">
        <v>168.93347196684974</v>
      </c>
      <c r="J11" s="259">
        <v>123.97276210554998</v>
      </c>
      <c r="K11" s="260">
        <v>166.76643041145564</v>
      </c>
      <c r="L11" s="16">
        <f>RANK(H11,$H$2:$H$69,1)</f>
        <v>4</v>
      </c>
      <c r="M11" s="230">
        <f>RANK(I11,$I$2:$I$69,1)</f>
        <v>5</v>
      </c>
      <c r="N11" s="159">
        <f>RANK(J11,$J$2:$J$69,1)</f>
        <v>4</v>
      </c>
      <c r="O11" s="159">
        <f>RANK(K11,$K$2:$K$69,1)</f>
        <v>5</v>
      </c>
      <c r="P11" s="15">
        <v>0</v>
      </c>
      <c r="Q11" s="15">
        <v>0</v>
      </c>
      <c r="R11">
        <v>22</v>
      </c>
      <c r="S11">
        <f>RANK(U11,$U$2:$U$69,0)</f>
        <v>66</v>
      </c>
      <c r="T11" s="14">
        <v>29.945111619698064</v>
      </c>
      <c r="U11" s="14">
        <v>4.1399999999999997</v>
      </c>
      <c r="V11" s="439">
        <v>10</v>
      </c>
      <c r="X11" t="s">
        <v>412</v>
      </c>
      <c r="Y11" s="14">
        <v>372.9</v>
      </c>
      <c r="Z11" s="14">
        <v>372.9</v>
      </c>
      <c r="AA11" s="14">
        <f t="shared" si="0"/>
        <v>0</v>
      </c>
    </row>
    <row r="12" spans="1:27">
      <c r="A12" s="438" t="s">
        <v>132</v>
      </c>
      <c r="B12" s="439">
        <v>108</v>
      </c>
      <c r="C12" s="439">
        <v>15</v>
      </c>
      <c r="D12" s="439">
        <v>38</v>
      </c>
      <c r="E12" s="439">
        <v>37</v>
      </c>
      <c r="F12" s="439">
        <v>145</v>
      </c>
      <c r="G12" s="439">
        <v>25</v>
      </c>
      <c r="H12" s="439">
        <v>162.39999999999998</v>
      </c>
      <c r="I12" s="440">
        <v>233.58666354332473</v>
      </c>
      <c r="J12" s="259">
        <v>167.34753473733605</v>
      </c>
      <c r="K12" s="260">
        <v>231.95616141955588</v>
      </c>
      <c r="L12" s="441">
        <f>RANK(H12,$H$2:$H$69,1)</f>
        <v>22</v>
      </c>
      <c r="M12" s="230">
        <f>RANK(I12,$I$2:$I$69,1)</f>
        <v>22</v>
      </c>
      <c r="N12" s="438">
        <f>RANK(J12,$J$2:$J$69,1)</f>
        <v>15</v>
      </c>
      <c r="O12" s="438">
        <f>RANK(K12,$K$2:$K$69,1)</f>
        <v>14</v>
      </c>
      <c r="P12" s="442">
        <v>0</v>
      </c>
      <c r="Q12" s="442">
        <v>0</v>
      </c>
      <c r="R12" s="439">
        <v>-4</v>
      </c>
      <c r="S12" s="439">
        <f>RANK(U12,$U$2:$U$69,0)</f>
        <v>43</v>
      </c>
      <c r="T12" s="440">
        <v>13.60549062905171</v>
      </c>
      <c r="U12" s="440">
        <v>12.3</v>
      </c>
      <c r="V12" s="439">
        <v>10</v>
      </c>
      <c r="X12" t="s">
        <v>174</v>
      </c>
      <c r="Y12" s="14">
        <v>404.8</v>
      </c>
      <c r="Z12" s="14">
        <v>404.8</v>
      </c>
      <c r="AA12" s="14">
        <f t="shared" si="0"/>
        <v>0</v>
      </c>
    </row>
    <row r="13" spans="1:27">
      <c r="A13" s="159" t="s">
        <v>492</v>
      </c>
      <c r="B13">
        <v>27</v>
      </c>
      <c r="C13">
        <v>80</v>
      </c>
      <c r="D13">
        <v>18</v>
      </c>
      <c r="E13">
        <v>58</v>
      </c>
      <c r="F13">
        <v>61</v>
      </c>
      <c r="G13">
        <v>36</v>
      </c>
      <c r="H13">
        <v>121.7</v>
      </c>
      <c r="I13" s="14">
        <v>176.61748062811017</v>
      </c>
      <c r="J13" s="259">
        <v>121.7</v>
      </c>
      <c r="K13" s="260">
        <v>176.61748062811017</v>
      </c>
      <c r="L13" s="16">
        <f>RANK(H13,$H$2:$H$69,1)</f>
        <v>5</v>
      </c>
      <c r="M13" s="230">
        <f>RANK(I13,$I$2:$I$69,1)</f>
        <v>8</v>
      </c>
      <c r="N13" s="159">
        <f>RANK(J13,$J$2:$J$69,1)</f>
        <v>2</v>
      </c>
      <c r="O13" s="159">
        <f>RANK(K13,$K$2:$K$69,1)</f>
        <v>7</v>
      </c>
      <c r="P13" s="15">
        <v>0</v>
      </c>
      <c r="Q13" s="15">
        <v>0</v>
      </c>
      <c r="R13">
        <v>-32</v>
      </c>
      <c r="S13">
        <f>RANK(U13,$U$2:$U$69,0)</f>
        <v>10</v>
      </c>
      <c r="T13" s="14">
        <v>2.9682926829268292</v>
      </c>
      <c r="U13" s="14">
        <v>41</v>
      </c>
      <c r="V13" s="439"/>
      <c r="X13" t="s">
        <v>242</v>
      </c>
      <c r="Y13" s="14">
        <v>431.9</v>
      </c>
      <c r="Z13" s="14">
        <v>431.9</v>
      </c>
      <c r="AA13" s="14">
        <f t="shared" si="0"/>
        <v>0</v>
      </c>
    </row>
    <row r="14" spans="1:27">
      <c r="A14" s="159" t="s">
        <v>73</v>
      </c>
      <c r="B14">
        <v>44</v>
      </c>
      <c r="C14">
        <v>31</v>
      </c>
      <c r="D14">
        <v>19</v>
      </c>
      <c r="E14">
        <v>8</v>
      </c>
      <c r="F14">
        <v>79</v>
      </c>
      <c r="G14">
        <v>2</v>
      </c>
      <c r="H14">
        <v>88.699999999999989</v>
      </c>
      <c r="I14" s="14">
        <v>108.77285139103546</v>
      </c>
      <c r="J14" s="259">
        <v>122.74755088059227</v>
      </c>
      <c r="K14" s="260">
        <v>142.81125677865404</v>
      </c>
      <c r="L14" s="16">
        <f>RANK(H14,$H$2:$H$69,1)</f>
        <v>2</v>
      </c>
      <c r="M14" s="230">
        <f>RANK(I14,$I$2:$I$69,1)</f>
        <v>1</v>
      </c>
      <c r="N14" s="159">
        <f>RANK(J14,$J$2:$J$69,1)</f>
        <v>3</v>
      </c>
      <c r="O14" s="159">
        <f>RANK(K14,$K$2:$K$69,1)</f>
        <v>2</v>
      </c>
      <c r="P14" s="15">
        <v>0</v>
      </c>
      <c r="Q14" s="15">
        <v>0</v>
      </c>
      <c r="R14">
        <v>3</v>
      </c>
      <c r="S14">
        <f>RANK(U14,$U$2:$U$69,0)</f>
        <v>67</v>
      </c>
      <c r="T14" s="14">
        <v>32.820200770211834</v>
      </c>
      <c r="U14" s="14">
        <v>3.74</v>
      </c>
      <c r="V14" s="439"/>
      <c r="X14" t="s">
        <v>247</v>
      </c>
      <c r="Y14" s="14">
        <v>448.5</v>
      </c>
      <c r="Z14" s="14">
        <v>448.5</v>
      </c>
      <c r="AA14" s="14">
        <f t="shared" si="0"/>
        <v>0</v>
      </c>
    </row>
    <row r="15" spans="1:27">
      <c r="A15" s="438" t="s">
        <v>66</v>
      </c>
      <c r="B15" s="439">
        <v>67</v>
      </c>
      <c r="C15" s="439">
        <v>63</v>
      </c>
      <c r="D15" s="439">
        <v>54</v>
      </c>
      <c r="E15" s="439">
        <v>48</v>
      </c>
      <c r="F15" s="439">
        <v>51</v>
      </c>
      <c r="G15" s="439">
        <v>37</v>
      </c>
      <c r="H15" s="439">
        <v>148.70000000000002</v>
      </c>
      <c r="I15" s="440">
        <v>214.15605206141242</v>
      </c>
      <c r="J15" s="259">
        <v>133.75099719148994</v>
      </c>
      <c r="K15" s="260">
        <v>175.36807157462374</v>
      </c>
      <c r="L15" s="441">
        <f>RANK(H15,$H$2:$H$69,1)</f>
        <v>13</v>
      </c>
      <c r="M15" s="230">
        <f>RANK(I15,$I$2:$I$69,1)</f>
        <v>14</v>
      </c>
      <c r="N15" s="438">
        <f>RANK(J15,$J$2:$J$69,1)</f>
        <v>5</v>
      </c>
      <c r="O15" s="438">
        <f>RANK(K15,$K$2:$K$69,1)</f>
        <v>6</v>
      </c>
      <c r="P15" s="442">
        <v>0</v>
      </c>
      <c r="Q15" s="442">
        <v>0</v>
      </c>
      <c r="R15" s="439">
        <v>2</v>
      </c>
      <c r="S15" s="439">
        <f>RANK(U15,$U$2:$U$69,0)</f>
        <v>59</v>
      </c>
      <c r="T15" s="440">
        <v>18.397661236793667</v>
      </c>
      <c r="U15" s="440">
        <v>7.27</v>
      </c>
      <c r="V15" s="439"/>
      <c r="X15" t="s">
        <v>49</v>
      </c>
      <c r="Y15" s="14">
        <v>240.39999999999998</v>
      </c>
      <c r="Z15" s="14">
        <v>239.96067676283104</v>
      </c>
      <c r="AA15" s="14">
        <f t="shared" si="0"/>
        <v>-0.43932323716893507</v>
      </c>
    </row>
    <row r="16" spans="1:27">
      <c r="A16" s="159" t="s">
        <v>6</v>
      </c>
      <c r="B16">
        <v>4</v>
      </c>
      <c r="C16">
        <v>17</v>
      </c>
      <c r="D16">
        <v>61</v>
      </c>
      <c r="E16">
        <v>123</v>
      </c>
      <c r="F16">
        <v>78</v>
      </c>
      <c r="G16">
        <v>14</v>
      </c>
      <c r="H16">
        <v>135.30000000000001</v>
      </c>
      <c r="I16" s="14">
        <v>193.31760420426775</v>
      </c>
      <c r="J16" s="259">
        <v>138.13157555206539</v>
      </c>
      <c r="K16" s="260">
        <v>162.34762345222174</v>
      </c>
      <c r="L16" s="16">
        <f>RANK(H16,$H$2:$H$69,1)</f>
        <v>10</v>
      </c>
      <c r="M16" s="230">
        <f>RANK(I16,$I$2:$I$69,1)</f>
        <v>12</v>
      </c>
      <c r="N16" s="159">
        <f>RANK(J16,$J$2:$J$69,1)</f>
        <v>7</v>
      </c>
      <c r="O16" s="159">
        <f>RANK(K16,$K$2:$K$69,1)</f>
        <v>4</v>
      </c>
      <c r="P16" s="15">
        <v>0</v>
      </c>
      <c r="Q16" s="15">
        <v>0</v>
      </c>
      <c r="R16">
        <v>70</v>
      </c>
      <c r="S16">
        <f>RANK(U16,$U$2:$U$69,0)</f>
        <v>65</v>
      </c>
      <c r="T16" s="14">
        <v>31.901056709483921</v>
      </c>
      <c r="U16" s="14">
        <v>4.33</v>
      </c>
      <c r="V16" s="439"/>
      <c r="X16" t="s">
        <v>108</v>
      </c>
      <c r="Y16" s="14">
        <v>293.3</v>
      </c>
      <c r="Z16" s="14">
        <v>291.81041964897406</v>
      </c>
      <c r="AA16" s="14">
        <f t="shared" si="0"/>
        <v>-1.4895803510259498</v>
      </c>
    </row>
    <row r="17" spans="1:27">
      <c r="A17" s="159" t="s">
        <v>69</v>
      </c>
      <c r="B17">
        <v>35</v>
      </c>
      <c r="C17">
        <v>44</v>
      </c>
      <c r="D17">
        <v>7</v>
      </c>
      <c r="E17">
        <v>32</v>
      </c>
      <c r="F17">
        <v>160</v>
      </c>
      <c r="G17">
        <v>28</v>
      </c>
      <c r="H17">
        <v>125.6</v>
      </c>
      <c r="I17" s="14">
        <v>182.68639195942703</v>
      </c>
      <c r="J17" s="259">
        <v>142.12610458569071</v>
      </c>
      <c r="K17" s="260">
        <v>192.08465821665374</v>
      </c>
      <c r="L17" s="16">
        <f>RANK(H17,$H$2:$H$69,1)</f>
        <v>7</v>
      </c>
      <c r="M17" s="230">
        <f>RANK(I17,$I$2:$I$69,1)</f>
        <v>10</v>
      </c>
      <c r="N17" s="159">
        <f>RANK(J17,$J$2:$J$69,1)</f>
        <v>8</v>
      </c>
      <c r="O17" s="159">
        <f>RANK(K17,$K$2:$K$69,1)</f>
        <v>8</v>
      </c>
      <c r="P17" s="15">
        <v>0</v>
      </c>
      <c r="Q17" s="15">
        <v>0</v>
      </c>
      <c r="R17">
        <v>5</v>
      </c>
      <c r="S17">
        <f>RANK(U17,$U$2:$U$69,0)</f>
        <v>49</v>
      </c>
      <c r="T17" s="14">
        <v>13.798650930649583</v>
      </c>
      <c r="U17" s="14">
        <v>10.3</v>
      </c>
      <c r="V17" s="439"/>
      <c r="X17" t="s">
        <v>59</v>
      </c>
      <c r="Y17" s="14">
        <v>257.20000000000005</v>
      </c>
      <c r="Z17" s="14">
        <v>255.16813002809374</v>
      </c>
      <c r="AA17" s="14">
        <f t="shared" si="0"/>
        <v>-2.0318699719063034</v>
      </c>
    </row>
    <row r="18" spans="1:27">
      <c r="A18" s="438" t="s">
        <v>74</v>
      </c>
      <c r="B18" s="439">
        <v>114</v>
      </c>
      <c r="C18" s="439">
        <v>1</v>
      </c>
      <c r="D18" s="439">
        <v>3</v>
      </c>
      <c r="E18" s="439">
        <v>63</v>
      </c>
      <c r="F18" s="439">
        <v>99</v>
      </c>
      <c r="G18" s="439">
        <v>7</v>
      </c>
      <c r="H18" s="439">
        <v>124.5</v>
      </c>
      <c r="I18" s="440">
        <v>173.96719575861866</v>
      </c>
      <c r="J18" s="259">
        <v>142.62208353321847</v>
      </c>
      <c r="K18" s="260">
        <v>204.79633552116553</v>
      </c>
      <c r="L18" s="441">
        <f>RANK(H18,$H$2:$H$69,1)</f>
        <v>6</v>
      </c>
      <c r="M18" s="230">
        <f>RANK(I18,$I$2:$I$69,1)</f>
        <v>7</v>
      </c>
      <c r="N18" s="438">
        <f>RANK(J18,$J$2:$J$69,1)</f>
        <v>9</v>
      </c>
      <c r="O18" s="438">
        <f>RANK(K18,$K$2:$K$69,1)</f>
        <v>9</v>
      </c>
      <c r="P18" s="442">
        <v>0</v>
      </c>
      <c r="Q18" s="442">
        <v>0</v>
      </c>
      <c r="R18" s="439">
        <v>31</v>
      </c>
      <c r="S18" s="439">
        <f>RANK(U18,$U$2:$U$69,0)</f>
        <v>52</v>
      </c>
      <c r="T18" s="440">
        <v>15.124293057605353</v>
      </c>
      <c r="U18" s="440">
        <v>9.43</v>
      </c>
      <c r="V18" s="439"/>
      <c r="X18" t="s">
        <v>116</v>
      </c>
      <c r="Y18" s="14">
        <v>319</v>
      </c>
      <c r="Z18" s="14">
        <v>313.20127649064915</v>
      </c>
      <c r="AA18" s="14">
        <f t="shared" si="0"/>
        <v>-5.7987235093508502</v>
      </c>
    </row>
    <row r="19" spans="1:27">
      <c r="A19" s="438" t="s">
        <v>85</v>
      </c>
      <c r="B19" s="439">
        <v>112</v>
      </c>
      <c r="C19" s="439">
        <v>2</v>
      </c>
      <c r="D19" s="439">
        <v>165</v>
      </c>
      <c r="E19" s="439">
        <v>24</v>
      </c>
      <c r="F19" s="439">
        <v>73</v>
      </c>
      <c r="G19" s="439">
        <v>98</v>
      </c>
      <c r="H19" s="439">
        <v>211.5</v>
      </c>
      <c r="I19" s="440">
        <v>365.21061683016052</v>
      </c>
      <c r="J19" s="259">
        <v>153.56596420474222</v>
      </c>
      <c r="K19" s="260">
        <v>230.55197875778435</v>
      </c>
      <c r="L19" s="441">
        <f>RANK(H19,$H$2:$H$69,1)</f>
        <v>45</v>
      </c>
      <c r="M19" s="230">
        <f>RANK(I19,$I$2:$I$69,1)</f>
        <v>49</v>
      </c>
      <c r="N19" s="438">
        <f>RANK(J19,$J$2:$J$69,1)</f>
        <v>10</v>
      </c>
      <c r="O19" s="438">
        <f>RANK(K19,$K$2:$K$69,1)</f>
        <v>12</v>
      </c>
      <c r="P19" s="442">
        <v>0</v>
      </c>
      <c r="Q19" s="442">
        <v>0</v>
      </c>
      <c r="R19" s="439">
        <v>32</v>
      </c>
      <c r="S19" s="439">
        <f>RANK(U19,$U$2:$U$69,0)</f>
        <v>62</v>
      </c>
      <c r="T19" s="440">
        <v>27.870410926450493</v>
      </c>
      <c r="U19" s="440">
        <v>5.51</v>
      </c>
      <c r="V19" s="439"/>
      <c r="X19" t="s">
        <v>223</v>
      </c>
      <c r="Y19" s="14">
        <v>367.6</v>
      </c>
      <c r="Z19" s="14">
        <v>360.91748169712571</v>
      </c>
      <c r="AA19" s="14">
        <f t="shared" si="0"/>
        <v>-6.682518302874314</v>
      </c>
    </row>
    <row r="20" spans="1:27">
      <c r="A20" s="438" t="s">
        <v>370</v>
      </c>
      <c r="B20" s="439">
        <v>81</v>
      </c>
      <c r="C20" s="439">
        <v>16</v>
      </c>
      <c r="D20" s="439">
        <v>12</v>
      </c>
      <c r="E20" s="439">
        <v>87</v>
      </c>
      <c r="F20" s="439">
        <v>47</v>
      </c>
      <c r="G20" s="439">
        <v>4</v>
      </c>
      <c r="H20" s="439">
        <v>112.10000000000001</v>
      </c>
      <c r="I20" s="440">
        <v>152.14101790168536</v>
      </c>
      <c r="J20" s="259">
        <v>155.74573394889637</v>
      </c>
      <c r="K20" s="260">
        <v>245.06094868835339</v>
      </c>
      <c r="L20" s="441">
        <f>RANK(H20,$H$2:$H$69,1)</f>
        <v>3</v>
      </c>
      <c r="M20" s="230">
        <f>RANK(I20,$I$2:$I$69,1)</f>
        <v>4</v>
      </c>
      <c r="N20" s="438">
        <f>RANK(J20,$J$2:$J$69,1)</f>
        <v>11</v>
      </c>
      <c r="O20" s="438">
        <f>RANK(K20,$K$2:$K$69,1)</f>
        <v>19</v>
      </c>
      <c r="P20" s="442">
        <v>0</v>
      </c>
      <c r="Q20" s="442">
        <v>0</v>
      </c>
      <c r="R20" s="439">
        <v>46</v>
      </c>
      <c r="S20" s="439">
        <f>RANK(U20,$U$2:$U$69,0)</f>
        <v>46</v>
      </c>
      <c r="T20" s="440">
        <v>14.158703086263307</v>
      </c>
      <c r="U20" s="440">
        <v>11</v>
      </c>
      <c r="V20" s="439"/>
      <c r="X20" t="s">
        <v>68</v>
      </c>
      <c r="Y20" s="14">
        <v>205.3</v>
      </c>
      <c r="Z20" s="14">
        <v>197.33726632631308</v>
      </c>
      <c r="AA20" s="14">
        <f t="shared" si="0"/>
        <v>-7.9627336736869267</v>
      </c>
    </row>
    <row r="21" spans="1:27">
      <c r="A21" s="438" t="s">
        <v>166</v>
      </c>
      <c r="B21" s="439">
        <v>166</v>
      </c>
      <c r="C21" s="439">
        <v>13</v>
      </c>
      <c r="D21" s="439">
        <v>69</v>
      </c>
      <c r="E21" s="439">
        <v>40</v>
      </c>
      <c r="F21" s="439">
        <v>29</v>
      </c>
      <c r="G21" s="439">
        <v>21</v>
      </c>
      <c r="H21" s="439">
        <v>166.7</v>
      </c>
      <c r="I21" s="440">
        <v>232.88761756079018</v>
      </c>
      <c r="J21" s="259">
        <v>161.43326947315836</v>
      </c>
      <c r="K21" s="260">
        <v>231.30561049882218</v>
      </c>
      <c r="L21" s="441">
        <f>RANK(H21,$H$2:$H$69,1)</f>
        <v>27</v>
      </c>
      <c r="M21" s="230">
        <f>RANK(I21,$I$2:$I$69,1)</f>
        <v>20</v>
      </c>
      <c r="N21" s="438">
        <f>RANK(J21,$J$2:$J$69,1)</f>
        <v>13</v>
      </c>
      <c r="O21" s="438">
        <f>RANK(K21,$K$2:$K$69,1)</f>
        <v>13</v>
      </c>
      <c r="P21" s="442">
        <v>0</v>
      </c>
      <c r="Q21" s="442">
        <v>0</v>
      </c>
      <c r="R21" s="439">
        <v>46</v>
      </c>
      <c r="S21" s="439">
        <f>RANK(U21,$U$2:$U$69,0)</f>
        <v>54</v>
      </c>
      <c r="T21" s="440">
        <v>17.93702994146204</v>
      </c>
      <c r="U21" s="440">
        <v>9</v>
      </c>
      <c r="V21" s="439"/>
      <c r="X21" t="s">
        <v>35</v>
      </c>
      <c r="Y21" s="14">
        <v>152.80000000000001</v>
      </c>
      <c r="Z21" s="14">
        <v>144.07874729963862</v>
      </c>
      <c r="AA21" s="14">
        <f t="shared" si="0"/>
        <v>-8.72125270036139</v>
      </c>
    </row>
    <row r="22" spans="1:27">
      <c r="A22" s="255" t="s">
        <v>52</v>
      </c>
      <c r="B22">
        <v>11</v>
      </c>
      <c r="C22">
        <v>67</v>
      </c>
      <c r="D22">
        <v>69</v>
      </c>
      <c r="E22">
        <v>35</v>
      </c>
      <c r="F22">
        <v>69</v>
      </c>
      <c r="G22">
        <v>15</v>
      </c>
      <c r="H22">
        <v>135.6</v>
      </c>
      <c r="I22" s="14">
        <v>172.60835022116675</v>
      </c>
      <c r="J22" s="259">
        <v>164.01872190436532</v>
      </c>
      <c r="K22" s="260">
        <v>206.83893678869111</v>
      </c>
      <c r="L22" s="16">
        <f>RANK(H22,$H$2:$H$69,1)</f>
        <v>11</v>
      </c>
      <c r="M22" s="230">
        <f>RANK(I22,$I$2:$I$69,1)</f>
        <v>6</v>
      </c>
      <c r="N22" s="159">
        <f>RANK(J22,$J$2:$J$69,1)</f>
        <v>14</v>
      </c>
      <c r="O22" s="159">
        <f>RANK(K22,$K$2:$K$69,1)</f>
        <v>10</v>
      </c>
      <c r="P22" s="15">
        <v>0</v>
      </c>
      <c r="Q22" s="15">
        <v>0</v>
      </c>
      <c r="R22">
        <v>7</v>
      </c>
      <c r="S22">
        <f>RANK(U22,$U$2:$U$69,0)</f>
        <v>21</v>
      </c>
      <c r="T22" s="14">
        <v>7.131248778450666</v>
      </c>
      <c r="U22" s="14">
        <v>23</v>
      </c>
      <c r="V22" s="439"/>
      <c r="X22" t="s">
        <v>106</v>
      </c>
      <c r="Y22" s="14">
        <v>274.3</v>
      </c>
      <c r="Z22" s="14">
        <v>262.69054023653194</v>
      </c>
      <c r="AA22" s="14">
        <f t="shared" si="0"/>
        <v>-11.609459763468067</v>
      </c>
    </row>
    <row r="23" spans="1:27">
      <c r="A23" s="438" t="s">
        <v>125</v>
      </c>
      <c r="B23" s="439">
        <v>89</v>
      </c>
      <c r="C23" s="439">
        <v>19</v>
      </c>
      <c r="D23" s="439">
        <v>112</v>
      </c>
      <c r="E23" s="439">
        <v>38</v>
      </c>
      <c r="F23" s="439">
        <v>27</v>
      </c>
      <c r="G23" s="439">
        <v>33</v>
      </c>
      <c r="H23" s="439">
        <v>160.29999999999998</v>
      </c>
      <c r="I23" s="440">
        <v>232.90973230342325</v>
      </c>
      <c r="J23" s="259">
        <v>171.88371816754022</v>
      </c>
      <c r="K23" s="260">
        <v>254.02780020014836</v>
      </c>
      <c r="L23" s="441">
        <f>RANK(H23,$H$2:$H$69,1)</f>
        <v>19</v>
      </c>
      <c r="M23" s="230">
        <f>RANK(I23,$I$2:$I$69,1)</f>
        <v>21</v>
      </c>
      <c r="N23" s="438">
        <f>RANK(J23,$J$2:$J$69,1)</f>
        <v>16</v>
      </c>
      <c r="O23" s="438">
        <f>RANK(K23,$K$2:$K$69,1)</f>
        <v>24</v>
      </c>
      <c r="P23" s="442">
        <v>0</v>
      </c>
      <c r="Q23" s="442">
        <v>0</v>
      </c>
      <c r="R23" s="439">
        <v>-5</v>
      </c>
      <c r="S23" s="439">
        <f>RANK(U23,$U$2:$U$69,0)</f>
        <v>37</v>
      </c>
      <c r="T23" s="440">
        <v>13.221824474426171</v>
      </c>
      <c r="U23" s="440">
        <v>13</v>
      </c>
      <c r="V23" s="439"/>
      <c r="X23" t="s">
        <v>104</v>
      </c>
      <c r="Y23" s="14">
        <v>303.20000000000005</v>
      </c>
      <c r="Z23" s="14">
        <v>289.08674100594806</v>
      </c>
      <c r="AA23" s="14">
        <f t="shared" si="0"/>
        <v>-14.113258994051989</v>
      </c>
    </row>
    <row r="24" spans="1:27">
      <c r="A24" s="438" t="s">
        <v>128</v>
      </c>
      <c r="B24" s="439">
        <v>155</v>
      </c>
      <c r="C24" s="439">
        <v>3</v>
      </c>
      <c r="D24" s="439">
        <v>27</v>
      </c>
      <c r="E24" s="439">
        <v>17</v>
      </c>
      <c r="F24" s="439">
        <v>140</v>
      </c>
      <c r="G24" s="439">
        <v>13</v>
      </c>
      <c r="H24" s="439">
        <v>161</v>
      </c>
      <c r="I24" s="440">
        <v>221.5302555774328</v>
      </c>
      <c r="J24" s="259">
        <v>173.4589324290877</v>
      </c>
      <c r="K24" s="260">
        <v>254.00342755994924</v>
      </c>
      <c r="L24" s="441">
        <f>RANK(H24,$H$2:$H$69,1)</f>
        <v>20</v>
      </c>
      <c r="M24" s="230">
        <f>RANK(I24,$I$2:$I$69,1)</f>
        <v>16</v>
      </c>
      <c r="N24" s="438">
        <f>RANK(J24,$J$2:$J$69,1)</f>
        <v>18</v>
      </c>
      <c r="O24" s="438">
        <f>RANK(K24,$K$2:$K$69,1)</f>
        <v>23</v>
      </c>
      <c r="P24" s="442">
        <v>0</v>
      </c>
      <c r="Q24" s="442">
        <v>0</v>
      </c>
      <c r="R24" s="439">
        <v>30</v>
      </c>
      <c r="S24" s="439">
        <f>RANK(U24,$U$2:$U$69,0)</f>
        <v>56</v>
      </c>
      <c r="T24" s="440">
        <v>21.025325142919719</v>
      </c>
      <c r="U24" s="440">
        <v>8.25</v>
      </c>
      <c r="V24" s="439"/>
      <c r="X24" t="s">
        <v>109</v>
      </c>
      <c r="Y24" s="14">
        <v>292.2</v>
      </c>
      <c r="Z24" s="14">
        <v>277.62339227924645</v>
      </c>
      <c r="AA24" s="14">
        <f t="shared" si="0"/>
        <v>-14.576607720753543</v>
      </c>
    </row>
    <row r="25" spans="1:27">
      <c r="A25" s="438" t="s">
        <v>188</v>
      </c>
      <c r="B25" s="439">
        <v>181</v>
      </c>
      <c r="C25" s="439">
        <v>50</v>
      </c>
      <c r="D25" s="439">
        <v>95</v>
      </c>
      <c r="E25" s="439">
        <v>16</v>
      </c>
      <c r="F25" s="439">
        <v>10</v>
      </c>
      <c r="G25" s="439">
        <v>48</v>
      </c>
      <c r="H25" s="439">
        <v>197.4</v>
      </c>
      <c r="I25" s="440">
        <v>285.78866194367174</v>
      </c>
      <c r="J25" s="259">
        <v>176.4978241065719</v>
      </c>
      <c r="K25" s="260">
        <v>258.4774216780765</v>
      </c>
      <c r="L25" s="441">
        <f>RANK(H25,$H$2:$H$69,1)</f>
        <v>40</v>
      </c>
      <c r="M25" s="230">
        <f>RANK(I25,$I$2:$I$69,1)</f>
        <v>38</v>
      </c>
      <c r="N25" s="438">
        <f>RANK(J25,$J$2:$J$69,1)</f>
        <v>19</v>
      </c>
      <c r="O25" s="438">
        <f>RANK(K25,$K$2:$K$69,1)</f>
        <v>26</v>
      </c>
      <c r="P25" s="442">
        <v>0</v>
      </c>
      <c r="Q25" s="442">
        <v>0</v>
      </c>
      <c r="R25" s="439">
        <v>30</v>
      </c>
      <c r="S25" s="439">
        <f>RANK(U25,$U$2:$U$69,0)</f>
        <v>32</v>
      </c>
      <c r="T25" s="440">
        <v>11.766521607104794</v>
      </c>
      <c r="U25" s="440">
        <v>15</v>
      </c>
      <c r="V25" s="439"/>
      <c r="X25" t="s">
        <v>39</v>
      </c>
      <c r="Y25" s="14">
        <v>287.39999999999998</v>
      </c>
      <c r="Z25" s="14">
        <v>271.59466010028956</v>
      </c>
      <c r="AA25" s="14">
        <f t="shared" si="0"/>
        <v>-15.805339899710418</v>
      </c>
    </row>
    <row r="26" spans="1:27">
      <c r="A26" s="438" t="s">
        <v>114</v>
      </c>
      <c r="B26" s="439">
        <v>103</v>
      </c>
      <c r="C26" s="439">
        <v>55</v>
      </c>
      <c r="D26" s="439">
        <v>53</v>
      </c>
      <c r="E26" s="439">
        <v>104</v>
      </c>
      <c r="F26" s="439">
        <v>42</v>
      </c>
      <c r="G26" s="439">
        <v>63</v>
      </c>
      <c r="H26" s="439">
        <v>180</v>
      </c>
      <c r="I26" s="440">
        <v>287.70677679184632</v>
      </c>
      <c r="J26" s="259">
        <v>179.62932101863873</v>
      </c>
      <c r="K26" s="260">
        <v>248.79301686034268</v>
      </c>
      <c r="L26" s="441">
        <f>RANK(H26,$H$2:$H$69,1)</f>
        <v>33</v>
      </c>
      <c r="M26" s="230">
        <f>RANK(I26,$I$2:$I$69,1)</f>
        <v>40</v>
      </c>
      <c r="N26" s="438">
        <f>RANK(J26,$J$2:$J$69,1)</f>
        <v>20</v>
      </c>
      <c r="O26" s="438">
        <f>RANK(K26,$K$2:$K$69,1)</f>
        <v>22</v>
      </c>
      <c r="P26" s="442">
        <v>0</v>
      </c>
      <c r="Q26" s="442">
        <v>0</v>
      </c>
      <c r="R26" s="439">
        <v>-4</v>
      </c>
      <c r="S26" s="439">
        <f>RANK(U26,$U$2:$U$69,0)</f>
        <v>26</v>
      </c>
      <c r="T26" s="440">
        <v>9.4046764931224462</v>
      </c>
      <c r="U26" s="440">
        <v>19.100000000000001</v>
      </c>
      <c r="V26" s="439"/>
      <c r="X26" t="s">
        <v>69</v>
      </c>
      <c r="Y26" s="14">
        <v>207.1</v>
      </c>
      <c r="Z26" s="14">
        <v>189.36232429930433</v>
      </c>
      <c r="AA26" s="14">
        <f t="shared" si="0"/>
        <v>-17.737675700695661</v>
      </c>
    </row>
    <row r="27" spans="1:27">
      <c r="A27" s="438" t="s">
        <v>68</v>
      </c>
      <c r="B27" s="439">
        <v>74</v>
      </c>
      <c r="C27" s="439">
        <v>34</v>
      </c>
      <c r="D27" s="439">
        <v>141</v>
      </c>
      <c r="E27" s="439">
        <v>9</v>
      </c>
      <c r="F27" s="439">
        <v>43</v>
      </c>
      <c r="G27" s="439">
        <v>34</v>
      </c>
      <c r="H27" s="439">
        <v>176.89999999999998</v>
      </c>
      <c r="I27" s="440">
        <v>247.44417878763727</v>
      </c>
      <c r="J27" s="259">
        <v>180.46435298281199</v>
      </c>
      <c r="K27" s="260">
        <v>245.44425621957021</v>
      </c>
      <c r="L27" s="441">
        <f>RANK(H27,$H$2:$H$69,1)</f>
        <v>31</v>
      </c>
      <c r="M27" s="230">
        <f>RANK(I27,$I$2:$I$69,1)</f>
        <v>27</v>
      </c>
      <c r="N27" s="438">
        <f>RANK(J27,$J$2:$J$69,1)</f>
        <v>21</v>
      </c>
      <c r="O27" s="438">
        <f>RANK(K27,$K$2:$K$69,1)</f>
        <v>20</v>
      </c>
      <c r="P27" s="442">
        <v>0</v>
      </c>
      <c r="Q27" s="442">
        <v>0</v>
      </c>
      <c r="R27" s="439">
        <v>-19</v>
      </c>
      <c r="S27" s="439">
        <f>RANK(U27,$U$2:$U$69,0)</f>
        <v>41</v>
      </c>
      <c r="T27" s="440">
        <v>14.098777576782187</v>
      </c>
      <c r="U27" s="440">
        <v>12.8</v>
      </c>
      <c r="V27" s="439"/>
      <c r="X27" t="s">
        <v>130</v>
      </c>
      <c r="Y27" s="14">
        <v>248.9</v>
      </c>
      <c r="Z27" s="14">
        <v>229.79973582152257</v>
      </c>
      <c r="AA27" s="14">
        <f t="shared" si="0"/>
        <v>-19.100264178477431</v>
      </c>
    </row>
    <row r="28" spans="1:27">
      <c r="A28" s="438" t="s">
        <v>487</v>
      </c>
      <c r="B28" s="439">
        <v>92</v>
      </c>
      <c r="C28" s="439">
        <v>8</v>
      </c>
      <c r="D28" s="439">
        <v>25</v>
      </c>
      <c r="E28" s="439">
        <v>144</v>
      </c>
      <c r="F28" s="439">
        <v>6</v>
      </c>
      <c r="G28" s="439">
        <v>6</v>
      </c>
      <c r="H28" s="439">
        <v>128.30000000000001</v>
      </c>
      <c r="I28" s="440">
        <v>181.29111339515484</v>
      </c>
      <c r="J28" s="259">
        <v>180.579465223103</v>
      </c>
      <c r="K28" s="260">
        <v>275.56268268622784</v>
      </c>
      <c r="L28" s="441">
        <f>RANK(H28,$H$2:$H$69,1)</f>
        <v>9</v>
      </c>
      <c r="M28" s="230">
        <f>RANK(I28,$I$2:$I$69,1)</f>
        <v>9</v>
      </c>
      <c r="N28" s="438">
        <f>RANK(J28,$J$2:$J$69,1)</f>
        <v>22</v>
      </c>
      <c r="O28" s="438">
        <f>RANK(K28,$K$2:$K$69,1)</f>
        <v>29</v>
      </c>
      <c r="P28" s="442">
        <v>0</v>
      </c>
      <c r="Q28" s="442">
        <v>0</v>
      </c>
      <c r="R28" s="439">
        <v>-5</v>
      </c>
      <c r="S28" s="439">
        <f>RANK(U28,$U$2:$U$69,0)</f>
        <v>31</v>
      </c>
      <c r="T28" s="440">
        <v>11.880227975204145</v>
      </c>
      <c r="U28" s="440">
        <v>15.2</v>
      </c>
      <c r="V28" s="439"/>
      <c r="X28" t="s">
        <v>163</v>
      </c>
      <c r="Y28" s="14">
        <v>328.2</v>
      </c>
      <c r="Z28" s="14">
        <v>308.75994675527471</v>
      </c>
      <c r="AA28" s="14">
        <f t="shared" si="0"/>
        <v>-19.440053244725277</v>
      </c>
    </row>
    <row r="29" spans="1:27">
      <c r="A29" s="438" t="s">
        <v>44</v>
      </c>
      <c r="B29" s="439">
        <v>99</v>
      </c>
      <c r="C29" s="439">
        <v>49</v>
      </c>
      <c r="D29" s="439">
        <v>132</v>
      </c>
      <c r="E29" s="439">
        <v>70</v>
      </c>
      <c r="F29" s="439">
        <v>122</v>
      </c>
      <c r="G29" s="439">
        <v>161</v>
      </c>
      <c r="H29" s="439">
        <v>248.10000000000002</v>
      </c>
      <c r="I29" s="440">
        <v>469.23118244439377</v>
      </c>
      <c r="J29" s="259">
        <v>182.04706484909292</v>
      </c>
      <c r="K29" s="260">
        <v>298.80924120431035</v>
      </c>
      <c r="L29" s="441">
        <f>RANK(H29,$H$2:$H$69,1)</f>
        <v>56</v>
      </c>
      <c r="M29" s="230">
        <f>RANK(I29,$I$2:$I$69,1)</f>
        <v>64</v>
      </c>
      <c r="N29" s="438">
        <f>RANK(J29,$J$2:$J$69,1)</f>
        <v>24</v>
      </c>
      <c r="O29" s="438">
        <f>RANK(K29,$K$2:$K$69,1)</f>
        <v>38</v>
      </c>
      <c r="P29" s="442">
        <v>0</v>
      </c>
      <c r="Q29" s="442">
        <v>0</v>
      </c>
      <c r="R29" s="439">
        <v>-2</v>
      </c>
      <c r="S29" s="439">
        <f>RANK(U29,$U$2:$U$69,0)</f>
        <v>14</v>
      </c>
      <c r="T29" s="440">
        <v>6.2774849947963078</v>
      </c>
      <c r="U29" s="440">
        <v>29</v>
      </c>
      <c r="V29" s="439"/>
      <c r="X29" t="s">
        <v>434</v>
      </c>
      <c r="Y29" s="14">
        <v>263.2</v>
      </c>
      <c r="Z29" s="14">
        <v>243.56945894540851</v>
      </c>
      <c r="AA29" s="14">
        <f t="shared" si="0"/>
        <v>-19.630541054591475</v>
      </c>
    </row>
    <row r="30" spans="1:27">
      <c r="A30" s="438" t="s">
        <v>183</v>
      </c>
      <c r="B30" s="439">
        <v>180</v>
      </c>
      <c r="C30" s="439">
        <v>68</v>
      </c>
      <c r="D30" s="439">
        <v>51</v>
      </c>
      <c r="E30" s="439">
        <v>47</v>
      </c>
      <c r="F30" s="439">
        <v>45</v>
      </c>
      <c r="G30" s="439">
        <v>58</v>
      </c>
      <c r="H30" s="439">
        <v>203.3</v>
      </c>
      <c r="I30" s="440">
        <v>303.96443584193219</v>
      </c>
      <c r="J30" s="259">
        <v>183.01562240884073</v>
      </c>
      <c r="K30" s="260">
        <v>276.45447698511771</v>
      </c>
      <c r="L30" s="441">
        <f>RANK(H30,$H$2:$H$69,1)</f>
        <v>42</v>
      </c>
      <c r="M30" s="230">
        <f>RANK(I30,$I$2:$I$69,1)</f>
        <v>42</v>
      </c>
      <c r="N30" s="438">
        <f>RANK(J30,$J$2:$J$69,1)</f>
        <v>25</v>
      </c>
      <c r="O30" s="438">
        <f>RANK(K30,$K$2:$K$69,1)</f>
        <v>30</v>
      </c>
      <c r="P30" s="442">
        <v>0</v>
      </c>
      <c r="Q30" s="442">
        <v>0</v>
      </c>
      <c r="R30" s="439">
        <v>43</v>
      </c>
      <c r="S30" s="439">
        <f>RANK(U30,$U$2:$U$69,0)</f>
        <v>23</v>
      </c>
      <c r="T30" s="440">
        <v>8.7150296385162243</v>
      </c>
      <c r="U30" s="440">
        <v>21</v>
      </c>
      <c r="V30" s="439"/>
      <c r="X30" t="s">
        <v>60</v>
      </c>
      <c r="Y30" s="14">
        <v>312.5</v>
      </c>
      <c r="Z30" s="14">
        <v>289.38061464398493</v>
      </c>
      <c r="AA30" s="14">
        <f t="shared" si="0"/>
        <v>-23.119385356015073</v>
      </c>
    </row>
    <row r="31" spans="1:27">
      <c r="A31" s="159" t="s">
        <v>72</v>
      </c>
      <c r="B31">
        <v>55</v>
      </c>
      <c r="C31">
        <v>29</v>
      </c>
      <c r="D31">
        <v>90</v>
      </c>
      <c r="E31">
        <v>80</v>
      </c>
      <c r="F31">
        <v>27</v>
      </c>
      <c r="G31">
        <v>41</v>
      </c>
      <c r="H31">
        <v>150.69999999999999</v>
      </c>
      <c r="I31" s="14">
        <v>230.8416917132044</v>
      </c>
      <c r="J31" s="259">
        <v>183.70072597952569</v>
      </c>
      <c r="K31" s="260">
        <v>244.91100117341182</v>
      </c>
      <c r="L31" s="16">
        <f>RANK(H31,$H$2:$H$69,1)</f>
        <v>15</v>
      </c>
      <c r="M31" s="230">
        <f>RANK(I31,$I$2:$I$69,1)</f>
        <v>19</v>
      </c>
      <c r="N31" s="159">
        <f>RANK(J31,$J$2:$J$69,1)</f>
        <v>26</v>
      </c>
      <c r="O31" s="159">
        <f>RANK(K31,$K$2:$K$69,1)</f>
        <v>18</v>
      </c>
      <c r="P31" s="15">
        <v>0</v>
      </c>
      <c r="Q31" s="15">
        <v>0</v>
      </c>
      <c r="R31">
        <v>51</v>
      </c>
      <c r="S31">
        <f>RANK(U31,$U$2:$U$69,0)</f>
        <v>61</v>
      </c>
      <c r="T31" s="14">
        <v>27.500108679569713</v>
      </c>
      <c r="U31" s="14">
        <v>6.68</v>
      </c>
      <c r="V31" s="439"/>
      <c r="X31" t="s">
        <v>160</v>
      </c>
      <c r="Y31" s="14">
        <v>367.8</v>
      </c>
      <c r="Z31" s="14">
        <v>344.13489281031411</v>
      </c>
      <c r="AA31" s="14">
        <f t="shared" si="0"/>
        <v>-23.665107189685898</v>
      </c>
    </row>
    <row r="32" spans="1:27">
      <c r="A32" s="438" t="s">
        <v>88</v>
      </c>
      <c r="B32" s="439">
        <v>101</v>
      </c>
      <c r="C32" s="439">
        <v>26</v>
      </c>
      <c r="D32" s="439">
        <v>10</v>
      </c>
      <c r="E32" s="439">
        <v>65</v>
      </c>
      <c r="F32" s="439">
        <v>119</v>
      </c>
      <c r="G32" s="439">
        <v>26</v>
      </c>
      <c r="H32" s="439">
        <v>146.69999999999999</v>
      </c>
      <c r="I32" s="440">
        <v>214.99504590283823</v>
      </c>
      <c r="J32" s="259">
        <v>184.02531409540734</v>
      </c>
      <c r="K32" s="260">
        <v>282.56764272107586</v>
      </c>
      <c r="L32" s="441">
        <f>RANK(H32,$H$2:$H$69,1)</f>
        <v>12</v>
      </c>
      <c r="M32" s="230">
        <f>RANK(I32,$I$2:$I$69,1)</f>
        <v>15</v>
      </c>
      <c r="N32" s="438">
        <f>RANK(J32,$J$2:$J$69,1)</f>
        <v>27</v>
      </c>
      <c r="O32" s="438">
        <f>RANK(K32,$K$2:$K$69,1)</f>
        <v>33</v>
      </c>
      <c r="P32" s="442">
        <v>0</v>
      </c>
      <c r="Q32" s="442">
        <v>0</v>
      </c>
      <c r="R32" s="439">
        <v>-8</v>
      </c>
      <c r="S32" s="439">
        <f>RANK(U32,$U$2:$U$69,0)</f>
        <v>20</v>
      </c>
      <c r="T32" s="440">
        <v>7.6677214206419722</v>
      </c>
      <c r="U32" s="440">
        <v>24</v>
      </c>
      <c r="V32" s="439"/>
      <c r="X32" t="s">
        <v>21</v>
      </c>
      <c r="Y32" s="14">
        <v>338.3</v>
      </c>
      <c r="Z32" s="14">
        <v>313.64298331389364</v>
      </c>
      <c r="AA32" s="14">
        <f t="shared" si="0"/>
        <v>-24.657016686106374</v>
      </c>
    </row>
    <row r="33" spans="1:27">
      <c r="A33" s="438" t="s">
        <v>145</v>
      </c>
      <c r="B33" s="439">
        <v>170</v>
      </c>
      <c r="C33" s="439">
        <v>6</v>
      </c>
      <c r="D33" s="439">
        <v>9</v>
      </c>
      <c r="E33" s="439">
        <v>7</v>
      </c>
      <c r="F33" s="439">
        <v>168</v>
      </c>
      <c r="G33" s="439">
        <v>49</v>
      </c>
      <c r="H33" s="439">
        <v>164.89999999999998</v>
      </c>
      <c r="I33" s="440">
        <v>262.0107227080959</v>
      </c>
      <c r="J33" s="259">
        <v>186.72887334683134</v>
      </c>
      <c r="K33" s="260">
        <v>303.89829187888495</v>
      </c>
      <c r="L33" s="441">
        <f>RANK(H33,$H$2:$H$69,1)</f>
        <v>24</v>
      </c>
      <c r="M33" s="230">
        <f>RANK(I33,$I$2:$I$69,1)</f>
        <v>31</v>
      </c>
      <c r="N33" s="438">
        <f>RANK(J33,$J$2:$J$69,1)</f>
        <v>29</v>
      </c>
      <c r="O33" s="438">
        <f>RANK(K33,$K$2:$K$69,1)</f>
        <v>42</v>
      </c>
      <c r="P33" s="442">
        <v>0</v>
      </c>
      <c r="Q33" s="442">
        <v>0</v>
      </c>
      <c r="R33" s="439">
        <v>35</v>
      </c>
      <c r="S33" s="439">
        <f>RANK(U33,$U$2:$U$69,0)</f>
        <v>36</v>
      </c>
      <c r="T33" s="440">
        <v>14.039764913295588</v>
      </c>
      <c r="U33" s="440">
        <v>13.3</v>
      </c>
      <c r="V33" s="439"/>
      <c r="X33" t="s">
        <v>97</v>
      </c>
      <c r="Y33" s="14">
        <v>282.29999999999995</v>
      </c>
      <c r="Z33" s="14">
        <v>253.57237894450026</v>
      </c>
      <c r="AA33" s="14">
        <f t="shared" si="0"/>
        <v>-28.727621055499696</v>
      </c>
    </row>
    <row r="34" spans="1:27">
      <c r="A34" s="438" t="s">
        <v>140</v>
      </c>
      <c r="B34" s="439">
        <v>167</v>
      </c>
      <c r="C34" s="439">
        <v>42</v>
      </c>
      <c r="D34" s="439">
        <v>74</v>
      </c>
      <c r="E34" s="439">
        <v>26</v>
      </c>
      <c r="F34" s="439">
        <v>9</v>
      </c>
      <c r="G34" s="439">
        <v>27</v>
      </c>
      <c r="H34" s="439">
        <v>174.5</v>
      </c>
      <c r="I34" s="440">
        <v>239.35581820409121</v>
      </c>
      <c r="J34" s="259">
        <v>187.21634838836636</v>
      </c>
      <c r="K34" s="260">
        <v>248.06326997569454</v>
      </c>
      <c r="L34" s="441">
        <f>RANK(H34,$H$2:$H$69,1)</f>
        <v>29</v>
      </c>
      <c r="M34" s="230">
        <f>RANK(I34,$I$2:$I$69,1)</f>
        <v>24</v>
      </c>
      <c r="N34" s="438">
        <f>RANK(J34,$J$2:$J$69,1)</f>
        <v>30</v>
      </c>
      <c r="O34" s="438">
        <f>RANK(K34,$K$2:$K$69,1)</f>
        <v>21</v>
      </c>
      <c r="P34" s="442">
        <v>0</v>
      </c>
      <c r="Q34" s="442">
        <v>0</v>
      </c>
      <c r="R34" s="439">
        <v>57</v>
      </c>
      <c r="S34" s="439">
        <f>RANK(U34,$U$2:$U$69,0)</f>
        <v>41</v>
      </c>
      <c r="T34" s="440">
        <v>14.626277217841121</v>
      </c>
      <c r="U34" s="440">
        <v>12.8</v>
      </c>
      <c r="V34" s="439"/>
      <c r="X34" t="s">
        <v>13</v>
      </c>
      <c r="Y34" s="14">
        <v>312.5</v>
      </c>
      <c r="Z34" s="14">
        <v>283.27814030268519</v>
      </c>
      <c r="AA34" s="14">
        <f t="shared" si="0"/>
        <v>-29.221859697314812</v>
      </c>
    </row>
    <row r="35" spans="1:27">
      <c r="A35" s="159" t="s">
        <v>76</v>
      </c>
      <c r="B35">
        <v>58</v>
      </c>
      <c r="C35">
        <v>66</v>
      </c>
      <c r="D35">
        <v>98</v>
      </c>
      <c r="E35">
        <v>53</v>
      </c>
      <c r="F35">
        <v>12</v>
      </c>
      <c r="G35">
        <v>8</v>
      </c>
      <c r="H35">
        <v>163.19999999999999</v>
      </c>
      <c r="I35" s="14">
        <v>200.93196969360906</v>
      </c>
      <c r="J35" s="259">
        <v>189.00165965169882</v>
      </c>
      <c r="K35" s="260">
        <v>239.88849004538412</v>
      </c>
      <c r="L35" s="16">
        <f>RANK(H35,$H$2:$H$69,1)</f>
        <v>23</v>
      </c>
      <c r="M35" s="230">
        <f>RANK(I35,$I$2:$I$69,1)</f>
        <v>13</v>
      </c>
      <c r="N35" s="159">
        <f>RANK(J35,$J$2:$J$69,1)</f>
        <v>31</v>
      </c>
      <c r="O35" s="159">
        <f>RANK(K35,$K$2:$K$69,1)</f>
        <v>15</v>
      </c>
      <c r="P35" s="15">
        <v>0</v>
      </c>
      <c r="Q35" s="15">
        <v>0</v>
      </c>
      <c r="R35">
        <v>-5</v>
      </c>
      <c r="S35">
        <f>RANK(U35,$U$2:$U$69,0)</f>
        <v>56</v>
      </c>
      <c r="T35" s="14">
        <v>22.909292078993797</v>
      </c>
      <c r="U35" s="14">
        <v>8.25</v>
      </c>
      <c r="V35" s="439"/>
      <c r="X35" t="s">
        <v>46</v>
      </c>
      <c r="Y35" s="14">
        <v>292.8</v>
      </c>
      <c r="Z35" s="14">
        <v>259.90567261697618</v>
      </c>
      <c r="AA35" s="14">
        <f t="shared" si="0"/>
        <v>-32.894327383023835</v>
      </c>
    </row>
    <row r="36" spans="1:27">
      <c r="A36" s="438" t="s">
        <v>489</v>
      </c>
      <c r="B36" s="439">
        <v>103</v>
      </c>
      <c r="C36" s="439">
        <v>111</v>
      </c>
      <c r="D36" s="439">
        <v>22</v>
      </c>
      <c r="E36" s="439">
        <v>86</v>
      </c>
      <c r="F36" s="439">
        <v>56</v>
      </c>
      <c r="G36" s="439">
        <v>43</v>
      </c>
      <c r="H36" s="439">
        <v>190.3</v>
      </c>
      <c r="I36" s="440">
        <v>265.9152358404076</v>
      </c>
      <c r="J36" s="259">
        <v>190.3</v>
      </c>
      <c r="K36" s="260">
        <v>265.9152358404076</v>
      </c>
      <c r="L36" s="441">
        <f>RANK(H36,$H$2:$H$69,1)</f>
        <v>36</v>
      </c>
      <c r="M36" s="230">
        <f>RANK(I36,$I$2:$I$69,1)</f>
        <v>32</v>
      </c>
      <c r="N36" s="438">
        <f>RANK(J36,$J$2:$J$69,1)</f>
        <v>32</v>
      </c>
      <c r="O36" s="438">
        <f>RANK(K36,$K$2:$K$69,1)</f>
        <v>27</v>
      </c>
      <c r="P36" s="442">
        <v>0</v>
      </c>
      <c r="Q36" s="442">
        <v>0</v>
      </c>
      <c r="R36" s="439">
        <v>45</v>
      </c>
      <c r="S36" s="439">
        <f>RANK(U36,$U$2:$U$69,0)</f>
        <v>5</v>
      </c>
      <c r="T36" s="440">
        <v>2.8402985074626868</v>
      </c>
      <c r="U36" s="440">
        <v>67</v>
      </c>
      <c r="V36" s="439"/>
      <c r="X36" t="s">
        <v>55</v>
      </c>
      <c r="Y36" s="14">
        <v>316.2</v>
      </c>
      <c r="Z36" s="14">
        <v>281.03526385613827</v>
      </c>
      <c r="AA36" s="14">
        <f t="shared" si="0"/>
        <v>-35.164736143861717</v>
      </c>
    </row>
    <row r="37" spans="1:27">
      <c r="A37" s="438" t="s">
        <v>141</v>
      </c>
      <c r="B37" s="439">
        <v>97</v>
      </c>
      <c r="C37" s="439">
        <v>25</v>
      </c>
      <c r="D37" s="439">
        <v>106</v>
      </c>
      <c r="E37" s="439">
        <v>90</v>
      </c>
      <c r="F37" s="439">
        <v>59</v>
      </c>
      <c r="G37" s="439">
        <v>81</v>
      </c>
      <c r="H37" s="439">
        <v>197.29999999999998</v>
      </c>
      <c r="I37" s="440">
        <v>332.48541714933566</v>
      </c>
      <c r="J37" s="259">
        <v>190.45273548318733</v>
      </c>
      <c r="K37" s="260">
        <v>299.53382583001076</v>
      </c>
      <c r="L37" s="441">
        <f>RANK(H37,$H$2:$H$69,1)</f>
        <v>39</v>
      </c>
      <c r="M37" s="230">
        <f>RANK(I37,$I$2:$I$69,1)</f>
        <v>44</v>
      </c>
      <c r="N37" s="438">
        <f>RANK(J37,$J$2:$J$69,1)</f>
        <v>33</v>
      </c>
      <c r="O37" s="438">
        <f>RANK(K37,$K$2:$K$69,1)</f>
        <v>39</v>
      </c>
      <c r="P37" s="442">
        <v>0</v>
      </c>
      <c r="Q37" s="442">
        <v>0</v>
      </c>
      <c r="R37" s="439">
        <v>2</v>
      </c>
      <c r="S37" s="439">
        <f>RANK(U37,$U$2:$U$69,0)</f>
        <v>27</v>
      </c>
      <c r="T37" s="440">
        <v>11.072833458324846</v>
      </c>
      <c r="U37" s="440">
        <v>17.2</v>
      </c>
      <c r="V37" s="439"/>
      <c r="X37" t="s">
        <v>11</v>
      </c>
      <c r="Y37" s="14">
        <v>312.2</v>
      </c>
      <c r="Z37" s="14">
        <v>276.92886525963638</v>
      </c>
      <c r="AA37" s="14">
        <f t="shared" si="0"/>
        <v>-35.271134740363607</v>
      </c>
    </row>
    <row r="38" spans="1:27">
      <c r="A38" s="438" t="s">
        <v>143</v>
      </c>
      <c r="B38" s="439">
        <v>114</v>
      </c>
      <c r="C38" s="439">
        <v>43</v>
      </c>
      <c r="D38" s="439">
        <v>172</v>
      </c>
      <c r="E38" s="439">
        <v>89</v>
      </c>
      <c r="F38" s="439">
        <v>55</v>
      </c>
      <c r="G38" s="439">
        <v>148</v>
      </c>
      <c r="H38" s="439">
        <v>260.79999999999995</v>
      </c>
      <c r="I38" s="440">
        <v>473.19191761501423</v>
      </c>
      <c r="J38" s="259">
        <v>191.55167474124698</v>
      </c>
      <c r="K38" s="260">
        <v>309.01931260832816</v>
      </c>
      <c r="L38" s="441">
        <f>RANK(H38,$H$2:$H$69,1)</f>
        <v>58</v>
      </c>
      <c r="M38" s="230">
        <f>RANK(I38,$I$2:$I$69,1)</f>
        <v>66</v>
      </c>
      <c r="N38" s="438">
        <f>RANK(J38,$J$2:$J$69,1)</f>
        <v>34</v>
      </c>
      <c r="O38" s="438">
        <f>RANK(K38,$K$2:$K$69,1)</f>
        <v>45</v>
      </c>
      <c r="P38" s="442">
        <v>0</v>
      </c>
      <c r="Q38" s="442">
        <v>0</v>
      </c>
      <c r="R38" s="439">
        <v>-21</v>
      </c>
      <c r="S38" s="439">
        <f>RANK(U38,$U$2:$U$69,0)</f>
        <v>14</v>
      </c>
      <c r="T38" s="440">
        <v>6.6052301634912753</v>
      </c>
      <c r="U38" s="440">
        <v>29</v>
      </c>
      <c r="V38" s="439"/>
      <c r="X38" t="s">
        <v>79</v>
      </c>
      <c r="Y38" s="14">
        <v>323.89999999999998</v>
      </c>
      <c r="Z38" s="14">
        <v>286.92648771560681</v>
      </c>
      <c r="AA38" s="14">
        <f t="shared" si="0"/>
        <v>-36.973512284393166</v>
      </c>
    </row>
    <row r="39" spans="1:27">
      <c r="A39" s="438" t="s">
        <v>124</v>
      </c>
      <c r="B39" s="439">
        <v>133</v>
      </c>
      <c r="C39" s="439">
        <v>18</v>
      </c>
      <c r="D39" s="439">
        <v>109</v>
      </c>
      <c r="E39" s="439">
        <v>103</v>
      </c>
      <c r="F39" s="439">
        <v>130</v>
      </c>
      <c r="G39" s="439">
        <v>143</v>
      </c>
      <c r="H39" s="439">
        <v>246.8</v>
      </c>
      <c r="I39" s="440">
        <v>462.07768955487893</v>
      </c>
      <c r="J39" s="259">
        <v>192.38226620848889</v>
      </c>
      <c r="K39" s="260">
        <v>330.50288570198552</v>
      </c>
      <c r="L39" s="441">
        <f>RANK(H39,$H$2:$H$69,1)</f>
        <v>55</v>
      </c>
      <c r="M39" s="230">
        <f>RANK(I39,$I$2:$I$69,1)</f>
        <v>60</v>
      </c>
      <c r="N39" s="438">
        <f>RANK(J39,$J$2:$J$69,1)</f>
        <v>35</v>
      </c>
      <c r="O39" s="438">
        <f>RANK(K39,$K$2:$K$69,1)</f>
        <v>48</v>
      </c>
      <c r="P39" s="442">
        <v>0</v>
      </c>
      <c r="Q39" s="442">
        <v>0</v>
      </c>
      <c r="R39" s="439">
        <v>-23</v>
      </c>
      <c r="S39" s="439">
        <f>RANK(U39,$U$2:$U$69,0)</f>
        <v>46</v>
      </c>
      <c r="T39" s="440">
        <v>17.489296928044443</v>
      </c>
      <c r="U39" s="440">
        <v>11</v>
      </c>
      <c r="V39" s="439"/>
      <c r="X39" t="s">
        <v>62</v>
      </c>
      <c r="Y39" s="14">
        <v>286</v>
      </c>
      <c r="Z39" s="14">
        <v>247.74970455758461</v>
      </c>
      <c r="AA39" s="14">
        <f t="shared" si="0"/>
        <v>-38.250295442415393</v>
      </c>
    </row>
    <row r="40" spans="1:27">
      <c r="A40" s="159" t="s">
        <v>27</v>
      </c>
      <c r="B40">
        <v>47</v>
      </c>
      <c r="C40">
        <v>54</v>
      </c>
      <c r="D40">
        <v>55</v>
      </c>
      <c r="E40">
        <v>141</v>
      </c>
      <c r="F40">
        <v>21</v>
      </c>
      <c r="G40">
        <v>22</v>
      </c>
      <c r="H40">
        <v>159.20000000000002</v>
      </c>
      <c r="I40" s="14">
        <v>223.32674656718424</v>
      </c>
      <c r="J40" s="259">
        <v>194.52433403861448</v>
      </c>
      <c r="K40" s="260">
        <v>257.53609554130747</v>
      </c>
      <c r="L40" s="16">
        <f>RANK(H40,$H$2:$H$69,1)</f>
        <v>18</v>
      </c>
      <c r="M40" s="230">
        <f>RANK(I40,$I$2:$I$69,1)</f>
        <v>17</v>
      </c>
      <c r="N40" s="159">
        <f>RANK(J40,$J$2:$J$69,1)</f>
        <v>36</v>
      </c>
      <c r="O40" s="159">
        <f>RANK(K40,$K$2:$K$69,1)</f>
        <v>25</v>
      </c>
      <c r="P40" s="15">
        <v>0</v>
      </c>
      <c r="Q40" s="15">
        <v>0</v>
      </c>
      <c r="R40">
        <v>-12</v>
      </c>
      <c r="S40">
        <f>RANK(U40,$U$2:$U$69,0)</f>
        <v>50</v>
      </c>
      <c r="T40" s="14">
        <v>19.452433403861448</v>
      </c>
      <c r="U40" s="14">
        <v>10</v>
      </c>
      <c r="V40" s="439"/>
      <c r="X40" t="s">
        <v>36</v>
      </c>
      <c r="Y40" s="14">
        <v>317.09999999999997</v>
      </c>
      <c r="Z40" s="14">
        <v>276.93452982055129</v>
      </c>
      <c r="AA40" s="14">
        <f t="shared" si="0"/>
        <v>-40.165470179448675</v>
      </c>
    </row>
    <row r="41" spans="1:27">
      <c r="A41" s="438" t="s">
        <v>93</v>
      </c>
      <c r="B41" s="439">
        <v>94</v>
      </c>
      <c r="C41" s="439">
        <v>21</v>
      </c>
      <c r="D41" s="439">
        <v>4</v>
      </c>
      <c r="E41" s="439">
        <v>130</v>
      </c>
      <c r="F41" s="439">
        <v>158</v>
      </c>
      <c r="G41" s="439">
        <v>38</v>
      </c>
      <c r="H41" s="439">
        <v>177.60000000000002</v>
      </c>
      <c r="I41" s="440">
        <v>274.98441419428326</v>
      </c>
      <c r="J41" s="259">
        <v>195.67060034136273</v>
      </c>
      <c r="K41" s="260">
        <v>281.77989259745914</v>
      </c>
      <c r="L41" s="441">
        <f>RANK(H41,$H$2:$H$69,1)</f>
        <v>32</v>
      </c>
      <c r="M41" s="230">
        <f>RANK(I41,$I$2:$I$69,1)</f>
        <v>34</v>
      </c>
      <c r="N41" s="438">
        <f>RANK(J41,$J$2:$J$69,1)</f>
        <v>37</v>
      </c>
      <c r="O41" s="438">
        <f>RANK(K41,$K$2:$K$69,1)</f>
        <v>32</v>
      </c>
      <c r="P41" s="442">
        <v>0</v>
      </c>
      <c r="Q41" s="442">
        <v>0</v>
      </c>
      <c r="R41" s="439">
        <v>36</v>
      </c>
      <c r="S41" s="439">
        <f>RANK(U41,$U$2:$U$69,0)</f>
        <v>48</v>
      </c>
      <c r="T41" s="440">
        <v>18.117648179755808</v>
      </c>
      <c r="U41" s="440">
        <v>10.8</v>
      </c>
      <c r="V41" s="439"/>
      <c r="X41" t="s">
        <v>443</v>
      </c>
      <c r="Y41" s="14">
        <v>346.09999999999997</v>
      </c>
      <c r="Z41" s="14">
        <v>304.52903868288973</v>
      </c>
      <c r="AA41" s="14">
        <f t="shared" si="0"/>
        <v>-41.570961317110232</v>
      </c>
    </row>
    <row r="42" spans="1:27">
      <c r="A42" s="438" t="s">
        <v>58</v>
      </c>
      <c r="B42" s="439">
        <v>88</v>
      </c>
      <c r="C42" s="439">
        <v>57</v>
      </c>
      <c r="D42" s="439">
        <v>47</v>
      </c>
      <c r="E42" s="439">
        <v>67</v>
      </c>
      <c r="F42" s="439">
        <v>165</v>
      </c>
      <c r="G42" s="439">
        <v>95</v>
      </c>
      <c r="H42" s="439">
        <v>203.9</v>
      </c>
      <c r="I42" s="440">
        <v>348.43343465195812</v>
      </c>
      <c r="J42" s="259">
        <v>195.70730806935751</v>
      </c>
      <c r="K42" s="260">
        <v>293.01087270600658</v>
      </c>
      <c r="L42" s="441">
        <f>RANK(H42,$H$2:$H$69,1)</f>
        <v>43</v>
      </c>
      <c r="M42" s="230">
        <f>RANK(I42,$I$2:$I$69,1)</f>
        <v>46</v>
      </c>
      <c r="N42" s="438">
        <f>RANK(J42,$J$2:$J$69,1)</f>
        <v>38</v>
      </c>
      <c r="O42" s="438">
        <f>RANK(K42,$K$2:$K$69,1)</f>
        <v>37</v>
      </c>
      <c r="P42" s="442">
        <v>0</v>
      </c>
      <c r="Q42" s="442">
        <v>0</v>
      </c>
      <c r="R42" s="439">
        <v>-39</v>
      </c>
      <c r="S42" s="439">
        <f>RANK(U42,$U$2:$U$69,0)</f>
        <v>28</v>
      </c>
      <c r="T42" s="440">
        <v>11.512194592315147</v>
      </c>
      <c r="U42" s="440">
        <v>17</v>
      </c>
      <c r="V42" s="439"/>
      <c r="X42" t="s">
        <v>17</v>
      </c>
      <c r="Y42" s="14">
        <v>328.79999999999995</v>
      </c>
      <c r="Z42" s="14">
        <v>277.37858797449258</v>
      </c>
      <c r="AA42" s="14">
        <f t="shared" si="0"/>
        <v>-51.421412025507379</v>
      </c>
    </row>
    <row r="43" spans="1:27">
      <c r="A43" s="438" t="s">
        <v>154</v>
      </c>
      <c r="B43" s="439">
        <v>160</v>
      </c>
      <c r="C43" s="439">
        <v>40</v>
      </c>
      <c r="D43" s="439">
        <v>68</v>
      </c>
      <c r="E43" s="439">
        <v>60</v>
      </c>
      <c r="F43" s="439">
        <v>16</v>
      </c>
      <c r="G43" s="439">
        <v>20</v>
      </c>
      <c r="H43" s="439">
        <v>182</v>
      </c>
      <c r="I43" s="440">
        <v>246.09630458426213</v>
      </c>
      <c r="J43" s="259">
        <v>198.83500373682512</v>
      </c>
      <c r="K43" s="260">
        <v>284.88631743636887</v>
      </c>
      <c r="L43" s="441">
        <f>RANK(H43,$H$2:$H$69,1)</f>
        <v>34</v>
      </c>
      <c r="M43" s="230">
        <f>RANK(I43,$I$2:$I$69,1)</f>
        <v>26</v>
      </c>
      <c r="N43" s="438">
        <f>RANK(J43,$J$2:$J$69,1)</f>
        <v>39</v>
      </c>
      <c r="O43" s="438">
        <f>RANK(K43,$K$2:$K$69,1)</f>
        <v>34</v>
      </c>
      <c r="P43" s="442">
        <v>0</v>
      </c>
      <c r="Q43" s="442">
        <v>0</v>
      </c>
      <c r="R43" s="439">
        <v>56</v>
      </c>
      <c r="S43" s="439">
        <f>RANK(U43,$U$2:$U$69,0)</f>
        <v>43</v>
      </c>
      <c r="T43" s="440">
        <v>16.165447458278464</v>
      </c>
      <c r="U43" s="440">
        <v>12.3</v>
      </c>
      <c r="V43" s="439"/>
      <c r="X43" t="s">
        <v>491</v>
      </c>
      <c r="Y43" s="14">
        <v>267</v>
      </c>
      <c r="Z43" s="14">
        <v>215.12553588616214</v>
      </c>
      <c r="AA43" s="14">
        <f t="shared" si="0"/>
        <v>-51.87446411383786</v>
      </c>
    </row>
    <row r="44" spans="1:27">
      <c r="A44" s="438" t="s">
        <v>56</v>
      </c>
      <c r="B44" s="439">
        <v>71</v>
      </c>
      <c r="C44" s="439">
        <v>39</v>
      </c>
      <c r="D44" s="439">
        <v>153</v>
      </c>
      <c r="E44" s="439">
        <v>28</v>
      </c>
      <c r="F44" s="439">
        <v>38</v>
      </c>
      <c r="G44" s="439">
        <v>47</v>
      </c>
      <c r="H44" s="439">
        <v>192.39999999999998</v>
      </c>
      <c r="I44" s="440">
        <v>280.21109935707466</v>
      </c>
      <c r="J44" s="259">
        <v>201.62578798054756</v>
      </c>
      <c r="K44" s="260">
        <v>280.63190381119506</v>
      </c>
      <c r="L44" s="441">
        <f>RANK(H44,$H$2:$H$69,1)</f>
        <v>37</v>
      </c>
      <c r="M44" s="230">
        <f>RANK(I44,$I$2:$I$69,1)</f>
        <v>36</v>
      </c>
      <c r="N44" s="438">
        <f>RANK(J44,$J$2:$J$69,1)</f>
        <v>41</v>
      </c>
      <c r="O44" s="438">
        <f>RANK(K44,$K$2:$K$69,1)</f>
        <v>31</v>
      </c>
      <c r="P44" s="442">
        <v>0</v>
      </c>
      <c r="Q44" s="442">
        <v>0</v>
      </c>
      <c r="R44" s="439">
        <v>44</v>
      </c>
      <c r="S44" s="439">
        <f>RANK(U44,$U$2:$U$69,0)</f>
        <v>28</v>
      </c>
      <c r="T44" s="440">
        <v>11.860340469443974</v>
      </c>
      <c r="U44" s="440">
        <v>17</v>
      </c>
      <c r="V44" s="439"/>
      <c r="X44" t="s">
        <v>71</v>
      </c>
      <c r="Y44" s="14">
        <v>387.9</v>
      </c>
      <c r="Z44" s="14">
        <v>331.88628726096113</v>
      </c>
      <c r="AA44" s="14">
        <f t="shared" si="0"/>
        <v>-56.013712739038851</v>
      </c>
    </row>
    <row r="45" spans="1:27">
      <c r="A45" s="159" t="s">
        <v>9</v>
      </c>
      <c r="B45">
        <v>59</v>
      </c>
      <c r="C45">
        <v>28</v>
      </c>
      <c r="D45">
        <v>15</v>
      </c>
      <c r="E45">
        <v>133</v>
      </c>
      <c r="F45">
        <v>115</v>
      </c>
      <c r="G45">
        <v>30</v>
      </c>
      <c r="H45">
        <v>156</v>
      </c>
      <c r="I45" s="14">
        <v>236.52854647679013</v>
      </c>
      <c r="J45" s="259">
        <v>201.91099439054867</v>
      </c>
      <c r="K45" s="260">
        <v>305.669383749134</v>
      </c>
      <c r="L45" s="16">
        <f>RANK(H45,$H$2:$H$69,1)</f>
        <v>16</v>
      </c>
      <c r="M45" s="230">
        <f>RANK(I45,$I$2:$I$69,1)</f>
        <v>23</v>
      </c>
      <c r="N45" s="159">
        <f>RANK(J45,$J$2:$J$69,1)</f>
        <v>42</v>
      </c>
      <c r="O45" s="159">
        <f>RANK(K45,$K$2:$K$69,1)</f>
        <v>44</v>
      </c>
      <c r="P45" s="15">
        <v>0</v>
      </c>
      <c r="Q45" s="15">
        <v>0</v>
      </c>
      <c r="R45">
        <v>6</v>
      </c>
      <c r="S45">
        <f>RANK(U45,$U$2:$U$69,0)</f>
        <v>60</v>
      </c>
      <c r="T45" s="14">
        <v>28.844427770078379</v>
      </c>
      <c r="U45" s="14">
        <v>7</v>
      </c>
      <c r="V45" s="439"/>
      <c r="X45" t="s">
        <v>29</v>
      </c>
      <c r="Y45" s="14">
        <v>330.29999999999995</v>
      </c>
      <c r="Z45" s="14">
        <v>271.28996549495736</v>
      </c>
      <c r="AA45" s="14">
        <f t="shared" si="0"/>
        <v>-59.010034505042597</v>
      </c>
    </row>
    <row r="46" spans="1:27">
      <c r="A46" s="438" t="s">
        <v>158</v>
      </c>
      <c r="B46" s="439">
        <v>154</v>
      </c>
      <c r="C46" s="439">
        <v>84</v>
      </c>
      <c r="D46" s="439">
        <v>13</v>
      </c>
      <c r="E46" s="439">
        <v>143</v>
      </c>
      <c r="F46" s="439">
        <v>19</v>
      </c>
      <c r="G46" s="439">
        <v>32</v>
      </c>
      <c r="H46" s="439">
        <v>201.29999999999998</v>
      </c>
      <c r="I46" s="440">
        <v>281.49400938622591</v>
      </c>
      <c r="J46" s="259">
        <v>206.34535280186194</v>
      </c>
      <c r="K46" s="260">
        <v>286.17850325323798</v>
      </c>
      <c r="L46" s="441">
        <f>RANK(H46,$H$2:$H$69,1)</f>
        <v>41</v>
      </c>
      <c r="M46" s="230">
        <f>RANK(I46,$I$2:$I$69,1)</f>
        <v>37</v>
      </c>
      <c r="N46" s="438">
        <f>RANK(J46,$J$2:$J$69,1)</f>
        <v>43</v>
      </c>
      <c r="O46" s="438">
        <f>RANK(K46,$K$2:$K$69,1)</f>
        <v>35</v>
      </c>
      <c r="P46" s="442">
        <v>0</v>
      </c>
      <c r="Q46" s="442">
        <v>0</v>
      </c>
      <c r="R46" s="439">
        <v>-4</v>
      </c>
      <c r="S46" s="439">
        <f>RANK(U46,$U$2:$U$69,0)</f>
        <v>18</v>
      </c>
      <c r="T46" s="440">
        <v>7.9363597231485361</v>
      </c>
      <c r="U46" s="440">
        <v>26</v>
      </c>
      <c r="V46" s="439"/>
      <c r="X46" t="s">
        <v>112</v>
      </c>
      <c r="Y46" s="14">
        <v>365.2</v>
      </c>
      <c r="Z46" s="14">
        <v>287.65944863968338</v>
      </c>
      <c r="AA46" s="14">
        <f t="shared" si="0"/>
        <v>-77.540551360316613</v>
      </c>
    </row>
    <row r="47" spans="1:27">
      <c r="A47" s="438" t="s">
        <v>49</v>
      </c>
      <c r="B47" s="439">
        <v>79</v>
      </c>
      <c r="C47" s="439">
        <v>71</v>
      </c>
      <c r="D47" s="439">
        <v>59</v>
      </c>
      <c r="E47" s="439">
        <v>31</v>
      </c>
      <c r="F47" s="439">
        <v>93</v>
      </c>
      <c r="G47" s="439">
        <v>45</v>
      </c>
      <c r="H47" s="439">
        <v>173</v>
      </c>
      <c r="I47" s="440">
        <v>250.03239199441643</v>
      </c>
      <c r="J47" s="259">
        <v>208.7293351478796</v>
      </c>
      <c r="K47" s="260">
        <v>301.80190486871305</v>
      </c>
      <c r="L47" s="441">
        <f>RANK(H47,$H$2:$H$69,1)</f>
        <v>28</v>
      </c>
      <c r="M47" s="230">
        <f>RANK(I47,$I$2:$I$69,1)</f>
        <v>29</v>
      </c>
      <c r="N47" s="438">
        <f>RANK(J47,$J$2:$J$69,1)</f>
        <v>44</v>
      </c>
      <c r="O47" s="438">
        <f>RANK(K47,$K$2:$K$69,1)</f>
        <v>41</v>
      </c>
      <c r="P47" s="442">
        <v>0</v>
      </c>
      <c r="Q47" s="442">
        <v>0</v>
      </c>
      <c r="R47" s="439">
        <v>57</v>
      </c>
      <c r="S47" s="439">
        <f>RANK(U47,$U$2:$U$69,0)</f>
        <v>37</v>
      </c>
      <c r="T47" s="440">
        <v>16.056102703683045</v>
      </c>
      <c r="U47" s="440">
        <v>13</v>
      </c>
      <c r="V47" s="439"/>
    </row>
    <row r="48" spans="1:27">
      <c r="A48" s="159" t="s">
        <v>10</v>
      </c>
      <c r="B48">
        <v>15</v>
      </c>
      <c r="C48">
        <v>87</v>
      </c>
      <c r="D48">
        <v>77</v>
      </c>
      <c r="E48">
        <v>55</v>
      </c>
      <c r="F48">
        <v>101</v>
      </c>
      <c r="G48">
        <v>35</v>
      </c>
      <c r="H48">
        <v>176</v>
      </c>
      <c r="I48" s="14">
        <v>241.18268187118161</v>
      </c>
      <c r="J48" s="259">
        <v>208.94924278766996</v>
      </c>
      <c r="K48" s="260">
        <v>270.93756439277377</v>
      </c>
      <c r="L48" s="16">
        <f>RANK(H48,$H$2:$H$69,1)</f>
        <v>30</v>
      </c>
      <c r="M48" s="230">
        <f>RANK(I48,$I$2:$I$69,1)</f>
        <v>25</v>
      </c>
      <c r="N48" s="159">
        <f>RANK(J48,$J$2:$J$69,1)</f>
        <v>45</v>
      </c>
      <c r="O48" s="159">
        <f>RANK(K48,$K$2:$K$69,1)</f>
        <v>28</v>
      </c>
      <c r="P48" s="15">
        <v>0</v>
      </c>
      <c r="Q48" s="15">
        <v>0</v>
      </c>
      <c r="R48">
        <v>-15</v>
      </c>
      <c r="S48">
        <f>RANK(U48,$U$2:$U$69,0)</f>
        <v>43</v>
      </c>
      <c r="T48" s="14">
        <v>16.987743316070727</v>
      </c>
      <c r="U48" s="14">
        <v>12.3</v>
      </c>
      <c r="V48" s="439"/>
    </row>
    <row r="49" spans="1:22">
      <c r="A49" s="159" t="s">
        <v>54</v>
      </c>
      <c r="B49">
        <v>37</v>
      </c>
      <c r="C49">
        <v>44</v>
      </c>
      <c r="D49">
        <v>34</v>
      </c>
      <c r="E49">
        <v>135</v>
      </c>
      <c r="F49">
        <v>109</v>
      </c>
      <c r="G49">
        <v>46</v>
      </c>
      <c r="H49">
        <v>166.29999999999998</v>
      </c>
      <c r="I49" s="14">
        <v>260.75028879404965</v>
      </c>
      <c r="J49" s="259">
        <v>210.72141403952273</v>
      </c>
      <c r="K49" s="260">
        <v>321.30417632391288</v>
      </c>
      <c r="L49" s="16">
        <f>RANK(H49,$H$2:$H$69,1)</f>
        <v>26</v>
      </c>
      <c r="M49" s="230">
        <f>RANK(I49,$I$2:$I$69,1)</f>
        <v>30</v>
      </c>
      <c r="N49" s="159">
        <f>RANK(J49,$J$2:$J$69,1)</f>
        <v>46</v>
      </c>
      <c r="O49" s="159">
        <f>RANK(K49,$K$2:$K$69,1)</f>
        <v>47</v>
      </c>
      <c r="P49" s="15">
        <v>0</v>
      </c>
      <c r="Q49" s="15">
        <v>0</v>
      </c>
      <c r="R49">
        <v>-15</v>
      </c>
      <c r="S49">
        <f>RANK(U49,$U$2:$U$69,0)</f>
        <v>28</v>
      </c>
      <c r="T49" s="14">
        <v>12.395377296442513</v>
      </c>
      <c r="U49" s="14">
        <v>17</v>
      </c>
      <c r="V49" s="439"/>
    </row>
    <row r="50" spans="1:22">
      <c r="A50" s="438" t="s">
        <v>130</v>
      </c>
      <c r="B50" s="439">
        <v>92</v>
      </c>
      <c r="C50" s="439">
        <v>100</v>
      </c>
      <c r="D50" s="439">
        <v>38</v>
      </c>
      <c r="E50" s="439">
        <v>107</v>
      </c>
      <c r="F50" s="439">
        <v>166</v>
      </c>
      <c r="G50" s="439">
        <v>136</v>
      </c>
      <c r="H50" s="439">
        <v>241.8</v>
      </c>
      <c r="I50" s="440">
        <v>430.86619303316439</v>
      </c>
      <c r="J50" s="259">
        <v>213.546024309573</v>
      </c>
      <c r="K50" s="260">
        <v>351.36744234012315</v>
      </c>
      <c r="L50" s="441">
        <f>RANK(H50,$H$2:$H$69,1)</f>
        <v>52</v>
      </c>
      <c r="M50" s="230">
        <f>RANK(I50,$I$2:$I$69,1)</f>
        <v>55</v>
      </c>
      <c r="N50" s="438">
        <f>RANK(J50,$J$2:$J$69,1)</f>
        <v>47</v>
      </c>
      <c r="O50" s="438">
        <f>RANK(K50,$K$2:$K$69,1)</f>
        <v>49</v>
      </c>
      <c r="P50" s="442">
        <v>0</v>
      </c>
      <c r="Q50" s="442">
        <v>0</v>
      </c>
      <c r="R50" s="439">
        <v>-37</v>
      </c>
      <c r="S50" s="439">
        <f>RANK(U50,$U$2:$U$69,0)</f>
        <v>14</v>
      </c>
      <c r="T50" s="440">
        <v>7.3636560106749309</v>
      </c>
      <c r="U50" s="440">
        <v>29</v>
      </c>
      <c r="V50" s="439"/>
    </row>
    <row r="51" spans="1:22">
      <c r="A51" s="438" t="s">
        <v>139</v>
      </c>
      <c r="B51" s="439">
        <v>136</v>
      </c>
      <c r="C51" s="439">
        <v>104</v>
      </c>
      <c r="D51" s="439">
        <v>2</v>
      </c>
      <c r="E51" s="439">
        <v>168</v>
      </c>
      <c r="F51" s="439">
        <v>26</v>
      </c>
      <c r="G51" s="439">
        <v>19</v>
      </c>
      <c r="H51" s="439">
        <v>209.4</v>
      </c>
      <c r="I51" s="440">
        <v>276.51804016060498</v>
      </c>
      <c r="J51" s="259">
        <v>216.36739196447607</v>
      </c>
      <c r="K51" s="260">
        <v>304.34663230669241</v>
      </c>
      <c r="L51" s="441">
        <f>RANK(H51,$H$2:$H$69,1)</f>
        <v>44</v>
      </c>
      <c r="M51" s="230">
        <f>RANK(I51,$I$2:$I$69,1)</f>
        <v>35</v>
      </c>
      <c r="N51" s="438">
        <f>RANK(J51,$J$2:$J$69,1)</f>
        <v>48</v>
      </c>
      <c r="O51" s="438">
        <f>RANK(K51,$K$2:$K$69,1)</f>
        <v>43</v>
      </c>
      <c r="P51" s="442">
        <v>0</v>
      </c>
      <c r="Q51" s="442">
        <v>0</v>
      </c>
      <c r="R51" s="439">
        <v>6</v>
      </c>
      <c r="S51" s="439">
        <f>RANK(U51,$U$2:$U$69,0)</f>
        <v>23</v>
      </c>
      <c r="T51" s="440">
        <v>10.303209141165528</v>
      </c>
      <c r="U51" s="440">
        <v>21</v>
      </c>
      <c r="V51" s="439"/>
    </row>
    <row r="52" spans="1:22">
      <c r="A52" s="438" t="s">
        <v>165</v>
      </c>
      <c r="B52" s="439">
        <v>173</v>
      </c>
      <c r="C52" s="439">
        <v>117</v>
      </c>
      <c r="D52" s="439">
        <v>24</v>
      </c>
      <c r="E52" s="439">
        <v>112</v>
      </c>
      <c r="F52" s="439">
        <v>17</v>
      </c>
      <c r="G52" s="439">
        <v>18</v>
      </c>
      <c r="H52" s="439">
        <v>225.10000000000002</v>
      </c>
      <c r="I52" s="440">
        <v>285.85009455226111</v>
      </c>
      <c r="J52" s="259">
        <v>222.68028998278049</v>
      </c>
      <c r="K52" s="260">
        <v>318.64631794974343</v>
      </c>
      <c r="L52" s="441">
        <f>RANK(H52,$H$2:$H$69,1)</f>
        <v>49</v>
      </c>
      <c r="M52" s="230">
        <f>RANK(I52,$I$2:$I$69,1)</f>
        <v>39</v>
      </c>
      <c r="N52" s="438">
        <f>RANK(J52,$J$2:$J$69,1)</f>
        <v>49</v>
      </c>
      <c r="O52" s="438">
        <f>RANK(K52,$K$2:$K$69,1)</f>
        <v>46</v>
      </c>
      <c r="P52" s="442">
        <v>0</v>
      </c>
      <c r="Q52" s="442">
        <v>0</v>
      </c>
      <c r="R52" s="439">
        <v>33</v>
      </c>
      <c r="S52" s="439">
        <f>RANK(U52,$U$2:$U$69,0)</f>
        <v>32</v>
      </c>
      <c r="T52" s="440">
        <v>14.8453526655187</v>
      </c>
      <c r="U52" s="440">
        <v>15</v>
      </c>
      <c r="V52" s="439"/>
    </row>
    <row r="53" spans="1:22">
      <c r="A53" s="438" t="s">
        <v>233</v>
      </c>
      <c r="B53" s="439">
        <v>98</v>
      </c>
      <c r="C53" s="439">
        <v>10</v>
      </c>
      <c r="D53" s="439">
        <v>8</v>
      </c>
      <c r="E53" s="439">
        <v>108</v>
      </c>
      <c r="F53" s="439">
        <v>144</v>
      </c>
      <c r="G53" s="439">
        <v>52</v>
      </c>
      <c r="H53" s="439">
        <v>161.4</v>
      </c>
      <c r="I53" s="440">
        <v>268.64588927980742</v>
      </c>
      <c r="J53" s="259">
        <v>224.66254615232629</v>
      </c>
      <c r="K53" s="260">
        <v>357.9337168241421</v>
      </c>
      <c r="L53" s="441">
        <f>RANK(H53,$H$2:$H$69,1)</f>
        <v>21</v>
      </c>
      <c r="M53" s="230">
        <f>RANK(I53,$I$2:$I$69,1)</f>
        <v>33</v>
      </c>
      <c r="N53" s="438">
        <f>RANK(J53,$J$2:$J$69,1)</f>
        <v>50</v>
      </c>
      <c r="O53" s="438">
        <f>RANK(K53,$K$2:$K$69,1)</f>
        <v>52</v>
      </c>
      <c r="P53" s="442">
        <v>0</v>
      </c>
      <c r="Q53" s="442">
        <v>0</v>
      </c>
      <c r="R53" s="439">
        <v>-29</v>
      </c>
      <c r="S53" s="439">
        <f>RANK(U53,$U$2:$U$69,0)</f>
        <v>58</v>
      </c>
      <c r="T53" s="440">
        <v>30.075307383176209</v>
      </c>
      <c r="U53" s="440">
        <v>7.47</v>
      </c>
      <c r="V53" s="439"/>
    </row>
    <row r="54" spans="1:22">
      <c r="A54" s="438" t="s">
        <v>90</v>
      </c>
      <c r="B54" s="439">
        <v>160</v>
      </c>
      <c r="C54" s="439">
        <v>27</v>
      </c>
      <c r="D54" s="439">
        <v>72</v>
      </c>
      <c r="E54" s="439">
        <v>161</v>
      </c>
      <c r="F54" s="439">
        <v>23</v>
      </c>
      <c r="G54" s="439">
        <v>52</v>
      </c>
      <c r="H54" s="439">
        <v>220.2</v>
      </c>
      <c r="I54" s="440">
        <v>340.08341516293279</v>
      </c>
      <c r="J54" s="259">
        <v>225.55425195299637</v>
      </c>
      <c r="K54" s="260">
        <v>353.74532652823694</v>
      </c>
      <c r="L54" s="441">
        <f>RANK(H54,$H$2:$H$69,1)</f>
        <v>47</v>
      </c>
      <c r="M54" s="230">
        <f>RANK(I54,$I$2:$I$69,1)</f>
        <v>45</v>
      </c>
      <c r="N54" s="438">
        <f>RANK(J54,$J$2:$J$69,1)</f>
        <v>52</v>
      </c>
      <c r="O54" s="438">
        <f>RANK(K54,$K$2:$K$69,1)</f>
        <v>51</v>
      </c>
      <c r="P54" s="442">
        <v>0</v>
      </c>
      <c r="Q54" s="442">
        <v>0</v>
      </c>
      <c r="R54" s="439">
        <v>11</v>
      </c>
      <c r="S54" s="439">
        <f>RANK(U54,$U$2:$U$69,0)</f>
        <v>23</v>
      </c>
      <c r="T54" s="440">
        <v>10.740678664428398</v>
      </c>
      <c r="U54" s="440">
        <v>21</v>
      </c>
      <c r="V54" s="439"/>
    </row>
    <row r="55" spans="1:22">
      <c r="A55" s="159" t="s">
        <v>65</v>
      </c>
      <c r="B55">
        <v>53</v>
      </c>
      <c r="C55">
        <v>47</v>
      </c>
      <c r="D55">
        <v>48</v>
      </c>
      <c r="E55">
        <v>138</v>
      </c>
      <c r="F55">
        <v>34</v>
      </c>
      <c r="G55">
        <v>24</v>
      </c>
      <c r="H55">
        <v>157.1</v>
      </c>
      <c r="I55" s="14">
        <v>224.71133350260098</v>
      </c>
      <c r="J55" s="259">
        <v>226.22648170469444</v>
      </c>
      <c r="K55" s="260">
        <v>370.91113032532223</v>
      </c>
      <c r="L55" s="16">
        <f>RANK(H55,$H$2:$H$69,1)</f>
        <v>17</v>
      </c>
      <c r="M55" s="230">
        <f>RANK(I55,$I$2:$I$69,1)</f>
        <v>18</v>
      </c>
      <c r="N55" s="159">
        <f>RANK(J55,$J$2:$J$69,1)</f>
        <v>53</v>
      </c>
      <c r="O55" s="159">
        <f>RANK(K55,$K$2:$K$69,1)</f>
        <v>55</v>
      </c>
      <c r="P55" s="15">
        <v>0</v>
      </c>
      <c r="Q55" s="15">
        <v>0</v>
      </c>
      <c r="R55">
        <v>-8</v>
      </c>
      <c r="S55">
        <f>RANK(U55,$U$2:$U$69,0)</f>
        <v>18</v>
      </c>
      <c r="T55" s="14">
        <v>8.7010185271036313</v>
      </c>
      <c r="U55" s="14">
        <v>26</v>
      </c>
      <c r="V55" s="439"/>
    </row>
    <row r="56" spans="1:22">
      <c r="A56" s="438" t="s">
        <v>235</v>
      </c>
      <c r="B56" s="439">
        <v>69</v>
      </c>
      <c r="C56" s="439">
        <v>124</v>
      </c>
      <c r="D56" s="439">
        <v>88</v>
      </c>
      <c r="E56" s="439">
        <v>69</v>
      </c>
      <c r="F56" s="439">
        <v>83</v>
      </c>
      <c r="G56" s="439">
        <v>106</v>
      </c>
      <c r="H56" s="439">
        <v>231.3</v>
      </c>
      <c r="I56" s="440">
        <v>373.96802235372752</v>
      </c>
      <c r="J56" s="259">
        <v>231.3</v>
      </c>
      <c r="K56" s="260">
        <v>373.96802235372752</v>
      </c>
      <c r="L56" s="441">
        <f>RANK(H56,$H$2:$H$69,1)</f>
        <v>50</v>
      </c>
      <c r="M56" s="230">
        <f>RANK(I56,$I$2:$I$69,1)</f>
        <v>50</v>
      </c>
      <c r="N56" s="438">
        <f>RANK(J56,$J$2:$J$69,1)</f>
        <v>54</v>
      </c>
      <c r="O56" s="438">
        <f>RANK(K56,$K$2:$K$69,1)</f>
        <v>57</v>
      </c>
      <c r="P56" s="442">
        <v>0</v>
      </c>
      <c r="Q56" s="442">
        <v>0</v>
      </c>
      <c r="R56" s="439">
        <v>1</v>
      </c>
      <c r="S56" s="439">
        <f>RANK(U56,$U$2:$U$69,0)</f>
        <v>1</v>
      </c>
      <c r="T56" s="440">
        <v>2.8555555555555556</v>
      </c>
      <c r="U56" s="440">
        <v>81</v>
      </c>
      <c r="V56" s="439"/>
    </row>
    <row r="57" spans="1:22">
      <c r="A57" s="438" t="s">
        <v>113</v>
      </c>
      <c r="B57" s="439">
        <v>142</v>
      </c>
      <c r="C57" s="439">
        <v>52</v>
      </c>
      <c r="D57" s="439">
        <v>134</v>
      </c>
      <c r="E57" s="439">
        <v>98</v>
      </c>
      <c r="F57" s="439">
        <v>125</v>
      </c>
      <c r="G57" s="439">
        <v>113</v>
      </c>
      <c r="H57" s="439">
        <v>285.2</v>
      </c>
      <c r="I57" s="440">
        <v>470.70701704866576</v>
      </c>
      <c r="J57" s="259">
        <v>232.19805398452158</v>
      </c>
      <c r="K57" s="260">
        <v>351.61569945851545</v>
      </c>
      <c r="L57" s="441">
        <f>RANK(H57,$H$2:$H$69,1)</f>
        <v>66</v>
      </c>
      <c r="M57" s="230">
        <f>RANK(I57,$I$2:$I$69,1)</f>
        <v>65</v>
      </c>
      <c r="N57" s="438">
        <f>RANK(J57,$J$2:$J$69,1)</f>
        <v>55</v>
      </c>
      <c r="O57" s="438">
        <f>RANK(K57,$K$2:$K$69,1)</f>
        <v>50</v>
      </c>
      <c r="P57" s="442">
        <v>0</v>
      </c>
      <c r="Q57" s="442">
        <v>0</v>
      </c>
      <c r="R57" s="439">
        <v>5</v>
      </c>
      <c r="S57" s="439">
        <f>RANK(U57,$U$2:$U$69,0)</f>
        <v>32</v>
      </c>
      <c r="T57" s="440">
        <v>15.479870265634771</v>
      </c>
      <c r="U57" s="440">
        <v>15</v>
      </c>
      <c r="V57" s="439"/>
    </row>
    <row r="58" spans="1:22">
      <c r="A58" s="438" t="s">
        <v>29</v>
      </c>
      <c r="B58" s="439">
        <v>108</v>
      </c>
      <c r="C58" s="439">
        <v>22</v>
      </c>
      <c r="D58" s="439">
        <v>114</v>
      </c>
      <c r="E58" s="439">
        <v>152</v>
      </c>
      <c r="F58" s="439">
        <v>88</v>
      </c>
      <c r="G58" s="439">
        <v>150</v>
      </c>
      <c r="H58" s="439">
        <v>243</v>
      </c>
      <c r="I58" s="440">
        <v>466.91228647977454</v>
      </c>
      <c r="J58" s="259">
        <v>232.73253543757139</v>
      </c>
      <c r="K58" s="260">
        <v>370.1304234570423</v>
      </c>
      <c r="L58" s="441">
        <f>RANK(H58,$H$2:$H$69,1)</f>
        <v>53</v>
      </c>
      <c r="M58" s="230">
        <f>RANK(I58,$I$2:$I$69,1)</f>
        <v>63</v>
      </c>
      <c r="N58" s="438">
        <f>RANK(J58,$J$2:$J$69,1)</f>
        <v>56</v>
      </c>
      <c r="O58" s="438">
        <f>RANK(K58,$K$2:$K$69,1)</f>
        <v>54</v>
      </c>
      <c r="P58" s="442">
        <v>0</v>
      </c>
      <c r="Q58" s="442">
        <v>0</v>
      </c>
      <c r="R58" s="439">
        <v>-13</v>
      </c>
      <c r="S58" s="439">
        <f>RANK(U58,$U$2:$U$69,0)</f>
        <v>37</v>
      </c>
      <c r="T58" s="440">
        <v>17.902502725967029</v>
      </c>
      <c r="U58" s="440">
        <v>13</v>
      </c>
      <c r="V58" s="439"/>
    </row>
    <row r="59" spans="1:22">
      <c r="A59" s="438" t="s">
        <v>101</v>
      </c>
      <c r="B59" s="439">
        <v>129</v>
      </c>
      <c r="C59" s="439">
        <v>24</v>
      </c>
      <c r="D59" s="439">
        <v>62</v>
      </c>
      <c r="E59" s="439">
        <v>167</v>
      </c>
      <c r="F59" s="439">
        <v>111</v>
      </c>
      <c r="G59" s="439">
        <v>139</v>
      </c>
      <c r="H59" s="439">
        <v>233.50000000000003</v>
      </c>
      <c r="I59" s="440">
        <v>447.24362353710569</v>
      </c>
      <c r="J59" s="259">
        <v>236.19085482765971</v>
      </c>
      <c r="K59" s="260">
        <v>405.66364506083215</v>
      </c>
      <c r="L59" s="441">
        <f>RANK(H59,$H$2:$H$69,1)</f>
        <v>51</v>
      </c>
      <c r="M59" s="230">
        <f>RANK(I59,$I$2:$I$69,1)</f>
        <v>59</v>
      </c>
      <c r="N59" s="438">
        <f>RANK(J59,$J$2:$J$69,1)</f>
        <v>57</v>
      </c>
      <c r="O59" s="438">
        <f>RANK(K59,$K$2:$K$69,1)</f>
        <v>62</v>
      </c>
      <c r="P59" s="442">
        <v>0</v>
      </c>
      <c r="Q59" s="442">
        <v>0</v>
      </c>
      <c r="R59" s="439">
        <v>34</v>
      </c>
      <c r="S59" s="439">
        <f>RANK(U59,$U$2:$U$69,0)</f>
        <v>11</v>
      </c>
      <c r="T59" s="440">
        <v>6.9467898478723447</v>
      </c>
      <c r="U59" s="440">
        <v>34</v>
      </c>
      <c r="V59" s="439"/>
    </row>
    <row r="60" spans="1:22">
      <c r="A60" s="159" t="s">
        <v>17</v>
      </c>
      <c r="B60">
        <v>14</v>
      </c>
      <c r="C60">
        <v>165</v>
      </c>
      <c r="D60">
        <v>51</v>
      </c>
      <c r="E60">
        <v>128</v>
      </c>
      <c r="F60">
        <v>177</v>
      </c>
      <c r="G60">
        <v>156</v>
      </c>
      <c r="H60">
        <v>263.7</v>
      </c>
      <c r="I60" s="14">
        <v>463.23092055046851</v>
      </c>
      <c r="J60" s="259">
        <v>245.18664420867793</v>
      </c>
      <c r="K60" s="260">
        <v>403.03734244573707</v>
      </c>
      <c r="L60" s="16">
        <f>RANK(H60,$H$2:$H$69,1)</f>
        <v>60</v>
      </c>
      <c r="M60" s="230">
        <f>RANK(I60,$I$2:$I$69,1)</f>
        <v>61</v>
      </c>
      <c r="N60" s="159">
        <f>RANK(J60,$J$2:$J$69,1)</f>
        <v>58</v>
      </c>
      <c r="O60" s="159">
        <f>RANK(K60,$K$2:$K$69,1)</f>
        <v>61</v>
      </c>
      <c r="P60" s="15">
        <v>0</v>
      </c>
      <c r="Q60" s="15">
        <v>0</v>
      </c>
      <c r="R60">
        <v>6</v>
      </c>
      <c r="S60">
        <f>RANK(U60,$U$2:$U$69,0)</f>
        <v>6</v>
      </c>
      <c r="T60" s="14">
        <v>4.3783329322978206</v>
      </c>
      <c r="U60" s="14">
        <v>56</v>
      </c>
      <c r="V60" s="439"/>
    </row>
    <row r="61" spans="1:22">
      <c r="A61" s="159" t="s">
        <v>46</v>
      </c>
      <c r="B61">
        <v>52</v>
      </c>
      <c r="C61">
        <v>116</v>
      </c>
      <c r="D61">
        <v>138</v>
      </c>
      <c r="E61">
        <v>156</v>
      </c>
      <c r="F61">
        <v>33</v>
      </c>
      <c r="G61">
        <v>90</v>
      </c>
      <c r="H61">
        <v>267.8</v>
      </c>
      <c r="I61" s="14">
        <v>412.24125350400175</v>
      </c>
      <c r="J61" s="259">
        <v>248.80785052441962</v>
      </c>
      <c r="K61" s="260">
        <v>374.85089545296148</v>
      </c>
      <c r="L61" s="16">
        <f>RANK(H61,$H$2:$H$69,1)</f>
        <v>61</v>
      </c>
      <c r="M61" s="230">
        <f>RANK(I61,$I$2:$I$69,1)</f>
        <v>54</v>
      </c>
      <c r="N61" s="159">
        <f>RANK(J61,$J$2:$J$69,1)</f>
        <v>59</v>
      </c>
      <c r="O61" s="159">
        <f>RANK(K61,$K$2:$K$69,1)</f>
        <v>58</v>
      </c>
      <c r="P61" s="15">
        <v>0</v>
      </c>
      <c r="Q61" s="15">
        <v>0</v>
      </c>
      <c r="R61">
        <v>64</v>
      </c>
      <c r="S61">
        <f>RANK(U61,$U$2:$U$69,0)</f>
        <v>17</v>
      </c>
      <c r="T61" s="14">
        <v>9.2151055749785051</v>
      </c>
      <c r="U61" s="14">
        <v>27</v>
      </c>
      <c r="V61" s="439"/>
    </row>
    <row r="62" spans="1:22">
      <c r="A62" s="159" t="s">
        <v>539</v>
      </c>
      <c r="B62">
        <v>48</v>
      </c>
      <c r="C62">
        <v>146</v>
      </c>
      <c r="D62">
        <v>128</v>
      </c>
      <c r="E62">
        <v>119</v>
      </c>
      <c r="F62">
        <v>24</v>
      </c>
      <c r="G62">
        <v>145</v>
      </c>
      <c r="H62">
        <v>258.39999999999998</v>
      </c>
      <c r="I62" s="14">
        <v>444.001383375812</v>
      </c>
      <c r="J62" s="259">
        <v>258.39999999999998</v>
      </c>
      <c r="K62" s="260">
        <v>444.001383375812</v>
      </c>
      <c r="L62" s="16">
        <f>RANK(H62,$H$2:$H$69,1)</f>
        <v>57</v>
      </c>
      <c r="M62" s="230">
        <f>RANK(I62,$I$2:$I$69,1)</f>
        <v>58</v>
      </c>
      <c r="N62" s="159">
        <f>RANK(J62,$J$2:$J$69,1)</f>
        <v>61</v>
      </c>
      <c r="O62" s="159">
        <f>RANK(K62,$K$2:$K$69,1)</f>
        <v>64</v>
      </c>
      <c r="P62" s="15">
        <v>0</v>
      </c>
      <c r="Q62" s="15">
        <v>0</v>
      </c>
      <c r="R62">
        <v>27</v>
      </c>
      <c r="S62">
        <f>RANK(U62,$U$2:$U$69,0)</f>
        <v>7</v>
      </c>
      <c r="T62" s="14">
        <v>5.0666666666666664</v>
      </c>
      <c r="U62" s="14">
        <v>51</v>
      </c>
      <c r="V62" s="439"/>
    </row>
    <row r="63" spans="1:22">
      <c r="A63" s="438" t="s">
        <v>102</v>
      </c>
      <c r="B63" s="439">
        <v>106</v>
      </c>
      <c r="C63" s="439">
        <v>82</v>
      </c>
      <c r="D63" s="439">
        <v>142</v>
      </c>
      <c r="E63" s="439">
        <v>46</v>
      </c>
      <c r="F63" s="439">
        <v>146</v>
      </c>
      <c r="G63" s="439">
        <v>101</v>
      </c>
      <c r="H63" s="439">
        <v>278.39999999999998</v>
      </c>
      <c r="I63" s="440">
        <v>437.0151140787367</v>
      </c>
      <c r="J63" s="259">
        <v>264.98004798960523</v>
      </c>
      <c r="K63" s="260">
        <v>454.07394126409639</v>
      </c>
      <c r="L63" s="441">
        <f>RANK(H63,$H$2:$H$69,1)</f>
        <v>65</v>
      </c>
      <c r="M63" s="230">
        <f>RANK(I63,$I$2:$I$69,1)</f>
        <v>57</v>
      </c>
      <c r="N63" s="438">
        <f>RANK(J63,$J$2:$J$69,1)</f>
        <v>62</v>
      </c>
      <c r="O63" s="438">
        <f>RANK(K63,$K$2:$K$69,1)</f>
        <v>66</v>
      </c>
      <c r="P63" s="442">
        <v>0</v>
      </c>
      <c r="Q63" s="442">
        <v>0</v>
      </c>
      <c r="R63" s="439" t="e">
        <v>#N/A</v>
      </c>
      <c r="S63" s="439">
        <f>RANK(U63,$U$2:$U$69,0)</f>
        <v>11</v>
      </c>
      <c r="T63" s="440">
        <v>7.7935308232236835</v>
      </c>
      <c r="U63" s="440">
        <v>34</v>
      </c>
      <c r="V63" s="439"/>
    </row>
    <row r="64" spans="1:22">
      <c r="A64" s="438" t="s">
        <v>142</v>
      </c>
      <c r="B64" s="439">
        <v>137</v>
      </c>
      <c r="C64" s="439">
        <v>127</v>
      </c>
      <c r="D64" s="439">
        <v>58</v>
      </c>
      <c r="E64" s="439">
        <v>78</v>
      </c>
      <c r="F64" s="439">
        <v>4</v>
      </c>
      <c r="G64" s="439">
        <v>42</v>
      </c>
      <c r="H64" s="439">
        <v>218.1</v>
      </c>
      <c r="I64" s="440">
        <v>293.27416379377814</v>
      </c>
      <c r="J64" s="259">
        <v>268.03869610006223</v>
      </c>
      <c r="K64" s="260">
        <v>388.16158535249411</v>
      </c>
      <c r="L64" s="441">
        <f>RANK(H64,$H$2:$H$69,1)</f>
        <v>46</v>
      </c>
      <c r="M64" s="230">
        <f>RANK(I64,$I$2:$I$69,1)</f>
        <v>41</v>
      </c>
      <c r="N64" s="438">
        <f>RANK(J64,$J$2:$J$69,1)</f>
        <v>63</v>
      </c>
      <c r="O64" s="438">
        <f>RANK(K64,$K$2:$K$69,1)</f>
        <v>59</v>
      </c>
      <c r="P64" s="442">
        <v>0</v>
      </c>
      <c r="Q64" s="442">
        <v>0</v>
      </c>
      <c r="R64" s="439">
        <v>35</v>
      </c>
      <c r="S64" s="439">
        <f>RANK(U64,$U$2:$U$69,0)</f>
        <v>7</v>
      </c>
      <c r="T64" s="440">
        <v>5.2556607078443571</v>
      </c>
      <c r="U64" s="440">
        <v>51</v>
      </c>
      <c r="V64" s="439"/>
    </row>
    <row r="65" spans="1:22">
      <c r="A65" s="438" t="s">
        <v>104</v>
      </c>
      <c r="B65" s="439">
        <v>125</v>
      </c>
      <c r="C65" s="439">
        <v>152</v>
      </c>
      <c r="D65" s="439">
        <v>125</v>
      </c>
      <c r="E65" s="439">
        <v>4</v>
      </c>
      <c r="F65" s="439">
        <v>75</v>
      </c>
      <c r="G65" s="439">
        <v>54</v>
      </c>
      <c r="H65" s="439">
        <v>272.79999999999995</v>
      </c>
      <c r="I65" s="440">
        <v>359.95811704515904</v>
      </c>
      <c r="J65" s="259">
        <v>270.40603157870834</v>
      </c>
      <c r="K65" s="260">
        <v>373.10081101157442</v>
      </c>
      <c r="L65" s="441">
        <f>RANK(H65,$H$2:$H$69,1)</f>
        <v>63</v>
      </c>
      <c r="M65" s="230">
        <f>RANK(I65,$I$2:$I$69,1)</f>
        <v>48</v>
      </c>
      <c r="N65" s="438">
        <f>RANK(J65,$J$2:$J$69,1)</f>
        <v>64</v>
      </c>
      <c r="O65" s="438">
        <f>RANK(K65,$K$2:$K$69,1)</f>
        <v>56</v>
      </c>
      <c r="P65" s="442">
        <v>0</v>
      </c>
      <c r="Q65" s="442">
        <v>0</v>
      </c>
      <c r="R65" s="439">
        <v>84</v>
      </c>
      <c r="S65" s="439">
        <f>RANK(U65,$U$2:$U$69,0)</f>
        <v>21</v>
      </c>
      <c r="T65" s="440">
        <v>11.756783981682972</v>
      </c>
      <c r="U65" s="440">
        <v>23</v>
      </c>
      <c r="V65" s="439"/>
    </row>
    <row r="66" spans="1:22">
      <c r="A66" s="438" t="s">
        <v>105</v>
      </c>
      <c r="B66" s="439">
        <v>116</v>
      </c>
      <c r="C66" s="439">
        <v>92</v>
      </c>
      <c r="D66" s="439">
        <v>97</v>
      </c>
      <c r="E66" s="439">
        <v>71</v>
      </c>
      <c r="F66" s="439">
        <v>150</v>
      </c>
      <c r="G66" s="439">
        <v>140</v>
      </c>
      <c r="H66" s="439">
        <v>269.5</v>
      </c>
      <c r="I66" s="440">
        <v>466.34000991324757</v>
      </c>
      <c r="J66" s="259">
        <v>276.19281494124544</v>
      </c>
      <c r="K66" s="260">
        <v>453.16141173906362</v>
      </c>
      <c r="L66" s="441">
        <f>RANK(H66,$H$2:$H$69,1)</f>
        <v>62</v>
      </c>
      <c r="M66" s="230">
        <f>RANK(I66,$I$2:$I$69,1)</f>
        <v>62</v>
      </c>
      <c r="N66" s="438">
        <f>RANK(J66,$J$2:$J$69,1)</f>
        <v>65</v>
      </c>
      <c r="O66" s="438">
        <f>RANK(K66,$K$2:$K$69,1)</f>
        <v>65</v>
      </c>
      <c r="P66" s="442">
        <v>0</v>
      </c>
      <c r="Q66" s="442">
        <v>0</v>
      </c>
      <c r="R66" s="439">
        <v>7</v>
      </c>
      <c r="S66" s="439">
        <f>RANK(U66,$U$2:$U$69,0)</f>
        <v>7</v>
      </c>
      <c r="T66" s="440">
        <v>5.4155453910048124</v>
      </c>
      <c r="U66" s="440">
        <v>51</v>
      </c>
      <c r="V66" s="439"/>
    </row>
    <row r="67" spans="1:22">
      <c r="A67" s="159" t="s">
        <v>372</v>
      </c>
      <c r="B67">
        <v>55</v>
      </c>
      <c r="C67">
        <v>7</v>
      </c>
      <c r="D67">
        <v>99</v>
      </c>
      <c r="E67">
        <v>77</v>
      </c>
      <c r="F67">
        <v>138</v>
      </c>
      <c r="G67">
        <v>108</v>
      </c>
      <c r="H67">
        <v>187</v>
      </c>
      <c r="I67" s="14">
        <v>351.2594188395218</v>
      </c>
      <c r="J67" s="259">
        <v>286.11029264147408</v>
      </c>
      <c r="K67" s="260">
        <v>504.53959827012375</v>
      </c>
      <c r="L67" s="16">
        <f>RANK(H67,$H$2:$H$69,1)</f>
        <v>35</v>
      </c>
      <c r="M67" s="230">
        <f>RANK(I67,$I$2:$I$69,1)</f>
        <v>47</v>
      </c>
      <c r="N67" s="159">
        <f>RANK(J67,$J$2:$J$69,1)</f>
        <v>66</v>
      </c>
      <c r="O67" s="159">
        <f>RANK(K67,$K$2:$K$69,1)</f>
        <v>67</v>
      </c>
      <c r="P67" s="15">
        <v>0</v>
      </c>
      <c r="Q67" s="15">
        <v>0</v>
      </c>
      <c r="R67">
        <v>28</v>
      </c>
      <c r="S67">
        <f>RANK(U67,$U$2:$U$69,0)</f>
        <v>3</v>
      </c>
      <c r="T67" s="14">
        <v>4.0297224315700575</v>
      </c>
      <c r="U67" s="14">
        <v>71</v>
      </c>
      <c r="V67" s="439"/>
    </row>
    <row r="68" spans="1:22">
      <c r="A68" s="438" t="s">
        <v>175</v>
      </c>
      <c r="B68" s="439">
        <v>177</v>
      </c>
      <c r="C68" s="439">
        <v>32</v>
      </c>
      <c r="D68" s="439">
        <v>137</v>
      </c>
      <c r="E68" s="439">
        <v>71</v>
      </c>
      <c r="F68" s="439">
        <v>69</v>
      </c>
      <c r="G68" s="439">
        <v>105</v>
      </c>
      <c r="H68" s="439">
        <v>295.49999999999994</v>
      </c>
      <c r="I68" s="440">
        <v>431.6635610562895</v>
      </c>
      <c r="J68" s="259">
        <v>295.49999999999994</v>
      </c>
      <c r="K68" s="260">
        <v>431.6635610562895</v>
      </c>
      <c r="L68" s="441">
        <f>RANK(H68,$H$2:$H$69,1)</f>
        <v>67</v>
      </c>
      <c r="M68" s="230">
        <f>RANK(I68,$I$2:$I$69,1)</f>
        <v>56</v>
      </c>
      <c r="N68" s="438">
        <f>RANK(J68,$J$2:$J$69,1)</f>
        <v>67</v>
      </c>
      <c r="O68" s="438">
        <f>RANK(K68,$K$2:$K$69,1)</f>
        <v>63</v>
      </c>
      <c r="P68" s="442">
        <v>0</v>
      </c>
      <c r="Q68" s="442">
        <v>0</v>
      </c>
      <c r="R68" s="439" t="e">
        <v>#N/A</v>
      </c>
      <c r="S68" s="439">
        <f>RANK(U68,$U$2:$U$69,0)</f>
        <v>3</v>
      </c>
      <c r="T68" s="440">
        <v>4.1619718309859151</v>
      </c>
      <c r="U68" s="440">
        <v>71</v>
      </c>
      <c r="V68" s="439"/>
    </row>
    <row r="69" spans="1:22">
      <c r="A69" s="159" t="s">
        <v>445</v>
      </c>
      <c r="B69">
        <v>6</v>
      </c>
      <c r="C69">
        <v>170</v>
      </c>
      <c r="D69">
        <v>173</v>
      </c>
      <c r="E69">
        <v>171</v>
      </c>
      <c r="F69">
        <v>133</v>
      </c>
      <c r="G69">
        <v>155</v>
      </c>
      <c r="H69">
        <v>347.7</v>
      </c>
      <c r="I69" s="14">
        <v>566.80554088234771</v>
      </c>
      <c r="J69" s="259">
        <v>347.7</v>
      </c>
      <c r="K69" s="260">
        <v>566.80554088234771</v>
      </c>
      <c r="L69" s="16">
        <f>RANK(H69,$H$2:$H$69,1)</f>
        <v>68</v>
      </c>
      <c r="M69" s="230">
        <f>RANK(I69,$I$2:$I$69,1)</f>
        <v>68</v>
      </c>
      <c r="N69" s="159">
        <f>RANK(J69,$J$2:$J$69,1)</f>
        <v>68</v>
      </c>
      <c r="O69" s="159">
        <f>RANK(K69,$K$2:$K$69,1)</f>
        <v>68</v>
      </c>
      <c r="P69" s="15">
        <v>0</v>
      </c>
      <c r="Q69" s="15">
        <v>0</v>
      </c>
      <c r="R69">
        <v>-2</v>
      </c>
      <c r="S69">
        <f>RANK(U69,$U$2:$U$69,0)</f>
        <v>1</v>
      </c>
      <c r="T69" s="14">
        <v>4.2925925925925927</v>
      </c>
      <c r="U69" s="14">
        <v>81</v>
      </c>
      <c r="V69" s="439"/>
    </row>
  </sheetData>
  <mergeCells count="1">
    <mergeCell ref="X1:AA1"/>
  </mergeCells>
  <conditionalFormatting sqref="J1:K1048576 N1:O1048576 S1:S1048576">
    <cfRule type="containsErrors" dxfId="527" priority="12">
      <formula>ISERROR(J1)</formula>
    </cfRule>
  </conditionalFormatting>
  <conditionalFormatting sqref="P1:Q1048576">
    <cfRule type="cellIs" dxfId="526" priority="5" operator="greaterThanOrEqual">
      <formula>20%</formula>
    </cfRule>
    <cfRule type="cellIs" dxfId="525" priority="6" operator="between">
      <formula>10%</formula>
      <formula>20%</formula>
    </cfRule>
    <cfRule type="cellIs" dxfId="524" priority="7" operator="between">
      <formula>0.01%</formula>
      <formula>10%</formula>
    </cfRule>
  </conditionalFormatting>
  <conditionalFormatting sqref="R1:R1048576">
    <cfRule type="cellIs" dxfId="523" priority="1" operator="between">
      <formula>-5</formula>
      <formula>-9</formula>
    </cfRule>
    <cfRule type="cellIs" dxfId="522" priority="2" operator="lessThanOrEqual">
      <formula>-10</formula>
    </cfRule>
    <cfRule type="cellIs" dxfId="521" priority="3" operator="between">
      <formula>5</formula>
      <formula>9</formula>
    </cfRule>
    <cfRule type="cellIs" dxfId="520" priority="4" operator="greaterThanOrEqual">
      <formula>10</formula>
    </cfRule>
  </conditionalFormatting>
  <conditionalFormatting sqref="B1:G1048576 L2:O1048576 S1:S1048576">
    <cfRule type="cellIs" dxfId="519" priority="8" operator="between">
      <formula>101</formula>
      <formula>250</formula>
    </cfRule>
    <cfRule type="cellIs" dxfId="518" priority="9" operator="between">
      <formula>51</formula>
      <formula>100.5</formula>
    </cfRule>
    <cfRule type="cellIs" dxfId="517" priority="10" operator="between">
      <formula>21</formula>
      <formula>50.5</formula>
    </cfRule>
    <cfRule type="cellIs" dxfId="516" priority="11" operator="lessThanOrEqual">
      <formula>20.5</formula>
    </cfRule>
  </conditionalFormatting>
  <conditionalFormatting sqref="A1:A1048576">
    <cfRule type="expression" dxfId="515" priority="13">
      <formula>$T1=MIN($T$2:$T$5)</formula>
    </cfRule>
    <cfRule type="expression" dxfId="514" priority="14">
      <formula>$T1=MIN($T$6:$T$11)</formula>
    </cfRule>
    <cfRule type="expression" dxfId="513" priority="15">
      <formula>$T1=MIN($T$12:$T$18)</formula>
    </cfRule>
    <cfRule type="expression" dxfId="512" priority="16">
      <formula>$T1=MIN($T$19:$T$39)</formula>
    </cfRule>
    <cfRule type="expression" dxfId="511" priority="17">
      <formula>AND($L1&lt;=3, $M1&gt;3)</formula>
    </cfRule>
    <cfRule type="expression" dxfId="510" priority="18">
      <formula>AND($L1&gt;3, $M1&lt;=3)</formula>
    </cfRule>
    <cfRule type="expression" dxfId="509" priority="19">
      <formula>AND($N1&lt;=3, $O1&gt;3)</formula>
    </cfRule>
    <cfRule type="expression" dxfId="508" priority="20">
      <formula>AND($N1&gt;3, $O1&lt;=3)</formula>
    </cfRule>
    <cfRule type="expression" dxfId="507" priority="21">
      <formula>AND($L1&lt;=3, $M1&lt;=3)</formula>
    </cfRule>
    <cfRule type="expression" dxfId="506"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71FAD-D4E9-4C8B-9601-AADB0D893AF3}">
  <sheetPr codeName="Sheet86">
    <tabColor rgb="FF00B050"/>
  </sheetPr>
  <dimension ref="A1:AB110"/>
  <sheetViews>
    <sheetView zoomScale="60" zoomScaleNormal="60" workbookViewId="0">
      <selection activeCell="V11" sqref="V11"/>
    </sheetView>
  </sheetViews>
  <sheetFormatPr defaultRowHeight="15"/>
  <cols>
    <col min="1" max="1" width="25.85546875" customWidth="1"/>
    <col min="2" max="5" width="9.140625"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3.140625" customWidth="1"/>
    <col min="24" max="24" width="25.85546875" bestFit="1" customWidth="1"/>
  </cols>
  <sheetData>
    <row r="1" spans="1:28"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122" t="s">
        <v>537</v>
      </c>
      <c r="Q1" s="122" t="s">
        <v>536</v>
      </c>
      <c r="R1" s="362" t="s">
        <v>535</v>
      </c>
      <c r="S1" s="241" t="s">
        <v>566</v>
      </c>
      <c r="T1" s="241" t="s">
        <v>565</v>
      </c>
      <c r="U1" s="241" t="s">
        <v>472</v>
      </c>
      <c r="V1" s="331" t="s">
        <v>210</v>
      </c>
      <c r="W1" s="1"/>
      <c r="X1" s="452" t="s">
        <v>1119</v>
      </c>
      <c r="Y1" s="452" t="s">
        <v>335</v>
      </c>
      <c r="Z1" s="452" t="s">
        <v>1155</v>
      </c>
      <c r="AA1" s="452" t="s">
        <v>1156</v>
      </c>
      <c r="AB1" s="452" t="s">
        <v>1157</v>
      </c>
    </row>
    <row r="2" spans="1:28">
      <c r="A2" s="438" t="s">
        <v>115</v>
      </c>
      <c r="B2" s="439">
        <v>100</v>
      </c>
      <c r="C2" s="439">
        <v>84</v>
      </c>
      <c r="D2" s="439">
        <v>73</v>
      </c>
      <c r="E2" s="439">
        <v>61</v>
      </c>
      <c r="F2" s="439">
        <v>18</v>
      </c>
      <c r="G2" s="439">
        <v>10</v>
      </c>
      <c r="H2" s="439">
        <v>216.5</v>
      </c>
      <c r="I2" s="440">
        <v>225.67490526726468</v>
      </c>
      <c r="J2" s="259">
        <v>252.62232351237839</v>
      </c>
      <c r="K2" s="260">
        <v>317.39802698587522</v>
      </c>
      <c r="L2" s="441">
        <f>RANK(H2,$H$2:$H$110,1)</f>
        <v>4</v>
      </c>
      <c r="M2" s="230">
        <f>RANK(I2,$I$2:$I$110,1)</f>
        <v>2</v>
      </c>
      <c r="N2" s="438">
        <f>RANK(J2,$J$2:$J$110,1)</f>
        <v>14</v>
      </c>
      <c r="O2" s="438">
        <f>RANK(K2,$K$2:$K$110,1)</f>
        <v>9</v>
      </c>
      <c r="P2" s="442">
        <v>0</v>
      </c>
      <c r="Q2" s="442">
        <v>0</v>
      </c>
      <c r="R2" s="439">
        <v>4</v>
      </c>
      <c r="S2" s="439">
        <f>RANK(U2,$U$2:$U$110,0)</f>
        <v>106</v>
      </c>
      <c r="T2" s="440">
        <f>Table239[[#This Row],[BDG]]/Table239[[#This Row],[Odds]]</f>
        <v>66.654966625957357</v>
      </c>
      <c r="U2" s="440" cm="1">
        <f t="array" ref="U2">MAX(_xlfn._xlws.FILTER(Table22[[B365]:[BFAIREXC]], Table22[PLAYER] = A2))</f>
        <v>3.79</v>
      </c>
      <c r="V2" s="439">
        <v>1</v>
      </c>
      <c r="X2" t="str">
        <f>Table239[[#This Row],[Player]]</f>
        <v>Billy Horschel</v>
      </c>
      <c r="Y2" s="14">
        <f>Table239[[#This Row],[DGSCORE]]</f>
        <v>216.5</v>
      </c>
      <c r="Z2" s="14">
        <f>Table239[[#This Row],[BDG]]</f>
        <v>252.62232351237839</v>
      </c>
      <c r="AA2" s="14">
        <f>Z2-Y2</f>
        <v>36.122323512378387</v>
      </c>
      <c r="AB2">
        <f>_xlfn.RANK.AVG(AA2,$AA:$AA,0)</f>
        <v>6</v>
      </c>
    </row>
    <row r="3" spans="1:28">
      <c r="A3" s="438" t="s">
        <v>373</v>
      </c>
      <c r="B3" s="439">
        <v>103</v>
      </c>
      <c r="C3" s="439">
        <v>166</v>
      </c>
      <c r="D3" s="439">
        <v>173</v>
      </c>
      <c r="E3" s="439">
        <v>18</v>
      </c>
      <c r="F3" s="439">
        <v>180</v>
      </c>
      <c r="G3" s="439">
        <v>181</v>
      </c>
      <c r="H3" s="439">
        <v>393.99999999999994</v>
      </c>
      <c r="I3" s="440">
        <v>584.90966678210066</v>
      </c>
      <c r="J3" s="259">
        <v>393.99999999999994</v>
      </c>
      <c r="K3" s="260">
        <v>584.90966678210066</v>
      </c>
      <c r="L3" s="441">
        <f>RANK(H3,$H$2:$H$110,1)</f>
        <v>93</v>
      </c>
      <c r="M3" s="230">
        <f>RANK(I3,$I$2:$I$110,1)</f>
        <v>91</v>
      </c>
      <c r="N3" s="438">
        <f>RANK(J3,$J$2:$J$110,1)</f>
        <v>96</v>
      </c>
      <c r="O3" s="438">
        <f>RANK(K3,$K$2:$K$110,1)</f>
        <v>94</v>
      </c>
      <c r="P3" s="442"/>
      <c r="Q3" s="442"/>
      <c r="R3" s="439"/>
      <c r="S3" s="439">
        <f>RANK(U3,$U$2:$U$110,0)</f>
        <v>19</v>
      </c>
      <c r="T3" s="440">
        <f>Table239[[#This Row],[BDG]]/Table239[[#This Row],[Odds]]</f>
        <v>13.586206896551722</v>
      </c>
      <c r="U3" s="440" cm="1">
        <f t="array" ref="U3">MAX(_xlfn._xlws.FILTER(Table22[[B365]:[BFAIREXC]], Table22[PLAYER] = A3))</f>
        <v>29</v>
      </c>
      <c r="V3" s="439">
        <v>2</v>
      </c>
      <c r="X3" t="str">
        <f>Table239[[#This Row],[Player]]</f>
        <v>Wesley Bryan</v>
      </c>
      <c r="Y3" s="14">
        <f>Table239[[#This Row],[DGSCORE]]</f>
        <v>393.99999999999994</v>
      </c>
      <c r="Z3" s="14">
        <f>Table239[[#This Row],[BDG]]</f>
        <v>393.99999999999994</v>
      </c>
      <c r="AA3" s="14">
        <f>Z3-Y3</f>
        <v>0</v>
      </c>
      <c r="AB3">
        <f>_xlfn.RANK.AVG(AA3,$AA:$AA,0)</f>
        <v>55</v>
      </c>
    </row>
    <row r="4" spans="1:28">
      <c r="A4" s="438" t="s">
        <v>41</v>
      </c>
      <c r="B4" s="439">
        <v>39</v>
      </c>
      <c r="C4" s="439">
        <v>176</v>
      </c>
      <c r="D4" s="439">
        <v>140</v>
      </c>
      <c r="E4" s="439">
        <v>151</v>
      </c>
      <c r="F4" s="439">
        <v>95</v>
      </c>
      <c r="G4" s="439">
        <v>135</v>
      </c>
      <c r="H4" s="439">
        <v>329</v>
      </c>
      <c r="I4" s="440">
        <v>510.59117745067743</v>
      </c>
      <c r="J4" s="259">
        <v>329</v>
      </c>
      <c r="K4" s="260">
        <v>510.59117745067738</v>
      </c>
      <c r="L4" s="441">
        <f>RANK(H4,$H$2:$H$110,1)</f>
        <v>57</v>
      </c>
      <c r="M4" s="230">
        <f>RANK(I4,$I$2:$I$110,1)</f>
        <v>64</v>
      </c>
      <c r="N4" s="438">
        <f>RANK(J4,$J$2:$J$110,1)</f>
        <v>60</v>
      </c>
      <c r="O4" s="438">
        <f>RANK(K4,$K$2:$K$110,1)</f>
        <v>70</v>
      </c>
      <c r="P4" s="442">
        <v>0</v>
      </c>
      <c r="Q4" s="442">
        <v>0</v>
      </c>
      <c r="R4" s="439"/>
      <c r="S4" s="439">
        <f>RANK(U4,$U$2:$U$110,0)</f>
        <v>50</v>
      </c>
      <c r="T4" s="440">
        <f>Table239[[#This Row],[BDG]]/Table239[[#This Row],[Odds]]</f>
        <v>22.380952380952383</v>
      </c>
      <c r="U4" s="440" cm="1">
        <f t="array" ref="U4">MAX(_xlfn._xlws.FILTER(Table22[[B365]:[BFAIREXC]], Table22[PLAYER] = A4))</f>
        <v>14.7</v>
      </c>
      <c r="V4" s="439">
        <v>3</v>
      </c>
      <c r="X4" t="str">
        <f>Table239[[#This Row],[Player]]</f>
        <v>Kevin Tway</v>
      </c>
      <c r="Y4" s="14">
        <f>Table239[[#This Row],[DGSCORE]]</f>
        <v>329</v>
      </c>
      <c r="Z4" s="14">
        <f>Table239[[#This Row],[BDG]]</f>
        <v>329</v>
      </c>
      <c r="AA4" s="14">
        <f>Z4-Y4</f>
        <v>0</v>
      </c>
      <c r="AB4">
        <f>_xlfn.RANK.AVG(AA4,$AA:$AA,0)</f>
        <v>55</v>
      </c>
    </row>
    <row r="5" spans="1:28">
      <c r="A5" s="438" t="s">
        <v>50</v>
      </c>
      <c r="B5" s="439">
        <v>72</v>
      </c>
      <c r="C5" s="439">
        <v>157</v>
      </c>
      <c r="D5" s="439">
        <v>78</v>
      </c>
      <c r="E5" s="439">
        <v>96</v>
      </c>
      <c r="F5" s="439">
        <v>110</v>
      </c>
      <c r="G5" s="439">
        <v>93</v>
      </c>
      <c r="H5" s="439">
        <v>291.3</v>
      </c>
      <c r="I5" s="440">
        <v>401.68827558773251</v>
      </c>
      <c r="J5" s="259">
        <v>284.01169613962321</v>
      </c>
      <c r="K5" s="260">
        <v>410.63681899272257</v>
      </c>
      <c r="L5" s="441">
        <f>RANK(H5,$H$2:$H$110,1)</f>
        <v>37</v>
      </c>
      <c r="M5" s="230">
        <f>RANK(I5,$I$2:$I$110,1)</f>
        <v>34</v>
      </c>
      <c r="N5" s="438">
        <f>RANK(J5,$J$2:$J$110,1)</f>
        <v>33</v>
      </c>
      <c r="O5" s="438">
        <f>RANK(K5,$K$2:$K$110,1)</f>
        <v>34</v>
      </c>
      <c r="P5" s="442">
        <v>0</v>
      </c>
      <c r="Q5" s="442">
        <v>0</v>
      </c>
      <c r="R5" s="439">
        <v>-29</v>
      </c>
      <c r="S5" s="439">
        <f>RANK(U5,$U$2:$U$110,0)</f>
        <v>63</v>
      </c>
      <c r="T5" s="440">
        <f>Table239[[#This Row],[BDG]]/Table239[[#This Row],[Odds]]</f>
        <v>27.573951081516814</v>
      </c>
      <c r="U5" s="440" cm="1">
        <f t="array" ref="U5">MAX(_xlfn._xlws.FILTER(Table22[[B365]:[BFAIREXC]], Table22[PLAYER] = A5))</f>
        <v>10.3</v>
      </c>
      <c r="V5" s="439">
        <v>4</v>
      </c>
      <c r="X5" t="str">
        <f>Table239[[#This Row],[Player]]</f>
        <v>Charley Hoffman</v>
      </c>
      <c r="Y5" s="14">
        <f>Table239[[#This Row],[DGSCORE]]</f>
        <v>291.3</v>
      </c>
      <c r="Z5" s="14">
        <f>Table239[[#This Row],[BDG]]</f>
        <v>284.01169613962321</v>
      </c>
      <c r="AA5" s="14">
        <f>Z5-Y5</f>
        <v>-7.2883038603768</v>
      </c>
      <c r="AB5">
        <f>_xlfn.RANK.AVG(AA5,$AA:$AA,0)</f>
        <v>89</v>
      </c>
    </row>
    <row r="6" spans="1:28">
      <c r="A6" s="438" t="s">
        <v>147</v>
      </c>
      <c r="B6" s="439">
        <v>106</v>
      </c>
      <c r="C6" s="439">
        <v>130</v>
      </c>
      <c r="D6" s="439">
        <v>41</v>
      </c>
      <c r="E6" s="439">
        <v>114</v>
      </c>
      <c r="F6" s="439">
        <v>82</v>
      </c>
      <c r="G6" s="439">
        <v>73</v>
      </c>
      <c r="H6" s="439">
        <v>275.7</v>
      </c>
      <c r="I6" s="440">
        <v>354.44072444015148</v>
      </c>
      <c r="J6" s="259">
        <v>303.51980077244366</v>
      </c>
      <c r="K6" s="260">
        <v>401.54232302756236</v>
      </c>
      <c r="L6" s="441">
        <f>RANK(H6,$H$2:$H$110,1)</f>
        <v>32</v>
      </c>
      <c r="M6" s="230">
        <f>RANK(I6,$I$2:$I$110,1)</f>
        <v>22</v>
      </c>
      <c r="N6" s="438">
        <f>RANK(J6,$J$2:$J$110,1)</f>
        <v>45</v>
      </c>
      <c r="O6" s="438">
        <f>RANK(K6,$K$2:$K$110,1)</f>
        <v>33</v>
      </c>
      <c r="P6" s="442">
        <v>0</v>
      </c>
      <c r="Q6" s="442">
        <v>0</v>
      </c>
      <c r="R6" s="439">
        <v>-3</v>
      </c>
      <c r="S6" s="439">
        <f>RANK(U6,$U$2:$U$110,0)</f>
        <v>83</v>
      </c>
      <c r="T6" s="440">
        <f>Table239[[#This Row],[BDG]]/Table239[[#This Row],[Odds]]</f>
        <v>41.749628716979871</v>
      </c>
      <c r="U6" s="440" cm="1">
        <f t="array" ref="U6">MAX(_xlfn._xlws.FILTER(Table22[[B365]:[BFAIREXC]], Table22[PLAYER] = A6))</f>
        <v>7.27</v>
      </c>
      <c r="V6" s="439">
        <v>4</v>
      </c>
      <c r="X6" t="str">
        <f>Table239[[#This Row],[Player]]</f>
        <v>Justin Lower</v>
      </c>
      <c r="Y6" s="14">
        <f>Table239[[#This Row],[DGSCORE]]</f>
        <v>275.7</v>
      </c>
      <c r="Z6" s="14">
        <f>Table239[[#This Row],[BDG]]</f>
        <v>303.51980077244366</v>
      </c>
      <c r="AA6" s="14">
        <f>Z6-Y6</f>
        <v>27.819800772443671</v>
      </c>
      <c r="AB6">
        <f>_xlfn.RANK.AVG(AA6,$AA:$AA,0)</f>
        <v>8</v>
      </c>
    </row>
    <row r="7" spans="1:28">
      <c r="A7" s="438" t="s">
        <v>497</v>
      </c>
      <c r="B7" s="439">
        <v>49</v>
      </c>
      <c r="C7" s="439">
        <v>167</v>
      </c>
      <c r="D7" s="439">
        <v>37</v>
      </c>
      <c r="E7" s="439">
        <v>105</v>
      </c>
      <c r="F7" s="439">
        <v>114</v>
      </c>
      <c r="G7" s="439">
        <v>72</v>
      </c>
      <c r="H7" s="439">
        <v>252.5</v>
      </c>
      <c r="I7" s="440">
        <v>343.49110849464466</v>
      </c>
      <c r="J7" s="259">
        <v>252.5</v>
      </c>
      <c r="K7" s="260">
        <v>343.49110849464466</v>
      </c>
      <c r="L7" s="441">
        <f>RANK(H7,$H$2:$H$110,1)</f>
        <v>19</v>
      </c>
      <c r="M7" s="230">
        <f>RANK(I7,$I$2:$I$110,1)</f>
        <v>18</v>
      </c>
      <c r="N7" s="438">
        <f>RANK(J7,$J$2:$J$110,1)</f>
        <v>13</v>
      </c>
      <c r="O7" s="438">
        <f>RANK(K7,$K$2:$K$110,1)</f>
        <v>17</v>
      </c>
      <c r="P7" s="442">
        <v>0</v>
      </c>
      <c r="Q7" s="442">
        <v>0</v>
      </c>
      <c r="R7" s="439">
        <v>-20</v>
      </c>
      <c r="S7" s="439">
        <f>RANK(U7,$U$2:$U$110,0)</f>
        <v>61</v>
      </c>
      <c r="T7" s="440">
        <f>Table239[[#This Row],[BDG]]/Table239[[#This Row],[Odds]]</f>
        <v>22.954545454545453</v>
      </c>
      <c r="U7" s="440" cm="1">
        <f t="array" ref="U7">MAX(_xlfn._xlws.FILTER(Table22[[B365]:[BFAIREXC]], Table22[PLAYER] = A7))</f>
        <v>11</v>
      </c>
      <c r="V7" s="439">
        <v>6</v>
      </c>
      <c r="X7" t="str">
        <f>Table239[[#This Row],[Player]]</f>
        <v>Parker Coody</v>
      </c>
      <c r="Y7" s="14">
        <f>Table239[[#This Row],[DGSCORE]]</f>
        <v>252.5</v>
      </c>
      <c r="Z7" s="14">
        <f>Table239[[#This Row],[BDG]]</f>
        <v>252.5</v>
      </c>
      <c r="AA7" s="14">
        <f>Z7-Y7</f>
        <v>0</v>
      </c>
      <c r="AB7">
        <f>_xlfn.RANK.AVG(AA7,$AA:$AA,0)</f>
        <v>55</v>
      </c>
    </row>
    <row r="8" spans="1:28">
      <c r="A8" s="438" t="s">
        <v>424</v>
      </c>
      <c r="B8" s="439">
        <v>108</v>
      </c>
      <c r="C8" s="439">
        <v>78</v>
      </c>
      <c r="D8" s="439">
        <v>57</v>
      </c>
      <c r="E8" s="439">
        <v>79</v>
      </c>
      <c r="F8" s="439">
        <v>117</v>
      </c>
      <c r="G8" s="439">
        <v>70</v>
      </c>
      <c r="H8" s="439">
        <v>266.2</v>
      </c>
      <c r="I8" s="440">
        <v>337.36940637494001</v>
      </c>
      <c r="J8" s="259">
        <v>266.2</v>
      </c>
      <c r="K8" s="260">
        <v>337.36940637494001</v>
      </c>
      <c r="L8" s="441">
        <f>RANK(H8,$H$2:$H$110,1)</f>
        <v>25</v>
      </c>
      <c r="M8" s="230">
        <f>RANK(I8,$I$2:$I$110,1)</f>
        <v>17</v>
      </c>
      <c r="N8" s="438">
        <f>RANK(J8,$J$2:$J$110,1)</f>
        <v>23</v>
      </c>
      <c r="O8" s="438">
        <f>RANK(K8,$K$2:$K$110,1)</f>
        <v>16</v>
      </c>
      <c r="P8" s="442">
        <v>0</v>
      </c>
      <c r="Q8" s="442">
        <v>0</v>
      </c>
      <c r="R8" s="439">
        <v>-25</v>
      </c>
      <c r="S8" s="439">
        <f>RANK(U8,$U$2:$U$110,0)</f>
        <v>94</v>
      </c>
      <c r="T8" s="440">
        <f>Table239[[#This Row],[BDG]]/Table239[[#This Row],[Odds]]</f>
        <v>43.639344262295083</v>
      </c>
      <c r="U8" s="440" cm="1">
        <f t="array" ref="U8">MAX(_xlfn._xlws.FILTER(Table22[[B365]:[BFAIREXC]], Table22[PLAYER] = A8))</f>
        <v>6.1</v>
      </c>
      <c r="V8" s="439">
        <v>6</v>
      </c>
      <c r="X8" t="str">
        <f>Table239[[#This Row],[Player]]</f>
        <v>Chan Kim</v>
      </c>
      <c r="Y8" s="14">
        <f>Table239[[#This Row],[DGSCORE]]</f>
        <v>266.2</v>
      </c>
      <c r="Z8" s="14">
        <f>Table239[[#This Row],[BDG]]</f>
        <v>266.2</v>
      </c>
      <c r="AA8" s="14">
        <f>Z8-Y8</f>
        <v>0</v>
      </c>
      <c r="AB8">
        <f>_xlfn.RANK.AVG(AA8,$AA:$AA,0)</f>
        <v>55</v>
      </c>
    </row>
    <row r="9" spans="1:28">
      <c r="A9" s="438" t="s">
        <v>79</v>
      </c>
      <c r="B9" s="439">
        <v>59</v>
      </c>
      <c r="C9" s="439">
        <v>148</v>
      </c>
      <c r="D9" s="439">
        <v>116</v>
      </c>
      <c r="E9" s="439">
        <v>165</v>
      </c>
      <c r="F9" s="439">
        <v>183</v>
      </c>
      <c r="G9" s="439">
        <v>177</v>
      </c>
      <c r="H9" s="439">
        <v>365.79999999999995</v>
      </c>
      <c r="I9" s="440">
        <v>585.81314873496729</v>
      </c>
      <c r="J9" s="259">
        <v>318.12313212879968</v>
      </c>
      <c r="K9" s="260">
        <v>467.97330387284489</v>
      </c>
      <c r="L9" s="441">
        <f>RANK(H9,$H$2:$H$110,1)</f>
        <v>79</v>
      </c>
      <c r="M9" s="230">
        <f>RANK(I9,$I$2:$I$110,1)</f>
        <v>92</v>
      </c>
      <c r="N9" s="438">
        <f>RANK(J9,$J$2:$J$110,1)</f>
        <v>51</v>
      </c>
      <c r="O9" s="438">
        <f>RANK(K9,$K$2:$K$110,1)</f>
        <v>54</v>
      </c>
      <c r="P9" s="442">
        <v>0</v>
      </c>
      <c r="Q9" s="442">
        <v>0</v>
      </c>
      <c r="R9" s="439">
        <v>-9</v>
      </c>
      <c r="S9" s="439">
        <f>RANK(U9,$U$2:$U$110,0)</f>
        <v>63</v>
      </c>
      <c r="T9" s="440">
        <f>Table239[[#This Row],[BDG]]/Table239[[#This Row],[Odds]]</f>
        <v>30.885740983378607</v>
      </c>
      <c r="U9" s="440" cm="1">
        <f t="array" ref="U9">MAX(_xlfn._xlws.FILTER(Table22[[B365]:[BFAIREXC]], Table22[PLAYER] = A9))</f>
        <v>10.3</v>
      </c>
      <c r="V9" s="439">
        <v>6</v>
      </c>
      <c r="X9" t="str">
        <f>Table239[[#This Row],[Player]]</f>
        <v>Alex Smalley</v>
      </c>
      <c r="Y9" s="14">
        <f>Table239[[#This Row],[DGSCORE]]</f>
        <v>365.79999999999995</v>
      </c>
      <c r="Z9" s="14">
        <f>Table239[[#This Row],[BDG]]</f>
        <v>318.12313212879968</v>
      </c>
      <c r="AA9" s="14">
        <f>Z9-Y9</f>
        <v>-47.676867871200272</v>
      </c>
      <c r="AB9">
        <f>_xlfn.RANK.AVG(AA9,$AA:$AA,0)</f>
        <v>103</v>
      </c>
    </row>
    <row r="10" spans="1:28">
      <c r="A10" s="438" t="s">
        <v>440</v>
      </c>
      <c r="B10" s="439">
        <v>2</v>
      </c>
      <c r="C10" s="439">
        <v>82</v>
      </c>
      <c r="D10" s="439">
        <v>96</v>
      </c>
      <c r="E10" s="439">
        <v>176</v>
      </c>
      <c r="F10" s="439">
        <v>9</v>
      </c>
      <c r="G10" s="439">
        <v>33</v>
      </c>
      <c r="H10" s="439">
        <v>184.89999999999998</v>
      </c>
      <c r="I10" s="440">
        <v>269.52801035555137</v>
      </c>
      <c r="J10" s="259">
        <v>184.89999999999998</v>
      </c>
      <c r="K10" s="260">
        <v>269.52801035555137</v>
      </c>
      <c r="L10" s="441">
        <f>RANK(H10,$H$2:$H$110,1)</f>
        <v>1</v>
      </c>
      <c r="M10" s="230">
        <f>RANK(I10,$I$2:$I$110,1)</f>
        <v>7</v>
      </c>
      <c r="N10" s="438">
        <f>RANK(J10,$J$2:$J$110,1)</f>
        <v>1</v>
      </c>
      <c r="O10" s="438">
        <f>RANK(K10,$K$2:$K$110,1)</f>
        <v>2</v>
      </c>
      <c r="P10" s="442"/>
      <c r="Q10" s="442"/>
      <c r="R10" s="439"/>
      <c r="S10" s="439">
        <f>RANK(U10,$U$2:$U$110,0)</f>
        <v>68</v>
      </c>
      <c r="T10" s="440">
        <f>Table239[[#This Row],[BDG]]/Table239[[#This Row],[Odds]]</f>
        <v>20.45353982300885</v>
      </c>
      <c r="U10" s="440" cm="1">
        <f t="array" ref="U10">MAX(_xlfn._xlws.FILTER(Table22[[B365]:[BFAIREXC]], Table22[PLAYER] = A10))</f>
        <v>9.0399999999999991</v>
      </c>
      <c r="V10" s="439">
        <v>9</v>
      </c>
      <c r="X10" t="str">
        <f>Table239[[#This Row],[Player]]</f>
        <v>Peter Kuest</v>
      </c>
      <c r="Y10" s="14">
        <f>Table239[[#This Row],[DGSCORE]]</f>
        <v>184.89999999999998</v>
      </c>
      <c r="Z10" s="14">
        <f>Table239[[#This Row],[BDG]]</f>
        <v>184.89999999999998</v>
      </c>
      <c r="AA10" s="14">
        <f>Z10-Y10</f>
        <v>0</v>
      </c>
      <c r="AB10">
        <f>_xlfn.RANK.AVG(AA10,$AA:$AA,0)</f>
        <v>55</v>
      </c>
    </row>
    <row r="11" spans="1:28">
      <c r="A11" s="438" t="s">
        <v>134</v>
      </c>
      <c r="B11" s="439">
        <v>150</v>
      </c>
      <c r="C11" s="439">
        <v>72</v>
      </c>
      <c r="D11" s="439">
        <v>32</v>
      </c>
      <c r="E11" s="439">
        <v>56</v>
      </c>
      <c r="F11" s="439">
        <v>170</v>
      </c>
      <c r="G11" s="439">
        <v>104</v>
      </c>
      <c r="H11" s="439">
        <v>300.8</v>
      </c>
      <c r="I11" s="440">
        <v>387.98101683816049</v>
      </c>
      <c r="J11" s="259">
        <v>293.69531952390867</v>
      </c>
      <c r="K11" s="260">
        <v>367.22906882014263</v>
      </c>
      <c r="L11" s="441">
        <f>RANK(H11,$H$2:$H$110,1)</f>
        <v>42</v>
      </c>
      <c r="M11" s="230">
        <f>RANK(I11,$I$2:$I$110,1)</f>
        <v>30</v>
      </c>
      <c r="N11" s="438">
        <f>RANK(J11,$J$2:$J$110,1)</f>
        <v>38</v>
      </c>
      <c r="O11" s="438">
        <f>RANK(K11,$K$2:$K$110,1)</f>
        <v>23</v>
      </c>
      <c r="P11" s="442">
        <v>0</v>
      </c>
      <c r="Q11" s="442">
        <v>0</v>
      </c>
      <c r="R11" s="439">
        <v>9</v>
      </c>
      <c r="S11" s="439">
        <f>RANK(U11,$U$2:$U$110,0)</f>
        <v>83</v>
      </c>
      <c r="T11" s="440">
        <f>Table239[[#This Row],[BDG]]/Table239[[#This Row],[Odds]]</f>
        <v>40.398255780455116</v>
      </c>
      <c r="U11" s="440" cm="1">
        <f t="array" ref="U11">MAX(_xlfn._xlws.FILTER(Table22[[B365]:[BFAIREXC]], Table22[PLAYER] = A11))</f>
        <v>7.27</v>
      </c>
      <c r="V11" s="439">
        <v>9</v>
      </c>
      <c r="X11" t="str">
        <f>Table239[[#This Row],[Player]]</f>
        <v>Greyson Sigg</v>
      </c>
      <c r="Y11" s="14">
        <f>Table239[[#This Row],[DGSCORE]]</f>
        <v>300.8</v>
      </c>
      <c r="Z11" s="14">
        <f>Table239[[#This Row],[BDG]]</f>
        <v>293.69531952390867</v>
      </c>
      <c r="AA11" s="14">
        <f>Z11-Y11</f>
        <v>-7.104680476091346</v>
      </c>
      <c r="AB11">
        <f>_xlfn.RANK.AVG(AA11,$AA:$AA,0)</f>
        <v>88</v>
      </c>
    </row>
    <row r="12" spans="1:28">
      <c r="A12" s="159" t="s">
        <v>595</v>
      </c>
      <c r="B12">
        <v>21</v>
      </c>
      <c r="C12">
        <v>46</v>
      </c>
      <c r="D12">
        <v>65</v>
      </c>
      <c r="E12">
        <v>170</v>
      </c>
      <c r="F12">
        <v>153</v>
      </c>
      <c r="G12">
        <v>124</v>
      </c>
      <c r="H12">
        <v>231.9</v>
      </c>
      <c r="I12" s="14">
        <v>400.51174954419355</v>
      </c>
      <c r="J12" s="259">
        <v>204.44229767694173</v>
      </c>
      <c r="K12" s="260">
        <v>316.75541894710489</v>
      </c>
      <c r="L12" s="16">
        <f>RANK(H12,$H$2:$H$110,1)</f>
        <v>9</v>
      </c>
      <c r="M12" s="230">
        <f>RANK(I12,$I$2:$I$110,1)</f>
        <v>33</v>
      </c>
      <c r="N12" s="159">
        <f>RANK(J12,$J$2:$J$110,1)</f>
        <v>2</v>
      </c>
      <c r="O12" s="159">
        <f>RANK(K12,$K$2:$K$110,1)</f>
        <v>8</v>
      </c>
      <c r="P12" s="15">
        <v>0</v>
      </c>
      <c r="Q12" s="15">
        <v>0</v>
      </c>
      <c r="R12">
        <v>-76</v>
      </c>
      <c r="S12">
        <f>RANK(U12,$U$2:$U$110,0)</f>
        <v>107</v>
      </c>
      <c r="T12" s="14">
        <f>Table239[[#This Row],[BDG]]/Table239[[#This Row],[Odds]]</f>
        <v>64.696929644601809</v>
      </c>
      <c r="U12" s="14" cm="1">
        <f t="array" ref="U12">MAX(_xlfn._xlws.FILTER(Table22[[B365]:[BFAIREXC]], Table22[PLAYER] = A12))</f>
        <v>3.16</v>
      </c>
      <c r="V12" s="439"/>
      <c r="X12" t="str">
        <f>Table239[[#This Row],[Player]]</f>
        <v>Nicolai Højgaard</v>
      </c>
      <c r="Y12" s="14">
        <f>Table239[[#This Row],[DGSCORE]]</f>
        <v>231.9</v>
      </c>
      <c r="Z12" s="14">
        <f>Table239[[#This Row],[BDG]]</f>
        <v>204.44229767694173</v>
      </c>
      <c r="AA12" s="14">
        <f>Z12-Y12</f>
        <v>-27.457702323058271</v>
      </c>
      <c r="AB12">
        <f>_xlfn.RANK.AVG(AA12,$AA:$AA,0)</f>
        <v>97</v>
      </c>
    </row>
    <row r="13" spans="1:28">
      <c r="A13" s="438" t="s">
        <v>493</v>
      </c>
      <c r="B13" s="439">
        <v>30</v>
      </c>
      <c r="C13" s="439">
        <v>139</v>
      </c>
      <c r="D13" s="439">
        <v>63</v>
      </c>
      <c r="E13" s="439">
        <v>83</v>
      </c>
      <c r="F13" s="439">
        <v>81</v>
      </c>
      <c r="G13" s="439">
        <v>59</v>
      </c>
      <c r="H13" s="439">
        <v>214.3</v>
      </c>
      <c r="I13" s="440">
        <v>295.55831344875389</v>
      </c>
      <c r="J13" s="259">
        <v>214.3</v>
      </c>
      <c r="K13" s="260">
        <v>295.55831344875389</v>
      </c>
      <c r="L13" s="441">
        <f>RANK(H13,$H$2:$H$110,1)</f>
        <v>3</v>
      </c>
      <c r="M13" s="230">
        <f>RANK(I13,$I$2:$I$110,1)</f>
        <v>10</v>
      </c>
      <c r="N13" s="438">
        <f>RANK(J13,$J$2:$J$110,1)</f>
        <v>3</v>
      </c>
      <c r="O13" s="438">
        <f>RANK(K13,$K$2:$K$110,1)</f>
        <v>6</v>
      </c>
      <c r="P13" s="442">
        <v>0</v>
      </c>
      <c r="Q13" s="442">
        <v>0</v>
      </c>
      <c r="R13" s="439">
        <v>51</v>
      </c>
      <c r="S13" s="439">
        <f>RANK(U13,$U$2:$U$110,0)</f>
        <v>87</v>
      </c>
      <c r="T13" s="440">
        <f>Table239[[#This Row],[BDG]]/Table239[[#This Row],[Odds]]</f>
        <v>30.614285714285717</v>
      </c>
      <c r="U13" s="440" cm="1">
        <f t="array" ref="U13">MAX(_xlfn._xlws.FILTER(Table22[[B365]:[BFAIREXC]], Table22[PLAYER] = A13))</f>
        <v>7</v>
      </c>
      <c r="V13" s="439"/>
      <c r="X13" t="str">
        <f>Table239[[#This Row],[Player]]</f>
        <v>Max Greyserman</v>
      </c>
      <c r="Y13" s="14">
        <f>Table239[[#This Row],[DGSCORE]]</f>
        <v>214.3</v>
      </c>
      <c r="Z13" s="14">
        <f>Table239[[#This Row],[BDG]]</f>
        <v>214.3</v>
      </c>
      <c r="AA13" s="14">
        <f>Z13-Y13</f>
        <v>0</v>
      </c>
      <c r="AB13">
        <f>_xlfn.RANK.AVG(AA13,$AA:$AA,0)</f>
        <v>55</v>
      </c>
    </row>
    <row r="14" spans="1:28">
      <c r="A14" s="438" t="s">
        <v>95</v>
      </c>
      <c r="B14" s="439">
        <v>135</v>
      </c>
      <c r="C14" s="439">
        <v>62</v>
      </c>
      <c r="D14" s="439">
        <v>46</v>
      </c>
      <c r="E14" s="439">
        <v>18</v>
      </c>
      <c r="F14" s="439">
        <v>63</v>
      </c>
      <c r="G14" s="439">
        <v>9</v>
      </c>
      <c r="H14" s="439">
        <v>223.39999999999998</v>
      </c>
      <c r="I14" s="440">
        <v>210.61263042229865</v>
      </c>
      <c r="J14" s="259">
        <v>226.53017806482865</v>
      </c>
      <c r="K14" s="260">
        <v>242.88288336172701</v>
      </c>
      <c r="L14" s="441">
        <f>RANK(H14,$H$2:$H$110,1)</f>
        <v>6</v>
      </c>
      <c r="M14" s="230">
        <f>RANK(I14,$I$2:$I$110,1)</f>
        <v>1</v>
      </c>
      <c r="N14" s="438">
        <f>RANK(J14,$J$2:$J$110,1)</f>
        <v>4</v>
      </c>
      <c r="O14" s="438">
        <f>RANK(K14,$K$2:$K$110,1)</f>
        <v>1</v>
      </c>
      <c r="P14" s="442">
        <v>0</v>
      </c>
      <c r="Q14" s="442">
        <v>0</v>
      </c>
      <c r="R14" s="439">
        <v>35</v>
      </c>
      <c r="S14" s="439">
        <f>RANK(U14,$U$2:$U$110,0)</f>
        <v>108</v>
      </c>
      <c r="T14" s="440">
        <f>Table239[[#This Row],[BDG]]/Table239[[#This Row],[Odds]]</f>
        <v>77.051080974431514</v>
      </c>
      <c r="U14" s="440" cm="1">
        <f t="array" ref="U14">MAX(_xlfn._xlws.FILTER(Table22[[B365]:[BFAIREXC]], Table22[PLAYER] = A14))</f>
        <v>2.94</v>
      </c>
      <c r="V14" s="439"/>
      <c r="X14" t="str">
        <f>Table239[[#This Row],[Player]]</f>
        <v>Alex Noren</v>
      </c>
      <c r="Y14" s="14">
        <f>Table239[[#This Row],[DGSCORE]]</f>
        <v>223.39999999999998</v>
      </c>
      <c r="Z14" s="14">
        <f>Table239[[#This Row],[BDG]]</f>
        <v>226.53017806482865</v>
      </c>
      <c r="AA14" s="14">
        <f>Z14-Y14</f>
        <v>3.1301780648286694</v>
      </c>
      <c r="AB14">
        <f>_xlfn.RANK.AVG(AA14,$AA:$AA,0)</f>
        <v>24</v>
      </c>
    </row>
    <row r="15" spans="1:28">
      <c r="A15" s="438" t="s">
        <v>560</v>
      </c>
      <c r="B15" s="439">
        <v>41</v>
      </c>
      <c r="C15" s="439">
        <v>163</v>
      </c>
      <c r="D15" s="439">
        <v>85</v>
      </c>
      <c r="E15" s="439">
        <v>23</v>
      </c>
      <c r="F15" s="439">
        <v>95</v>
      </c>
      <c r="G15" s="439">
        <v>74</v>
      </c>
      <c r="H15" s="439">
        <v>234.6</v>
      </c>
      <c r="I15" s="440">
        <v>319.45019105085464</v>
      </c>
      <c r="J15" s="259">
        <v>234.6</v>
      </c>
      <c r="K15" s="260">
        <v>319.45019105085464</v>
      </c>
      <c r="L15" s="441">
        <f>RANK(H15,$H$2:$H$110,1)</f>
        <v>11</v>
      </c>
      <c r="M15" s="230">
        <f>RANK(I15,$I$2:$I$110,1)</f>
        <v>12</v>
      </c>
      <c r="N15" s="438">
        <f>RANK(J15,$J$2:$J$110,1)</f>
        <v>5</v>
      </c>
      <c r="O15" s="438">
        <f>RANK(K15,$K$2:$K$110,1)</f>
        <v>10</v>
      </c>
      <c r="P15" s="442">
        <v>0</v>
      </c>
      <c r="Q15" s="442">
        <v>0</v>
      </c>
      <c r="R15" s="439">
        <v>75</v>
      </c>
      <c r="S15" s="439">
        <f>RANK(U15,$U$2:$U$110,0)</f>
        <v>80</v>
      </c>
      <c r="T15" s="440">
        <f>Table239[[#This Row],[BDG]]/Table239[[#This Row],[Odds]]</f>
        <v>30.626631853785899</v>
      </c>
      <c r="U15" s="440" cm="1">
        <f t="array" ref="U15">MAX(_xlfn._xlws.FILTER(Table22[[B365]:[BFAIREXC]], Table22[PLAYER] = A15))</f>
        <v>7.66</v>
      </c>
      <c r="V15" s="439"/>
      <c r="X15" t="str">
        <f>Table239[[#This Row],[Player]]</f>
        <v>Mac Meissner</v>
      </c>
      <c r="Y15" s="14">
        <f>Table239[[#This Row],[DGSCORE]]</f>
        <v>234.6</v>
      </c>
      <c r="Z15" s="14">
        <f>Table239[[#This Row],[BDG]]</f>
        <v>234.6</v>
      </c>
      <c r="AA15" s="14">
        <f>Z15-Y15</f>
        <v>0</v>
      </c>
      <c r="AB15">
        <f>_xlfn.RANK.AVG(AA15,$AA:$AA,0)</f>
        <v>55</v>
      </c>
    </row>
    <row r="16" spans="1:28">
      <c r="A16" s="438" t="s">
        <v>20</v>
      </c>
      <c r="B16" s="439">
        <v>11</v>
      </c>
      <c r="C16" s="439">
        <v>166</v>
      </c>
      <c r="D16" s="439">
        <v>107</v>
      </c>
      <c r="E16" s="439">
        <v>62</v>
      </c>
      <c r="F16" s="439">
        <v>86</v>
      </c>
      <c r="G16" s="439">
        <v>64</v>
      </c>
      <c r="H16" s="439">
        <v>235.60000000000002</v>
      </c>
      <c r="I16" s="440">
        <v>329.45316491552114</v>
      </c>
      <c r="J16" s="259">
        <v>234.87923531401972</v>
      </c>
      <c r="K16" s="260">
        <v>321.45522078795773</v>
      </c>
      <c r="L16" s="441">
        <f>RANK(H16,$H$2:$H$110,1)</f>
        <v>12</v>
      </c>
      <c r="M16" s="230">
        <f>RANK(I16,$I$2:$I$110,1)</f>
        <v>14</v>
      </c>
      <c r="N16" s="438">
        <f>RANK(J16,$J$2:$J$110,1)</f>
        <v>6</v>
      </c>
      <c r="O16" s="438">
        <f>RANK(K16,$K$2:$K$110,1)</f>
        <v>11</v>
      </c>
      <c r="P16" s="442">
        <v>0</v>
      </c>
      <c r="Q16" s="442">
        <v>0</v>
      </c>
      <c r="R16" s="439">
        <v>4</v>
      </c>
      <c r="S16" s="439">
        <f>RANK(U16,$U$2:$U$110,0)</f>
        <v>87</v>
      </c>
      <c r="T16" s="440">
        <f>Table239[[#This Row],[BDG]]/Table239[[#This Row],[Odds]]</f>
        <v>33.55417647343139</v>
      </c>
      <c r="U16" s="440" cm="1">
        <f t="array" ref="U16">MAX(_xlfn._xlws.FILTER(Table22[[B365]:[BFAIREXC]], Table22[PLAYER] = A16))</f>
        <v>7</v>
      </c>
      <c r="V16" s="439"/>
      <c r="X16" t="str">
        <f>Table239[[#This Row],[Player]]</f>
        <v>Joseph Bramlett</v>
      </c>
      <c r="Y16" s="14">
        <f>Table239[[#This Row],[DGSCORE]]</f>
        <v>235.60000000000002</v>
      </c>
      <c r="Z16" s="14">
        <f>Table239[[#This Row],[BDG]]</f>
        <v>234.87923531401972</v>
      </c>
      <c r="AA16" s="14">
        <f>Z16-Y16</f>
        <v>-0.72076468598029919</v>
      </c>
      <c r="AB16">
        <f>_xlfn.RANK.AVG(AA16,$AA:$AA,0)</f>
        <v>84</v>
      </c>
    </row>
    <row r="17" spans="1:28">
      <c r="A17" s="438" t="s">
        <v>28</v>
      </c>
      <c r="B17" s="439">
        <v>51</v>
      </c>
      <c r="C17" s="439">
        <v>136</v>
      </c>
      <c r="D17" s="439">
        <v>50</v>
      </c>
      <c r="E17" s="439">
        <v>28</v>
      </c>
      <c r="F17" s="439">
        <v>64</v>
      </c>
      <c r="G17" s="439">
        <v>50</v>
      </c>
      <c r="H17" s="439">
        <v>192.1</v>
      </c>
      <c r="I17" s="440">
        <v>244.99495208195503</v>
      </c>
      <c r="J17" s="259">
        <v>237.04482649005604</v>
      </c>
      <c r="K17" s="260">
        <v>329.44823299246866</v>
      </c>
      <c r="L17" s="441">
        <f>RANK(H17,$H$2:$H$110,1)</f>
        <v>2</v>
      </c>
      <c r="M17" s="230">
        <f>RANK(I17,$I$2:$I$110,1)</f>
        <v>3</v>
      </c>
      <c r="N17" s="438">
        <f>RANK(J17,$J$2:$J$110,1)</f>
        <v>7</v>
      </c>
      <c r="O17" s="438">
        <f>RANK(K17,$K$2:$K$110,1)</f>
        <v>13</v>
      </c>
      <c r="P17" s="442">
        <v>0</v>
      </c>
      <c r="Q17" s="442">
        <v>0</v>
      </c>
      <c r="R17" s="439">
        <v>-9</v>
      </c>
      <c r="S17" s="439">
        <f>RANK(U17,$U$2:$U$110,0)</f>
        <v>101</v>
      </c>
      <c r="T17" s="440">
        <f>Table239[[#This Row],[BDG]]/Table239[[#This Row],[Odds]]</f>
        <v>51.197586714914912</v>
      </c>
      <c r="U17" s="440" cm="1">
        <f t="array" ref="U17">MAX(_xlfn._xlws.FILTER(Table22[[B365]:[BFAIREXC]], Table22[PLAYER] = A17))</f>
        <v>4.63</v>
      </c>
      <c r="V17" s="439"/>
      <c r="X17" t="str">
        <f>Table239[[#This Row],[Player]]</f>
        <v>Davis Thompson</v>
      </c>
      <c r="Y17" s="14">
        <f>Table239[[#This Row],[DGSCORE]]</f>
        <v>192.1</v>
      </c>
      <c r="Z17" s="14">
        <f>Table239[[#This Row],[BDG]]</f>
        <v>237.04482649005604</v>
      </c>
      <c r="AA17" s="14">
        <f>Z17-Y17</f>
        <v>44.944826490056045</v>
      </c>
      <c r="AB17">
        <f>_xlfn.RANK.AVG(AA17,$AA:$AA,0)</f>
        <v>4</v>
      </c>
    </row>
    <row r="18" spans="1:28">
      <c r="A18" s="438" t="s">
        <v>692</v>
      </c>
      <c r="B18" s="439">
        <v>17</v>
      </c>
      <c r="C18" s="439">
        <v>175</v>
      </c>
      <c r="D18" s="439">
        <v>171</v>
      </c>
      <c r="E18" s="439">
        <v>14</v>
      </c>
      <c r="F18" s="439">
        <v>31</v>
      </c>
      <c r="G18" s="439">
        <v>110</v>
      </c>
      <c r="H18" s="439">
        <v>243.6</v>
      </c>
      <c r="I18" s="440">
        <v>380.3050834370963</v>
      </c>
      <c r="J18" s="259">
        <v>243.6</v>
      </c>
      <c r="K18" s="260">
        <v>380.3050834370963</v>
      </c>
      <c r="L18" s="441">
        <f>RANK(H18,$H$2:$H$110,1)</f>
        <v>15</v>
      </c>
      <c r="M18" s="230">
        <f>RANK(I18,$I$2:$I$110,1)</f>
        <v>28</v>
      </c>
      <c r="N18" s="438">
        <f>RANK(J18,$J$2:$J$110,1)</f>
        <v>8</v>
      </c>
      <c r="O18" s="438">
        <f>RANK(K18,$K$2:$K$110,1)</f>
        <v>26</v>
      </c>
      <c r="P18" s="442">
        <v>0</v>
      </c>
      <c r="Q18" s="442">
        <v>0</v>
      </c>
      <c r="R18" s="439">
        <v>0</v>
      </c>
      <c r="S18" s="439">
        <f>RANK(U18,$U$2:$U$110,0)</f>
        <v>47</v>
      </c>
      <c r="T18" s="440">
        <f>Table239[[#This Row],[BDG]]/Table239[[#This Row],[Odds]]</f>
        <v>15.615384615384615</v>
      </c>
      <c r="U18" s="440" cm="1">
        <f t="array" ref="U18">MAX(_xlfn._xlws.FILTER(Table22[[B365]:[BFAIREXC]], Table22[PLAYER] = A18))</f>
        <v>15.6</v>
      </c>
      <c r="V18" s="439"/>
      <c r="X18" t="str">
        <f>Table239[[#This Row],[Player]]</f>
        <v>Wilson Furr</v>
      </c>
      <c r="Y18" s="14">
        <f>Table239[[#This Row],[DGSCORE]]</f>
        <v>243.6</v>
      </c>
      <c r="Z18" s="14">
        <f>Table239[[#This Row],[BDG]]</f>
        <v>243.6</v>
      </c>
      <c r="AA18" s="14">
        <f>Z18-Y18</f>
        <v>0</v>
      </c>
      <c r="AB18">
        <f>_xlfn.RANK.AVG(AA18,$AA:$AA,0)</f>
        <v>55</v>
      </c>
    </row>
    <row r="19" spans="1:28">
      <c r="A19" s="438" t="s">
        <v>122</v>
      </c>
      <c r="B19" s="439">
        <v>138</v>
      </c>
      <c r="C19" s="439">
        <v>35</v>
      </c>
      <c r="D19" s="439">
        <v>42</v>
      </c>
      <c r="E19" s="439">
        <v>34</v>
      </c>
      <c r="F19" s="439">
        <v>91</v>
      </c>
      <c r="G19" s="439">
        <v>39</v>
      </c>
      <c r="H19" s="439">
        <v>230.2</v>
      </c>
      <c r="I19" s="440">
        <v>250.02288726202175</v>
      </c>
      <c r="J19" s="259">
        <v>245.38754159744161</v>
      </c>
      <c r="K19" s="260">
        <v>288.59605645606518</v>
      </c>
      <c r="L19" s="441">
        <f>RANK(H19,$H$2:$H$110,1)</f>
        <v>8</v>
      </c>
      <c r="M19" s="230">
        <f>RANK(I19,$I$2:$I$110,1)</f>
        <v>5</v>
      </c>
      <c r="N19" s="438">
        <f>RANK(J19,$J$2:$J$110,1)</f>
        <v>9</v>
      </c>
      <c r="O19" s="438">
        <f>RANK(K19,$K$2:$K$110,1)</f>
        <v>4</v>
      </c>
      <c r="P19" s="442">
        <v>0</v>
      </c>
      <c r="Q19" s="442">
        <v>0</v>
      </c>
      <c r="R19" s="439">
        <v>80</v>
      </c>
      <c r="S19" s="439">
        <f>RANK(U19,$U$2:$U$110,0)</f>
        <v>101</v>
      </c>
      <c r="T19" s="440">
        <f>Table239[[#This Row],[BDG]]/Table239[[#This Row],[Odds]]</f>
        <v>52.999469027525187</v>
      </c>
      <c r="U19" s="440" cm="1">
        <f t="array" ref="U19">MAX(_xlfn._xlws.FILTER(Table22[[B365]:[BFAIREXC]], Table22[PLAYER] = A19))</f>
        <v>4.63</v>
      </c>
      <c r="V19" s="439"/>
      <c r="X19" t="str">
        <f>Table239[[#This Row],[Player]]</f>
        <v>Nate Lashley</v>
      </c>
      <c r="Y19" s="14">
        <f>Table239[[#This Row],[DGSCORE]]</f>
        <v>230.2</v>
      </c>
      <c r="Z19" s="14">
        <f>Table239[[#This Row],[BDG]]</f>
        <v>245.38754159744161</v>
      </c>
      <c r="AA19" s="14">
        <f>Z19-Y19</f>
        <v>15.187541597441623</v>
      </c>
      <c r="AB19">
        <f>_xlfn.RANK.AVG(AA19,$AA:$AA,0)</f>
        <v>12</v>
      </c>
    </row>
    <row r="20" spans="1:28">
      <c r="A20" s="438" t="s">
        <v>557</v>
      </c>
      <c r="B20" s="439">
        <v>20</v>
      </c>
      <c r="C20" s="439">
        <v>147</v>
      </c>
      <c r="D20" s="439">
        <v>147</v>
      </c>
      <c r="E20" s="439">
        <v>81</v>
      </c>
      <c r="F20" s="439">
        <v>41</v>
      </c>
      <c r="G20" s="439">
        <v>62</v>
      </c>
      <c r="H20" s="439">
        <v>247.29999999999998</v>
      </c>
      <c r="I20" s="440">
        <v>345.62192121112508</v>
      </c>
      <c r="J20" s="259">
        <v>247.29999999999998</v>
      </c>
      <c r="K20" s="260">
        <v>345.62192121112508</v>
      </c>
      <c r="L20" s="441">
        <f>RANK(H20,$H$2:$H$110,1)</f>
        <v>17</v>
      </c>
      <c r="M20" s="230">
        <f>RANK(I20,$I$2:$I$110,1)</f>
        <v>19</v>
      </c>
      <c r="N20" s="438">
        <f>RANK(J20,$J$2:$J$110,1)</f>
        <v>10</v>
      </c>
      <c r="O20" s="438">
        <f>RANK(K20,$K$2:$K$110,1)</f>
        <v>19</v>
      </c>
      <c r="P20" s="442">
        <v>0</v>
      </c>
      <c r="Q20" s="442">
        <v>0</v>
      </c>
      <c r="R20" s="439">
        <v>-55</v>
      </c>
      <c r="S20" s="439">
        <f>RANK(U20,$U$2:$U$110,0)</f>
        <v>71</v>
      </c>
      <c r="T20" s="440">
        <f>Table239[[#This Row],[BDG]]/Table239[[#This Row],[Odds]]</f>
        <v>29.094117647058823</v>
      </c>
      <c r="U20" s="440" cm="1">
        <f t="array" ref="U20">MAX(_xlfn._xlws.FILTER(Table22[[B365]:[BFAIREXC]], Table22[PLAYER] = A20))</f>
        <v>8.5</v>
      </c>
      <c r="V20" s="439"/>
      <c r="X20" t="str">
        <f>Table239[[#This Row],[Player]]</f>
        <v>Hayden Springer</v>
      </c>
      <c r="Y20" s="14">
        <f>Table239[[#This Row],[DGSCORE]]</f>
        <v>247.29999999999998</v>
      </c>
      <c r="Z20" s="14">
        <f>Table239[[#This Row],[BDG]]</f>
        <v>247.29999999999998</v>
      </c>
      <c r="AA20" s="14">
        <f>Z20-Y20</f>
        <v>0</v>
      </c>
      <c r="AB20">
        <f>_xlfn.RANK.AVG(AA20,$AA:$AA,0)</f>
        <v>55</v>
      </c>
    </row>
    <row r="21" spans="1:28">
      <c r="A21" s="438" t="s">
        <v>26</v>
      </c>
      <c r="B21" s="439">
        <v>23</v>
      </c>
      <c r="C21" s="439">
        <v>103</v>
      </c>
      <c r="D21" s="439">
        <v>40</v>
      </c>
      <c r="E21" s="439">
        <v>180</v>
      </c>
      <c r="F21" s="439">
        <v>169</v>
      </c>
      <c r="G21" s="439">
        <v>115</v>
      </c>
      <c r="H21" s="439">
        <v>256.7</v>
      </c>
      <c r="I21" s="440">
        <v>414.72588593877288</v>
      </c>
      <c r="J21" s="259">
        <v>247.74192461710223</v>
      </c>
      <c r="K21" s="260">
        <v>382.11793611216268</v>
      </c>
      <c r="L21" s="441">
        <f>RANK(H21,$H$2:$H$110,1)</f>
        <v>21</v>
      </c>
      <c r="M21" s="230">
        <f>RANK(I21,$I$2:$I$110,1)</f>
        <v>38</v>
      </c>
      <c r="N21" s="438">
        <f>RANK(J21,$J$2:$J$110,1)</f>
        <v>11</v>
      </c>
      <c r="O21" s="438">
        <f>RANK(K21,$K$2:$K$110,1)</f>
        <v>27</v>
      </c>
      <c r="P21" s="442">
        <v>0</v>
      </c>
      <c r="Q21" s="442">
        <v>0</v>
      </c>
      <c r="R21" s="439">
        <v>10</v>
      </c>
      <c r="S21" s="439">
        <f>RANK(U21,$U$2:$U$110,0)</f>
        <v>101</v>
      </c>
      <c r="T21" s="440">
        <f>Table239[[#This Row],[BDG]]/Table239[[#This Row],[Odds]]</f>
        <v>53.507975079287739</v>
      </c>
      <c r="U21" s="440" cm="1">
        <f t="array" ref="U21">MAX(_xlfn._xlws.FILTER(Table22[[B365]:[BFAIREXC]], Table22[PLAYER] = A21))</f>
        <v>4.63</v>
      </c>
      <c r="V21" s="439"/>
      <c r="X21" t="str">
        <f>Table239[[#This Row],[Player]]</f>
        <v>Kevin Yu</v>
      </c>
      <c r="Y21" s="14">
        <f>Table239[[#This Row],[DGSCORE]]</f>
        <v>256.7</v>
      </c>
      <c r="Z21" s="14">
        <f>Table239[[#This Row],[BDG]]</f>
        <v>247.74192461710223</v>
      </c>
      <c r="AA21" s="14">
        <f>Z21-Y21</f>
        <v>-8.9580753828977606</v>
      </c>
      <c r="AB21">
        <f>_xlfn.RANK.AVG(AA21,$AA:$AA,0)</f>
        <v>91</v>
      </c>
    </row>
    <row r="22" spans="1:28">
      <c r="A22" s="438" t="s">
        <v>241</v>
      </c>
      <c r="B22" s="439">
        <v>16</v>
      </c>
      <c r="C22" s="439">
        <v>134</v>
      </c>
      <c r="D22" s="439">
        <v>21</v>
      </c>
      <c r="E22" s="439">
        <v>160</v>
      </c>
      <c r="F22" s="439">
        <v>179</v>
      </c>
      <c r="G22" s="439">
        <v>126</v>
      </c>
      <c r="H22" s="439">
        <v>249.60000000000002</v>
      </c>
      <c r="I22" s="440">
        <v>413.74781278800373</v>
      </c>
      <c r="J22" s="259">
        <v>249.60000000000002</v>
      </c>
      <c r="K22" s="260">
        <v>413.74781278800373</v>
      </c>
      <c r="L22" s="441">
        <f>RANK(H22,$H$2:$H$110,1)</f>
        <v>18</v>
      </c>
      <c r="M22" s="230">
        <f>RANK(I22,$I$2:$I$110,1)</f>
        <v>35</v>
      </c>
      <c r="N22" s="438">
        <f>RANK(J22,$J$2:$J$110,1)</f>
        <v>12</v>
      </c>
      <c r="O22" s="438">
        <f>RANK(K22,$K$2:$K$110,1)</f>
        <v>35</v>
      </c>
      <c r="P22" s="442">
        <v>0</v>
      </c>
      <c r="Q22" s="442">
        <v>0</v>
      </c>
      <c r="R22" s="439">
        <v>13</v>
      </c>
      <c r="S22" s="439">
        <f>RANK(U22,$U$2:$U$110,0)</f>
        <v>82</v>
      </c>
      <c r="T22" s="440">
        <f>Table239[[#This Row],[BDG]]/Table239[[#This Row],[Odds]]</f>
        <v>33.28</v>
      </c>
      <c r="U22" s="440" cm="1">
        <f t="array" ref="U22">MAX(_xlfn._xlws.FILTER(Table22[[B365]:[BFAIREXC]], Table22[PLAYER] = A22))</f>
        <v>7.5</v>
      </c>
      <c r="V22" s="439"/>
      <c r="X22" t="str">
        <f>Table239[[#This Row],[Player]]</f>
        <v>Jhonattan Vegas</v>
      </c>
      <c r="Y22" s="14">
        <f>Table239[[#This Row],[DGSCORE]]</f>
        <v>249.60000000000002</v>
      </c>
      <c r="Z22" s="14">
        <f>Table239[[#This Row],[BDG]]</f>
        <v>249.60000000000002</v>
      </c>
      <c r="AA22" s="14">
        <f>Z22-Y22</f>
        <v>0</v>
      </c>
      <c r="AB22">
        <f>_xlfn.RANK.AVG(AA22,$AA:$AA,0)</f>
        <v>55</v>
      </c>
    </row>
    <row r="23" spans="1:28">
      <c r="A23" s="438" t="s">
        <v>162</v>
      </c>
      <c r="B23" s="439">
        <v>145</v>
      </c>
      <c r="C23" s="439">
        <v>69</v>
      </c>
      <c r="D23" s="439">
        <v>29</v>
      </c>
      <c r="E23" s="439">
        <v>58</v>
      </c>
      <c r="F23" s="439">
        <v>72</v>
      </c>
      <c r="G23" s="439">
        <v>40</v>
      </c>
      <c r="H23" s="439">
        <v>244.5</v>
      </c>
      <c r="I23" s="440">
        <v>266.12395186481808</v>
      </c>
      <c r="J23" s="259">
        <v>253.35510899918631</v>
      </c>
      <c r="K23" s="260">
        <v>274.76499785921345</v>
      </c>
      <c r="L23" s="441">
        <f>RANK(H23,$H$2:$H$110,1)</f>
        <v>16</v>
      </c>
      <c r="M23" s="230">
        <f>RANK(I23,$I$2:$I$110,1)</f>
        <v>6</v>
      </c>
      <c r="N23" s="438">
        <f>RANK(J23,$J$2:$J$110,1)</f>
        <v>15</v>
      </c>
      <c r="O23" s="438">
        <f>RANK(K23,$K$2:$K$110,1)</f>
        <v>3</v>
      </c>
      <c r="P23" s="442">
        <v>0</v>
      </c>
      <c r="Q23" s="442">
        <v>0</v>
      </c>
      <c r="R23" s="439">
        <v>26</v>
      </c>
      <c r="S23" s="439">
        <f>RANK(U23,$U$2:$U$110,0)</f>
        <v>99</v>
      </c>
      <c r="T23" s="440">
        <f>Table239[[#This Row],[BDG]]/Table239[[#This Row],[Odds]]</f>
        <v>51.494940853493155</v>
      </c>
      <c r="U23" s="440" cm="1">
        <f t="array" ref="U23">MAX(_xlfn._xlws.FILTER(Table22[[B365]:[BFAIREXC]], Table22[PLAYER] = A23))</f>
        <v>4.92</v>
      </c>
      <c r="V23" s="439"/>
      <c r="X23" t="str">
        <f>Table239[[#This Row],[Player]]</f>
        <v>Mark Hubbard</v>
      </c>
      <c r="Y23" s="14">
        <f>Table239[[#This Row],[DGSCORE]]</f>
        <v>244.5</v>
      </c>
      <c r="Z23" s="14">
        <f>Table239[[#This Row],[BDG]]</f>
        <v>253.35510899918631</v>
      </c>
      <c r="AA23" s="14">
        <f>Z23-Y23</f>
        <v>8.8551089991863137</v>
      </c>
      <c r="AB23">
        <f>_xlfn.RANK.AVG(AA23,$AA:$AA,0)</f>
        <v>19</v>
      </c>
    </row>
    <row r="24" spans="1:28">
      <c r="A24" s="438" t="s">
        <v>121</v>
      </c>
      <c r="B24" s="439">
        <v>142</v>
      </c>
      <c r="C24" s="439">
        <v>41</v>
      </c>
      <c r="D24" s="439">
        <v>35</v>
      </c>
      <c r="E24" s="439">
        <v>74</v>
      </c>
      <c r="F24" s="439">
        <v>80</v>
      </c>
      <c r="G24" s="439">
        <v>16</v>
      </c>
      <c r="H24" s="439">
        <v>242.4</v>
      </c>
      <c r="I24" s="440">
        <v>245.15386306939905</v>
      </c>
      <c r="J24" s="259">
        <v>255.42524753950079</v>
      </c>
      <c r="K24" s="260">
        <v>296.9052675398998</v>
      </c>
      <c r="L24" s="441">
        <f>RANK(H24,$H$2:$H$110,1)</f>
        <v>14</v>
      </c>
      <c r="M24" s="230">
        <f>RANK(I24,$I$2:$I$110,1)</f>
        <v>4</v>
      </c>
      <c r="N24" s="438">
        <f>RANK(J24,$J$2:$J$110,1)</f>
        <v>16</v>
      </c>
      <c r="O24" s="438">
        <f>RANK(K24,$K$2:$K$110,1)</f>
        <v>7</v>
      </c>
      <c r="P24" s="442">
        <v>0</v>
      </c>
      <c r="Q24" s="442">
        <v>0</v>
      </c>
      <c r="R24" s="439">
        <v>-10</v>
      </c>
      <c r="S24" s="439">
        <f>RANK(U24,$U$2:$U$110,0)</f>
        <v>104</v>
      </c>
      <c r="T24" s="440">
        <f>Table239[[#This Row],[BDG]]/Table239[[#This Row],[Odds]]</f>
        <v>56.38526435750569</v>
      </c>
      <c r="U24" s="440" cm="1">
        <f t="array" ref="U24">MAX(_xlfn._xlws.FILTER(Table22[[B365]:[BFAIREXC]], Table22[PLAYER] = A24))</f>
        <v>4.53</v>
      </c>
      <c r="V24" s="439"/>
      <c r="X24" t="str">
        <f>Table239[[#This Row],[Player]]</f>
        <v>Doug Ghim</v>
      </c>
      <c r="Y24" s="14">
        <f>Table239[[#This Row],[DGSCORE]]</f>
        <v>242.4</v>
      </c>
      <c r="Z24" s="14">
        <f>Table239[[#This Row],[BDG]]</f>
        <v>255.42524753950079</v>
      </c>
      <c r="AA24" s="14">
        <f>Z24-Y24</f>
        <v>13.025247539500782</v>
      </c>
      <c r="AB24">
        <f>_xlfn.RANK.AVG(AA24,$AA:$AA,0)</f>
        <v>14</v>
      </c>
    </row>
    <row r="25" spans="1:28">
      <c r="A25" s="438" t="s">
        <v>33</v>
      </c>
      <c r="B25" s="439">
        <v>9</v>
      </c>
      <c r="C25" s="439">
        <v>178</v>
      </c>
      <c r="D25" s="439">
        <v>121</v>
      </c>
      <c r="E25" s="439">
        <v>84</v>
      </c>
      <c r="F25" s="439">
        <v>22</v>
      </c>
      <c r="G25" s="439">
        <v>88</v>
      </c>
      <c r="H25" s="439">
        <v>226.39999999999998</v>
      </c>
      <c r="I25" s="440">
        <v>349.75484610740739</v>
      </c>
      <c r="J25" s="259">
        <v>256.0852084240164</v>
      </c>
      <c r="K25" s="260">
        <v>382.33389767963814</v>
      </c>
      <c r="L25" s="441">
        <f>RANK(H25,$H$2:$H$110,1)</f>
        <v>7</v>
      </c>
      <c r="M25" s="230">
        <f>RANK(I25,$I$2:$I$110,1)</f>
        <v>20</v>
      </c>
      <c r="N25" s="438">
        <f>RANK(J25,$J$2:$J$110,1)</f>
        <v>17</v>
      </c>
      <c r="O25" s="438">
        <f>RANK(K25,$K$2:$K$110,1)</f>
        <v>28</v>
      </c>
      <c r="P25" s="442">
        <v>0</v>
      </c>
      <c r="Q25" s="442">
        <v>0</v>
      </c>
      <c r="R25" s="439">
        <v>-46</v>
      </c>
      <c r="S25" s="439">
        <f>RANK(U25,$U$2:$U$110,0)</f>
        <v>86</v>
      </c>
      <c r="T25" s="440">
        <f>Table239[[#This Row],[BDG]]/Table239[[#This Row],[Odds]]</f>
        <v>36.170227178533388</v>
      </c>
      <c r="U25" s="440" cm="1">
        <f t="array" ref="U25">MAX(_xlfn._xlws.FILTER(Table22[[B365]:[BFAIREXC]], Table22[PLAYER] = A25))</f>
        <v>7.08</v>
      </c>
      <c r="V25" s="439"/>
      <c r="X25" t="str">
        <f>Table239[[#This Row],[Player]]</f>
        <v>Taylor Pendrith</v>
      </c>
      <c r="Y25" s="14">
        <f>Table239[[#This Row],[DGSCORE]]</f>
        <v>226.39999999999998</v>
      </c>
      <c r="Z25" s="14">
        <f>Table239[[#This Row],[BDG]]</f>
        <v>256.0852084240164</v>
      </c>
      <c r="AA25" s="14">
        <f>Z25-Y25</f>
        <v>29.685208424016423</v>
      </c>
      <c r="AB25">
        <f>_xlfn.RANK.AVG(AA25,$AA:$AA,0)</f>
        <v>7</v>
      </c>
    </row>
    <row r="26" spans="1:28">
      <c r="A26" s="438" t="s">
        <v>152</v>
      </c>
      <c r="B26" s="439">
        <v>144</v>
      </c>
      <c r="C26" s="439">
        <v>30</v>
      </c>
      <c r="D26" s="439">
        <v>28</v>
      </c>
      <c r="E26" s="439">
        <v>94</v>
      </c>
      <c r="F26" s="439">
        <v>107</v>
      </c>
      <c r="G26" s="439">
        <v>43</v>
      </c>
      <c r="H26" s="439">
        <v>255.29999999999998</v>
      </c>
      <c r="I26" s="440">
        <v>288.33523879828067</v>
      </c>
      <c r="J26" s="259">
        <v>258.64640747062271</v>
      </c>
      <c r="K26" s="260">
        <v>290.41379446262789</v>
      </c>
      <c r="L26" s="441">
        <f>RANK(H26,$H$2:$H$110,1)</f>
        <v>20</v>
      </c>
      <c r="M26" s="230">
        <f>RANK(I26,$I$2:$I$110,1)</f>
        <v>8</v>
      </c>
      <c r="N26" s="438">
        <f>RANK(J26,$J$2:$J$110,1)</f>
        <v>18</v>
      </c>
      <c r="O26" s="438">
        <f>RANK(K26,$K$2:$K$110,1)</f>
        <v>5</v>
      </c>
      <c r="P26" s="442">
        <v>0</v>
      </c>
      <c r="Q26" s="442">
        <v>0</v>
      </c>
      <c r="R26" s="439">
        <v>16</v>
      </c>
      <c r="S26" s="439">
        <f>RANK(U26,$U$2:$U$110,0)</f>
        <v>105</v>
      </c>
      <c r="T26" s="440">
        <f>Table239[[#This Row],[BDG]]/Table239[[#This Row],[Odds]]</f>
        <v>58.38519355995998</v>
      </c>
      <c r="U26" s="440" cm="1">
        <f t="array" ref="U26">MAX(_xlfn._xlws.FILTER(Table22[[B365]:[BFAIREXC]], Table22[PLAYER] = A26))</f>
        <v>4.43</v>
      </c>
      <c r="V26" s="439"/>
      <c r="X26" t="str">
        <f>Table239[[#This Row],[Player]]</f>
        <v>Aaron Rai</v>
      </c>
      <c r="Y26" s="14">
        <f>Table239[[#This Row],[DGSCORE]]</f>
        <v>255.29999999999998</v>
      </c>
      <c r="Z26" s="14">
        <f>Table239[[#This Row],[BDG]]</f>
        <v>258.64640747062271</v>
      </c>
      <c r="AA26" s="14">
        <f>Z26-Y26</f>
        <v>3.3464074706227223</v>
      </c>
      <c r="AB26">
        <f>_xlfn.RANK.AVG(AA26,$AA:$AA,0)</f>
        <v>23</v>
      </c>
    </row>
    <row r="27" spans="1:28">
      <c r="A27" s="438" t="s">
        <v>632</v>
      </c>
      <c r="B27" s="439">
        <v>54</v>
      </c>
      <c r="C27" s="439">
        <v>98</v>
      </c>
      <c r="D27" s="439">
        <v>17</v>
      </c>
      <c r="E27" s="439">
        <v>113</v>
      </c>
      <c r="F27" s="439">
        <v>132</v>
      </c>
      <c r="G27" s="439">
        <v>55</v>
      </c>
      <c r="H27" s="439">
        <v>220.7</v>
      </c>
      <c r="I27" s="440">
        <v>292.16611179686345</v>
      </c>
      <c r="J27" s="259">
        <v>259.9645143219733</v>
      </c>
      <c r="K27" s="260">
        <v>358.66116265810251</v>
      </c>
      <c r="L27" s="441">
        <f>RANK(H27,$H$2:$H$110,1)</f>
        <v>5</v>
      </c>
      <c r="M27" s="230">
        <f>RANK(I27,$I$2:$I$110,1)</f>
        <v>9</v>
      </c>
      <c r="N27" s="438">
        <f>RANK(J27,$J$2:$J$110,1)</f>
        <v>19</v>
      </c>
      <c r="O27" s="438">
        <f>RANK(K27,$K$2:$K$110,1)</f>
        <v>22</v>
      </c>
      <c r="P27" s="442">
        <v>0</v>
      </c>
      <c r="Q27" s="442">
        <v>0</v>
      </c>
      <c r="R27" s="439">
        <v>27</v>
      </c>
      <c r="S27" s="439">
        <f>RANK(U27,$U$2:$U$110,0)</f>
        <v>100</v>
      </c>
      <c r="T27" s="440">
        <f>Table239[[#This Row],[BDG]]/Table239[[#This Row],[Odds]]</f>
        <v>55.077227610587563</v>
      </c>
      <c r="U27" s="440" cm="1">
        <f t="array" ref="U27">MAX(_xlfn._xlws.FILTER(Table22[[B365]:[BFAIREXC]], Table22[PLAYER] = A27))</f>
        <v>4.72</v>
      </c>
      <c r="V27" s="439"/>
      <c r="X27" t="str">
        <f>Table239[[#This Row],[Player]]</f>
        <v>Victor Perez</v>
      </c>
      <c r="Y27" s="14">
        <f>Table239[[#This Row],[DGSCORE]]</f>
        <v>220.7</v>
      </c>
      <c r="Z27" s="14">
        <f>Table239[[#This Row],[BDG]]</f>
        <v>259.9645143219733</v>
      </c>
      <c r="AA27" s="14">
        <f>Z27-Y27</f>
        <v>39.264514321973309</v>
      </c>
      <c r="AB27">
        <f>_xlfn.RANK.AVG(AA27,$AA:$AA,0)</f>
        <v>5</v>
      </c>
    </row>
    <row r="28" spans="1:28">
      <c r="A28" s="438" t="s">
        <v>92</v>
      </c>
      <c r="B28" s="439">
        <v>75</v>
      </c>
      <c r="C28" s="439">
        <v>93</v>
      </c>
      <c r="D28" s="439">
        <v>135</v>
      </c>
      <c r="E28" s="439">
        <v>42</v>
      </c>
      <c r="F28" s="439">
        <v>84</v>
      </c>
      <c r="G28" s="439">
        <v>77</v>
      </c>
      <c r="H28" s="439">
        <v>267.3</v>
      </c>
      <c r="I28" s="440">
        <v>357.46496314336412</v>
      </c>
      <c r="J28" s="259">
        <v>262.56354634927243</v>
      </c>
      <c r="K28" s="260">
        <v>343.82938495232156</v>
      </c>
      <c r="L28" s="441">
        <f>RANK(H28,$H$2:$H$110,1)</f>
        <v>26</v>
      </c>
      <c r="M28" s="230">
        <f>RANK(I28,$I$2:$I$110,1)</f>
        <v>23</v>
      </c>
      <c r="N28" s="438">
        <f>RANK(J28,$J$2:$J$110,1)</f>
        <v>20</v>
      </c>
      <c r="O28" s="438">
        <f>RANK(K28,$K$2:$K$110,1)</f>
        <v>18</v>
      </c>
      <c r="P28" s="442">
        <v>0</v>
      </c>
      <c r="Q28" s="442">
        <v>0</v>
      </c>
      <c r="R28" s="439">
        <v>-12</v>
      </c>
      <c r="S28" s="439">
        <f>RANK(U28,$U$2:$U$110,0)</f>
        <v>95</v>
      </c>
      <c r="T28" s="440">
        <f>Table239[[#This Row],[BDG]]/Table239[[#This Row],[Odds]]</f>
        <v>44.502295991402107</v>
      </c>
      <c r="U28" s="440" cm="1">
        <f t="array" ref="U28">MAX(_xlfn._xlws.FILTER(Table22[[B365]:[BFAIREXC]], Table22[PLAYER] = A28))</f>
        <v>5.9</v>
      </c>
      <c r="V28" s="439"/>
      <c r="X28" t="str">
        <f>Table239[[#This Row],[Player]]</f>
        <v>K.H. Lee</v>
      </c>
      <c r="Y28" s="14">
        <f>Table239[[#This Row],[DGSCORE]]</f>
        <v>267.3</v>
      </c>
      <c r="Z28" s="14">
        <f>Table239[[#This Row],[BDG]]</f>
        <v>262.56354634927243</v>
      </c>
      <c r="AA28" s="14">
        <f>Z28-Y28</f>
        <v>-4.736453650727583</v>
      </c>
      <c r="AB28">
        <f>_xlfn.RANK.AVG(AA28,$AA:$AA,0)</f>
        <v>87</v>
      </c>
    </row>
    <row r="29" spans="1:28">
      <c r="A29" s="438" t="s">
        <v>485</v>
      </c>
      <c r="B29" s="439">
        <v>23</v>
      </c>
      <c r="C29" s="439">
        <v>128</v>
      </c>
      <c r="D29" s="439">
        <v>44</v>
      </c>
      <c r="E29" s="439">
        <v>153</v>
      </c>
      <c r="F29" s="439">
        <v>178</v>
      </c>
      <c r="G29" s="439">
        <v>125</v>
      </c>
      <c r="H29" s="439">
        <v>265.7</v>
      </c>
      <c r="I29" s="440">
        <v>429.09443476064439</v>
      </c>
      <c r="J29" s="259">
        <v>265.7</v>
      </c>
      <c r="K29" s="260">
        <v>429.09443476064439</v>
      </c>
      <c r="L29" s="441">
        <f>RANK(H29,$H$2:$H$110,1)</f>
        <v>24</v>
      </c>
      <c r="M29" s="230">
        <f>RANK(I29,$I$2:$I$110,1)</f>
        <v>44</v>
      </c>
      <c r="N29" s="438">
        <f>RANK(J29,$J$2:$J$110,1)</f>
        <v>21</v>
      </c>
      <c r="O29" s="438">
        <f>RANK(K29,$K$2:$K$110,1)</f>
        <v>39</v>
      </c>
      <c r="P29" s="442">
        <v>0</v>
      </c>
      <c r="Q29" s="442">
        <v>0</v>
      </c>
      <c r="R29" s="439">
        <v>30</v>
      </c>
      <c r="S29" s="439">
        <f>RANK(U29,$U$2:$U$110,0)</f>
        <v>68</v>
      </c>
      <c r="T29" s="440">
        <f>Table239[[#This Row],[BDG]]/Table239[[#This Row],[Odds]]</f>
        <v>29.391592920353983</v>
      </c>
      <c r="U29" s="440" cm="1">
        <f t="array" ref="U29">MAX(_xlfn._xlws.FILTER(Table22[[B365]:[BFAIREXC]], Table22[PLAYER] = A29))</f>
        <v>9.0399999999999991</v>
      </c>
      <c r="V29" s="439"/>
      <c r="X29" t="str">
        <f>Table239[[#This Row],[Player]]</f>
        <v>Rico Hoey</v>
      </c>
      <c r="Y29" s="14">
        <f>Table239[[#This Row],[DGSCORE]]</f>
        <v>265.7</v>
      </c>
      <c r="Z29" s="14">
        <f>Table239[[#This Row],[BDG]]</f>
        <v>265.7</v>
      </c>
      <c r="AA29" s="14">
        <f>Z29-Y29</f>
        <v>0</v>
      </c>
      <c r="AB29">
        <f>_xlfn.RANK.AVG(AA29,$AA:$AA,0)</f>
        <v>55</v>
      </c>
    </row>
    <row r="30" spans="1:28">
      <c r="A30" s="438" t="s">
        <v>62</v>
      </c>
      <c r="B30" s="439">
        <v>86</v>
      </c>
      <c r="C30" s="439">
        <v>171</v>
      </c>
      <c r="D30" s="439">
        <v>86</v>
      </c>
      <c r="E30" s="439">
        <v>101</v>
      </c>
      <c r="F30" s="439">
        <v>84</v>
      </c>
      <c r="G30" s="439">
        <v>137</v>
      </c>
      <c r="H30" s="439">
        <v>305.5</v>
      </c>
      <c r="I30" s="440">
        <v>457.89284952590708</v>
      </c>
      <c r="J30" s="259">
        <v>265.78586580248657</v>
      </c>
      <c r="K30" s="260">
        <v>385.7877120950273</v>
      </c>
      <c r="L30" s="441">
        <f>RANK(H30,$H$2:$H$110,1)</f>
        <v>46</v>
      </c>
      <c r="M30" s="230">
        <f>RANK(I30,$I$2:$I$110,1)</f>
        <v>49</v>
      </c>
      <c r="N30" s="438">
        <f>RANK(J30,$J$2:$J$110,1)</f>
        <v>22</v>
      </c>
      <c r="O30" s="438">
        <f>RANK(K30,$K$2:$K$110,1)</f>
        <v>29</v>
      </c>
      <c r="P30" s="442">
        <v>0</v>
      </c>
      <c r="Q30" s="442">
        <v>0</v>
      </c>
      <c r="R30" s="439">
        <v>6</v>
      </c>
      <c r="S30" s="439">
        <f>RANK(U30,$U$2:$U$110,0)</f>
        <v>62</v>
      </c>
      <c r="T30" s="440">
        <f>Table239[[#This Row],[BDG]]/Table239[[#This Row],[Odds]]</f>
        <v>24.609802389119125</v>
      </c>
      <c r="U30" s="440" cm="1">
        <f t="array" ref="U30">MAX(_xlfn._xlws.FILTER(Table22[[B365]:[BFAIREXC]], Table22[PLAYER] = A30))</f>
        <v>10.8</v>
      </c>
      <c r="V30" s="439"/>
      <c r="X30" t="str">
        <f>Table239[[#This Row],[Player]]</f>
        <v>Michael Kim</v>
      </c>
      <c r="Y30" s="14">
        <f>Table239[[#This Row],[DGSCORE]]</f>
        <v>305.5</v>
      </c>
      <c r="Z30" s="14">
        <f>Table239[[#This Row],[BDG]]</f>
        <v>265.78586580248657</v>
      </c>
      <c r="AA30" s="14">
        <f>Z30-Y30</f>
        <v>-39.714134197513431</v>
      </c>
      <c r="AB30">
        <f>_xlfn.RANK.AVG(AA30,$AA:$AA,0)</f>
        <v>100</v>
      </c>
    </row>
    <row r="31" spans="1:28">
      <c r="A31" s="438" t="s">
        <v>11</v>
      </c>
      <c r="B31" s="439">
        <v>43</v>
      </c>
      <c r="C31" s="439">
        <v>143</v>
      </c>
      <c r="D31" s="439">
        <v>124</v>
      </c>
      <c r="E31" s="439">
        <v>148</v>
      </c>
      <c r="F31" s="439">
        <v>67</v>
      </c>
      <c r="G31" s="439">
        <v>112</v>
      </c>
      <c r="H31" s="439">
        <v>289.7</v>
      </c>
      <c r="I31" s="440">
        <v>443.21309697893423</v>
      </c>
      <c r="J31" s="259">
        <v>268.89735827749297</v>
      </c>
      <c r="K31" s="260">
        <v>436.01526267218264</v>
      </c>
      <c r="L31" s="441">
        <f>RANK(H31,$H$2:$H$110,1)</f>
        <v>36</v>
      </c>
      <c r="M31" s="230">
        <f>RANK(I31,$I$2:$I$110,1)</f>
        <v>47</v>
      </c>
      <c r="N31" s="438">
        <f>RANK(J31,$J$2:$J$110,1)</f>
        <v>24</v>
      </c>
      <c r="O31" s="438">
        <f>RANK(K31,$K$2:$K$110,1)</f>
        <v>43</v>
      </c>
      <c r="P31" s="442">
        <v>0</v>
      </c>
      <c r="Q31" s="442">
        <v>0</v>
      </c>
      <c r="R31" s="439">
        <v>67</v>
      </c>
      <c r="S31" s="439">
        <f>RANK(U31,$U$2:$U$110,0)</f>
        <v>89</v>
      </c>
      <c r="T31" s="440">
        <f>Table239[[#This Row],[BDG]]/Table239[[#This Row],[Odds]]</f>
        <v>39.083918354286773</v>
      </c>
      <c r="U31" s="440" cm="1">
        <f t="array" ref="U31">MAX(_xlfn._xlws.FILTER(Table22[[B365]:[BFAIREXC]], Table22[PLAYER] = A31))</f>
        <v>6.88</v>
      </c>
      <c r="V31" s="439"/>
      <c r="X31" t="str">
        <f>Table239[[#This Row],[Player]]</f>
        <v>Matti Schmid</v>
      </c>
      <c r="Y31" s="14">
        <f>Table239[[#This Row],[DGSCORE]]</f>
        <v>289.7</v>
      </c>
      <c r="Z31" s="14">
        <f>Table239[[#This Row],[BDG]]</f>
        <v>268.89735827749297</v>
      </c>
      <c r="AA31" s="14">
        <f>Z31-Y31</f>
        <v>-20.802641722507019</v>
      </c>
      <c r="AB31">
        <f>_xlfn.RANK.AVG(AA31,$AA:$AA,0)</f>
        <v>94</v>
      </c>
    </row>
    <row r="32" spans="1:28">
      <c r="A32" s="438" t="s">
        <v>596</v>
      </c>
      <c r="B32" s="439">
        <v>2</v>
      </c>
      <c r="C32" s="439">
        <v>182</v>
      </c>
      <c r="D32" s="439">
        <v>152</v>
      </c>
      <c r="E32" s="439">
        <v>122</v>
      </c>
      <c r="F32" s="439">
        <v>45</v>
      </c>
      <c r="G32" s="439">
        <v>108</v>
      </c>
      <c r="H32" s="439">
        <v>270.5</v>
      </c>
      <c r="I32" s="440">
        <v>429.03868797991117</v>
      </c>
      <c r="J32" s="259">
        <v>270.5</v>
      </c>
      <c r="K32" s="260">
        <v>429.03868797991117</v>
      </c>
      <c r="L32" s="441">
        <f>RANK(H32,$H$2:$H$110,1)</f>
        <v>29</v>
      </c>
      <c r="M32" s="230">
        <f>RANK(I32,$I$2:$I$110,1)</f>
        <v>43</v>
      </c>
      <c r="N32" s="438">
        <f>RANK(J32,$J$2:$J$110,1)</f>
        <v>25</v>
      </c>
      <c r="O32" s="438">
        <f>RANK(K32,$K$2:$K$110,1)</f>
        <v>38</v>
      </c>
      <c r="P32" s="442">
        <v>0</v>
      </c>
      <c r="Q32" s="442">
        <v>0</v>
      </c>
      <c r="R32" s="439">
        <v>-18</v>
      </c>
      <c r="S32" s="439">
        <f>RANK(U32,$U$2:$U$110,0)</f>
        <v>71</v>
      </c>
      <c r="T32" s="440">
        <f>Table239[[#This Row],[BDG]]/Table239[[#This Row],[Odds]]</f>
        <v>31.823529411764707</v>
      </c>
      <c r="U32" s="440" cm="1">
        <f t="array" ref="U32">MAX(_xlfn._xlws.FILTER(Table22[[B365]:[BFAIREXC]], Table22[PLAYER] = A32))</f>
        <v>8.5</v>
      </c>
      <c r="V32" s="439"/>
      <c r="X32" t="str">
        <f>Table239[[#This Row],[Player]]</f>
        <v>Chris Gotterup</v>
      </c>
      <c r="Y32" s="14">
        <f>Table239[[#This Row],[DGSCORE]]</f>
        <v>270.5</v>
      </c>
      <c r="Z32" s="14">
        <f>Table239[[#This Row],[BDG]]</f>
        <v>270.5</v>
      </c>
      <c r="AA32" s="14">
        <f>Z32-Y32</f>
        <v>0</v>
      </c>
      <c r="AB32">
        <f>_xlfn.RANK.AVG(AA32,$AA:$AA,0)</f>
        <v>55</v>
      </c>
    </row>
    <row r="33" spans="1:28">
      <c r="A33" s="438" t="s">
        <v>39</v>
      </c>
      <c r="B33" s="439">
        <v>79</v>
      </c>
      <c r="C33" s="439">
        <v>177</v>
      </c>
      <c r="D33" s="439">
        <v>144</v>
      </c>
      <c r="E33" s="439">
        <v>11</v>
      </c>
      <c r="F33" s="439">
        <v>30</v>
      </c>
      <c r="G33" s="439">
        <v>78</v>
      </c>
      <c r="H33" s="439">
        <v>279.8</v>
      </c>
      <c r="I33" s="440">
        <v>363.7300624830778</v>
      </c>
      <c r="J33" s="259">
        <v>272.15989432860903</v>
      </c>
      <c r="K33" s="260">
        <v>358.3472203682386</v>
      </c>
      <c r="L33" s="441">
        <f>RANK(H33,$H$2:$H$110,1)</f>
        <v>33</v>
      </c>
      <c r="M33" s="230">
        <f>RANK(I33,$I$2:$I$110,1)</f>
        <v>24</v>
      </c>
      <c r="N33" s="438">
        <f>RANK(J33,$J$2:$J$110,1)</f>
        <v>26</v>
      </c>
      <c r="O33" s="438">
        <f>RANK(K33,$K$2:$K$110,1)</f>
        <v>21</v>
      </c>
      <c r="P33" s="442">
        <v>0</v>
      </c>
      <c r="Q33" s="442">
        <v>0</v>
      </c>
      <c r="R33" s="439">
        <v>28</v>
      </c>
      <c r="S33" s="439">
        <f>RANK(U33,$U$2:$U$110,0)</f>
        <v>80</v>
      </c>
      <c r="T33" s="440">
        <f>Table239[[#This Row],[BDG]]/Table239[[#This Row],[Odds]]</f>
        <v>35.530012314439823</v>
      </c>
      <c r="U33" s="440" cm="1">
        <f t="array" ref="U33">MAX(_xlfn._xlws.FILTER(Table22[[B365]:[BFAIREXC]], Table22[PLAYER] = A33))</f>
        <v>7.66</v>
      </c>
      <c r="V33" s="439"/>
      <c r="X33" t="str">
        <f>Table239[[#This Row],[Player]]</f>
        <v>S.H. Kim</v>
      </c>
      <c r="Y33" s="14">
        <f>Table239[[#This Row],[DGSCORE]]</f>
        <v>279.8</v>
      </c>
      <c r="Z33" s="14">
        <f>Table239[[#This Row],[BDG]]</f>
        <v>272.15989432860903</v>
      </c>
      <c r="AA33" s="14">
        <f>Z33-Y33</f>
        <v>-7.6401056713909838</v>
      </c>
      <c r="AB33">
        <f>_xlfn.RANK.AVG(AA33,$AA:$AA,0)</f>
        <v>90</v>
      </c>
    </row>
    <row r="34" spans="1:28">
      <c r="A34" s="438" t="s">
        <v>562</v>
      </c>
      <c r="B34" s="439">
        <v>3</v>
      </c>
      <c r="C34" s="439">
        <v>158</v>
      </c>
      <c r="D34" s="439">
        <v>114</v>
      </c>
      <c r="E34" s="439">
        <v>181</v>
      </c>
      <c r="F34" s="439">
        <v>77</v>
      </c>
      <c r="G34" s="439">
        <v>85</v>
      </c>
      <c r="H34" s="439">
        <v>272.39999999999998</v>
      </c>
      <c r="I34" s="440">
        <v>414.87967107402255</v>
      </c>
      <c r="J34" s="259">
        <v>272.39999999999998</v>
      </c>
      <c r="K34" s="260">
        <v>414.87967107402255</v>
      </c>
      <c r="L34" s="441">
        <f>RANK(H34,$H$2:$H$110,1)</f>
        <v>30</v>
      </c>
      <c r="M34" s="230">
        <f>RANK(I34,$I$2:$I$110,1)</f>
        <v>39</v>
      </c>
      <c r="N34" s="438">
        <f>RANK(J34,$J$2:$J$110,1)</f>
        <v>27</v>
      </c>
      <c r="O34" s="438">
        <f>RANK(K34,$K$2:$K$110,1)</f>
        <v>36</v>
      </c>
      <c r="P34" s="442">
        <v>0</v>
      </c>
      <c r="Q34" s="442">
        <v>0</v>
      </c>
      <c r="R34" s="439">
        <v>24</v>
      </c>
      <c r="S34" s="439">
        <f>RANK(U34,$U$2:$U$110,0)</f>
        <v>58</v>
      </c>
      <c r="T34" s="440">
        <f>Table239[[#This Row],[BDG]]/Table239[[#This Row],[Odds]]</f>
        <v>23.084745762711862</v>
      </c>
      <c r="U34" s="440" cm="1">
        <f t="array" ref="U34">MAX(_xlfn._xlws.FILTER(Table22[[B365]:[BFAIREXC]], Table22[PLAYER] = A34))</f>
        <v>11.8</v>
      </c>
      <c r="V34" s="439"/>
      <c r="X34" t="str">
        <f>Table239[[#This Row],[Player]]</f>
        <v>Kevin Dougherty</v>
      </c>
      <c r="Y34" s="14">
        <f>Table239[[#This Row],[DGSCORE]]</f>
        <v>272.39999999999998</v>
      </c>
      <c r="Z34" s="14">
        <f>Table239[[#This Row],[BDG]]</f>
        <v>272.39999999999998</v>
      </c>
      <c r="AA34" s="14">
        <f>Z34-Y34</f>
        <v>0</v>
      </c>
      <c r="AB34">
        <f>_xlfn.RANK.AVG(AA34,$AA:$AA,0)</f>
        <v>55</v>
      </c>
    </row>
    <row r="35" spans="1:28">
      <c r="A35" s="438" t="s">
        <v>495</v>
      </c>
      <c r="B35" s="439">
        <v>32</v>
      </c>
      <c r="C35" s="439">
        <v>101</v>
      </c>
      <c r="D35" s="439">
        <v>158</v>
      </c>
      <c r="E35" s="439">
        <v>92</v>
      </c>
      <c r="F35" s="439">
        <v>92</v>
      </c>
      <c r="G35" s="439">
        <v>87</v>
      </c>
      <c r="H35" s="439">
        <v>272.7</v>
      </c>
      <c r="I35" s="440">
        <v>398.16319525235764</v>
      </c>
      <c r="J35" s="259">
        <v>272.7</v>
      </c>
      <c r="K35" s="260">
        <v>398.16319525235764</v>
      </c>
      <c r="L35" s="441">
        <f>RANK(H35,$H$2:$H$110,1)</f>
        <v>31</v>
      </c>
      <c r="M35" s="230">
        <f>RANK(I35,$I$2:$I$110,1)</f>
        <v>32</v>
      </c>
      <c r="N35" s="438">
        <f>RANK(J35,$J$2:$J$110,1)</f>
        <v>28</v>
      </c>
      <c r="O35" s="438">
        <f>RANK(K35,$K$2:$K$110,1)</f>
        <v>31</v>
      </c>
      <c r="P35" s="442">
        <v>0</v>
      </c>
      <c r="Q35" s="442">
        <v>0</v>
      </c>
      <c r="R35" s="439">
        <v>8</v>
      </c>
      <c r="S35" s="439">
        <f>RANK(U35,$U$2:$U$110,0)</f>
        <v>75</v>
      </c>
      <c r="T35" s="440">
        <f>Table239[[#This Row],[BDG]]/Table239[[#This Row],[Odds]]</f>
        <v>33.054545454545455</v>
      </c>
      <c r="U35" s="440" cm="1">
        <f t="array" ref="U35">MAX(_xlfn._xlws.FILTER(Table22[[B365]:[BFAIREXC]], Table22[PLAYER] = A35))</f>
        <v>8.25</v>
      </c>
      <c r="V35" s="439"/>
      <c r="X35" t="str">
        <f>Table239[[#This Row],[Player]]</f>
        <v>Jimmy Stanger</v>
      </c>
      <c r="Y35" s="14">
        <f>Table239[[#This Row],[DGSCORE]]</f>
        <v>272.7</v>
      </c>
      <c r="Z35" s="14">
        <f>Table239[[#This Row],[BDG]]</f>
        <v>272.7</v>
      </c>
      <c r="AA35" s="14">
        <f>Z35-Y35</f>
        <v>0</v>
      </c>
      <c r="AB35">
        <f>_xlfn.RANK.AVG(AA35,$AA:$AA,0)</f>
        <v>55</v>
      </c>
    </row>
    <row r="36" spans="1:28">
      <c r="A36" s="438" t="s">
        <v>97</v>
      </c>
      <c r="B36" s="439">
        <v>129</v>
      </c>
      <c r="C36" s="439">
        <v>154</v>
      </c>
      <c r="D36" s="439">
        <v>117</v>
      </c>
      <c r="E36" s="439">
        <v>13</v>
      </c>
      <c r="F36" s="439">
        <v>50</v>
      </c>
      <c r="G36" s="439">
        <v>69</v>
      </c>
      <c r="H36" s="439">
        <v>305.2</v>
      </c>
      <c r="I36" s="440">
        <v>363.96394662044241</v>
      </c>
      <c r="J36" s="259">
        <v>276.70576941424622</v>
      </c>
      <c r="K36" s="260">
        <v>324.09647094021045</v>
      </c>
      <c r="L36" s="441">
        <f>RANK(H36,$H$2:$H$110,1)</f>
        <v>45</v>
      </c>
      <c r="M36" s="230">
        <f>RANK(I36,$I$2:$I$110,1)</f>
        <v>25</v>
      </c>
      <c r="N36" s="438">
        <f>RANK(J36,$J$2:$J$110,1)</f>
        <v>29</v>
      </c>
      <c r="O36" s="438">
        <f>RANK(K36,$K$2:$K$110,1)</f>
        <v>12</v>
      </c>
      <c r="P36" s="442">
        <v>0</v>
      </c>
      <c r="Q36" s="442">
        <v>0</v>
      </c>
      <c r="R36" s="439">
        <v>53</v>
      </c>
      <c r="S36" s="439">
        <f>RANK(U36,$U$2:$U$110,0)</f>
        <v>96</v>
      </c>
      <c r="T36" s="440">
        <f>Table239[[#This Row],[BDG]]/Table239[[#This Row],[Odds]]</f>
        <v>50.218832924545595</v>
      </c>
      <c r="U36" s="440" cm="1">
        <f t="array" ref="U36">MAX(_xlfn._xlws.FILTER(Table22[[B365]:[BFAIREXC]], Table22[PLAYER] = A36))</f>
        <v>5.51</v>
      </c>
      <c r="V36" s="439"/>
      <c r="X36" t="str">
        <f>Table239[[#This Row],[Player]]</f>
        <v>Ben Griffin</v>
      </c>
      <c r="Y36" s="14">
        <f>Table239[[#This Row],[DGSCORE]]</f>
        <v>305.2</v>
      </c>
      <c r="Z36" s="14">
        <f>Table239[[#This Row],[BDG]]</f>
        <v>276.70576941424622</v>
      </c>
      <c r="AA36" s="14">
        <f>Z36-Y36</f>
        <v>-28.494230585753769</v>
      </c>
      <c r="AB36">
        <f>_xlfn.RANK.AVG(AA36,$AA:$AA,0)</f>
        <v>98</v>
      </c>
    </row>
    <row r="37" spans="1:28">
      <c r="A37" s="438" t="s">
        <v>30</v>
      </c>
      <c r="B37" s="439">
        <v>27</v>
      </c>
      <c r="C37" s="439">
        <v>161</v>
      </c>
      <c r="D37" s="439">
        <v>136</v>
      </c>
      <c r="E37" s="439">
        <v>87</v>
      </c>
      <c r="F37" s="439">
        <v>66</v>
      </c>
      <c r="G37" s="439">
        <v>83</v>
      </c>
      <c r="H37" s="439">
        <v>267.8</v>
      </c>
      <c r="I37" s="440">
        <v>385.64136312264458</v>
      </c>
      <c r="J37" s="259">
        <v>278.15155377579299</v>
      </c>
      <c r="K37" s="260">
        <v>398.42778877040735</v>
      </c>
      <c r="L37" s="441">
        <f>RANK(H37,$H$2:$H$110,1)</f>
        <v>27</v>
      </c>
      <c r="M37" s="230">
        <f>RANK(I37,$I$2:$I$110,1)</f>
        <v>29</v>
      </c>
      <c r="N37" s="438">
        <f>RANK(J37,$J$2:$J$110,1)</f>
        <v>30</v>
      </c>
      <c r="O37" s="438">
        <f>RANK(K37,$K$2:$K$110,1)</f>
        <v>32</v>
      </c>
      <c r="P37" s="442">
        <v>0</v>
      </c>
      <c r="Q37" s="442">
        <v>0</v>
      </c>
      <c r="R37" s="439">
        <v>-11</v>
      </c>
      <c r="S37" s="439">
        <f>RANK(U37,$U$2:$U$110,0)</f>
        <v>98</v>
      </c>
      <c r="T37" s="440">
        <f>Table239[[#This Row],[BDG]]/Table239[[#This Row],[Odds]]</f>
        <v>55.408676050954782</v>
      </c>
      <c r="U37" s="440" cm="1">
        <f t="array" ref="U37">MAX(_xlfn._xlws.FILTER(Table22[[B365]:[BFAIREXC]], Table22[PLAYER] = A37))</f>
        <v>5.0199999999999996</v>
      </c>
      <c r="V37" s="439"/>
      <c r="X37" t="str">
        <f>Table239[[#This Row],[Player]]</f>
        <v>Sam Stevens</v>
      </c>
      <c r="Y37" s="14">
        <f>Table239[[#This Row],[DGSCORE]]</f>
        <v>267.8</v>
      </c>
      <c r="Z37" s="14">
        <f>Table239[[#This Row],[BDG]]</f>
        <v>278.15155377579299</v>
      </c>
      <c r="AA37" s="14">
        <f>Z37-Y37</f>
        <v>10.351553775792979</v>
      </c>
      <c r="AB37">
        <f>_xlfn.RANK.AVG(AA37,$AA:$AA,0)</f>
        <v>17</v>
      </c>
    </row>
    <row r="38" spans="1:28">
      <c r="A38" s="438" t="s">
        <v>32</v>
      </c>
      <c r="B38" s="439">
        <v>11</v>
      </c>
      <c r="C38" s="439">
        <v>164</v>
      </c>
      <c r="D38" s="439">
        <v>146</v>
      </c>
      <c r="E38" s="439">
        <v>125</v>
      </c>
      <c r="F38" s="439">
        <v>39</v>
      </c>
      <c r="G38" s="439">
        <v>117</v>
      </c>
      <c r="H38" s="439">
        <v>263.60000000000002</v>
      </c>
      <c r="I38" s="440">
        <v>428.26548125925274</v>
      </c>
      <c r="J38" s="259">
        <v>281.92801630064139</v>
      </c>
      <c r="K38" s="260">
        <v>430.57669494839638</v>
      </c>
      <c r="L38" s="441">
        <f>RANK(H38,$H$2:$H$110,1)</f>
        <v>23</v>
      </c>
      <c r="M38" s="230">
        <f>RANK(I38,$I$2:$I$110,1)</f>
        <v>42</v>
      </c>
      <c r="N38" s="438">
        <f>RANK(J38,$J$2:$J$110,1)</f>
        <v>31</v>
      </c>
      <c r="O38" s="438">
        <f>RANK(K38,$K$2:$K$110,1)</f>
        <v>40</v>
      </c>
      <c r="P38" s="442">
        <v>0</v>
      </c>
      <c r="Q38" s="442">
        <v>0</v>
      </c>
      <c r="R38" s="439">
        <v>14</v>
      </c>
      <c r="S38" s="439">
        <f>RANK(U38,$U$2:$U$110,0)</f>
        <v>91</v>
      </c>
      <c r="T38" s="440">
        <f>Table239[[#This Row],[BDG]]/Table239[[#This Row],[Odds]]</f>
        <v>43.373540969329447</v>
      </c>
      <c r="U38" s="440" cm="1">
        <f t="array" ref="U38">MAX(_xlfn._xlws.FILTER(Table22[[B365]:[BFAIREXC]], Table22[PLAYER] = A38))</f>
        <v>6.5</v>
      </c>
      <c r="V38" s="439"/>
      <c r="X38" t="str">
        <f>Table239[[#This Row],[Player]]</f>
        <v>Garrick Higgo</v>
      </c>
      <c r="Y38" s="14">
        <f>Table239[[#This Row],[DGSCORE]]</f>
        <v>263.60000000000002</v>
      </c>
      <c r="Z38" s="14">
        <f>Table239[[#This Row],[BDG]]</f>
        <v>281.92801630064139</v>
      </c>
      <c r="AA38" s="14">
        <f>Z38-Y38</f>
        <v>18.328016300641366</v>
      </c>
      <c r="AB38">
        <f>_xlfn.RANK.AVG(AA38,$AA:$AA,0)</f>
        <v>11</v>
      </c>
    </row>
    <row r="39" spans="1:28">
      <c r="A39" s="438" t="s">
        <v>693</v>
      </c>
      <c r="B39" s="439">
        <v>101</v>
      </c>
      <c r="C39" s="439">
        <v>90</v>
      </c>
      <c r="D39" s="439">
        <v>93</v>
      </c>
      <c r="E39" s="439">
        <v>12</v>
      </c>
      <c r="F39" s="439">
        <v>105</v>
      </c>
      <c r="G39" s="439">
        <v>75</v>
      </c>
      <c r="H39" s="439">
        <v>258.3</v>
      </c>
      <c r="I39" s="440">
        <v>327.60896306257354</v>
      </c>
      <c r="J39" s="259">
        <v>282.981042175639</v>
      </c>
      <c r="K39" s="260">
        <v>352.671835567117</v>
      </c>
      <c r="L39" s="441">
        <f>RANK(H39,$H$2:$H$110,1)</f>
        <v>22</v>
      </c>
      <c r="M39" s="230">
        <f>RANK(I39,$I$2:$I$110,1)</f>
        <v>13</v>
      </c>
      <c r="N39" s="438">
        <f>RANK(J39,$J$2:$J$110,1)</f>
        <v>32</v>
      </c>
      <c r="O39" s="438">
        <f>RANK(K39,$K$2:$K$110,1)</f>
        <v>20</v>
      </c>
      <c r="P39" s="442">
        <v>0</v>
      </c>
      <c r="Q39" s="442">
        <v>0</v>
      </c>
      <c r="R39" s="439">
        <v>-38</v>
      </c>
      <c r="S39" s="439">
        <f>RANK(U39,$U$2:$U$110,0)</f>
        <v>55</v>
      </c>
      <c r="T39" s="440">
        <f>Table239[[#This Row],[BDG]]/Table239[[#This Row],[Odds]]</f>
        <v>21.767772475049153</v>
      </c>
      <c r="U39" s="440" cm="1">
        <f t="array" ref="U39">MAX(_xlfn._xlws.FILTER(Table22[[B365]:[BFAIREXC]], Table22[PLAYER] = A39))</f>
        <v>13</v>
      </c>
      <c r="V39" s="439"/>
      <c r="X39" t="str">
        <f>Table239[[#This Row],[Player]]</f>
        <v>Jorge Campillo</v>
      </c>
      <c r="Y39" s="14">
        <f>Table239[[#This Row],[DGSCORE]]</f>
        <v>258.3</v>
      </c>
      <c r="Z39" s="14">
        <f>Table239[[#This Row],[BDG]]</f>
        <v>282.981042175639</v>
      </c>
      <c r="AA39" s="14">
        <f>Z39-Y39</f>
        <v>24.681042175638993</v>
      </c>
      <c r="AB39">
        <f>_xlfn.RANK.AVG(AA39,$AA:$AA,0)</f>
        <v>10</v>
      </c>
    </row>
    <row r="40" spans="1:28">
      <c r="A40" s="438" t="s">
        <v>496</v>
      </c>
      <c r="B40" s="439">
        <v>126</v>
      </c>
      <c r="C40" s="439">
        <v>122</v>
      </c>
      <c r="D40" s="439">
        <v>60</v>
      </c>
      <c r="E40" s="439">
        <v>124</v>
      </c>
      <c r="F40" s="439">
        <v>37</v>
      </c>
      <c r="G40" s="439">
        <v>82</v>
      </c>
      <c r="H40" s="439">
        <v>284.5</v>
      </c>
      <c r="I40" s="440">
        <v>370.80498162542602</v>
      </c>
      <c r="J40" s="259">
        <v>284.5</v>
      </c>
      <c r="K40" s="260">
        <v>370.80498162542602</v>
      </c>
      <c r="L40" s="441">
        <f>RANK(H40,$H$2:$H$110,1)</f>
        <v>34</v>
      </c>
      <c r="M40" s="230">
        <f>RANK(I40,$I$2:$I$110,1)</f>
        <v>27</v>
      </c>
      <c r="N40" s="438">
        <f>RANK(J40,$J$2:$J$110,1)</f>
        <v>34</v>
      </c>
      <c r="O40" s="438">
        <f>RANK(K40,$K$2:$K$110,1)</f>
        <v>25</v>
      </c>
      <c r="P40" s="442">
        <v>0</v>
      </c>
      <c r="Q40" s="442">
        <v>0</v>
      </c>
      <c r="R40" s="439">
        <v>15</v>
      </c>
      <c r="S40" s="439">
        <f>RANK(U40,$U$2:$U$110,0)</f>
        <v>79</v>
      </c>
      <c r="T40" s="440">
        <f>Table239[[#This Row],[BDG]]/Table239[[#This Row],[Odds]]</f>
        <v>36.195928753180659</v>
      </c>
      <c r="U40" s="440" cm="1">
        <f t="array" ref="U40">MAX(_xlfn._xlws.FILTER(Table22[[B365]:[BFAIREXC]], Table22[PLAYER] = A40))</f>
        <v>7.86</v>
      </c>
      <c r="V40" s="439"/>
      <c r="X40" t="str">
        <f>Table239[[#This Row],[Player]]</f>
        <v>Jacob Bridgeman</v>
      </c>
      <c r="Y40" s="14">
        <f>Table239[[#This Row],[DGSCORE]]</f>
        <v>284.5</v>
      </c>
      <c r="Z40" s="14">
        <f>Table239[[#This Row],[BDG]]</f>
        <v>284.5</v>
      </c>
      <c r="AA40" s="14">
        <f>Z40-Y40</f>
        <v>0</v>
      </c>
      <c r="AB40">
        <f>_xlfn.RANK.AVG(AA40,$AA:$AA,0)</f>
        <v>55</v>
      </c>
    </row>
    <row r="41" spans="1:28">
      <c r="A41" s="438" t="s">
        <v>633</v>
      </c>
      <c r="B41" s="439">
        <v>129</v>
      </c>
      <c r="C41" s="439">
        <v>102</v>
      </c>
      <c r="D41" s="439">
        <v>30</v>
      </c>
      <c r="E41" s="439">
        <v>75</v>
      </c>
      <c r="F41" s="439">
        <v>133</v>
      </c>
      <c r="G41" s="439">
        <v>57</v>
      </c>
      <c r="H41" s="439">
        <v>284.60000000000002</v>
      </c>
      <c r="I41" s="440">
        <v>332.91841028695194</v>
      </c>
      <c r="J41" s="259">
        <v>284.60000000000002</v>
      </c>
      <c r="K41" s="260">
        <v>332.91841028695194</v>
      </c>
      <c r="L41" s="441">
        <f>RANK(H41,$H$2:$H$110,1)</f>
        <v>35</v>
      </c>
      <c r="M41" s="230">
        <f>RANK(I41,$I$2:$I$110,1)</f>
        <v>15</v>
      </c>
      <c r="N41" s="438">
        <f>RANK(J41,$J$2:$J$110,1)</f>
        <v>35</v>
      </c>
      <c r="O41" s="438">
        <f>RANK(K41,$K$2:$K$110,1)</f>
        <v>14</v>
      </c>
      <c r="P41" s="442">
        <v>0</v>
      </c>
      <c r="Q41" s="442">
        <v>0</v>
      </c>
      <c r="R41" s="439">
        <v>13</v>
      </c>
      <c r="S41" s="439">
        <f>RANK(U41,$U$2:$U$110,0)</f>
        <v>83</v>
      </c>
      <c r="T41" s="440">
        <f>Table239[[#This Row],[BDG]]/Table239[[#This Row],[Odds]]</f>
        <v>39.147180192572222</v>
      </c>
      <c r="U41" s="440" cm="1">
        <f t="array" ref="U41">MAX(_xlfn._xlws.FILTER(Table22[[B365]:[BFAIREXC]], Table22[PLAYER] = A41))</f>
        <v>7.27</v>
      </c>
      <c r="V41" s="439"/>
      <c r="X41" t="str">
        <f>Table239[[#This Row],[Player]]</f>
        <v>Bud Cauley</v>
      </c>
      <c r="Y41" s="14">
        <f>Table239[[#This Row],[DGSCORE]]</f>
        <v>284.60000000000002</v>
      </c>
      <c r="Z41" s="14">
        <f>Table239[[#This Row],[BDG]]</f>
        <v>284.60000000000002</v>
      </c>
      <c r="AA41" s="14">
        <f>Z41-Y41</f>
        <v>0</v>
      </c>
      <c r="AB41">
        <f>_xlfn.RANK.AVG(AA41,$AA:$AA,0)</f>
        <v>55</v>
      </c>
    </row>
    <row r="42" spans="1:28">
      <c r="A42" s="438" t="s">
        <v>36</v>
      </c>
      <c r="B42" s="439">
        <v>72</v>
      </c>
      <c r="C42" s="439">
        <v>145</v>
      </c>
      <c r="D42" s="439">
        <v>120</v>
      </c>
      <c r="E42" s="439">
        <v>172</v>
      </c>
      <c r="F42" s="439">
        <v>74</v>
      </c>
      <c r="G42" s="439">
        <v>134</v>
      </c>
      <c r="H42" s="439">
        <v>327.10000000000002</v>
      </c>
      <c r="I42" s="440">
        <v>499.73783541058708</v>
      </c>
      <c r="J42" s="259">
        <v>287.93330374255254</v>
      </c>
      <c r="K42" s="260">
        <v>440.80597235998653</v>
      </c>
      <c r="L42" s="441">
        <f>RANK(H42,$H$2:$H$110,1)</f>
        <v>56</v>
      </c>
      <c r="M42" s="230">
        <f>RANK(I42,$I$2:$I$110,1)</f>
        <v>63</v>
      </c>
      <c r="N42" s="438">
        <f>RANK(J42,$J$2:$J$110,1)</f>
        <v>36</v>
      </c>
      <c r="O42" s="438">
        <f>RANK(K42,$K$2:$K$110,1)</f>
        <v>45</v>
      </c>
      <c r="P42" s="442">
        <v>0</v>
      </c>
      <c r="Q42" s="442">
        <v>0</v>
      </c>
      <c r="R42" s="439">
        <v>0</v>
      </c>
      <c r="S42" s="439">
        <f>RANK(U42,$U$2:$U$110,0)</f>
        <v>92</v>
      </c>
      <c r="T42" s="440">
        <f>Table239[[#This Row],[BDG]]/Table239[[#This Row],[Odds]]</f>
        <v>45.776359895477349</v>
      </c>
      <c r="U42" s="440" cm="1">
        <f t="array" ref="U42">MAX(_xlfn._xlws.FILTER(Table22[[B365]:[BFAIREXC]], Table22[PLAYER] = A42))</f>
        <v>6.29</v>
      </c>
      <c r="V42" s="439"/>
      <c r="X42" t="str">
        <f>Table239[[#This Row],[Player]]</f>
        <v>Nick Hardy</v>
      </c>
      <c r="Y42" s="14">
        <f>Table239[[#This Row],[DGSCORE]]</f>
        <v>327.10000000000002</v>
      </c>
      <c r="Z42" s="14">
        <f>Table239[[#This Row],[BDG]]</f>
        <v>287.93330374255254</v>
      </c>
      <c r="AA42" s="14">
        <f>Z42-Y42</f>
        <v>-39.166696257447484</v>
      </c>
      <c r="AB42">
        <f>_xlfn.RANK.AVG(AA42,$AA:$AA,0)</f>
        <v>99</v>
      </c>
    </row>
    <row r="43" spans="1:28">
      <c r="A43" s="438" t="s">
        <v>146</v>
      </c>
      <c r="B43" s="439">
        <v>169</v>
      </c>
      <c r="C43" s="439">
        <v>89</v>
      </c>
      <c r="D43" s="439">
        <v>44</v>
      </c>
      <c r="E43" s="439">
        <v>154</v>
      </c>
      <c r="F43" s="439">
        <v>40</v>
      </c>
      <c r="G43" s="439">
        <v>111</v>
      </c>
      <c r="H43" s="439">
        <v>309</v>
      </c>
      <c r="I43" s="440">
        <v>416.94407260037724</v>
      </c>
      <c r="J43" s="259">
        <v>291.65016434461756</v>
      </c>
      <c r="K43" s="260">
        <v>368.27130914284146</v>
      </c>
      <c r="L43" s="441">
        <f>RANK(H43,$H$2:$H$110,1)</f>
        <v>47</v>
      </c>
      <c r="M43" s="230">
        <f>RANK(I43,$I$2:$I$110,1)</f>
        <v>41</v>
      </c>
      <c r="N43" s="438">
        <f>RANK(J43,$J$2:$J$110,1)</f>
        <v>37</v>
      </c>
      <c r="O43" s="438">
        <f>RANK(K43,$K$2:$K$110,1)</f>
        <v>24</v>
      </c>
      <c r="P43" s="442">
        <v>0</v>
      </c>
      <c r="Q43" s="442">
        <v>0</v>
      </c>
      <c r="R43" s="439">
        <v>6</v>
      </c>
      <c r="S43" s="439">
        <f>RANK(U43,$U$2:$U$110,0)</f>
        <v>73</v>
      </c>
      <c r="T43" s="440">
        <f>Table239[[#This Row],[BDG]]/Table239[[#This Row],[Odds]]</f>
        <v>34.514812348475452</v>
      </c>
      <c r="U43" s="440" cm="1">
        <f t="array" ref="U43">MAX(_xlfn._xlws.FILTER(Table22[[B365]:[BFAIREXC]], Table22[PLAYER] = A43))</f>
        <v>8.4499999999999993</v>
      </c>
      <c r="V43" s="439"/>
      <c r="X43" t="str">
        <f>Table239[[#This Row],[Player]]</f>
        <v>Sam Ryder</v>
      </c>
      <c r="Y43" s="14">
        <f>Table239[[#This Row],[DGSCORE]]</f>
        <v>309</v>
      </c>
      <c r="Z43" s="14">
        <f>Table239[[#This Row],[BDG]]</f>
        <v>291.65016434461756</v>
      </c>
      <c r="AA43" s="14">
        <f>Z43-Y43</f>
        <v>-17.349835655382435</v>
      </c>
      <c r="AB43">
        <f>_xlfn.RANK.AVG(AA43,$AA:$AA,0)</f>
        <v>92</v>
      </c>
    </row>
    <row r="44" spans="1:28">
      <c r="A44" s="438" t="s">
        <v>80</v>
      </c>
      <c r="B44" s="439">
        <v>18</v>
      </c>
      <c r="C44" s="439">
        <v>129</v>
      </c>
      <c r="D44" s="439">
        <v>82</v>
      </c>
      <c r="E44" s="439">
        <v>151</v>
      </c>
      <c r="F44" s="439">
        <v>139</v>
      </c>
      <c r="G44" s="439">
        <v>128</v>
      </c>
      <c r="H44" s="439">
        <v>268</v>
      </c>
      <c r="I44" s="440">
        <v>440.04558810803258</v>
      </c>
      <c r="J44" s="259">
        <v>294.33365263420808</v>
      </c>
      <c r="K44" s="260">
        <v>471.28848303954533</v>
      </c>
      <c r="L44" s="441">
        <f>RANK(H44,$H$2:$H$110,1)</f>
        <v>28</v>
      </c>
      <c r="M44" s="230">
        <f>RANK(I44,$I$2:$I$110,1)</f>
        <v>46</v>
      </c>
      <c r="N44" s="438">
        <f>RANK(J44,$J$2:$J$110,1)</f>
        <v>39</v>
      </c>
      <c r="O44" s="438">
        <f>RANK(K44,$K$2:$K$110,1)</f>
        <v>55</v>
      </c>
      <c r="P44" s="442">
        <v>0</v>
      </c>
      <c r="Q44" s="442">
        <v>0</v>
      </c>
      <c r="R44" s="439">
        <v>12</v>
      </c>
      <c r="S44" s="439">
        <f>RANK(U44,$U$2:$U$110,0)</f>
        <v>67</v>
      </c>
      <c r="T44" s="440">
        <f>Table239[[#This Row],[BDG]]/Table239[[#This Row],[Odds]]</f>
        <v>31.888803102297732</v>
      </c>
      <c r="U44" s="440" cm="1">
        <f t="array" ref="U44">MAX(_xlfn._xlws.FILTER(Table22[[B365]:[BFAIREXC]], Table22[PLAYER] = A44))</f>
        <v>9.23</v>
      </c>
      <c r="V44" s="439"/>
      <c r="X44" t="str">
        <f>Table239[[#This Row],[Player]]</f>
        <v>Lanto Griffin</v>
      </c>
      <c r="Y44" s="14">
        <f>Table239[[#This Row],[DGSCORE]]</f>
        <v>268</v>
      </c>
      <c r="Z44" s="14">
        <f>Table239[[#This Row],[BDG]]</f>
        <v>294.33365263420808</v>
      </c>
      <c r="AA44" s="14">
        <f>Z44-Y44</f>
        <v>26.333652634208079</v>
      </c>
      <c r="AB44">
        <f>_xlfn.RANK.AVG(AA44,$AA:$AA,0)</f>
        <v>9</v>
      </c>
    </row>
    <row r="45" spans="1:28">
      <c r="A45" s="438" t="s">
        <v>48</v>
      </c>
      <c r="B45" s="439">
        <v>5</v>
      </c>
      <c r="C45" s="439">
        <v>112</v>
      </c>
      <c r="D45" s="439">
        <v>131</v>
      </c>
      <c r="E45" s="439">
        <v>44</v>
      </c>
      <c r="F45" s="439">
        <v>133</v>
      </c>
      <c r="G45" s="439">
        <v>97</v>
      </c>
      <c r="H45" s="439">
        <v>236.29999999999998</v>
      </c>
      <c r="I45" s="440">
        <v>365.74957224181327</v>
      </c>
      <c r="J45" s="259">
        <v>296.43236808749765</v>
      </c>
      <c r="K45" s="260">
        <v>460.61285998382357</v>
      </c>
      <c r="L45" s="441">
        <f>RANK(H45,$H$2:$H$110,1)</f>
        <v>13</v>
      </c>
      <c r="M45" s="230">
        <f>RANK(I45,$I$2:$I$110,1)</f>
        <v>26</v>
      </c>
      <c r="N45" s="438">
        <f>RANK(J45,$J$2:$J$110,1)</f>
        <v>40</v>
      </c>
      <c r="O45" s="438">
        <f>RANK(K45,$K$2:$K$110,1)</f>
        <v>50</v>
      </c>
      <c r="P45" s="442">
        <v>0</v>
      </c>
      <c r="Q45" s="442">
        <v>0</v>
      </c>
      <c r="R45" s="439">
        <v>29</v>
      </c>
      <c r="S45" s="439">
        <f>RANK(U45,$U$2:$U$110,0)</f>
        <v>76</v>
      </c>
      <c r="T45" s="440">
        <f>Table239[[#This Row],[BDG]]/Table239[[#This Row],[Odds]]</f>
        <v>36.77820944013618</v>
      </c>
      <c r="U45" s="440" cm="1">
        <f t="array" ref="U45">MAX(_xlfn._xlws.FILTER(Table22[[B365]:[BFAIREXC]], Table22[PLAYER] = A45))</f>
        <v>8.06</v>
      </c>
      <c r="V45" s="439"/>
      <c r="X45" t="str">
        <f>Table239[[#This Row],[Player]]</f>
        <v>Carl Yuan</v>
      </c>
      <c r="Y45" s="14">
        <f>Table239[[#This Row],[DGSCORE]]</f>
        <v>236.29999999999998</v>
      </c>
      <c r="Z45" s="14">
        <f>Table239[[#This Row],[BDG]]</f>
        <v>296.43236808749765</v>
      </c>
      <c r="AA45" s="14">
        <f>Z45-Y45</f>
        <v>60.132368087497667</v>
      </c>
      <c r="AB45">
        <f>_xlfn.RANK.AVG(AA45,$AA:$AA,0)</f>
        <v>2</v>
      </c>
    </row>
    <row r="46" spans="1:28">
      <c r="A46" s="438" t="s">
        <v>87</v>
      </c>
      <c r="B46" s="439">
        <v>69</v>
      </c>
      <c r="C46" s="439">
        <v>51</v>
      </c>
      <c r="D46" s="439">
        <v>111</v>
      </c>
      <c r="E46" s="439">
        <v>106</v>
      </c>
      <c r="F46" s="439">
        <v>174</v>
      </c>
      <c r="G46" s="439">
        <v>146</v>
      </c>
      <c r="H46" s="439">
        <v>294.7</v>
      </c>
      <c r="I46" s="440">
        <v>467.37858654719503</v>
      </c>
      <c r="J46" s="259">
        <v>297.07852346373488</v>
      </c>
      <c r="K46" s="260">
        <v>449.01062062231529</v>
      </c>
      <c r="L46" s="441">
        <f>RANK(H46,$H$2:$H$110,1)</f>
        <v>38</v>
      </c>
      <c r="M46" s="230">
        <f>RANK(I46,$I$2:$I$110,1)</f>
        <v>54</v>
      </c>
      <c r="N46" s="438">
        <f>RANK(J46,$J$2:$J$110,1)</f>
        <v>41</v>
      </c>
      <c r="O46" s="438">
        <f>RANK(K46,$K$2:$K$110,1)</f>
        <v>46</v>
      </c>
      <c r="P46" s="442">
        <v>0</v>
      </c>
      <c r="Q46" s="442">
        <v>0</v>
      </c>
      <c r="R46" s="439">
        <v>-17</v>
      </c>
      <c r="S46" s="439">
        <f>RANK(U46,$U$2:$U$110,0)</f>
        <v>52</v>
      </c>
      <c r="T46" s="440">
        <f>Table239[[#This Row],[BDG]]/Table239[[#This Row],[Odds]]</f>
        <v>21.684563756477001</v>
      </c>
      <c r="U46" s="440" cm="1">
        <f t="array" ref="U46">MAX(_xlfn._xlws.FILTER(Table22[[B365]:[BFAIREXC]], Table22[PLAYER] = A46))</f>
        <v>13.7</v>
      </c>
      <c r="V46" s="439"/>
      <c r="X46" t="str">
        <f>Table239[[#This Row],[Player]]</f>
        <v>Ryan Palmer</v>
      </c>
      <c r="Y46" s="14">
        <f>Table239[[#This Row],[DGSCORE]]</f>
        <v>294.7</v>
      </c>
      <c r="Z46" s="14">
        <f>Table239[[#This Row],[BDG]]</f>
        <v>297.07852346373488</v>
      </c>
      <c r="AA46" s="14">
        <f>Z46-Y46</f>
        <v>2.3785234637348935</v>
      </c>
      <c r="AB46">
        <f>_xlfn.RANK.AVG(AA46,$AA:$AA,0)</f>
        <v>25</v>
      </c>
    </row>
    <row r="47" spans="1:28">
      <c r="A47" s="438" t="s">
        <v>433</v>
      </c>
      <c r="B47" s="439">
        <v>156</v>
      </c>
      <c r="C47" s="439">
        <v>74</v>
      </c>
      <c r="D47" s="439">
        <v>107</v>
      </c>
      <c r="E47" s="439">
        <v>45</v>
      </c>
      <c r="F47" s="439">
        <v>54</v>
      </c>
      <c r="G47" s="439">
        <v>51</v>
      </c>
      <c r="H47" s="439">
        <v>297.3</v>
      </c>
      <c r="I47" s="440">
        <v>335.97613903471091</v>
      </c>
      <c r="J47" s="259">
        <v>297.3</v>
      </c>
      <c r="K47" s="260">
        <v>335.97613903471091</v>
      </c>
      <c r="L47" s="441">
        <f>RANK(H47,$H$2:$H$110,1)</f>
        <v>40</v>
      </c>
      <c r="M47" s="230">
        <f>RANK(I47,$I$2:$I$110,1)</f>
        <v>16</v>
      </c>
      <c r="N47" s="438">
        <f>RANK(J47,$J$2:$J$110,1)</f>
        <v>42</v>
      </c>
      <c r="O47" s="438">
        <f>RANK(K47,$K$2:$K$110,1)</f>
        <v>15</v>
      </c>
      <c r="P47" s="442">
        <v>0</v>
      </c>
      <c r="Q47" s="442">
        <v>0</v>
      </c>
      <c r="R47" s="439">
        <v>-38</v>
      </c>
      <c r="S47" s="439">
        <f>RANK(U47,$U$2:$U$110,0)</f>
        <v>63</v>
      </c>
      <c r="T47" s="440">
        <f>Table239[[#This Row],[BDG]]/Table239[[#This Row],[Odds]]</f>
        <v>28.864077669902912</v>
      </c>
      <c r="U47" s="440" cm="1">
        <f t="array" ref="U47">MAX(_xlfn._xlws.FILTER(Table22[[B365]:[BFAIREXC]], Table22[PLAYER] = A47))</f>
        <v>10.3</v>
      </c>
      <c r="V47" s="439"/>
      <c r="X47" t="str">
        <f>Table239[[#This Row],[Player]]</f>
        <v>Ben Silverman</v>
      </c>
      <c r="Y47" s="14">
        <f>Table239[[#This Row],[DGSCORE]]</f>
        <v>297.3</v>
      </c>
      <c r="Z47" s="14">
        <f>Table239[[#This Row],[BDG]]</f>
        <v>297.3</v>
      </c>
      <c r="AA47" s="14">
        <f>Z47-Y47</f>
        <v>0</v>
      </c>
      <c r="AB47">
        <f>_xlfn.RANK.AVG(AA47,$AA:$AA,0)</f>
        <v>55</v>
      </c>
    </row>
    <row r="48" spans="1:28">
      <c r="A48" s="438" t="s">
        <v>45</v>
      </c>
      <c r="B48" s="439">
        <v>45</v>
      </c>
      <c r="C48" s="439">
        <v>178</v>
      </c>
      <c r="D48" s="439">
        <v>132</v>
      </c>
      <c r="E48" s="439">
        <v>75</v>
      </c>
      <c r="F48" s="439">
        <v>92</v>
      </c>
      <c r="G48" s="439">
        <v>134</v>
      </c>
      <c r="H48" s="439">
        <v>297.89999999999998</v>
      </c>
      <c r="I48" s="440">
        <v>459.80908919177324</v>
      </c>
      <c r="J48" s="259">
        <v>297.89999999999998</v>
      </c>
      <c r="K48" s="260">
        <v>459.80908919177318</v>
      </c>
      <c r="L48" s="441">
        <f>RANK(H48,$H$2:$H$110,1)</f>
        <v>41</v>
      </c>
      <c r="M48" s="230">
        <f>RANK(I48,$I$2:$I$110,1)</f>
        <v>50</v>
      </c>
      <c r="N48" s="438">
        <f>RANK(J48,$J$2:$J$110,1)</f>
        <v>43</v>
      </c>
      <c r="O48" s="438">
        <f>RANK(K48,$K$2:$K$110,1)</f>
        <v>49</v>
      </c>
      <c r="P48" s="442" t="e">
        <v>#N/A</v>
      </c>
      <c r="Q48" s="442" t="e">
        <v>#N/A</v>
      </c>
      <c r="R48" s="439" t="e">
        <v>#N/A</v>
      </c>
      <c r="S48" s="439">
        <f>RANK(U48,$U$2:$U$110,0)</f>
        <v>10</v>
      </c>
      <c r="T48" s="440">
        <f>Table239[[#This Row],[BDG]]/Table239[[#This Row],[Odds]]</f>
        <v>7.2658536585365852</v>
      </c>
      <c r="U48" s="440" cm="1">
        <f t="array" ref="U48">MAX(_xlfn._xlws.FILTER(Table22[[B365]:[BFAIREXC]], Table22[PLAYER] = A48))</f>
        <v>41</v>
      </c>
      <c r="V48" s="439"/>
      <c r="X48" t="str">
        <f>Table239[[#This Row],[Player]]</f>
        <v>Jimmy Walker</v>
      </c>
      <c r="Y48" s="14">
        <f>Table239[[#This Row],[DGSCORE]]</f>
        <v>297.89999999999998</v>
      </c>
      <c r="Z48" s="14">
        <f>Table239[[#This Row],[BDG]]</f>
        <v>297.89999999999998</v>
      </c>
      <c r="AA48" s="14">
        <f>Z48-Y48</f>
        <v>0</v>
      </c>
      <c r="AB48">
        <f>_xlfn.RANK.AVG(AA48,$AA:$AA,0)</f>
        <v>55</v>
      </c>
    </row>
    <row r="49" spans="1:28">
      <c r="A49" s="438" t="s">
        <v>490</v>
      </c>
      <c r="B49" s="439">
        <v>27</v>
      </c>
      <c r="C49" s="439">
        <v>159</v>
      </c>
      <c r="D49" s="439">
        <v>175</v>
      </c>
      <c r="E49" s="439">
        <v>175</v>
      </c>
      <c r="F49" s="439">
        <v>14</v>
      </c>
      <c r="G49" s="439">
        <v>170</v>
      </c>
      <c r="H49" s="439">
        <v>303.29999999999995</v>
      </c>
      <c r="I49" s="440">
        <v>531.01699935711167</v>
      </c>
      <c r="J49" s="259">
        <v>303.29999999999995</v>
      </c>
      <c r="K49" s="260">
        <v>531.01699935711167</v>
      </c>
      <c r="L49" s="441">
        <f>RANK(H49,$H$2:$H$110,1)</f>
        <v>44</v>
      </c>
      <c r="M49" s="230">
        <f>RANK(I49,$I$2:$I$110,1)</f>
        <v>73</v>
      </c>
      <c r="N49" s="438">
        <f>RANK(J49,$J$2:$J$110,1)</f>
        <v>44</v>
      </c>
      <c r="O49" s="438">
        <f>RANK(K49,$K$2:$K$110,1)</f>
        <v>79</v>
      </c>
      <c r="P49" s="442">
        <v>0</v>
      </c>
      <c r="Q49" s="442">
        <v>0</v>
      </c>
      <c r="R49" s="439">
        <v>11</v>
      </c>
      <c r="S49" s="439">
        <f>RANK(U49,$U$2:$U$110,0)</f>
        <v>31</v>
      </c>
      <c r="T49" s="440">
        <f>Table239[[#This Row],[BDG]]/Table239[[#This Row],[Odds]]</f>
        <v>15.474489795918364</v>
      </c>
      <c r="U49" s="440" cm="1">
        <f t="array" ref="U49">MAX(_xlfn._xlws.FILTER(Table22[[B365]:[BFAIREXC]], Table22[PLAYER] = A49))</f>
        <v>19.600000000000001</v>
      </c>
      <c r="V49" s="439"/>
      <c r="X49" t="str">
        <f>Table239[[#This Row],[Player]]</f>
        <v>Pierceson Coody</v>
      </c>
      <c r="Y49" s="14">
        <f>Table239[[#This Row],[DGSCORE]]</f>
        <v>303.29999999999995</v>
      </c>
      <c r="Z49" s="14">
        <f>Table239[[#This Row],[BDG]]</f>
        <v>303.29999999999995</v>
      </c>
      <c r="AA49" s="14">
        <f>Z49-Y49</f>
        <v>0</v>
      </c>
      <c r="AB49">
        <f>_xlfn.RANK.AVG(AA49,$AA:$AA,0)</f>
        <v>55</v>
      </c>
    </row>
    <row r="50" spans="1:28">
      <c r="A50" s="438" t="s">
        <v>151</v>
      </c>
      <c r="B50" s="439">
        <v>148</v>
      </c>
      <c r="C50" s="439">
        <v>110</v>
      </c>
      <c r="D50" s="439">
        <v>20</v>
      </c>
      <c r="E50" s="439">
        <v>150</v>
      </c>
      <c r="F50" s="439">
        <v>65</v>
      </c>
      <c r="G50" s="439">
        <v>60</v>
      </c>
      <c r="H50" s="439">
        <v>294.70000000000005</v>
      </c>
      <c r="I50" s="440">
        <v>353.30457068606131</v>
      </c>
      <c r="J50" s="259">
        <v>304.80786666767585</v>
      </c>
      <c r="K50" s="260">
        <v>388.85093140023758</v>
      </c>
      <c r="L50" s="441">
        <f>RANK(H50,$H$2:$H$110,1)</f>
        <v>39</v>
      </c>
      <c r="M50" s="230">
        <f>RANK(I50,$I$2:$I$110,1)</f>
        <v>21</v>
      </c>
      <c r="N50" s="438">
        <f>RANK(J50,$J$2:$J$110,1)</f>
        <v>46</v>
      </c>
      <c r="O50" s="438">
        <f>RANK(K50,$K$2:$K$110,1)</f>
        <v>30</v>
      </c>
      <c r="P50" s="442">
        <v>0</v>
      </c>
      <c r="Q50" s="442">
        <v>0</v>
      </c>
      <c r="R50" s="439">
        <v>68</v>
      </c>
      <c r="S50" s="439">
        <f>RANK(U50,$U$2:$U$110,0)</f>
        <v>97</v>
      </c>
      <c r="T50" s="440">
        <f>Table239[[#This Row],[BDG]]/Table239[[#This Row],[Odds]]</f>
        <v>58.504388995715132</v>
      </c>
      <c r="U50" s="440" cm="1">
        <f t="array" ref="U50">MAX(_xlfn._xlws.FILTER(Table22[[B365]:[BFAIREXC]], Table22[PLAYER] = A50))</f>
        <v>5.21</v>
      </c>
      <c r="V50" s="439"/>
      <c r="X50" t="str">
        <f>Table239[[#This Row],[Player]]</f>
        <v>Ben Martin</v>
      </c>
      <c r="Y50" s="14">
        <f>Table239[[#This Row],[DGSCORE]]</f>
        <v>294.70000000000005</v>
      </c>
      <c r="Z50" s="14">
        <f>Table239[[#This Row],[BDG]]</f>
        <v>304.80786666767585</v>
      </c>
      <c r="AA50" s="14">
        <f>Z50-Y50</f>
        <v>10.107866667675808</v>
      </c>
      <c r="AB50">
        <f>_xlfn.RANK.AVG(AA50,$AA:$AA,0)</f>
        <v>18</v>
      </c>
    </row>
    <row r="51" spans="1:28">
      <c r="A51" s="438" t="s">
        <v>109</v>
      </c>
      <c r="B51" s="439">
        <v>81</v>
      </c>
      <c r="C51" s="439">
        <v>118</v>
      </c>
      <c r="D51" s="439">
        <v>180</v>
      </c>
      <c r="E51" s="439">
        <v>173</v>
      </c>
      <c r="F51" s="439">
        <v>8</v>
      </c>
      <c r="G51" s="439">
        <v>158</v>
      </c>
      <c r="H51" s="439">
        <v>331.09999999999997</v>
      </c>
      <c r="I51" s="440">
        <v>532.92243660879274</v>
      </c>
      <c r="J51" s="259">
        <v>308.08701324048673</v>
      </c>
      <c r="K51" s="260">
        <v>471.47676006671315</v>
      </c>
      <c r="L51" s="441">
        <f>RANK(H51,$H$2:$H$110,1)</f>
        <v>61</v>
      </c>
      <c r="M51" s="230">
        <f>RANK(I51,$I$2:$I$110,1)</f>
        <v>74</v>
      </c>
      <c r="N51" s="438">
        <f>RANK(J51,$J$2:$J$110,1)</f>
        <v>47</v>
      </c>
      <c r="O51" s="438">
        <f>RANK(K51,$K$2:$K$110,1)</f>
        <v>56</v>
      </c>
      <c r="P51" s="442">
        <v>0</v>
      </c>
      <c r="Q51" s="442">
        <v>0</v>
      </c>
      <c r="R51" s="439">
        <v>0</v>
      </c>
      <c r="S51" s="439">
        <f>RANK(U51,$U$2:$U$110,0)</f>
        <v>73</v>
      </c>
      <c r="T51" s="440">
        <f>Table239[[#This Row],[BDG]]/Table239[[#This Row],[Odds]]</f>
        <v>36.460001566921513</v>
      </c>
      <c r="U51" s="440" cm="1">
        <f t="array" ref="U51">MAX(_xlfn._xlws.FILTER(Table22[[B365]:[BFAIREXC]], Table22[PLAYER] = A51))</f>
        <v>8.4499999999999993</v>
      </c>
      <c r="V51" s="439"/>
      <c r="X51" t="str">
        <f>Table239[[#This Row],[Player]]</f>
        <v>Justin Suh</v>
      </c>
      <c r="Y51" s="14">
        <f>Table239[[#This Row],[DGSCORE]]</f>
        <v>331.09999999999997</v>
      </c>
      <c r="Z51" s="14">
        <f>Table239[[#This Row],[BDG]]</f>
        <v>308.08701324048673</v>
      </c>
      <c r="AA51" s="14">
        <f>Z51-Y51</f>
        <v>-23.01298675951324</v>
      </c>
      <c r="AB51">
        <f>_xlfn.RANK.AVG(AA51,$AA:$AA,0)</f>
        <v>95</v>
      </c>
    </row>
    <row r="52" spans="1:28">
      <c r="A52" s="438" t="s">
        <v>136</v>
      </c>
      <c r="B52" s="439">
        <v>134</v>
      </c>
      <c r="C52" s="439">
        <v>60</v>
      </c>
      <c r="D52" s="439">
        <v>56</v>
      </c>
      <c r="E52" s="439">
        <v>155</v>
      </c>
      <c r="F52" s="439">
        <v>102</v>
      </c>
      <c r="G52" s="439">
        <v>102</v>
      </c>
      <c r="H52" s="439">
        <v>302.8</v>
      </c>
      <c r="I52" s="440">
        <v>414.44056386709087</v>
      </c>
      <c r="J52" s="259">
        <v>309.02946621454385</v>
      </c>
      <c r="K52" s="260">
        <v>436.05079776929563</v>
      </c>
      <c r="L52" s="441">
        <f>RANK(H52,$H$2:$H$110,1)</f>
        <v>43</v>
      </c>
      <c r="M52" s="230">
        <f>RANK(I52,$I$2:$I$110,1)</f>
        <v>37</v>
      </c>
      <c r="N52" s="438">
        <f>RANK(J52,$J$2:$J$110,1)</f>
        <v>48</v>
      </c>
      <c r="O52" s="438">
        <f>RANK(K52,$K$2:$K$110,1)</f>
        <v>44</v>
      </c>
      <c r="P52" s="442">
        <v>0</v>
      </c>
      <c r="Q52" s="442">
        <v>0</v>
      </c>
      <c r="R52" s="439">
        <v>-45</v>
      </c>
      <c r="S52" s="439">
        <f>RANK(U52,$U$2:$U$110,0)</f>
        <v>60</v>
      </c>
      <c r="T52" s="440">
        <f>Table239[[#This Row],[BDG]]/Table239[[#This Row],[Odds]]</f>
        <v>27.347740372968481</v>
      </c>
      <c r="U52" s="440" cm="1">
        <f t="array" ref="U52">MAX(_xlfn._xlws.FILTER(Table22[[B365]:[BFAIREXC]], Table22[PLAYER] = A52))</f>
        <v>11.3</v>
      </c>
      <c r="V52" s="439"/>
      <c r="X52" t="str">
        <f>Table239[[#This Row],[Player]]</f>
        <v>Carson Young</v>
      </c>
      <c r="Y52" s="14">
        <f>Table239[[#This Row],[DGSCORE]]</f>
        <v>302.8</v>
      </c>
      <c r="Z52" s="14">
        <f>Table239[[#This Row],[BDG]]</f>
        <v>309.02946621454385</v>
      </c>
      <c r="AA52" s="14">
        <f>Z52-Y52</f>
        <v>6.2294662145438338</v>
      </c>
      <c r="AB52">
        <f>_xlfn.RANK.AVG(AA52,$AA:$AA,0)</f>
        <v>21</v>
      </c>
    </row>
    <row r="53" spans="1:28">
      <c r="A53" s="438" t="s">
        <v>84</v>
      </c>
      <c r="B53" s="439">
        <v>84</v>
      </c>
      <c r="C53" s="439">
        <v>150</v>
      </c>
      <c r="D53" s="439">
        <v>81</v>
      </c>
      <c r="E53" s="439">
        <v>137</v>
      </c>
      <c r="F53" s="439">
        <v>106</v>
      </c>
      <c r="G53" s="439">
        <v>124</v>
      </c>
      <c r="H53" s="439">
        <v>315.10000000000002</v>
      </c>
      <c r="I53" s="440">
        <v>462.25623166229735</v>
      </c>
      <c r="J53" s="259">
        <v>315.10000000000002</v>
      </c>
      <c r="K53" s="260">
        <v>462.2562316622973</v>
      </c>
      <c r="L53" s="441">
        <f>RANK(H53,$H$2:$H$110,1)</f>
        <v>49</v>
      </c>
      <c r="M53" s="230">
        <f>RANK(I53,$I$2:$I$110,1)</f>
        <v>51</v>
      </c>
      <c r="N53" s="438">
        <f>RANK(J53,$J$2:$J$110,1)</f>
        <v>49</v>
      </c>
      <c r="O53" s="438">
        <f>RANK(K53,$K$2:$K$110,1)</f>
        <v>52</v>
      </c>
      <c r="P53" s="442">
        <v>0</v>
      </c>
      <c r="Q53" s="442">
        <v>0</v>
      </c>
      <c r="R53" s="439" t="e">
        <v>#N/A</v>
      </c>
      <c r="S53" s="439">
        <f>RANK(U53,$U$2:$U$110,0)</f>
        <v>31</v>
      </c>
      <c r="T53" s="440">
        <f>Table239[[#This Row],[BDG]]/Table239[[#This Row],[Odds]]</f>
        <v>16.076530612244898</v>
      </c>
      <c r="U53" s="440" cm="1">
        <f t="array" ref="U53">MAX(_xlfn._xlws.FILTER(Table22[[B365]:[BFAIREXC]], Table22[PLAYER] = A53))</f>
        <v>19.600000000000001</v>
      </c>
      <c r="V53" s="439"/>
      <c r="X53" t="str">
        <f>Table239[[#This Row],[Player]]</f>
        <v>Kevin Chappell</v>
      </c>
      <c r="Y53" s="14">
        <f>Table239[[#This Row],[DGSCORE]]</f>
        <v>315.10000000000002</v>
      </c>
      <c r="Z53" s="14">
        <f>Table239[[#This Row],[BDG]]</f>
        <v>315.10000000000002</v>
      </c>
      <c r="AA53" s="14">
        <f>Z53-Y53</f>
        <v>0</v>
      </c>
      <c r="AB53">
        <f>_xlfn.RANK.AVG(AA53,$AA:$AA,0)</f>
        <v>55</v>
      </c>
    </row>
    <row r="54" spans="1:28">
      <c r="A54" s="438" t="s">
        <v>99</v>
      </c>
      <c r="B54" s="439">
        <v>94</v>
      </c>
      <c r="C54" s="439">
        <v>56</v>
      </c>
      <c r="D54" s="439">
        <v>124</v>
      </c>
      <c r="E54" s="439">
        <v>170</v>
      </c>
      <c r="F54" s="439">
        <v>98</v>
      </c>
      <c r="G54" s="439">
        <v>147</v>
      </c>
      <c r="H54" s="439">
        <v>316.39999999999998</v>
      </c>
      <c r="I54" s="440">
        <v>496.85097736146139</v>
      </c>
      <c r="J54" s="259">
        <v>316.39999999999998</v>
      </c>
      <c r="K54" s="260">
        <v>496.85097736146145</v>
      </c>
      <c r="L54" s="441">
        <f>RANK(H54,$H$2:$H$110,1)</f>
        <v>50</v>
      </c>
      <c r="M54" s="230">
        <f>RANK(I54,$I$2:$I$110,1)</f>
        <v>62</v>
      </c>
      <c r="N54" s="438">
        <f>RANK(J54,$J$2:$J$110,1)</f>
        <v>50</v>
      </c>
      <c r="O54" s="438">
        <f>RANK(K54,$K$2:$K$110,1)</f>
        <v>65</v>
      </c>
      <c r="P54" s="442">
        <v>0</v>
      </c>
      <c r="Q54" s="442">
        <v>0</v>
      </c>
      <c r="R54" s="439" t="e">
        <v>#N/A</v>
      </c>
      <c r="S54" s="439">
        <f>RANK(U54,$U$2:$U$110,0)</f>
        <v>58</v>
      </c>
      <c r="T54" s="440">
        <f>Table239[[#This Row],[BDG]]/Table239[[#This Row],[Odds]]</f>
        <v>26.813559322033896</v>
      </c>
      <c r="U54" s="440" cm="1">
        <f t="array" ref="U54">MAX(_xlfn._xlws.FILTER(Table22[[B365]:[BFAIREXC]], Table22[PLAYER] = A54))</f>
        <v>11.8</v>
      </c>
      <c r="V54" s="439"/>
      <c r="X54" t="str">
        <f>Table239[[#This Row],[Player]]</f>
        <v>Austin Smotherman</v>
      </c>
      <c r="Y54" s="14">
        <f>Table239[[#This Row],[DGSCORE]]</f>
        <v>316.39999999999998</v>
      </c>
      <c r="Z54" s="14">
        <f>Table239[[#This Row],[BDG]]</f>
        <v>316.39999999999998</v>
      </c>
      <c r="AA54" s="14">
        <f>Z54-Y54</f>
        <v>0</v>
      </c>
      <c r="AB54">
        <f>_xlfn.RANK.AVG(AA54,$AA:$AA,0)</f>
        <v>55</v>
      </c>
    </row>
    <row r="55" spans="1:28">
      <c r="A55" s="438" t="s">
        <v>167</v>
      </c>
      <c r="B55" s="439">
        <v>168</v>
      </c>
      <c r="C55" s="439">
        <v>14</v>
      </c>
      <c r="D55" s="439">
        <v>178</v>
      </c>
      <c r="E55" s="439">
        <v>39</v>
      </c>
      <c r="F55" s="439">
        <v>43</v>
      </c>
      <c r="G55" s="439">
        <v>117</v>
      </c>
      <c r="H55" s="439">
        <v>319.90000000000003</v>
      </c>
      <c r="I55" s="440">
        <v>430.64325116867104</v>
      </c>
      <c r="J55" s="259">
        <v>319.90000000000003</v>
      </c>
      <c r="K55" s="260">
        <v>430.64325116867104</v>
      </c>
      <c r="L55" s="441">
        <f>RANK(H55,$H$2:$H$110,1)</f>
        <v>51</v>
      </c>
      <c r="M55" s="230">
        <f>RANK(I55,$I$2:$I$110,1)</f>
        <v>45</v>
      </c>
      <c r="N55" s="438">
        <f>RANK(J55,$J$2:$J$110,1)</f>
        <v>52</v>
      </c>
      <c r="O55" s="438">
        <f>RANK(K55,$K$2:$K$110,1)</f>
        <v>41</v>
      </c>
      <c r="P55" s="442">
        <v>0</v>
      </c>
      <c r="Q55" s="442">
        <v>0</v>
      </c>
      <c r="R55" s="439" t="e">
        <v>#N/A</v>
      </c>
      <c r="S55" s="439">
        <f>RANK(U55,$U$2:$U$110,0)</f>
        <v>28</v>
      </c>
      <c r="T55" s="440">
        <f>Table239[[#This Row],[BDG]]/Table239[[#This Row],[Odds]]</f>
        <v>14.540909090909093</v>
      </c>
      <c r="U55" s="440" cm="1">
        <f t="array" ref="U55">MAX(_xlfn._xlws.FILTER(Table22[[B365]:[BFAIREXC]], Table22[PLAYER] = A55))</f>
        <v>22</v>
      </c>
      <c r="V55" s="439"/>
      <c r="X55" t="str">
        <f>Table239[[#This Row],[Player]]</f>
        <v>Adam Long</v>
      </c>
      <c r="Y55" s="14">
        <f>Table239[[#This Row],[DGSCORE]]</f>
        <v>319.90000000000003</v>
      </c>
      <c r="Z55" s="14">
        <f>Table239[[#This Row],[BDG]]</f>
        <v>319.90000000000003</v>
      </c>
      <c r="AA55" s="14">
        <f>Z55-Y55</f>
        <v>0</v>
      </c>
      <c r="AB55">
        <f>_xlfn.RANK.AVG(AA55,$AA:$AA,0)</f>
        <v>55</v>
      </c>
    </row>
    <row r="56" spans="1:28">
      <c r="A56" s="438" t="s">
        <v>91</v>
      </c>
      <c r="B56" s="439">
        <v>90</v>
      </c>
      <c r="C56" s="439">
        <v>125</v>
      </c>
      <c r="D56" s="439">
        <v>111</v>
      </c>
      <c r="E56" s="439">
        <v>103</v>
      </c>
      <c r="F56" s="439">
        <v>117</v>
      </c>
      <c r="G56" s="439">
        <v>153</v>
      </c>
      <c r="H56" s="439">
        <v>320.89999999999998</v>
      </c>
      <c r="I56" s="440">
        <v>493.27513825918919</v>
      </c>
      <c r="J56" s="259">
        <v>320.89999999999998</v>
      </c>
      <c r="K56" s="260">
        <v>493.27513825918919</v>
      </c>
      <c r="L56" s="441">
        <f>RANK(H56,$H$2:$H$110,1)</f>
        <v>53</v>
      </c>
      <c r="M56" s="230">
        <f>RANK(I56,$I$2:$I$110,1)</f>
        <v>59</v>
      </c>
      <c r="N56" s="438">
        <f>RANK(J56,$J$2:$J$110,1)</f>
        <v>53</v>
      </c>
      <c r="O56" s="438">
        <f>RANK(K56,$K$2:$K$110,1)</f>
        <v>62</v>
      </c>
      <c r="P56" s="442">
        <v>0</v>
      </c>
      <c r="Q56" s="442">
        <v>0</v>
      </c>
      <c r="R56" s="439" t="e">
        <v>#N/A</v>
      </c>
      <c r="S56" s="439">
        <f>RANK(U56,$U$2:$U$110,0)</f>
        <v>31</v>
      </c>
      <c r="T56" s="440">
        <f>Table239[[#This Row],[BDG]]/Table239[[#This Row],[Odds]]</f>
        <v>16.372448979591834</v>
      </c>
      <c r="U56" s="440" cm="1">
        <f t="array" ref="U56">MAX(_xlfn._xlws.FILTER(Table22[[B365]:[BFAIREXC]], Table22[PLAYER] = A56))</f>
        <v>19.600000000000001</v>
      </c>
      <c r="V56" s="439"/>
      <c r="X56" t="str">
        <f>Table239[[#This Row],[Player]]</f>
        <v>Patton Kizzire</v>
      </c>
      <c r="Y56" s="14">
        <f>Table239[[#This Row],[DGSCORE]]</f>
        <v>320.89999999999998</v>
      </c>
      <c r="Z56" s="14">
        <f>Table239[[#This Row],[BDG]]</f>
        <v>320.89999999999998</v>
      </c>
      <c r="AA56" s="14">
        <f>Z56-Y56</f>
        <v>0</v>
      </c>
      <c r="AB56">
        <f>_xlfn.RANK.AVG(AA56,$AA:$AA,0)</f>
        <v>55</v>
      </c>
    </row>
    <row r="57" spans="1:28">
      <c r="A57" s="438" t="s">
        <v>189</v>
      </c>
      <c r="B57" s="439">
        <v>191</v>
      </c>
      <c r="C57" s="439">
        <v>24</v>
      </c>
      <c r="D57" s="439">
        <v>118</v>
      </c>
      <c r="E57" s="439">
        <v>73</v>
      </c>
      <c r="F57" s="439">
        <v>51</v>
      </c>
      <c r="G57" s="439">
        <v>109</v>
      </c>
      <c r="H57" s="439">
        <v>321.2</v>
      </c>
      <c r="I57" s="440">
        <v>416.08858663752869</v>
      </c>
      <c r="J57" s="259">
        <v>321.2</v>
      </c>
      <c r="K57" s="260">
        <v>416.08858663752869</v>
      </c>
      <c r="L57" s="441">
        <f>RANK(H57,$H$2:$H$110,1)</f>
        <v>55</v>
      </c>
      <c r="M57" s="230">
        <f>RANK(I57,$I$2:$I$110,1)</f>
        <v>40</v>
      </c>
      <c r="N57" s="438">
        <f>RANK(J57,$J$2:$J$110,1)</f>
        <v>54</v>
      </c>
      <c r="O57" s="438">
        <f>RANK(K57,$K$2:$K$110,1)</f>
        <v>37</v>
      </c>
      <c r="P57" s="442" t="e">
        <v>#N/A</v>
      </c>
      <c r="Q57" s="442" t="e">
        <v>#N/A</v>
      </c>
      <c r="R57" s="439" t="e">
        <v>#N/A</v>
      </c>
      <c r="S57" s="439">
        <f>RANK(U57,$U$2:$U$110,0)</f>
        <v>5</v>
      </c>
      <c r="T57" s="440">
        <f>Table239[[#This Row],[BDG]]/Table239[[#This Row],[Odds]]</f>
        <v>6.2980392156862743</v>
      </c>
      <c r="U57" s="440" cm="1">
        <f t="array" ref="U57">MAX(_xlfn._xlws.FILTER(Table22[[B365]:[BFAIREXC]], Table22[PLAYER] = A57))</f>
        <v>51</v>
      </c>
      <c r="V57" s="439"/>
      <c r="X57" t="str">
        <f>Table239[[#This Row],[Player]]</f>
        <v>William McGirt</v>
      </c>
      <c r="Y57" s="14">
        <f>Table239[[#This Row],[DGSCORE]]</f>
        <v>321.2</v>
      </c>
      <c r="Z57" s="14">
        <f>Table239[[#This Row],[BDG]]</f>
        <v>321.2</v>
      </c>
      <c r="AA57" s="14">
        <f>Z57-Y57</f>
        <v>0</v>
      </c>
      <c r="AB57">
        <f>_xlfn.RANK.AVG(AA57,$AA:$AA,0)</f>
        <v>55</v>
      </c>
    </row>
    <row r="58" spans="1:28">
      <c r="A58" s="438" t="s">
        <v>21</v>
      </c>
      <c r="B58" s="439">
        <v>22</v>
      </c>
      <c r="C58" s="439">
        <v>180</v>
      </c>
      <c r="D58" s="439">
        <v>161</v>
      </c>
      <c r="E58" s="439">
        <v>163</v>
      </c>
      <c r="F58" s="439">
        <v>120</v>
      </c>
      <c r="G58" s="439">
        <v>175</v>
      </c>
      <c r="H58" s="439">
        <v>347.7</v>
      </c>
      <c r="I58" s="440">
        <v>580.1427651818874</v>
      </c>
      <c r="J58" s="259">
        <v>321.70098811285419</v>
      </c>
      <c r="K58" s="260">
        <v>515.11041477214644</v>
      </c>
      <c r="L58" s="441">
        <f>RANK(H58,$H$2:$H$110,1)</f>
        <v>73</v>
      </c>
      <c r="M58" s="230">
        <f>RANK(I58,$I$2:$I$110,1)</f>
        <v>90</v>
      </c>
      <c r="N58" s="438">
        <f>RANK(J58,$J$2:$J$110,1)</f>
        <v>55</v>
      </c>
      <c r="O58" s="438">
        <f>RANK(K58,$K$2:$K$110,1)</f>
        <v>72</v>
      </c>
      <c r="P58" s="442">
        <v>0</v>
      </c>
      <c r="Q58" s="442">
        <v>0</v>
      </c>
      <c r="R58" s="439">
        <v>3</v>
      </c>
      <c r="S58" s="439">
        <f>RANK(U58,$U$2:$U$110,0)</f>
        <v>35</v>
      </c>
      <c r="T58" s="440">
        <f>Table239[[#This Row],[BDG]]/Table239[[#This Row],[Odds]]</f>
        <v>16.842983670830062</v>
      </c>
      <c r="U58" s="440" cm="1">
        <f t="array" ref="U58">MAX(_xlfn._xlws.FILTER(Table22[[B365]:[BFAIREXC]], Table22[PLAYER] = A58))</f>
        <v>19.100000000000001</v>
      </c>
      <c r="V58" s="439"/>
      <c r="X58" t="str">
        <f>Table239[[#This Row],[Player]]</f>
        <v>Callum Tarren</v>
      </c>
      <c r="Y58" s="14">
        <f>Table239[[#This Row],[DGSCORE]]</f>
        <v>347.7</v>
      </c>
      <c r="Z58" s="14">
        <f>Table239[[#This Row],[BDG]]</f>
        <v>321.70098811285419</v>
      </c>
      <c r="AA58" s="14">
        <f>Z58-Y58</f>
        <v>-25.999011887145798</v>
      </c>
      <c r="AB58">
        <f>_xlfn.RANK.AVG(AA58,$AA:$AA,0)</f>
        <v>96</v>
      </c>
    </row>
    <row r="59" spans="1:28">
      <c r="A59" s="438" t="s">
        <v>177</v>
      </c>
      <c r="B59" s="439">
        <v>172</v>
      </c>
      <c r="C59" s="439">
        <v>107</v>
      </c>
      <c r="D59" s="439">
        <v>66</v>
      </c>
      <c r="E59" s="439">
        <v>6</v>
      </c>
      <c r="F59" s="439">
        <v>128</v>
      </c>
      <c r="G59" s="439">
        <v>122</v>
      </c>
      <c r="H59" s="439">
        <v>320.89999999999998</v>
      </c>
      <c r="I59" s="440">
        <v>414.2443155033601</v>
      </c>
      <c r="J59" s="259">
        <v>322.28318175452404</v>
      </c>
      <c r="K59" s="260">
        <v>432.78033601817265</v>
      </c>
      <c r="L59" s="441">
        <f>RANK(H59,$H$2:$H$110,1)</f>
        <v>53</v>
      </c>
      <c r="M59" s="230">
        <f>RANK(I59,$I$2:$I$110,1)</f>
        <v>36</v>
      </c>
      <c r="N59" s="438">
        <f>RANK(J59,$J$2:$J$110,1)</f>
        <v>56</v>
      </c>
      <c r="O59" s="438">
        <f>RANK(K59,$K$2:$K$110,1)</f>
        <v>42</v>
      </c>
      <c r="P59" s="442">
        <v>0</v>
      </c>
      <c r="Q59" s="442">
        <v>0</v>
      </c>
      <c r="R59" s="439">
        <v>49</v>
      </c>
      <c r="S59" s="439">
        <f>RANK(U59,$U$2:$U$110,0)</f>
        <v>52</v>
      </c>
      <c r="T59" s="440">
        <f>Table239[[#This Row],[BDG]]/Table239[[#This Row],[Odds]]</f>
        <v>23.524319836096645</v>
      </c>
      <c r="U59" s="440" cm="1">
        <f t="array" ref="U59">MAX(_xlfn._xlws.FILTER(Table22[[B365]:[BFAIREXC]], Table22[PLAYER] = A59))</f>
        <v>13.7</v>
      </c>
      <c r="V59" s="439"/>
      <c r="X59" t="str">
        <f>Table239[[#This Row],[Player]]</f>
        <v>Chez Reavie</v>
      </c>
      <c r="Y59" s="14">
        <f>Table239[[#This Row],[DGSCORE]]</f>
        <v>320.89999999999998</v>
      </c>
      <c r="Z59" s="14">
        <f>Table239[[#This Row],[BDG]]</f>
        <v>322.28318175452404</v>
      </c>
      <c r="AA59" s="14">
        <f>Z59-Y59</f>
        <v>1.3831817545240597</v>
      </c>
      <c r="AB59">
        <f>_xlfn.RANK.AVG(AA59,$AA:$AA,0)</f>
        <v>26</v>
      </c>
    </row>
    <row r="60" spans="1:28">
      <c r="A60" s="438" t="s">
        <v>107</v>
      </c>
      <c r="B60" s="439">
        <v>64</v>
      </c>
      <c r="C60" s="439">
        <v>151</v>
      </c>
      <c r="D60" s="439">
        <v>76</v>
      </c>
      <c r="E60" s="439">
        <v>57</v>
      </c>
      <c r="F60" s="439">
        <v>49</v>
      </c>
      <c r="G60" s="439">
        <v>68</v>
      </c>
      <c r="H60" s="439">
        <v>233.6</v>
      </c>
      <c r="I60" s="440">
        <v>310.85757894418214</v>
      </c>
      <c r="J60" s="259">
        <v>322.76888829413178</v>
      </c>
      <c r="K60" s="260">
        <v>462.05355565448735</v>
      </c>
      <c r="L60" s="441">
        <f>RANK(H60,$H$2:$H$110,1)</f>
        <v>10</v>
      </c>
      <c r="M60" s="230">
        <f>RANK(I60,$I$2:$I$110,1)</f>
        <v>11</v>
      </c>
      <c r="N60" s="438">
        <f>RANK(J60,$J$2:$J$110,1)</f>
        <v>57</v>
      </c>
      <c r="O60" s="438">
        <f>RANK(K60,$K$2:$K$110,1)</f>
        <v>51</v>
      </c>
      <c r="P60" s="442">
        <v>0</v>
      </c>
      <c r="Q60" s="442">
        <v>0</v>
      </c>
      <c r="R60" s="439">
        <v>12</v>
      </c>
      <c r="S60" s="439">
        <f>RANK(U60,$U$2:$U$110,0)</f>
        <v>44</v>
      </c>
      <c r="T60" s="440">
        <f>Table239[[#This Row],[BDG]]/Table239[[#This Row],[Odds]]</f>
        <v>19.924005450255049</v>
      </c>
      <c r="U60" s="440" cm="1">
        <f t="array" ref="U60">MAX(_xlfn._xlws.FILTER(Table22[[B365]:[BFAIREXC]], Table22[PLAYER] = A60))</f>
        <v>16.2</v>
      </c>
      <c r="V60" s="439"/>
      <c r="X60" t="str">
        <f>Table239[[#This Row],[Player]]</f>
        <v>Tyson Alexander</v>
      </c>
      <c r="Y60" s="14">
        <f>Table239[[#This Row],[DGSCORE]]</f>
        <v>233.6</v>
      </c>
      <c r="Z60" s="14">
        <f>Table239[[#This Row],[BDG]]</f>
        <v>322.76888829413178</v>
      </c>
      <c r="AA60" s="14">
        <f>Z60-Y60</f>
        <v>89.16888829413179</v>
      </c>
      <c r="AB60">
        <f>_xlfn.RANK.AVG(AA60,$AA:$AA,0)</f>
        <v>1</v>
      </c>
    </row>
    <row r="61" spans="1:28">
      <c r="A61" s="438" t="s">
        <v>133</v>
      </c>
      <c r="B61" s="439">
        <v>116</v>
      </c>
      <c r="C61" s="439">
        <v>99</v>
      </c>
      <c r="D61" s="439">
        <v>105</v>
      </c>
      <c r="E61" s="439">
        <v>120</v>
      </c>
      <c r="F61" s="439">
        <v>90</v>
      </c>
      <c r="G61" s="439">
        <v>135</v>
      </c>
      <c r="H61" s="439">
        <v>320.39999999999998</v>
      </c>
      <c r="I61" s="440">
        <v>469.81026556658969</v>
      </c>
      <c r="J61" s="259">
        <v>326.783915790111</v>
      </c>
      <c r="K61" s="260">
        <v>452.34289662214849</v>
      </c>
      <c r="L61" s="441">
        <f>RANK(H61,$H$2:$H$110,1)</f>
        <v>52</v>
      </c>
      <c r="M61" s="230">
        <f>RANK(I61,$I$2:$I$110,1)</f>
        <v>56</v>
      </c>
      <c r="N61" s="438">
        <f>RANK(J61,$J$2:$J$110,1)</f>
        <v>58</v>
      </c>
      <c r="O61" s="438">
        <f>RANK(K61,$K$2:$K$110,1)</f>
        <v>48</v>
      </c>
      <c r="P61" s="442">
        <v>0</v>
      </c>
      <c r="Q61" s="442">
        <v>0</v>
      </c>
      <c r="R61" s="439">
        <v>-42</v>
      </c>
      <c r="S61" s="439">
        <f>RANK(U61,$U$2:$U$110,0)</f>
        <v>56</v>
      </c>
      <c r="T61" s="440">
        <f>Table239[[#This Row],[BDG]]/Table239[[#This Row],[Odds]]</f>
        <v>26.56779803171634</v>
      </c>
      <c r="U61" s="440" cm="1">
        <f t="array" ref="U61">MAX(_xlfn._xlws.FILTER(Table22[[B365]:[BFAIREXC]], Table22[PLAYER] = A61))</f>
        <v>12.3</v>
      </c>
      <c r="V61" s="439"/>
      <c r="X61" t="str">
        <f>Table239[[#This Row],[Player]]</f>
        <v>Brandon Wu</v>
      </c>
      <c r="Y61" s="14">
        <f>Table239[[#This Row],[DGSCORE]]</f>
        <v>320.39999999999998</v>
      </c>
      <c r="Z61" s="14">
        <f>Table239[[#This Row],[BDG]]</f>
        <v>326.783915790111</v>
      </c>
      <c r="AA61" s="14">
        <f>Z61-Y61</f>
        <v>6.3839157901110184</v>
      </c>
      <c r="AB61">
        <f>_xlfn.RANK.AVG(AA61,$AA:$AA,0)</f>
        <v>20</v>
      </c>
    </row>
    <row r="62" spans="1:28">
      <c r="A62" s="438" t="s">
        <v>137</v>
      </c>
      <c r="B62" s="439">
        <v>153</v>
      </c>
      <c r="C62" s="439">
        <v>70</v>
      </c>
      <c r="D62" s="439">
        <v>16</v>
      </c>
      <c r="E62" s="439">
        <v>140</v>
      </c>
      <c r="F62" s="439">
        <v>181</v>
      </c>
      <c r="G62" s="439">
        <v>123</v>
      </c>
      <c r="H62" s="439">
        <v>330.4</v>
      </c>
      <c r="I62" s="440">
        <v>451.12448798582801</v>
      </c>
      <c r="J62" s="259">
        <v>328.13473955834763</v>
      </c>
      <c r="K62" s="260">
        <v>450.52853898654564</v>
      </c>
      <c r="L62" s="441">
        <f>RANK(H62,$H$2:$H$110,1)</f>
        <v>59</v>
      </c>
      <c r="M62" s="230">
        <f>RANK(I62,$I$2:$I$110,1)</f>
        <v>48</v>
      </c>
      <c r="N62" s="438">
        <f>RANK(J62,$J$2:$J$110,1)</f>
        <v>59</v>
      </c>
      <c r="O62" s="438">
        <f>RANK(K62,$K$2:$K$110,1)</f>
        <v>47</v>
      </c>
      <c r="P62" s="442">
        <v>0</v>
      </c>
      <c r="Q62" s="442">
        <v>0</v>
      </c>
      <c r="R62" s="439">
        <v>23</v>
      </c>
      <c r="S62" s="439">
        <f>RANK(U62,$U$2:$U$110,0)</f>
        <v>89</v>
      </c>
      <c r="T62" s="440">
        <f>Table239[[#This Row],[BDG]]/Table239[[#This Row],[Odds]]</f>
        <v>47.694002842783085</v>
      </c>
      <c r="U62" s="440" cm="1">
        <f t="array" ref="U62">MAX(_xlfn._xlws.FILTER(Table22[[B365]:[BFAIREXC]], Table22[PLAYER] = A62))</f>
        <v>6.88</v>
      </c>
      <c r="V62" s="439"/>
      <c r="X62" t="str">
        <f>Table239[[#This Row],[Player]]</f>
        <v>Joel Dahmen</v>
      </c>
      <c r="Y62" s="14">
        <f>Table239[[#This Row],[DGSCORE]]</f>
        <v>330.4</v>
      </c>
      <c r="Z62" s="14">
        <f>Table239[[#This Row],[BDG]]</f>
        <v>328.13473955834763</v>
      </c>
      <c r="AA62" s="14">
        <f>Z62-Y62</f>
        <v>-2.2652604416523445</v>
      </c>
      <c r="AB62">
        <f>_xlfn.RANK.AVG(AA62,$AA:$AA,0)</f>
        <v>85</v>
      </c>
    </row>
    <row r="63" spans="1:28">
      <c r="A63" s="438" t="s">
        <v>561</v>
      </c>
      <c r="B63" s="439">
        <v>32</v>
      </c>
      <c r="C63" s="439">
        <v>181</v>
      </c>
      <c r="D63" s="439">
        <v>155</v>
      </c>
      <c r="E63" s="439">
        <v>99</v>
      </c>
      <c r="F63" s="439">
        <v>124</v>
      </c>
      <c r="G63" s="439">
        <v>173</v>
      </c>
      <c r="H63" s="439">
        <v>329.40000000000003</v>
      </c>
      <c r="I63" s="440">
        <v>543.13382183281863</v>
      </c>
      <c r="J63" s="259">
        <v>329.40000000000003</v>
      </c>
      <c r="K63" s="260">
        <v>543.13382183281863</v>
      </c>
      <c r="L63" s="441">
        <f>RANK(H63,$H$2:$H$110,1)</f>
        <v>58</v>
      </c>
      <c r="M63" s="230">
        <f>RANK(I63,$I$2:$I$110,1)</f>
        <v>78</v>
      </c>
      <c r="N63" s="438">
        <f>RANK(J63,$J$2:$J$110,1)</f>
        <v>61</v>
      </c>
      <c r="O63" s="438">
        <f>RANK(K63,$K$2:$K$110,1)</f>
        <v>82</v>
      </c>
      <c r="P63" s="442">
        <v>0</v>
      </c>
      <c r="Q63" s="442">
        <v>0</v>
      </c>
      <c r="R63" s="439">
        <v>-100</v>
      </c>
      <c r="S63" s="439">
        <f>RANK(U63,$U$2:$U$110,0)</f>
        <v>23</v>
      </c>
      <c r="T63" s="440">
        <f>Table239[[#This Row],[BDG]]/Table239[[#This Row],[Odds]]</f>
        <v>12.66923076923077</v>
      </c>
      <c r="U63" s="440" cm="1">
        <f t="array" ref="U63">MAX(_xlfn._xlws.FILTER(Table22[[B365]:[BFAIREXC]], Table22[PLAYER] = A63))</f>
        <v>26</v>
      </c>
      <c r="V63" s="439"/>
      <c r="X63" t="str">
        <f>Table239[[#This Row],[Player]]</f>
        <v>Ryan McCormick</v>
      </c>
      <c r="Y63" s="14">
        <f>Table239[[#This Row],[DGSCORE]]</f>
        <v>329.40000000000003</v>
      </c>
      <c r="Z63" s="14">
        <f>Table239[[#This Row],[BDG]]</f>
        <v>329.40000000000003</v>
      </c>
      <c r="AA63" s="14">
        <f>Z63-Y63</f>
        <v>0</v>
      </c>
      <c r="AB63">
        <f>_xlfn.RANK.AVG(AA63,$AA:$AA,0)</f>
        <v>55</v>
      </c>
    </row>
    <row r="64" spans="1:28">
      <c r="A64" s="438" t="s">
        <v>558</v>
      </c>
      <c r="B64" s="439">
        <v>44</v>
      </c>
      <c r="C64" s="439">
        <v>123</v>
      </c>
      <c r="D64" s="439">
        <v>140</v>
      </c>
      <c r="E64" s="439">
        <v>157</v>
      </c>
      <c r="F64" s="439">
        <v>137</v>
      </c>
      <c r="G64" s="439">
        <v>147</v>
      </c>
      <c r="H64" s="439">
        <v>330.4</v>
      </c>
      <c r="I64" s="440">
        <v>524.90141626118088</v>
      </c>
      <c r="J64" s="259">
        <v>330.4</v>
      </c>
      <c r="K64" s="260">
        <v>524.90141626118088</v>
      </c>
      <c r="L64" s="441">
        <f>RANK(H64,$H$2:$H$110,1)</f>
        <v>59</v>
      </c>
      <c r="M64" s="230">
        <f>RANK(I64,$I$2:$I$110,1)</f>
        <v>68</v>
      </c>
      <c r="N64" s="438">
        <f>RANK(J64,$J$2:$J$110,1)</f>
        <v>62</v>
      </c>
      <c r="O64" s="438">
        <f>RANK(K64,$K$2:$K$110,1)</f>
        <v>74</v>
      </c>
      <c r="P64" s="442">
        <v>0</v>
      </c>
      <c r="Q64" s="442">
        <v>0</v>
      </c>
      <c r="R64" s="439">
        <v>-128</v>
      </c>
      <c r="S64" s="439">
        <f>RANK(U64,$U$2:$U$110,0)</f>
        <v>45</v>
      </c>
      <c r="T64" s="440">
        <f>Table239[[#This Row],[BDG]]/Table239[[#This Row],[Odds]]</f>
        <v>21.044585987261147</v>
      </c>
      <c r="U64" s="440" cm="1">
        <f t="array" ref="U64">MAX(_xlfn._xlws.FILTER(Table22[[B365]:[BFAIREXC]], Table22[PLAYER] = A64))</f>
        <v>15.7</v>
      </c>
      <c r="V64" s="439"/>
      <c r="X64" t="str">
        <f>Table239[[#This Row],[Player]]</f>
        <v>Rafael Campos</v>
      </c>
      <c r="Y64" s="14">
        <f>Table239[[#This Row],[DGSCORE]]</f>
        <v>330.4</v>
      </c>
      <c r="Z64" s="14">
        <f>Table239[[#This Row],[BDG]]</f>
        <v>330.4</v>
      </c>
      <c r="AA64" s="14">
        <f>Z64-Y64</f>
        <v>0</v>
      </c>
      <c r="AB64">
        <f>_xlfn.RANK.AVG(AA64,$AA:$AA,0)</f>
        <v>55</v>
      </c>
    </row>
    <row r="65" spans="1:28">
      <c r="A65" s="438" t="s">
        <v>60</v>
      </c>
      <c r="B65" s="439">
        <v>120</v>
      </c>
      <c r="C65" s="439">
        <v>94</v>
      </c>
      <c r="D65" s="439">
        <v>167</v>
      </c>
      <c r="E65" s="439">
        <v>147</v>
      </c>
      <c r="F65" s="439">
        <v>103</v>
      </c>
      <c r="G65" s="439">
        <v>167</v>
      </c>
      <c r="H65" s="439">
        <v>382.2</v>
      </c>
      <c r="I65" s="440">
        <v>578.14814404738308</v>
      </c>
      <c r="J65" s="259">
        <v>331.33460644653451</v>
      </c>
      <c r="K65" s="260">
        <v>502.98259201011638</v>
      </c>
      <c r="L65" s="441">
        <f>RANK(H65,$H$2:$H$110,1)</f>
        <v>91</v>
      </c>
      <c r="M65" s="230">
        <f>RANK(I65,$I$2:$I$110,1)</f>
        <v>89</v>
      </c>
      <c r="N65" s="438">
        <f>RANK(J65,$J$2:$J$110,1)</f>
        <v>63</v>
      </c>
      <c r="O65" s="438">
        <f>RANK(K65,$K$2:$K$110,1)</f>
        <v>67</v>
      </c>
      <c r="P65" s="442">
        <v>0</v>
      </c>
      <c r="Q65" s="442">
        <v>0</v>
      </c>
      <c r="R65" s="439">
        <v>-15</v>
      </c>
      <c r="S65" s="439">
        <f>RANK(U65,$U$2:$U$110,0)</f>
        <v>39</v>
      </c>
      <c r="T65" s="440">
        <f>Table239[[#This Row],[BDG]]/Table239[[#This Row],[Odds]]</f>
        <v>19.26363990968224</v>
      </c>
      <c r="U65" s="440" cm="1">
        <f t="array" ref="U65">MAX(_xlfn._xlws.FILTER(Table22[[B365]:[BFAIREXC]], Table22[PLAYER] = A65))</f>
        <v>17.2</v>
      </c>
      <c r="V65" s="439"/>
      <c r="X65" t="str">
        <f>Table239[[#This Row],[Player]]</f>
        <v>Hayden Buckley</v>
      </c>
      <c r="Y65" s="14">
        <f>Table239[[#This Row],[DGSCORE]]</f>
        <v>382.2</v>
      </c>
      <c r="Z65" s="14">
        <f>Table239[[#This Row],[BDG]]</f>
        <v>331.33460644653451</v>
      </c>
      <c r="AA65" s="14">
        <f>Z65-Y65</f>
        <v>-50.865393553465481</v>
      </c>
      <c r="AB65">
        <f>_xlfn.RANK.AVG(AA65,$AA:$AA,0)</f>
        <v>104</v>
      </c>
    </row>
    <row r="66" spans="1:28">
      <c r="A66" s="438" t="s">
        <v>563</v>
      </c>
      <c r="B66" s="439">
        <v>119</v>
      </c>
      <c r="C66" s="439">
        <v>95</v>
      </c>
      <c r="D66" s="439">
        <v>81</v>
      </c>
      <c r="E66" s="439">
        <v>177</v>
      </c>
      <c r="F66" s="439">
        <v>100</v>
      </c>
      <c r="G66" s="439">
        <v>127</v>
      </c>
      <c r="H66" s="439">
        <v>332.1</v>
      </c>
      <c r="I66" s="440">
        <v>481.15583133892079</v>
      </c>
      <c r="J66" s="259">
        <v>332.1</v>
      </c>
      <c r="K66" s="260">
        <v>481.15583133892079</v>
      </c>
      <c r="L66" s="441">
        <f>RANK(H66,$H$2:$H$110,1)</f>
        <v>62</v>
      </c>
      <c r="M66" s="230">
        <f>RANK(I66,$I$2:$I$110,1)</f>
        <v>57</v>
      </c>
      <c r="N66" s="438">
        <f>RANK(J66,$J$2:$J$110,1)</f>
        <v>64</v>
      </c>
      <c r="O66" s="438">
        <f>RANK(K66,$K$2:$K$110,1)</f>
        <v>59</v>
      </c>
      <c r="P66" s="442">
        <v>0</v>
      </c>
      <c r="Q66" s="442">
        <v>0</v>
      </c>
      <c r="R66" s="439">
        <v>-7</v>
      </c>
      <c r="S66" s="439">
        <f>RANK(U66,$U$2:$U$110,0)</f>
        <v>30</v>
      </c>
      <c r="T66" s="440">
        <f>Table239[[#This Row],[BDG]]/Table239[[#This Row],[Odds]]</f>
        <v>15.814285714285715</v>
      </c>
      <c r="U66" s="440" cm="1">
        <f t="array" ref="U66">MAX(_xlfn._xlws.FILTER(Table22[[B365]:[BFAIREXC]], Table22[PLAYER] = A66))</f>
        <v>21</v>
      </c>
      <c r="V66" s="439"/>
      <c r="X66" t="str">
        <f>Table239[[#This Row],[Player]]</f>
        <v>Tom Whitney</v>
      </c>
      <c r="Y66" s="14">
        <f>Table239[[#This Row],[DGSCORE]]</f>
        <v>332.1</v>
      </c>
      <c r="Z66" s="14">
        <f>Table239[[#This Row],[BDG]]</f>
        <v>332.1</v>
      </c>
      <c r="AA66" s="14">
        <f>Z66-Y66</f>
        <v>0</v>
      </c>
      <c r="AB66">
        <f>_xlfn.RANK.AVG(AA66,$AA:$AA,0)</f>
        <v>55</v>
      </c>
    </row>
    <row r="67" spans="1:28">
      <c r="A67" s="438" t="s">
        <v>181</v>
      </c>
      <c r="B67" s="439">
        <v>183</v>
      </c>
      <c r="C67" s="439">
        <v>53</v>
      </c>
      <c r="D67" s="439">
        <v>20</v>
      </c>
      <c r="E67" s="439">
        <v>130</v>
      </c>
      <c r="F67" s="439">
        <v>154</v>
      </c>
      <c r="G67" s="439">
        <v>142</v>
      </c>
      <c r="H67" s="439">
        <v>334.20000000000005</v>
      </c>
      <c r="I67" s="440">
        <v>463.89872894060488</v>
      </c>
      <c r="J67" s="259">
        <v>334.20000000000005</v>
      </c>
      <c r="K67" s="260">
        <v>463.89872894060488</v>
      </c>
      <c r="L67" s="441">
        <f>RANK(H67,$H$2:$H$110,1)</f>
        <v>64</v>
      </c>
      <c r="M67" s="230">
        <f>RANK(I67,$I$2:$I$110,1)</f>
        <v>52</v>
      </c>
      <c r="N67" s="438">
        <f>RANK(J67,$J$2:$J$110,1)</f>
        <v>65</v>
      </c>
      <c r="O67" s="438">
        <f>RANK(K67,$K$2:$K$110,1)</f>
        <v>53</v>
      </c>
      <c r="P67" s="442" t="e">
        <v>#N/A</v>
      </c>
      <c r="Q67" s="442" t="e">
        <v>#N/A</v>
      </c>
      <c r="R67" s="439" t="e">
        <v>#N/A</v>
      </c>
      <c r="S67" s="439">
        <f>RANK(U67,$U$2:$U$110,0)</f>
        <v>26</v>
      </c>
      <c r="T67" s="440">
        <f>Table239[[#This Row],[BDG]]/Table239[[#This Row],[Odds]]</f>
        <v>13.925000000000002</v>
      </c>
      <c r="U67" s="440" cm="1">
        <f t="array" ref="U67">MAX(_xlfn._xlws.FILTER(Table22[[B365]:[BFAIREXC]], Table22[PLAYER] = A67))</f>
        <v>24</v>
      </c>
      <c r="V67" s="439"/>
      <c r="X67" t="str">
        <f>Table239[[#This Row],[Player]]</f>
        <v>Russell Knox</v>
      </c>
      <c r="Y67" s="14">
        <f>Table239[[#This Row],[DGSCORE]]</f>
        <v>334.20000000000005</v>
      </c>
      <c r="Z67" s="14">
        <f>Table239[[#This Row],[BDG]]</f>
        <v>334.20000000000005</v>
      </c>
      <c r="AA67" s="14">
        <f>Z67-Y67</f>
        <v>0</v>
      </c>
      <c r="AB67">
        <f>_xlfn.RANK.AVG(AA67,$AA:$AA,0)</f>
        <v>55</v>
      </c>
    </row>
    <row r="68" spans="1:28">
      <c r="A68" s="438" t="s">
        <v>384</v>
      </c>
      <c r="B68" s="439">
        <v>147</v>
      </c>
      <c r="C68" s="439">
        <v>23</v>
      </c>
      <c r="D68" s="439">
        <v>67</v>
      </c>
      <c r="E68" s="439">
        <v>134</v>
      </c>
      <c r="F68" s="439">
        <v>182</v>
      </c>
      <c r="G68" s="439">
        <v>154</v>
      </c>
      <c r="H68" s="439">
        <v>335.3</v>
      </c>
      <c r="I68" s="440">
        <v>495.02652295088552</v>
      </c>
      <c r="J68" s="259">
        <v>335.3</v>
      </c>
      <c r="K68" s="260">
        <v>495.02652295088552</v>
      </c>
      <c r="L68" s="441">
        <f>RANK(H68,$H$2:$H$110,1)</f>
        <v>65</v>
      </c>
      <c r="M68" s="230">
        <f>RANK(I68,$I$2:$I$110,1)</f>
        <v>60</v>
      </c>
      <c r="N68" s="438">
        <f>RANK(J68,$J$2:$J$110,1)</f>
        <v>66</v>
      </c>
      <c r="O68" s="438">
        <f>RANK(K68,$K$2:$K$110,1)</f>
        <v>63</v>
      </c>
      <c r="P68" s="442">
        <v>0</v>
      </c>
      <c r="Q68" s="442">
        <v>0</v>
      </c>
      <c r="R68" s="439">
        <v>-12</v>
      </c>
      <c r="S68" s="439">
        <f>RANK(U68,$U$2:$U$110,0)</f>
        <v>92</v>
      </c>
      <c r="T68" s="440">
        <f>Table239[[#This Row],[BDG]]/Table239[[#This Row],[Odds]]</f>
        <v>53.306836248012722</v>
      </c>
      <c r="U68" s="440" cm="1">
        <f t="array" ref="U68">MAX(_xlfn._xlws.FILTER(Table22[[B365]:[BFAIREXC]], Table22[PLAYER] = A68))</f>
        <v>6.29</v>
      </c>
      <c r="V68" s="439"/>
      <c r="X68" t="str">
        <f>Table239[[#This Row],[Player]]</f>
        <v>Daniel Berger</v>
      </c>
      <c r="Y68" s="14">
        <f>Table239[[#This Row],[DGSCORE]]</f>
        <v>335.3</v>
      </c>
      <c r="Z68" s="14">
        <f>Table239[[#This Row],[BDG]]</f>
        <v>335.3</v>
      </c>
      <c r="AA68" s="14">
        <f>Z68-Y68</f>
        <v>0</v>
      </c>
      <c r="AB68">
        <f>_xlfn.RANK.AVG(AA68,$AA:$AA,0)</f>
        <v>55</v>
      </c>
    </row>
    <row r="69" spans="1:28">
      <c r="A69" s="438" t="s">
        <v>156</v>
      </c>
      <c r="B69" s="439">
        <v>156</v>
      </c>
      <c r="C69" s="439">
        <v>56</v>
      </c>
      <c r="D69" s="439">
        <v>103</v>
      </c>
      <c r="E69" s="439">
        <v>35</v>
      </c>
      <c r="F69" s="439">
        <v>163</v>
      </c>
      <c r="G69" s="439">
        <v>144</v>
      </c>
      <c r="H69" s="439">
        <v>336</v>
      </c>
      <c r="I69" s="440">
        <v>467.98532270390308</v>
      </c>
      <c r="J69" s="259">
        <v>339.50085704618994</v>
      </c>
      <c r="K69" s="260">
        <v>474.25855075279168</v>
      </c>
      <c r="L69" s="441">
        <f>RANK(H69,$H$2:$H$110,1)</f>
        <v>66</v>
      </c>
      <c r="M69" s="230">
        <f>RANK(I69,$I$2:$I$110,1)</f>
        <v>55</v>
      </c>
      <c r="N69" s="438">
        <f>RANK(J69,$J$2:$J$110,1)</f>
        <v>67</v>
      </c>
      <c r="O69" s="438">
        <f>RANK(K69,$K$2:$K$110,1)</f>
        <v>57</v>
      </c>
      <c r="P69" s="442">
        <v>0</v>
      </c>
      <c r="Q69" s="442">
        <v>0</v>
      </c>
      <c r="R69" s="439">
        <v>-20</v>
      </c>
      <c r="S69" s="439">
        <f>RANK(U69,$U$2:$U$110,0)</f>
        <v>56</v>
      </c>
      <c r="T69" s="440">
        <f>Table239[[#This Row],[BDG]]/Table239[[#This Row],[Odds]]</f>
        <v>27.601695694812189</v>
      </c>
      <c r="U69" s="440" cm="1">
        <f t="array" ref="U69">MAX(_xlfn._xlws.FILTER(Table22[[B365]:[BFAIREXC]], Table22[PLAYER] = A69))</f>
        <v>12.3</v>
      </c>
      <c r="V69" s="439"/>
      <c r="X69" t="str">
        <f>Table239[[#This Row],[Player]]</f>
        <v>Troy Merritt</v>
      </c>
      <c r="Y69" s="14">
        <f>Table239[[#This Row],[DGSCORE]]</f>
        <v>336</v>
      </c>
      <c r="Z69" s="14">
        <f>Table239[[#This Row],[BDG]]</f>
        <v>339.50085704618994</v>
      </c>
      <c r="AA69" s="14">
        <f>Z69-Y69</f>
        <v>3.5008570461899353</v>
      </c>
      <c r="AB69">
        <f>_xlfn.RANK.AVG(AA69,$AA:$AA,0)</f>
        <v>22</v>
      </c>
    </row>
    <row r="70" spans="1:28">
      <c r="A70" s="438" t="s">
        <v>31</v>
      </c>
      <c r="B70" s="439">
        <v>29</v>
      </c>
      <c r="C70" s="439">
        <v>116</v>
      </c>
      <c r="D70" s="439">
        <v>170</v>
      </c>
      <c r="E70" s="439">
        <v>159</v>
      </c>
      <c r="F70" s="439">
        <v>148</v>
      </c>
      <c r="G70" s="439">
        <v>132</v>
      </c>
      <c r="H70" s="439">
        <v>340.7</v>
      </c>
      <c r="I70" s="440">
        <v>529.40168189264875</v>
      </c>
      <c r="J70" s="259">
        <v>340.7</v>
      </c>
      <c r="K70" s="260">
        <v>529.40168189264875</v>
      </c>
      <c r="L70" s="441">
        <f>RANK(H70,$H$2:$H$110,1)</f>
        <v>67</v>
      </c>
      <c r="M70" s="230">
        <f>RANK(I70,$I$2:$I$110,1)</f>
        <v>71</v>
      </c>
      <c r="N70" s="438">
        <f>RANK(J70,$J$2:$J$110,1)</f>
        <v>68</v>
      </c>
      <c r="O70" s="438">
        <f>RANK(K70,$K$2:$K$110,1)</f>
        <v>77</v>
      </c>
      <c r="P70" s="442">
        <v>0</v>
      </c>
      <c r="Q70" s="442">
        <v>0</v>
      </c>
      <c r="R70" s="439" t="e">
        <v>#N/A</v>
      </c>
      <c r="S70" s="439">
        <f>RANK(U70,$U$2:$U$110,0)</f>
        <v>27</v>
      </c>
      <c r="T70" s="440">
        <f>Table239[[#This Row],[BDG]]/Table239[[#This Row],[Odds]]</f>
        <v>14.81304347826087</v>
      </c>
      <c r="U70" s="440" cm="1">
        <f t="array" ref="U70">MAX(_xlfn._xlws.FILTER(Table22[[B365]:[BFAIREXC]], Table22[PLAYER] = A70))</f>
        <v>23</v>
      </c>
      <c r="V70" s="439"/>
      <c r="X70" t="str">
        <f>Table239[[#This Row],[Player]]</f>
        <v>MJ Daffue</v>
      </c>
      <c r="Y70" s="14">
        <f>Table239[[#This Row],[DGSCORE]]</f>
        <v>340.7</v>
      </c>
      <c r="Z70" s="14">
        <f>Table239[[#This Row],[BDG]]</f>
        <v>340.7</v>
      </c>
      <c r="AA70" s="14">
        <f>Z70-Y70</f>
        <v>0</v>
      </c>
      <c r="AB70">
        <f>_xlfn.RANK.AVG(AA70,$AA:$AA,0)</f>
        <v>55</v>
      </c>
    </row>
    <row r="71" spans="1:28">
      <c r="A71" s="438" t="s">
        <v>522</v>
      </c>
      <c r="B71" s="439">
        <v>83</v>
      </c>
      <c r="C71" s="439">
        <v>155</v>
      </c>
      <c r="D71" s="439">
        <v>160</v>
      </c>
      <c r="E71" s="439">
        <v>27</v>
      </c>
      <c r="F71" s="439">
        <v>136</v>
      </c>
      <c r="G71" s="439">
        <v>168</v>
      </c>
      <c r="H71" s="439">
        <v>343</v>
      </c>
      <c r="I71" s="440">
        <v>524.61657268439694</v>
      </c>
      <c r="J71" s="259">
        <v>343</v>
      </c>
      <c r="K71" s="260">
        <v>524.61657268439694</v>
      </c>
      <c r="L71" s="441">
        <f>RANK(H71,$H$2:$H$110,1)</f>
        <v>69</v>
      </c>
      <c r="M71" s="230">
        <f>RANK(I71,$I$2:$I$110,1)</f>
        <v>67</v>
      </c>
      <c r="N71" s="438">
        <f>RANK(J71,$J$2:$J$110,1)</f>
        <v>69</v>
      </c>
      <c r="O71" s="438">
        <f>RANK(K71,$K$2:$K$110,1)</f>
        <v>73</v>
      </c>
      <c r="P71" s="442">
        <v>0</v>
      </c>
      <c r="Q71" s="442">
        <v>0</v>
      </c>
      <c r="R71" s="439">
        <v>14</v>
      </c>
      <c r="S71" s="439">
        <f>RANK(U71,$U$2:$U$110,0)</f>
        <v>68</v>
      </c>
      <c r="T71" s="440">
        <f>Table239[[#This Row],[BDG]]/Table239[[#This Row],[Odds]]</f>
        <v>37.942477876106196</v>
      </c>
      <c r="U71" s="440" cm="1">
        <f t="array" ref="U71">MAX(_xlfn._xlws.FILTER(Table22[[B365]:[BFAIREXC]], Table22[PLAYER] = A71))</f>
        <v>9.0399999999999991</v>
      </c>
      <c r="V71" s="439"/>
      <c r="X71" t="str">
        <f>Table239[[#This Row],[Player]]</f>
        <v>Joe Highsmith</v>
      </c>
      <c r="Y71" s="14">
        <f>Table239[[#This Row],[DGSCORE]]</f>
        <v>343</v>
      </c>
      <c r="Z71" s="14">
        <f>Table239[[#This Row],[BDG]]</f>
        <v>343</v>
      </c>
      <c r="AA71" s="14">
        <f>Z71-Y71</f>
        <v>0</v>
      </c>
      <c r="AB71">
        <f>_xlfn.RANK.AVG(AA71,$AA:$AA,0)</f>
        <v>55</v>
      </c>
    </row>
    <row r="72" spans="1:28">
      <c r="A72" s="438" t="s">
        <v>111</v>
      </c>
      <c r="B72" s="439">
        <v>112</v>
      </c>
      <c r="C72" s="439">
        <v>124</v>
      </c>
      <c r="D72" s="439">
        <v>86</v>
      </c>
      <c r="E72" s="439">
        <v>64</v>
      </c>
      <c r="F72" s="439">
        <v>190</v>
      </c>
      <c r="G72" s="439">
        <v>165</v>
      </c>
      <c r="H72" s="439">
        <v>343.6</v>
      </c>
      <c r="I72" s="440">
        <v>512.39157602363093</v>
      </c>
      <c r="J72" s="259">
        <v>343.6</v>
      </c>
      <c r="K72" s="260">
        <v>512.39157602363093</v>
      </c>
      <c r="L72" s="441">
        <f>RANK(H72,$H$2:$H$110,1)</f>
        <v>70</v>
      </c>
      <c r="M72" s="230">
        <f>RANK(I72,$I$2:$I$110,1)</f>
        <v>65</v>
      </c>
      <c r="N72" s="438">
        <f>RANK(J72,$J$2:$J$110,1)</f>
        <v>70</v>
      </c>
      <c r="O72" s="438">
        <f>RANK(K72,$K$2:$K$110,1)</f>
        <v>71</v>
      </c>
      <c r="P72" s="442" t="e">
        <v>#N/A</v>
      </c>
      <c r="Q72" s="442" t="e">
        <v>#N/A</v>
      </c>
      <c r="R72" s="439" t="e">
        <v>#N/A</v>
      </c>
      <c r="S72" s="439">
        <f>RANK(U72,$U$2:$U$110,0)</f>
        <v>10</v>
      </c>
      <c r="T72" s="440">
        <f>Table239[[#This Row],[BDG]]/Table239[[#This Row],[Odds]]</f>
        <v>8.3804878048780491</v>
      </c>
      <c r="U72" s="440" cm="1">
        <f t="array" ref="U72">MAX(_xlfn._xlws.FILTER(Table22[[B365]:[BFAIREXC]], Table22[PLAYER] = A72))</f>
        <v>41</v>
      </c>
      <c r="V72" s="439"/>
      <c r="X72" t="str">
        <f>Table239[[#This Row],[Player]]</f>
        <v>Jason Dufner</v>
      </c>
      <c r="Y72" s="14">
        <f>Table239[[#This Row],[DGSCORE]]</f>
        <v>343.6</v>
      </c>
      <c r="Z72" s="14">
        <f>Table239[[#This Row],[BDG]]</f>
        <v>343.6</v>
      </c>
      <c r="AA72" s="14">
        <f>Z72-Y72</f>
        <v>0</v>
      </c>
      <c r="AB72">
        <f>_xlfn.RANK.AVG(AA72,$AA:$AA,0)</f>
        <v>55</v>
      </c>
    </row>
    <row r="73" spans="1:28">
      <c r="A73" s="438" t="s">
        <v>96</v>
      </c>
      <c r="B73" s="439">
        <v>99</v>
      </c>
      <c r="C73" s="439">
        <v>87</v>
      </c>
      <c r="D73" s="439">
        <v>120</v>
      </c>
      <c r="E73" s="439">
        <v>114</v>
      </c>
      <c r="F73" s="439">
        <v>164</v>
      </c>
      <c r="G73" s="439">
        <v>129</v>
      </c>
      <c r="H73" s="439">
        <v>344.20000000000005</v>
      </c>
      <c r="I73" s="440">
        <v>495.10197844804662</v>
      </c>
      <c r="J73" s="259">
        <v>344.20000000000005</v>
      </c>
      <c r="K73" s="260">
        <v>495.10197844804662</v>
      </c>
      <c r="L73" s="441">
        <f>RANK(H73,$H$2:$H$110,1)</f>
        <v>71</v>
      </c>
      <c r="M73" s="230">
        <f>RANK(I73,$I$2:$I$110,1)</f>
        <v>61</v>
      </c>
      <c r="N73" s="438">
        <f>RANK(J73,$J$2:$J$110,1)</f>
        <v>71</v>
      </c>
      <c r="O73" s="438">
        <f>RANK(K73,$K$2:$K$110,1)</f>
        <v>64</v>
      </c>
      <c r="P73" s="442">
        <v>0</v>
      </c>
      <c r="Q73" s="442">
        <v>0</v>
      </c>
      <c r="R73" s="439" t="e">
        <v>#N/A</v>
      </c>
      <c r="S73" s="439">
        <f>RANK(U73,$U$2:$U$110,0)</f>
        <v>10</v>
      </c>
      <c r="T73" s="440">
        <f>Table239[[#This Row],[BDG]]/Table239[[#This Row],[Odds]]</f>
        <v>8.3951219512195134</v>
      </c>
      <c r="U73" s="440" cm="1">
        <f t="array" ref="U73">MAX(_xlfn._xlws.FILTER(Table22[[B365]:[BFAIREXC]], Table22[PLAYER] = A73))</f>
        <v>41</v>
      </c>
      <c r="V73" s="439"/>
      <c r="X73" t="str">
        <f>Table239[[#This Row],[Player]]</f>
        <v>Cody Gribble</v>
      </c>
      <c r="Y73" s="14">
        <f>Table239[[#This Row],[DGSCORE]]</f>
        <v>344.20000000000005</v>
      </c>
      <c r="Z73" s="14">
        <f>Table239[[#This Row],[BDG]]</f>
        <v>344.20000000000005</v>
      </c>
      <c r="AA73" s="14">
        <f>Z73-Y73</f>
        <v>0</v>
      </c>
      <c r="AB73">
        <f>_xlfn.RANK.AVG(AA73,$AA:$AA,0)</f>
        <v>55</v>
      </c>
    </row>
    <row r="74" spans="1:28">
      <c r="A74" s="438" t="s">
        <v>556</v>
      </c>
      <c r="B74" s="439">
        <v>40</v>
      </c>
      <c r="C74" s="439">
        <v>137</v>
      </c>
      <c r="D74" s="439">
        <v>170</v>
      </c>
      <c r="E74" s="439">
        <v>182</v>
      </c>
      <c r="F74" s="439">
        <v>97</v>
      </c>
      <c r="G74" s="439">
        <v>169</v>
      </c>
      <c r="H74" s="439">
        <v>344.8</v>
      </c>
      <c r="I74" s="440">
        <v>571.10995954300688</v>
      </c>
      <c r="J74" s="259">
        <v>344.8</v>
      </c>
      <c r="K74" s="260">
        <v>571.10995954300688</v>
      </c>
      <c r="L74" s="441">
        <f>RANK(H74,$H$2:$H$110,1)</f>
        <v>72</v>
      </c>
      <c r="M74" s="230">
        <f>RANK(I74,$I$2:$I$110,1)</f>
        <v>87</v>
      </c>
      <c r="N74" s="438">
        <f>RANK(J74,$J$2:$J$110,1)</f>
        <v>72</v>
      </c>
      <c r="O74" s="438">
        <f>RANK(K74,$K$2:$K$110,1)</f>
        <v>92</v>
      </c>
      <c r="P74" s="442">
        <v>0</v>
      </c>
      <c r="Q74" s="442">
        <v>0</v>
      </c>
      <c r="R74" s="439">
        <v>5</v>
      </c>
      <c r="S74" s="439">
        <f>RANK(U74,$U$2:$U$110,0)</f>
        <v>35</v>
      </c>
      <c r="T74" s="440">
        <f>Table239[[#This Row],[BDG]]/Table239[[#This Row],[Odds]]</f>
        <v>18.052356020942408</v>
      </c>
      <c r="U74" s="440" cm="1">
        <f t="array" ref="U74">MAX(_xlfn._xlws.FILTER(Table22[[B365]:[BFAIREXC]], Table22[PLAYER] = A74))</f>
        <v>19.100000000000001</v>
      </c>
      <c r="V74" s="439"/>
      <c r="X74" t="str">
        <f>Table239[[#This Row],[Player]]</f>
        <v>Patrick Fishburn</v>
      </c>
      <c r="Y74" s="14">
        <f>Table239[[#This Row],[DGSCORE]]</f>
        <v>344.8</v>
      </c>
      <c r="Z74" s="14">
        <f>Table239[[#This Row],[BDG]]</f>
        <v>344.8</v>
      </c>
      <c r="AA74" s="14">
        <f>Z74-Y74</f>
        <v>0</v>
      </c>
      <c r="AB74">
        <f>_xlfn.RANK.AVG(AA74,$AA:$AA,0)</f>
        <v>55</v>
      </c>
    </row>
    <row r="75" spans="1:28">
      <c r="A75" s="438" t="s">
        <v>37</v>
      </c>
      <c r="B75" s="439">
        <v>36</v>
      </c>
      <c r="C75" s="439">
        <v>172</v>
      </c>
      <c r="D75" s="439">
        <v>168</v>
      </c>
      <c r="E75" s="439">
        <v>159</v>
      </c>
      <c r="F75" s="439">
        <v>68</v>
      </c>
      <c r="G75" s="439">
        <v>163</v>
      </c>
      <c r="H75" s="439">
        <v>333.6</v>
      </c>
      <c r="I75" s="440">
        <v>549.17909014934912</v>
      </c>
      <c r="J75" s="259">
        <v>348.6330920218744</v>
      </c>
      <c r="K75" s="260">
        <v>578.73163162970718</v>
      </c>
      <c r="L75" s="441">
        <f>RANK(H75,$H$2:$H$110,1)</f>
        <v>63</v>
      </c>
      <c r="M75" s="230">
        <f>RANK(I75,$I$2:$I$110,1)</f>
        <v>81</v>
      </c>
      <c r="N75" s="438">
        <f>RANK(J75,$J$2:$J$110,1)</f>
        <v>73</v>
      </c>
      <c r="O75" s="438">
        <f>RANK(K75,$K$2:$K$110,1)</f>
        <v>93</v>
      </c>
      <c r="P75" s="442">
        <v>0</v>
      </c>
      <c r="Q75" s="442">
        <v>0</v>
      </c>
      <c r="R75" s="439">
        <v>14</v>
      </c>
      <c r="S75" s="439">
        <f>RANK(U75,$U$2:$U$110,0)</f>
        <v>16</v>
      </c>
      <c r="T75" s="440">
        <f>Table239[[#This Row],[BDG]]/Table239[[#This Row],[Odds]]</f>
        <v>8.9393100518429343</v>
      </c>
      <c r="U75" s="440" cm="1">
        <f t="array" ref="U75">MAX(_xlfn._xlws.FILTER(Table22[[B365]:[BFAIREXC]], Table22[PLAYER] = A75))</f>
        <v>39</v>
      </c>
      <c r="V75" s="439"/>
      <c r="X75" t="str">
        <f>Table239[[#This Row],[Player]]</f>
        <v>Ryan Brehm</v>
      </c>
      <c r="Y75" s="14">
        <f>Table239[[#This Row],[DGSCORE]]</f>
        <v>333.6</v>
      </c>
      <c r="Z75" s="14">
        <f>Table239[[#This Row],[BDG]]</f>
        <v>348.6330920218744</v>
      </c>
      <c r="AA75" s="14">
        <f>Z75-Y75</f>
        <v>15.033092021874381</v>
      </c>
      <c r="AB75">
        <f>_xlfn.RANK.AVG(AA75,$AA:$AA,0)</f>
        <v>13</v>
      </c>
    </row>
    <row r="76" spans="1:28">
      <c r="A76" s="438" t="s">
        <v>116</v>
      </c>
      <c r="B76" s="439">
        <v>127</v>
      </c>
      <c r="C76" s="439">
        <v>48</v>
      </c>
      <c r="D76" s="439">
        <v>156</v>
      </c>
      <c r="E76" s="439">
        <v>97</v>
      </c>
      <c r="F76" s="439">
        <v>167</v>
      </c>
      <c r="G76" s="439">
        <v>151</v>
      </c>
      <c r="H76" s="439">
        <v>369.8</v>
      </c>
      <c r="I76" s="440">
        <v>537.437734341848</v>
      </c>
      <c r="J76" s="259">
        <v>349.87600475183086</v>
      </c>
      <c r="K76" s="260">
        <v>506.51872141871468</v>
      </c>
      <c r="L76" s="441">
        <f>RANK(H76,$H$2:$H$110,1)</f>
        <v>81</v>
      </c>
      <c r="M76" s="230">
        <f>RANK(I76,$I$2:$I$110,1)</f>
        <v>77</v>
      </c>
      <c r="N76" s="438">
        <f>RANK(J76,$J$2:$J$110,1)</f>
        <v>74</v>
      </c>
      <c r="O76" s="438">
        <f>RANK(K76,$K$2:$K$110,1)</f>
        <v>68</v>
      </c>
      <c r="P76" s="442">
        <v>0</v>
      </c>
      <c r="Q76" s="442">
        <v>0</v>
      </c>
      <c r="R76" s="439">
        <v>-1</v>
      </c>
      <c r="S76" s="439">
        <f>RANK(U76,$U$2:$U$110,0)</f>
        <v>76</v>
      </c>
      <c r="T76" s="440">
        <f>Table239[[#This Row],[BDG]]/Table239[[#This Row],[Odds]]</f>
        <v>43.408933592038565</v>
      </c>
      <c r="U76" s="440" cm="1">
        <f t="array" ref="U76">MAX(_xlfn._xlws.FILTER(Table22[[B365]:[BFAIREXC]], Table22[PLAYER] = A76))</f>
        <v>8.06</v>
      </c>
      <c r="V76" s="439"/>
      <c r="X76" t="str">
        <f>Table239[[#This Row],[Player]]</f>
        <v>Tyler Duncan</v>
      </c>
      <c r="Y76" s="14">
        <f>Table239[[#This Row],[DGSCORE]]</f>
        <v>369.8</v>
      </c>
      <c r="Z76" s="14">
        <f>Table239[[#This Row],[BDG]]</f>
        <v>349.87600475183086</v>
      </c>
      <c r="AA76" s="14">
        <f>Z76-Y76</f>
        <v>-19.923995248169149</v>
      </c>
      <c r="AB76">
        <f>_xlfn.RANK.AVG(AA76,$AA:$AA,0)</f>
        <v>93</v>
      </c>
    </row>
    <row r="77" spans="1:28">
      <c r="A77" s="438" t="s">
        <v>148</v>
      </c>
      <c r="B77" s="439">
        <v>158</v>
      </c>
      <c r="C77" s="439">
        <v>77</v>
      </c>
      <c r="D77" s="439">
        <v>176</v>
      </c>
      <c r="E77" s="439">
        <v>85</v>
      </c>
      <c r="F77" s="439">
        <v>7</v>
      </c>
      <c r="G77" s="439">
        <v>118</v>
      </c>
      <c r="H77" s="439">
        <v>341.4</v>
      </c>
      <c r="I77" s="440">
        <v>464.25306895254971</v>
      </c>
      <c r="J77" s="259">
        <v>351.85108794671407</v>
      </c>
      <c r="K77" s="260">
        <v>474.62965745939636</v>
      </c>
      <c r="L77" s="441">
        <f>RANK(H77,$H$2:$H$110,1)</f>
        <v>68</v>
      </c>
      <c r="M77" s="230">
        <f>RANK(I77,$I$2:$I$110,1)</f>
        <v>53</v>
      </c>
      <c r="N77" s="438">
        <f>RANK(J77,$J$2:$J$110,1)</f>
        <v>75</v>
      </c>
      <c r="O77" s="438">
        <f>RANK(K77,$K$2:$K$110,1)</f>
        <v>58</v>
      </c>
      <c r="P77" s="442">
        <v>0</v>
      </c>
      <c r="Q77" s="442">
        <v>0</v>
      </c>
      <c r="R77" s="439">
        <v>15</v>
      </c>
      <c r="S77" s="439">
        <f>RANK(U77,$U$2:$U$110,0)</f>
        <v>76</v>
      </c>
      <c r="T77" s="440">
        <f>Table239[[#This Row],[BDG]]/Table239[[#This Row],[Odds]]</f>
        <v>43.653981134828044</v>
      </c>
      <c r="U77" s="440" cm="1">
        <f t="array" ref="U77">MAX(_xlfn._xlws.FILTER(Table22[[B365]:[BFAIREXC]], Table22[PLAYER] = A77))</f>
        <v>8.06</v>
      </c>
      <c r="V77" s="439"/>
      <c r="X77" t="str">
        <f>Table239[[#This Row],[Player]]</f>
        <v>Chad Ramey</v>
      </c>
      <c r="Y77" s="14">
        <f>Table239[[#This Row],[DGSCORE]]</f>
        <v>341.4</v>
      </c>
      <c r="Z77" s="14">
        <f>Table239[[#This Row],[BDG]]</f>
        <v>351.85108794671407</v>
      </c>
      <c r="AA77" s="14">
        <f>Z77-Y77</f>
        <v>10.451087946714097</v>
      </c>
      <c r="AB77">
        <f>_xlfn.RANK.AVG(AA77,$AA:$AA,0)</f>
        <v>16</v>
      </c>
    </row>
    <row r="78" spans="1:28">
      <c r="A78" s="438" t="s">
        <v>443</v>
      </c>
      <c r="B78" s="439">
        <v>140</v>
      </c>
      <c r="C78" s="439">
        <v>105</v>
      </c>
      <c r="D78" s="439">
        <v>139</v>
      </c>
      <c r="E78" s="439">
        <v>149</v>
      </c>
      <c r="F78" s="439">
        <v>157</v>
      </c>
      <c r="G78" s="439">
        <v>164</v>
      </c>
      <c r="H78" s="439">
        <v>413.90000000000003</v>
      </c>
      <c r="I78" s="440">
        <v>599.36735941833012</v>
      </c>
      <c r="J78" s="259">
        <v>353.20131680208931</v>
      </c>
      <c r="K78" s="260">
        <v>496.90899360256321</v>
      </c>
      <c r="L78" s="441">
        <f>RANK(H78,$H$2:$H$110,1)</f>
        <v>98</v>
      </c>
      <c r="M78" s="230">
        <f>RANK(I78,$I$2:$I$110,1)</f>
        <v>93</v>
      </c>
      <c r="N78" s="438">
        <f>RANK(J78,$J$2:$J$110,1)</f>
        <v>76</v>
      </c>
      <c r="O78" s="438">
        <f>RANK(K78,$K$2:$K$110,1)</f>
        <v>66</v>
      </c>
      <c r="P78" s="442">
        <v>0</v>
      </c>
      <c r="Q78" s="442">
        <v>0</v>
      </c>
      <c r="R78" s="439">
        <v>1</v>
      </c>
      <c r="S78" s="439">
        <f>RANK(U78,$U$2:$U$110,0)</f>
        <v>48</v>
      </c>
      <c r="T78" s="440">
        <f>Table239[[#This Row],[BDG]]/Table239[[#This Row],[Odds]]</f>
        <v>23.236928736979561</v>
      </c>
      <c r="U78" s="440" cm="1">
        <f t="array" ref="U78">MAX(_xlfn._xlws.FILTER(Table22[[B365]:[BFAIREXC]], Table22[PLAYER] = A78))</f>
        <v>15.2</v>
      </c>
      <c r="V78" s="439"/>
      <c r="X78" t="str">
        <f>Table239[[#This Row],[Player]]</f>
        <v>Matt NeSmith</v>
      </c>
      <c r="Y78" s="14">
        <f>Table239[[#This Row],[DGSCORE]]</f>
        <v>413.90000000000003</v>
      </c>
      <c r="Z78" s="14">
        <f>Table239[[#This Row],[BDG]]</f>
        <v>353.20131680208931</v>
      </c>
      <c r="AA78" s="14">
        <f>Z78-Y78</f>
        <v>-60.698683197910725</v>
      </c>
      <c r="AB78">
        <f>_xlfn.RANK.AVG(AA78,$AA:$AA,0)</f>
        <v>105</v>
      </c>
    </row>
    <row r="79" spans="1:28">
      <c r="A79" s="438" t="s">
        <v>117</v>
      </c>
      <c r="B79" s="439">
        <v>114</v>
      </c>
      <c r="C79" s="439">
        <v>31</v>
      </c>
      <c r="D79" s="439">
        <v>141</v>
      </c>
      <c r="E79" s="439">
        <v>169</v>
      </c>
      <c r="F79" s="439">
        <v>146</v>
      </c>
      <c r="G79" s="439">
        <v>146</v>
      </c>
      <c r="H79" s="439">
        <v>357.40000000000003</v>
      </c>
      <c r="I79" s="440">
        <v>535.37636268457322</v>
      </c>
      <c r="J79" s="259">
        <v>357.40000000000003</v>
      </c>
      <c r="K79" s="260">
        <v>535.37636268457322</v>
      </c>
      <c r="L79" s="441">
        <f>RANK(H79,$H$2:$H$110,1)</f>
        <v>74</v>
      </c>
      <c r="M79" s="230">
        <f>RANK(I79,$I$2:$I$110,1)</f>
        <v>76</v>
      </c>
      <c r="N79" s="438">
        <f>RANK(J79,$J$2:$J$110,1)</f>
        <v>77</v>
      </c>
      <c r="O79" s="438">
        <f>RANK(K79,$K$2:$K$110,1)</f>
        <v>81</v>
      </c>
      <c r="P79" s="442">
        <v>0</v>
      </c>
      <c r="Q79" s="442">
        <v>0</v>
      </c>
      <c r="R79" s="439" t="e">
        <v>#N/A</v>
      </c>
      <c r="S79" s="439">
        <f>RANK(U79,$U$2:$U$110,0)</f>
        <v>28</v>
      </c>
      <c r="T79" s="440">
        <f>Table239[[#This Row],[BDG]]/Table239[[#This Row],[Odds]]</f>
        <v>16.245454545454546</v>
      </c>
      <c r="U79" s="440" cm="1">
        <f t="array" ref="U79">MAX(_xlfn._xlws.FILTER(Table22[[B365]:[BFAIREXC]], Table22[PLAYER] = A79))</f>
        <v>22</v>
      </c>
      <c r="V79" s="439"/>
      <c r="X79" t="str">
        <f>Table239[[#This Row],[Player]]</f>
        <v>James Hahn</v>
      </c>
      <c r="Y79" s="14">
        <f>Table239[[#This Row],[DGSCORE]]</f>
        <v>357.40000000000003</v>
      </c>
      <c r="Z79" s="14">
        <f>Table239[[#This Row],[BDG]]</f>
        <v>357.40000000000003</v>
      </c>
      <c r="AA79" s="14">
        <f>Z79-Y79</f>
        <v>0</v>
      </c>
      <c r="AB79">
        <f>_xlfn.RANK.AVG(AA79,$AA:$AA,0)</f>
        <v>55</v>
      </c>
    </row>
    <row r="80" spans="1:28">
      <c r="A80" s="438" t="s">
        <v>393</v>
      </c>
      <c r="B80" s="439">
        <v>148</v>
      </c>
      <c r="C80" s="439">
        <v>88</v>
      </c>
      <c r="D80" s="439">
        <v>101</v>
      </c>
      <c r="E80" s="439">
        <v>2</v>
      </c>
      <c r="F80" s="439">
        <v>126</v>
      </c>
      <c r="G80" s="439">
        <v>95</v>
      </c>
      <c r="H80" s="439">
        <v>311.70000000000005</v>
      </c>
      <c r="I80" s="440">
        <v>388.66053310406272</v>
      </c>
      <c r="J80" s="259">
        <v>357.40162941033532</v>
      </c>
      <c r="K80" s="260">
        <v>484.30124047779492</v>
      </c>
      <c r="L80" s="441">
        <f>RANK(H80,$H$2:$H$110,1)</f>
        <v>48</v>
      </c>
      <c r="M80" s="230">
        <f>RANK(I80,$I$2:$I$110,1)</f>
        <v>31</v>
      </c>
      <c r="N80" s="438">
        <f>RANK(J80,$J$2:$J$110,1)</f>
        <v>78</v>
      </c>
      <c r="O80" s="438">
        <f>RANK(K80,$K$2:$K$110,1)</f>
        <v>60</v>
      </c>
      <c r="P80" s="442">
        <v>0</v>
      </c>
      <c r="Q80" s="442">
        <v>0</v>
      </c>
      <c r="R80" s="439" t="e">
        <v>#N/A</v>
      </c>
      <c r="S80" s="439">
        <f>RANK(U80,$U$2:$U$110,0)</f>
        <v>38</v>
      </c>
      <c r="T80" s="440">
        <f>Table239[[#This Row],[BDG]]/Table239[[#This Row],[Odds]]</f>
        <v>20.192182452561319</v>
      </c>
      <c r="U80" s="440" cm="1">
        <f t="array" ref="U80">MAX(_xlfn._xlws.FILTER(Table22[[B365]:[BFAIREXC]], Table22[PLAYER] = A80))</f>
        <v>17.7</v>
      </c>
      <c r="V80" s="439"/>
      <c r="X80" t="str">
        <f>Table239[[#This Row],[Player]]</f>
        <v>Roger Sloan</v>
      </c>
      <c r="Y80" s="14">
        <f>Table239[[#This Row],[DGSCORE]]</f>
        <v>311.70000000000005</v>
      </c>
      <c r="Z80" s="14">
        <f>Table239[[#This Row],[BDG]]</f>
        <v>357.40162941033532</v>
      </c>
      <c r="AA80" s="14">
        <f>Z80-Y80</f>
        <v>45.701629410335272</v>
      </c>
      <c r="AB80">
        <f>_xlfn.RANK.AVG(AA80,$AA:$AA,0)</f>
        <v>3</v>
      </c>
    </row>
    <row r="81" spans="1:28">
      <c r="A81" s="438" t="s">
        <v>444</v>
      </c>
      <c r="B81" s="439">
        <v>116</v>
      </c>
      <c r="C81" s="439">
        <v>115</v>
      </c>
      <c r="D81" s="439">
        <v>151</v>
      </c>
      <c r="E81" s="439">
        <v>10</v>
      </c>
      <c r="F81" s="439">
        <v>175</v>
      </c>
      <c r="G81" s="439">
        <v>166</v>
      </c>
      <c r="H81" s="439">
        <v>359.1</v>
      </c>
      <c r="I81" s="440">
        <v>526.21580232099495</v>
      </c>
      <c r="J81" s="259">
        <v>359.1</v>
      </c>
      <c r="K81" s="260">
        <v>526.21580232099495</v>
      </c>
      <c r="L81" s="441">
        <f>RANK(H81,$H$2:$H$110,1)</f>
        <v>75</v>
      </c>
      <c r="M81" s="230">
        <f>RANK(I81,$I$2:$I$110,1)</f>
        <v>69</v>
      </c>
      <c r="N81" s="438">
        <f>RANK(J81,$J$2:$J$110,1)</f>
        <v>79</v>
      </c>
      <c r="O81" s="438">
        <f>RANK(K81,$K$2:$K$110,1)</f>
        <v>75</v>
      </c>
      <c r="P81" s="442">
        <v>0</v>
      </c>
      <c r="Q81" s="442">
        <v>0</v>
      </c>
      <c r="R81" s="439">
        <v>-9</v>
      </c>
      <c r="S81" s="439">
        <f>RANK(U81,$U$2:$U$110,0)</f>
        <v>20</v>
      </c>
      <c r="T81" s="440">
        <f>Table239[[#This Row],[BDG]]/Table239[[#This Row],[Odds]]</f>
        <v>12.825000000000001</v>
      </c>
      <c r="U81" s="440" cm="1">
        <f t="array" ref="U81">MAX(_xlfn._xlws.FILTER(Table22[[B365]:[BFAIREXC]], Table22[PLAYER] = A81))</f>
        <v>28</v>
      </c>
      <c r="V81" s="439"/>
      <c r="X81" t="str">
        <f>Table239[[#This Row],[Player]]</f>
        <v>Josh Teater</v>
      </c>
      <c r="Y81" s="14">
        <f>Table239[[#This Row],[DGSCORE]]</f>
        <v>359.1</v>
      </c>
      <c r="Z81" s="14">
        <f>Table239[[#This Row],[BDG]]</f>
        <v>359.1</v>
      </c>
      <c r="AA81" s="14">
        <f>Z81-Y81</f>
        <v>0</v>
      </c>
      <c r="AB81">
        <f>_xlfn.RANK.AVG(AA81,$AA:$AA,0)</f>
        <v>55</v>
      </c>
    </row>
    <row r="82" spans="1:28">
      <c r="A82" s="438" t="s">
        <v>94</v>
      </c>
      <c r="B82" s="439">
        <v>93</v>
      </c>
      <c r="C82" s="439">
        <v>118</v>
      </c>
      <c r="D82" s="439">
        <v>191</v>
      </c>
      <c r="E82" s="439">
        <v>153</v>
      </c>
      <c r="F82" s="439">
        <v>44</v>
      </c>
      <c r="G82" s="439">
        <v>172</v>
      </c>
      <c r="H82" s="439">
        <v>359.59999999999997</v>
      </c>
      <c r="I82" s="440">
        <v>570.8958889019101</v>
      </c>
      <c r="J82" s="259">
        <v>359.59999999999997</v>
      </c>
      <c r="K82" s="260">
        <v>570.8958889019101</v>
      </c>
      <c r="L82" s="441">
        <f>RANK(H82,$H$2:$H$110,1)</f>
        <v>76</v>
      </c>
      <c r="M82" s="230">
        <f>RANK(I82,$I$2:$I$110,1)</f>
        <v>86</v>
      </c>
      <c r="N82" s="438">
        <f>RANK(J82,$J$2:$J$110,1)</f>
        <v>80</v>
      </c>
      <c r="O82" s="438">
        <f>RANK(K82,$K$2:$K$110,1)</f>
        <v>91</v>
      </c>
      <c r="P82" s="442">
        <v>0</v>
      </c>
      <c r="Q82" s="442">
        <v>0</v>
      </c>
      <c r="R82" s="439" t="e">
        <v>#N/A</v>
      </c>
      <c r="S82" s="439">
        <f>RANK(U82,$U$2:$U$110,0)</f>
        <v>24</v>
      </c>
      <c r="T82" s="440">
        <f>Table239[[#This Row],[BDG]]/Table239[[#This Row],[Odds]]</f>
        <v>14.383999999999999</v>
      </c>
      <c r="U82" s="440" cm="1">
        <f t="array" ref="U82">MAX(_xlfn._xlws.FILTER(Table22[[B365]:[BFAIREXC]], Table22[PLAYER] = A82))</f>
        <v>25</v>
      </c>
      <c r="V82" s="439"/>
      <c r="X82" t="str">
        <f>Table239[[#This Row],[Player]]</f>
        <v>Richy Werenski</v>
      </c>
      <c r="Y82" s="14">
        <f>Table239[[#This Row],[DGSCORE]]</f>
        <v>359.59999999999997</v>
      </c>
      <c r="Z82" s="14">
        <f>Table239[[#This Row],[BDG]]</f>
        <v>359.59999999999997</v>
      </c>
      <c r="AA82" s="14">
        <f>Z82-Y82</f>
        <v>0</v>
      </c>
      <c r="AB82">
        <f>_xlfn.RANK.AVG(AA82,$AA:$AA,0)</f>
        <v>55</v>
      </c>
    </row>
    <row r="83" spans="1:28">
      <c r="A83" s="438" t="s">
        <v>191</v>
      </c>
      <c r="B83" s="439">
        <v>193</v>
      </c>
      <c r="C83" s="439">
        <v>30</v>
      </c>
      <c r="D83" s="439">
        <v>168</v>
      </c>
      <c r="E83" s="439">
        <v>69</v>
      </c>
      <c r="F83" s="439">
        <v>54</v>
      </c>
      <c r="G83" s="439">
        <v>182</v>
      </c>
      <c r="H83" s="439">
        <v>360.90000000000003</v>
      </c>
      <c r="I83" s="440">
        <v>535.29553230364036</v>
      </c>
      <c r="J83" s="259">
        <v>360.90000000000003</v>
      </c>
      <c r="K83" s="260">
        <v>535.29553230364036</v>
      </c>
      <c r="L83" s="441">
        <f>RANK(H83,$H$2:$H$110,1)</f>
        <v>77</v>
      </c>
      <c r="M83" s="230">
        <f>RANK(I83,$I$2:$I$110,1)</f>
        <v>75</v>
      </c>
      <c r="N83" s="438">
        <f>RANK(J83,$J$2:$J$110,1)</f>
        <v>81</v>
      </c>
      <c r="O83" s="438">
        <f>RANK(K83,$K$2:$K$110,1)</f>
        <v>80</v>
      </c>
      <c r="P83" s="442">
        <v>0</v>
      </c>
      <c r="Q83" s="442">
        <v>0</v>
      </c>
      <c r="R83" s="439" t="e">
        <v>#N/A</v>
      </c>
      <c r="S83" s="439">
        <f>RANK(U83,$U$2:$U$110,0)</f>
        <v>4</v>
      </c>
      <c r="T83" s="440">
        <f>Table239[[#This Row],[BDG]]/Table239[[#This Row],[Odds]]</f>
        <v>5.3865671641791053</v>
      </c>
      <c r="U83" s="440" cm="1">
        <f t="array" ref="U83">MAX(_xlfn._xlws.FILTER(Table22[[B365]:[BFAIREXC]], Table22[PLAYER] = A83))</f>
        <v>67</v>
      </c>
      <c r="V83" s="439"/>
      <c r="X83" t="str">
        <f>Table239[[#This Row],[Player]]</f>
        <v>Brian Stuard</v>
      </c>
      <c r="Y83" s="14">
        <f>Table239[[#This Row],[DGSCORE]]</f>
        <v>360.90000000000003</v>
      </c>
      <c r="Z83" s="14">
        <f>Table239[[#This Row],[BDG]]</f>
        <v>360.90000000000003</v>
      </c>
      <c r="AA83" s="14">
        <f>Z83-Y83</f>
        <v>0</v>
      </c>
      <c r="AB83">
        <f>_xlfn.RANK.AVG(AA83,$AA:$AA,0)</f>
        <v>55</v>
      </c>
    </row>
    <row r="84" spans="1:28">
      <c r="A84" s="438" t="s">
        <v>155</v>
      </c>
      <c r="B84" s="439">
        <v>159</v>
      </c>
      <c r="C84" s="439">
        <v>91</v>
      </c>
      <c r="D84" s="439">
        <v>109</v>
      </c>
      <c r="E84" s="439">
        <v>120</v>
      </c>
      <c r="F84" s="439">
        <v>100</v>
      </c>
      <c r="G84" s="439">
        <v>122</v>
      </c>
      <c r="H84" s="439">
        <v>362.9</v>
      </c>
      <c r="I84" s="440">
        <v>489.11378346485287</v>
      </c>
      <c r="J84" s="259">
        <v>362.9</v>
      </c>
      <c r="K84" s="260">
        <v>489.11378346485287</v>
      </c>
      <c r="L84" s="441">
        <f>RANK(H84,$H$2:$H$110,1)</f>
        <v>78</v>
      </c>
      <c r="M84" s="230">
        <f>RANK(I84,$I$2:$I$110,1)</f>
        <v>58</v>
      </c>
      <c r="N84" s="438">
        <f>RANK(J84,$J$2:$J$110,1)</f>
        <v>82</v>
      </c>
      <c r="O84" s="438">
        <f>RANK(K84,$K$2:$K$110,1)</f>
        <v>61</v>
      </c>
      <c r="P84" s="442">
        <v>0</v>
      </c>
      <c r="Q84" s="442">
        <v>0</v>
      </c>
      <c r="R84" s="439" t="e">
        <v>#N/A</v>
      </c>
      <c r="S84" s="439">
        <f>RANK(U84,$U$2:$U$110,0)</f>
        <v>31</v>
      </c>
      <c r="T84" s="440">
        <f>Table239[[#This Row],[BDG]]/Table239[[#This Row],[Odds]]</f>
        <v>18.515306122448976</v>
      </c>
      <c r="U84" s="440" cm="1">
        <f t="array" ref="U84">MAX(_xlfn._xlws.FILTER(Table22[[B365]:[BFAIREXC]], Table22[PLAYER] = A84))</f>
        <v>19.600000000000001</v>
      </c>
      <c r="V84" s="439"/>
      <c r="X84" t="str">
        <f>Table239[[#This Row],[Player]]</f>
        <v>Scott Piercy</v>
      </c>
      <c r="Y84" s="14">
        <f>Table239[[#This Row],[DGSCORE]]</f>
        <v>362.9</v>
      </c>
      <c r="Z84" s="14">
        <f>Table239[[#This Row],[BDG]]</f>
        <v>362.9</v>
      </c>
      <c r="AA84" s="14">
        <f>Z84-Y84</f>
        <v>0</v>
      </c>
      <c r="AB84">
        <f>_xlfn.RANK.AVG(AA84,$AA:$AA,0)</f>
        <v>55</v>
      </c>
    </row>
    <row r="85" spans="1:28">
      <c r="A85" s="438" t="s">
        <v>163</v>
      </c>
      <c r="B85" s="439">
        <v>165</v>
      </c>
      <c r="C85" s="439">
        <v>105</v>
      </c>
      <c r="D85" s="439">
        <v>119</v>
      </c>
      <c r="E85" s="439">
        <v>111</v>
      </c>
      <c r="F85" s="439">
        <v>159</v>
      </c>
      <c r="G85" s="439">
        <v>165</v>
      </c>
      <c r="H85" s="439">
        <v>408.20000000000005</v>
      </c>
      <c r="I85" s="440">
        <v>577.28378665900254</v>
      </c>
      <c r="J85" s="259">
        <v>365.46895075974055</v>
      </c>
      <c r="K85" s="260">
        <v>507.94696525068321</v>
      </c>
      <c r="L85" s="441">
        <f>RANK(H85,$H$2:$H$110,1)</f>
        <v>95</v>
      </c>
      <c r="M85" s="230">
        <f>RANK(I85,$I$2:$I$110,1)</f>
        <v>88</v>
      </c>
      <c r="N85" s="438">
        <f>RANK(J85,$J$2:$J$110,1)</f>
        <v>83</v>
      </c>
      <c r="O85" s="438">
        <f>RANK(K85,$K$2:$K$110,1)</f>
        <v>69</v>
      </c>
      <c r="P85" s="442">
        <v>0</v>
      </c>
      <c r="Q85" s="442">
        <v>0</v>
      </c>
      <c r="R85" s="439">
        <v>-5</v>
      </c>
      <c r="S85" s="439">
        <f>RANK(U85,$U$2:$U$110,0)</f>
        <v>42</v>
      </c>
      <c r="T85" s="440">
        <f>Table239[[#This Row],[BDG]]/Table239[[#This Row],[Odds]]</f>
        <v>21.884368308966501</v>
      </c>
      <c r="U85" s="440" cm="1">
        <f t="array" ref="U85">MAX(_xlfn._xlws.FILTER(Table22[[B365]:[BFAIREXC]], Table22[PLAYER] = A85))</f>
        <v>16.7</v>
      </c>
      <c r="V85" s="439"/>
      <c r="X85" t="str">
        <f>Table239[[#This Row],[Player]]</f>
        <v>David Lipsky</v>
      </c>
      <c r="Y85" s="14">
        <f>Table239[[#This Row],[DGSCORE]]</f>
        <v>408.20000000000005</v>
      </c>
      <c r="Z85" s="14">
        <f>Table239[[#This Row],[BDG]]</f>
        <v>365.46895075974055</v>
      </c>
      <c r="AA85" s="14">
        <f>Z85-Y85</f>
        <v>-42.731049240259495</v>
      </c>
      <c r="AB85">
        <f>_xlfn.RANK.AVG(AA85,$AA:$AA,0)</f>
        <v>102</v>
      </c>
    </row>
    <row r="86" spans="1:28">
      <c r="A86" s="438" t="s">
        <v>81</v>
      </c>
      <c r="B86" s="439">
        <v>80</v>
      </c>
      <c r="C86" s="439">
        <v>159</v>
      </c>
      <c r="D86" s="439">
        <v>139</v>
      </c>
      <c r="E86" s="439">
        <v>81</v>
      </c>
      <c r="F86" s="439">
        <v>174</v>
      </c>
      <c r="G86" s="439">
        <v>152</v>
      </c>
      <c r="H86" s="439">
        <v>368.2</v>
      </c>
      <c r="I86" s="440">
        <v>543.67728462159221</v>
      </c>
      <c r="J86" s="259">
        <v>368.2</v>
      </c>
      <c r="K86" s="260">
        <v>543.67728462159221</v>
      </c>
      <c r="L86" s="441">
        <f>RANK(H86,$H$2:$H$110,1)</f>
        <v>80</v>
      </c>
      <c r="M86" s="230">
        <f>RANK(I86,$I$2:$I$110,1)</f>
        <v>79</v>
      </c>
      <c r="N86" s="438">
        <f>RANK(J86,$J$2:$J$110,1)</f>
        <v>84</v>
      </c>
      <c r="O86" s="438">
        <f>RANK(K86,$K$2:$K$110,1)</f>
        <v>83</v>
      </c>
      <c r="P86" s="442">
        <v>0</v>
      </c>
      <c r="Q86" s="442">
        <v>0</v>
      </c>
      <c r="R86" s="439" t="e">
        <v>#N/A</v>
      </c>
      <c r="S86" s="439">
        <f>RANK(U86,$U$2:$U$110,0)</f>
        <v>37</v>
      </c>
      <c r="T86" s="440">
        <f>Table239[[#This Row],[BDG]]/Table239[[#This Row],[Odds]]</f>
        <v>19.378947368421052</v>
      </c>
      <c r="U86" s="440" cm="1">
        <f t="array" ref="U86">MAX(_xlfn._xlws.FILTER(Table22[[B365]:[BFAIREXC]], Table22[PLAYER] = A86))</f>
        <v>19</v>
      </c>
      <c r="V86" s="439"/>
      <c r="X86" t="str">
        <f>Table239[[#This Row],[Player]]</f>
        <v>Zecheng Dou</v>
      </c>
      <c r="Y86" s="14">
        <f>Table239[[#This Row],[DGSCORE]]</f>
        <v>368.2</v>
      </c>
      <c r="Z86" s="14">
        <f>Table239[[#This Row],[BDG]]</f>
        <v>368.2</v>
      </c>
      <c r="AA86" s="14">
        <f>Z86-Y86</f>
        <v>0</v>
      </c>
      <c r="AB86">
        <f>_xlfn.RANK.AVG(AA86,$AA:$AA,0)</f>
        <v>55</v>
      </c>
    </row>
    <row r="87" spans="1:28">
      <c r="A87" s="438" t="s">
        <v>223</v>
      </c>
      <c r="B87" s="439">
        <v>85</v>
      </c>
      <c r="C87" s="439">
        <v>179</v>
      </c>
      <c r="D87" s="439">
        <v>145</v>
      </c>
      <c r="E87" s="439">
        <v>72</v>
      </c>
      <c r="F87" s="439">
        <v>155</v>
      </c>
      <c r="G87" s="439">
        <v>172</v>
      </c>
      <c r="H87" s="439">
        <v>373.8</v>
      </c>
      <c r="I87" s="440">
        <v>566.59909896991644</v>
      </c>
      <c r="J87" s="259">
        <v>369.22486035042039</v>
      </c>
      <c r="K87" s="260">
        <v>560.67422091061451</v>
      </c>
      <c r="L87" s="441">
        <f>RANK(H87,$H$2:$H$110,1)</f>
        <v>85</v>
      </c>
      <c r="M87" s="230">
        <f>RANK(I87,$I$2:$I$110,1)</f>
        <v>83</v>
      </c>
      <c r="N87" s="438">
        <f>RANK(J87,$J$2:$J$110,1)</f>
        <v>85</v>
      </c>
      <c r="O87" s="438">
        <f>RANK(K87,$K$2:$K$110,1)</f>
        <v>87</v>
      </c>
      <c r="P87" s="442">
        <v>0</v>
      </c>
      <c r="Q87" s="442">
        <v>0</v>
      </c>
      <c r="R87" s="439">
        <v>12</v>
      </c>
      <c r="S87" s="439">
        <f>RANK(U87,$U$2:$U$110,0)</f>
        <v>63</v>
      </c>
      <c r="T87" s="440">
        <f>Table239[[#This Row],[BDG]]/Table239[[#This Row],[Odds]]</f>
        <v>35.847073820429159</v>
      </c>
      <c r="U87" s="440" cm="1">
        <f t="array" ref="U87">MAX(_xlfn._xlws.FILTER(Table22[[B365]:[BFAIREXC]], Table22[PLAYER] = A87))</f>
        <v>10.3</v>
      </c>
      <c r="V87" s="439"/>
      <c r="X87" t="str">
        <f>Table239[[#This Row],[Player]]</f>
        <v>Vince Whaley</v>
      </c>
      <c r="Y87" s="14">
        <f>Table239[[#This Row],[DGSCORE]]</f>
        <v>373.8</v>
      </c>
      <c r="Z87" s="14">
        <f>Table239[[#This Row],[BDG]]</f>
        <v>369.22486035042039</v>
      </c>
      <c r="AA87" s="14">
        <f>Z87-Y87</f>
        <v>-4.5751396495796257</v>
      </c>
      <c r="AB87">
        <f>_xlfn.RANK.AVG(AA87,$AA:$AA,0)</f>
        <v>86</v>
      </c>
    </row>
    <row r="88" spans="1:28">
      <c r="A88" s="438" t="s">
        <v>157</v>
      </c>
      <c r="B88" s="439">
        <v>165</v>
      </c>
      <c r="C88" s="439">
        <v>63</v>
      </c>
      <c r="D88" s="439">
        <v>106</v>
      </c>
      <c r="E88" s="439">
        <v>98</v>
      </c>
      <c r="F88" s="439">
        <v>155</v>
      </c>
      <c r="G88" s="439">
        <v>157</v>
      </c>
      <c r="H88" s="439">
        <v>370.9</v>
      </c>
      <c r="I88" s="440">
        <v>526.95681441862052</v>
      </c>
      <c r="J88" s="259">
        <v>370.9</v>
      </c>
      <c r="K88" s="260">
        <v>526.95681441862052</v>
      </c>
      <c r="L88" s="441">
        <f>RANK(H88,$H$2:$H$110,1)</f>
        <v>82</v>
      </c>
      <c r="M88" s="230">
        <f>RANK(I88,$I$2:$I$110,1)</f>
        <v>70</v>
      </c>
      <c r="N88" s="438">
        <f>RANK(J88,$J$2:$J$110,1)</f>
        <v>86</v>
      </c>
      <c r="O88" s="438">
        <f>RANK(K88,$K$2:$K$110,1)</f>
        <v>76</v>
      </c>
      <c r="P88" s="442">
        <v>0</v>
      </c>
      <c r="Q88" s="442">
        <v>0</v>
      </c>
      <c r="R88" s="439" t="e">
        <v>#N/A</v>
      </c>
      <c r="S88" s="439">
        <f>RANK(U88,$U$2:$U$110,0)</f>
        <v>52</v>
      </c>
      <c r="T88" s="440">
        <f>Table239[[#This Row],[BDG]]/Table239[[#This Row],[Odds]]</f>
        <v>27.072992700729927</v>
      </c>
      <c r="U88" s="440" cm="1">
        <f t="array" ref="U88">MAX(_xlfn._xlws.FILTER(Table22[[B365]:[BFAIREXC]], Table22[PLAYER] = A88))</f>
        <v>13.7</v>
      </c>
      <c r="V88" s="439"/>
      <c r="X88" t="str">
        <f>Table239[[#This Row],[Player]]</f>
        <v>Henrik Norlander</v>
      </c>
      <c r="Y88" s="14">
        <f>Table239[[#This Row],[DGSCORE]]</f>
        <v>370.9</v>
      </c>
      <c r="Z88" s="14">
        <f>Table239[[#This Row],[BDG]]</f>
        <v>370.9</v>
      </c>
      <c r="AA88" s="14">
        <f>Z88-Y88</f>
        <v>0</v>
      </c>
      <c r="AB88">
        <f>_xlfn.RANK.AVG(AA88,$AA:$AA,0)</f>
        <v>55</v>
      </c>
    </row>
    <row r="89" spans="1:28">
      <c r="A89" s="159" t="s">
        <v>401</v>
      </c>
      <c r="B89">
        <v>25</v>
      </c>
      <c r="C89">
        <v>168</v>
      </c>
      <c r="D89">
        <v>165</v>
      </c>
      <c r="E89">
        <v>179</v>
      </c>
      <c r="F89">
        <v>156</v>
      </c>
      <c r="G89">
        <v>179</v>
      </c>
      <c r="H89">
        <v>371.6</v>
      </c>
      <c r="I89" s="14">
        <v>612.18798238215288</v>
      </c>
      <c r="J89" s="259">
        <v>371.6</v>
      </c>
      <c r="K89" s="260">
        <v>612.18798238215288</v>
      </c>
      <c r="L89" s="16">
        <f>RANK(H89,$H$2:$H$110,1)</f>
        <v>83</v>
      </c>
      <c r="M89" s="230">
        <f>RANK(I89,$I$2:$I$110,1)</f>
        <v>98</v>
      </c>
      <c r="N89" s="159">
        <f>RANK(J89,$J$2:$J$110,1)</f>
        <v>87</v>
      </c>
      <c r="O89" s="159">
        <f>RANK(K89,$K$2:$K$110,1)</f>
        <v>98</v>
      </c>
      <c r="P89" s="15">
        <v>0</v>
      </c>
      <c r="Q89" s="15">
        <v>0</v>
      </c>
      <c r="R89">
        <v>-4</v>
      </c>
      <c r="S89">
        <f>RANK(U89,$U$2:$U$110,0)</f>
        <v>22</v>
      </c>
      <c r="T89" s="14">
        <f>Table239[[#This Row],[BDG]]/Table239[[#This Row],[Odds]]</f>
        <v>13.762962962962964</v>
      </c>
      <c r="U89" s="14" cm="1">
        <f t="array" ref="U89">MAX(_xlfn._xlws.FILTER(Table22[[B365]:[BFAIREXC]], Table22[PLAYER] = A89))</f>
        <v>27</v>
      </c>
      <c r="V89" s="439"/>
      <c r="X89" t="str">
        <f>Table239[[#This Row],[Player]]</f>
        <v>Paul Barjon</v>
      </c>
      <c r="Y89" s="14">
        <f>Table239[[#This Row],[DGSCORE]]</f>
        <v>371.6</v>
      </c>
      <c r="Z89" s="14">
        <f>Table239[[#This Row],[BDG]]</f>
        <v>371.6</v>
      </c>
      <c r="AA89" s="14">
        <f>Z89-Y89</f>
        <v>0</v>
      </c>
      <c r="AB89">
        <f>_xlfn.RANK.AVG(AA89,$AA:$AA,0)</f>
        <v>55</v>
      </c>
    </row>
    <row r="90" spans="1:28">
      <c r="A90" s="438" t="s">
        <v>186</v>
      </c>
      <c r="B90" s="439">
        <v>188</v>
      </c>
      <c r="C90" s="439">
        <v>28</v>
      </c>
      <c r="D90" s="439">
        <v>166</v>
      </c>
      <c r="E90" s="439">
        <v>24</v>
      </c>
      <c r="F90" s="439">
        <v>127</v>
      </c>
      <c r="G90" s="439">
        <v>171</v>
      </c>
      <c r="H90" s="439">
        <v>372.5</v>
      </c>
      <c r="I90" s="440">
        <v>529.56551206178847</v>
      </c>
      <c r="J90" s="259">
        <v>372.5</v>
      </c>
      <c r="K90" s="260">
        <v>529.56551206178847</v>
      </c>
      <c r="L90" s="441">
        <f>RANK(H90,$H$2:$H$110,1)</f>
        <v>84</v>
      </c>
      <c r="M90" s="230">
        <f>RANK(I90,$I$2:$I$110,1)</f>
        <v>72</v>
      </c>
      <c r="N90" s="438">
        <f>RANK(J90,$J$2:$J$110,1)</f>
        <v>88</v>
      </c>
      <c r="O90" s="438">
        <f>RANK(K90,$K$2:$K$110,1)</f>
        <v>78</v>
      </c>
      <c r="P90" s="442">
        <v>0</v>
      </c>
      <c r="Q90" s="442">
        <v>0</v>
      </c>
      <c r="R90" s="439" t="e">
        <v>#N/A</v>
      </c>
      <c r="S90" s="439">
        <f>RANK(U90,$U$2:$U$110,0)</f>
        <v>39</v>
      </c>
      <c r="T90" s="440">
        <f>Table239[[#This Row],[BDG]]/Table239[[#This Row],[Odds]]</f>
        <v>21.656976744186046</v>
      </c>
      <c r="U90" s="440" cm="1">
        <f t="array" ref="U90">MAX(_xlfn._xlws.FILTER(Table22[[B365]:[BFAIREXC]], Table22[PLAYER] = A90))</f>
        <v>17.2</v>
      </c>
      <c r="V90" s="439"/>
      <c r="X90" t="str">
        <f>Table239[[#This Row],[Player]]</f>
        <v>Austin Cook</v>
      </c>
      <c r="Y90" s="14">
        <f>Table239[[#This Row],[DGSCORE]]</f>
        <v>372.5</v>
      </c>
      <c r="Z90" s="14">
        <f>Table239[[#This Row],[BDG]]</f>
        <v>372.5</v>
      </c>
      <c r="AA90" s="14">
        <f>Z90-Y90</f>
        <v>0</v>
      </c>
      <c r="AB90">
        <f>_xlfn.RANK.AVG(AA90,$AA:$AA,0)</f>
        <v>55</v>
      </c>
    </row>
    <row r="91" spans="1:28">
      <c r="A91" s="438" t="s">
        <v>559</v>
      </c>
      <c r="B91" s="439">
        <v>96</v>
      </c>
      <c r="C91" s="439">
        <v>160</v>
      </c>
      <c r="D91" s="439">
        <v>177</v>
      </c>
      <c r="E91" s="439">
        <v>162</v>
      </c>
      <c r="F91" s="439">
        <v>44</v>
      </c>
      <c r="G91" s="439">
        <v>152</v>
      </c>
      <c r="H91" s="439">
        <v>377.1</v>
      </c>
      <c r="I91" s="440">
        <v>567.52428230912278</v>
      </c>
      <c r="J91" s="259">
        <v>377.1</v>
      </c>
      <c r="K91" s="260">
        <v>567.52428230912278</v>
      </c>
      <c r="L91" s="441">
        <f>RANK(H91,$H$2:$H$110,1)</f>
        <v>87</v>
      </c>
      <c r="M91" s="230">
        <f>RANK(I91,$I$2:$I$110,1)</f>
        <v>84</v>
      </c>
      <c r="N91" s="438">
        <f>RANK(J91,$J$2:$J$110,1)</f>
        <v>89</v>
      </c>
      <c r="O91" s="438">
        <f>RANK(K91,$K$2:$K$110,1)</f>
        <v>88</v>
      </c>
      <c r="P91" s="442">
        <v>0</v>
      </c>
      <c r="Q91" s="442">
        <v>0</v>
      </c>
      <c r="R91" s="439">
        <v>-56</v>
      </c>
      <c r="S91" s="439">
        <f>RANK(U91,$U$2:$U$110,0)</f>
        <v>24</v>
      </c>
      <c r="T91" s="440">
        <f>Table239[[#This Row],[BDG]]/Table239[[#This Row],[Odds]]</f>
        <v>15.084000000000001</v>
      </c>
      <c r="U91" s="440" cm="1">
        <f t="array" ref="U91">MAX(_xlfn._xlws.FILTER(Table22[[B365]:[BFAIREXC]], Table22[PLAYER] = A91))</f>
        <v>25</v>
      </c>
      <c r="V91" s="439"/>
      <c r="X91" t="str">
        <f>Table239[[#This Row],[Player]]</f>
        <v>Trace Crowe</v>
      </c>
      <c r="Y91" s="14">
        <f>Table239[[#This Row],[DGSCORE]]</f>
        <v>377.1</v>
      </c>
      <c r="Z91" s="14">
        <f>Table239[[#This Row],[BDG]]</f>
        <v>377.1</v>
      </c>
      <c r="AA91" s="14">
        <f>Z91-Y91</f>
        <v>0</v>
      </c>
      <c r="AB91">
        <f>_xlfn.RANK.AVG(AA91,$AA:$AA,0)</f>
        <v>55</v>
      </c>
    </row>
    <row r="92" spans="1:28">
      <c r="A92" s="438" t="s">
        <v>83</v>
      </c>
      <c r="B92" s="439">
        <v>83</v>
      </c>
      <c r="C92" s="439">
        <v>141</v>
      </c>
      <c r="D92" s="439">
        <v>187</v>
      </c>
      <c r="E92" s="439">
        <v>126</v>
      </c>
      <c r="F92" s="439">
        <v>108</v>
      </c>
      <c r="G92" s="439">
        <v>183</v>
      </c>
      <c r="H92" s="439">
        <v>380.5</v>
      </c>
      <c r="I92" s="440">
        <v>601.05033135241456</v>
      </c>
      <c r="J92" s="259">
        <v>380.5</v>
      </c>
      <c r="K92" s="260">
        <v>601.05033135241456</v>
      </c>
      <c r="L92" s="441">
        <f>RANK(H92,$H$2:$H$110,1)</f>
        <v>88</v>
      </c>
      <c r="M92" s="230">
        <f>RANK(I92,$I$2:$I$110,1)</f>
        <v>94</v>
      </c>
      <c r="N92" s="438">
        <f>RANK(J92,$J$2:$J$110,1)</f>
        <v>90</v>
      </c>
      <c r="O92" s="438">
        <f>RANK(K92,$K$2:$K$110,1)</f>
        <v>95</v>
      </c>
      <c r="P92" s="442">
        <v>0</v>
      </c>
      <c r="Q92" s="442">
        <v>0</v>
      </c>
      <c r="R92" s="439" t="e">
        <v>#N/A</v>
      </c>
      <c r="S92" s="439">
        <f>RANK(U92,$U$2:$U$110,0)</f>
        <v>50</v>
      </c>
      <c r="T92" s="440">
        <f>Table239[[#This Row],[BDG]]/Table239[[#This Row],[Odds]]</f>
        <v>25.8843537414966</v>
      </c>
      <c r="U92" s="440" cm="1">
        <f t="array" ref="U92">MAX(_xlfn._xlws.FILTER(Table22[[B365]:[BFAIREXC]], Table22[PLAYER] = A92))</f>
        <v>14.7</v>
      </c>
      <c r="V92" s="439"/>
      <c r="X92" t="str">
        <f>Table239[[#This Row],[Player]]</f>
        <v>Martin Trainer</v>
      </c>
      <c r="Y92" s="14">
        <f>Table239[[#This Row],[DGSCORE]]</f>
        <v>380.5</v>
      </c>
      <c r="Z92" s="14">
        <f>Table239[[#This Row],[BDG]]</f>
        <v>380.5</v>
      </c>
      <c r="AA92" s="14">
        <f>Z92-Y92</f>
        <v>0</v>
      </c>
      <c r="AB92">
        <f>_xlfn.RANK.AVG(AA92,$AA:$AA,0)</f>
        <v>55</v>
      </c>
    </row>
    <row r="93" spans="1:28">
      <c r="A93" s="438" t="s">
        <v>86</v>
      </c>
      <c r="B93" s="439">
        <v>85</v>
      </c>
      <c r="C93" s="439">
        <v>167</v>
      </c>
      <c r="D93" s="439">
        <v>192</v>
      </c>
      <c r="E93" s="439">
        <v>144</v>
      </c>
      <c r="F93" s="439">
        <v>58</v>
      </c>
      <c r="G93" s="439">
        <v>185</v>
      </c>
      <c r="H93" s="439">
        <v>381</v>
      </c>
      <c r="I93" s="440">
        <v>606.25862606349449</v>
      </c>
      <c r="J93" s="259">
        <v>381</v>
      </c>
      <c r="K93" s="260">
        <v>606.25862606349449</v>
      </c>
      <c r="L93" s="441">
        <f>RANK(H93,$H$2:$H$110,1)</f>
        <v>89</v>
      </c>
      <c r="M93" s="230">
        <f>RANK(I93,$I$2:$I$110,1)</f>
        <v>97</v>
      </c>
      <c r="N93" s="438">
        <f>RANK(J93,$J$2:$J$110,1)</f>
        <v>91</v>
      </c>
      <c r="O93" s="438">
        <f>RANK(K93,$K$2:$K$110,1)</f>
        <v>97</v>
      </c>
      <c r="P93" s="442" t="e">
        <v>#N/A</v>
      </c>
      <c r="Q93" s="442" t="e">
        <v>#N/A</v>
      </c>
      <c r="R93" s="439" t="e">
        <v>#N/A</v>
      </c>
      <c r="S93" s="439">
        <f>RANK(U93,$U$2:$U$110,0)</f>
        <v>18</v>
      </c>
      <c r="T93" s="440">
        <f>Table239[[#This Row],[BDG]]/Table239[[#This Row],[Odds]]</f>
        <v>11.205882352941176</v>
      </c>
      <c r="U93" s="440" cm="1">
        <f t="array" ref="U93">MAX(_xlfn._xlws.FILTER(Table22[[B365]:[BFAIREXC]], Table22[PLAYER] = A93))</f>
        <v>34</v>
      </c>
      <c r="V93" s="439"/>
      <c r="X93" t="str">
        <f>Table239[[#This Row],[Player]]</f>
        <v>Harry Higgs</v>
      </c>
      <c r="Y93" s="14">
        <f>Table239[[#This Row],[DGSCORE]]</f>
        <v>381</v>
      </c>
      <c r="Z93" s="14">
        <f>Table239[[#This Row],[BDG]]</f>
        <v>381</v>
      </c>
      <c r="AA93" s="14">
        <f>Z93-Y93</f>
        <v>0</v>
      </c>
      <c r="AB93">
        <f>_xlfn.RANK.AVG(AA93,$AA:$AA,0)</f>
        <v>55</v>
      </c>
    </row>
    <row r="94" spans="1:28">
      <c r="A94" s="438" t="s">
        <v>185</v>
      </c>
      <c r="B94" s="439">
        <v>187</v>
      </c>
      <c r="C94" s="439">
        <v>2</v>
      </c>
      <c r="D94" s="439">
        <v>114</v>
      </c>
      <c r="E94" s="439">
        <v>148</v>
      </c>
      <c r="F94" s="439">
        <v>147</v>
      </c>
      <c r="G94" s="439">
        <v>162</v>
      </c>
      <c r="H94" s="439">
        <v>381.8</v>
      </c>
      <c r="I94" s="440">
        <v>548.33720548006977</v>
      </c>
      <c r="J94" s="259">
        <v>381.8</v>
      </c>
      <c r="K94" s="260">
        <v>548.33720548006977</v>
      </c>
      <c r="L94" s="441">
        <f>RANK(H94,$H$2:$H$110,1)</f>
        <v>90</v>
      </c>
      <c r="M94" s="230">
        <f>RANK(I94,$I$2:$I$110,1)</f>
        <v>80</v>
      </c>
      <c r="N94" s="438">
        <f>RANK(J94,$J$2:$J$110,1)</f>
        <v>92</v>
      </c>
      <c r="O94" s="438">
        <f>RANK(K94,$K$2:$K$110,1)</f>
        <v>84</v>
      </c>
      <c r="P94" s="442" t="e">
        <v>#N/A</v>
      </c>
      <c r="Q94" s="442" t="e">
        <v>#N/A</v>
      </c>
      <c r="R94" s="439" t="e">
        <v>#N/A</v>
      </c>
      <c r="S94" s="439">
        <f>RANK(U94,$U$2:$U$110,0)</f>
        <v>10</v>
      </c>
      <c r="T94" s="440">
        <f>Table239[[#This Row],[BDG]]/Table239[[#This Row],[Odds]]</f>
        <v>9.3121951219512198</v>
      </c>
      <c r="U94" s="440" cm="1">
        <f t="array" ref="U94">MAX(_xlfn._xlws.FILTER(Table22[[B365]:[BFAIREXC]], Table22[PLAYER] = A94))</f>
        <v>41</v>
      </c>
      <c r="V94" s="439"/>
      <c r="X94" t="str">
        <f>Table239[[#This Row],[Player]]</f>
        <v>Ryan Armour</v>
      </c>
      <c r="Y94" s="14">
        <f>Table239[[#This Row],[DGSCORE]]</f>
        <v>381.8</v>
      </c>
      <c r="Z94" s="14">
        <f>Table239[[#This Row],[BDG]]</f>
        <v>381.8</v>
      </c>
      <c r="AA94" s="14">
        <f>Z94-Y94</f>
        <v>0</v>
      </c>
      <c r="AB94">
        <f>_xlfn.RANK.AVG(AA94,$AA:$AA,0)</f>
        <v>55</v>
      </c>
    </row>
    <row r="95" spans="1:28">
      <c r="A95" s="438" t="s">
        <v>103</v>
      </c>
      <c r="B95" s="439">
        <v>164</v>
      </c>
      <c r="C95" s="439">
        <v>82</v>
      </c>
      <c r="D95" s="439">
        <v>163</v>
      </c>
      <c r="E95" s="439">
        <v>118</v>
      </c>
      <c r="F95" s="439">
        <v>52</v>
      </c>
      <c r="G95" s="439">
        <v>138</v>
      </c>
      <c r="H95" s="439">
        <v>375.9</v>
      </c>
      <c r="I95" s="440">
        <v>523.36787096726766</v>
      </c>
      <c r="J95" s="259">
        <v>388.64037387789904</v>
      </c>
      <c r="K95" s="260">
        <v>568.59676549883864</v>
      </c>
      <c r="L95" s="441">
        <f>RANK(H95,$H$2:$H$110,1)</f>
        <v>86</v>
      </c>
      <c r="M95" s="230">
        <f>RANK(I95,$I$2:$I$110,1)</f>
        <v>66</v>
      </c>
      <c r="N95" s="438">
        <f>RANK(J95,$J$2:$J$110,1)</f>
        <v>93</v>
      </c>
      <c r="O95" s="438">
        <f>RANK(K95,$K$2:$K$110,1)</f>
        <v>89</v>
      </c>
      <c r="P95" s="442">
        <v>0</v>
      </c>
      <c r="Q95" s="442">
        <v>0</v>
      </c>
      <c r="R95" s="439">
        <v>-57</v>
      </c>
      <c r="S95" s="439">
        <f>RANK(U95,$U$2:$U$110,0)</f>
        <v>42</v>
      </c>
      <c r="T95" s="440">
        <f>Table239[[#This Row],[BDG]]/Table239[[#This Row],[Odds]]</f>
        <v>23.271878675323297</v>
      </c>
      <c r="U95" s="440" cm="1">
        <f t="array" ref="U95">MAX(_xlfn._xlws.FILTER(Table22[[B365]:[BFAIREXC]], Table22[PLAYER] = A95))</f>
        <v>16.7</v>
      </c>
      <c r="V95" s="439"/>
      <c r="X95" t="str">
        <f>Table239[[#This Row],[Player]]</f>
        <v>Nico Echavarria</v>
      </c>
      <c r="Y95" s="14">
        <f>Table239[[#This Row],[DGSCORE]]</f>
        <v>375.9</v>
      </c>
      <c r="Z95" s="14">
        <f>Table239[[#This Row],[BDG]]</f>
        <v>388.64037387789904</v>
      </c>
      <c r="AA95" s="14">
        <f>Z95-Y95</f>
        <v>12.74037387789906</v>
      </c>
      <c r="AB95">
        <f>_xlfn.RANK.AVG(AA95,$AA:$AA,0)</f>
        <v>15</v>
      </c>
    </row>
    <row r="96" spans="1:28">
      <c r="A96" s="438" t="s">
        <v>160</v>
      </c>
      <c r="B96" s="439">
        <v>159</v>
      </c>
      <c r="C96" s="439">
        <v>108</v>
      </c>
      <c r="D96" s="439">
        <v>162</v>
      </c>
      <c r="E96" s="439">
        <v>115</v>
      </c>
      <c r="F96" s="439">
        <v>151</v>
      </c>
      <c r="G96" s="439">
        <v>159</v>
      </c>
      <c r="H96" s="439">
        <v>432</v>
      </c>
      <c r="I96" s="440">
        <v>603.90471288156891</v>
      </c>
      <c r="J96" s="259">
        <v>391.5651011165063</v>
      </c>
      <c r="K96" s="260">
        <v>550.34233577738939</v>
      </c>
      <c r="L96" s="441">
        <f>RANK(H96,$H$2:$H$110,1)</f>
        <v>103</v>
      </c>
      <c r="M96" s="230">
        <f>RANK(I96,$I$2:$I$110,1)</f>
        <v>96</v>
      </c>
      <c r="N96" s="438">
        <f>RANK(J96,$J$2:$J$110,1)</f>
        <v>94</v>
      </c>
      <c r="O96" s="438">
        <f>RANK(K96,$K$2:$K$110,1)</f>
        <v>85</v>
      </c>
      <c r="P96" s="442">
        <v>0</v>
      </c>
      <c r="Q96" s="442">
        <v>0</v>
      </c>
      <c r="R96" s="439">
        <v>4</v>
      </c>
      <c r="S96" s="439">
        <f>RANK(U96,$U$2:$U$110,0)</f>
        <v>39</v>
      </c>
      <c r="T96" s="440">
        <f>Table239[[#This Row],[BDG]]/Table239[[#This Row],[Odds]]</f>
        <v>22.765412855610833</v>
      </c>
      <c r="U96" s="440" cm="1">
        <f t="array" ref="U96">MAX(_xlfn._xlws.FILTER(Table22[[B365]:[BFAIREXC]], Table22[PLAYER] = A96))</f>
        <v>17.2</v>
      </c>
      <c r="V96" s="439"/>
      <c r="X96" t="str">
        <f>Table239[[#This Row],[Player]]</f>
        <v>Harrison Endycott</v>
      </c>
      <c r="Y96" s="14">
        <f>Table239[[#This Row],[DGSCORE]]</f>
        <v>432</v>
      </c>
      <c r="Z96" s="14">
        <f>Table239[[#This Row],[BDG]]</f>
        <v>391.5651011165063</v>
      </c>
      <c r="AA96" s="14">
        <f>Z96-Y96</f>
        <v>-40.434898883493702</v>
      </c>
      <c r="AB96">
        <f>_xlfn.RANK.AVG(AA96,$AA:$AA,0)</f>
        <v>101</v>
      </c>
    </row>
    <row r="97" spans="1:28">
      <c r="A97" s="438" t="s">
        <v>159</v>
      </c>
      <c r="B97" s="439">
        <v>159</v>
      </c>
      <c r="C97" s="439">
        <v>58</v>
      </c>
      <c r="D97" s="439">
        <v>147</v>
      </c>
      <c r="E97" s="439">
        <v>129</v>
      </c>
      <c r="F97" s="439">
        <v>130</v>
      </c>
      <c r="G97" s="439">
        <v>154</v>
      </c>
      <c r="H97" s="439">
        <v>391.6</v>
      </c>
      <c r="I97" s="440">
        <v>558.27028781919785</v>
      </c>
      <c r="J97" s="259">
        <v>391.6</v>
      </c>
      <c r="K97" s="260">
        <v>558.27028781919785</v>
      </c>
      <c r="L97" s="441">
        <f>RANK(H97,$H$2:$H$110,1)</f>
        <v>92</v>
      </c>
      <c r="M97" s="230">
        <f>RANK(I97,$I$2:$I$110,1)</f>
        <v>82</v>
      </c>
      <c r="N97" s="438">
        <f>RANK(J97,$J$2:$J$110,1)</f>
        <v>95</v>
      </c>
      <c r="O97" s="438">
        <f>RANK(K97,$K$2:$K$110,1)</f>
        <v>86</v>
      </c>
      <c r="P97" s="442">
        <v>0</v>
      </c>
      <c r="Q97" s="442">
        <v>0</v>
      </c>
      <c r="R97" s="439" t="e">
        <v>#N/A</v>
      </c>
      <c r="S97" s="439">
        <f>RANK(U97,$U$2:$U$110,0)</f>
        <v>20</v>
      </c>
      <c r="T97" s="440">
        <f>Table239[[#This Row],[BDG]]/Table239[[#This Row],[Odds]]</f>
        <v>13.985714285714286</v>
      </c>
      <c r="U97" s="440" cm="1">
        <f t="array" ref="U97">MAX(_xlfn._xlws.FILTER(Table22[[B365]:[BFAIREXC]], Table22[PLAYER] = A97))</f>
        <v>28</v>
      </c>
      <c r="V97" s="439"/>
      <c r="X97" t="str">
        <f>Table239[[#This Row],[Player]]</f>
        <v>Sean O'Hair</v>
      </c>
      <c r="Y97" s="14">
        <f>Table239[[#This Row],[DGSCORE]]</f>
        <v>391.6</v>
      </c>
      <c r="Z97" s="14">
        <f>Table239[[#This Row],[BDG]]</f>
        <v>391.6</v>
      </c>
      <c r="AA97" s="14">
        <f>Z97-Y97</f>
        <v>0</v>
      </c>
      <c r="AB97">
        <f>_xlfn.RANK.AVG(AA97,$AA:$AA,0)</f>
        <v>55</v>
      </c>
    </row>
    <row r="98" spans="1:28">
      <c r="A98" s="438" t="s">
        <v>486</v>
      </c>
      <c r="B98" s="439">
        <v>41</v>
      </c>
      <c r="C98" s="439">
        <v>162</v>
      </c>
      <c r="D98" s="439">
        <v>174</v>
      </c>
      <c r="E98" s="439">
        <v>178</v>
      </c>
      <c r="F98" s="439">
        <v>173</v>
      </c>
      <c r="G98" s="439">
        <v>183</v>
      </c>
      <c r="H98" s="439">
        <v>397.4</v>
      </c>
      <c r="I98" s="440">
        <v>639.51168990298947</v>
      </c>
      <c r="J98" s="259">
        <v>397.4</v>
      </c>
      <c r="K98" s="260">
        <v>639.51168990298947</v>
      </c>
      <c r="L98" s="441">
        <f>RANK(H98,$H$2:$H$110,1)</f>
        <v>94</v>
      </c>
      <c r="M98" s="230">
        <f>RANK(I98,$I$2:$I$110,1)</f>
        <v>104</v>
      </c>
      <c r="N98" s="438">
        <f>RANK(J98,$J$2:$J$110,1)</f>
        <v>97</v>
      </c>
      <c r="O98" s="438">
        <f>RANK(K98,$K$2:$K$110,1)</f>
        <v>104</v>
      </c>
      <c r="P98" s="442">
        <v>0</v>
      </c>
      <c r="Q98" s="442">
        <v>0</v>
      </c>
      <c r="R98" s="439">
        <v>2</v>
      </c>
      <c r="S98" s="439">
        <f>RANK(U98,$U$2:$U$110,0)</f>
        <v>48</v>
      </c>
      <c r="T98" s="440">
        <f>Table239[[#This Row],[BDG]]/Table239[[#This Row],[Odds]]</f>
        <v>26.144736842105264</v>
      </c>
      <c r="U98" s="440" cm="1">
        <f t="array" ref="U98">MAX(_xlfn._xlws.FILTER(Table22[[B365]:[BFAIREXC]], Table22[PLAYER] = A98))</f>
        <v>15.2</v>
      </c>
      <c r="V98" s="439"/>
      <c r="X98" t="str">
        <f>Table239[[#This Row],[Player]]</f>
        <v>Adrien Dumont de Chassart</v>
      </c>
      <c r="Y98" s="14">
        <f>Table239[[#This Row],[DGSCORE]]</f>
        <v>397.4</v>
      </c>
      <c r="Z98" s="14">
        <f>Table239[[#This Row],[BDG]]</f>
        <v>397.4</v>
      </c>
      <c r="AA98" s="14">
        <f>Z98-Y98</f>
        <v>0</v>
      </c>
      <c r="AB98">
        <f>_xlfn.RANK.AVG(AA98,$AA:$AA,0)</f>
        <v>55</v>
      </c>
    </row>
    <row r="99" spans="1:28">
      <c r="A99" s="438" t="s">
        <v>173</v>
      </c>
      <c r="B99" s="439">
        <v>173</v>
      </c>
      <c r="C99" s="439">
        <v>81</v>
      </c>
      <c r="D99" s="439">
        <v>181</v>
      </c>
      <c r="E99" s="439">
        <v>1</v>
      </c>
      <c r="F99" s="439">
        <v>178</v>
      </c>
      <c r="G99" s="439">
        <v>169</v>
      </c>
      <c r="H99" s="439">
        <v>412.29999999999995</v>
      </c>
      <c r="I99" s="440">
        <v>570.45046243853767</v>
      </c>
      <c r="J99" s="259">
        <v>412.29999999999995</v>
      </c>
      <c r="K99" s="260">
        <v>570.45046243853767</v>
      </c>
      <c r="L99" s="441">
        <f>RANK(H99,$H$2:$H$110,1)</f>
        <v>96</v>
      </c>
      <c r="M99" s="230">
        <f>RANK(I99,$I$2:$I$110,1)</f>
        <v>85</v>
      </c>
      <c r="N99" s="438">
        <f>RANK(J99,$J$2:$J$110,1)</f>
        <v>98</v>
      </c>
      <c r="O99" s="438">
        <f>RANK(K99,$K$2:$K$110,1)</f>
        <v>90</v>
      </c>
      <c r="P99" s="442" t="e">
        <v>#N/A</v>
      </c>
      <c r="Q99" s="442" t="e">
        <v>#N/A</v>
      </c>
      <c r="R99" s="439" t="e">
        <v>#N/A</v>
      </c>
      <c r="S99" s="439">
        <f>RANK(U99,$U$2:$U$110,0)</f>
        <v>10</v>
      </c>
      <c r="T99" s="440">
        <f>Table239[[#This Row],[BDG]]/Table239[[#This Row],[Odds]]</f>
        <v>10.056097560975608</v>
      </c>
      <c r="U99" s="440" cm="1">
        <f t="array" ref="U99">MAX(_xlfn._xlws.FILTER(Table22[[B365]:[BFAIREXC]], Table22[PLAYER] = A99))</f>
        <v>41</v>
      </c>
      <c r="V99" s="439"/>
      <c r="X99" t="str">
        <f>Table239[[#This Row],[Player]]</f>
        <v>Jonathan Byrd</v>
      </c>
      <c r="Y99" s="14">
        <f>Table239[[#This Row],[DGSCORE]]</f>
        <v>412.29999999999995</v>
      </c>
      <c r="Z99" s="14">
        <f>Table239[[#This Row],[BDG]]</f>
        <v>412.29999999999995</v>
      </c>
      <c r="AA99" s="14">
        <f>Z99-Y99</f>
        <v>0</v>
      </c>
      <c r="AB99">
        <f>_xlfn.RANK.AVG(AA99,$AA:$AA,0)</f>
        <v>55</v>
      </c>
    </row>
    <row r="100" spans="1:28">
      <c r="A100" s="438" t="s">
        <v>119</v>
      </c>
      <c r="B100" s="439">
        <v>121</v>
      </c>
      <c r="C100" s="439">
        <v>136</v>
      </c>
      <c r="D100" s="439">
        <v>153</v>
      </c>
      <c r="E100" s="439">
        <v>105</v>
      </c>
      <c r="F100" s="439">
        <v>175</v>
      </c>
      <c r="G100" s="439">
        <v>168</v>
      </c>
      <c r="H100" s="439">
        <v>413.5</v>
      </c>
      <c r="I100" s="440">
        <v>601.51595728883649</v>
      </c>
      <c r="J100" s="259">
        <v>413.5</v>
      </c>
      <c r="K100" s="260">
        <v>601.51595728883649</v>
      </c>
      <c r="L100" s="441">
        <f>RANK(H100,$H$2:$H$110,1)</f>
        <v>97</v>
      </c>
      <c r="M100" s="230">
        <f>RANK(I100,$I$2:$I$110,1)</f>
        <v>95</v>
      </c>
      <c r="N100" s="438">
        <f>RANK(J100,$J$2:$J$110,1)</f>
        <v>99</v>
      </c>
      <c r="O100" s="438">
        <f>RANK(K100,$K$2:$K$110,1)</f>
        <v>96</v>
      </c>
      <c r="P100" s="442" t="e">
        <v>#N/A</v>
      </c>
      <c r="Q100" s="442" t="e">
        <v>#N/A</v>
      </c>
      <c r="R100" s="439" t="e">
        <v>#N/A</v>
      </c>
      <c r="S100" s="439">
        <f>RANK(U100,$U$2:$U$110,0)</f>
        <v>5</v>
      </c>
      <c r="T100" s="440">
        <f>Table239[[#This Row],[BDG]]/Table239[[#This Row],[Odds]]</f>
        <v>8.1078431372549016</v>
      </c>
      <c r="U100" s="440" cm="1">
        <f t="array" ref="U100">MAX(_xlfn._xlws.FILTER(Table22[[B365]:[BFAIREXC]], Table22[PLAYER] = A100))</f>
        <v>51</v>
      </c>
      <c r="V100" s="439"/>
      <c r="X100" t="str">
        <f>Table239[[#This Row],[Player]]</f>
        <v>Robert Streb</v>
      </c>
      <c r="Y100" s="14">
        <f>Table239[[#This Row],[DGSCORE]]</f>
        <v>413.5</v>
      </c>
      <c r="Z100" s="14">
        <f>Table239[[#This Row],[BDG]]</f>
        <v>413.5</v>
      </c>
      <c r="AA100" s="14">
        <f>Z100-Y100</f>
        <v>0</v>
      </c>
      <c r="AB100">
        <f>_xlfn.RANK.AVG(AA100,$AA:$AA,0)</f>
        <v>55</v>
      </c>
    </row>
    <row r="101" spans="1:28">
      <c r="A101" s="438" t="s">
        <v>880</v>
      </c>
      <c r="B101" s="439">
        <v>124</v>
      </c>
      <c r="C101" s="439">
        <v>174</v>
      </c>
      <c r="D101" s="439">
        <v>186</v>
      </c>
      <c r="E101" s="439">
        <v>155</v>
      </c>
      <c r="F101" s="439">
        <v>53</v>
      </c>
      <c r="G101" s="439">
        <v>181</v>
      </c>
      <c r="H101" s="439">
        <v>417.3</v>
      </c>
      <c r="I101" s="440">
        <v>629.77676232136832</v>
      </c>
      <c r="J101" s="259">
        <v>417.30000000000007</v>
      </c>
      <c r="K101" s="260">
        <v>629.77676232136832</v>
      </c>
      <c r="L101" s="441">
        <f>RANK(H101,$H$2:$H$110,1)</f>
        <v>99</v>
      </c>
      <c r="M101" s="230">
        <f>RANK(I101,$I$2:$I$110,1)</f>
        <v>103</v>
      </c>
      <c r="N101" s="438">
        <f>RANK(J101,$J$2:$J$110,1)</f>
        <v>100</v>
      </c>
      <c r="O101" s="438">
        <f>RANK(K101,$K$2:$K$110,1)</f>
        <v>103</v>
      </c>
      <c r="P101" s="442">
        <v>0</v>
      </c>
      <c r="Q101" s="442">
        <v>0</v>
      </c>
      <c r="R101" s="439" t="e">
        <v>#N/A</v>
      </c>
      <c r="S101" s="439">
        <f>RANK(U101,$U$2:$U$110,0)</f>
        <v>10</v>
      </c>
      <c r="T101" s="440">
        <f>Table239[[#This Row],[BDG]]/Table239[[#This Row],[Odds]]</f>
        <v>10.178048780487806</v>
      </c>
      <c r="U101" s="440" cm="1">
        <f t="array" ref="U101">MAX(_xlfn._xlws.FILTER(Table22[[B365]:[BFAIREXC]], Table22[PLAYER] = A101))</f>
        <v>41</v>
      </c>
      <c r="V101" s="439"/>
      <c r="X101" t="str">
        <f>Table239[[#This Row],[Player]]</f>
        <v>Sangmoon Bae</v>
      </c>
      <c r="Y101" s="14">
        <f>Table239[[#This Row],[DGSCORE]]</f>
        <v>417.3</v>
      </c>
      <c r="Z101" s="14">
        <f>Table239[[#This Row],[BDG]]</f>
        <v>417.30000000000007</v>
      </c>
      <c r="AA101" s="14">
        <f>Z101-Y101</f>
        <v>0</v>
      </c>
      <c r="AB101">
        <f>_xlfn.RANK.AVG(AA101,$AA:$AA,0)</f>
        <v>55</v>
      </c>
    </row>
    <row r="102" spans="1:28">
      <c r="A102" s="438" t="s">
        <v>176</v>
      </c>
      <c r="B102" s="439">
        <v>178</v>
      </c>
      <c r="C102" s="439">
        <v>36</v>
      </c>
      <c r="D102" s="439">
        <v>193</v>
      </c>
      <c r="E102" s="439">
        <v>168</v>
      </c>
      <c r="F102" s="439">
        <v>80</v>
      </c>
      <c r="G102" s="439">
        <v>187</v>
      </c>
      <c r="H102" s="439">
        <v>420.5</v>
      </c>
      <c r="I102" s="440">
        <v>629.00372376039104</v>
      </c>
      <c r="J102" s="259">
        <v>420.5</v>
      </c>
      <c r="K102" s="260">
        <v>629.00372376039104</v>
      </c>
      <c r="L102" s="441">
        <f>RANK(H102,$H$2:$H$110,1)</f>
        <v>100</v>
      </c>
      <c r="M102" s="230">
        <f>RANK(I102,$I$2:$I$110,1)</f>
        <v>102</v>
      </c>
      <c r="N102" s="438">
        <f>RANK(J102,$J$2:$J$110,1)</f>
        <v>101</v>
      </c>
      <c r="O102" s="438">
        <f>RANK(K102,$K$2:$K$110,1)</f>
        <v>102</v>
      </c>
      <c r="P102" s="442" t="e">
        <v>#N/A</v>
      </c>
      <c r="Q102" s="442" t="e">
        <v>#N/A</v>
      </c>
      <c r="R102" s="439" t="e">
        <v>#N/A</v>
      </c>
      <c r="S102" s="439">
        <f>RANK(U102,$U$2:$U$110,0)</f>
        <v>109</v>
      </c>
      <c r="T102" s="440" t="e">
        <f>Table239[[#This Row],[BDG]]/Table239[[#This Row],[Odds]]</f>
        <v>#DIV/0!</v>
      </c>
      <c r="U102" s="440" cm="1">
        <f t="array" ref="U102">MAX(_xlfn._xlws.FILTER(Table22[[B365]:[BFAIREXC]], Table22[PLAYER] = A102))</f>
        <v>0</v>
      </c>
      <c r="V102" s="439"/>
      <c r="X102" t="str">
        <f>Table239[[#This Row],[Player]]</f>
        <v>Andrew Landry</v>
      </c>
      <c r="Y102" s="14">
        <f>Table239[[#This Row],[DGSCORE]]</f>
        <v>420.5</v>
      </c>
      <c r="Z102" s="14">
        <f>Table239[[#This Row],[BDG]]</f>
        <v>420.5</v>
      </c>
      <c r="AA102" s="14">
        <f>Z102-Y102</f>
        <v>0</v>
      </c>
      <c r="AB102">
        <f>_xlfn.RANK.AVG(AA102,$AA:$AA,0)</f>
        <v>55</v>
      </c>
    </row>
    <row r="103" spans="1:28">
      <c r="A103" s="438" t="s">
        <v>184</v>
      </c>
      <c r="B103" s="439">
        <v>186</v>
      </c>
      <c r="C103" s="439">
        <v>23</v>
      </c>
      <c r="D103" s="439">
        <v>175</v>
      </c>
      <c r="E103" s="439">
        <v>118</v>
      </c>
      <c r="F103" s="439">
        <v>151</v>
      </c>
      <c r="G103" s="439">
        <v>180</v>
      </c>
      <c r="H103" s="439">
        <v>424.09999999999997</v>
      </c>
      <c r="I103" s="440">
        <v>612.30329398255662</v>
      </c>
      <c r="J103" s="259">
        <v>424.09999999999991</v>
      </c>
      <c r="K103" s="260">
        <v>612.30329398255662</v>
      </c>
      <c r="L103" s="441">
        <f>RANK(H103,$H$2:$H$110,1)</f>
        <v>101</v>
      </c>
      <c r="M103" s="230">
        <f>RANK(I103,$I$2:$I$110,1)</f>
        <v>99</v>
      </c>
      <c r="N103" s="438">
        <f>RANK(J103,$J$2:$J$110,1)</f>
        <v>102</v>
      </c>
      <c r="O103" s="438">
        <f>RANK(K103,$K$2:$K$110,1)</f>
        <v>99</v>
      </c>
      <c r="P103" s="442">
        <v>0</v>
      </c>
      <c r="Q103" s="442">
        <v>0</v>
      </c>
      <c r="R103" s="439" t="e">
        <v>#N/A</v>
      </c>
      <c r="S103" s="439">
        <f>RANK(U103,$U$2:$U$110,0)</f>
        <v>5</v>
      </c>
      <c r="T103" s="440">
        <f>Table239[[#This Row],[BDG]]/Table239[[#This Row],[Odds]]</f>
        <v>8.3156862745098028</v>
      </c>
      <c r="U103" s="440" cm="1">
        <f t="array" ref="U103">MAX(_xlfn._xlws.FILTER(Table22[[B365]:[BFAIREXC]], Table22[PLAYER] = A103))</f>
        <v>51</v>
      </c>
      <c r="V103" s="439"/>
      <c r="X103" t="str">
        <f>Table239[[#This Row],[Player]]</f>
        <v>Paul Haley II</v>
      </c>
      <c r="Y103" s="14">
        <f>Table239[[#This Row],[DGSCORE]]</f>
        <v>424.09999999999997</v>
      </c>
      <c r="Z103" s="14">
        <f>Table239[[#This Row],[BDG]]</f>
        <v>424.09999999999991</v>
      </c>
      <c r="AA103" s="14">
        <f>Z103-Y103</f>
        <v>0</v>
      </c>
      <c r="AB103">
        <f>_xlfn.RANK.AVG(AA103,$AA:$AA,0)</f>
        <v>55</v>
      </c>
    </row>
    <row r="104" spans="1:28">
      <c r="A104" s="438" t="s">
        <v>564</v>
      </c>
      <c r="B104" s="439">
        <v>179</v>
      </c>
      <c r="C104" s="439">
        <v>168</v>
      </c>
      <c r="D104" s="439">
        <v>169</v>
      </c>
      <c r="E104" s="439">
        <v>158</v>
      </c>
      <c r="F104" s="439">
        <v>5</v>
      </c>
      <c r="G104" s="439">
        <v>176</v>
      </c>
      <c r="H104" s="439">
        <v>429.09999999999997</v>
      </c>
      <c r="I104" s="440">
        <v>619.02926857399063</v>
      </c>
      <c r="J104" s="259">
        <v>429.09999999999997</v>
      </c>
      <c r="K104" s="260">
        <v>619.02926857399063</v>
      </c>
      <c r="L104" s="441">
        <f>RANK(H104,$H$2:$H$110,1)</f>
        <v>102</v>
      </c>
      <c r="M104" s="230">
        <f>RANK(I104,$I$2:$I$110,1)</f>
        <v>100</v>
      </c>
      <c r="N104" s="438">
        <f>RANK(J104,$J$2:$J$110,1)</f>
        <v>103</v>
      </c>
      <c r="O104" s="438">
        <f>RANK(K104,$K$2:$K$110,1)</f>
        <v>100</v>
      </c>
      <c r="P104" s="442">
        <v>0</v>
      </c>
      <c r="Q104" s="442">
        <v>0</v>
      </c>
      <c r="R104" s="439" t="e">
        <v>#N/A</v>
      </c>
      <c r="S104" s="439">
        <f>RANK(U104,$U$2:$U$110,0)</f>
        <v>3</v>
      </c>
      <c r="T104" s="440">
        <f>Table239[[#This Row],[BDG]]/Table239[[#This Row],[Odds]]</f>
        <v>6.0436619718309856</v>
      </c>
      <c r="U104" s="440" cm="1">
        <f t="array" ref="U104">MAX(_xlfn._xlws.FILTER(Table22[[B365]:[BFAIREXC]], Table22[PLAYER] = A104))</f>
        <v>71</v>
      </c>
      <c r="V104" s="439"/>
      <c r="X104" t="str">
        <f>Table239[[#This Row],[Player]]</f>
        <v>Raul Pereda</v>
      </c>
      <c r="Y104" s="14">
        <f>Table239[[#This Row],[DGSCORE]]</f>
        <v>429.09999999999997</v>
      </c>
      <c r="Z104" s="14">
        <f>Table239[[#This Row],[BDG]]</f>
        <v>429.09999999999997</v>
      </c>
      <c r="AA104" s="14">
        <f>Z104-Y104</f>
        <v>0</v>
      </c>
      <c r="AB104">
        <f>_xlfn.RANK.AVG(AA104,$AA:$AA,0)</f>
        <v>55</v>
      </c>
    </row>
    <row r="105" spans="1:28">
      <c r="A105" s="438" t="s">
        <v>174</v>
      </c>
      <c r="B105" s="439">
        <v>176</v>
      </c>
      <c r="C105" s="439">
        <v>180</v>
      </c>
      <c r="D105" s="439">
        <v>104</v>
      </c>
      <c r="E105" s="439">
        <v>157</v>
      </c>
      <c r="F105" s="439">
        <v>112</v>
      </c>
      <c r="G105" s="439">
        <v>173</v>
      </c>
      <c r="H105" s="439">
        <v>440</v>
      </c>
      <c r="I105" s="440">
        <v>620.52131549374849</v>
      </c>
      <c r="J105" s="259">
        <v>440</v>
      </c>
      <c r="K105" s="260">
        <v>620.52131549374849</v>
      </c>
      <c r="L105" s="441">
        <f>RANK(H105,$H$2:$H$110,1)</f>
        <v>104</v>
      </c>
      <c r="M105" s="230">
        <f>RANK(I105,$I$2:$I$110,1)</f>
        <v>101</v>
      </c>
      <c r="N105" s="438">
        <f>RANK(J105,$J$2:$J$110,1)</f>
        <v>104</v>
      </c>
      <c r="O105" s="438">
        <f>RANK(K105,$K$2:$K$110,1)</f>
        <v>101</v>
      </c>
      <c r="P105" s="442" t="e">
        <v>#N/A</v>
      </c>
      <c r="Q105" s="442" t="e">
        <v>#N/A</v>
      </c>
      <c r="R105" s="439" t="e">
        <v>#N/A</v>
      </c>
      <c r="S105" s="439">
        <f>RANK(U105,$U$2:$U$110,0)</f>
        <v>5</v>
      </c>
      <c r="T105" s="440">
        <f>Table239[[#This Row],[BDG]]/Table239[[#This Row],[Odds]]</f>
        <v>8.6274509803921564</v>
      </c>
      <c r="U105" s="440" cm="1">
        <f t="array" ref="U105">MAX(_xlfn._xlws.FILTER(Table22[[B365]:[BFAIREXC]], Table22[PLAYER] = A105))</f>
        <v>51</v>
      </c>
      <c r="V105" s="439"/>
      <c r="X105" t="str">
        <f>Table239[[#This Row],[Player]]</f>
        <v>Sung Kang</v>
      </c>
      <c r="Y105" s="14">
        <f>Table239[[#This Row],[DGSCORE]]</f>
        <v>440</v>
      </c>
      <c r="Z105" s="14">
        <f>Table239[[#This Row],[BDG]]</f>
        <v>440</v>
      </c>
      <c r="AA105" s="14">
        <f>Z105-Y105</f>
        <v>0</v>
      </c>
      <c r="AB105">
        <f>_xlfn.RANK.AVG(AA105,$AA:$AA,0)</f>
        <v>55</v>
      </c>
    </row>
    <row r="106" spans="1:28">
      <c r="A106" s="438" t="s">
        <v>168</v>
      </c>
      <c r="B106" s="439">
        <v>172</v>
      </c>
      <c r="C106" s="439">
        <v>18</v>
      </c>
      <c r="D106" s="439">
        <v>185</v>
      </c>
      <c r="E106" s="439">
        <v>172</v>
      </c>
      <c r="F106" s="439">
        <v>182</v>
      </c>
      <c r="G106" s="439">
        <v>189</v>
      </c>
      <c r="H106" s="439">
        <v>453.1</v>
      </c>
      <c r="I106" s="440">
        <v>667.55347214102881</v>
      </c>
      <c r="J106" s="259">
        <v>453.1</v>
      </c>
      <c r="K106" s="260">
        <v>667.55347214102881</v>
      </c>
      <c r="L106" s="441">
        <f>RANK(H106,$H$2:$H$110,1)</f>
        <v>105</v>
      </c>
      <c r="M106" s="230">
        <f>RANK(I106,$I$2:$I$110,1)</f>
        <v>106</v>
      </c>
      <c r="N106" s="438">
        <f>RANK(J106,$J$2:$J$110,1)</f>
        <v>105</v>
      </c>
      <c r="O106" s="438">
        <f>RANK(K106,$K$2:$K$110,1)</f>
        <v>106</v>
      </c>
      <c r="P106" s="442">
        <v>0</v>
      </c>
      <c r="Q106" s="442">
        <v>0</v>
      </c>
      <c r="R106" s="439" t="e">
        <v>#N/A</v>
      </c>
      <c r="S106" s="439">
        <f>RANK(U106,$U$2:$U$110,0)</f>
        <v>5</v>
      </c>
      <c r="T106" s="440">
        <f>Table239[[#This Row],[BDG]]/Table239[[#This Row],[Odds]]</f>
        <v>8.8843137254901965</v>
      </c>
      <c r="U106" s="440" cm="1">
        <f t="array" ref="U106">MAX(_xlfn._xlws.FILTER(Table22[[B365]:[BFAIREXC]], Table22[PLAYER] = A106))</f>
        <v>51</v>
      </c>
      <c r="V106" s="439"/>
      <c r="X106" t="str">
        <f>Table239[[#This Row],[Player]]</f>
        <v>Jim Herman</v>
      </c>
      <c r="Y106" s="14">
        <f>Table239[[#This Row],[DGSCORE]]</f>
        <v>453.1</v>
      </c>
      <c r="Z106" s="14">
        <f>Table239[[#This Row],[BDG]]</f>
        <v>453.1</v>
      </c>
      <c r="AA106" s="14">
        <f>Z106-Y106</f>
        <v>0</v>
      </c>
      <c r="AB106">
        <f>_xlfn.RANK.AVG(AA106,$AA:$AA,0)</f>
        <v>55</v>
      </c>
    </row>
    <row r="107" spans="1:28">
      <c r="A107" s="438" t="s">
        <v>138</v>
      </c>
      <c r="B107" s="439">
        <v>138</v>
      </c>
      <c r="C107" s="439">
        <v>190</v>
      </c>
      <c r="D107" s="439">
        <v>146</v>
      </c>
      <c r="E107" s="439">
        <v>156</v>
      </c>
      <c r="F107" s="439">
        <v>143</v>
      </c>
      <c r="G107" s="439">
        <v>192</v>
      </c>
      <c r="H107" s="439">
        <v>455.29999999999995</v>
      </c>
      <c r="I107" s="440">
        <v>671.81830923582368</v>
      </c>
      <c r="J107" s="259">
        <v>455.29999999999995</v>
      </c>
      <c r="K107" s="260">
        <v>671.81830923582368</v>
      </c>
      <c r="L107" s="441">
        <f>RANK(H107,$H$2:$H$110,1)</f>
        <v>106</v>
      </c>
      <c r="M107" s="230">
        <f>RANK(I107,$I$2:$I$110,1)</f>
        <v>107</v>
      </c>
      <c r="N107" s="438">
        <f>RANK(J107,$J$2:$J$110,1)</f>
        <v>106</v>
      </c>
      <c r="O107" s="438">
        <f>RANK(K107,$K$2:$K$110,1)</f>
        <v>107</v>
      </c>
      <c r="P107" s="442" t="e">
        <v>#N/A</v>
      </c>
      <c r="Q107" s="442" t="e">
        <v>#N/A</v>
      </c>
      <c r="R107" s="439" t="e">
        <v>#N/A</v>
      </c>
      <c r="S107" s="439">
        <f>RANK(U107,$U$2:$U$110,0)</f>
        <v>1</v>
      </c>
      <c r="T107" s="440">
        <f>Table239[[#This Row],[BDG]]/Table239[[#This Row],[Odds]]</f>
        <v>3.6134920634920631</v>
      </c>
      <c r="U107" s="440" cm="1">
        <f t="array" ref="U107">MAX(_xlfn._xlws.FILTER(Table22[[B365]:[BFAIREXC]], Table22[PLAYER] = A107))</f>
        <v>126</v>
      </c>
      <c r="V107" s="439"/>
    </row>
    <row r="108" spans="1:28">
      <c r="A108" s="438" t="s">
        <v>861</v>
      </c>
      <c r="B108" s="439">
        <v>186</v>
      </c>
      <c r="C108" s="439">
        <v>106</v>
      </c>
      <c r="D108" s="439">
        <v>167</v>
      </c>
      <c r="E108" s="439">
        <v>192</v>
      </c>
      <c r="F108" s="439">
        <v>90</v>
      </c>
      <c r="G108" s="439">
        <v>194</v>
      </c>
      <c r="H108" s="439">
        <v>459.1</v>
      </c>
      <c r="I108" s="440">
        <v>674.12406285845611</v>
      </c>
      <c r="J108" s="259">
        <v>459.1</v>
      </c>
      <c r="K108" s="260">
        <v>674.12406285845611</v>
      </c>
      <c r="L108" s="441">
        <f>RANK(H108,$H$2:$H$110,1)</f>
        <v>107</v>
      </c>
      <c r="M108" s="230">
        <f>RANK(I108,$I$2:$I$110,1)</f>
        <v>108</v>
      </c>
      <c r="N108" s="438">
        <f>RANK(J108,$J$2:$J$110,1)</f>
        <v>107</v>
      </c>
      <c r="O108" s="438">
        <f>RANK(K108,$K$2:$K$110,1)</f>
        <v>108</v>
      </c>
      <c r="P108" s="442">
        <v>0</v>
      </c>
      <c r="Q108" s="442">
        <v>0</v>
      </c>
      <c r="R108" s="439" t="e">
        <v>#N/A</v>
      </c>
      <c r="S108" s="439">
        <f>RANK(U108,$U$2:$U$110,0)</f>
        <v>16</v>
      </c>
      <c r="T108" s="440">
        <f>Table239[[#This Row],[BDG]]/Table239[[#This Row],[Odds]]</f>
        <v>11.771794871794873</v>
      </c>
      <c r="U108" s="440" cm="1">
        <f t="array" ref="U108">MAX(_xlfn._xlws.FILTER(Table22[[B365]:[BFAIREXC]], Table22[PLAYER] = A108))</f>
        <v>39</v>
      </c>
      <c r="V108" s="439"/>
    </row>
    <row r="109" spans="1:28">
      <c r="A109" s="438" t="s">
        <v>419</v>
      </c>
      <c r="B109" s="439">
        <v>178</v>
      </c>
      <c r="C109" s="439">
        <v>64</v>
      </c>
      <c r="D109" s="439">
        <v>164</v>
      </c>
      <c r="E109" s="439">
        <v>174</v>
      </c>
      <c r="F109" s="439">
        <v>176</v>
      </c>
      <c r="G109" s="439">
        <v>181</v>
      </c>
      <c r="H109" s="439">
        <v>464.6</v>
      </c>
      <c r="I109" s="440">
        <v>666.71695288764772</v>
      </c>
      <c r="J109" s="259">
        <v>464.6</v>
      </c>
      <c r="K109" s="260">
        <v>666.71695288764772</v>
      </c>
      <c r="L109" s="441">
        <f>RANK(H109,$H$2:$H$110,1)</f>
        <v>108</v>
      </c>
      <c r="M109" s="230">
        <f>RANK(I109,$I$2:$I$110,1)</f>
        <v>105</v>
      </c>
      <c r="N109" s="438">
        <f>RANK(J109,$J$2:$J$110,1)</f>
        <v>108</v>
      </c>
      <c r="O109" s="438">
        <f>RANK(K109,$K$2:$K$110,1)</f>
        <v>105</v>
      </c>
      <c r="P109" s="442">
        <v>0</v>
      </c>
      <c r="Q109" s="442">
        <v>0</v>
      </c>
      <c r="R109" s="439">
        <v>-5</v>
      </c>
      <c r="S109" s="439">
        <f>RANK(U109,$U$2:$U$110,0)</f>
        <v>45</v>
      </c>
      <c r="T109" s="440">
        <f>Table239[[#This Row],[BDG]]/Table239[[#This Row],[Odds]]</f>
        <v>29.592356687898093</v>
      </c>
      <c r="U109" s="440" cm="1">
        <f t="array" ref="U109">MAX(_xlfn._xlws.FILTER(Table22[[B365]:[BFAIREXC]], Table22[PLAYER] = A109))</f>
        <v>15.7</v>
      </c>
      <c r="V109" s="439"/>
    </row>
    <row r="110" spans="1:28">
      <c r="A110" s="438" t="s">
        <v>221</v>
      </c>
      <c r="B110" s="439">
        <v>183</v>
      </c>
      <c r="C110" s="439">
        <v>72</v>
      </c>
      <c r="D110" s="439">
        <v>161</v>
      </c>
      <c r="E110" s="439">
        <v>180</v>
      </c>
      <c r="F110" s="439">
        <v>194</v>
      </c>
      <c r="G110" s="439">
        <v>194</v>
      </c>
      <c r="H110" s="439">
        <v>482.4</v>
      </c>
      <c r="I110" s="440">
        <v>697.56319005907005</v>
      </c>
      <c r="J110" s="259">
        <v>482.4</v>
      </c>
      <c r="K110" s="260">
        <v>697.56319005907005</v>
      </c>
      <c r="L110" s="441">
        <f>RANK(H110,$H$2:$H$110,1)</f>
        <v>109</v>
      </c>
      <c r="M110" s="230">
        <f>RANK(I110,$I$2:$I$110,1)</f>
        <v>109</v>
      </c>
      <c r="N110" s="438">
        <f>RANK(J110,$J$2:$J$110,1)</f>
        <v>109</v>
      </c>
      <c r="O110" s="438">
        <f>RANK(K110,$K$2:$K$110,1)</f>
        <v>109</v>
      </c>
      <c r="P110" s="442">
        <v>0</v>
      </c>
      <c r="Q110" s="442">
        <v>0</v>
      </c>
      <c r="R110" s="439" t="e">
        <v>#N/A</v>
      </c>
      <c r="S110" s="439">
        <f>RANK(U110,$U$2:$U$110,0)</f>
        <v>2</v>
      </c>
      <c r="T110" s="440">
        <f>Table239[[#This Row],[BDG]]/Table239[[#This Row],[Odds]]</f>
        <v>4.776237623762376</v>
      </c>
      <c r="U110" s="440" cm="1">
        <f t="array" ref="U110">MAX(_xlfn._xlws.FILTER(Table22[[B365]:[BFAIREXC]], Table22[PLAYER] = A110))</f>
        <v>101</v>
      </c>
      <c r="V110" s="439"/>
    </row>
  </sheetData>
  <conditionalFormatting sqref="J1:K1048576 N1:O1048576 S1:S1048576">
    <cfRule type="containsErrors" dxfId="505" priority="12">
      <formula>ISERROR(J1)</formula>
    </cfRule>
  </conditionalFormatting>
  <conditionalFormatting sqref="P1:Q1048576">
    <cfRule type="cellIs" dxfId="504" priority="5" operator="greaterThanOrEqual">
      <formula>20%</formula>
    </cfRule>
    <cfRule type="cellIs" dxfId="503" priority="6" operator="between">
      <formula>10%</formula>
      <formula>20%</formula>
    </cfRule>
    <cfRule type="cellIs" dxfId="502" priority="7" operator="between">
      <formula>0.01%</formula>
      <formula>10%</formula>
    </cfRule>
  </conditionalFormatting>
  <conditionalFormatting sqref="R1:R1048576">
    <cfRule type="cellIs" dxfId="501" priority="1" operator="between">
      <formula>-5</formula>
      <formula>-9</formula>
    </cfRule>
    <cfRule type="cellIs" dxfId="500" priority="2" operator="lessThanOrEqual">
      <formula>-10</formula>
    </cfRule>
    <cfRule type="cellIs" dxfId="499" priority="3" operator="between">
      <formula>5</formula>
      <formula>9</formula>
    </cfRule>
    <cfRule type="cellIs" dxfId="498" priority="4" operator="greaterThanOrEqual">
      <formula>10</formula>
    </cfRule>
  </conditionalFormatting>
  <conditionalFormatting sqref="B1:G1048576 L2:O1048576 S1:S1048576">
    <cfRule type="cellIs" dxfId="497" priority="8" operator="between">
      <formula>101</formula>
      <formula>250</formula>
    </cfRule>
    <cfRule type="cellIs" dxfId="496" priority="9" operator="between">
      <formula>51</formula>
      <formula>100.5</formula>
    </cfRule>
    <cfRule type="cellIs" dxfId="495" priority="10" operator="between">
      <formula>21</formula>
      <formula>50.5</formula>
    </cfRule>
    <cfRule type="cellIs" dxfId="494" priority="11" operator="lessThanOrEqual">
      <formula>20.5</formula>
    </cfRule>
  </conditionalFormatting>
  <conditionalFormatting sqref="A1:A1048576">
    <cfRule type="expression" dxfId="493" priority="13">
      <formula>$T1=MIN($T$2:$T$9)</formula>
    </cfRule>
    <cfRule type="expression" dxfId="492" priority="14">
      <formula>$T1=MIN($T$10:$T$21)</formula>
    </cfRule>
    <cfRule type="expression" dxfId="491" priority="15">
      <formula>$T1=MIN($T$22:$T$35)</formula>
    </cfRule>
    <cfRule type="expression" dxfId="490" priority="16">
      <formula>$T1=MIN($T$36:$T$74)</formula>
    </cfRule>
    <cfRule type="expression" dxfId="489" priority="17">
      <formula>AND($L1&lt;=3, $M1&gt;3)</formula>
    </cfRule>
    <cfRule type="expression" dxfId="488" priority="18">
      <formula>AND($L1&gt;3, $M1&lt;=3)</formula>
    </cfRule>
    <cfRule type="expression" dxfId="487" priority="19">
      <formula>AND($N1&lt;=3, $O1&gt;3)</formula>
    </cfRule>
    <cfRule type="expression" dxfId="486" priority="20">
      <formula>AND($N1&gt;3, $O1&lt;=3)</formula>
    </cfRule>
    <cfRule type="expression" dxfId="485" priority="21">
      <formula>AND($L1&lt;=3, $M1&lt;=3)</formula>
    </cfRule>
    <cfRule type="expression" dxfId="484"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12F1F-B6EF-42F6-A048-B29E9D971375}">
  <sheetPr codeName="Sheet83">
    <tabColor rgb="FFFF0000"/>
  </sheetPr>
  <dimension ref="A1:AF147"/>
  <sheetViews>
    <sheetView zoomScale="90" zoomScaleNormal="90" workbookViewId="0">
      <selection activeCell="V12" sqref="A12:V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0.5703125" bestFit="1" customWidth="1"/>
    <col min="24" max="24" width="25.85546875" bestFit="1" customWidth="1"/>
    <col min="30" max="30" width="25.85546875" bestFit="1" customWidth="1"/>
  </cols>
  <sheetData>
    <row r="1" spans="1:32"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122" t="s">
        <v>537</v>
      </c>
      <c r="Q1" s="122" t="s">
        <v>536</v>
      </c>
      <c r="R1" s="362" t="s">
        <v>535</v>
      </c>
      <c r="S1" s="241" t="s">
        <v>566</v>
      </c>
      <c r="T1" s="241" t="s">
        <v>565</v>
      </c>
      <c r="U1" s="241" t="s">
        <v>472</v>
      </c>
      <c r="V1" s="331" t="s">
        <v>210</v>
      </c>
      <c r="W1" s="1"/>
      <c r="X1" s="403" t="s">
        <v>1119</v>
      </c>
      <c r="Y1" s="403"/>
      <c r="Z1" s="403"/>
      <c r="AA1" s="403"/>
      <c r="AD1" s="403" t="s">
        <v>1120</v>
      </c>
      <c r="AE1" s="403"/>
      <c r="AF1" s="403"/>
    </row>
    <row r="2" spans="1:32">
      <c r="A2" s="159" t="s">
        <v>370</v>
      </c>
      <c r="B2">
        <v>96</v>
      </c>
      <c r="C2">
        <v>23</v>
      </c>
      <c r="D2">
        <v>37</v>
      </c>
      <c r="E2">
        <v>137</v>
      </c>
      <c r="F2">
        <v>49</v>
      </c>
      <c r="G2">
        <v>20</v>
      </c>
      <c r="H2">
        <v>183.4</v>
      </c>
      <c r="I2" s="14">
        <v>236.52450729343053</v>
      </c>
      <c r="J2" s="259">
        <v>205.74370526538868</v>
      </c>
      <c r="K2" s="260">
        <v>292.06716096018272</v>
      </c>
      <c r="L2" s="16">
        <f t="shared" ref="L2:L33" si="0">RANK(H2,$H$2:$H$147,1)</f>
        <v>21</v>
      </c>
      <c r="M2" s="230">
        <f t="shared" ref="M2:M33" si="1">RANK(I2,$I$2:$I$147,1)</f>
        <v>16</v>
      </c>
      <c r="N2" s="159">
        <f t="shared" ref="N2:N33" si="2">RANK(J2,$J$2:$J$147,1)</f>
        <v>28</v>
      </c>
      <c r="O2" s="159">
        <f t="shared" ref="O2:O33" si="3">RANK(K2,$K$2:$K$147,1)</f>
        <v>27</v>
      </c>
      <c r="P2" s="15">
        <v>0</v>
      </c>
      <c r="Q2" s="15">
        <v>0</v>
      </c>
      <c r="R2">
        <v>2</v>
      </c>
      <c r="S2" t="e" vm="1">
        <f t="shared" ref="S2:S33" si="4">RANK(U2,$U$2:$U$147,0)</f>
        <v>#VALUE!</v>
      </c>
      <c r="T2" s="14" t="e" vm="1">
        <f>Table235[[#This Row],[BDG]]/Table235[[#This Row],[Odds]]</f>
        <v>#VALUE!</v>
      </c>
      <c r="U2" s="14" t="e" cm="1" vm="2">
        <f t="array" ref="U2">MAX(_xlfn._xlws.FILTER(Table22[[B365]:[BFAIREXC]], Table22[PLAYER] = A2))</f>
        <v>#VALUE!</v>
      </c>
      <c r="V2">
        <v>1</v>
      </c>
      <c r="X2" t="s">
        <v>559</v>
      </c>
      <c r="Y2" s="14">
        <v>331.3</v>
      </c>
      <c r="Z2" s="14">
        <v>331.3</v>
      </c>
      <c r="AA2" s="14">
        <f t="shared" ref="AA2:AA46" si="5">Z2-Y2</f>
        <v>0</v>
      </c>
      <c r="AD2" t="s">
        <v>113</v>
      </c>
      <c r="AE2">
        <v>70.099999999999994</v>
      </c>
      <c r="AF2" t="e">
        <f t="shared" ref="AF2:AF65" si="6">VLOOKUP(AD2,$A$2:$J$179,10,FALSE)/AE2</f>
        <v>#N/A</v>
      </c>
    </row>
    <row r="3" spans="1:32">
      <c r="A3" s="159" t="s">
        <v>140</v>
      </c>
      <c r="B3">
        <v>164</v>
      </c>
      <c r="C3">
        <v>78</v>
      </c>
      <c r="D3">
        <v>95</v>
      </c>
      <c r="E3">
        <v>73</v>
      </c>
      <c r="F3">
        <v>19</v>
      </c>
      <c r="G3">
        <v>79</v>
      </c>
      <c r="H3">
        <v>234.29999999999998</v>
      </c>
      <c r="I3" s="14">
        <v>361.66561481353892</v>
      </c>
      <c r="J3" s="259">
        <v>214.2009618995213</v>
      </c>
      <c r="K3" s="260">
        <v>304.82342301975422</v>
      </c>
      <c r="L3" s="16">
        <f t="shared" si="0"/>
        <v>65</v>
      </c>
      <c r="M3" s="230">
        <f t="shared" si="1"/>
        <v>61</v>
      </c>
      <c r="N3" s="159">
        <f t="shared" si="2"/>
        <v>41</v>
      </c>
      <c r="O3" s="159">
        <f t="shared" si="3"/>
        <v>32</v>
      </c>
      <c r="P3" s="15">
        <v>0</v>
      </c>
      <c r="Q3" s="15">
        <v>0</v>
      </c>
      <c r="R3">
        <v>2</v>
      </c>
      <c r="S3" t="e" vm="1">
        <f t="shared" si="4"/>
        <v>#VALUE!</v>
      </c>
      <c r="T3" s="14" t="e" vm="1">
        <f>Table235[[#This Row],[BDG]]/Table235[[#This Row],[Odds]]</f>
        <v>#VALUE!</v>
      </c>
      <c r="U3" s="14" t="e" cm="1" vm="2">
        <f t="array" ref="U3">MAX(_xlfn._xlws.FILTER(Table22[[B365]:[BFAIREXC]], Table22[PLAYER] = A3))</f>
        <v>#VALUE!</v>
      </c>
      <c r="V3">
        <v>2</v>
      </c>
      <c r="X3" t="s">
        <v>117</v>
      </c>
      <c r="Y3" s="14">
        <v>334.6</v>
      </c>
      <c r="Z3" s="14">
        <v>334.6</v>
      </c>
      <c r="AA3" s="14">
        <f t="shared" si="5"/>
        <v>0</v>
      </c>
      <c r="AD3" t="s">
        <v>141</v>
      </c>
      <c r="AE3">
        <v>70.11</v>
      </c>
      <c r="AF3" t="e">
        <f t="shared" si="6"/>
        <v>#N/A</v>
      </c>
    </row>
    <row r="4" spans="1:32">
      <c r="A4" s="159" t="s">
        <v>6</v>
      </c>
      <c r="B4">
        <v>3</v>
      </c>
      <c r="C4">
        <v>35</v>
      </c>
      <c r="D4">
        <v>119</v>
      </c>
      <c r="E4">
        <v>134</v>
      </c>
      <c r="F4">
        <v>94</v>
      </c>
      <c r="G4">
        <v>41</v>
      </c>
      <c r="H4">
        <v>209.6</v>
      </c>
      <c r="I4" s="14">
        <v>295.36774920641932</v>
      </c>
      <c r="J4" s="259">
        <v>141.96824696551707</v>
      </c>
      <c r="K4" s="260">
        <v>201.24935999665087</v>
      </c>
      <c r="L4" s="16">
        <f t="shared" si="0"/>
        <v>39</v>
      </c>
      <c r="M4" s="230">
        <f t="shared" si="1"/>
        <v>33</v>
      </c>
      <c r="N4" s="159">
        <f t="shared" si="2"/>
        <v>4</v>
      </c>
      <c r="O4" s="159">
        <f t="shared" si="3"/>
        <v>3</v>
      </c>
      <c r="P4" s="15">
        <v>0</v>
      </c>
      <c r="Q4" s="15">
        <v>0</v>
      </c>
      <c r="R4">
        <v>91</v>
      </c>
      <c r="S4" t="e" vm="1">
        <f t="shared" si="4"/>
        <v>#VALUE!</v>
      </c>
      <c r="T4" s="14" t="e" vm="1">
        <f>Table235[[#This Row],[BDG]]/Table235[[#This Row],[Odds]]</f>
        <v>#VALUE!</v>
      </c>
      <c r="U4" s="14" t="e" cm="1" vm="2">
        <f t="array" ref="U4">MAX(_xlfn._xlws.FILTER(Table22[[B365]:[BFAIREXC]], Table22[PLAYER] = A4))</f>
        <v>#VALUE!</v>
      </c>
      <c r="V4">
        <v>3</v>
      </c>
      <c r="X4" t="s">
        <v>186</v>
      </c>
      <c r="Y4" s="14">
        <v>334.9</v>
      </c>
      <c r="Z4" s="14">
        <v>334.9</v>
      </c>
      <c r="AA4" s="14">
        <f t="shared" si="5"/>
        <v>0</v>
      </c>
      <c r="AD4" t="s">
        <v>118</v>
      </c>
      <c r="AE4">
        <v>70.13</v>
      </c>
      <c r="AF4">
        <f t="shared" si="6"/>
        <v>2.9845200067056288</v>
      </c>
    </row>
    <row r="5" spans="1:32">
      <c r="A5" s="159" t="s">
        <v>166</v>
      </c>
      <c r="B5">
        <v>165</v>
      </c>
      <c r="C5">
        <v>33</v>
      </c>
      <c r="D5">
        <v>114</v>
      </c>
      <c r="E5">
        <v>30</v>
      </c>
      <c r="F5">
        <v>30</v>
      </c>
      <c r="G5">
        <v>47</v>
      </c>
      <c r="H5">
        <v>218.7</v>
      </c>
      <c r="I5" s="14">
        <v>303.14792243323632</v>
      </c>
      <c r="J5" s="259">
        <v>201.42738913240112</v>
      </c>
      <c r="K5" s="260">
        <v>262.6691921861364</v>
      </c>
      <c r="L5" s="16">
        <f t="shared" si="0"/>
        <v>49</v>
      </c>
      <c r="M5" s="230">
        <f t="shared" si="1"/>
        <v>35</v>
      </c>
      <c r="N5" s="159">
        <f t="shared" si="2"/>
        <v>23</v>
      </c>
      <c r="O5" s="159">
        <f t="shared" si="3"/>
        <v>12</v>
      </c>
      <c r="P5" s="15">
        <v>0</v>
      </c>
      <c r="Q5" s="15">
        <v>0.2857142857142857</v>
      </c>
      <c r="R5">
        <v>26</v>
      </c>
      <c r="S5" t="e" vm="1">
        <f t="shared" si="4"/>
        <v>#VALUE!</v>
      </c>
      <c r="T5" s="14" t="e" vm="1">
        <f>Table235[[#This Row],[BDG]]/Table235[[#This Row],[Odds]]</f>
        <v>#VALUE!</v>
      </c>
      <c r="U5" s="14" t="e" cm="1" vm="2">
        <f t="array" ref="U5">MAX(_xlfn._xlws.FILTER(Table22[[B365]:[BFAIREXC]], Table22[PLAYER] = A5))</f>
        <v>#VALUE!</v>
      </c>
      <c r="V5">
        <v>4</v>
      </c>
      <c r="X5" t="s">
        <v>157</v>
      </c>
      <c r="Y5" s="14">
        <v>337.9</v>
      </c>
      <c r="Z5" s="14">
        <v>337.9</v>
      </c>
      <c r="AA5" s="14">
        <f t="shared" si="5"/>
        <v>0</v>
      </c>
      <c r="AD5" t="s">
        <v>179</v>
      </c>
      <c r="AE5">
        <v>70.13</v>
      </c>
      <c r="AF5">
        <f t="shared" si="6"/>
        <v>3.5360995344636272</v>
      </c>
    </row>
    <row r="6" spans="1:32">
      <c r="A6" s="159" t="s">
        <v>188</v>
      </c>
      <c r="B6">
        <v>181</v>
      </c>
      <c r="C6">
        <v>17</v>
      </c>
      <c r="D6">
        <v>115</v>
      </c>
      <c r="E6">
        <v>25</v>
      </c>
      <c r="F6">
        <v>10</v>
      </c>
      <c r="G6">
        <v>65</v>
      </c>
      <c r="H6">
        <v>211.7</v>
      </c>
      <c r="I6" s="14">
        <v>310.67450081820061</v>
      </c>
      <c r="J6" s="259">
        <v>192.44185403316499</v>
      </c>
      <c r="K6" s="260">
        <v>270.10216672591605</v>
      </c>
      <c r="L6" s="16">
        <f t="shared" si="0"/>
        <v>42</v>
      </c>
      <c r="M6" s="230">
        <f t="shared" si="1"/>
        <v>36</v>
      </c>
      <c r="N6" s="159">
        <f t="shared" si="2"/>
        <v>17</v>
      </c>
      <c r="O6" s="159">
        <f t="shared" si="3"/>
        <v>15</v>
      </c>
      <c r="P6" s="15">
        <v>0</v>
      </c>
      <c r="Q6" s="15">
        <v>0.1111111111111111</v>
      </c>
      <c r="R6">
        <v>0</v>
      </c>
      <c r="S6" t="e" vm="1">
        <f t="shared" si="4"/>
        <v>#VALUE!</v>
      </c>
      <c r="T6" s="14" t="e" vm="1">
        <f>Table235[[#This Row],[BDG]]/Table235[[#This Row],[Odds]]</f>
        <v>#VALUE!</v>
      </c>
      <c r="U6" s="14" t="e" cm="1" vm="2">
        <f t="array" ref="U6">MAX(_xlfn._xlws.FILTER(Table22[[B365]:[BFAIREXC]], Table22[PLAYER] = A6))</f>
        <v>#VALUE!</v>
      </c>
      <c r="V6">
        <v>5</v>
      </c>
      <c r="X6" t="s">
        <v>94</v>
      </c>
      <c r="Y6" s="14">
        <v>340.99999999999994</v>
      </c>
      <c r="Z6" s="14">
        <v>340.99999999999994</v>
      </c>
      <c r="AA6" s="14">
        <f t="shared" si="5"/>
        <v>0</v>
      </c>
      <c r="AD6" t="s">
        <v>136</v>
      </c>
      <c r="AE6">
        <v>70.13</v>
      </c>
      <c r="AF6">
        <f t="shared" si="6"/>
        <v>3.8677453551409928</v>
      </c>
    </row>
    <row r="7" spans="1:32">
      <c r="A7" s="159" t="s">
        <v>56</v>
      </c>
      <c r="B7">
        <v>74</v>
      </c>
      <c r="C7">
        <v>60</v>
      </c>
      <c r="D7">
        <v>157</v>
      </c>
      <c r="E7">
        <v>22</v>
      </c>
      <c r="F7">
        <v>64</v>
      </c>
      <c r="G7">
        <v>65</v>
      </c>
      <c r="H7">
        <v>215.29999999999998</v>
      </c>
      <c r="I7" s="14">
        <v>325.47726031935935</v>
      </c>
      <c r="J7" s="259">
        <v>200.1639415944141</v>
      </c>
      <c r="K7" s="260">
        <v>303.46781350963369</v>
      </c>
      <c r="L7" s="16">
        <f t="shared" si="0"/>
        <v>46</v>
      </c>
      <c r="M7" s="230">
        <f t="shared" si="1"/>
        <v>45</v>
      </c>
      <c r="N7" s="159">
        <f t="shared" si="2"/>
        <v>22</v>
      </c>
      <c r="O7" s="159">
        <f t="shared" si="3"/>
        <v>30</v>
      </c>
      <c r="P7" s="15">
        <v>0</v>
      </c>
      <c r="Q7" s="15">
        <v>0</v>
      </c>
      <c r="R7">
        <v>14</v>
      </c>
      <c r="S7" t="e" vm="1">
        <f t="shared" si="4"/>
        <v>#VALUE!</v>
      </c>
      <c r="T7" s="14" t="e" vm="1">
        <f>Table235[[#This Row],[BDG]]/Table235[[#This Row],[Odds]]</f>
        <v>#VALUE!</v>
      </c>
      <c r="U7" s="14" t="e" cm="1" vm="2">
        <f t="array" ref="U7">MAX(_xlfn._xlws.FILTER(Table22[[B365]:[BFAIREXC]], Table22[PLAYER] = A7))</f>
        <v>#VALUE!</v>
      </c>
      <c r="V7">
        <v>5</v>
      </c>
      <c r="X7" t="s">
        <v>445</v>
      </c>
      <c r="Y7" s="14">
        <v>346.5</v>
      </c>
      <c r="Z7" s="14">
        <v>346.5</v>
      </c>
      <c r="AA7" s="14">
        <f t="shared" si="5"/>
        <v>0</v>
      </c>
      <c r="AD7" t="s">
        <v>72</v>
      </c>
      <c r="AE7">
        <v>70.13</v>
      </c>
      <c r="AF7">
        <f t="shared" si="6"/>
        <v>2.6441885882381193</v>
      </c>
    </row>
    <row r="8" spans="1:32">
      <c r="A8" s="159" t="s">
        <v>85</v>
      </c>
      <c r="B8">
        <v>137</v>
      </c>
      <c r="C8">
        <v>25</v>
      </c>
      <c r="D8">
        <v>180</v>
      </c>
      <c r="E8">
        <v>33</v>
      </c>
      <c r="F8">
        <v>52</v>
      </c>
      <c r="G8">
        <v>142</v>
      </c>
      <c r="H8">
        <v>258.2</v>
      </c>
      <c r="I8" s="14">
        <v>446.0160473703159</v>
      </c>
      <c r="J8" s="259">
        <v>162.93893400293965</v>
      </c>
      <c r="K8" s="260">
        <v>255.10400270455176</v>
      </c>
      <c r="L8" s="16">
        <f t="shared" si="0"/>
        <v>90</v>
      </c>
      <c r="M8" s="230">
        <f t="shared" si="1"/>
        <v>98</v>
      </c>
      <c r="N8" s="159">
        <f t="shared" si="2"/>
        <v>6</v>
      </c>
      <c r="O8" s="159">
        <f t="shared" si="3"/>
        <v>10</v>
      </c>
      <c r="P8" s="15">
        <v>0</v>
      </c>
      <c r="Q8" s="15">
        <v>0.2</v>
      </c>
      <c r="R8">
        <v>-22</v>
      </c>
      <c r="S8" t="e" vm="1">
        <f t="shared" si="4"/>
        <v>#VALUE!</v>
      </c>
      <c r="T8" s="14" t="e" vm="1">
        <f>Table235[[#This Row],[BDG]]/Table235[[#This Row],[Odds]]</f>
        <v>#VALUE!</v>
      </c>
      <c r="U8" s="14" t="e" cm="1" vm="2">
        <f t="array" ref="U8">MAX(_xlfn._xlws.FILTER(Table22[[B365]:[BFAIREXC]], Table22[PLAYER] = A8))</f>
        <v>#VALUE!</v>
      </c>
      <c r="V8">
        <v>7</v>
      </c>
      <c r="X8" t="s">
        <v>401</v>
      </c>
      <c r="Y8" s="14">
        <v>354.09999999999997</v>
      </c>
      <c r="Z8" s="14">
        <v>354.09999999999997</v>
      </c>
      <c r="AA8" s="14">
        <f t="shared" si="5"/>
        <v>0</v>
      </c>
      <c r="AD8" t="s">
        <v>496</v>
      </c>
      <c r="AE8">
        <v>70.14</v>
      </c>
      <c r="AF8">
        <f t="shared" si="6"/>
        <v>3.1593954947248357</v>
      </c>
    </row>
    <row r="9" spans="1:32">
      <c r="A9" s="159" t="s">
        <v>129</v>
      </c>
      <c r="B9">
        <v>94</v>
      </c>
      <c r="C9">
        <v>95</v>
      </c>
      <c r="D9">
        <v>38</v>
      </c>
      <c r="E9">
        <v>1</v>
      </c>
      <c r="F9">
        <v>142</v>
      </c>
      <c r="G9">
        <v>15</v>
      </c>
      <c r="H9">
        <v>183</v>
      </c>
      <c r="I9" s="14">
        <v>232.32268837811347</v>
      </c>
      <c r="J9" s="259">
        <v>181.68203028849319</v>
      </c>
      <c r="K9" s="260">
        <v>235.03499064983041</v>
      </c>
      <c r="L9" s="16">
        <f t="shared" si="0"/>
        <v>20</v>
      </c>
      <c r="M9" s="230">
        <f t="shared" si="1"/>
        <v>14</v>
      </c>
      <c r="N9" s="159">
        <f t="shared" si="2"/>
        <v>10</v>
      </c>
      <c r="O9" s="159">
        <f t="shared" si="3"/>
        <v>6</v>
      </c>
      <c r="P9" s="15">
        <v>0.125</v>
      </c>
      <c r="Q9" s="15">
        <v>0.25</v>
      </c>
      <c r="R9">
        <v>38</v>
      </c>
      <c r="S9" t="e" vm="1">
        <f t="shared" si="4"/>
        <v>#VALUE!</v>
      </c>
      <c r="T9" s="14" t="e" vm="1">
        <f>Table235[[#This Row],[BDG]]/Table235[[#This Row],[Odds]]</f>
        <v>#VALUE!</v>
      </c>
      <c r="U9" s="14" t="e" cm="1" vm="2">
        <f t="array" ref="U9">MAX(_xlfn._xlws.FILTER(Table22[[B365]:[BFAIREXC]], Table22[PLAYER] = A9))</f>
        <v>#VALUE!</v>
      </c>
      <c r="V9">
        <v>7</v>
      </c>
      <c r="X9" t="s">
        <v>522</v>
      </c>
      <c r="Y9" s="14">
        <v>361.19999999999993</v>
      </c>
      <c r="Z9" s="14">
        <v>361.19999999999993</v>
      </c>
      <c r="AA9" s="14">
        <f t="shared" si="5"/>
        <v>0</v>
      </c>
      <c r="AD9" t="s">
        <v>29</v>
      </c>
      <c r="AE9">
        <v>70.14</v>
      </c>
      <c r="AF9" t="e">
        <f t="shared" si="6"/>
        <v>#N/A</v>
      </c>
    </row>
    <row r="10" spans="1:32">
      <c r="A10" s="159" t="s">
        <v>76</v>
      </c>
      <c r="B10">
        <v>79</v>
      </c>
      <c r="C10">
        <v>82</v>
      </c>
      <c r="D10">
        <v>129</v>
      </c>
      <c r="E10">
        <v>19</v>
      </c>
      <c r="F10">
        <v>6</v>
      </c>
      <c r="G10">
        <v>12</v>
      </c>
      <c r="H10">
        <v>174.8</v>
      </c>
      <c r="I10" s="14">
        <v>230.23583342819944</v>
      </c>
      <c r="J10" s="259">
        <v>182.67178003474177</v>
      </c>
      <c r="K10" s="260">
        <v>255.66564531283089</v>
      </c>
      <c r="L10" s="16">
        <f t="shared" si="0"/>
        <v>14</v>
      </c>
      <c r="M10" s="230">
        <f t="shared" si="1"/>
        <v>12</v>
      </c>
      <c r="N10" s="159">
        <f t="shared" si="2"/>
        <v>12</v>
      </c>
      <c r="O10" s="159">
        <f t="shared" si="3"/>
        <v>11</v>
      </c>
      <c r="P10" s="15">
        <v>0</v>
      </c>
      <c r="Q10" s="15">
        <v>0.2857142857142857</v>
      </c>
      <c r="R10">
        <v>-9</v>
      </c>
      <c r="S10" t="e" vm="1">
        <f t="shared" si="4"/>
        <v>#VALUE!</v>
      </c>
      <c r="T10" s="14" t="e" vm="1">
        <f>Table235[[#This Row],[BDG]]/Table235[[#This Row],[Odds]]</f>
        <v>#VALUE!</v>
      </c>
      <c r="U10" s="14" t="e" cm="1" vm="2">
        <f t="array" ref="U10">MAX(_xlfn._xlws.FILTER(Table22[[B365]:[BFAIREXC]], Table22[PLAYER] = A10))</f>
        <v>#VALUE!</v>
      </c>
      <c r="V10">
        <v>10</v>
      </c>
      <c r="X10" t="s">
        <v>486</v>
      </c>
      <c r="Y10" s="14">
        <v>372</v>
      </c>
      <c r="Z10" s="14">
        <v>372</v>
      </c>
      <c r="AA10" s="14">
        <f t="shared" si="5"/>
        <v>0</v>
      </c>
      <c r="AD10" t="s">
        <v>66</v>
      </c>
      <c r="AE10">
        <v>70.14</v>
      </c>
      <c r="AF10">
        <f t="shared" si="6"/>
        <v>1.8582690403303332</v>
      </c>
    </row>
    <row r="11" spans="1:32">
      <c r="A11" s="159" t="s">
        <v>72</v>
      </c>
      <c r="B11">
        <v>58</v>
      </c>
      <c r="C11">
        <v>59</v>
      </c>
      <c r="D11">
        <v>86</v>
      </c>
      <c r="E11">
        <v>106</v>
      </c>
      <c r="F11">
        <v>42</v>
      </c>
      <c r="G11">
        <v>55</v>
      </c>
      <c r="H11">
        <v>186.7</v>
      </c>
      <c r="I11" s="14">
        <v>284.0551392965242</v>
      </c>
      <c r="J11" s="259">
        <v>185.43694569313931</v>
      </c>
      <c r="K11" s="260">
        <v>270.40745829771691</v>
      </c>
      <c r="L11" s="16">
        <f t="shared" si="0"/>
        <v>23</v>
      </c>
      <c r="M11" s="230">
        <f t="shared" si="1"/>
        <v>27</v>
      </c>
      <c r="N11" s="159">
        <f t="shared" si="2"/>
        <v>13</v>
      </c>
      <c r="O11" s="159">
        <f t="shared" si="3"/>
        <v>16</v>
      </c>
      <c r="P11" s="15">
        <v>0</v>
      </c>
      <c r="Q11" s="15">
        <v>0.125</v>
      </c>
      <c r="R11">
        <v>59</v>
      </c>
      <c r="S11" t="e" vm="1">
        <f t="shared" si="4"/>
        <v>#VALUE!</v>
      </c>
      <c r="T11" s="14" t="e" vm="1">
        <f>Table235[[#This Row],[BDG]]/Table235[[#This Row],[Odds]]</f>
        <v>#VALUE!</v>
      </c>
      <c r="U11" s="14" t="e" cm="1" vm="2">
        <f t="array" ref="U11">MAX(_xlfn._xlws.FILTER(Table22[[B365]:[BFAIREXC]], Table22[PLAYER] = A11))</f>
        <v>#VALUE!</v>
      </c>
      <c r="V11">
        <v>10</v>
      </c>
      <c r="X11" t="s">
        <v>412</v>
      </c>
      <c r="Y11" s="14">
        <v>372.9</v>
      </c>
      <c r="Z11" s="14">
        <v>372.9</v>
      </c>
      <c r="AA11" s="14">
        <f t="shared" si="5"/>
        <v>0</v>
      </c>
      <c r="AD11" t="s">
        <v>544</v>
      </c>
      <c r="AE11">
        <v>70.14</v>
      </c>
      <c r="AF11" t="e">
        <f t="shared" si="6"/>
        <v>#N/A</v>
      </c>
    </row>
    <row r="12" spans="1:32">
      <c r="A12" s="159" t="s">
        <v>560</v>
      </c>
      <c r="B12">
        <v>52</v>
      </c>
      <c r="C12">
        <v>163</v>
      </c>
      <c r="D12">
        <v>88</v>
      </c>
      <c r="E12">
        <v>73</v>
      </c>
      <c r="F12">
        <v>86</v>
      </c>
      <c r="G12">
        <v>124</v>
      </c>
      <c r="H12">
        <v>221.2</v>
      </c>
      <c r="I12" s="14">
        <v>406.07505481577311</v>
      </c>
      <c r="J12" s="259">
        <v>221.2</v>
      </c>
      <c r="K12" s="260">
        <v>406.07505481577311</v>
      </c>
      <c r="L12" s="16">
        <f t="shared" si="0"/>
        <v>53</v>
      </c>
      <c r="M12" s="230">
        <f t="shared" si="1"/>
        <v>77</v>
      </c>
      <c r="N12" s="159">
        <f t="shared" si="2"/>
        <v>50</v>
      </c>
      <c r="O12" s="159">
        <f t="shared" si="3"/>
        <v>83</v>
      </c>
      <c r="P12" s="15">
        <v>0</v>
      </c>
      <c r="Q12" s="15">
        <v>0</v>
      </c>
      <c r="R12">
        <v>59</v>
      </c>
      <c r="S12" t="e" vm="1">
        <f t="shared" si="4"/>
        <v>#VALUE!</v>
      </c>
      <c r="T12" s="14">
        <f>Table235[[#This Row],[BDG]]/Table235[[#This Row],[Odds]]</f>
        <v>28.87728459530026</v>
      </c>
      <c r="U12" s="14" cm="1">
        <f t="array" ref="U12">MAX(_xlfn._xlws.FILTER(Table22[[B365]:[BFAIREXC]], Table22[PLAYER] = A12))</f>
        <v>7.66</v>
      </c>
      <c r="V12">
        <v>10</v>
      </c>
      <c r="X12" t="s">
        <v>174</v>
      </c>
      <c r="Y12" s="14">
        <v>404.8</v>
      </c>
      <c r="Z12" s="14">
        <v>404.8</v>
      </c>
      <c r="AA12" s="14">
        <f t="shared" si="5"/>
        <v>0</v>
      </c>
      <c r="AD12" t="s">
        <v>549</v>
      </c>
      <c r="AE12">
        <v>70.17</v>
      </c>
      <c r="AF12">
        <f t="shared" si="6"/>
        <v>3.1740151874505909</v>
      </c>
    </row>
    <row r="13" spans="1:32">
      <c r="A13" s="159" t="s">
        <v>66</v>
      </c>
      <c r="B13">
        <v>58</v>
      </c>
      <c r="C13">
        <v>141</v>
      </c>
      <c r="D13">
        <v>56</v>
      </c>
      <c r="E13">
        <v>47</v>
      </c>
      <c r="F13">
        <v>53</v>
      </c>
      <c r="G13">
        <v>42</v>
      </c>
      <c r="H13">
        <v>166.29999999999998</v>
      </c>
      <c r="I13" s="14">
        <v>255.88975060831314</v>
      </c>
      <c r="J13" s="259">
        <v>130.33899048876958</v>
      </c>
      <c r="K13" s="260">
        <v>191.42170127837005</v>
      </c>
      <c r="L13" s="16">
        <f t="shared" si="0"/>
        <v>8</v>
      </c>
      <c r="M13" s="230">
        <f t="shared" si="1"/>
        <v>22</v>
      </c>
      <c r="N13" s="159">
        <f t="shared" si="2"/>
        <v>1</v>
      </c>
      <c r="O13" s="159">
        <f t="shared" si="3"/>
        <v>2</v>
      </c>
      <c r="P13" s="15">
        <v>0</v>
      </c>
      <c r="Q13" s="15">
        <v>0.14285714285714285</v>
      </c>
      <c r="R13">
        <v>0</v>
      </c>
      <c r="S13" t="e" vm="1">
        <f t="shared" si="4"/>
        <v>#VALUE!</v>
      </c>
      <c r="T13" s="14" t="e" vm="1">
        <f>Table235[[#This Row],[BDG]]/Table235[[#This Row],[Odds]]</f>
        <v>#VALUE!</v>
      </c>
      <c r="U13" s="14" t="e" cm="1" vm="2">
        <f t="array" ref="U13">MAX(_xlfn._xlws.FILTER(Table22[[B365]:[BFAIREXC]], Table22[PLAYER] = A13))</f>
        <v>#VALUE!</v>
      </c>
      <c r="X13" t="s">
        <v>242</v>
      </c>
      <c r="Y13" s="14">
        <v>431.9</v>
      </c>
      <c r="Z13" s="14">
        <v>431.9</v>
      </c>
      <c r="AA13" s="14">
        <f t="shared" si="5"/>
        <v>0</v>
      </c>
      <c r="AD13" t="s">
        <v>49</v>
      </c>
      <c r="AE13">
        <v>70.25</v>
      </c>
      <c r="AF13" t="e">
        <f t="shared" si="6"/>
        <v>#N/A</v>
      </c>
    </row>
    <row r="14" spans="1:32">
      <c r="A14" s="159" t="s">
        <v>439</v>
      </c>
      <c r="B14">
        <v>32</v>
      </c>
      <c r="C14">
        <v>98</v>
      </c>
      <c r="D14">
        <v>35</v>
      </c>
      <c r="E14">
        <v>90</v>
      </c>
      <c r="F14">
        <v>57</v>
      </c>
      <c r="G14">
        <v>13</v>
      </c>
      <c r="H14">
        <v>146.6</v>
      </c>
      <c r="I14" s="14">
        <v>199.07048560902422</v>
      </c>
      <c r="J14" s="259">
        <v>135.55685534694499</v>
      </c>
      <c r="K14" s="260">
        <v>180.14024072673317</v>
      </c>
      <c r="L14" s="16">
        <f t="shared" si="0"/>
        <v>4</v>
      </c>
      <c r="M14" s="230">
        <f t="shared" si="1"/>
        <v>3</v>
      </c>
      <c r="N14" s="159">
        <f t="shared" si="2"/>
        <v>2</v>
      </c>
      <c r="O14" s="159">
        <f t="shared" si="3"/>
        <v>1</v>
      </c>
      <c r="P14" s="15">
        <v>0</v>
      </c>
      <c r="Q14" s="15">
        <v>0.42857142857142855</v>
      </c>
      <c r="R14">
        <v>27</v>
      </c>
      <c r="S14" t="e" vm="1">
        <f t="shared" si="4"/>
        <v>#VALUE!</v>
      </c>
      <c r="T14" s="14" t="e" vm="1">
        <f>Table235[[#This Row],[BDG]]/Table235[[#This Row],[Odds]]</f>
        <v>#VALUE!</v>
      </c>
      <c r="U14" s="14" t="e" cm="1" vm="2">
        <f t="array" ref="U14">MAX(_xlfn._xlws.FILTER(Table22[[B365]:[BFAIREXC]], Table22[PLAYER] = A14))</f>
        <v>#VALUE!</v>
      </c>
      <c r="X14" t="s">
        <v>247</v>
      </c>
      <c r="Y14" s="14">
        <v>448.5</v>
      </c>
      <c r="Z14" s="14">
        <v>448.5</v>
      </c>
      <c r="AA14" s="14">
        <f t="shared" si="5"/>
        <v>0</v>
      </c>
      <c r="AD14" t="s">
        <v>182</v>
      </c>
      <c r="AE14">
        <v>70.25</v>
      </c>
      <c r="AF14">
        <f t="shared" si="6"/>
        <v>3.5230458138262155</v>
      </c>
    </row>
    <row r="15" spans="1:32">
      <c r="A15" s="159" t="s">
        <v>493</v>
      </c>
      <c r="B15">
        <v>23</v>
      </c>
      <c r="C15">
        <v>117</v>
      </c>
      <c r="D15">
        <v>43</v>
      </c>
      <c r="E15">
        <v>51</v>
      </c>
      <c r="F15">
        <v>67</v>
      </c>
      <c r="G15">
        <v>27</v>
      </c>
      <c r="H15">
        <v>138</v>
      </c>
      <c r="I15" s="14">
        <v>204.78289335128954</v>
      </c>
      <c r="J15" s="259">
        <v>138</v>
      </c>
      <c r="K15" s="260">
        <v>204.78289335128954</v>
      </c>
      <c r="L15" s="16">
        <f t="shared" si="0"/>
        <v>2</v>
      </c>
      <c r="M15" s="230">
        <f t="shared" si="1"/>
        <v>4</v>
      </c>
      <c r="N15" s="159">
        <f t="shared" si="2"/>
        <v>3</v>
      </c>
      <c r="O15" s="159">
        <f t="shared" si="3"/>
        <v>4</v>
      </c>
      <c r="P15" s="15">
        <v>0</v>
      </c>
      <c r="Q15" s="15">
        <v>0.125</v>
      </c>
      <c r="R15">
        <v>101</v>
      </c>
      <c r="S15" t="e" vm="1">
        <f t="shared" si="4"/>
        <v>#VALUE!</v>
      </c>
      <c r="T15" s="14">
        <f>Table235[[#This Row],[BDG]]/Table235[[#This Row],[Odds]]</f>
        <v>19.714285714285715</v>
      </c>
      <c r="U15" s="14" cm="1">
        <f t="array" ref="U15">MAX(_xlfn._xlws.FILTER(Table22[[B365]:[BFAIREXC]], Table22[PLAYER] = A15))</f>
        <v>7</v>
      </c>
      <c r="X15" t="s">
        <v>49</v>
      </c>
      <c r="Y15" s="14">
        <v>240.39999999999998</v>
      </c>
      <c r="Z15" s="14">
        <v>239.96067676283104</v>
      </c>
      <c r="AA15" s="14">
        <f t="shared" si="5"/>
        <v>-0.43932323716893507</v>
      </c>
      <c r="AD15" t="s">
        <v>18</v>
      </c>
      <c r="AE15">
        <v>70.290000000000006</v>
      </c>
      <c r="AF15" t="e">
        <f t="shared" si="6"/>
        <v>#N/A</v>
      </c>
    </row>
    <row r="16" spans="1:32">
      <c r="A16" s="159" t="s">
        <v>489</v>
      </c>
      <c r="B16">
        <v>100</v>
      </c>
      <c r="C16">
        <v>104</v>
      </c>
      <c r="D16">
        <v>12</v>
      </c>
      <c r="E16">
        <v>66</v>
      </c>
      <c r="F16">
        <v>57</v>
      </c>
      <c r="G16">
        <v>33</v>
      </c>
      <c r="H16">
        <v>161.1</v>
      </c>
      <c r="I16" s="14">
        <v>231.72568970999248</v>
      </c>
      <c r="J16" s="259">
        <v>161.1</v>
      </c>
      <c r="K16" s="260">
        <v>231.72568970999248</v>
      </c>
      <c r="L16" s="16">
        <f t="shared" si="0"/>
        <v>7</v>
      </c>
      <c r="M16" s="230">
        <f t="shared" si="1"/>
        <v>13</v>
      </c>
      <c r="N16" s="159">
        <f t="shared" si="2"/>
        <v>5</v>
      </c>
      <c r="O16" s="159">
        <f t="shared" si="3"/>
        <v>5</v>
      </c>
      <c r="P16" s="15">
        <v>0</v>
      </c>
      <c r="Q16" s="15">
        <v>0.125</v>
      </c>
      <c r="R16">
        <v>80</v>
      </c>
      <c r="S16" t="e" vm="1">
        <f t="shared" si="4"/>
        <v>#VALUE!</v>
      </c>
      <c r="T16" s="14" t="e" vm="1">
        <f>Table235[[#This Row],[BDG]]/Table235[[#This Row],[Odds]]</f>
        <v>#VALUE!</v>
      </c>
      <c r="U16" s="14" t="e" cm="1" vm="2">
        <f t="array" ref="U16">MAX(_xlfn._xlws.FILTER(Table22[[B365]:[BFAIREXC]], Table22[PLAYER] = A16))</f>
        <v>#VALUE!</v>
      </c>
      <c r="X16" t="s">
        <v>108</v>
      </c>
      <c r="Y16" s="14">
        <v>293.3</v>
      </c>
      <c r="Z16" s="14">
        <v>291.81041964897406</v>
      </c>
      <c r="AA16" s="14">
        <f t="shared" si="5"/>
        <v>-1.4895803510259498</v>
      </c>
      <c r="AD16" t="s">
        <v>115</v>
      </c>
      <c r="AE16">
        <v>70.290000000000006</v>
      </c>
      <c r="AF16">
        <f t="shared" si="6"/>
        <v>2.8961731677029499</v>
      </c>
    </row>
    <row r="17" spans="1:32">
      <c r="A17" s="159" t="s">
        <v>114</v>
      </c>
      <c r="B17">
        <v>115</v>
      </c>
      <c r="C17">
        <v>77</v>
      </c>
      <c r="D17">
        <v>45</v>
      </c>
      <c r="E17">
        <v>106</v>
      </c>
      <c r="F17">
        <v>36</v>
      </c>
      <c r="G17">
        <v>59</v>
      </c>
      <c r="H17">
        <v>194.6</v>
      </c>
      <c r="I17" s="14">
        <v>295.84830006383049</v>
      </c>
      <c r="J17" s="259">
        <v>169.66669018426791</v>
      </c>
      <c r="K17" s="260">
        <v>250.45306083070545</v>
      </c>
      <c r="L17" s="16">
        <f t="shared" si="0"/>
        <v>28</v>
      </c>
      <c r="M17" s="230">
        <f t="shared" si="1"/>
        <v>34</v>
      </c>
      <c r="N17" s="159">
        <f t="shared" si="2"/>
        <v>7</v>
      </c>
      <c r="O17" s="159">
        <f t="shared" si="3"/>
        <v>8</v>
      </c>
      <c r="P17" s="15">
        <v>0</v>
      </c>
      <c r="Q17" s="15">
        <v>9.0909090909090912E-2</v>
      </c>
      <c r="R17">
        <v>-34</v>
      </c>
      <c r="S17" t="e" vm="1">
        <f t="shared" si="4"/>
        <v>#VALUE!</v>
      </c>
      <c r="T17" s="14" t="e" vm="1">
        <f>Table235[[#This Row],[BDG]]/Table235[[#This Row],[Odds]]</f>
        <v>#VALUE!</v>
      </c>
      <c r="U17" s="14" t="e" cm="1" vm="2">
        <f t="array" ref="U17">MAX(_xlfn._xlws.FILTER(Table22[[B365]:[BFAIREXC]], Table22[PLAYER] = A17))</f>
        <v>#VALUE!</v>
      </c>
      <c r="X17" t="s">
        <v>59</v>
      </c>
      <c r="Y17" s="14">
        <v>257.20000000000005</v>
      </c>
      <c r="Z17" s="14">
        <v>255.16813002809374</v>
      </c>
      <c r="AA17" s="14">
        <f t="shared" si="5"/>
        <v>-2.0318699719063034</v>
      </c>
      <c r="AD17" t="s">
        <v>166</v>
      </c>
      <c r="AE17">
        <v>70.290000000000006</v>
      </c>
      <c r="AF17">
        <f t="shared" si="6"/>
        <v>2.8656621017555994</v>
      </c>
    </row>
    <row r="18" spans="1:32">
      <c r="A18" s="159" t="s">
        <v>95</v>
      </c>
      <c r="B18">
        <v>140</v>
      </c>
      <c r="C18">
        <v>7</v>
      </c>
      <c r="D18">
        <v>60</v>
      </c>
      <c r="E18">
        <v>52</v>
      </c>
      <c r="F18">
        <v>45</v>
      </c>
      <c r="G18">
        <v>8</v>
      </c>
      <c r="H18">
        <v>176.6</v>
      </c>
      <c r="I18" s="14">
        <v>210.05171264429794</v>
      </c>
      <c r="J18" s="259">
        <v>173.0888463154389</v>
      </c>
      <c r="K18" s="260">
        <v>244.15367795980592</v>
      </c>
      <c r="L18" s="16">
        <f t="shared" si="0"/>
        <v>15</v>
      </c>
      <c r="M18" s="230">
        <f t="shared" si="1"/>
        <v>6</v>
      </c>
      <c r="N18" s="159">
        <f t="shared" si="2"/>
        <v>8</v>
      </c>
      <c r="O18" s="159">
        <f t="shared" si="3"/>
        <v>7</v>
      </c>
      <c r="P18" s="15">
        <v>0</v>
      </c>
      <c r="Q18" s="15">
        <v>0.14285714285714285</v>
      </c>
      <c r="R18">
        <v>80</v>
      </c>
      <c r="S18" t="e" vm="1">
        <f t="shared" si="4"/>
        <v>#VALUE!</v>
      </c>
      <c r="T18" s="14">
        <f>Table235[[#This Row],[BDG]]/Table235[[#This Row],[Odds]]</f>
        <v>58.873757250149289</v>
      </c>
      <c r="U18" s="14" cm="1">
        <f t="array" ref="U18">MAX(_xlfn._xlws.FILTER(Table22[[B365]:[BFAIREXC]], Table22[PLAYER] = A18))</f>
        <v>2.94</v>
      </c>
      <c r="X18" t="s">
        <v>116</v>
      </c>
      <c r="Y18" s="14">
        <v>319</v>
      </c>
      <c r="Z18" s="14">
        <v>313.20127649064915</v>
      </c>
      <c r="AA18" s="14">
        <f t="shared" si="5"/>
        <v>-5.7987235093508502</v>
      </c>
      <c r="AD18" t="s">
        <v>124</v>
      </c>
      <c r="AE18">
        <v>70.290000000000006</v>
      </c>
      <c r="AF18">
        <f t="shared" si="6"/>
        <v>3.0232163811130777</v>
      </c>
    </row>
    <row r="19" spans="1:32">
      <c r="A19" s="159" t="s">
        <v>125</v>
      </c>
      <c r="B19">
        <v>89</v>
      </c>
      <c r="C19">
        <v>45</v>
      </c>
      <c r="D19">
        <v>103</v>
      </c>
      <c r="E19">
        <v>33</v>
      </c>
      <c r="F19">
        <v>29</v>
      </c>
      <c r="G19">
        <v>18</v>
      </c>
      <c r="H19">
        <v>170</v>
      </c>
      <c r="I19" s="14">
        <v>222.65733082911422</v>
      </c>
      <c r="J19" s="259">
        <v>176.75459477147234</v>
      </c>
      <c r="K19" s="260">
        <v>251.72222208416167</v>
      </c>
      <c r="L19" s="16">
        <f t="shared" si="0"/>
        <v>11</v>
      </c>
      <c r="M19" s="230">
        <f t="shared" si="1"/>
        <v>9</v>
      </c>
      <c r="N19" s="159">
        <f t="shared" si="2"/>
        <v>9</v>
      </c>
      <c r="O19" s="159">
        <f t="shared" si="3"/>
        <v>9</v>
      </c>
      <c r="P19" s="15">
        <v>0</v>
      </c>
      <c r="Q19" s="15">
        <v>0.25</v>
      </c>
      <c r="R19">
        <v>14</v>
      </c>
      <c r="S19" t="e" vm="1">
        <f t="shared" si="4"/>
        <v>#VALUE!</v>
      </c>
      <c r="T19" s="14" t="e" vm="1">
        <f>Table235[[#This Row],[BDG]]/Table235[[#This Row],[Odds]]</f>
        <v>#VALUE!</v>
      </c>
      <c r="U19" s="14" t="e" cm="1" vm="2">
        <f t="array" ref="U19">MAX(_xlfn._xlws.FILTER(Table22[[B365]:[BFAIREXC]], Table22[PLAYER] = A19))</f>
        <v>#VALUE!</v>
      </c>
      <c r="X19" t="s">
        <v>223</v>
      </c>
      <c r="Y19" s="14">
        <v>367.6</v>
      </c>
      <c r="Z19" s="14">
        <v>360.91748169712571</v>
      </c>
      <c r="AA19" s="14">
        <f t="shared" si="5"/>
        <v>-6.682518302874314</v>
      </c>
      <c r="AD19" t="s">
        <v>30</v>
      </c>
      <c r="AE19">
        <v>70.33</v>
      </c>
      <c r="AF19">
        <f t="shared" si="6"/>
        <v>3.6847235190273504</v>
      </c>
    </row>
    <row r="20" spans="1:32">
      <c r="A20" s="159" t="s">
        <v>100</v>
      </c>
      <c r="B20">
        <v>55</v>
      </c>
      <c r="C20">
        <v>91</v>
      </c>
      <c r="D20">
        <v>16</v>
      </c>
      <c r="E20">
        <v>21</v>
      </c>
      <c r="F20">
        <v>98</v>
      </c>
      <c r="G20">
        <v>17</v>
      </c>
      <c r="H20">
        <v>131</v>
      </c>
      <c r="I20" s="14">
        <v>177.17638649560911</v>
      </c>
      <c r="J20" s="259">
        <v>182.12452561913935</v>
      </c>
      <c r="K20" s="260">
        <v>272.22103536094403</v>
      </c>
      <c r="L20" s="16">
        <f t="shared" si="0"/>
        <v>1</v>
      </c>
      <c r="M20" s="230">
        <f t="shared" si="1"/>
        <v>1</v>
      </c>
      <c r="N20" s="159">
        <f t="shared" si="2"/>
        <v>11</v>
      </c>
      <c r="O20" s="159">
        <f t="shared" si="3"/>
        <v>17</v>
      </c>
      <c r="P20" s="15">
        <v>0</v>
      </c>
      <c r="Q20" s="15">
        <v>0.33333333333333331</v>
      </c>
      <c r="R20">
        <v>-5</v>
      </c>
      <c r="S20" t="e" vm="1">
        <f t="shared" si="4"/>
        <v>#VALUE!</v>
      </c>
      <c r="T20" s="14" t="e" vm="1">
        <f>Table235[[#This Row],[BDG]]/Table235[[#This Row],[Odds]]</f>
        <v>#VALUE!</v>
      </c>
      <c r="U20" s="14" t="e" cm="1" vm="2">
        <f t="array" ref="U20">MAX(_xlfn._xlws.FILTER(Table22[[B365]:[BFAIREXC]], Table22[PLAYER] = A20))</f>
        <v>#VALUE!</v>
      </c>
      <c r="X20" t="s">
        <v>68</v>
      </c>
      <c r="Y20" s="14">
        <v>205.3</v>
      </c>
      <c r="Z20" s="14">
        <v>197.33726632631308</v>
      </c>
      <c r="AA20" s="14">
        <f t="shared" si="5"/>
        <v>-7.9627336736869267</v>
      </c>
      <c r="AD20" t="s">
        <v>131</v>
      </c>
      <c r="AE20">
        <v>70.33</v>
      </c>
      <c r="AF20">
        <f t="shared" si="6"/>
        <v>3.1203936427216608</v>
      </c>
    </row>
    <row r="21" spans="1:32">
      <c r="A21" s="159" t="s">
        <v>44</v>
      </c>
      <c r="B21">
        <v>99</v>
      </c>
      <c r="C21">
        <v>96</v>
      </c>
      <c r="D21">
        <v>146</v>
      </c>
      <c r="E21">
        <v>94</v>
      </c>
      <c r="F21">
        <v>120</v>
      </c>
      <c r="G21">
        <v>160</v>
      </c>
      <c r="H21">
        <v>297.39999999999998</v>
      </c>
      <c r="I21" s="14">
        <v>519.65465223311276</v>
      </c>
      <c r="J21" s="259">
        <v>187.18478287524403</v>
      </c>
      <c r="K21" s="260">
        <v>310.43245370647668</v>
      </c>
      <c r="L21" s="16">
        <f t="shared" si="0"/>
        <v>114</v>
      </c>
      <c r="M21" s="230">
        <f t="shared" si="1"/>
        <v>115</v>
      </c>
      <c r="N21" s="159">
        <f t="shared" si="2"/>
        <v>14</v>
      </c>
      <c r="O21" s="159">
        <f t="shared" si="3"/>
        <v>33</v>
      </c>
      <c r="P21" s="15">
        <v>0</v>
      </c>
      <c r="Q21" s="15">
        <v>0</v>
      </c>
      <c r="R21">
        <v>14</v>
      </c>
      <c r="S21" t="e" vm="1">
        <f t="shared" si="4"/>
        <v>#VALUE!</v>
      </c>
      <c r="T21" s="14" t="e" vm="1">
        <f>Table235[[#This Row],[BDG]]/Table235[[#This Row],[Odds]]</f>
        <v>#VALUE!</v>
      </c>
      <c r="U21" s="14" t="e" cm="1" vm="2">
        <f t="array" ref="U21">MAX(_xlfn._xlws.FILTER(Table22[[B365]:[BFAIREXC]], Table22[PLAYER] = A21))</f>
        <v>#VALUE!</v>
      </c>
      <c r="X21" t="s">
        <v>35</v>
      </c>
      <c r="Y21" s="14">
        <v>152.80000000000001</v>
      </c>
      <c r="Z21" s="14">
        <v>144.07874729963862</v>
      </c>
      <c r="AA21" s="14">
        <f t="shared" si="5"/>
        <v>-8.72125270036139</v>
      </c>
      <c r="AD21" t="s">
        <v>20</v>
      </c>
      <c r="AE21">
        <v>70.38</v>
      </c>
      <c r="AF21">
        <f t="shared" si="6"/>
        <v>2.8212788920288276</v>
      </c>
    </row>
    <row r="22" spans="1:32">
      <c r="A22" s="159" t="s">
        <v>10</v>
      </c>
      <c r="B22">
        <v>13</v>
      </c>
      <c r="C22">
        <v>144</v>
      </c>
      <c r="D22">
        <v>83</v>
      </c>
      <c r="E22">
        <v>42</v>
      </c>
      <c r="F22">
        <v>79</v>
      </c>
      <c r="G22">
        <v>22</v>
      </c>
      <c r="H22">
        <v>169.6</v>
      </c>
      <c r="I22" s="14">
        <v>241.95456426310076</v>
      </c>
      <c r="J22" s="259">
        <v>187.44750650998787</v>
      </c>
      <c r="K22" s="260">
        <v>273.44266123406032</v>
      </c>
      <c r="L22" s="16">
        <f t="shared" si="0"/>
        <v>10</v>
      </c>
      <c r="M22" s="230">
        <f t="shared" si="1"/>
        <v>18</v>
      </c>
      <c r="N22" s="159">
        <f t="shared" si="2"/>
        <v>15</v>
      </c>
      <c r="O22" s="159">
        <f t="shared" si="3"/>
        <v>18</v>
      </c>
      <c r="P22" s="15">
        <v>0</v>
      </c>
      <c r="Q22" s="15">
        <v>0.375</v>
      </c>
      <c r="R22">
        <v>-3</v>
      </c>
      <c r="S22" t="e" vm="1">
        <f t="shared" si="4"/>
        <v>#VALUE!</v>
      </c>
      <c r="T22" s="14" t="e" vm="1">
        <f>Table235[[#This Row],[BDG]]/Table235[[#This Row],[Odds]]</f>
        <v>#VALUE!</v>
      </c>
      <c r="U22" s="14" t="e" cm="1" vm="2">
        <f t="array" ref="U22">MAX(_xlfn._xlws.FILTER(Table22[[B365]:[BFAIREXC]], Table22[PLAYER] = A22))</f>
        <v>#VALUE!</v>
      </c>
      <c r="X22" t="s">
        <v>106</v>
      </c>
      <c r="Y22" s="14">
        <v>274.3</v>
      </c>
      <c r="Z22" s="14">
        <v>262.69054023653194</v>
      </c>
      <c r="AA22" s="14">
        <f t="shared" si="5"/>
        <v>-11.609459763468067</v>
      </c>
      <c r="AD22" t="s">
        <v>424</v>
      </c>
      <c r="AE22">
        <v>70.38</v>
      </c>
      <c r="AF22">
        <f t="shared" si="6"/>
        <v>3.4697357203751067</v>
      </c>
    </row>
    <row r="23" spans="1:32">
      <c r="A23" s="159" t="s">
        <v>162</v>
      </c>
      <c r="B23">
        <v>143</v>
      </c>
      <c r="C23">
        <v>30</v>
      </c>
      <c r="D23">
        <v>27</v>
      </c>
      <c r="E23">
        <v>75</v>
      </c>
      <c r="F23">
        <v>56</v>
      </c>
      <c r="G23">
        <v>45</v>
      </c>
      <c r="H23">
        <v>179.2</v>
      </c>
      <c r="I23" s="14">
        <v>252.34588928939155</v>
      </c>
      <c r="J23" s="259">
        <v>190.53145052744711</v>
      </c>
      <c r="K23" s="260">
        <v>269.53142516853256</v>
      </c>
      <c r="L23" s="16">
        <f t="shared" si="0"/>
        <v>17</v>
      </c>
      <c r="M23" s="230">
        <f t="shared" si="1"/>
        <v>19</v>
      </c>
      <c r="N23" s="159">
        <f t="shared" si="2"/>
        <v>16</v>
      </c>
      <c r="O23" s="159">
        <f t="shared" si="3"/>
        <v>14</v>
      </c>
      <c r="P23" s="15">
        <v>0</v>
      </c>
      <c r="Q23" s="15">
        <v>0.1111111111111111</v>
      </c>
      <c r="R23">
        <v>-1</v>
      </c>
      <c r="S23" t="e" vm="1">
        <f t="shared" si="4"/>
        <v>#VALUE!</v>
      </c>
      <c r="T23" s="14">
        <f>Table235[[#This Row],[BDG]]/Table235[[#This Row],[Odds]]</f>
        <v>38.725904578749414</v>
      </c>
      <c r="U23" s="14" cm="1">
        <f t="array" ref="U23">MAX(_xlfn._xlws.FILTER(Table22[[B365]:[BFAIREXC]], Table22[PLAYER] = A23))</f>
        <v>4.92</v>
      </c>
      <c r="X23" t="s">
        <v>104</v>
      </c>
      <c r="Y23" s="14">
        <v>303.20000000000005</v>
      </c>
      <c r="Z23" s="14">
        <v>289.08674100594806</v>
      </c>
      <c r="AA23" s="14">
        <f t="shared" si="5"/>
        <v>-14.113258994051989</v>
      </c>
      <c r="AD23" t="s">
        <v>32</v>
      </c>
      <c r="AE23">
        <v>70.38</v>
      </c>
      <c r="AF23">
        <f t="shared" si="6"/>
        <v>3.7851351809675369</v>
      </c>
    </row>
    <row r="24" spans="1:32">
      <c r="A24" s="159" t="s">
        <v>122</v>
      </c>
      <c r="B24">
        <v>133</v>
      </c>
      <c r="C24">
        <v>5</v>
      </c>
      <c r="D24">
        <v>44</v>
      </c>
      <c r="E24">
        <v>35</v>
      </c>
      <c r="F24">
        <v>81</v>
      </c>
      <c r="G24">
        <v>37</v>
      </c>
      <c r="H24">
        <v>170.1</v>
      </c>
      <c r="I24" s="14">
        <v>228.29526925566475</v>
      </c>
      <c r="J24" s="259">
        <v>193.40129263390531</v>
      </c>
      <c r="K24" s="260">
        <v>280.76325212166455</v>
      </c>
      <c r="L24" s="16">
        <f t="shared" si="0"/>
        <v>12</v>
      </c>
      <c r="M24" s="230">
        <f t="shared" si="1"/>
        <v>10</v>
      </c>
      <c r="N24" s="159">
        <f t="shared" si="2"/>
        <v>18</v>
      </c>
      <c r="O24" s="159">
        <f t="shared" si="3"/>
        <v>21</v>
      </c>
      <c r="P24" s="15">
        <v>0</v>
      </c>
      <c r="Q24" s="15">
        <v>0.1111111111111111</v>
      </c>
      <c r="R24">
        <v>52</v>
      </c>
      <c r="S24" t="e" vm="1">
        <f t="shared" si="4"/>
        <v>#VALUE!</v>
      </c>
      <c r="T24" s="14">
        <f>Table235[[#This Row],[BDG]]/Table235[[#This Row],[Odds]]</f>
        <v>41.771337501923398</v>
      </c>
      <c r="U24" s="14" cm="1">
        <f t="array" ref="U24">MAX(_xlfn._xlws.FILTER(Table22[[B365]:[BFAIREXC]], Table22[PLAYER] = A24))</f>
        <v>4.63</v>
      </c>
      <c r="X24" t="s">
        <v>109</v>
      </c>
      <c r="Y24" s="14">
        <v>292.2</v>
      </c>
      <c r="Z24" s="14">
        <v>277.62339227924645</v>
      </c>
      <c r="AA24" s="14">
        <f t="shared" si="5"/>
        <v>-14.576607720753543</v>
      </c>
      <c r="AD24" t="s">
        <v>87</v>
      </c>
      <c r="AE24">
        <v>70.400000000000006</v>
      </c>
      <c r="AF24">
        <f t="shared" si="6"/>
        <v>3.706271231442281</v>
      </c>
    </row>
    <row r="25" spans="1:32">
      <c r="A25" s="159" t="s">
        <v>183</v>
      </c>
      <c r="B25">
        <v>180</v>
      </c>
      <c r="C25">
        <v>23</v>
      </c>
      <c r="D25">
        <v>76</v>
      </c>
      <c r="E25">
        <v>38</v>
      </c>
      <c r="F25">
        <v>43</v>
      </c>
      <c r="G25">
        <v>74</v>
      </c>
      <c r="H25">
        <v>208.6</v>
      </c>
      <c r="I25" s="14">
        <v>314.11372402344898</v>
      </c>
      <c r="J25" s="259">
        <v>193.70419648974087</v>
      </c>
      <c r="K25" s="260">
        <v>281.48601067086281</v>
      </c>
      <c r="L25" s="16">
        <f t="shared" si="0"/>
        <v>37</v>
      </c>
      <c r="M25" s="230">
        <f t="shared" si="1"/>
        <v>37</v>
      </c>
      <c r="N25" s="159">
        <f t="shared" si="2"/>
        <v>19</v>
      </c>
      <c r="O25" s="159">
        <f t="shared" si="3"/>
        <v>22</v>
      </c>
      <c r="P25" s="15">
        <v>0</v>
      </c>
      <c r="Q25" s="15">
        <v>0.22222222222222221</v>
      </c>
      <c r="R25">
        <v>18</v>
      </c>
      <c r="S25" t="e" vm="1">
        <f t="shared" si="4"/>
        <v>#VALUE!</v>
      </c>
      <c r="T25" s="14" t="e" vm="1">
        <f>Table235[[#This Row],[BDG]]/Table235[[#This Row],[Odds]]</f>
        <v>#VALUE!</v>
      </c>
      <c r="U25" s="14" t="e" cm="1" vm="2">
        <f t="array" ref="U25">MAX(_xlfn._xlws.FILTER(Table22[[B365]:[BFAIREXC]], Table22[PLAYER] = A25))</f>
        <v>#VALUE!</v>
      </c>
      <c r="X25" t="s">
        <v>39</v>
      </c>
      <c r="Y25" s="14">
        <v>287.39999999999998</v>
      </c>
      <c r="Z25" s="14">
        <v>271.59466010028956</v>
      </c>
      <c r="AA25" s="14">
        <f t="shared" si="5"/>
        <v>-15.805339899710418</v>
      </c>
      <c r="AD25" t="s">
        <v>85</v>
      </c>
      <c r="AE25">
        <v>70.400000000000006</v>
      </c>
      <c r="AF25">
        <f t="shared" si="6"/>
        <v>2.3144734943599379</v>
      </c>
    </row>
    <row r="26" spans="1:32">
      <c r="A26" s="159" t="s">
        <v>595</v>
      </c>
      <c r="B26">
        <v>29</v>
      </c>
      <c r="C26">
        <v>124</v>
      </c>
      <c r="D26">
        <v>95</v>
      </c>
      <c r="E26">
        <v>135</v>
      </c>
      <c r="F26">
        <v>130</v>
      </c>
      <c r="G26">
        <v>111</v>
      </c>
      <c r="H26">
        <v>253.6</v>
      </c>
      <c r="I26" s="14">
        <v>426.17156869845309</v>
      </c>
      <c r="J26" s="259">
        <v>195.36907779837415</v>
      </c>
      <c r="K26" s="260">
        <v>322.88036435592306</v>
      </c>
      <c r="L26" s="16">
        <f t="shared" si="0"/>
        <v>85</v>
      </c>
      <c r="M26" s="230">
        <f t="shared" si="1"/>
        <v>85</v>
      </c>
      <c r="N26" s="159">
        <f t="shared" si="2"/>
        <v>20</v>
      </c>
      <c r="O26" s="159">
        <f t="shared" si="3"/>
        <v>42</v>
      </c>
      <c r="P26" s="15">
        <v>0</v>
      </c>
      <c r="Q26" s="15">
        <v>0.16666666666666666</v>
      </c>
      <c r="R26">
        <v>-59</v>
      </c>
      <c r="S26" t="e" vm="1">
        <f t="shared" si="4"/>
        <v>#VALUE!</v>
      </c>
      <c r="T26" s="14">
        <f>Table235[[#This Row],[BDG]]/Table235[[#This Row],[Odds]]</f>
        <v>61.825657531131057</v>
      </c>
      <c r="U26" s="14" cm="1">
        <f t="array" ref="U26">MAX(_xlfn._xlws.FILTER(Table22[[B365]:[BFAIREXC]], Table22[PLAYER] = A26))</f>
        <v>3.16</v>
      </c>
      <c r="X26" t="s">
        <v>69</v>
      </c>
      <c r="Y26" s="14">
        <v>207.1</v>
      </c>
      <c r="Z26" s="14">
        <v>189.36232429930433</v>
      </c>
      <c r="AA26" s="14">
        <f t="shared" si="5"/>
        <v>-17.737675700695661</v>
      </c>
      <c r="AD26" t="s">
        <v>147</v>
      </c>
      <c r="AE26">
        <v>70.44</v>
      </c>
      <c r="AF26">
        <f t="shared" si="6"/>
        <v>3.6584607931694668</v>
      </c>
    </row>
    <row r="27" spans="1:32">
      <c r="A27" s="159" t="s">
        <v>20</v>
      </c>
      <c r="B27">
        <v>19</v>
      </c>
      <c r="C27">
        <v>154</v>
      </c>
      <c r="D27">
        <v>98</v>
      </c>
      <c r="E27">
        <v>78</v>
      </c>
      <c r="F27">
        <v>68</v>
      </c>
      <c r="G27">
        <v>60</v>
      </c>
      <c r="H27">
        <v>199.2</v>
      </c>
      <c r="I27" s="14">
        <v>318.22891387694358</v>
      </c>
      <c r="J27" s="259">
        <v>198.56160842098888</v>
      </c>
      <c r="K27" s="260">
        <v>316.34298932686715</v>
      </c>
      <c r="L27" s="16">
        <f t="shared" si="0"/>
        <v>31</v>
      </c>
      <c r="M27" s="230">
        <f t="shared" si="1"/>
        <v>38</v>
      </c>
      <c r="N27" s="159">
        <f t="shared" si="2"/>
        <v>21</v>
      </c>
      <c r="O27" s="159">
        <f t="shared" si="3"/>
        <v>38</v>
      </c>
      <c r="P27" s="15">
        <v>0</v>
      </c>
      <c r="Q27" s="15">
        <v>0</v>
      </c>
      <c r="R27">
        <v>14</v>
      </c>
      <c r="S27" t="e" vm="1">
        <f t="shared" si="4"/>
        <v>#VALUE!</v>
      </c>
      <c r="T27" s="14">
        <f>Table235[[#This Row],[BDG]]/Table235[[#This Row],[Odds]]</f>
        <v>28.365944060141267</v>
      </c>
      <c r="U27" s="14" cm="1">
        <f t="array" ref="U27">MAX(_xlfn._xlws.FILTER(Table22[[B365]:[BFAIREXC]], Table22[PLAYER] = A27))</f>
        <v>7</v>
      </c>
      <c r="X27" t="s">
        <v>130</v>
      </c>
      <c r="Y27" s="14">
        <v>248.9</v>
      </c>
      <c r="Z27" s="14">
        <v>229.79973582152257</v>
      </c>
      <c r="AA27" s="14">
        <f t="shared" si="5"/>
        <v>-19.100264178477431</v>
      </c>
      <c r="AD27" t="s">
        <v>28</v>
      </c>
      <c r="AE27">
        <v>70.5</v>
      </c>
      <c r="AF27">
        <f t="shared" si="6"/>
        <v>2.9279997611925843</v>
      </c>
    </row>
    <row r="28" spans="1:32">
      <c r="A28" s="159" t="s">
        <v>88</v>
      </c>
      <c r="B28">
        <v>103</v>
      </c>
      <c r="C28">
        <v>13</v>
      </c>
      <c r="D28">
        <v>21</v>
      </c>
      <c r="E28">
        <v>43</v>
      </c>
      <c r="F28">
        <v>114</v>
      </c>
      <c r="G28">
        <v>30</v>
      </c>
      <c r="H28">
        <v>158.9</v>
      </c>
      <c r="I28" s="14">
        <v>208.50677858545424</v>
      </c>
      <c r="J28" s="259">
        <v>202.44791588437045</v>
      </c>
      <c r="K28" s="260">
        <v>285.48513881719748</v>
      </c>
      <c r="L28" s="16">
        <f t="shared" si="0"/>
        <v>6</v>
      </c>
      <c r="M28" s="230">
        <f t="shared" si="1"/>
        <v>5</v>
      </c>
      <c r="N28" s="159">
        <f t="shared" si="2"/>
        <v>24</v>
      </c>
      <c r="O28" s="159">
        <f t="shared" si="3"/>
        <v>25</v>
      </c>
      <c r="P28" s="15">
        <v>0.125</v>
      </c>
      <c r="Q28" s="15">
        <v>0.125</v>
      </c>
      <c r="R28">
        <v>25</v>
      </c>
      <c r="S28" t="e" vm="1">
        <f t="shared" si="4"/>
        <v>#VALUE!</v>
      </c>
      <c r="T28" s="14" t="e" vm="1">
        <f>Table235[[#This Row],[BDG]]/Table235[[#This Row],[Odds]]</f>
        <v>#VALUE!</v>
      </c>
      <c r="U28" s="14" t="e" cm="1" vm="2">
        <f t="array" ref="U28">MAX(_xlfn._xlws.FILTER(Table22[[B365]:[BFAIREXC]], Table22[PLAYER] = A28))</f>
        <v>#VALUE!</v>
      </c>
      <c r="X28" t="s">
        <v>163</v>
      </c>
      <c r="Y28" s="14">
        <v>328.2</v>
      </c>
      <c r="Z28" s="14">
        <v>308.75994675527471</v>
      </c>
      <c r="AA28" s="14">
        <f t="shared" si="5"/>
        <v>-19.440053244725277</v>
      </c>
      <c r="AD28" t="s">
        <v>632</v>
      </c>
      <c r="AE28">
        <v>70.5</v>
      </c>
      <c r="AF28">
        <f t="shared" si="6"/>
        <v>3.2092237055758561</v>
      </c>
    </row>
    <row r="29" spans="1:32">
      <c r="A29" s="159" t="s">
        <v>92</v>
      </c>
      <c r="B29">
        <v>58</v>
      </c>
      <c r="C29">
        <v>58</v>
      </c>
      <c r="D29">
        <v>128</v>
      </c>
      <c r="E29">
        <v>39</v>
      </c>
      <c r="F29">
        <v>59</v>
      </c>
      <c r="G29">
        <v>54</v>
      </c>
      <c r="H29">
        <v>190.79999999999998</v>
      </c>
      <c r="I29" s="14">
        <v>286.07555873827835</v>
      </c>
      <c r="J29" s="259">
        <v>202.92944000121099</v>
      </c>
      <c r="K29" s="260">
        <v>310.61130866848771</v>
      </c>
      <c r="L29" s="16">
        <f t="shared" si="0"/>
        <v>27</v>
      </c>
      <c r="M29" s="230">
        <f t="shared" si="1"/>
        <v>29</v>
      </c>
      <c r="N29" s="159">
        <f t="shared" si="2"/>
        <v>25</v>
      </c>
      <c r="O29" s="159">
        <f t="shared" si="3"/>
        <v>34</v>
      </c>
      <c r="P29" s="15">
        <v>0</v>
      </c>
      <c r="Q29" s="15">
        <v>0.22222222222222221</v>
      </c>
      <c r="R29">
        <v>69</v>
      </c>
      <c r="S29" t="e" vm="1">
        <f t="shared" si="4"/>
        <v>#VALUE!</v>
      </c>
      <c r="T29" s="14">
        <f>Table235[[#This Row],[BDG]]/Table235[[#This Row],[Odds]]</f>
        <v>34.3948203391883</v>
      </c>
      <c r="U29" s="14" cm="1">
        <f t="array" ref="U29">MAX(_xlfn._xlws.FILTER(Table22[[B365]:[BFAIREXC]], Table22[PLAYER] = A29))</f>
        <v>5.9</v>
      </c>
      <c r="X29" t="s">
        <v>434</v>
      </c>
      <c r="Y29" s="14">
        <v>263.2</v>
      </c>
      <c r="Z29" s="14">
        <v>243.56945894540851</v>
      </c>
      <c r="AA29" s="14">
        <f t="shared" si="5"/>
        <v>-19.630541054591475</v>
      </c>
      <c r="AD29" t="s">
        <v>148</v>
      </c>
      <c r="AE29">
        <v>70.5</v>
      </c>
      <c r="AF29">
        <f t="shared" si="6"/>
        <v>4.17554181911912</v>
      </c>
    </row>
    <row r="30" spans="1:32">
      <c r="A30" s="159" t="s">
        <v>115</v>
      </c>
      <c r="B30">
        <v>98</v>
      </c>
      <c r="C30">
        <v>41</v>
      </c>
      <c r="D30">
        <v>58</v>
      </c>
      <c r="E30">
        <v>62</v>
      </c>
      <c r="F30">
        <v>14</v>
      </c>
      <c r="G30">
        <v>6</v>
      </c>
      <c r="H30">
        <v>149.69999999999999</v>
      </c>
      <c r="I30" s="14">
        <v>185.9245643426068</v>
      </c>
      <c r="J30" s="259">
        <v>203.57201195784037</v>
      </c>
      <c r="K30" s="260">
        <v>303.69306011062832</v>
      </c>
      <c r="L30" s="16">
        <f t="shared" si="0"/>
        <v>5</v>
      </c>
      <c r="M30" s="230">
        <f t="shared" si="1"/>
        <v>2</v>
      </c>
      <c r="N30" s="159">
        <f t="shared" si="2"/>
        <v>26</v>
      </c>
      <c r="O30" s="159">
        <f t="shared" si="3"/>
        <v>31</v>
      </c>
      <c r="P30" s="15">
        <v>0</v>
      </c>
      <c r="Q30" s="15">
        <v>0.25</v>
      </c>
      <c r="R30">
        <v>20</v>
      </c>
      <c r="S30" t="e" vm="1">
        <f t="shared" si="4"/>
        <v>#VALUE!</v>
      </c>
      <c r="T30" s="14">
        <f>Table235[[#This Row],[BDG]]/Table235[[#This Row],[Odds]]</f>
        <v>53.712931914997462</v>
      </c>
      <c r="U30" s="14" cm="1">
        <f t="array" ref="U30">MAX(_xlfn._xlws.FILTER(Table22[[B365]:[BFAIREXC]], Table22[PLAYER] = A30))</f>
        <v>3.79</v>
      </c>
      <c r="X30" t="s">
        <v>60</v>
      </c>
      <c r="Y30" s="14">
        <v>312.5</v>
      </c>
      <c r="Z30" s="14">
        <v>289.38061464398493</v>
      </c>
      <c r="AA30" s="14">
        <f t="shared" si="5"/>
        <v>-23.119385356015073</v>
      </c>
      <c r="AD30" t="s">
        <v>50</v>
      </c>
      <c r="AE30">
        <v>70.5</v>
      </c>
      <c r="AF30">
        <f t="shared" si="6"/>
        <v>3.3569519321661918</v>
      </c>
    </row>
    <row r="31" spans="1:32">
      <c r="A31" s="159" t="s">
        <v>19</v>
      </c>
      <c r="B31">
        <v>97</v>
      </c>
      <c r="C31">
        <v>134</v>
      </c>
      <c r="D31">
        <v>62</v>
      </c>
      <c r="E31">
        <v>116</v>
      </c>
      <c r="F31">
        <v>55</v>
      </c>
      <c r="G31">
        <v>39</v>
      </c>
      <c r="H31">
        <v>227.29999999999998</v>
      </c>
      <c r="I31" s="14">
        <v>323.66634877243553</v>
      </c>
      <c r="J31" s="259">
        <v>204.47578494395782</v>
      </c>
      <c r="K31" s="260">
        <v>292.78434692468818</v>
      </c>
      <c r="L31" s="16">
        <f t="shared" si="0"/>
        <v>62</v>
      </c>
      <c r="M31" s="230">
        <f t="shared" si="1"/>
        <v>44</v>
      </c>
      <c r="N31" s="159">
        <f t="shared" si="2"/>
        <v>27</v>
      </c>
      <c r="O31" s="159">
        <f t="shared" si="3"/>
        <v>28</v>
      </c>
      <c r="P31" s="15">
        <v>0</v>
      </c>
      <c r="Q31" s="15">
        <v>0.2</v>
      </c>
      <c r="R31">
        <v>-31</v>
      </c>
      <c r="S31" t="e" vm="1">
        <f t="shared" si="4"/>
        <v>#VALUE!</v>
      </c>
      <c r="T31" s="14" t="e" vm="1">
        <f>Table235[[#This Row],[BDG]]/Table235[[#This Row],[Odds]]</f>
        <v>#VALUE!</v>
      </c>
      <c r="U31" s="14" t="e" cm="1" vm="2">
        <f t="array" ref="U31">MAX(_xlfn._xlws.FILTER(Table22[[B365]:[BFAIREXC]], Table22[PLAYER] = A31))</f>
        <v>#VALUE!</v>
      </c>
      <c r="X31" t="s">
        <v>160</v>
      </c>
      <c r="Y31" s="14">
        <v>367.8</v>
      </c>
      <c r="Z31" s="14">
        <v>344.13489281031411</v>
      </c>
      <c r="AA31" s="14">
        <f t="shared" si="5"/>
        <v>-23.665107189685898</v>
      </c>
      <c r="AD31" t="s">
        <v>161</v>
      </c>
      <c r="AE31">
        <v>70.569999999999993</v>
      </c>
      <c r="AF31">
        <f t="shared" si="6"/>
        <v>3.7637983059912221</v>
      </c>
    </row>
    <row r="32" spans="1:32">
      <c r="A32" s="159" t="s">
        <v>433</v>
      </c>
      <c r="B32">
        <v>159</v>
      </c>
      <c r="C32">
        <v>32</v>
      </c>
      <c r="D32">
        <v>79</v>
      </c>
      <c r="E32">
        <v>54</v>
      </c>
      <c r="F32">
        <v>38</v>
      </c>
      <c r="G32">
        <v>26</v>
      </c>
      <c r="H32">
        <v>206.29999999999998</v>
      </c>
      <c r="I32" s="14">
        <v>266.82291170123938</v>
      </c>
      <c r="J32" s="259">
        <v>206.29999999999998</v>
      </c>
      <c r="K32" s="260">
        <v>266.82291170123938</v>
      </c>
      <c r="L32" s="16">
        <f t="shared" si="0"/>
        <v>33</v>
      </c>
      <c r="M32" s="230">
        <f t="shared" si="1"/>
        <v>23</v>
      </c>
      <c r="N32" s="159">
        <f t="shared" si="2"/>
        <v>29</v>
      </c>
      <c r="O32" s="159">
        <f t="shared" si="3"/>
        <v>13</v>
      </c>
      <c r="P32" s="15">
        <v>0</v>
      </c>
      <c r="Q32" s="15">
        <v>0</v>
      </c>
      <c r="R32">
        <v>-9</v>
      </c>
      <c r="S32" t="e" vm="1">
        <f t="shared" si="4"/>
        <v>#VALUE!</v>
      </c>
      <c r="T32" s="14">
        <f>Table235[[#This Row],[BDG]]/Table235[[#This Row],[Odds]]</f>
        <v>20.029126213592232</v>
      </c>
      <c r="U32" s="14" cm="1">
        <f t="array" ref="U32">MAX(_xlfn._xlws.FILTER(Table22[[B365]:[BFAIREXC]], Table22[PLAYER] = A32))</f>
        <v>10.3</v>
      </c>
      <c r="X32" t="s">
        <v>21</v>
      </c>
      <c r="Y32" s="14">
        <v>338.3</v>
      </c>
      <c r="Z32" s="14">
        <v>313.64298331389364</v>
      </c>
      <c r="AA32" s="14">
        <f t="shared" si="5"/>
        <v>-24.657016686106374</v>
      </c>
      <c r="AD32" t="s">
        <v>410</v>
      </c>
      <c r="AE32">
        <v>70.63</v>
      </c>
      <c r="AF32">
        <f t="shared" si="6"/>
        <v>2.9732408325074333</v>
      </c>
    </row>
    <row r="33" spans="1:32">
      <c r="A33" s="159" t="s">
        <v>28</v>
      </c>
      <c r="B33">
        <v>48</v>
      </c>
      <c r="C33">
        <v>108</v>
      </c>
      <c r="D33">
        <v>29</v>
      </c>
      <c r="E33">
        <v>36</v>
      </c>
      <c r="F33">
        <v>90</v>
      </c>
      <c r="G33">
        <v>49</v>
      </c>
      <c r="H33">
        <v>144.5</v>
      </c>
      <c r="I33" s="14">
        <v>229.38712217530119</v>
      </c>
      <c r="J33" s="259">
        <v>206.42398316407719</v>
      </c>
      <c r="K33" s="260">
        <v>325.83206361514419</v>
      </c>
      <c r="L33" s="16">
        <f t="shared" si="0"/>
        <v>3</v>
      </c>
      <c r="M33" s="230">
        <f t="shared" si="1"/>
        <v>11</v>
      </c>
      <c r="N33" s="159">
        <f t="shared" si="2"/>
        <v>30</v>
      </c>
      <c r="O33" s="159">
        <f t="shared" si="3"/>
        <v>44</v>
      </c>
      <c r="P33" s="15">
        <v>0</v>
      </c>
      <c r="Q33" s="15">
        <v>0</v>
      </c>
      <c r="R33">
        <v>-12</v>
      </c>
      <c r="S33" t="e" vm="1">
        <f t="shared" si="4"/>
        <v>#VALUE!</v>
      </c>
      <c r="T33" s="14">
        <f>Table235[[#This Row],[BDG]]/Table235[[#This Row],[Odds]]</f>
        <v>44.584013642349284</v>
      </c>
      <c r="U33" s="14" cm="1">
        <f t="array" ref="U33">MAX(_xlfn._xlws.FILTER(Table22[[B365]:[BFAIREXC]], Table22[PLAYER] = A33))</f>
        <v>4.63</v>
      </c>
      <c r="X33" t="s">
        <v>97</v>
      </c>
      <c r="Y33" s="14">
        <v>282.29999999999995</v>
      </c>
      <c r="Z33" s="14">
        <v>253.57237894450026</v>
      </c>
      <c r="AA33" s="14">
        <f t="shared" si="5"/>
        <v>-28.727621055499696</v>
      </c>
      <c r="AD33" t="s">
        <v>58</v>
      </c>
      <c r="AE33">
        <v>70.63</v>
      </c>
      <c r="AF33" t="e">
        <f t="shared" si="6"/>
        <v>#N/A</v>
      </c>
    </row>
    <row r="34" spans="1:32">
      <c r="A34" s="159" t="s">
        <v>497</v>
      </c>
      <c r="B34">
        <v>53</v>
      </c>
      <c r="C34">
        <v>158</v>
      </c>
      <c r="D34">
        <v>25</v>
      </c>
      <c r="E34">
        <v>92</v>
      </c>
      <c r="F34">
        <v>132</v>
      </c>
      <c r="G34">
        <v>71</v>
      </c>
      <c r="H34">
        <v>208.7</v>
      </c>
      <c r="I34" s="14">
        <v>333.29033252751924</v>
      </c>
      <c r="J34" s="259">
        <v>208.7</v>
      </c>
      <c r="K34" s="260">
        <v>333.29033252751924</v>
      </c>
      <c r="L34" s="16">
        <f t="shared" ref="L34:L65" si="7">RANK(H34,$H$2:$H$147,1)</f>
        <v>38</v>
      </c>
      <c r="M34" s="230">
        <f t="shared" ref="M34:M65" si="8">RANK(I34,$I$2:$I$147,1)</f>
        <v>48</v>
      </c>
      <c r="N34" s="159">
        <f t="shared" ref="N34:N65" si="9">RANK(J34,$J$2:$J$147,1)</f>
        <v>31</v>
      </c>
      <c r="O34" s="159">
        <f t="shared" ref="O34:O65" si="10">RANK(K34,$K$2:$K$147,1)</f>
        <v>47</v>
      </c>
      <c r="P34" s="15">
        <v>0</v>
      </c>
      <c r="Q34" s="15">
        <v>0</v>
      </c>
      <c r="R34">
        <v>-21</v>
      </c>
      <c r="S34" t="e" vm="1">
        <f t="shared" ref="S34:S65" si="11">RANK(U34,$U$2:$U$147,0)</f>
        <v>#VALUE!</v>
      </c>
      <c r="T34" s="14">
        <f>Table235[[#This Row],[BDG]]/Table235[[#This Row],[Odds]]</f>
        <v>18.972727272727273</v>
      </c>
      <c r="U34" s="14" cm="1">
        <f t="array" ref="U34">MAX(_xlfn._xlws.FILTER(Table22[[B365]:[BFAIREXC]], Table22[PLAYER] = A34))</f>
        <v>11</v>
      </c>
      <c r="X34" t="s">
        <v>13</v>
      </c>
      <c r="Y34" s="14">
        <v>312.5</v>
      </c>
      <c r="Z34" s="14">
        <v>283.27814030268519</v>
      </c>
      <c r="AA34" s="14">
        <f t="shared" si="5"/>
        <v>-29.221859697314812</v>
      </c>
      <c r="AD34" t="s">
        <v>222</v>
      </c>
      <c r="AE34">
        <v>70.63</v>
      </c>
      <c r="AF34">
        <f t="shared" si="6"/>
        <v>5.5811977913068107</v>
      </c>
    </row>
    <row r="35" spans="1:32">
      <c r="A35" s="159" t="s">
        <v>118</v>
      </c>
      <c r="B35">
        <v>140</v>
      </c>
      <c r="C35">
        <v>40</v>
      </c>
      <c r="D35">
        <v>47</v>
      </c>
      <c r="E35">
        <v>59</v>
      </c>
      <c r="F35">
        <v>100</v>
      </c>
      <c r="G35">
        <v>78</v>
      </c>
      <c r="H35">
        <v>208.4</v>
      </c>
      <c r="I35" s="14">
        <v>318.96012790988709</v>
      </c>
      <c r="J35" s="259">
        <v>209.30438807026573</v>
      </c>
      <c r="K35" s="260">
        <v>313.08428771773373</v>
      </c>
      <c r="L35" s="16">
        <f t="shared" si="7"/>
        <v>36</v>
      </c>
      <c r="M35" s="230">
        <f t="shared" si="8"/>
        <v>39</v>
      </c>
      <c r="N35" s="159">
        <f t="shared" si="9"/>
        <v>32</v>
      </c>
      <c r="O35" s="159">
        <f t="shared" si="10"/>
        <v>35</v>
      </c>
      <c r="P35" s="15">
        <v>0</v>
      </c>
      <c r="Q35" s="15">
        <v>0</v>
      </c>
      <c r="R35">
        <v>-27</v>
      </c>
      <c r="S35" t="e" vm="1">
        <f t="shared" si="11"/>
        <v>#VALUE!</v>
      </c>
      <c r="T35" s="14" t="e" vm="1">
        <f>Table235[[#This Row],[BDG]]/Table235[[#This Row],[Odds]]</f>
        <v>#VALUE!</v>
      </c>
      <c r="U35" s="14" t="e" cm="1" vm="2">
        <f t="array" ref="U35">MAX(_xlfn._xlws.FILTER(Table22[[B365]:[BFAIREXC]], Table22[PLAYER] = A35))</f>
        <v>#VALUE!</v>
      </c>
      <c r="X35" t="s">
        <v>46</v>
      </c>
      <c r="Y35" s="14">
        <v>292.8</v>
      </c>
      <c r="Z35" s="14">
        <v>259.90567261697618</v>
      </c>
      <c r="AA35" s="14">
        <f t="shared" si="5"/>
        <v>-32.894327383023835</v>
      </c>
      <c r="AD35" t="s">
        <v>109</v>
      </c>
      <c r="AE35">
        <v>70.67</v>
      </c>
      <c r="AF35" t="e">
        <f t="shared" si="6"/>
        <v>#N/A</v>
      </c>
    </row>
    <row r="36" spans="1:32">
      <c r="A36" s="159" t="s">
        <v>121</v>
      </c>
      <c r="B36">
        <v>136</v>
      </c>
      <c r="C36">
        <v>10</v>
      </c>
      <c r="D36">
        <v>40</v>
      </c>
      <c r="E36">
        <v>70</v>
      </c>
      <c r="F36">
        <v>60</v>
      </c>
      <c r="G36">
        <v>9</v>
      </c>
      <c r="H36">
        <v>177.6</v>
      </c>
      <c r="I36" s="14">
        <v>211.8945184443796</v>
      </c>
      <c r="J36" s="259">
        <v>209.67917684530801</v>
      </c>
      <c r="K36" s="260">
        <v>284.18179832081546</v>
      </c>
      <c r="L36" s="16">
        <f t="shared" si="7"/>
        <v>16</v>
      </c>
      <c r="M36" s="230">
        <f t="shared" si="8"/>
        <v>7</v>
      </c>
      <c r="N36" s="159">
        <f t="shared" si="9"/>
        <v>33</v>
      </c>
      <c r="O36" s="159">
        <f t="shared" si="10"/>
        <v>24</v>
      </c>
      <c r="P36" s="15">
        <v>0</v>
      </c>
      <c r="Q36" s="15">
        <v>0.1111111111111111</v>
      </c>
      <c r="R36">
        <v>-3</v>
      </c>
      <c r="S36" t="e" vm="1">
        <f t="shared" si="11"/>
        <v>#VALUE!</v>
      </c>
      <c r="T36" s="14">
        <f>Table235[[#This Row],[BDG]]/Table235[[#This Row],[Odds]]</f>
        <v>46.286794005586756</v>
      </c>
      <c r="U36" s="14" cm="1">
        <f t="array" ref="U36">MAX(_xlfn._xlws.FILTER(Table22[[B365]:[BFAIREXC]], Table22[PLAYER] = A36))</f>
        <v>4.53</v>
      </c>
      <c r="X36" t="s">
        <v>55</v>
      </c>
      <c r="Y36" s="14">
        <v>316.2</v>
      </c>
      <c r="Z36" s="14">
        <v>281.03526385613827</v>
      </c>
      <c r="AA36" s="14">
        <f t="shared" si="5"/>
        <v>-35.164736143861717</v>
      </c>
      <c r="AD36" t="s">
        <v>116</v>
      </c>
      <c r="AE36">
        <v>70.67</v>
      </c>
      <c r="AF36">
        <f t="shared" si="6"/>
        <v>4.4993815485266166</v>
      </c>
    </row>
    <row r="37" spans="1:32">
      <c r="A37" s="159" t="s">
        <v>152</v>
      </c>
      <c r="B37">
        <v>138</v>
      </c>
      <c r="C37">
        <v>1</v>
      </c>
      <c r="D37">
        <v>19</v>
      </c>
      <c r="E37">
        <v>84</v>
      </c>
      <c r="F37">
        <v>118</v>
      </c>
      <c r="G37">
        <v>34</v>
      </c>
      <c r="H37">
        <v>197.39999999999998</v>
      </c>
      <c r="I37" s="14">
        <v>255.0214860268818</v>
      </c>
      <c r="J37" s="259">
        <v>209.90183508896746</v>
      </c>
      <c r="K37" s="260">
        <v>275.95422651124733</v>
      </c>
      <c r="L37" s="16">
        <f t="shared" si="7"/>
        <v>30</v>
      </c>
      <c r="M37" s="230">
        <f t="shared" si="8"/>
        <v>21</v>
      </c>
      <c r="N37" s="159">
        <f t="shared" si="9"/>
        <v>34</v>
      </c>
      <c r="O37" s="159">
        <f t="shared" si="10"/>
        <v>20</v>
      </c>
      <c r="P37" s="15">
        <v>0</v>
      </c>
      <c r="Q37" s="15">
        <v>0.1111111111111111</v>
      </c>
      <c r="R37">
        <v>26</v>
      </c>
      <c r="S37" t="e" vm="1">
        <f t="shared" si="11"/>
        <v>#VALUE!</v>
      </c>
      <c r="T37" s="14">
        <f>Table235[[#This Row],[BDG]]/Table235[[#This Row],[Odds]]</f>
        <v>47.381904083288369</v>
      </c>
      <c r="U37" s="14" cm="1">
        <f t="array" ref="U37">MAX(_xlfn._xlws.FILTER(Table22[[B365]:[BFAIREXC]], Table22[PLAYER] = A37))</f>
        <v>4.43</v>
      </c>
      <c r="X37" t="s">
        <v>11</v>
      </c>
      <c r="Y37" s="14">
        <v>312.2</v>
      </c>
      <c r="Z37" s="14">
        <v>276.92886525963638</v>
      </c>
      <c r="AA37" s="14">
        <f t="shared" si="5"/>
        <v>-35.271134740363607</v>
      </c>
      <c r="AD37" t="s">
        <v>183</v>
      </c>
      <c r="AE37">
        <v>70.67</v>
      </c>
      <c r="AF37">
        <f t="shared" si="6"/>
        <v>2.7409678292025026</v>
      </c>
    </row>
    <row r="38" spans="1:32">
      <c r="A38" s="159" t="s">
        <v>410</v>
      </c>
      <c r="B38">
        <v>70</v>
      </c>
      <c r="C38">
        <v>145</v>
      </c>
      <c r="D38">
        <v>70</v>
      </c>
      <c r="E38">
        <v>48</v>
      </c>
      <c r="F38">
        <v>103</v>
      </c>
      <c r="G38">
        <v>64</v>
      </c>
      <c r="H38">
        <v>210</v>
      </c>
      <c r="I38" s="14">
        <v>326.79674665478262</v>
      </c>
      <c r="J38" s="259">
        <v>210</v>
      </c>
      <c r="K38" s="260">
        <v>326.79674665478262</v>
      </c>
      <c r="L38" s="16">
        <f t="shared" si="7"/>
        <v>41</v>
      </c>
      <c r="M38" s="230">
        <f t="shared" si="8"/>
        <v>46</v>
      </c>
      <c r="N38" s="159">
        <f t="shared" si="9"/>
        <v>35</v>
      </c>
      <c r="O38" s="159">
        <f t="shared" si="10"/>
        <v>45</v>
      </c>
      <c r="P38" s="15">
        <v>0</v>
      </c>
      <c r="Q38" s="15">
        <v>0.22222222222222221</v>
      </c>
      <c r="R38">
        <v>83</v>
      </c>
      <c r="S38" t="e" vm="1">
        <f t="shared" si="11"/>
        <v>#VALUE!</v>
      </c>
      <c r="T38" s="14" t="e" vm="1">
        <f>Table235[[#This Row],[BDG]]/Table235[[#This Row],[Odds]]</f>
        <v>#VALUE!</v>
      </c>
      <c r="U38" s="14" t="e" cm="1" vm="2">
        <f t="array" ref="U38">MAX(_xlfn._xlws.FILTER(Table22[[B365]:[BFAIREXC]], Table22[PLAYER] = A38))</f>
        <v>#VALUE!</v>
      </c>
      <c r="X38" t="s">
        <v>79</v>
      </c>
      <c r="Y38" s="14">
        <v>323.89999999999998</v>
      </c>
      <c r="Z38" s="14">
        <v>286.92648771560681</v>
      </c>
      <c r="AA38" s="14">
        <f t="shared" si="5"/>
        <v>-36.973512284393166</v>
      </c>
      <c r="AD38" t="s">
        <v>149</v>
      </c>
      <c r="AE38">
        <v>70.75</v>
      </c>
      <c r="AF38">
        <f t="shared" si="6"/>
        <v>3.6085425875655939</v>
      </c>
    </row>
    <row r="39" spans="1:32">
      <c r="A39" s="159" t="s">
        <v>98</v>
      </c>
      <c r="B39">
        <v>41</v>
      </c>
      <c r="C39">
        <v>89</v>
      </c>
      <c r="D39">
        <v>144</v>
      </c>
      <c r="E39">
        <v>8</v>
      </c>
      <c r="F39">
        <v>24</v>
      </c>
      <c r="G39">
        <v>10</v>
      </c>
      <c r="H39">
        <v>168.1</v>
      </c>
      <c r="I39" s="14">
        <v>222.62527050825227</v>
      </c>
      <c r="J39" s="259">
        <v>210.65943860074032</v>
      </c>
      <c r="K39" s="260">
        <v>316.64623815303031</v>
      </c>
      <c r="L39" s="16">
        <f t="shared" si="7"/>
        <v>9</v>
      </c>
      <c r="M39" s="230">
        <f t="shared" si="8"/>
        <v>8</v>
      </c>
      <c r="N39" s="159">
        <f t="shared" si="9"/>
        <v>36</v>
      </c>
      <c r="O39" s="159">
        <f t="shared" si="10"/>
        <v>39</v>
      </c>
      <c r="P39" s="15">
        <v>0</v>
      </c>
      <c r="Q39" s="15">
        <v>0.22222222222222221</v>
      </c>
      <c r="R39">
        <v>13</v>
      </c>
      <c r="S39" t="e" vm="1">
        <f t="shared" si="11"/>
        <v>#VALUE!</v>
      </c>
      <c r="T39" s="14" t="e" vm="1">
        <f>Table235[[#This Row],[BDG]]/Table235[[#This Row],[Odds]]</f>
        <v>#VALUE!</v>
      </c>
      <c r="U39" s="14" t="e" cm="1" vm="2">
        <f t="array" ref="U39">MAX(_xlfn._xlws.FILTER(Table22[[B365]:[BFAIREXC]], Table22[PLAYER] = A39))</f>
        <v>#VALUE!</v>
      </c>
      <c r="X39" t="s">
        <v>62</v>
      </c>
      <c r="Y39" s="14">
        <v>286</v>
      </c>
      <c r="Z39" s="14">
        <v>247.74970455758461</v>
      </c>
      <c r="AA39" s="14">
        <f t="shared" si="5"/>
        <v>-38.250295442415393</v>
      </c>
      <c r="AD39" t="s">
        <v>8</v>
      </c>
      <c r="AE39">
        <v>70.75</v>
      </c>
      <c r="AF39">
        <f t="shared" si="6"/>
        <v>3.9068173033584972</v>
      </c>
    </row>
    <row r="40" spans="1:32">
      <c r="A40" s="159" t="s">
        <v>135</v>
      </c>
      <c r="B40">
        <v>167</v>
      </c>
      <c r="C40">
        <v>19</v>
      </c>
      <c r="D40">
        <v>52</v>
      </c>
      <c r="E40">
        <v>66</v>
      </c>
      <c r="F40">
        <v>136</v>
      </c>
      <c r="G40">
        <v>69</v>
      </c>
      <c r="H40">
        <v>243.3</v>
      </c>
      <c r="I40" s="14">
        <v>344.62417760978553</v>
      </c>
      <c r="J40" s="259">
        <v>211.73393896685411</v>
      </c>
      <c r="K40" s="260">
        <v>274.05560945711488</v>
      </c>
      <c r="L40" s="16">
        <f t="shared" si="7"/>
        <v>75</v>
      </c>
      <c r="M40" s="230">
        <f t="shared" si="8"/>
        <v>54</v>
      </c>
      <c r="N40" s="159">
        <f t="shared" si="9"/>
        <v>37</v>
      </c>
      <c r="O40" s="159">
        <f t="shared" si="10"/>
        <v>19</v>
      </c>
      <c r="P40" s="15">
        <v>0</v>
      </c>
      <c r="Q40" s="15">
        <v>0.16666666666666666</v>
      </c>
      <c r="R40">
        <v>-42</v>
      </c>
      <c r="S40" t="e" vm="1">
        <f t="shared" si="11"/>
        <v>#VALUE!</v>
      </c>
      <c r="T40" s="14" t="e" vm="1">
        <f>Table235[[#This Row],[BDG]]/Table235[[#This Row],[Odds]]</f>
        <v>#VALUE!</v>
      </c>
      <c r="U40" s="14" t="e" cm="1" vm="2">
        <f t="array" ref="U40">MAX(_xlfn._xlws.FILTER(Table22[[B365]:[BFAIREXC]], Table22[PLAYER] = A40))</f>
        <v>#VALUE!</v>
      </c>
      <c r="X40" t="s">
        <v>36</v>
      </c>
      <c r="Y40" s="14">
        <v>317.09999999999997</v>
      </c>
      <c r="Z40" s="14">
        <v>276.93452982055129</v>
      </c>
      <c r="AA40" s="14">
        <f t="shared" si="5"/>
        <v>-40.165470179448675</v>
      </c>
      <c r="AD40" t="s">
        <v>48</v>
      </c>
      <c r="AE40">
        <v>70.75</v>
      </c>
      <c r="AF40">
        <f t="shared" si="6"/>
        <v>3.8037200918347649</v>
      </c>
    </row>
    <row r="41" spans="1:32">
      <c r="A41" s="159" t="s">
        <v>14</v>
      </c>
      <c r="B41">
        <v>29</v>
      </c>
      <c r="C41">
        <v>66</v>
      </c>
      <c r="D41">
        <v>10</v>
      </c>
      <c r="E41">
        <v>130</v>
      </c>
      <c r="F41">
        <v>151</v>
      </c>
      <c r="G41">
        <v>32</v>
      </c>
      <c r="H41">
        <v>184.7</v>
      </c>
      <c r="I41" s="14">
        <v>253.09178077453873</v>
      </c>
      <c r="J41" s="259">
        <v>212.03757487539491</v>
      </c>
      <c r="K41" s="260">
        <v>301.65220847219126</v>
      </c>
      <c r="L41" s="16">
        <f t="shared" si="7"/>
        <v>22</v>
      </c>
      <c r="M41" s="230">
        <f t="shared" si="8"/>
        <v>20</v>
      </c>
      <c r="N41" s="159">
        <f t="shared" si="9"/>
        <v>38</v>
      </c>
      <c r="O41" s="159">
        <f t="shared" si="10"/>
        <v>29</v>
      </c>
      <c r="P41" s="15">
        <v>0</v>
      </c>
      <c r="Q41" s="15">
        <v>0.2</v>
      </c>
      <c r="R41">
        <v>-14</v>
      </c>
      <c r="S41" t="e" vm="1">
        <f t="shared" si="11"/>
        <v>#VALUE!</v>
      </c>
      <c r="T41" s="14" t="e" vm="1">
        <f>Table235[[#This Row],[BDG]]/Table235[[#This Row],[Odds]]</f>
        <v>#VALUE!</v>
      </c>
      <c r="U41" s="14" t="e" cm="1" vm="2">
        <f t="array" ref="U41">MAX(_xlfn._xlws.FILTER(Table22[[B365]:[BFAIREXC]], Table22[PLAYER] = A41))</f>
        <v>#VALUE!</v>
      </c>
      <c r="X41" t="s">
        <v>443</v>
      </c>
      <c r="Y41" s="14">
        <v>346.09999999999997</v>
      </c>
      <c r="Z41" s="14">
        <v>304.52903868288973</v>
      </c>
      <c r="AA41" s="14">
        <f t="shared" si="5"/>
        <v>-41.570961317110232</v>
      </c>
      <c r="AD41" t="s">
        <v>163</v>
      </c>
      <c r="AE41">
        <v>70.75</v>
      </c>
      <c r="AF41">
        <f t="shared" si="6"/>
        <v>4.2635872096781471</v>
      </c>
    </row>
    <row r="42" spans="1:32">
      <c r="A42" s="159" t="s">
        <v>154</v>
      </c>
      <c r="B42">
        <v>157</v>
      </c>
      <c r="C42">
        <v>48</v>
      </c>
      <c r="D42">
        <v>50</v>
      </c>
      <c r="E42">
        <v>45</v>
      </c>
      <c r="F42">
        <v>28</v>
      </c>
      <c r="G42">
        <v>23</v>
      </c>
      <c r="H42">
        <v>180.1</v>
      </c>
      <c r="I42" s="14">
        <v>234.8393608093111</v>
      </c>
      <c r="J42" s="259">
        <v>212.39025793191652</v>
      </c>
      <c r="K42" s="260">
        <v>283.86666686122504</v>
      </c>
      <c r="L42" s="16">
        <f t="shared" si="7"/>
        <v>18</v>
      </c>
      <c r="M42" s="230">
        <f t="shared" si="8"/>
        <v>15</v>
      </c>
      <c r="N42" s="159">
        <f t="shared" si="9"/>
        <v>39</v>
      </c>
      <c r="O42" s="159">
        <f t="shared" si="10"/>
        <v>23</v>
      </c>
      <c r="P42" s="15">
        <v>0</v>
      </c>
      <c r="Q42" s="15">
        <v>0.25</v>
      </c>
      <c r="R42">
        <v>53</v>
      </c>
      <c r="S42" t="e" vm="1">
        <f t="shared" si="11"/>
        <v>#VALUE!</v>
      </c>
      <c r="T42" s="14" t="e" vm="1">
        <f>Table235[[#This Row],[BDG]]/Table235[[#This Row],[Odds]]</f>
        <v>#VALUE!</v>
      </c>
      <c r="U42" s="14" t="e" cm="1" vm="2">
        <f t="array" ref="U42">MAX(_xlfn._xlws.FILTER(Table22[[B365]:[BFAIREXC]], Table22[PLAYER] = A42))</f>
        <v>#VALUE!</v>
      </c>
      <c r="X42" t="s">
        <v>17</v>
      </c>
      <c r="Y42" s="14">
        <v>328.79999999999995</v>
      </c>
      <c r="Z42" s="14">
        <v>277.37858797449258</v>
      </c>
      <c r="AA42" s="14">
        <f t="shared" si="5"/>
        <v>-51.421412025507379</v>
      </c>
      <c r="AD42" t="s">
        <v>561</v>
      </c>
      <c r="AE42">
        <v>70.8</v>
      </c>
      <c r="AF42">
        <f t="shared" si="6"/>
        <v>4.6186440677966107</v>
      </c>
    </row>
    <row r="43" spans="1:32">
      <c r="A43" s="159" t="s">
        <v>124</v>
      </c>
      <c r="B43">
        <v>133</v>
      </c>
      <c r="C43">
        <v>64</v>
      </c>
      <c r="D43">
        <v>82</v>
      </c>
      <c r="E43">
        <v>82</v>
      </c>
      <c r="F43">
        <v>143</v>
      </c>
      <c r="G43">
        <v>125</v>
      </c>
      <c r="H43">
        <v>268.89999999999998</v>
      </c>
      <c r="I43" s="14">
        <v>440.50948206225047</v>
      </c>
      <c r="J43" s="259">
        <v>212.50187942843826</v>
      </c>
      <c r="K43" s="260">
        <v>313.12349002875294</v>
      </c>
      <c r="L43" s="16">
        <f t="shared" si="7"/>
        <v>99</v>
      </c>
      <c r="M43" s="230">
        <f t="shared" si="8"/>
        <v>95</v>
      </c>
      <c r="N43" s="159">
        <f t="shared" si="9"/>
        <v>40</v>
      </c>
      <c r="O43" s="159">
        <f t="shared" si="10"/>
        <v>36</v>
      </c>
      <c r="P43" s="15">
        <v>0</v>
      </c>
      <c r="Q43" s="15">
        <v>0</v>
      </c>
      <c r="R43">
        <v>-26</v>
      </c>
      <c r="S43" t="e" vm="1">
        <f t="shared" si="11"/>
        <v>#VALUE!</v>
      </c>
      <c r="T43" s="14" t="e" vm="1">
        <f>Table235[[#This Row],[BDG]]/Table235[[#This Row],[Odds]]</f>
        <v>#VALUE!</v>
      </c>
      <c r="U43" s="14" t="e" cm="1" vm="2">
        <f t="array" ref="U43">MAX(_xlfn._xlws.FILTER(Table22[[B365]:[BFAIREXC]], Table22[PLAYER] = A43))</f>
        <v>#VALUE!</v>
      </c>
      <c r="X43" t="s">
        <v>491</v>
      </c>
      <c r="Y43" s="14">
        <v>267</v>
      </c>
      <c r="Z43" s="14">
        <v>215.12553588616214</v>
      </c>
      <c r="AA43" s="14">
        <f t="shared" si="5"/>
        <v>-51.87446411383786</v>
      </c>
      <c r="AD43" t="s">
        <v>233</v>
      </c>
      <c r="AE43">
        <v>70.83</v>
      </c>
      <c r="AF43" t="e">
        <f t="shared" si="6"/>
        <v>#N/A</v>
      </c>
    </row>
    <row r="44" spans="1:32">
      <c r="A44" s="159" t="s">
        <v>235</v>
      </c>
      <c r="B44">
        <v>84</v>
      </c>
      <c r="C44">
        <v>109</v>
      </c>
      <c r="D44">
        <v>81</v>
      </c>
      <c r="E44">
        <v>58</v>
      </c>
      <c r="F44">
        <v>91</v>
      </c>
      <c r="G44">
        <v>109</v>
      </c>
      <c r="H44">
        <v>214.29999999999998</v>
      </c>
      <c r="I44" s="14">
        <v>372.05412890359321</v>
      </c>
      <c r="J44" s="259">
        <v>214.29999999999998</v>
      </c>
      <c r="K44" s="260">
        <v>372.05412890359321</v>
      </c>
      <c r="L44" s="16">
        <f t="shared" si="7"/>
        <v>43</v>
      </c>
      <c r="M44" s="230">
        <f t="shared" si="8"/>
        <v>65</v>
      </c>
      <c r="N44" s="159">
        <f t="shared" si="9"/>
        <v>42</v>
      </c>
      <c r="O44" s="159">
        <f t="shared" si="10"/>
        <v>65</v>
      </c>
      <c r="P44" s="15">
        <v>0</v>
      </c>
      <c r="Q44" s="15">
        <v>0.16666666666666666</v>
      </c>
      <c r="R44">
        <v>-7</v>
      </c>
      <c r="S44" t="e" vm="1">
        <f t="shared" si="11"/>
        <v>#VALUE!</v>
      </c>
      <c r="T44" s="14" t="e" vm="1">
        <f>Table235[[#This Row],[BDG]]/Table235[[#This Row],[Odds]]</f>
        <v>#VALUE!</v>
      </c>
      <c r="U44" s="14" t="e" cm="1" vm="2">
        <f t="array" ref="U44">MAX(_xlfn._xlws.FILTER(Table22[[B365]:[BFAIREXC]], Table22[PLAYER] = A44))</f>
        <v>#VALUE!</v>
      </c>
      <c r="X44" t="s">
        <v>71</v>
      </c>
      <c r="Y44" s="14">
        <v>387.9</v>
      </c>
      <c r="Z44" s="14">
        <v>331.88628726096113</v>
      </c>
      <c r="AA44" s="14">
        <f t="shared" si="5"/>
        <v>-56.013712739038851</v>
      </c>
      <c r="AD44" t="s">
        <v>177</v>
      </c>
      <c r="AE44">
        <v>70.86</v>
      </c>
      <c r="AF44">
        <f t="shared" si="6"/>
        <v>3.7324548973458058</v>
      </c>
    </row>
    <row r="45" spans="1:32">
      <c r="A45" s="159" t="s">
        <v>795</v>
      </c>
      <c r="B45">
        <v>99</v>
      </c>
      <c r="C45">
        <v>113</v>
      </c>
      <c r="D45">
        <v>41</v>
      </c>
      <c r="E45">
        <v>98</v>
      </c>
      <c r="F45">
        <v>87</v>
      </c>
      <c r="G45">
        <v>56</v>
      </c>
      <c r="H45">
        <v>214.5</v>
      </c>
      <c r="I45" s="14">
        <v>319.17336031945365</v>
      </c>
      <c r="J45" s="259">
        <v>214.5</v>
      </c>
      <c r="K45" s="260">
        <v>319.17336031945365</v>
      </c>
      <c r="L45" s="16">
        <f t="shared" si="7"/>
        <v>44</v>
      </c>
      <c r="M45" s="230">
        <f t="shared" si="8"/>
        <v>40</v>
      </c>
      <c r="N45" s="159">
        <f t="shared" si="9"/>
        <v>43</v>
      </c>
      <c r="O45" s="159">
        <f t="shared" si="10"/>
        <v>40</v>
      </c>
      <c r="P45" s="15">
        <v>0</v>
      </c>
      <c r="Q45" s="15">
        <v>0</v>
      </c>
      <c r="R45" t="e">
        <v>#N/A</v>
      </c>
      <c r="S45" t="e" vm="1">
        <f t="shared" si="11"/>
        <v>#VALUE!</v>
      </c>
      <c r="T45" s="14" t="e" vm="1">
        <f>Table235[[#This Row],[BDG]]/Table235[[#This Row],[Odds]]</f>
        <v>#VALUE!</v>
      </c>
      <c r="U45" s="14" t="e" cm="1" vm="2">
        <f t="array" ref="U45">MAX(_xlfn._xlws.FILTER(Table22[[B365]:[BFAIREXC]], Table22[PLAYER] = A45))</f>
        <v>#VALUE!</v>
      </c>
      <c r="X45" t="s">
        <v>29</v>
      </c>
      <c r="Y45" s="14">
        <v>330.29999999999995</v>
      </c>
      <c r="Z45" s="14">
        <v>271.28996549495736</v>
      </c>
      <c r="AA45" s="14">
        <f t="shared" si="5"/>
        <v>-59.010034505042597</v>
      </c>
      <c r="AD45" t="s">
        <v>522</v>
      </c>
      <c r="AE45">
        <v>70.86</v>
      </c>
      <c r="AF45">
        <f t="shared" si="6"/>
        <v>4.3607112616426758</v>
      </c>
    </row>
    <row r="46" spans="1:32">
      <c r="A46" s="159" t="s">
        <v>97</v>
      </c>
      <c r="B46">
        <v>124</v>
      </c>
      <c r="C46">
        <v>155</v>
      </c>
      <c r="D46">
        <v>124</v>
      </c>
      <c r="E46">
        <v>17</v>
      </c>
      <c r="F46">
        <v>48</v>
      </c>
      <c r="G46">
        <v>76</v>
      </c>
      <c r="H46">
        <v>240.2</v>
      </c>
      <c r="I46" s="14">
        <v>376.95400240226184</v>
      </c>
      <c r="J46" s="259">
        <v>214.81878641512299</v>
      </c>
      <c r="K46" s="260">
        <v>329.68813391951539</v>
      </c>
      <c r="L46" s="16">
        <f t="shared" si="7"/>
        <v>70</v>
      </c>
      <c r="M46" s="230">
        <f t="shared" si="8"/>
        <v>67</v>
      </c>
      <c r="N46" s="159">
        <f t="shared" si="9"/>
        <v>44</v>
      </c>
      <c r="O46" s="159">
        <f t="shared" si="10"/>
        <v>46</v>
      </c>
      <c r="P46" s="15">
        <v>0</v>
      </c>
      <c r="Q46" s="15">
        <v>9.0909090909090912E-2</v>
      </c>
      <c r="R46">
        <v>29</v>
      </c>
      <c r="S46" t="e" vm="1">
        <f t="shared" si="11"/>
        <v>#VALUE!</v>
      </c>
      <c r="T46" s="14">
        <f>Table235[[#This Row],[BDG]]/Table235[[#This Row],[Odds]]</f>
        <v>38.987075574432488</v>
      </c>
      <c r="U46" s="14" cm="1">
        <f t="array" ref="U46">MAX(_xlfn._xlws.FILTER(Table22[[B365]:[BFAIREXC]], Table22[PLAYER] = A46))</f>
        <v>5.51</v>
      </c>
      <c r="X46" t="s">
        <v>112</v>
      </c>
      <c r="Y46" s="14">
        <v>365.2</v>
      </c>
      <c r="Z46" s="14">
        <v>287.65944863968338</v>
      </c>
      <c r="AA46" s="14">
        <f t="shared" si="5"/>
        <v>-77.540551360316613</v>
      </c>
      <c r="AD46" t="s">
        <v>114</v>
      </c>
      <c r="AE46">
        <v>70.91</v>
      </c>
      <c r="AF46">
        <f t="shared" si="6"/>
        <v>2.3927046986922567</v>
      </c>
    </row>
    <row r="47" spans="1:32">
      <c r="A47" s="159" t="s">
        <v>692</v>
      </c>
      <c r="B47">
        <v>17</v>
      </c>
      <c r="C47">
        <v>172</v>
      </c>
      <c r="D47">
        <v>168</v>
      </c>
      <c r="E47">
        <v>24</v>
      </c>
      <c r="F47">
        <v>47</v>
      </c>
      <c r="G47">
        <v>112</v>
      </c>
      <c r="H47">
        <v>214.89999999999998</v>
      </c>
      <c r="I47" s="14">
        <v>393.4667580199083</v>
      </c>
      <c r="J47" s="259">
        <v>214.89999999999998</v>
      </c>
      <c r="K47" s="260">
        <v>393.4667580199083</v>
      </c>
      <c r="L47" s="16">
        <f t="shared" si="7"/>
        <v>45</v>
      </c>
      <c r="M47" s="230">
        <f t="shared" si="8"/>
        <v>72</v>
      </c>
      <c r="N47" s="159">
        <f t="shared" si="9"/>
        <v>45</v>
      </c>
      <c r="O47" s="159">
        <f t="shared" si="10"/>
        <v>74</v>
      </c>
      <c r="P47" s="15">
        <v>0</v>
      </c>
      <c r="Q47" s="15">
        <v>0</v>
      </c>
      <c r="R47">
        <v>-8</v>
      </c>
      <c r="S47" t="e" vm="1">
        <f t="shared" si="11"/>
        <v>#VALUE!</v>
      </c>
      <c r="T47" s="14">
        <f>Table235[[#This Row],[BDG]]/Table235[[#This Row],[Odds]]</f>
        <v>13.775641025641024</v>
      </c>
      <c r="U47" s="14" cm="1">
        <f t="array" ref="U47">MAX(_xlfn._xlws.FILTER(Table22[[B365]:[BFAIREXC]], Table22[PLAYER] = A47))</f>
        <v>15.6</v>
      </c>
      <c r="AD47" t="s">
        <v>241</v>
      </c>
      <c r="AE47">
        <v>71</v>
      </c>
      <c r="AF47">
        <f t="shared" si="6"/>
        <v>3.1985915492957746</v>
      </c>
    </row>
    <row r="48" spans="1:32">
      <c r="A48" s="159" t="s">
        <v>165</v>
      </c>
      <c r="B48">
        <v>173</v>
      </c>
      <c r="C48">
        <v>103</v>
      </c>
      <c r="D48">
        <v>11</v>
      </c>
      <c r="E48">
        <v>115</v>
      </c>
      <c r="F48">
        <v>17</v>
      </c>
      <c r="G48">
        <v>21</v>
      </c>
      <c r="H48">
        <v>208.39999999999998</v>
      </c>
      <c r="I48" s="14">
        <v>275.01614173185612</v>
      </c>
      <c r="J48" s="259">
        <v>216.75228982539528</v>
      </c>
      <c r="K48" s="260">
        <v>315.68641993951235</v>
      </c>
      <c r="L48" s="16">
        <f t="shared" si="7"/>
        <v>35</v>
      </c>
      <c r="M48" s="230">
        <f t="shared" si="8"/>
        <v>24</v>
      </c>
      <c r="N48" s="159">
        <f t="shared" si="9"/>
        <v>46</v>
      </c>
      <c r="O48" s="159">
        <f t="shared" si="10"/>
        <v>37</v>
      </c>
      <c r="P48" s="15">
        <v>0</v>
      </c>
      <c r="Q48" s="15">
        <v>0.22222222222222221</v>
      </c>
      <c r="R48">
        <v>25</v>
      </c>
      <c r="S48" t="e" vm="1">
        <f t="shared" si="11"/>
        <v>#VALUE!</v>
      </c>
      <c r="T48" s="14" t="e" vm="1">
        <f>Table235[[#This Row],[BDG]]/Table235[[#This Row],[Odds]]</f>
        <v>#VALUE!</v>
      </c>
      <c r="U48" s="14" t="e" cm="1" vm="2">
        <f t="array" ref="U48">MAX(_xlfn._xlws.FILTER(Table22[[B365]:[BFAIREXC]], Table22[PLAYER] = A48))</f>
        <v>#VALUE!</v>
      </c>
      <c r="AD48" t="s">
        <v>54</v>
      </c>
      <c r="AE48">
        <v>71</v>
      </c>
      <c r="AF48" t="e">
        <f t="shared" si="6"/>
        <v>#N/A</v>
      </c>
    </row>
    <row r="49" spans="1:32">
      <c r="A49" s="159" t="s">
        <v>146</v>
      </c>
      <c r="B49">
        <v>168</v>
      </c>
      <c r="C49">
        <v>44</v>
      </c>
      <c r="D49">
        <v>32</v>
      </c>
      <c r="E49">
        <v>139</v>
      </c>
      <c r="F49">
        <v>25</v>
      </c>
      <c r="G49">
        <v>63</v>
      </c>
      <c r="H49">
        <v>218.4</v>
      </c>
      <c r="I49" s="14">
        <v>321.16990112739842</v>
      </c>
      <c r="J49" s="259">
        <v>217.44241263148336</v>
      </c>
      <c r="K49" s="260">
        <v>323.13322395525086</v>
      </c>
      <c r="L49" s="16">
        <f t="shared" si="7"/>
        <v>48</v>
      </c>
      <c r="M49" s="230">
        <f t="shared" si="8"/>
        <v>42</v>
      </c>
      <c r="N49" s="159">
        <f t="shared" si="9"/>
        <v>47</v>
      </c>
      <c r="O49" s="159">
        <f t="shared" si="10"/>
        <v>43</v>
      </c>
      <c r="P49" s="15">
        <v>0</v>
      </c>
      <c r="Q49" s="15">
        <v>0</v>
      </c>
      <c r="R49">
        <v>90</v>
      </c>
      <c r="S49" t="e" vm="1">
        <f t="shared" si="11"/>
        <v>#VALUE!</v>
      </c>
      <c r="T49" s="14">
        <f>Table235[[#This Row],[BDG]]/Table235[[#This Row],[Odds]]</f>
        <v>25.73282989721697</v>
      </c>
      <c r="U49" s="14" cm="1">
        <f t="array" ref="U49">MAX(_xlfn._xlws.FILTER(Table22[[B365]:[BFAIREXC]], Table22[PLAYER] = A49))</f>
        <v>8.4499999999999993</v>
      </c>
      <c r="AD49" t="s">
        <v>134</v>
      </c>
      <c r="AE49">
        <v>71</v>
      </c>
      <c r="AF49">
        <f t="shared" si="6"/>
        <v>3.2650127996143703</v>
      </c>
    </row>
    <row r="50" spans="1:32">
      <c r="A50" s="159" t="s">
        <v>38</v>
      </c>
      <c r="B50">
        <v>28</v>
      </c>
      <c r="C50">
        <v>138</v>
      </c>
      <c r="D50">
        <v>108</v>
      </c>
      <c r="E50">
        <v>68</v>
      </c>
      <c r="F50">
        <v>113</v>
      </c>
      <c r="G50">
        <v>83</v>
      </c>
      <c r="H50">
        <v>224.3</v>
      </c>
      <c r="I50" s="14">
        <v>365.22697875095639</v>
      </c>
      <c r="J50" s="259">
        <v>217.5557018668988</v>
      </c>
      <c r="K50" s="260">
        <v>346.47767550519177</v>
      </c>
      <c r="L50" s="16">
        <f t="shared" si="7"/>
        <v>57</v>
      </c>
      <c r="M50" s="230">
        <f t="shared" si="8"/>
        <v>62</v>
      </c>
      <c r="N50" s="159">
        <f t="shared" si="9"/>
        <v>48</v>
      </c>
      <c r="O50" s="159">
        <f t="shared" si="10"/>
        <v>55</v>
      </c>
      <c r="P50" s="15">
        <v>0</v>
      </c>
      <c r="Q50" s="15">
        <v>0.2</v>
      </c>
      <c r="R50">
        <v>-22</v>
      </c>
      <c r="S50" t="e" vm="1">
        <f t="shared" si="11"/>
        <v>#VALUE!</v>
      </c>
      <c r="T50" s="14" t="e" vm="1">
        <f>Table235[[#This Row],[BDG]]/Table235[[#This Row],[Odds]]</f>
        <v>#VALUE!</v>
      </c>
      <c r="U50" s="14" t="e" cm="1" vm="2">
        <f t="array" ref="U50">MAX(_xlfn._xlws.FILTER(Table22[[B365]:[BFAIREXC]], Table22[PLAYER] = A50))</f>
        <v>#VALUE!</v>
      </c>
      <c r="AD50" t="s">
        <v>235</v>
      </c>
      <c r="AE50">
        <v>71</v>
      </c>
      <c r="AF50">
        <f t="shared" si="6"/>
        <v>3.0183098591549293</v>
      </c>
    </row>
    <row r="51" spans="1:32">
      <c r="A51" s="159" t="s">
        <v>131</v>
      </c>
      <c r="B51">
        <v>121</v>
      </c>
      <c r="C51">
        <v>27</v>
      </c>
      <c r="D51">
        <v>85</v>
      </c>
      <c r="E51">
        <v>23</v>
      </c>
      <c r="F51">
        <v>76</v>
      </c>
      <c r="G51">
        <v>65</v>
      </c>
      <c r="H51">
        <v>189.7</v>
      </c>
      <c r="I51" s="14">
        <v>284.65138217744146</v>
      </c>
      <c r="J51" s="259">
        <v>219.45728489261438</v>
      </c>
      <c r="K51" s="260">
        <v>345.74000915067808</v>
      </c>
      <c r="L51" s="16">
        <f t="shared" si="7"/>
        <v>25</v>
      </c>
      <c r="M51" s="230">
        <f t="shared" si="8"/>
        <v>28</v>
      </c>
      <c r="N51" s="159">
        <f t="shared" si="9"/>
        <v>49</v>
      </c>
      <c r="O51" s="159">
        <f t="shared" si="10"/>
        <v>53</v>
      </c>
      <c r="P51" s="15">
        <v>0</v>
      </c>
      <c r="Q51" s="15">
        <v>0.16666666666666666</v>
      </c>
      <c r="R51">
        <v>3</v>
      </c>
      <c r="S51" t="e" vm="1">
        <f t="shared" si="11"/>
        <v>#VALUE!</v>
      </c>
      <c r="T51" s="14" t="e" vm="1">
        <f>Table235[[#This Row],[BDG]]/Table235[[#This Row],[Odds]]</f>
        <v>#VALUE!</v>
      </c>
      <c r="U51" s="14" t="e" cm="1" vm="2">
        <f t="array" ref="U51">MAX(_xlfn._xlws.FILTER(Table22[[B365]:[BFAIREXC]], Table22[PLAYER] = A51))</f>
        <v>#VALUE!</v>
      </c>
      <c r="AD51" t="s">
        <v>539</v>
      </c>
      <c r="AE51">
        <v>71</v>
      </c>
      <c r="AF51" t="e">
        <f t="shared" si="6"/>
        <v>#N/A</v>
      </c>
    </row>
    <row r="52" spans="1:32">
      <c r="A52" s="159" t="s">
        <v>130</v>
      </c>
      <c r="B52">
        <v>93</v>
      </c>
      <c r="C52">
        <v>53</v>
      </c>
      <c r="D52">
        <v>55</v>
      </c>
      <c r="E52">
        <v>99</v>
      </c>
      <c r="F52">
        <v>167</v>
      </c>
      <c r="G52">
        <v>140</v>
      </c>
      <c r="H52">
        <v>243.2</v>
      </c>
      <c r="I52" s="14">
        <v>424.0323080185687</v>
      </c>
      <c r="J52" s="259">
        <v>221.25271531190049</v>
      </c>
      <c r="K52" s="260">
        <v>346.14570815048984</v>
      </c>
      <c r="L52" s="16">
        <f t="shared" si="7"/>
        <v>74</v>
      </c>
      <c r="M52" s="230">
        <f t="shared" si="8"/>
        <v>84</v>
      </c>
      <c r="N52" s="159">
        <f t="shared" si="9"/>
        <v>51</v>
      </c>
      <c r="O52" s="159">
        <f t="shared" si="10"/>
        <v>54</v>
      </c>
      <c r="P52" s="15">
        <v>0</v>
      </c>
      <c r="Q52" s="15">
        <v>9.0909090909090912E-2</v>
      </c>
      <c r="R52">
        <v>-68</v>
      </c>
      <c r="S52" t="e" vm="1">
        <f t="shared" si="11"/>
        <v>#VALUE!</v>
      </c>
      <c r="T52" s="14" t="e" vm="1">
        <f>Table235[[#This Row],[BDG]]/Table235[[#This Row],[Odds]]</f>
        <v>#VALUE!</v>
      </c>
      <c r="U52" s="14" t="e" cm="1" vm="2">
        <f t="array" ref="U52">MAX(_xlfn._xlws.FILTER(Table22[[B365]:[BFAIREXC]], Table22[PLAYER] = A52))</f>
        <v>#VALUE!</v>
      </c>
      <c r="V52" t="s">
        <v>1123</v>
      </c>
      <c r="AD52" t="s">
        <v>393</v>
      </c>
      <c r="AE52">
        <v>71</v>
      </c>
      <c r="AF52">
        <f t="shared" si="6"/>
        <v>3.9790905187523764</v>
      </c>
    </row>
    <row r="53" spans="1:32">
      <c r="A53" s="159" t="s">
        <v>62</v>
      </c>
      <c r="B53">
        <v>85</v>
      </c>
      <c r="C53">
        <v>165</v>
      </c>
      <c r="D53">
        <v>71</v>
      </c>
      <c r="E53">
        <v>114</v>
      </c>
      <c r="F53">
        <v>84</v>
      </c>
      <c r="G53">
        <v>136</v>
      </c>
      <c r="H53">
        <v>249.2</v>
      </c>
      <c r="I53" s="14">
        <v>450.29706084504221</v>
      </c>
      <c r="J53" s="259">
        <v>221.39907639790346</v>
      </c>
      <c r="K53" s="260">
        <v>380.42718625363199</v>
      </c>
      <c r="L53" s="16">
        <f t="shared" si="7"/>
        <v>81</v>
      </c>
      <c r="M53" s="230">
        <f t="shared" si="8"/>
        <v>105</v>
      </c>
      <c r="N53" s="159">
        <f t="shared" si="9"/>
        <v>52</v>
      </c>
      <c r="O53" s="159">
        <f t="shared" si="10"/>
        <v>69</v>
      </c>
      <c r="P53" s="15">
        <v>0</v>
      </c>
      <c r="Q53" s="15">
        <v>0.1</v>
      </c>
      <c r="R53">
        <v>-28</v>
      </c>
      <c r="S53" t="e" vm="1">
        <f t="shared" si="11"/>
        <v>#VALUE!</v>
      </c>
      <c r="T53" s="14">
        <f>Table235[[#This Row],[BDG]]/Table235[[#This Row],[Odds]]</f>
        <v>20.499914481287355</v>
      </c>
      <c r="U53" s="14" cm="1">
        <f t="array" ref="U53">MAX(_xlfn._xlws.FILTER(Table22[[B365]:[BFAIREXC]], Table22[PLAYER] = A53))</f>
        <v>10.8</v>
      </c>
      <c r="AD53" t="s">
        <v>56</v>
      </c>
      <c r="AE53">
        <v>71</v>
      </c>
      <c r="AF53">
        <f t="shared" si="6"/>
        <v>2.8192104449917479</v>
      </c>
    </row>
    <row r="54" spans="1:32">
      <c r="A54" s="159" t="s">
        <v>496</v>
      </c>
      <c r="B54">
        <v>123</v>
      </c>
      <c r="C54">
        <v>88</v>
      </c>
      <c r="D54">
        <v>62</v>
      </c>
      <c r="E54">
        <v>112</v>
      </c>
      <c r="F54">
        <v>44</v>
      </c>
      <c r="G54">
        <v>80</v>
      </c>
      <c r="H54">
        <v>221.6</v>
      </c>
      <c r="I54" s="14">
        <v>350.11851699329731</v>
      </c>
      <c r="J54" s="259">
        <v>221.6</v>
      </c>
      <c r="K54" s="260">
        <v>350.11851699329731</v>
      </c>
      <c r="L54" s="16">
        <f t="shared" si="7"/>
        <v>54</v>
      </c>
      <c r="M54" s="230">
        <f t="shared" si="8"/>
        <v>58</v>
      </c>
      <c r="N54" s="159">
        <f t="shared" si="9"/>
        <v>53</v>
      </c>
      <c r="O54" s="159">
        <f t="shared" si="10"/>
        <v>59</v>
      </c>
      <c r="P54" s="15">
        <v>0</v>
      </c>
      <c r="Q54" s="15">
        <v>0</v>
      </c>
      <c r="R54">
        <v>49</v>
      </c>
      <c r="S54" t="e" vm="1">
        <f t="shared" si="11"/>
        <v>#VALUE!</v>
      </c>
      <c r="T54" s="14">
        <f>Table235[[#This Row],[BDG]]/Table235[[#This Row],[Odds]]</f>
        <v>28.193384223918574</v>
      </c>
      <c r="U54" s="14" cm="1">
        <f t="array" ref="U54">MAX(_xlfn._xlws.FILTER(Table22[[B365]:[BFAIREXC]], Table22[PLAYER] = A54))</f>
        <v>7.86</v>
      </c>
      <c r="AD54" t="s">
        <v>145</v>
      </c>
      <c r="AE54">
        <v>71.13</v>
      </c>
      <c r="AF54">
        <f t="shared" si="6"/>
        <v>3.2638886616091902</v>
      </c>
    </row>
    <row r="55" spans="1:32">
      <c r="A55" s="159" t="s">
        <v>63</v>
      </c>
      <c r="B55">
        <v>119</v>
      </c>
      <c r="C55">
        <v>169</v>
      </c>
      <c r="D55">
        <v>98</v>
      </c>
      <c r="E55">
        <v>48</v>
      </c>
      <c r="F55">
        <v>2</v>
      </c>
      <c r="G55">
        <v>46</v>
      </c>
      <c r="H55">
        <v>215.7</v>
      </c>
      <c r="I55" s="14">
        <v>323.30471241328769</v>
      </c>
      <c r="J55" s="259">
        <v>221.82649983083238</v>
      </c>
      <c r="K55" s="260">
        <v>338.93491640672835</v>
      </c>
      <c r="L55" s="16">
        <f t="shared" si="7"/>
        <v>47</v>
      </c>
      <c r="M55" s="230">
        <f t="shared" si="8"/>
        <v>43</v>
      </c>
      <c r="N55" s="159">
        <f t="shared" si="9"/>
        <v>54</v>
      </c>
      <c r="O55" s="159">
        <f t="shared" si="10"/>
        <v>52</v>
      </c>
      <c r="P55" s="15">
        <v>0</v>
      </c>
      <c r="Q55" s="15">
        <v>0</v>
      </c>
      <c r="R55">
        <v>1</v>
      </c>
      <c r="S55" t="e" vm="1">
        <f t="shared" si="11"/>
        <v>#VALUE!</v>
      </c>
      <c r="T55" s="14" t="e" vm="1">
        <f>Table235[[#This Row],[BDG]]/Table235[[#This Row],[Odds]]</f>
        <v>#VALUE!</v>
      </c>
      <c r="U55" s="14" t="e" cm="1" vm="2">
        <f t="array" ref="U55">MAX(_xlfn._xlws.FILTER(Table22[[B365]:[BFAIREXC]], Table22[PLAYER] = A55))</f>
        <v>#VALUE!</v>
      </c>
      <c r="AD55" t="s">
        <v>91</v>
      </c>
      <c r="AE55">
        <v>71.17</v>
      </c>
      <c r="AF55" t="e">
        <f t="shared" si="6"/>
        <v>#N/A</v>
      </c>
    </row>
    <row r="56" spans="1:32">
      <c r="A56" s="159" t="s">
        <v>491</v>
      </c>
      <c r="B56">
        <v>182</v>
      </c>
      <c r="C56">
        <v>3</v>
      </c>
      <c r="D56">
        <v>131</v>
      </c>
      <c r="E56">
        <v>179</v>
      </c>
      <c r="F56">
        <v>8</v>
      </c>
      <c r="G56">
        <v>154</v>
      </c>
      <c r="H56">
        <v>295.3</v>
      </c>
      <c r="I56" s="14">
        <v>501.31486618677076</v>
      </c>
      <c r="J56" s="259">
        <v>222.09776560672663</v>
      </c>
      <c r="K56" s="260">
        <v>347.8441621606969</v>
      </c>
      <c r="L56" s="16">
        <f t="shared" si="7"/>
        <v>113</v>
      </c>
      <c r="M56" s="230">
        <f t="shared" si="8"/>
        <v>111</v>
      </c>
      <c r="N56" s="159">
        <f t="shared" si="9"/>
        <v>55</v>
      </c>
      <c r="O56" s="159">
        <f t="shared" si="10"/>
        <v>56</v>
      </c>
      <c r="P56" s="15">
        <v>0</v>
      </c>
      <c r="Q56" s="15">
        <v>0</v>
      </c>
      <c r="R56">
        <v>9</v>
      </c>
      <c r="S56" t="e" vm="1">
        <f t="shared" si="11"/>
        <v>#VALUE!</v>
      </c>
      <c r="T56" s="14" t="e" vm="1">
        <f>Table235[[#This Row],[BDG]]/Table235[[#This Row],[Odds]]</f>
        <v>#VALUE!</v>
      </c>
      <c r="U56" s="14" t="e" cm="1" vm="2">
        <f t="array" ref="U56">MAX(_xlfn._xlws.FILTER(Table22[[B365]:[BFAIREXC]], Table22[PLAYER] = A56))</f>
        <v>#VALUE!</v>
      </c>
      <c r="AD56" t="s">
        <v>97</v>
      </c>
      <c r="AE56">
        <v>71.2</v>
      </c>
      <c r="AF56">
        <f t="shared" si="6"/>
        <v>3.0171177867292553</v>
      </c>
    </row>
    <row r="57" spans="1:32">
      <c r="A57" s="159" t="s">
        <v>557</v>
      </c>
      <c r="B57">
        <v>25</v>
      </c>
      <c r="C57">
        <v>120</v>
      </c>
      <c r="D57">
        <v>136</v>
      </c>
      <c r="E57">
        <v>118</v>
      </c>
      <c r="F57">
        <v>34</v>
      </c>
      <c r="G57">
        <v>50</v>
      </c>
      <c r="H57">
        <v>222.2</v>
      </c>
      <c r="I57" s="14">
        <v>334.38217116732727</v>
      </c>
      <c r="J57" s="259">
        <v>222.2</v>
      </c>
      <c r="K57" s="260">
        <v>334.38217116732727</v>
      </c>
      <c r="L57" s="16">
        <f t="shared" si="7"/>
        <v>56</v>
      </c>
      <c r="M57" s="230">
        <f t="shared" si="8"/>
        <v>49</v>
      </c>
      <c r="N57" s="159">
        <f t="shared" si="9"/>
        <v>56</v>
      </c>
      <c r="O57" s="159">
        <f t="shared" si="10"/>
        <v>48</v>
      </c>
      <c r="P57" s="15">
        <v>0</v>
      </c>
      <c r="Q57" s="15">
        <v>0.16666666666666666</v>
      </c>
      <c r="R57">
        <v>-43</v>
      </c>
      <c r="S57" t="e" vm="1">
        <f t="shared" si="11"/>
        <v>#VALUE!</v>
      </c>
      <c r="T57" s="14">
        <f>Table235[[#This Row],[BDG]]/Table235[[#This Row],[Odds]]</f>
        <v>26.141176470588235</v>
      </c>
      <c r="U57" s="14" cm="1">
        <f t="array" ref="U57">MAX(_xlfn._xlws.FILTER(Table22[[B365]:[BFAIREXC]], Table22[PLAYER] = A57))</f>
        <v>8.5</v>
      </c>
      <c r="AD57" t="s">
        <v>80</v>
      </c>
      <c r="AE57">
        <v>71.2</v>
      </c>
      <c r="AF57">
        <f t="shared" si="6"/>
        <v>3.9412019044830768</v>
      </c>
    </row>
    <row r="58" spans="1:32">
      <c r="A58" s="159" t="s">
        <v>93</v>
      </c>
      <c r="B58">
        <v>105</v>
      </c>
      <c r="C58">
        <v>22</v>
      </c>
      <c r="D58">
        <v>6</v>
      </c>
      <c r="E58">
        <v>138</v>
      </c>
      <c r="F58">
        <v>153</v>
      </c>
      <c r="G58">
        <v>40</v>
      </c>
      <c r="H58">
        <v>219.3</v>
      </c>
      <c r="I58" s="14">
        <v>290.94984908685331</v>
      </c>
      <c r="J58" s="259">
        <v>222.32034725553643</v>
      </c>
      <c r="K58" s="260">
        <v>290.68220567990204</v>
      </c>
      <c r="L58" s="16">
        <f t="shared" si="7"/>
        <v>50</v>
      </c>
      <c r="M58" s="230">
        <f t="shared" si="8"/>
        <v>31</v>
      </c>
      <c r="N58" s="159">
        <f t="shared" si="9"/>
        <v>57</v>
      </c>
      <c r="O58" s="159">
        <f t="shared" si="10"/>
        <v>26</v>
      </c>
      <c r="P58" s="15">
        <v>0</v>
      </c>
      <c r="Q58" s="15">
        <v>0</v>
      </c>
      <c r="R58">
        <v>45</v>
      </c>
      <c r="S58" t="e" vm="1">
        <f t="shared" si="11"/>
        <v>#VALUE!</v>
      </c>
      <c r="T58" s="14" t="e" vm="1">
        <f>Table235[[#This Row],[BDG]]/Table235[[#This Row],[Odds]]</f>
        <v>#VALUE!</v>
      </c>
      <c r="U58" s="14" t="e" cm="1" vm="2">
        <f t="array" ref="U58">MAX(_xlfn._xlws.FILTER(Table22[[B365]:[BFAIREXC]], Table22[PLAYER] = A58))</f>
        <v>#VALUE!</v>
      </c>
      <c r="AD58" t="s">
        <v>239</v>
      </c>
      <c r="AE58">
        <v>71.2</v>
      </c>
      <c r="AF58" t="e">
        <f t="shared" si="6"/>
        <v>#N/A</v>
      </c>
    </row>
    <row r="59" spans="1:32">
      <c r="A59" s="159" t="s">
        <v>549</v>
      </c>
      <c r="B59">
        <v>27</v>
      </c>
      <c r="C59">
        <v>183</v>
      </c>
      <c r="D59">
        <v>72</v>
      </c>
      <c r="E59">
        <v>145</v>
      </c>
      <c r="F59">
        <v>81</v>
      </c>
      <c r="G59">
        <v>132</v>
      </c>
      <c r="H59">
        <v>234.5</v>
      </c>
      <c r="I59" s="14">
        <v>436.10719686283591</v>
      </c>
      <c r="J59" s="259">
        <v>222.72064570340797</v>
      </c>
      <c r="K59" s="260">
        <v>380.19435239903328</v>
      </c>
      <c r="L59" s="16">
        <f t="shared" si="7"/>
        <v>66</v>
      </c>
      <c r="M59" s="230">
        <f t="shared" si="8"/>
        <v>92</v>
      </c>
      <c r="N59" s="159">
        <f t="shared" si="9"/>
        <v>58</v>
      </c>
      <c r="O59" s="159">
        <f t="shared" si="10"/>
        <v>68</v>
      </c>
      <c r="P59" s="15">
        <v>0</v>
      </c>
      <c r="Q59" s="15">
        <v>0</v>
      </c>
      <c r="R59">
        <v>-8</v>
      </c>
      <c r="S59" t="e" vm="1">
        <f t="shared" si="11"/>
        <v>#VALUE!</v>
      </c>
      <c r="T59" s="14" t="e" vm="1">
        <f>Table235[[#This Row],[BDG]]/Table235[[#This Row],[Odds]]</f>
        <v>#VALUE!</v>
      </c>
      <c r="U59" s="14" t="e" cm="1" vm="2">
        <f t="array" ref="U59">MAX(_xlfn._xlws.FILTER(Table22[[B365]:[BFAIREXC]], Table22[PLAYER] = A59))</f>
        <v>#VALUE!</v>
      </c>
      <c r="AD59" t="s">
        <v>102</v>
      </c>
      <c r="AE59">
        <v>71.2</v>
      </c>
      <c r="AF59">
        <f t="shared" si="6"/>
        <v>3.8129285082956952</v>
      </c>
    </row>
    <row r="60" spans="1:32">
      <c r="A60" s="159" t="s">
        <v>693</v>
      </c>
      <c r="B60">
        <v>111</v>
      </c>
      <c r="C60">
        <v>42</v>
      </c>
      <c r="D60">
        <v>80</v>
      </c>
      <c r="E60">
        <v>7</v>
      </c>
      <c r="F60">
        <v>104</v>
      </c>
      <c r="G60">
        <v>62</v>
      </c>
      <c r="H60">
        <v>190.7</v>
      </c>
      <c r="I60" s="14">
        <v>283.32140076854142</v>
      </c>
      <c r="J60" s="259">
        <v>223.1344108691126</v>
      </c>
      <c r="K60" s="260">
        <v>336.93356860986268</v>
      </c>
      <c r="L60" s="16">
        <f t="shared" si="7"/>
        <v>26</v>
      </c>
      <c r="M60" s="230">
        <f t="shared" si="8"/>
        <v>26</v>
      </c>
      <c r="N60" s="159">
        <f t="shared" si="9"/>
        <v>59</v>
      </c>
      <c r="O60" s="159">
        <f t="shared" si="10"/>
        <v>49</v>
      </c>
      <c r="P60" s="15">
        <v>0</v>
      </c>
      <c r="Q60" s="15">
        <v>0</v>
      </c>
      <c r="R60" t="e">
        <v>#N/A</v>
      </c>
      <c r="S60" t="e" vm="1">
        <f t="shared" si="11"/>
        <v>#VALUE!</v>
      </c>
      <c r="T60" s="14">
        <f>Table235[[#This Row],[BDG]]/Table235[[#This Row],[Odds]]</f>
        <v>17.1641854514702</v>
      </c>
      <c r="U60" s="14" cm="1">
        <f t="array" ref="U60">MAX(_xlfn._xlws.FILTER(Table22[[B365]:[BFAIREXC]], Table22[PLAYER] = A60))</f>
        <v>13</v>
      </c>
      <c r="AD60" t="s">
        <v>122</v>
      </c>
      <c r="AE60">
        <v>71.25</v>
      </c>
      <c r="AF60">
        <f t="shared" si="6"/>
        <v>2.7144041071425309</v>
      </c>
    </row>
    <row r="61" spans="1:32">
      <c r="A61" s="159" t="s">
        <v>59</v>
      </c>
      <c r="B61">
        <v>108</v>
      </c>
      <c r="C61">
        <v>133</v>
      </c>
      <c r="D61">
        <v>116</v>
      </c>
      <c r="E61">
        <v>46</v>
      </c>
      <c r="F61">
        <v>26</v>
      </c>
      <c r="G61">
        <v>48</v>
      </c>
      <c r="H61">
        <v>221.89999999999998</v>
      </c>
      <c r="I61" s="14">
        <v>326.92833957730289</v>
      </c>
      <c r="J61" s="259">
        <v>223.1767831580222</v>
      </c>
      <c r="K61" s="260">
        <v>337.15038110231148</v>
      </c>
      <c r="L61" s="16">
        <f t="shared" si="7"/>
        <v>55</v>
      </c>
      <c r="M61" s="230">
        <f t="shared" si="8"/>
        <v>47</v>
      </c>
      <c r="N61" s="159">
        <f t="shared" si="9"/>
        <v>60</v>
      </c>
      <c r="O61" s="159">
        <f t="shared" si="10"/>
        <v>50</v>
      </c>
      <c r="P61" s="15">
        <v>0</v>
      </c>
      <c r="Q61" s="15">
        <v>0.1111111111111111</v>
      </c>
      <c r="R61">
        <v>-18</v>
      </c>
      <c r="S61" t="e" vm="1">
        <f t="shared" si="11"/>
        <v>#VALUE!</v>
      </c>
      <c r="T61" s="14" t="e" vm="1">
        <f>Table235[[#This Row],[BDG]]/Table235[[#This Row],[Odds]]</f>
        <v>#VALUE!</v>
      </c>
      <c r="U61" s="14" t="e" cm="1" vm="2">
        <f t="array" ref="U61">MAX(_xlfn._xlws.FILTER(Table22[[B365]:[BFAIREXC]], Table22[PLAYER] = A61))</f>
        <v>#VALUE!</v>
      </c>
      <c r="AD61" t="s">
        <v>370</v>
      </c>
      <c r="AE61">
        <v>71.25</v>
      </c>
      <c r="AF61">
        <f t="shared" si="6"/>
        <v>2.8876309510931746</v>
      </c>
    </row>
    <row r="62" spans="1:32">
      <c r="A62" s="159" t="s">
        <v>33</v>
      </c>
      <c r="B62">
        <v>12</v>
      </c>
      <c r="C62">
        <v>176</v>
      </c>
      <c r="D62">
        <v>113</v>
      </c>
      <c r="E62">
        <v>64</v>
      </c>
      <c r="F62">
        <v>22</v>
      </c>
      <c r="G62">
        <v>75</v>
      </c>
      <c r="H62">
        <v>182.1</v>
      </c>
      <c r="I62" s="14">
        <v>319.60011045613606</v>
      </c>
      <c r="J62" s="259">
        <v>223.6709613171102</v>
      </c>
      <c r="K62" s="260">
        <v>370.90384124373986</v>
      </c>
      <c r="L62" s="16">
        <f t="shared" si="7"/>
        <v>19</v>
      </c>
      <c r="M62" s="230">
        <f t="shared" si="8"/>
        <v>41</v>
      </c>
      <c r="N62" s="159">
        <f t="shared" si="9"/>
        <v>61</v>
      </c>
      <c r="O62" s="159">
        <f t="shared" si="10"/>
        <v>64</v>
      </c>
      <c r="P62" s="15">
        <v>0</v>
      </c>
      <c r="Q62" s="15">
        <v>0.25</v>
      </c>
      <c r="R62">
        <v>-44</v>
      </c>
      <c r="S62" t="e" vm="1">
        <f t="shared" si="11"/>
        <v>#VALUE!</v>
      </c>
      <c r="T62" s="14">
        <f>Table235[[#This Row],[BDG]]/Table235[[#This Row],[Odds]]</f>
        <v>31.591943688857373</v>
      </c>
      <c r="U62" s="14" cm="1">
        <f t="array" ref="U62">MAX(_xlfn._xlws.FILTER(Table22[[B365]:[BFAIREXC]], Table22[PLAYER] = A62))</f>
        <v>7.08</v>
      </c>
      <c r="AD62" t="s">
        <v>92</v>
      </c>
      <c r="AE62">
        <v>71.25</v>
      </c>
      <c r="AF62">
        <f t="shared" si="6"/>
        <v>2.8481324912450665</v>
      </c>
    </row>
    <row r="63" spans="1:32">
      <c r="A63" s="159" t="s">
        <v>632</v>
      </c>
      <c r="B63">
        <v>77</v>
      </c>
      <c r="C63">
        <v>56</v>
      </c>
      <c r="D63">
        <v>13</v>
      </c>
      <c r="E63">
        <v>78</v>
      </c>
      <c r="F63">
        <v>156</v>
      </c>
      <c r="G63">
        <v>57</v>
      </c>
      <c r="H63">
        <v>189.1</v>
      </c>
      <c r="I63" s="14">
        <v>277.28903822117383</v>
      </c>
      <c r="J63" s="259">
        <v>226.25027124309787</v>
      </c>
      <c r="K63" s="260">
        <v>355.77441261842938</v>
      </c>
      <c r="L63" s="16">
        <f t="shared" si="7"/>
        <v>24</v>
      </c>
      <c r="M63" s="230">
        <f t="shared" si="8"/>
        <v>25</v>
      </c>
      <c r="N63" s="159">
        <f t="shared" si="9"/>
        <v>62</v>
      </c>
      <c r="O63" s="159">
        <f t="shared" si="10"/>
        <v>60</v>
      </c>
      <c r="P63" s="15">
        <v>0</v>
      </c>
      <c r="Q63" s="15">
        <v>0.14285714285714285</v>
      </c>
      <c r="R63">
        <v>77</v>
      </c>
      <c r="S63" t="e" vm="1">
        <f t="shared" si="11"/>
        <v>#VALUE!</v>
      </c>
      <c r="T63" s="14">
        <f>Table235[[#This Row],[BDG]]/Table235[[#This Row],[Odds]]</f>
        <v>47.934379500656334</v>
      </c>
      <c r="U63" s="14" cm="1">
        <f t="array" ref="U63">MAX(_xlfn._xlws.FILTER(Table22[[B365]:[BFAIREXC]], Table22[PLAYER] = A63))</f>
        <v>4.72</v>
      </c>
      <c r="AD63" t="s">
        <v>693</v>
      </c>
      <c r="AE63">
        <v>71.25</v>
      </c>
      <c r="AF63">
        <f t="shared" si="6"/>
        <v>3.1317110297419313</v>
      </c>
    </row>
    <row r="64" spans="1:32">
      <c r="A64" s="159" t="s">
        <v>495</v>
      </c>
      <c r="B64">
        <v>31</v>
      </c>
      <c r="C64">
        <v>68</v>
      </c>
      <c r="D64">
        <v>117</v>
      </c>
      <c r="E64">
        <v>128</v>
      </c>
      <c r="F64">
        <v>84</v>
      </c>
      <c r="G64">
        <v>70</v>
      </c>
      <c r="H64">
        <v>226.89999999999998</v>
      </c>
      <c r="I64" s="14">
        <v>348.46696867327364</v>
      </c>
      <c r="J64" s="259">
        <v>226.89999999999998</v>
      </c>
      <c r="K64" s="260">
        <v>348.46696867327364</v>
      </c>
      <c r="L64" s="16">
        <f t="shared" si="7"/>
        <v>59</v>
      </c>
      <c r="M64" s="230">
        <f t="shared" si="8"/>
        <v>55</v>
      </c>
      <c r="N64" s="159">
        <f t="shared" si="9"/>
        <v>63</v>
      </c>
      <c r="O64" s="159">
        <f t="shared" si="10"/>
        <v>57</v>
      </c>
      <c r="P64" s="15">
        <v>0</v>
      </c>
      <c r="Q64" s="15">
        <v>0.125</v>
      </c>
      <c r="R64">
        <v>48</v>
      </c>
      <c r="S64" t="e" vm="1">
        <f t="shared" si="11"/>
        <v>#VALUE!</v>
      </c>
      <c r="T64" s="14">
        <f>Table235[[#This Row],[BDG]]/Table235[[#This Row],[Odds]]</f>
        <v>27.5030303030303</v>
      </c>
      <c r="U64" s="14" cm="1">
        <f t="array" ref="U64">MAX(_xlfn._xlws.FILTER(Table22[[B365]:[BFAIREXC]], Table22[PLAYER] = A64))</f>
        <v>8.25</v>
      </c>
      <c r="AD64" t="s">
        <v>44</v>
      </c>
      <c r="AE64">
        <v>71.25</v>
      </c>
      <c r="AF64">
        <f t="shared" si="6"/>
        <v>2.627154847371846</v>
      </c>
    </row>
    <row r="65" spans="1:32">
      <c r="A65" s="159" t="s">
        <v>241</v>
      </c>
      <c r="B65">
        <v>11</v>
      </c>
      <c r="C65">
        <v>135</v>
      </c>
      <c r="D65">
        <v>30</v>
      </c>
      <c r="E65">
        <v>142</v>
      </c>
      <c r="F65">
        <v>176</v>
      </c>
      <c r="G65">
        <v>123</v>
      </c>
      <c r="H65">
        <v>227.1</v>
      </c>
      <c r="I65" s="14">
        <v>404.93806861378641</v>
      </c>
      <c r="J65" s="259">
        <v>227.1</v>
      </c>
      <c r="K65" s="260">
        <v>404.93806861378641</v>
      </c>
      <c r="L65" s="16">
        <f t="shared" si="7"/>
        <v>61</v>
      </c>
      <c r="M65" s="230">
        <f t="shared" si="8"/>
        <v>75</v>
      </c>
      <c r="N65" s="159">
        <f t="shared" si="9"/>
        <v>64</v>
      </c>
      <c r="O65" s="159">
        <f t="shared" si="10"/>
        <v>82</v>
      </c>
      <c r="P65" s="15">
        <v>0</v>
      </c>
      <c r="Q65" s="15">
        <v>0</v>
      </c>
      <c r="R65">
        <v>14</v>
      </c>
      <c r="S65" t="e" vm="1">
        <f t="shared" si="11"/>
        <v>#VALUE!</v>
      </c>
      <c r="T65" s="14">
        <f>Table235[[#This Row],[BDG]]/Table235[[#This Row],[Odds]]</f>
        <v>30.279999999999998</v>
      </c>
      <c r="U65" s="14" cm="1">
        <f t="array" ref="U65">MAX(_xlfn._xlws.FILTER(Table22[[B365]:[BFAIREXC]], Table22[PLAYER] = A65))</f>
        <v>7.5</v>
      </c>
      <c r="AD65" t="s">
        <v>223</v>
      </c>
      <c r="AE65">
        <v>71.290000000000006</v>
      </c>
      <c r="AF65">
        <f t="shared" si="6"/>
        <v>4.7282450492843591</v>
      </c>
    </row>
    <row r="66" spans="1:32">
      <c r="A66" s="159" t="s">
        <v>427</v>
      </c>
      <c r="B66">
        <v>124</v>
      </c>
      <c r="C66">
        <v>38</v>
      </c>
      <c r="D66">
        <v>59</v>
      </c>
      <c r="E66">
        <v>31</v>
      </c>
      <c r="F66">
        <v>107</v>
      </c>
      <c r="G66">
        <v>68</v>
      </c>
      <c r="H66">
        <v>196.1</v>
      </c>
      <c r="I66" s="14">
        <v>294.2032723690603</v>
      </c>
      <c r="J66" s="259">
        <v>231.79672912637096</v>
      </c>
      <c r="K66" s="260">
        <v>361.0266575182535</v>
      </c>
      <c r="L66" s="16">
        <f t="shared" ref="L66:L97" si="12">RANK(H66,$H$2:$H$147,1)</f>
        <v>29</v>
      </c>
      <c r="M66" s="230">
        <f t="shared" ref="M66:M97" si="13">RANK(I66,$I$2:$I$147,1)</f>
        <v>32</v>
      </c>
      <c r="N66" s="159">
        <f t="shared" ref="N66:N97" si="14">RANK(J66,$J$2:$J$147,1)</f>
        <v>65</v>
      </c>
      <c r="O66" s="159">
        <f t="shared" ref="O66:O97" si="15">RANK(K66,$K$2:$K$147,1)</f>
        <v>63</v>
      </c>
      <c r="P66" s="15">
        <v>0</v>
      </c>
      <c r="Q66" s="15">
        <v>0</v>
      </c>
      <c r="R66">
        <v>14</v>
      </c>
      <c r="S66" t="e" vm="1">
        <f t="shared" ref="S66:S97" si="16">RANK(U66,$U$2:$U$147,0)</f>
        <v>#VALUE!</v>
      </c>
      <c r="T66" s="14" t="e" vm="1">
        <f>Table235[[#This Row],[BDG]]/Table235[[#This Row],[Odds]]</f>
        <v>#VALUE!</v>
      </c>
      <c r="U66" s="14" t="e" cm="1" vm="2">
        <f t="array" ref="U66">MAX(_xlfn._xlws.FILTER(Table22[[B365]:[BFAIREXC]], Table22[PLAYER] = A66))</f>
        <v>#VALUE!</v>
      </c>
      <c r="AD66" t="s">
        <v>130</v>
      </c>
      <c r="AE66">
        <v>71.3</v>
      </c>
      <c r="AF66">
        <f t="shared" ref="AF66:AF100" si="17">VLOOKUP(AD66,$A$2:$J$179,10,FALSE)/AE66</f>
        <v>3.1031236369130504</v>
      </c>
    </row>
    <row r="67" spans="1:32">
      <c r="A67" s="159" t="s">
        <v>134</v>
      </c>
      <c r="B67">
        <v>146</v>
      </c>
      <c r="C67">
        <v>28</v>
      </c>
      <c r="D67">
        <v>27</v>
      </c>
      <c r="E67">
        <v>57</v>
      </c>
      <c r="F67">
        <v>163</v>
      </c>
      <c r="G67">
        <v>95</v>
      </c>
      <c r="H67">
        <v>224.9</v>
      </c>
      <c r="I67" s="14">
        <v>348.77309036673586</v>
      </c>
      <c r="J67" s="259">
        <v>231.81590877262028</v>
      </c>
      <c r="K67" s="260">
        <v>349.29511254439268</v>
      </c>
      <c r="L67" s="16">
        <f t="shared" si="12"/>
        <v>58</v>
      </c>
      <c r="M67" s="230">
        <f t="shared" si="13"/>
        <v>56</v>
      </c>
      <c r="N67" s="159">
        <f t="shared" si="14"/>
        <v>66</v>
      </c>
      <c r="O67" s="159">
        <f t="shared" si="15"/>
        <v>58</v>
      </c>
      <c r="P67" s="15">
        <v>0</v>
      </c>
      <c r="Q67" s="15">
        <v>0</v>
      </c>
      <c r="R67">
        <v>11</v>
      </c>
      <c r="S67" t="e" vm="1">
        <f t="shared" si="16"/>
        <v>#VALUE!</v>
      </c>
      <c r="T67" s="14">
        <f>Table235[[#This Row],[BDG]]/Table235[[#This Row],[Odds]]</f>
        <v>31.886644948090822</v>
      </c>
      <c r="U67" s="14" cm="1">
        <f t="array" ref="U67">MAX(_xlfn._xlws.FILTER(Table22[[B365]:[BFAIREXC]], Table22[PLAYER] = A67))</f>
        <v>7.27</v>
      </c>
      <c r="AD67" t="s">
        <v>38</v>
      </c>
      <c r="AE67">
        <v>71.33</v>
      </c>
      <c r="AF67">
        <f t="shared" si="17"/>
        <v>3.0499888106953428</v>
      </c>
    </row>
    <row r="68" spans="1:32">
      <c r="A68" s="159" t="s">
        <v>145</v>
      </c>
      <c r="B68">
        <v>171</v>
      </c>
      <c r="C68">
        <v>15</v>
      </c>
      <c r="D68">
        <v>23</v>
      </c>
      <c r="E68">
        <v>10</v>
      </c>
      <c r="F68">
        <v>163</v>
      </c>
      <c r="G68">
        <v>58</v>
      </c>
      <c r="H68">
        <v>209.7</v>
      </c>
      <c r="I68" s="14">
        <v>288.94889795659742</v>
      </c>
      <c r="J68" s="259">
        <v>232.16040050026169</v>
      </c>
      <c r="K68" s="260">
        <v>320.35896049759356</v>
      </c>
      <c r="L68" s="16">
        <f t="shared" si="12"/>
        <v>40</v>
      </c>
      <c r="M68" s="230">
        <f t="shared" si="13"/>
        <v>30</v>
      </c>
      <c r="N68" s="159">
        <f t="shared" si="14"/>
        <v>67</v>
      </c>
      <c r="O68" s="159">
        <f t="shared" si="15"/>
        <v>41</v>
      </c>
      <c r="P68" s="15">
        <v>0</v>
      </c>
      <c r="Q68" s="15">
        <v>0</v>
      </c>
      <c r="R68">
        <v>39</v>
      </c>
      <c r="S68" t="e" vm="1">
        <f t="shared" si="16"/>
        <v>#VALUE!</v>
      </c>
      <c r="T68" s="14" t="e" vm="1">
        <f>Table235[[#This Row],[BDG]]/Table235[[#This Row],[Odds]]</f>
        <v>#VALUE!</v>
      </c>
      <c r="U68" s="14" t="e" cm="1" vm="2">
        <f t="array" ref="U68">MAX(_xlfn._xlws.FILTER(Table22[[B365]:[BFAIREXC]], Table22[PLAYER] = A68))</f>
        <v>#VALUE!</v>
      </c>
      <c r="AD68" t="s">
        <v>444</v>
      </c>
      <c r="AE68">
        <v>71.33</v>
      </c>
      <c r="AF68">
        <f t="shared" si="17"/>
        <v>4.3754381045843269</v>
      </c>
    </row>
    <row r="69" spans="1:32">
      <c r="A69" s="159" t="s">
        <v>633</v>
      </c>
      <c r="B69">
        <v>142</v>
      </c>
      <c r="C69">
        <v>54</v>
      </c>
      <c r="D69">
        <v>30</v>
      </c>
      <c r="E69">
        <v>101</v>
      </c>
      <c r="F69">
        <v>119</v>
      </c>
      <c r="G69">
        <v>68</v>
      </c>
      <c r="H69">
        <v>232.4</v>
      </c>
      <c r="I69" s="14">
        <v>338.79623810317003</v>
      </c>
      <c r="J69" s="259">
        <v>232.4</v>
      </c>
      <c r="K69" s="260">
        <v>338.79623810317003</v>
      </c>
      <c r="L69" s="16">
        <f t="shared" si="12"/>
        <v>64</v>
      </c>
      <c r="M69" s="230">
        <f t="shared" si="13"/>
        <v>51</v>
      </c>
      <c r="N69" s="159">
        <f t="shared" si="14"/>
        <v>68</v>
      </c>
      <c r="O69" s="159">
        <f t="shared" si="15"/>
        <v>51</v>
      </c>
      <c r="P69" s="15">
        <v>0</v>
      </c>
      <c r="Q69" s="15">
        <v>0</v>
      </c>
      <c r="R69" t="e">
        <v>#N/A</v>
      </c>
      <c r="S69" t="e" vm="1">
        <f t="shared" si="16"/>
        <v>#VALUE!</v>
      </c>
      <c r="T69" s="14">
        <f>Table235[[#This Row],[BDG]]/Table235[[#This Row],[Odds]]</f>
        <v>31.966987620357635</v>
      </c>
      <c r="U69" s="14" cm="1">
        <f t="array" ref="U69">MAX(_xlfn._xlws.FILTER(Table22[[B365]:[BFAIREXC]], Table22[PLAYER] = A69))</f>
        <v>7.27</v>
      </c>
      <c r="AD69" t="s">
        <v>488</v>
      </c>
      <c r="AE69">
        <v>71.33</v>
      </c>
      <c r="AF69" t="e">
        <f t="shared" si="17"/>
        <v>#N/A</v>
      </c>
    </row>
    <row r="70" spans="1:32">
      <c r="A70" s="159" t="s">
        <v>39</v>
      </c>
      <c r="B70">
        <v>81</v>
      </c>
      <c r="C70">
        <v>171</v>
      </c>
      <c r="D70">
        <v>147</v>
      </c>
      <c r="E70">
        <v>5</v>
      </c>
      <c r="F70">
        <v>69</v>
      </c>
      <c r="G70">
        <v>101</v>
      </c>
      <c r="H70">
        <v>239.8</v>
      </c>
      <c r="I70" s="14">
        <v>405.45208369287485</v>
      </c>
      <c r="J70" s="259">
        <v>234.37538768480081</v>
      </c>
      <c r="K70" s="260">
        <v>379.64100283982839</v>
      </c>
      <c r="L70" s="16">
        <f t="shared" si="12"/>
        <v>69</v>
      </c>
      <c r="M70" s="230">
        <f t="shared" si="13"/>
        <v>76</v>
      </c>
      <c r="N70" s="159">
        <f t="shared" si="14"/>
        <v>69</v>
      </c>
      <c r="O70" s="159">
        <f t="shared" si="15"/>
        <v>67</v>
      </c>
      <c r="P70" s="15">
        <v>0</v>
      </c>
      <c r="Q70" s="15">
        <v>0</v>
      </c>
      <c r="R70">
        <v>-31</v>
      </c>
      <c r="S70" t="e" vm="1">
        <f t="shared" si="16"/>
        <v>#VALUE!</v>
      </c>
      <c r="T70" s="14">
        <f>Table235[[#This Row],[BDG]]/Table235[[#This Row],[Odds]]</f>
        <v>30.597309097232483</v>
      </c>
      <c r="U70" s="14" cm="1">
        <f t="array" ref="U70">MAX(_xlfn._xlws.FILTER(Table22[[B365]:[BFAIREXC]], Table22[PLAYER] = A70))</f>
        <v>7.66</v>
      </c>
      <c r="AD70" t="s">
        <v>60</v>
      </c>
      <c r="AE70">
        <v>71.38</v>
      </c>
      <c r="AF70">
        <f t="shared" si="17"/>
        <v>4.253886193446724</v>
      </c>
    </row>
    <row r="71" spans="1:32">
      <c r="A71" s="159" t="s">
        <v>562</v>
      </c>
      <c r="B71">
        <v>4</v>
      </c>
      <c r="C71">
        <v>137</v>
      </c>
      <c r="D71">
        <v>91</v>
      </c>
      <c r="E71">
        <v>182</v>
      </c>
      <c r="F71">
        <v>76</v>
      </c>
      <c r="G71">
        <v>72</v>
      </c>
      <c r="H71">
        <v>236.2</v>
      </c>
      <c r="I71" s="14">
        <v>374.55473879293004</v>
      </c>
      <c r="J71" s="259">
        <v>236.2</v>
      </c>
      <c r="K71" s="260">
        <v>374.55473879293004</v>
      </c>
      <c r="L71" s="16">
        <f t="shared" si="12"/>
        <v>67</v>
      </c>
      <c r="M71" s="230">
        <f t="shared" si="13"/>
        <v>66</v>
      </c>
      <c r="N71" s="159">
        <f t="shared" si="14"/>
        <v>70</v>
      </c>
      <c r="O71" s="159">
        <f t="shared" si="15"/>
        <v>66</v>
      </c>
      <c r="P71" s="15">
        <v>0</v>
      </c>
      <c r="Q71" s="15">
        <v>0</v>
      </c>
      <c r="R71">
        <v>6</v>
      </c>
      <c r="S71" t="e" vm="1">
        <f t="shared" si="16"/>
        <v>#VALUE!</v>
      </c>
      <c r="T71" s="14"/>
      <c r="U71" s="14"/>
      <c r="AD71" t="s">
        <v>71</v>
      </c>
      <c r="AE71">
        <v>71.38</v>
      </c>
      <c r="AF71">
        <f t="shared" si="17"/>
        <v>4.1558961819643763</v>
      </c>
    </row>
    <row r="72" spans="1:32">
      <c r="A72" s="159" t="s">
        <v>50</v>
      </c>
      <c r="B72">
        <v>71</v>
      </c>
      <c r="C72">
        <v>161</v>
      </c>
      <c r="D72">
        <v>78</v>
      </c>
      <c r="E72">
        <v>70</v>
      </c>
      <c r="F72">
        <v>93</v>
      </c>
      <c r="G72">
        <v>85</v>
      </c>
      <c r="H72">
        <v>227</v>
      </c>
      <c r="I72" s="14">
        <v>371.69536707727491</v>
      </c>
      <c r="J72" s="259">
        <v>236.66511121771651</v>
      </c>
      <c r="K72" s="260">
        <v>398.35824233461767</v>
      </c>
      <c r="L72" s="16">
        <f t="shared" si="12"/>
        <v>60</v>
      </c>
      <c r="M72" s="230">
        <f t="shared" si="13"/>
        <v>64</v>
      </c>
      <c r="N72" s="159">
        <f t="shared" si="14"/>
        <v>71</v>
      </c>
      <c r="O72" s="159">
        <f t="shared" si="15"/>
        <v>76</v>
      </c>
      <c r="P72" s="15">
        <v>0</v>
      </c>
      <c r="Q72" s="15">
        <v>0.125</v>
      </c>
      <c r="R72">
        <v>-21</v>
      </c>
      <c r="S72" t="e" vm="1">
        <f t="shared" si="16"/>
        <v>#VALUE!</v>
      </c>
      <c r="T72" s="14">
        <f>Table235[[#This Row],[BDG]]/Table235[[#This Row],[Odds]]</f>
        <v>22.977195263855972</v>
      </c>
      <c r="U72" s="14" cm="1">
        <f t="array" ref="U72">MAX(_xlfn._xlws.FILTER(Table22[[B365]:[BFAIREXC]], Table22[PLAYER] = A72))</f>
        <v>10.3</v>
      </c>
      <c r="AD72" t="s">
        <v>372</v>
      </c>
      <c r="AE72">
        <v>71.430000000000007</v>
      </c>
      <c r="AF72">
        <f t="shared" si="17"/>
        <v>4.2568625007625069</v>
      </c>
    </row>
    <row r="73" spans="1:32">
      <c r="A73" s="159" t="s">
        <v>65</v>
      </c>
      <c r="B73">
        <v>50</v>
      </c>
      <c r="C73">
        <v>92</v>
      </c>
      <c r="D73">
        <v>56</v>
      </c>
      <c r="E73">
        <v>122</v>
      </c>
      <c r="F73">
        <v>33</v>
      </c>
      <c r="G73">
        <v>19</v>
      </c>
      <c r="H73">
        <v>174.29999999999998</v>
      </c>
      <c r="I73" s="14">
        <v>238.88230319538914</v>
      </c>
      <c r="J73" s="259">
        <v>239.57553895388548</v>
      </c>
      <c r="K73" s="260">
        <v>389.05156627737449</v>
      </c>
      <c r="L73" s="16">
        <f t="shared" si="12"/>
        <v>13</v>
      </c>
      <c r="M73" s="230">
        <f t="shared" si="13"/>
        <v>17</v>
      </c>
      <c r="N73" s="159">
        <f t="shared" si="14"/>
        <v>72</v>
      </c>
      <c r="O73" s="159">
        <f t="shared" si="15"/>
        <v>72</v>
      </c>
      <c r="P73" s="15">
        <v>0</v>
      </c>
      <c r="Q73" s="15">
        <v>0.22222222222222221</v>
      </c>
      <c r="R73">
        <v>13</v>
      </c>
      <c r="S73" t="e" vm="1">
        <f t="shared" si="16"/>
        <v>#VALUE!</v>
      </c>
      <c r="T73" s="14" t="e" vm="1">
        <f>Table235[[#This Row],[BDG]]/Table235[[#This Row],[Odds]]</f>
        <v>#VALUE!</v>
      </c>
      <c r="U73" s="14" t="e" cm="1" vm="2">
        <f t="array" ref="U73">MAX(_xlfn._xlws.FILTER(Table22[[B365]:[BFAIREXC]], Table22[PLAYER] = A73))</f>
        <v>#VALUE!</v>
      </c>
      <c r="AD73" t="s">
        <v>11</v>
      </c>
      <c r="AE73">
        <v>71.44</v>
      </c>
      <c r="AF73">
        <f t="shared" si="17"/>
        <v>3.5868425805518447</v>
      </c>
    </row>
    <row r="74" spans="1:32">
      <c r="A74" s="159" t="s">
        <v>596</v>
      </c>
      <c r="B74">
        <v>2</v>
      </c>
      <c r="C74">
        <v>181</v>
      </c>
      <c r="D74">
        <v>148</v>
      </c>
      <c r="E74">
        <v>126</v>
      </c>
      <c r="F74">
        <v>37</v>
      </c>
      <c r="G74">
        <v>87</v>
      </c>
      <c r="H74">
        <v>240.6</v>
      </c>
      <c r="I74" s="14">
        <v>403.96727138395522</v>
      </c>
      <c r="J74" s="259">
        <v>240.6</v>
      </c>
      <c r="K74" s="260">
        <v>403.96727138395522</v>
      </c>
      <c r="L74" s="16">
        <f t="shared" si="12"/>
        <v>71</v>
      </c>
      <c r="M74" s="230">
        <f t="shared" si="13"/>
        <v>74</v>
      </c>
      <c r="N74" s="159">
        <f t="shared" si="14"/>
        <v>73</v>
      </c>
      <c r="O74" s="159">
        <f t="shared" si="15"/>
        <v>80</v>
      </c>
      <c r="P74" s="15">
        <v>0</v>
      </c>
      <c r="Q74" s="15">
        <v>0</v>
      </c>
      <c r="R74">
        <v>32</v>
      </c>
      <c r="S74" t="e" vm="1">
        <f t="shared" si="16"/>
        <v>#VALUE!</v>
      </c>
      <c r="T74" s="14">
        <f>Table235[[#This Row],[BDG]]/Table235[[#This Row],[Odds]]</f>
        <v>28.305882352941175</v>
      </c>
      <c r="U74" s="14" cm="1">
        <f t="array" ref="U74">MAX(_xlfn._xlws.FILTER(Table22[[B365]:[BFAIREXC]], Table22[PLAYER] = A74))</f>
        <v>8.5</v>
      </c>
      <c r="AD74" t="s">
        <v>36</v>
      </c>
      <c r="AE74">
        <v>71.44</v>
      </c>
      <c r="AF74">
        <f t="shared" si="17"/>
        <v>3.7627179229668313</v>
      </c>
    </row>
    <row r="75" spans="1:32">
      <c r="A75" s="159" t="s">
        <v>26</v>
      </c>
      <c r="B75">
        <v>35</v>
      </c>
      <c r="C75">
        <v>67</v>
      </c>
      <c r="D75">
        <v>75</v>
      </c>
      <c r="E75">
        <v>176</v>
      </c>
      <c r="F75">
        <v>155</v>
      </c>
      <c r="G75">
        <v>128</v>
      </c>
      <c r="H75">
        <v>259.10000000000002</v>
      </c>
      <c r="I75" s="14">
        <v>439.84886932294614</v>
      </c>
      <c r="J75" s="259">
        <v>242.50181894571125</v>
      </c>
      <c r="K75" s="260">
        <v>393.6199718664501</v>
      </c>
      <c r="L75" s="16">
        <f t="shared" si="12"/>
        <v>93</v>
      </c>
      <c r="M75" s="230">
        <f t="shared" si="13"/>
        <v>94</v>
      </c>
      <c r="N75" s="159">
        <f t="shared" si="14"/>
        <v>74</v>
      </c>
      <c r="O75" s="159">
        <f t="shared" si="15"/>
        <v>75</v>
      </c>
      <c r="P75" s="15">
        <v>0</v>
      </c>
      <c r="Q75" s="15">
        <v>0.33333333333333331</v>
      </c>
      <c r="R75">
        <v>24</v>
      </c>
      <c r="S75" t="e" vm="1">
        <f t="shared" si="16"/>
        <v>#VALUE!</v>
      </c>
      <c r="T75" s="14">
        <f>Table235[[#This Row],[BDG]]/Table235[[#This Row],[Odds]]</f>
        <v>52.376202796049945</v>
      </c>
      <c r="U75" s="14" cm="1">
        <f t="array" ref="U75">MAX(_xlfn._xlws.FILTER(Table22[[B365]:[BFAIREXC]], Table22[PLAYER] = A75))</f>
        <v>4.63</v>
      </c>
      <c r="AD75" t="s">
        <v>560</v>
      </c>
      <c r="AE75">
        <v>71.5</v>
      </c>
      <c r="AF75">
        <f t="shared" si="17"/>
        <v>3.0937062937062936</v>
      </c>
    </row>
    <row r="76" spans="1:32">
      <c r="A76" s="159" t="s">
        <v>424</v>
      </c>
      <c r="B76">
        <v>127</v>
      </c>
      <c r="C76">
        <v>43</v>
      </c>
      <c r="D76">
        <v>73</v>
      </c>
      <c r="E76">
        <v>85</v>
      </c>
      <c r="F76">
        <v>123</v>
      </c>
      <c r="G76">
        <v>96</v>
      </c>
      <c r="H76">
        <v>244.2</v>
      </c>
      <c r="I76" s="14">
        <v>380.58944085968028</v>
      </c>
      <c r="J76" s="259">
        <v>244.2</v>
      </c>
      <c r="K76" s="260">
        <v>380.58944085968028</v>
      </c>
      <c r="L76" s="16">
        <f t="shared" si="12"/>
        <v>77</v>
      </c>
      <c r="M76" s="230">
        <f t="shared" si="13"/>
        <v>69</v>
      </c>
      <c r="N76" s="159">
        <f t="shared" si="14"/>
        <v>75</v>
      </c>
      <c r="O76" s="159">
        <f t="shared" si="15"/>
        <v>70</v>
      </c>
      <c r="P76" s="15">
        <v>0</v>
      </c>
      <c r="Q76" s="15">
        <v>0.1111111111111111</v>
      </c>
      <c r="R76">
        <v>-30</v>
      </c>
      <c r="S76" t="e" vm="1">
        <f t="shared" si="16"/>
        <v>#VALUE!</v>
      </c>
      <c r="T76" s="14">
        <f>Table235[[#This Row],[BDG]]/Table235[[#This Row],[Odds]]</f>
        <v>40.032786885245905</v>
      </c>
      <c r="U76" s="14" cm="1">
        <f t="array" ref="U76">MAX(_xlfn._xlws.FILTER(Table22[[B365]:[BFAIREXC]], Table22[PLAYER] = A76))</f>
        <v>6.1</v>
      </c>
      <c r="AD76" t="s">
        <v>595</v>
      </c>
      <c r="AE76">
        <v>71.5</v>
      </c>
      <c r="AF76">
        <f t="shared" si="17"/>
        <v>2.7324346545227152</v>
      </c>
    </row>
    <row r="77" spans="1:32">
      <c r="A77" s="159" t="s">
        <v>238</v>
      </c>
      <c r="B77">
        <v>193</v>
      </c>
      <c r="C77">
        <v>105</v>
      </c>
      <c r="D77">
        <v>78</v>
      </c>
      <c r="E77">
        <v>53</v>
      </c>
      <c r="F77">
        <v>37</v>
      </c>
      <c r="G77">
        <v>149</v>
      </c>
      <c r="H77">
        <v>246.9</v>
      </c>
      <c r="I77" s="14">
        <v>446.67896457342471</v>
      </c>
      <c r="J77" s="259">
        <v>246.89999999999998</v>
      </c>
      <c r="K77" s="260">
        <v>446.67896457342471</v>
      </c>
      <c r="L77" s="16">
        <f t="shared" si="12"/>
        <v>79</v>
      </c>
      <c r="M77" s="230">
        <f t="shared" si="13"/>
        <v>100</v>
      </c>
      <c r="N77" s="159">
        <f t="shared" si="14"/>
        <v>76</v>
      </c>
      <c r="O77" s="159">
        <f t="shared" si="15"/>
        <v>100</v>
      </c>
      <c r="P77" s="15" t="e">
        <v>#N/A</v>
      </c>
      <c r="Q77" s="15" t="e">
        <v>#N/A</v>
      </c>
      <c r="R77" t="e">
        <v>#N/A</v>
      </c>
      <c r="S77" t="e" vm="1">
        <f t="shared" si="16"/>
        <v>#VALUE!</v>
      </c>
      <c r="T77" s="14" t="e" vm="1">
        <f>Table235[[#This Row],[BDG]]/Table235[[#This Row],[Odds]]</f>
        <v>#VALUE!</v>
      </c>
      <c r="U77" s="14" t="e" cm="1" vm="2">
        <f t="array" ref="U77">MAX(_xlfn._xlws.FILTER(Table22[[B365]:[BFAIREXC]], Table22[PLAYER] = A77))</f>
        <v>#VALUE!</v>
      </c>
      <c r="AD77" t="s">
        <v>108</v>
      </c>
      <c r="AE77">
        <v>71.56</v>
      </c>
      <c r="AF77">
        <f t="shared" si="17"/>
        <v>3.5685917334814787</v>
      </c>
    </row>
    <row r="78" spans="1:32">
      <c r="A78" s="159" t="s">
        <v>106</v>
      </c>
      <c r="B78">
        <v>82</v>
      </c>
      <c r="C78">
        <v>148</v>
      </c>
      <c r="D78">
        <v>145</v>
      </c>
      <c r="E78">
        <v>108</v>
      </c>
      <c r="F78">
        <v>21</v>
      </c>
      <c r="G78">
        <v>89</v>
      </c>
      <c r="H78">
        <v>259.60000000000002</v>
      </c>
      <c r="I78" s="14">
        <v>419.19326198542211</v>
      </c>
      <c r="J78" s="259">
        <v>247.13420314533155</v>
      </c>
      <c r="K78" s="260">
        <v>399.8361001551599</v>
      </c>
      <c r="L78" s="16">
        <f t="shared" si="12"/>
        <v>95</v>
      </c>
      <c r="M78" s="230">
        <f t="shared" si="13"/>
        <v>82</v>
      </c>
      <c r="N78" s="159">
        <f t="shared" si="14"/>
        <v>77</v>
      </c>
      <c r="O78" s="159">
        <f t="shared" si="15"/>
        <v>77</v>
      </c>
      <c r="P78" s="15">
        <v>0</v>
      </c>
      <c r="Q78" s="15">
        <v>0</v>
      </c>
      <c r="R78">
        <v>-31</v>
      </c>
      <c r="S78" t="e" vm="1">
        <f t="shared" si="16"/>
        <v>#VALUE!</v>
      </c>
      <c r="T78" s="14" t="e" vm="1">
        <f>Table235[[#This Row],[BDG]]/Table235[[#This Row],[Odds]]</f>
        <v>#VALUE!</v>
      </c>
      <c r="U78" s="14" t="e" cm="1" vm="2">
        <f t="array" ref="U78">MAX(_xlfn._xlws.FILTER(Table22[[B365]:[BFAIREXC]], Table22[PLAYER] = A78))</f>
        <v>#VALUE!</v>
      </c>
      <c r="AD78" t="s">
        <v>33</v>
      </c>
      <c r="AE78">
        <v>71.569999999999993</v>
      </c>
      <c r="AF78">
        <f t="shared" si="17"/>
        <v>3.1252055514476766</v>
      </c>
    </row>
    <row r="79" spans="1:32">
      <c r="A79" s="159" t="s">
        <v>182</v>
      </c>
      <c r="B79">
        <v>175</v>
      </c>
      <c r="C79">
        <v>96</v>
      </c>
      <c r="D79">
        <v>154</v>
      </c>
      <c r="E79">
        <v>6</v>
      </c>
      <c r="F79">
        <v>1</v>
      </c>
      <c r="G79">
        <v>90</v>
      </c>
      <c r="H79">
        <v>245.10000000000002</v>
      </c>
      <c r="I79" s="14">
        <v>388.46072775124878</v>
      </c>
      <c r="J79" s="259">
        <v>247.49396842129164</v>
      </c>
      <c r="K79" s="260">
        <v>388.62137029816353</v>
      </c>
      <c r="L79" s="16">
        <f t="shared" si="12"/>
        <v>78</v>
      </c>
      <c r="M79" s="230">
        <f t="shared" si="13"/>
        <v>71</v>
      </c>
      <c r="N79" s="159">
        <f t="shared" si="14"/>
        <v>78</v>
      </c>
      <c r="O79" s="159">
        <f t="shared" si="15"/>
        <v>71</v>
      </c>
      <c r="P79" s="15">
        <v>0</v>
      </c>
      <c r="Q79" s="15">
        <v>0</v>
      </c>
      <c r="R79">
        <v>-66</v>
      </c>
      <c r="S79" t="e" vm="1">
        <f t="shared" si="16"/>
        <v>#VALUE!</v>
      </c>
      <c r="T79" s="14" t="e" vm="1">
        <f>Table235[[#This Row],[BDG]]/Table235[[#This Row],[Odds]]</f>
        <v>#VALUE!</v>
      </c>
      <c r="U79" s="14" t="e" cm="1" vm="2">
        <f t="array" ref="U79">MAX(_xlfn._xlws.FILTER(Table22[[B365]:[BFAIREXC]], Table22[PLAYER] = A79))</f>
        <v>#VALUE!</v>
      </c>
      <c r="AD79" t="s">
        <v>401</v>
      </c>
      <c r="AE79">
        <v>71.569999999999993</v>
      </c>
      <c r="AF79">
        <f t="shared" si="17"/>
        <v>4.7617716920497415</v>
      </c>
    </row>
    <row r="80" spans="1:32">
      <c r="A80" s="159" t="s">
        <v>187</v>
      </c>
      <c r="B80">
        <v>183</v>
      </c>
      <c r="C80">
        <v>12</v>
      </c>
      <c r="D80">
        <v>97</v>
      </c>
      <c r="E80">
        <v>13</v>
      </c>
      <c r="F80">
        <v>128</v>
      </c>
      <c r="G80">
        <v>126</v>
      </c>
      <c r="H80">
        <v>251.79999999999998</v>
      </c>
      <c r="I80" s="14">
        <v>410.04142533377376</v>
      </c>
      <c r="J80" s="259">
        <v>247.62642924689516</v>
      </c>
      <c r="K80" s="260">
        <v>392.00381297249021</v>
      </c>
      <c r="L80" s="16">
        <f t="shared" si="12"/>
        <v>83</v>
      </c>
      <c r="M80" s="230">
        <f t="shared" si="13"/>
        <v>79</v>
      </c>
      <c r="N80" s="159">
        <f t="shared" si="14"/>
        <v>79</v>
      </c>
      <c r="O80" s="159">
        <f t="shared" si="15"/>
        <v>73</v>
      </c>
      <c r="P80" s="15">
        <v>0</v>
      </c>
      <c r="Q80" s="15">
        <v>0</v>
      </c>
      <c r="R80">
        <v>-16</v>
      </c>
      <c r="S80" t="e" vm="1">
        <f t="shared" si="16"/>
        <v>#VALUE!</v>
      </c>
      <c r="T80" s="14" t="e" vm="1">
        <f>Table235[[#This Row],[BDG]]/Table235[[#This Row],[Odds]]</f>
        <v>#VALUE!</v>
      </c>
      <c r="U80" s="14" t="e" cm="1" vm="2">
        <f t="array" ref="U80">MAX(_xlfn._xlws.FILTER(Table22[[B365]:[BFAIREXC]], Table22[PLAYER] = A80))</f>
        <v>#VALUE!</v>
      </c>
      <c r="AD80" t="s">
        <v>137</v>
      </c>
      <c r="AE80">
        <v>71.63</v>
      </c>
      <c r="AF80">
        <f t="shared" si="17"/>
        <v>3.7260670257474349</v>
      </c>
    </row>
    <row r="81" spans="1:32">
      <c r="A81" s="159" t="s">
        <v>179</v>
      </c>
      <c r="B81">
        <v>170</v>
      </c>
      <c r="C81">
        <v>2</v>
      </c>
      <c r="D81">
        <v>4</v>
      </c>
      <c r="E81">
        <v>91</v>
      </c>
      <c r="F81">
        <v>173</v>
      </c>
      <c r="G81">
        <v>73</v>
      </c>
      <c r="H81">
        <v>237.39999999999998</v>
      </c>
      <c r="I81" s="14">
        <v>335.91602464949329</v>
      </c>
      <c r="J81" s="259">
        <v>247.98666035193415</v>
      </c>
      <c r="K81" s="260">
        <v>360.35206591022131</v>
      </c>
      <c r="L81" s="16">
        <f t="shared" si="12"/>
        <v>68</v>
      </c>
      <c r="M81" s="230">
        <f t="shared" si="13"/>
        <v>50</v>
      </c>
      <c r="N81" s="159">
        <f t="shared" si="14"/>
        <v>80</v>
      </c>
      <c r="O81" s="159">
        <f t="shared" si="15"/>
        <v>62</v>
      </c>
      <c r="P81" s="15">
        <v>0</v>
      </c>
      <c r="Q81" s="15">
        <v>0.1111111111111111</v>
      </c>
      <c r="R81">
        <v>67</v>
      </c>
      <c r="S81" t="e" vm="1">
        <f t="shared" si="16"/>
        <v>#VALUE!</v>
      </c>
      <c r="T81" s="14" t="e" vm="1">
        <f>Table235[[#This Row],[BDG]]/Table235[[#This Row],[Odds]]</f>
        <v>#VALUE!</v>
      </c>
      <c r="U81" s="14" t="e" cm="1" vm="2">
        <f t="array" ref="U81">MAX(_xlfn._xlws.FILTER(Table22[[B365]:[BFAIREXC]], Table22[PLAYER] = A81))</f>
        <v>#VALUE!</v>
      </c>
      <c r="AD81" t="s">
        <v>104</v>
      </c>
      <c r="AE81">
        <v>71.63</v>
      </c>
      <c r="AF81" t="e">
        <f t="shared" si="17"/>
        <v>#N/A</v>
      </c>
    </row>
    <row r="82" spans="1:32">
      <c r="A82" s="159" t="s">
        <v>485</v>
      </c>
      <c r="B82">
        <v>23</v>
      </c>
      <c r="C82">
        <v>122</v>
      </c>
      <c r="D82">
        <v>36</v>
      </c>
      <c r="E82">
        <v>163</v>
      </c>
      <c r="F82">
        <v>183</v>
      </c>
      <c r="G82">
        <v>152</v>
      </c>
      <c r="H82">
        <v>248.6</v>
      </c>
      <c r="I82" s="14">
        <v>457.05386619489161</v>
      </c>
      <c r="J82" s="259">
        <v>248.6</v>
      </c>
      <c r="K82" s="260">
        <v>457.05386619489161</v>
      </c>
      <c r="L82" s="16">
        <f t="shared" si="12"/>
        <v>80</v>
      </c>
      <c r="M82" s="230">
        <f t="shared" si="13"/>
        <v>107</v>
      </c>
      <c r="N82" s="159">
        <f t="shared" si="14"/>
        <v>81</v>
      </c>
      <c r="O82" s="159">
        <f t="shared" si="15"/>
        <v>106</v>
      </c>
      <c r="P82" s="15">
        <v>0</v>
      </c>
      <c r="Q82" s="15">
        <v>0</v>
      </c>
      <c r="R82">
        <v>24</v>
      </c>
      <c r="S82" t="e" vm="1">
        <f t="shared" si="16"/>
        <v>#VALUE!</v>
      </c>
      <c r="T82" s="14">
        <f>Table235[[#This Row],[BDG]]/Table235[[#This Row],[Odds]]</f>
        <v>27.500000000000004</v>
      </c>
      <c r="U82" s="14" cm="1">
        <f t="array" ref="U82">MAX(_xlfn._xlws.FILTER(Table22[[B365]:[BFAIREXC]], Table22[PLAYER] = A82))</f>
        <v>9.0399999999999991</v>
      </c>
      <c r="AD82" t="s">
        <v>107</v>
      </c>
      <c r="AE82">
        <v>71.63</v>
      </c>
      <c r="AF82">
        <f t="shared" si="17"/>
        <v>3.9078339126887296</v>
      </c>
    </row>
    <row r="83" spans="1:32">
      <c r="A83" s="159" t="s">
        <v>101</v>
      </c>
      <c r="B83">
        <v>130</v>
      </c>
      <c r="C83">
        <v>31</v>
      </c>
      <c r="D83">
        <v>66</v>
      </c>
      <c r="E83">
        <v>160</v>
      </c>
      <c r="F83">
        <v>105</v>
      </c>
      <c r="G83">
        <v>137</v>
      </c>
      <c r="H83">
        <v>266</v>
      </c>
      <c r="I83" s="14">
        <v>448.41784161537953</v>
      </c>
      <c r="J83" s="259">
        <v>253.79848353019099</v>
      </c>
      <c r="K83" s="260">
        <v>404.59173924836023</v>
      </c>
      <c r="L83" s="16">
        <f t="shared" si="12"/>
        <v>97</v>
      </c>
      <c r="M83" s="230">
        <f t="shared" si="13"/>
        <v>103</v>
      </c>
      <c r="N83" s="159">
        <f t="shared" si="14"/>
        <v>82</v>
      </c>
      <c r="O83" s="159">
        <f t="shared" si="15"/>
        <v>81</v>
      </c>
      <c r="P83" s="15">
        <v>0</v>
      </c>
      <c r="Q83" s="15">
        <v>0</v>
      </c>
      <c r="R83">
        <v>23</v>
      </c>
      <c r="S83" t="e" vm="1">
        <f t="shared" si="16"/>
        <v>#VALUE!</v>
      </c>
      <c r="T83" s="14" t="e" vm="1">
        <f>Table235[[#This Row],[BDG]]/Table235[[#This Row],[Odds]]</f>
        <v>#VALUE!</v>
      </c>
      <c r="U83" s="14" t="e" cm="1" vm="2">
        <f t="array" ref="U83">MAX(_xlfn._xlws.FILTER(Table22[[B365]:[BFAIREXC]], Table22[PLAYER] = A83))</f>
        <v>#VALUE!</v>
      </c>
      <c r="AD83" t="s">
        <v>79</v>
      </c>
      <c r="AE83">
        <v>71.67</v>
      </c>
      <c r="AF83">
        <f t="shared" si="17"/>
        <v>3.8863044850042163</v>
      </c>
    </row>
    <row r="84" spans="1:32">
      <c r="A84" s="159" t="s">
        <v>149</v>
      </c>
      <c r="B84">
        <v>143</v>
      </c>
      <c r="C84">
        <v>76</v>
      </c>
      <c r="D84">
        <v>84</v>
      </c>
      <c r="E84">
        <v>41</v>
      </c>
      <c r="F84">
        <v>133</v>
      </c>
      <c r="G84">
        <v>143</v>
      </c>
      <c r="H84">
        <v>254.39999999999998</v>
      </c>
      <c r="I84" s="14">
        <v>442.0849079228808</v>
      </c>
      <c r="J84" s="259">
        <v>255.30438807026576</v>
      </c>
      <c r="K84" s="260">
        <v>430.01119233608625</v>
      </c>
      <c r="L84" s="16">
        <f t="shared" si="12"/>
        <v>86</v>
      </c>
      <c r="M84" s="230">
        <f t="shared" si="13"/>
        <v>96</v>
      </c>
      <c r="N84" s="159">
        <f t="shared" si="14"/>
        <v>83</v>
      </c>
      <c r="O84" s="159">
        <f t="shared" si="15"/>
        <v>92</v>
      </c>
      <c r="P84" s="15">
        <v>0</v>
      </c>
      <c r="Q84" s="15">
        <v>0</v>
      </c>
      <c r="R84">
        <v>-42</v>
      </c>
      <c r="S84" t="e" vm="1">
        <f t="shared" si="16"/>
        <v>#VALUE!</v>
      </c>
      <c r="T84" s="14" t="e" vm="1">
        <f>Table235[[#This Row],[BDG]]/Table235[[#This Row],[Odds]]</f>
        <v>#VALUE!</v>
      </c>
      <c r="U84" s="14" t="e" cm="1" vm="2">
        <f t="array" ref="U84">MAX(_xlfn._xlws.FILTER(Table22[[B365]:[BFAIREXC]], Table22[PLAYER] = A84))</f>
        <v>#VALUE!</v>
      </c>
      <c r="AD84" t="s">
        <v>17</v>
      </c>
      <c r="AE84">
        <v>71.709999999999994</v>
      </c>
      <c r="AF84" t="e">
        <f t="shared" si="17"/>
        <v>#N/A</v>
      </c>
    </row>
    <row r="85" spans="1:32">
      <c r="A85" s="159" t="s">
        <v>108</v>
      </c>
      <c r="B85">
        <v>124</v>
      </c>
      <c r="C85">
        <v>143</v>
      </c>
      <c r="D85">
        <v>107</v>
      </c>
      <c r="E85">
        <v>17</v>
      </c>
      <c r="F85">
        <v>115</v>
      </c>
      <c r="G85">
        <v>102</v>
      </c>
      <c r="H85">
        <v>258.2</v>
      </c>
      <c r="I85" s="14">
        <v>417.7934325014852</v>
      </c>
      <c r="J85" s="259">
        <v>255.36842444793461</v>
      </c>
      <c r="K85" s="260">
        <v>417.63508838554355</v>
      </c>
      <c r="L85" s="16">
        <f t="shared" si="12"/>
        <v>90</v>
      </c>
      <c r="M85" s="230">
        <f t="shared" si="13"/>
        <v>81</v>
      </c>
      <c r="N85" s="159">
        <f t="shared" si="14"/>
        <v>84</v>
      </c>
      <c r="O85" s="159">
        <f t="shared" si="15"/>
        <v>85</v>
      </c>
      <c r="P85" s="15">
        <v>0</v>
      </c>
      <c r="Q85" s="15">
        <v>0</v>
      </c>
      <c r="R85">
        <v>-31</v>
      </c>
      <c r="S85" t="e" vm="1">
        <f t="shared" si="16"/>
        <v>#VALUE!</v>
      </c>
      <c r="T85" s="14" t="e" vm="1">
        <f>Table235[[#This Row],[BDG]]/Table235[[#This Row],[Odds]]</f>
        <v>#VALUE!</v>
      </c>
      <c r="U85" s="14" t="e" cm="1" vm="2">
        <f t="array" ref="U85">MAX(_xlfn._xlws.FILTER(Table22[[B365]:[BFAIREXC]], Table22[PLAYER] = A85))</f>
        <v>#VALUE!</v>
      </c>
      <c r="AD85" t="s">
        <v>133</v>
      </c>
      <c r="AE85">
        <v>71.75</v>
      </c>
      <c r="AF85">
        <f t="shared" si="17"/>
        <v>3.8245712721049281</v>
      </c>
    </row>
    <row r="86" spans="1:32">
      <c r="A86" s="159" t="s">
        <v>55</v>
      </c>
      <c r="B86">
        <v>58</v>
      </c>
      <c r="C86">
        <v>114</v>
      </c>
      <c r="D86">
        <v>123</v>
      </c>
      <c r="E86">
        <v>123</v>
      </c>
      <c r="F86">
        <v>111</v>
      </c>
      <c r="G86">
        <v>167</v>
      </c>
      <c r="H86">
        <v>272.10000000000002</v>
      </c>
      <c r="I86" s="14">
        <v>502.52337189756548</v>
      </c>
      <c r="J86" s="259">
        <v>255.8827945654437</v>
      </c>
      <c r="K86" s="260">
        <v>456.84194905286677</v>
      </c>
      <c r="L86" s="16">
        <f t="shared" si="12"/>
        <v>107</v>
      </c>
      <c r="M86" s="230">
        <f t="shared" si="13"/>
        <v>112</v>
      </c>
      <c r="N86" s="159">
        <f t="shared" si="14"/>
        <v>85</v>
      </c>
      <c r="O86" s="159">
        <f t="shared" si="15"/>
        <v>104</v>
      </c>
      <c r="P86" s="15">
        <v>0</v>
      </c>
      <c r="Q86" s="15">
        <v>0</v>
      </c>
      <c r="R86">
        <v>19</v>
      </c>
      <c r="S86" t="e" vm="1">
        <f t="shared" si="16"/>
        <v>#VALUE!</v>
      </c>
      <c r="T86" s="14" t="e" vm="1">
        <f>Table235[[#This Row],[BDG]]/Table235[[#This Row],[Odds]]</f>
        <v>#VALUE!</v>
      </c>
      <c r="U86" s="14" t="e" cm="1" vm="2">
        <f t="array" ref="U86">MAX(_xlfn._xlws.FILTER(Table22[[B365]:[BFAIREXC]], Table22[PLAYER] = A86))</f>
        <v>#VALUE!</v>
      </c>
      <c r="AD86" t="s">
        <v>434</v>
      </c>
      <c r="AE86">
        <v>71.78</v>
      </c>
      <c r="AF86" t="e">
        <f t="shared" si="17"/>
        <v>#N/A</v>
      </c>
    </row>
    <row r="87" spans="1:32">
      <c r="A87" s="159" t="s">
        <v>112</v>
      </c>
      <c r="B87">
        <v>154</v>
      </c>
      <c r="C87">
        <v>113</v>
      </c>
      <c r="D87">
        <v>77</v>
      </c>
      <c r="E87">
        <v>123</v>
      </c>
      <c r="F87">
        <v>139</v>
      </c>
      <c r="G87">
        <v>157</v>
      </c>
      <c r="H87">
        <v>311.2</v>
      </c>
      <c r="I87" s="14">
        <v>529.82158901366904</v>
      </c>
      <c r="J87" s="259">
        <v>256.03232771379032</v>
      </c>
      <c r="K87" s="260">
        <v>402.15708514852804</v>
      </c>
      <c r="L87" s="16">
        <f t="shared" si="12"/>
        <v>120</v>
      </c>
      <c r="M87" s="230">
        <f t="shared" si="13"/>
        <v>119</v>
      </c>
      <c r="N87" s="159">
        <f t="shared" si="14"/>
        <v>86</v>
      </c>
      <c r="O87" s="159">
        <f t="shared" si="15"/>
        <v>78</v>
      </c>
      <c r="P87" s="15">
        <v>0</v>
      </c>
      <c r="Q87" s="15">
        <v>0</v>
      </c>
      <c r="R87">
        <v>4</v>
      </c>
      <c r="S87" t="e" vm="1">
        <f t="shared" si="16"/>
        <v>#VALUE!</v>
      </c>
      <c r="T87" s="14" t="e" vm="1">
        <f>Table235[[#This Row],[BDG]]/Table235[[#This Row],[Odds]]</f>
        <v>#VALUE!</v>
      </c>
      <c r="U87" s="14" t="e" cm="1" vm="2">
        <f t="array" ref="U87">MAX(_xlfn._xlws.FILTER(Table22[[B365]:[BFAIREXC]], Table22[PLAYER] = A87))</f>
        <v>#VALUE!</v>
      </c>
      <c r="AD87" t="s">
        <v>105</v>
      </c>
      <c r="AE87">
        <v>71.78</v>
      </c>
      <c r="AF87">
        <f t="shared" si="17"/>
        <v>3.6742474520222275</v>
      </c>
    </row>
    <row r="88" spans="1:32">
      <c r="A88" s="159" t="s">
        <v>11</v>
      </c>
      <c r="B88">
        <v>47</v>
      </c>
      <c r="C88">
        <v>121</v>
      </c>
      <c r="D88">
        <v>133</v>
      </c>
      <c r="E88">
        <v>150</v>
      </c>
      <c r="F88">
        <v>72</v>
      </c>
      <c r="G88">
        <v>110</v>
      </c>
      <c r="H88">
        <v>268.60000000000002</v>
      </c>
      <c r="I88" s="14">
        <v>446.55027219370839</v>
      </c>
      <c r="J88" s="259">
        <v>256.24403395462377</v>
      </c>
      <c r="K88" s="260">
        <v>438.62924967966592</v>
      </c>
      <c r="L88" s="16">
        <f t="shared" si="12"/>
        <v>98</v>
      </c>
      <c r="M88" s="230">
        <f t="shared" si="13"/>
        <v>99</v>
      </c>
      <c r="N88" s="159">
        <f t="shared" si="14"/>
        <v>87</v>
      </c>
      <c r="O88" s="159">
        <f t="shared" si="15"/>
        <v>96</v>
      </c>
      <c r="P88" s="15">
        <v>0</v>
      </c>
      <c r="Q88" s="15">
        <v>0.1</v>
      </c>
      <c r="R88">
        <v>71</v>
      </c>
      <c r="S88" t="e" vm="1">
        <f t="shared" si="16"/>
        <v>#VALUE!</v>
      </c>
      <c r="T88" s="14">
        <f>Table235[[#This Row],[BDG]]/Table235[[#This Row],[Odds]]</f>
        <v>37.24477237712555</v>
      </c>
      <c r="U88" s="14" cm="1">
        <f t="array" ref="U88">MAX(_xlfn._xlws.FILTER(Table22[[B365]:[BFAIREXC]], Table22[PLAYER] = A88))</f>
        <v>6.88</v>
      </c>
      <c r="AD88" t="s">
        <v>160</v>
      </c>
      <c r="AE88">
        <v>71.8</v>
      </c>
      <c r="AF88">
        <f t="shared" si="17"/>
        <v>4.5914669837966589</v>
      </c>
    </row>
    <row r="89" spans="1:32">
      <c r="A89" s="159" t="s">
        <v>144</v>
      </c>
      <c r="B89">
        <v>169</v>
      </c>
      <c r="C89">
        <v>61</v>
      </c>
      <c r="D89">
        <v>181</v>
      </c>
      <c r="E89">
        <v>36</v>
      </c>
      <c r="F89">
        <v>97</v>
      </c>
      <c r="G89">
        <v>159</v>
      </c>
      <c r="H89">
        <v>312.89999999999998</v>
      </c>
      <c r="I89" s="14">
        <v>528.48290581991034</v>
      </c>
      <c r="J89" s="259">
        <v>257.16086428419169</v>
      </c>
      <c r="K89" s="260">
        <v>403.33784061603552</v>
      </c>
      <c r="L89" s="16">
        <f t="shared" si="12"/>
        <v>123</v>
      </c>
      <c r="M89" s="230">
        <f t="shared" si="13"/>
        <v>118</v>
      </c>
      <c r="N89" s="159">
        <f t="shared" si="14"/>
        <v>88</v>
      </c>
      <c r="O89" s="159">
        <f t="shared" si="15"/>
        <v>79</v>
      </c>
      <c r="P89" s="15">
        <v>0</v>
      </c>
      <c r="Q89" s="15">
        <v>0</v>
      </c>
      <c r="R89">
        <v>5</v>
      </c>
      <c r="S89" t="e" vm="1">
        <f t="shared" si="16"/>
        <v>#VALUE!</v>
      </c>
      <c r="T89" s="14" t="e" vm="1">
        <f>Table235[[#This Row],[BDG]]/Table235[[#This Row],[Odds]]</f>
        <v>#VALUE!</v>
      </c>
      <c r="U89" s="14" t="e" cm="1" vm="2">
        <f t="array" ref="U89">MAX(_xlfn._xlws.FILTER(Table22[[B365]:[BFAIREXC]], Table22[PLAYER] = A89))</f>
        <v>#VALUE!</v>
      </c>
      <c r="AD89" t="s">
        <v>19</v>
      </c>
      <c r="AE89">
        <v>71.8</v>
      </c>
      <c r="AF89">
        <f t="shared" si="17"/>
        <v>2.8478521579938416</v>
      </c>
    </row>
    <row r="90" spans="1:32">
      <c r="A90" s="159" t="s">
        <v>147</v>
      </c>
      <c r="B90">
        <v>105</v>
      </c>
      <c r="C90">
        <v>93</v>
      </c>
      <c r="D90">
        <v>46</v>
      </c>
      <c r="E90">
        <v>111</v>
      </c>
      <c r="F90">
        <v>106</v>
      </c>
      <c r="G90">
        <v>86</v>
      </c>
      <c r="H90">
        <v>231.6</v>
      </c>
      <c r="I90" s="14">
        <v>365.40201049722316</v>
      </c>
      <c r="J90" s="259">
        <v>257.70197827085724</v>
      </c>
      <c r="K90" s="260">
        <v>410.07827383312951</v>
      </c>
      <c r="L90" s="16">
        <f t="shared" si="12"/>
        <v>63</v>
      </c>
      <c r="M90" s="230">
        <f t="shared" si="13"/>
        <v>63</v>
      </c>
      <c r="N90" s="159">
        <f t="shared" si="14"/>
        <v>89</v>
      </c>
      <c r="O90" s="159">
        <f t="shared" si="15"/>
        <v>84</v>
      </c>
      <c r="P90" s="15">
        <v>0</v>
      </c>
      <c r="Q90" s="15">
        <v>0.1</v>
      </c>
      <c r="R90">
        <v>-32</v>
      </c>
      <c r="S90" t="e" vm="1">
        <f t="shared" si="16"/>
        <v>#VALUE!</v>
      </c>
      <c r="T90" s="14">
        <f>Table235[[#This Row],[BDG]]/Table235[[#This Row],[Odds]]</f>
        <v>35.447314755276103</v>
      </c>
      <c r="U90" s="14" cm="1">
        <f t="array" ref="U90">MAX(_xlfn._xlws.FILTER(Table22[[B365]:[BFAIREXC]], Table22[PLAYER] = A90))</f>
        <v>7.27</v>
      </c>
      <c r="AD90" t="s">
        <v>556</v>
      </c>
      <c r="AE90">
        <v>72</v>
      </c>
      <c r="AF90">
        <f t="shared" si="17"/>
        <v>4.4236111111111107</v>
      </c>
    </row>
    <row r="91" spans="1:32">
      <c r="A91" s="159" t="s">
        <v>30</v>
      </c>
      <c r="B91">
        <v>26</v>
      </c>
      <c r="C91">
        <v>156</v>
      </c>
      <c r="D91">
        <v>138</v>
      </c>
      <c r="E91">
        <v>117</v>
      </c>
      <c r="F91">
        <v>87</v>
      </c>
      <c r="G91">
        <v>106</v>
      </c>
      <c r="H91">
        <v>261</v>
      </c>
      <c r="I91" s="14">
        <v>438.30266681954106</v>
      </c>
      <c r="J91" s="259">
        <v>259.14660509319356</v>
      </c>
      <c r="K91" s="260">
        <v>425.05639509256116</v>
      </c>
      <c r="L91" s="16">
        <f t="shared" si="12"/>
        <v>96</v>
      </c>
      <c r="M91" s="230">
        <f t="shared" si="13"/>
        <v>93</v>
      </c>
      <c r="N91" s="159">
        <f t="shared" si="14"/>
        <v>90</v>
      </c>
      <c r="O91" s="159">
        <f t="shared" si="15"/>
        <v>88</v>
      </c>
      <c r="P91" s="15">
        <v>0</v>
      </c>
      <c r="Q91" s="15">
        <v>0</v>
      </c>
      <c r="R91">
        <v>-57</v>
      </c>
      <c r="S91" t="e" vm="1">
        <f t="shared" si="16"/>
        <v>#VALUE!</v>
      </c>
      <c r="T91" s="14">
        <f>Table235[[#This Row],[BDG]]/Table235[[#This Row],[Odds]]</f>
        <v>51.622829699839357</v>
      </c>
      <c r="U91" s="14" cm="1">
        <f t="array" ref="U91">MAX(_xlfn._xlws.FILTER(Table22[[B365]:[BFAIREXC]], Table22[PLAYER] = A91))</f>
        <v>5.0199999999999996</v>
      </c>
      <c r="AD91" t="s">
        <v>486</v>
      </c>
      <c r="AE91">
        <v>72</v>
      </c>
      <c r="AF91">
        <f t="shared" si="17"/>
        <v>5.0236111111111112</v>
      </c>
    </row>
    <row r="92" spans="1:32">
      <c r="A92" s="159" t="s">
        <v>87</v>
      </c>
      <c r="B92">
        <v>63</v>
      </c>
      <c r="C92">
        <v>9</v>
      </c>
      <c r="D92">
        <v>121</v>
      </c>
      <c r="E92">
        <v>72</v>
      </c>
      <c r="F92">
        <v>160</v>
      </c>
      <c r="G92">
        <v>129</v>
      </c>
      <c r="H92">
        <v>241.2</v>
      </c>
      <c r="I92" s="14">
        <v>407.54830749063649</v>
      </c>
      <c r="J92" s="259">
        <v>260.9214946935366</v>
      </c>
      <c r="K92" s="260">
        <v>425.05622365225747</v>
      </c>
      <c r="L92" s="16">
        <f t="shared" si="12"/>
        <v>72</v>
      </c>
      <c r="M92" s="230">
        <f t="shared" si="13"/>
        <v>78</v>
      </c>
      <c r="N92" s="159">
        <f t="shared" si="14"/>
        <v>91</v>
      </c>
      <c r="O92" s="159">
        <f t="shared" si="15"/>
        <v>87</v>
      </c>
      <c r="P92" s="15">
        <v>0</v>
      </c>
      <c r="Q92" s="15">
        <v>0</v>
      </c>
      <c r="R92">
        <v>-14</v>
      </c>
      <c r="S92" t="e" vm="1">
        <f t="shared" si="16"/>
        <v>#VALUE!</v>
      </c>
      <c r="T92" s="14">
        <f>Table235[[#This Row],[BDG]]/Table235[[#This Row],[Odds]]</f>
        <v>19.045364576170556</v>
      </c>
      <c r="U92" s="14" cm="1">
        <f t="array" ref="U92">MAX(_xlfn._xlws.FILTER(Table22[[B365]:[BFAIREXC]], Table22[PLAYER] = A92))</f>
        <v>13.7</v>
      </c>
      <c r="AD92" t="s">
        <v>21</v>
      </c>
      <c r="AE92">
        <v>72.13</v>
      </c>
      <c r="AF92">
        <f t="shared" si="17"/>
        <v>4.0763336373290535</v>
      </c>
    </row>
    <row r="93" spans="1:32">
      <c r="A93" s="159" t="s">
        <v>105</v>
      </c>
      <c r="B93">
        <v>112</v>
      </c>
      <c r="C93">
        <v>55</v>
      </c>
      <c r="D93">
        <v>93</v>
      </c>
      <c r="E93">
        <v>77</v>
      </c>
      <c r="F93">
        <v>135</v>
      </c>
      <c r="G93">
        <v>134</v>
      </c>
      <c r="H93">
        <v>254.8</v>
      </c>
      <c r="I93" s="14">
        <v>433.42459627424483</v>
      </c>
      <c r="J93" s="259">
        <v>263.73748210615548</v>
      </c>
      <c r="K93" s="260">
        <v>438.28106333904771</v>
      </c>
      <c r="L93" s="16">
        <f t="shared" si="12"/>
        <v>88</v>
      </c>
      <c r="M93" s="230">
        <f t="shared" si="13"/>
        <v>89</v>
      </c>
      <c r="N93" s="159">
        <f t="shared" si="14"/>
        <v>92</v>
      </c>
      <c r="O93" s="159">
        <f t="shared" si="15"/>
        <v>95</v>
      </c>
      <c r="P93" s="15">
        <v>0</v>
      </c>
      <c r="Q93" s="15">
        <v>0</v>
      </c>
      <c r="R93">
        <v>16</v>
      </c>
      <c r="S93" t="e" vm="1">
        <f t="shared" si="16"/>
        <v>#VALUE!</v>
      </c>
      <c r="T93" s="14" t="e" vm="1">
        <f>Table235[[#This Row],[BDG]]/Table235[[#This Row],[Odds]]</f>
        <v>#VALUE!</v>
      </c>
      <c r="U93" s="14" t="e" cm="1" vm="2">
        <f t="array" ref="U93">MAX(_xlfn._xlws.FILTER(Table22[[B365]:[BFAIREXC]], Table22[PLAYER] = A93))</f>
        <v>#VALUE!</v>
      </c>
      <c r="AD93" t="s">
        <v>419</v>
      </c>
      <c r="AE93">
        <v>72.22</v>
      </c>
      <c r="AF93">
        <f t="shared" si="17"/>
        <v>5.6424813071171425</v>
      </c>
    </row>
    <row r="94" spans="1:32">
      <c r="A94" s="159" t="s">
        <v>177</v>
      </c>
      <c r="B94">
        <v>172</v>
      </c>
      <c r="C94">
        <v>100</v>
      </c>
      <c r="D94">
        <v>41</v>
      </c>
      <c r="E94">
        <v>14</v>
      </c>
      <c r="F94">
        <v>148</v>
      </c>
      <c r="G94">
        <v>144</v>
      </c>
      <c r="H94">
        <v>242.89999999999998</v>
      </c>
      <c r="I94" s="14">
        <v>428.36656464893633</v>
      </c>
      <c r="J94" s="259">
        <v>264.48175402592381</v>
      </c>
      <c r="K94" s="260">
        <v>441.58764588562065</v>
      </c>
      <c r="L94" s="16">
        <f t="shared" si="12"/>
        <v>73</v>
      </c>
      <c r="M94" s="230">
        <f t="shared" si="13"/>
        <v>86</v>
      </c>
      <c r="N94" s="159">
        <f t="shared" si="14"/>
        <v>93</v>
      </c>
      <c r="O94" s="159">
        <f t="shared" si="15"/>
        <v>98</v>
      </c>
      <c r="P94" s="15">
        <v>0</v>
      </c>
      <c r="Q94" s="15">
        <v>0</v>
      </c>
      <c r="R94">
        <v>22</v>
      </c>
      <c r="S94" t="e" vm="1">
        <f t="shared" si="16"/>
        <v>#VALUE!</v>
      </c>
      <c r="T94" s="14">
        <f>Table235[[#This Row],[BDG]]/Table235[[#This Row],[Odds]]</f>
        <v>19.305237520140423</v>
      </c>
      <c r="U94" s="14" cm="1">
        <f t="array" ref="U94">MAX(_xlfn._xlws.FILTER(Table22[[B365]:[BFAIREXC]], Table22[PLAYER] = A94))</f>
        <v>13.7</v>
      </c>
      <c r="AD94" t="s">
        <v>13</v>
      </c>
      <c r="AE94">
        <v>72.430000000000007</v>
      </c>
      <c r="AF94">
        <f t="shared" si="17"/>
        <v>3.8259907454976405</v>
      </c>
    </row>
    <row r="95" spans="1:32">
      <c r="A95" s="159" t="s">
        <v>161</v>
      </c>
      <c r="B95">
        <v>166</v>
      </c>
      <c r="C95">
        <v>47</v>
      </c>
      <c r="D95">
        <v>150</v>
      </c>
      <c r="E95">
        <v>11</v>
      </c>
      <c r="F95">
        <v>39</v>
      </c>
      <c r="G95">
        <v>92</v>
      </c>
      <c r="H95">
        <v>243.7</v>
      </c>
      <c r="I95" s="14">
        <v>379.71738564417512</v>
      </c>
      <c r="J95" s="259">
        <v>265.6112464538005</v>
      </c>
      <c r="K95" s="260">
        <v>426.14025937513236</v>
      </c>
      <c r="L95" s="16">
        <f t="shared" si="12"/>
        <v>76</v>
      </c>
      <c r="M95" s="230">
        <f t="shared" si="13"/>
        <v>68</v>
      </c>
      <c r="N95" s="159">
        <f t="shared" si="14"/>
        <v>94</v>
      </c>
      <c r="O95" s="159">
        <f t="shared" si="15"/>
        <v>89</v>
      </c>
      <c r="P95" s="15">
        <v>0</v>
      </c>
      <c r="Q95" s="15">
        <v>0.25</v>
      </c>
      <c r="R95">
        <v>66</v>
      </c>
      <c r="S95" t="e" vm="1">
        <f t="shared" si="16"/>
        <v>#VALUE!</v>
      </c>
      <c r="T95" s="14" t="e" vm="1">
        <f>Table235[[#This Row],[BDG]]/Table235[[#This Row],[Odds]]</f>
        <v>#VALUE!</v>
      </c>
      <c r="U95" s="14" t="e" cm="1" vm="2">
        <f t="array" ref="U95">MAX(_xlfn._xlws.FILTER(Table22[[B365]:[BFAIREXC]], Table22[PLAYER] = A95))</f>
        <v>#VALUE!</v>
      </c>
      <c r="AD95" t="s">
        <v>55</v>
      </c>
      <c r="AE95">
        <v>72.44</v>
      </c>
      <c r="AF95">
        <f t="shared" si="17"/>
        <v>3.5323411729078371</v>
      </c>
    </row>
    <row r="96" spans="1:32">
      <c r="A96" s="159" t="s">
        <v>32</v>
      </c>
      <c r="B96">
        <v>20</v>
      </c>
      <c r="C96">
        <v>166</v>
      </c>
      <c r="D96">
        <v>135</v>
      </c>
      <c r="E96">
        <v>109</v>
      </c>
      <c r="F96">
        <v>83</v>
      </c>
      <c r="G96">
        <v>131</v>
      </c>
      <c r="H96">
        <v>252.3</v>
      </c>
      <c r="I96" s="14">
        <v>454.79043101851738</v>
      </c>
      <c r="J96" s="259">
        <v>266.39781403649522</v>
      </c>
      <c r="K96" s="260">
        <v>444.21377807128289</v>
      </c>
      <c r="L96" s="16">
        <f t="shared" si="12"/>
        <v>84</v>
      </c>
      <c r="M96" s="230">
        <f t="shared" si="13"/>
        <v>106</v>
      </c>
      <c r="N96" s="159">
        <f t="shared" si="14"/>
        <v>95</v>
      </c>
      <c r="O96" s="159">
        <f t="shared" si="15"/>
        <v>99</v>
      </c>
      <c r="P96" s="15">
        <v>0</v>
      </c>
      <c r="Q96" s="15">
        <v>0</v>
      </c>
      <c r="R96">
        <v>20</v>
      </c>
      <c r="S96" t="e" vm="1">
        <f t="shared" si="16"/>
        <v>#VALUE!</v>
      </c>
      <c r="T96" s="14">
        <f>Table235[[#This Row],[BDG]]/Table235[[#This Row],[Odds]]</f>
        <v>40.984279082537725</v>
      </c>
      <c r="U96" s="14" cm="1">
        <f t="array" ref="U96">MAX(_xlfn._xlws.FILTER(Table22[[B365]:[BFAIREXC]], Table22[PLAYER] = A96))</f>
        <v>6.5</v>
      </c>
      <c r="AD96" t="s">
        <v>144</v>
      </c>
      <c r="AE96">
        <v>72.5</v>
      </c>
      <c r="AF96">
        <f t="shared" si="17"/>
        <v>3.5470464039198855</v>
      </c>
    </row>
    <row r="97" spans="1:32">
      <c r="A97" s="159" t="s">
        <v>137</v>
      </c>
      <c r="B97">
        <v>152</v>
      </c>
      <c r="C97">
        <v>34</v>
      </c>
      <c r="D97">
        <v>7</v>
      </c>
      <c r="E97">
        <v>110</v>
      </c>
      <c r="F97">
        <v>178</v>
      </c>
      <c r="G97">
        <v>104</v>
      </c>
      <c r="H97">
        <v>250.3</v>
      </c>
      <c r="I97" s="14">
        <v>388.30568392001402</v>
      </c>
      <c r="J97" s="259">
        <v>266.89818105428873</v>
      </c>
      <c r="K97" s="260">
        <v>422.22352150178278</v>
      </c>
      <c r="L97" s="16">
        <f t="shared" si="12"/>
        <v>82</v>
      </c>
      <c r="M97" s="230">
        <f t="shared" si="13"/>
        <v>70</v>
      </c>
      <c r="N97" s="159">
        <f t="shared" si="14"/>
        <v>96</v>
      </c>
      <c r="O97" s="159">
        <f t="shared" si="15"/>
        <v>86</v>
      </c>
      <c r="P97" s="15">
        <v>0</v>
      </c>
      <c r="Q97" s="15">
        <v>0</v>
      </c>
      <c r="R97">
        <v>38</v>
      </c>
      <c r="S97" t="e" vm="1">
        <f t="shared" si="16"/>
        <v>#VALUE!</v>
      </c>
      <c r="T97" s="14">
        <f>Table235[[#This Row],[BDG]]/Table235[[#This Row],[Odds]]</f>
        <v>38.793340269518708</v>
      </c>
      <c r="U97" s="14" cm="1">
        <f t="array" ref="U97">MAX(_xlfn._xlws.FILTER(Table22[[B365]:[BFAIREXC]], Table22[PLAYER] = A97))</f>
        <v>6.88</v>
      </c>
      <c r="AD97" t="s">
        <v>37</v>
      </c>
      <c r="AE97">
        <v>72.75</v>
      </c>
      <c r="AF97">
        <f t="shared" si="17"/>
        <v>4.3481534503170005</v>
      </c>
    </row>
    <row r="98" spans="1:32">
      <c r="A98" s="159" t="s">
        <v>36</v>
      </c>
      <c r="B98">
        <v>75</v>
      </c>
      <c r="C98">
        <v>136</v>
      </c>
      <c r="D98">
        <v>143</v>
      </c>
      <c r="E98">
        <v>174</v>
      </c>
      <c r="F98">
        <v>78</v>
      </c>
      <c r="G98">
        <v>146</v>
      </c>
      <c r="H98">
        <v>311.89999999999998</v>
      </c>
      <c r="I98" s="14">
        <v>534.926905126007</v>
      </c>
      <c r="J98" s="259">
        <v>268.8085684167504</v>
      </c>
      <c r="K98" s="260">
        <v>456.96403943985695</v>
      </c>
      <c r="L98" s="16">
        <f t="shared" ref="L98:L129" si="18">RANK(H98,$H$2:$H$147,1)</f>
        <v>121</v>
      </c>
      <c r="M98" s="230">
        <f t="shared" ref="M98:M129" si="19">RANK(I98,$I$2:$I$147,1)</f>
        <v>121</v>
      </c>
      <c r="N98" s="159">
        <f t="shared" ref="N98:N129" si="20">RANK(J98,$J$2:$J$147,1)</f>
        <v>97</v>
      </c>
      <c r="O98" s="159">
        <f t="shared" ref="O98:O129" si="21">RANK(K98,$K$2:$K$147,1)</f>
        <v>105</v>
      </c>
      <c r="P98" s="15">
        <v>0</v>
      </c>
      <c r="Q98" s="15">
        <v>0</v>
      </c>
      <c r="R98">
        <v>-25</v>
      </c>
      <c r="S98" t="e" vm="1">
        <f t="shared" ref="S98:S129" si="22">RANK(U98,$U$2:$U$147,0)</f>
        <v>#VALUE!</v>
      </c>
      <c r="T98" s="14">
        <f>Table235[[#This Row],[BDG]]/Table235[[#This Row],[Odds]]</f>
        <v>42.735861433505626</v>
      </c>
      <c r="U98" s="14" cm="1">
        <f t="array" ref="U98">MAX(_xlfn._xlws.FILTER(Table22[[B365]:[BFAIREXC]], Table22[PLAYER] = A98))</f>
        <v>6.29</v>
      </c>
      <c r="AD98" t="s">
        <v>490</v>
      </c>
      <c r="AE98">
        <v>72.86</v>
      </c>
      <c r="AF98">
        <f t="shared" si="17"/>
        <v>3.8910238814164151</v>
      </c>
    </row>
    <row r="99" spans="1:32">
      <c r="A99" s="159" t="s">
        <v>48</v>
      </c>
      <c r="B99">
        <v>6</v>
      </c>
      <c r="C99">
        <v>83</v>
      </c>
      <c r="D99">
        <v>126</v>
      </c>
      <c r="E99">
        <v>15</v>
      </c>
      <c r="F99">
        <v>168</v>
      </c>
      <c r="G99">
        <v>98</v>
      </c>
      <c r="H99">
        <v>208.2</v>
      </c>
      <c r="I99" s="14">
        <v>349.95357125688435</v>
      </c>
      <c r="J99" s="259">
        <v>269.11319649730962</v>
      </c>
      <c r="K99" s="260">
        <v>457.69492184047459</v>
      </c>
      <c r="L99" s="16">
        <f t="shared" si="18"/>
        <v>34</v>
      </c>
      <c r="M99" s="230">
        <f t="shared" si="19"/>
        <v>57</v>
      </c>
      <c r="N99" s="159">
        <f t="shared" si="20"/>
        <v>98</v>
      </c>
      <c r="O99" s="159">
        <f t="shared" si="21"/>
        <v>107</v>
      </c>
      <c r="P99" s="15">
        <v>0</v>
      </c>
      <c r="Q99" s="15">
        <v>0.22222222222222221</v>
      </c>
      <c r="R99">
        <v>-35</v>
      </c>
      <c r="S99" t="e" vm="1">
        <f t="shared" si="22"/>
        <v>#VALUE!</v>
      </c>
      <c r="T99" s="14">
        <f>Table235[[#This Row],[BDG]]/Table235[[#This Row],[Odds]]</f>
        <v>33.388734056738166</v>
      </c>
      <c r="U99" s="14" cm="1">
        <f t="array" ref="U99">MAX(_xlfn._xlws.FILTER(Table22[[B365]:[BFAIREXC]], Table22[PLAYER] = A99))</f>
        <v>8.06</v>
      </c>
      <c r="AD99" t="s">
        <v>112</v>
      </c>
      <c r="AE99">
        <v>73.13</v>
      </c>
      <c r="AF99">
        <f t="shared" si="17"/>
        <v>3.5010574007081954</v>
      </c>
    </row>
    <row r="100" spans="1:32">
      <c r="A100" s="159" t="s">
        <v>53</v>
      </c>
      <c r="B100">
        <v>56</v>
      </c>
      <c r="C100">
        <v>174</v>
      </c>
      <c r="D100">
        <v>131</v>
      </c>
      <c r="E100">
        <v>76</v>
      </c>
      <c r="F100">
        <v>109</v>
      </c>
      <c r="G100">
        <v>155</v>
      </c>
      <c r="H100">
        <v>270</v>
      </c>
      <c r="I100" s="14">
        <v>496.12323788660456</v>
      </c>
      <c r="J100" s="259">
        <v>270</v>
      </c>
      <c r="K100" s="260">
        <v>496.12323788660456</v>
      </c>
      <c r="L100" s="16">
        <f t="shared" si="18"/>
        <v>101</v>
      </c>
      <c r="M100" s="230">
        <f t="shared" si="19"/>
        <v>110</v>
      </c>
      <c r="N100" s="159">
        <f t="shared" si="20"/>
        <v>99</v>
      </c>
      <c r="O100" s="159">
        <f t="shared" si="21"/>
        <v>118</v>
      </c>
      <c r="P100" s="15">
        <v>0</v>
      </c>
      <c r="Q100" s="15">
        <v>0</v>
      </c>
      <c r="R100" t="e">
        <v>#N/A</v>
      </c>
      <c r="S100" t="e" vm="1">
        <f t="shared" si="22"/>
        <v>#VALUE!</v>
      </c>
      <c r="T100" s="14" t="e" vm="1">
        <f>Table235[[#This Row],[BDG]]/Table235[[#This Row],[Odds]]</f>
        <v>#VALUE!</v>
      </c>
      <c r="U100" s="14" t="e" cm="1" vm="2">
        <f t="array" ref="U100">MAX(_xlfn._xlws.FILTER(Table22[[B365]:[BFAIREXC]], Table22[PLAYER] = A100))</f>
        <v>#VALUE!</v>
      </c>
      <c r="AD100" t="s">
        <v>247</v>
      </c>
      <c r="AE100">
        <v>73.13</v>
      </c>
      <c r="AF100">
        <f t="shared" si="17"/>
        <v>5.8279775741829623</v>
      </c>
    </row>
    <row r="101" spans="1:32">
      <c r="A101" s="159" t="s">
        <v>167</v>
      </c>
      <c r="B101">
        <v>168</v>
      </c>
      <c r="C101">
        <v>14</v>
      </c>
      <c r="D101">
        <v>178</v>
      </c>
      <c r="E101">
        <v>39</v>
      </c>
      <c r="F101">
        <v>43</v>
      </c>
      <c r="G101">
        <v>117</v>
      </c>
      <c r="H101">
        <v>270.60000000000002</v>
      </c>
      <c r="I101" s="14">
        <v>432.87641650510358</v>
      </c>
      <c r="J101" s="259">
        <v>270.60000000000002</v>
      </c>
      <c r="K101" s="260">
        <v>432.87641650510358</v>
      </c>
      <c r="L101" s="16">
        <f t="shared" si="18"/>
        <v>102</v>
      </c>
      <c r="M101" s="230">
        <f t="shared" si="19"/>
        <v>88</v>
      </c>
      <c r="N101" s="159">
        <f t="shared" si="20"/>
        <v>100</v>
      </c>
      <c r="O101" s="159">
        <f t="shared" si="21"/>
        <v>93</v>
      </c>
      <c r="P101" s="15">
        <v>0</v>
      </c>
      <c r="Q101" s="15">
        <v>0</v>
      </c>
      <c r="R101" t="e">
        <v>#N/A</v>
      </c>
      <c r="S101" t="e" vm="1">
        <f t="shared" si="22"/>
        <v>#VALUE!</v>
      </c>
      <c r="T101" s="14">
        <f>Table235[[#This Row],[BDG]]/Table235[[#This Row],[Odds]]</f>
        <v>12.3</v>
      </c>
      <c r="U101" s="14" cm="1">
        <f t="array" ref="U101">MAX(_xlfn._xlws.FILTER(Table22[[B365]:[BFAIREXC]], Table22[PLAYER] = A101))</f>
        <v>22</v>
      </c>
    </row>
    <row r="102" spans="1:32">
      <c r="A102" s="159" t="s">
        <v>563</v>
      </c>
      <c r="B102">
        <v>128</v>
      </c>
      <c r="C102">
        <v>63</v>
      </c>
      <c r="D102">
        <v>53</v>
      </c>
      <c r="E102">
        <v>168</v>
      </c>
      <c r="F102">
        <v>108</v>
      </c>
      <c r="G102">
        <v>114</v>
      </c>
      <c r="H102">
        <v>270.79999999999995</v>
      </c>
      <c r="I102" s="14">
        <v>435.61999272732857</v>
      </c>
      <c r="J102" s="259">
        <v>270.79999999999995</v>
      </c>
      <c r="K102" s="260">
        <v>435.61999272732857</v>
      </c>
      <c r="L102" s="16">
        <f t="shared" si="18"/>
        <v>103</v>
      </c>
      <c r="M102" s="230">
        <f t="shared" si="19"/>
        <v>91</v>
      </c>
      <c r="N102" s="159">
        <f t="shared" si="20"/>
        <v>101</v>
      </c>
      <c r="O102" s="159">
        <f t="shared" si="21"/>
        <v>94</v>
      </c>
      <c r="P102" s="15">
        <v>0</v>
      </c>
      <c r="Q102" s="15">
        <v>0</v>
      </c>
      <c r="R102">
        <v>-31</v>
      </c>
      <c r="S102" t="e" vm="1">
        <f t="shared" si="22"/>
        <v>#VALUE!</v>
      </c>
      <c r="T102" s="14">
        <f>Table235[[#This Row],[BDG]]/Table235[[#This Row],[Odds]]</f>
        <v>12.895238095238094</v>
      </c>
      <c r="U102" s="14" cm="1">
        <f t="array" ref="U102">MAX(_xlfn._xlws.FILTER(Table22[[B365]:[BFAIREXC]], Table22[PLAYER] = A102))</f>
        <v>21</v>
      </c>
    </row>
    <row r="103" spans="1:32">
      <c r="A103" s="159" t="s">
        <v>136</v>
      </c>
      <c r="B103">
        <v>131</v>
      </c>
      <c r="C103">
        <v>18</v>
      </c>
      <c r="D103">
        <v>51</v>
      </c>
      <c r="E103">
        <v>158</v>
      </c>
      <c r="F103">
        <v>112</v>
      </c>
      <c r="G103">
        <v>99</v>
      </c>
      <c r="H103">
        <v>254.7</v>
      </c>
      <c r="I103" s="14">
        <v>394.12530335559518</v>
      </c>
      <c r="J103" s="259">
        <v>271.24498175603782</v>
      </c>
      <c r="K103" s="260">
        <v>429.08802342355364</v>
      </c>
      <c r="L103" s="16">
        <f t="shared" si="18"/>
        <v>87</v>
      </c>
      <c r="M103" s="230">
        <f t="shared" si="19"/>
        <v>73</v>
      </c>
      <c r="N103" s="159">
        <f t="shared" si="20"/>
        <v>102</v>
      </c>
      <c r="O103" s="159">
        <f t="shared" si="21"/>
        <v>91</v>
      </c>
      <c r="P103" s="15">
        <v>0</v>
      </c>
      <c r="Q103" s="15">
        <v>0.1111111111111111</v>
      </c>
      <c r="R103">
        <v>-51</v>
      </c>
      <c r="S103" t="e" vm="1">
        <f t="shared" si="22"/>
        <v>#VALUE!</v>
      </c>
      <c r="T103" s="14">
        <f>Table235[[#This Row],[BDG]]/Table235[[#This Row],[Odds]]</f>
        <v>24.003980686375026</v>
      </c>
      <c r="U103" s="14" cm="1">
        <f t="array" ref="U103">MAX(_xlfn._xlws.FILTER(Table22[[B365]:[BFAIREXC]], Table22[PLAYER] = A103))</f>
        <v>11.3</v>
      </c>
    </row>
    <row r="104" spans="1:32">
      <c r="A104" s="159" t="s">
        <v>102</v>
      </c>
      <c r="B104">
        <v>112</v>
      </c>
      <c r="C104">
        <v>61</v>
      </c>
      <c r="D104">
        <v>120</v>
      </c>
      <c r="E104">
        <v>44</v>
      </c>
      <c r="F104">
        <v>159</v>
      </c>
      <c r="G104">
        <v>117</v>
      </c>
      <c r="H104">
        <v>271</v>
      </c>
      <c r="I104" s="14">
        <v>434.86605949928514</v>
      </c>
      <c r="J104" s="259">
        <v>271.48050979065351</v>
      </c>
      <c r="K104" s="260">
        <v>455.31032603892476</v>
      </c>
      <c r="L104" s="16">
        <f t="shared" si="18"/>
        <v>104</v>
      </c>
      <c r="M104" s="230">
        <f t="shared" si="19"/>
        <v>90</v>
      </c>
      <c r="N104" s="159">
        <f t="shared" si="20"/>
        <v>103</v>
      </c>
      <c r="O104" s="159">
        <f t="shared" si="21"/>
        <v>103</v>
      </c>
      <c r="P104" s="15">
        <v>0</v>
      </c>
      <c r="Q104" s="15">
        <v>0</v>
      </c>
      <c r="R104">
        <v>14</v>
      </c>
      <c r="S104" t="e" vm="1">
        <f t="shared" si="22"/>
        <v>#VALUE!</v>
      </c>
      <c r="T104" s="14" t="e" vm="1">
        <f>Table235[[#This Row],[BDG]]/Table235[[#This Row],[Odds]]</f>
        <v>#VALUE!</v>
      </c>
      <c r="U104" s="14" t="e" cm="1" vm="2">
        <f t="array" ref="U104">MAX(_xlfn._xlws.FILTER(Table22[[B365]:[BFAIREXC]], Table22[PLAYER] = A104))</f>
        <v>#VALUE!</v>
      </c>
    </row>
    <row r="105" spans="1:32">
      <c r="A105" s="159" t="s">
        <v>151</v>
      </c>
      <c r="B105">
        <v>149</v>
      </c>
      <c r="C105">
        <v>119</v>
      </c>
      <c r="D105">
        <v>20</v>
      </c>
      <c r="E105">
        <v>165</v>
      </c>
      <c r="F105">
        <v>95</v>
      </c>
      <c r="G105">
        <v>105</v>
      </c>
      <c r="H105">
        <v>269.10000000000002</v>
      </c>
      <c r="I105" s="14">
        <v>431.42925280703923</v>
      </c>
      <c r="J105" s="259">
        <v>271.51627780442914</v>
      </c>
      <c r="K105" s="260">
        <v>427.00123579362355</v>
      </c>
      <c r="L105" s="16">
        <f t="shared" si="18"/>
        <v>100</v>
      </c>
      <c r="M105" s="230">
        <f t="shared" si="19"/>
        <v>87</v>
      </c>
      <c r="N105" s="159">
        <f t="shared" si="20"/>
        <v>104</v>
      </c>
      <c r="O105" s="159">
        <f t="shared" si="21"/>
        <v>90</v>
      </c>
      <c r="P105" s="15">
        <v>0</v>
      </c>
      <c r="Q105" s="15">
        <v>0</v>
      </c>
      <c r="R105">
        <v>17</v>
      </c>
      <c r="S105" t="e" vm="1">
        <f t="shared" si="22"/>
        <v>#VALUE!</v>
      </c>
      <c r="T105" s="14">
        <f>Table235[[#This Row],[BDG]]/Table235[[#This Row],[Odds]]</f>
        <v>52.114448714861638</v>
      </c>
      <c r="U105" s="14" cm="1">
        <f t="array" ref="U105">MAX(_xlfn._xlws.FILTER(Table22[[B365]:[BFAIREXC]], Table22[PLAYER] = A105))</f>
        <v>5.21</v>
      </c>
    </row>
    <row r="106" spans="1:32">
      <c r="A106" s="159" t="s">
        <v>558</v>
      </c>
      <c r="B106">
        <v>40</v>
      </c>
      <c r="C106">
        <v>94</v>
      </c>
      <c r="D106">
        <v>109</v>
      </c>
      <c r="E106">
        <v>164</v>
      </c>
      <c r="F106">
        <v>127</v>
      </c>
      <c r="G106">
        <v>113</v>
      </c>
      <c r="H106">
        <v>274</v>
      </c>
      <c r="I106" s="14">
        <v>448.60168746452763</v>
      </c>
      <c r="J106" s="259">
        <v>274</v>
      </c>
      <c r="K106" s="260">
        <v>448.60168746452763</v>
      </c>
      <c r="L106" s="16">
        <f t="shared" si="18"/>
        <v>108</v>
      </c>
      <c r="M106" s="230">
        <f t="shared" si="19"/>
        <v>104</v>
      </c>
      <c r="N106" s="159">
        <f t="shared" si="20"/>
        <v>105</v>
      </c>
      <c r="O106" s="159">
        <f t="shared" si="21"/>
        <v>102</v>
      </c>
      <c r="P106" s="15">
        <v>0</v>
      </c>
      <c r="Q106" s="15">
        <v>0</v>
      </c>
      <c r="R106">
        <v>-97</v>
      </c>
      <c r="S106" t="e" vm="1">
        <f t="shared" si="22"/>
        <v>#VALUE!</v>
      </c>
      <c r="T106" s="14">
        <f>Table235[[#This Row],[BDG]]/Table235[[#This Row],[Odds]]</f>
        <v>17.452229299363058</v>
      </c>
      <c r="U106" s="14" cm="1">
        <f t="array" ref="U106">MAX(_xlfn._xlws.FILTER(Table22[[B365]:[BFAIREXC]], Table22[PLAYER] = A106))</f>
        <v>15.7</v>
      </c>
    </row>
    <row r="107" spans="1:32">
      <c r="A107" s="159" t="s">
        <v>133</v>
      </c>
      <c r="B107">
        <v>114</v>
      </c>
      <c r="C107">
        <v>57</v>
      </c>
      <c r="D107">
        <v>122</v>
      </c>
      <c r="E107">
        <v>101</v>
      </c>
      <c r="F107">
        <v>74</v>
      </c>
      <c r="G107">
        <v>133</v>
      </c>
      <c r="H107">
        <v>258.39999999999998</v>
      </c>
      <c r="I107" s="14">
        <v>442.18224411389627</v>
      </c>
      <c r="J107" s="259">
        <v>274.41298877352858</v>
      </c>
      <c r="K107" s="260">
        <v>440.22206552638465</v>
      </c>
      <c r="L107" s="16">
        <f t="shared" si="18"/>
        <v>92</v>
      </c>
      <c r="M107" s="230">
        <f t="shared" si="19"/>
        <v>97</v>
      </c>
      <c r="N107" s="159">
        <f t="shared" si="20"/>
        <v>106</v>
      </c>
      <c r="O107" s="159">
        <f t="shared" si="21"/>
        <v>97</v>
      </c>
      <c r="P107" s="15">
        <v>0</v>
      </c>
      <c r="Q107" s="15">
        <v>0</v>
      </c>
      <c r="R107">
        <v>-94</v>
      </c>
      <c r="S107" t="e" vm="1">
        <f t="shared" si="22"/>
        <v>#VALUE!</v>
      </c>
      <c r="T107" s="14">
        <f>Table235[[#This Row],[BDG]]/Table235[[#This Row],[Odds]]</f>
        <v>22.309999087278744</v>
      </c>
      <c r="U107" s="14" cm="1">
        <f t="array" ref="U107">MAX(_xlfn._xlws.FILTER(Table22[[B365]:[BFAIREXC]], Table22[PLAYER] = A107))</f>
        <v>12.3</v>
      </c>
    </row>
    <row r="108" spans="1:32">
      <c r="A108" s="159" t="s">
        <v>796</v>
      </c>
      <c r="B108">
        <v>158</v>
      </c>
      <c r="C108">
        <v>20</v>
      </c>
      <c r="D108">
        <v>43</v>
      </c>
      <c r="E108">
        <v>171</v>
      </c>
      <c r="F108">
        <v>120</v>
      </c>
      <c r="G108">
        <v>38</v>
      </c>
      <c r="H108">
        <v>276.39999999999998</v>
      </c>
      <c r="I108" s="14">
        <v>357.1156809061917</v>
      </c>
      <c r="J108" s="259">
        <v>276.39999999999998</v>
      </c>
      <c r="K108" s="260">
        <v>357.1156809061917</v>
      </c>
      <c r="L108" s="16">
        <f t="shared" si="18"/>
        <v>109</v>
      </c>
      <c r="M108" s="230">
        <f t="shared" si="19"/>
        <v>59</v>
      </c>
      <c r="N108" s="159">
        <f t="shared" si="20"/>
        <v>107</v>
      </c>
      <c r="O108" s="159">
        <f t="shared" si="21"/>
        <v>61</v>
      </c>
      <c r="P108" s="15" t="e">
        <v>#N/A</v>
      </c>
      <c r="Q108" s="15" t="e">
        <v>#N/A</v>
      </c>
      <c r="R108" t="e">
        <v>#N/A</v>
      </c>
      <c r="S108" t="e" vm="1">
        <f t="shared" si="22"/>
        <v>#VALUE!</v>
      </c>
      <c r="T108" s="14" t="e" vm="1">
        <f>Table235[[#This Row],[BDG]]/Table235[[#This Row],[Odds]]</f>
        <v>#VALUE!</v>
      </c>
      <c r="U108" s="14" t="e" cm="1" vm="2">
        <f t="array" ref="U108">MAX(_xlfn._xlws.FILTER(Table22[[B365]:[BFAIREXC]], Table22[PLAYER] = A108))</f>
        <v>#VALUE!</v>
      </c>
    </row>
    <row r="109" spans="1:32">
      <c r="A109" s="159" t="s">
        <v>8</v>
      </c>
      <c r="B109">
        <v>1</v>
      </c>
      <c r="C109">
        <v>126</v>
      </c>
      <c r="D109">
        <v>178</v>
      </c>
      <c r="E109">
        <v>169</v>
      </c>
      <c r="F109">
        <v>16</v>
      </c>
      <c r="G109">
        <v>82</v>
      </c>
      <c r="H109">
        <v>255.5</v>
      </c>
      <c r="I109" s="14">
        <v>411.87330707180388</v>
      </c>
      <c r="J109" s="259">
        <v>276.40732421261367</v>
      </c>
      <c r="K109" s="260">
        <v>470.61656448845633</v>
      </c>
      <c r="L109" s="16">
        <f t="shared" si="18"/>
        <v>89</v>
      </c>
      <c r="M109" s="230">
        <f t="shared" si="19"/>
        <v>80</v>
      </c>
      <c r="N109" s="159">
        <f t="shared" si="20"/>
        <v>108</v>
      </c>
      <c r="O109" s="159">
        <f t="shared" si="21"/>
        <v>113</v>
      </c>
      <c r="P109" s="15">
        <v>0</v>
      </c>
      <c r="Q109" s="15">
        <v>0</v>
      </c>
      <c r="R109">
        <v>16</v>
      </c>
      <c r="S109" t="e" vm="1">
        <f t="shared" si="22"/>
        <v>#VALUE!</v>
      </c>
      <c r="T109" s="14" t="e" vm="1">
        <f>Table235[[#This Row],[BDG]]/Table235[[#This Row],[Odds]]</f>
        <v>#VALUE!</v>
      </c>
      <c r="U109" s="14" t="e" cm="1" vm="2">
        <f t="array" ref="U109">MAX(_xlfn._xlws.FILTER(Table22[[B365]:[BFAIREXC]], Table22[PLAYER] = A109))</f>
        <v>#VALUE!</v>
      </c>
    </row>
    <row r="110" spans="1:32">
      <c r="A110" s="159" t="s">
        <v>13</v>
      </c>
      <c r="B110">
        <v>7</v>
      </c>
      <c r="C110">
        <v>118</v>
      </c>
      <c r="D110">
        <v>151</v>
      </c>
      <c r="E110">
        <v>155</v>
      </c>
      <c r="F110">
        <v>182</v>
      </c>
      <c r="G110">
        <v>177</v>
      </c>
      <c r="H110">
        <v>313.79999999999995</v>
      </c>
      <c r="I110" s="14">
        <v>562.77843738178592</v>
      </c>
      <c r="J110" s="259">
        <v>277.11650969639413</v>
      </c>
      <c r="K110" s="260">
        <v>466.17445135590117</v>
      </c>
      <c r="L110" s="16">
        <f t="shared" si="18"/>
        <v>124</v>
      </c>
      <c r="M110" s="230">
        <f t="shared" si="19"/>
        <v>129</v>
      </c>
      <c r="N110" s="159">
        <f t="shared" si="20"/>
        <v>109</v>
      </c>
      <c r="O110" s="159">
        <f t="shared" si="21"/>
        <v>109</v>
      </c>
      <c r="P110" s="15">
        <v>0</v>
      </c>
      <c r="Q110" s="15">
        <v>0</v>
      </c>
      <c r="R110">
        <v>2</v>
      </c>
      <c r="S110" t="e" vm="1">
        <f t="shared" si="22"/>
        <v>#VALUE!</v>
      </c>
      <c r="T110" s="14" t="e" vm="1">
        <f>Table235[[#This Row],[BDG]]/Table235[[#This Row],[Odds]]</f>
        <v>#VALUE!</v>
      </c>
      <c r="U110" s="14" t="e" cm="1" vm="2">
        <f t="array" ref="U110">MAX(_xlfn._xlws.FILTER(Table22[[B365]:[BFAIREXC]], Table22[PLAYER] = A110))</f>
        <v>#VALUE!</v>
      </c>
    </row>
    <row r="111" spans="1:32">
      <c r="A111" s="159" t="s">
        <v>123</v>
      </c>
      <c r="B111">
        <v>140</v>
      </c>
      <c r="C111">
        <v>102</v>
      </c>
      <c r="D111">
        <v>89</v>
      </c>
      <c r="E111">
        <v>102</v>
      </c>
      <c r="F111">
        <v>177</v>
      </c>
      <c r="G111">
        <v>149</v>
      </c>
      <c r="H111">
        <v>316.39999999999998</v>
      </c>
      <c r="I111" s="14">
        <v>524.57677993962602</v>
      </c>
      <c r="J111" s="259">
        <v>277.77730946982814</v>
      </c>
      <c r="K111" s="260">
        <v>446.80784650394384</v>
      </c>
      <c r="L111" s="16">
        <f t="shared" si="18"/>
        <v>125</v>
      </c>
      <c r="M111" s="230">
        <f t="shared" si="19"/>
        <v>116</v>
      </c>
      <c r="N111" s="159">
        <f t="shared" si="20"/>
        <v>110</v>
      </c>
      <c r="O111" s="159">
        <f t="shared" si="21"/>
        <v>101</v>
      </c>
      <c r="P111" s="15">
        <v>0</v>
      </c>
      <c r="Q111" s="15">
        <v>0</v>
      </c>
      <c r="R111" t="e">
        <v>#N/A</v>
      </c>
      <c r="S111" t="e" vm="1">
        <f t="shared" si="22"/>
        <v>#VALUE!</v>
      </c>
      <c r="T111" s="14" t="e" vm="1">
        <f>Table235[[#This Row],[BDG]]/Table235[[#This Row],[Odds]]</f>
        <v>#VALUE!</v>
      </c>
      <c r="U111" s="14" t="e" cm="1" vm="2">
        <f t="array" ref="U111">MAX(_xlfn._xlws.FILTER(Table22[[B365]:[BFAIREXC]], Table22[PLAYER] = A111))</f>
        <v>#VALUE!</v>
      </c>
    </row>
    <row r="112" spans="1:32">
      <c r="A112" s="159" t="s">
        <v>79</v>
      </c>
      <c r="B112">
        <v>66</v>
      </c>
      <c r="C112">
        <v>128</v>
      </c>
      <c r="D112">
        <v>104</v>
      </c>
      <c r="E112">
        <v>166</v>
      </c>
      <c r="F112">
        <v>181</v>
      </c>
      <c r="G112">
        <v>176</v>
      </c>
      <c r="H112">
        <v>324.3</v>
      </c>
      <c r="I112" s="14">
        <v>571.15781742994909</v>
      </c>
      <c r="J112" s="259">
        <v>278.53144244025219</v>
      </c>
      <c r="K112" s="260">
        <v>457.76375835945169</v>
      </c>
      <c r="L112" s="16">
        <f t="shared" si="18"/>
        <v>128</v>
      </c>
      <c r="M112" s="230">
        <f t="shared" si="19"/>
        <v>132</v>
      </c>
      <c r="N112" s="159">
        <f t="shared" si="20"/>
        <v>111</v>
      </c>
      <c r="O112" s="159">
        <f t="shared" si="21"/>
        <v>108</v>
      </c>
      <c r="P112" s="15">
        <v>0</v>
      </c>
      <c r="Q112" s="15">
        <v>0</v>
      </c>
      <c r="R112">
        <v>-5</v>
      </c>
      <c r="S112" t="e" vm="1">
        <f t="shared" si="22"/>
        <v>#VALUE!</v>
      </c>
      <c r="T112" s="14">
        <f>Table235[[#This Row],[BDG]]/Table235[[#This Row],[Odds]]</f>
        <v>27.041887615558462</v>
      </c>
      <c r="U112" s="14" cm="1">
        <f t="array" ref="U112">MAX(_xlfn._xlws.FILTER(Table22[[B365]:[BFAIREXC]], Table22[PLAYER] = A112))</f>
        <v>10.3</v>
      </c>
    </row>
    <row r="113" spans="1:21">
      <c r="A113" s="159" t="s">
        <v>494</v>
      </c>
      <c r="B113">
        <v>33</v>
      </c>
      <c r="C113">
        <v>125</v>
      </c>
      <c r="D113">
        <v>183</v>
      </c>
      <c r="E113">
        <v>157</v>
      </c>
      <c r="F113">
        <v>31</v>
      </c>
      <c r="G113">
        <v>164</v>
      </c>
      <c r="H113">
        <v>279.39999999999998</v>
      </c>
      <c r="I113" s="14">
        <v>518.976294230348</v>
      </c>
      <c r="J113" s="259">
        <v>279.39999999999998</v>
      </c>
      <c r="K113" s="260">
        <v>518.976294230348</v>
      </c>
      <c r="L113" s="16">
        <f t="shared" si="18"/>
        <v>111</v>
      </c>
      <c r="M113" s="230">
        <f t="shared" si="19"/>
        <v>114</v>
      </c>
      <c r="N113" s="159">
        <f t="shared" si="20"/>
        <v>112</v>
      </c>
      <c r="O113" s="159">
        <f t="shared" si="21"/>
        <v>124</v>
      </c>
      <c r="P113" s="15">
        <v>0</v>
      </c>
      <c r="Q113" s="15">
        <v>0.125</v>
      </c>
      <c r="R113">
        <v>1</v>
      </c>
      <c r="S113" t="e" vm="1">
        <f t="shared" si="22"/>
        <v>#VALUE!</v>
      </c>
      <c r="T113" s="14" t="e" vm="1">
        <f>Table235[[#This Row],[BDG]]/Table235[[#This Row],[Odds]]</f>
        <v>#VALUE!</v>
      </c>
      <c r="U113" s="14" t="e" cm="1" vm="2">
        <f t="array" ref="U113">MAX(_xlfn._xlws.FILTER(Table22[[B365]:[BFAIREXC]], Table22[PLAYER] = A113))</f>
        <v>#VALUE!</v>
      </c>
    </row>
    <row r="114" spans="1:21">
      <c r="A114" s="159" t="s">
        <v>107</v>
      </c>
      <c r="B114">
        <v>63</v>
      </c>
      <c r="C114">
        <v>149</v>
      </c>
      <c r="D114">
        <v>74</v>
      </c>
      <c r="E114">
        <v>61</v>
      </c>
      <c r="F114">
        <v>70</v>
      </c>
      <c r="G114">
        <v>88</v>
      </c>
      <c r="H114">
        <v>199.8</v>
      </c>
      <c r="I114" s="14">
        <v>342.27410787891046</v>
      </c>
      <c r="J114" s="259">
        <v>279.9181431658937</v>
      </c>
      <c r="K114" s="260">
        <v>482.95541387929609</v>
      </c>
      <c r="L114" s="16">
        <f t="shared" si="18"/>
        <v>32</v>
      </c>
      <c r="M114" s="230">
        <f t="shared" si="19"/>
        <v>53</v>
      </c>
      <c r="N114" s="159">
        <f t="shared" si="20"/>
        <v>113</v>
      </c>
      <c r="O114" s="159">
        <f t="shared" si="21"/>
        <v>116</v>
      </c>
      <c r="P114" s="15">
        <v>0</v>
      </c>
      <c r="Q114" s="15">
        <v>0</v>
      </c>
      <c r="R114">
        <v>28</v>
      </c>
      <c r="S114" t="e" vm="1">
        <f t="shared" si="22"/>
        <v>#VALUE!</v>
      </c>
      <c r="T114" s="14">
        <f>Table235[[#This Row],[BDG]]/Table235[[#This Row],[Odds]]</f>
        <v>17.278897726289735</v>
      </c>
      <c r="U114" s="14" cm="1">
        <f t="array" ref="U114">MAX(_xlfn._xlws.FILTER(Table22[[B365]:[BFAIREXC]], Table22[PLAYER] = A114))</f>
        <v>16.2</v>
      </c>
    </row>
    <row r="115" spans="1:21">
      <c r="A115" s="159" t="s">
        <v>80</v>
      </c>
      <c r="B115">
        <v>16</v>
      </c>
      <c r="C115">
        <v>105</v>
      </c>
      <c r="D115">
        <v>118</v>
      </c>
      <c r="E115">
        <v>145</v>
      </c>
      <c r="F115">
        <v>126</v>
      </c>
      <c r="G115">
        <v>139</v>
      </c>
      <c r="H115">
        <v>259.2</v>
      </c>
      <c r="I115" s="14">
        <v>459.9535033628855</v>
      </c>
      <c r="J115" s="259">
        <v>280.61357559919509</v>
      </c>
      <c r="K115" s="260">
        <v>482.09712573394228</v>
      </c>
      <c r="L115" s="16">
        <f t="shared" si="18"/>
        <v>94</v>
      </c>
      <c r="M115" s="230">
        <f t="shared" si="19"/>
        <v>109</v>
      </c>
      <c r="N115" s="159">
        <f t="shared" si="20"/>
        <v>114</v>
      </c>
      <c r="O115" s="159">
        <f t="shared" si="21"/>
        <v>115</v>
      </c>
      <c r="P115" s="15">
        <v>0</v>
      </c>
      <c r="Q115" s="15">
        <v>0</v>
      </c>
      <c r="R115">
        <v>-1</v>
      </c>
      <c r="S115" t="e" vm="1">
        <f t="shared" si="22"/>
        <v>#VALUE!</v>
      </c>
      <c r="T115" s="14">
        <f>Table235[[#This Row],[BDG]]/Table235[[#This Row],[Odds]]</f>
        <v>30.402337551375414</v>
      </c>
      <c r="U115" s="14" cm="1">
        <f t="array" ref="U115">MAX(_xlfn._xlws.FILTER(Table22[[B365]:[BFAIREXC]], Table22[PLAYER] = A115))</f>
        <v>9.23</v>
      </c>
    </row>
    <row r="116" spans="1:21">
      <c r="A116" s="159" t="s">
        <v>393</v>
      </c>
      <c r="B116">
        <v>155</v>
      </c>
      <c r="C116">
        <v>52</v>
      </c>
      <c r="D116">
        <v>92</v>
      </c>
      <c r="E116">
        <v>1</v>
      </c>
      <c r="F116">
        <v>92</v>
      </c>
      <c r="G116">
        <v>84</v>
      </c>
      <c r="H116">
        <v>219.5</v>
      </c>
      <c r="I116" s="14">
        <v>339.19562834930292</v>
      </c>
      <c r="J116" s="259">
        <v>282.51542683141872</v>
      </c>
      <c r="K116" s="260">
        <v>468.14943479684888</v>
      </c>
      <c r="L116" s="16">
        <f t="shared" si="18"/>
        <v>51</v>
      </c>
      <c r="M116" s="230">
        <f t="shared" si="19"/>
        <v>52</v>
      </c>
      <c r="N116" s="159">
        <f t="shared" si="20"/>
        <v>115</v>
      </c>
      <c r="O116" s="159">
        <f t="shared" si="21"/>
        <v>111</v>
      </c>
      <c r="P116" s="15">
        <v>0</v>
      </c>
      <c r="Q116" s="15">
        <v>0</v>
      </c>
      <c r="R116">
        <v>61</v>
      </c>
      <c r="S116" t="e" vm="1">
        <f t="shared" si="22"/>
        <v>#VALUE!</v>
      </c>
      <c r="T116" s="14">
        <f>Table235[[#This Row],[BDG]]/Table235[[#This Row],[Odds]]</f>
        <v>15.961323549797669</v>
      </c>
      <c r="U116" s="14" cm="1">
        <f t="array" ref="U116">MAX(_xlfn._xlws.FILTER(Table22[[B365]:[BFAIREXC]], Table22[PLAYER] = A116))</f>
        <v>17.7</v>
      </c>
    </row>
    <row r="117" spans="1:21">
      <c r="A117" s="159" t="s">
        <v>490</v>
      </c>
      <c r="B117">
        <v>21</v>
      </c>
      <c r="C117">
        <v>159</v>
      </c>
      <c r="D117">
        <v>176</v>
      </c>
      <c r="E117">
        <v>173</v>
      </c>
      <c r="F117">
        <v>27</v>
      </c>
      <c r="G117">
        <v>171</v>
      </c>
      <c r="H117">
        <v>283.5</v>
      </c>
      <c r="I117" s="14">
        <v>537.07731644684122</v>
      </c>
      <c r="J117" s="259">
        <v>283.5</v>
      </c>
      <c r="K117" s="260">
        <v>537.07731644684122</v>
      </c>
      <c r="L117" s="16">
        <f t="shared" si="18"/>
        <v>112</v>
      </c>
      <c r="M117" s="230">
        <f t="shared" si="19"/>
        <v>122</v>
      </c>
      <c r="N117" s="159">
        <f t="shared" si="20"/>
        <v>116</v>
      </c>
      <c r="O117" s="159">
        <f t="shared" si="21"/>
        <v>129</v>
      </c>
      <c r="P117" s="15">
        <v>0</v>
      </c>
      <c r="Q117" s="15">
        <v>0</v>
      </c>
      <c r="R117">
        <v>9</v>
      </c>
      <c r="S117" t="e" vm="1">
        <f t="shared" si="22"/>
        <v>#VALUE!</v>
      </c>
      <c r="T117" s="14">
        <f>Table235[[#This Row],[BDG]]/Table235[[#This Row],[Odds]]</f>
        <v>14.464285714285714</v>
      </c>
      <c r="U117" s="14" cm="1">
        <f t="array" ref="U117">MAX(_xlfn._xlws.FILTER(Table22[[B365]:[BFAIREXC]], Table22[PLAYER] = A117))</f>
        <v>19.600000000000001</v>
      </c>
    </row>
    <row r="118" spans="1:21">
      <c r="A118" s="159" t="s">
        <v>156</v>
      </c>
      <c r="B118">
        <v>158</v>
      </c>
      <c r="C118">
        <v>14</v>
      </c>
      <c r="D118">
        <v>110</v>
      </c>
      <c r="E118">
        <v>48</v>
      </c>
      <c r="F118">
        <v>144</v>
      </c>
      <c r="G118">
        <v>138</v>
      </c>
      <c r="H118">
        <v>272</v>
      </c>
      <c r="I118" s="14">
        <v>448.08293401782612</v>
      </c>
      <c r="J118" s="259">
        <v>284.50183508896748</v>
      </c>
      <c r="K118" s="260">
        <v>466.29131378846614</v>
      </c>
      <c r="L118" s="16">
        <f t="shared" si="18"/>
        <v>106</v>
      </c>
      <c r="M118" s="230">
        <f t="shared" si="19"/>
        <v>102</v>
      </c>
      <c r="N118" s="159">
        <f t="shared" si="20"/>
        <v>117</v>
      </c>
      <c r="O118" s="159">
        <f t="shared" si="21"/>
        <v>110</v>
      </c>
      <c r="P118" s="15">
        <v>0</v>
      </c>
      <c r="Q118" s="15">
        <v>0</v>
      </c>
      <c r="R118">
        <v>-13</v>
      </c>
      <c r="S118" t="e" vm="1">
        <f t="shared" si="22"/>
        <v>#VALUE!</v>
      </c>
      <c r="T118" s="14">
        <f>Table235[[#This Row],[BDG]]/Table235[[#This Row],[Odds]]</f>
        <v>23.130230495038006</v>
      </c>
      <c r="U118" s="14" cm="1">
        <f t="array" ref="U118">MAX(_xlfn._xlws.FILTER(Table22[[B365]:[BFAIREXC]], Table22[PLAYER] = A118))</f>
        <v>12.3</v>
      </c>
    </row>
    <row r="119" spans="1:21">
      <c r="A119" s="159" t="s">
        <v>21</v>
      </c>
      <c r="B119">
        <v>13</v>
      </c>
      <c r="C119">
        <v>180</v>
      </c>
      <c r="D119">
        <v>162</v>
      </c>
      <c r="E119">
        <v>169</v>
      </c>
      <c r="F119">
        <v>121</v>
      </c>
      <c r="G119">
        <v>173</v>
      </c>
      <c r="H119">
        <v>320.2</v>
      </c>
      <c r="I119" s="14">
        <v>579.71277658745078</v>
      </c>
      <c r="J119" s="259">
        <v>294.02594526054463</v>
      </c>
      <c r="K119" s="260">
        <v>513.85094785770832</v>
      </c>
      <c r="L119" s="16">
        <f t="shared" si="18"/>
        <v>127</v>
      </c>
      <c r="M119" s="230">
        <f t="shared" si="19"/>
        <v>135</v>
      </c>
      <c r="N119" s="159">
        <f t="shared" si="20"/>
        <v>118</v>
      </c>
      <c r="O119" s="159">
        <f t="shared" si="21"/>
        <v>123</v>
      </c>
      <c r="P119" s="15">
        <v>0</v>
      </c>
      <c r="Q119" s="15">
        <v>0</v>
      </c>
      <c r="R119">
        <v>2</v>
      </c>
      <c r="S119" t="e" vm="1">
        <f t="shared" si="22"/>
        <v>#VALUE!</v>
      </c>
      <c r="T119" s="14">
        <f>Table235[[#This Row],[BDG]]/Table235[[#This Row],[Odds]]</f>
        <v>15.394028547672493</v>
      </c>
      <c r="U119" s="14" cm="1">
        <f t="array" ref="U119">MAX(_xlfn._xlws.FILTER(Table22[[B365]:[BFAIREXC]], Table22[PLAYER] = A119))</f>
        <v>19.100000000000001</v>
      </c>
    </row>
    <row r="120" spans="1:21">
      <c r="A120" s="159" t="s">
        <v>148</v>
      </c>
      <c r="B120">
        <v>149</v>
      </c>
      <c r="C120">
        <v>49</v>
      </c>
      <c r="D120">
        <v>172</v>
      </c>
      <c r="E120">
        <v>88</v>
      </c>
      <c r="F120">
        <v>6</v>
      </c>
      <c r="G120">
        <v>120</v>
      </c>
      <c r="H120">
        <v>271.5</v>
      </c>
      <c r="I120" s="14">
        <v>446.75790642461601</v>
      </c>
      <c r="J120" s="259">
        <v>294.37569824789796</v>
      </c>
      <c r="K120" s="260">
        <v>468.41329807986551</v>
      </c>
      <c r="L120" s="16">
        <f t="shared" si="18"/>
        <v>105</v>
      </c>
      <c r="M120" s="230">
        <f t="shared" si="19"/>
        <v>101</v>
      </c>
      <c r="N120" s="159">
        <f t="shared" si="20"/>
        <v>119</v>
      </c>
      <c r="O120" s="159">
        <f t="shared" si="21"/>
        <v>112</v>
      </c>
      <c r="P120" s="15">
        <v>0</v>
      </c>
      <c r="Q120" s="15">
        <v>0</v>
      </c>
      <c r="R120">
        <v>28</v>
      </c>
      <c r="S120" t="e" vm="1">
        <f t="shared" si="22"/>
        <v>#VALUE!</v>
      </c>
      <c r="T120" s="14">
        <f>Table235[[#This Row],[BDG]]/Table235[[#This Row],[Odds]]</f>
        <v>36.523039484850862</v>
      </c>
      <c r="U120" s="14" cm="1">
        <f t="array" ref="U120">MAX(_xlfn._xlws.FILTER(Table22[[B365]:[BFAIREXC]], Table22[PLAYER] = A120))</f>
        <v>8.06</v>
      </c>
    </row>
    <row r="121" spans="1:21">
      <c r="A121" s="159" t="s">
        <v>443</v>
      </c>
      <c r="B121">
        <v>145</v>
      </c>
      <c r="C121">
        <v>72</v>
      </c>
      <c r="D121">
        <v>130</v>
      </c>
      <c r="E121">
        <v>140</v>
      </c>
      <c r="F121">
        <v>134</v>
      </c>
      <c r="G121">
        <v>150</v>
      </c>
      <c r="H121">
        <v>336.6</v>
      </c>
      <c r="I121" s="14">
        <v>549.66434730606727</v>
      </c>
      <c r="J121" s="259">
        <v>294.78535157477262</v>
      </c>
      <c r="K121" s="260">
        <v>471.58721956931788</v>
      </c>
      <c r="L121" s="16">
        <f t="shared" si="18"/>
        <v>134</v>
      </c>
      <c r="M121" s="230">
        <f t="shared" si="19"/>
        <v>125</v>
      </c>
      <c r="N121" s="159">
        <f t="shared" si="20"/>
        <v>120</v>
      </c>
      <c r="O121" s="159">
        <f t="shared" si="21"/>
        <v>114</v>
      </c>
      <c r="P121" s="15">
        <v>0</v>
      </c>
      <c r="Q121" s="15">
        <v>0</v>
      </c>
      <c r="R121">
        <v>18</v>
      </c>
      <c r="S121" t="e" vm="1">
        <f t="shared" si="22"/>
        <v>#VALUE!</v>
      </c>
      <c r="T121" s="14">
        <f>Table235[[#This Row],[BDG]]/Table235[[#This Row],[Odds]]</f>
        <v>19.393773129919254</v>
      </c>
      <c r="U121" s="14" cm="1">
        <f t="array" ref="U121">MAX(_xlfn._xlws.FILTER(Table22[[B365]:[BFAIREXC]], Table22[PLAYER] = A121))</f>
        <v>15.2</v>
      </c>
    </row>
    <row r="122" spans="1:21">
      <c r="A122" s="159" t="s">
        <v>71</v>
      </c>
      <c r="B122">
        <v>103</v>
      </c>
      <c r="C122">
        <v>182</v>
      </c>
      <c r="D122">
        <v>175</v>
      </c>
      <c r="E122">
        <v>98</v>
      </c>
      <c r="F122">
        <v>119</v>
      </c>
      <c r="G122">
        <v>178</v>
      </c>
      <c r="H122">
        <v>347.4</v>
      </c>
      <c r="I122" s="14">
        <v>610.37036500364161</v>
      </c>
      <c r="J122" s="259">
        <v>296.64786946861716</v>
      </c>
      <c r="K122" s="260">
        <v>523.06906026914135</v>
      </c>
      <c r="L122" s="16">
        <f t="shared" si="18"/>
        <v>139</v>
      </c>
      <c r="M122" s="230">
        <f t="shared" si="19"/>
        <v>140</v>
      </c>
      <c r="N122" s="159">
        <f t="shared" si="20"/>
        <v>121</v>
      </c>
      <c r="O122" s="159">
        <f t="shared" si="21"/>
        <v>127</v>
      </c>
      <c r="P122" s="15">
        <v>0</v>
      </c>
      <c r="Q122" s="15">
        <v>0</v>
      </c>
      <c r="R122">
        <v>-24</v>
      </c>
      <c r="S122" t="e" vm="1">
        <f t="shared" si="22"/>
        <v>#VALUE!</v>
      </c>
      <c r="T122" s="14">
        <f>Table235[[#This Row],[BDG]]/Table235[[#This Row],[Odds]]</f>
        <v>6.4488667275786336</v>
      </c>
      <c r="U122" s="14" cm="1">
        <f t="array" ref="U122">MAX(_xlfn._xlws.FILTER(Table22[[B365]:[BFAIREXC]], Table22[PLAYER] = A122))</f>
        <v>46</v>
      </c>
    </row>
    <row r="123" spans="1:21">
      <c r="A123" s="159" t="s">
        <v>163</v>
      </c>
      <c r="B123">
        <v>161</v>
      </c>
      <c r="C123">
        <v>71</v>
      </c>
      <c r="D123">
        <v>101</v>
      </c>
      <c r="E123">
        <v>121</v>
      </c>
      <c r="F123">
        <v>165</v>
      </c>
      <c r="G123">
        <v>169</v>
      </c>
      <c r="H123">
        <v>331.59999999999997</v>
      </c>
      <c r="I123" s="14">
        <v>558.33521648254077</v>
      </c>
      <c r="J123" s="259">
        <v>301.64879508472893</v>
      </c>
      <c r="K123" s="260">
        <v>498.0543469967123</v>
      </c>
      <c r="L123" s="16">
        <f t="shared" si="18"/>
        <v>132</v>
      </c>
      <c r="M123" s="230">
        <f t="shared" si="19"/>
        <v>127</v>
      </c>
      <c r="N123" s="159">
        <f t="shared" si="20"/>
        <v>122</v>
      </c>
      <c r="O123" s="159">
        <f t="shared" si="21"/>
        <v>119</v>
      </c>
      <c r="P123" s="15">
        <v>0</v>
      </c>
      <c r="Q123" s="15">
        <v>0</v>
      </c>
      <c r="R123">
        <v>12</v>
      </c>
      <c r="S123" t="e" vm="1">
        <f t="shared" si="22"/>
        <v>#VALUE!</v>
      </c>
      <c r="T123" s="14">
        <f>Table235[[#This Row],[BDG]]/Table235[[#This Row],[Odds]]</f>
        <v>18.062802100881974</v>
      </c>
      <c r="U123" s="14" cm="1">
        <f t="array" ref="U123">MAX(_xlfn._xlws.FILTER(Table22[[B365]:[BFAIREXC]], Table22[PLAYER] = A123))</f>
        <v>16.7</v>
      </c>
    </row>
    <row r="124" spans="1:21">
      <c r="A124" s="159" t="s">
        <v>60</v>
      </c>
      <c r="B124">
        <v>122</v>
      </c>
      <c r="C124">
        <v>46</v>
      </c>
      <c r="D124">
        <v>166</v>
      </c>
      <c r="E124">
        <v>152</v>
      </c>
      <c r="F124">
        <v>109</v>
      </c>
      <c r="G124">
        <v>166</v>
      </c>
      <c r="H124">
        <v>333.7</v>
      </c>
      <c r="I124" s="14">
        <v>562.69219366443144</v>
      </c>
      <c r="J124" s="259">
        <v>303.64239648822712</v>
      </c>
      <c r="K124" s="260">
        <v>494.8510638743868</v>
      </c>
      <c r="L124" s="16">
        <f t="shared" si="18"/>
        <v>133</v>
      </c>
      <c r="M124" s="230">
        <f t="shared" si="19"/>
        <v>128</v>
      </c>
      <c r="N124" s="159">
        <f t="shared" si="20"/>
        <v>123</v>
      </c>
      <c r="O124" s="159">
        <f t="shared" si="21"/>
        <v>117</v>
      </c>
      <c r="P124" s="15">
        <v>0</v>
      </c>
      <c r="Q124" s="15">
        <v>0</v>
      </c>
      <c r="R124">
        <v>-22</v>
      </c>
      <c r="S124" t="e" vm="1">
        <f t="shared" si="22"/>
        <v>#VALUE!</v>
      </c>
      <c r="T124" s="14">
        <f>Table235[[#This Row],[BDG]]/Table235[[#This Row],[Odds]]</f>
        <v>17.653627702803902</v>
      </c>
      <c r="U124" s="14" cm="1">
        <f t="array" ref="U124">MAX(_xlfn._xlws.FILTER(Table22[[B365]:[BFAIREXC]], Table22[PLAYER] = A124))</f>
        <v>17.2</v>
      </c>
    </row>
    <row r="125" spans="1:21">
      <c r="A125" s="159" t="s">
        <v>372</v>
      </c>
      <c r="B125">
        <v>55</v>
      </c>
      <c r="C125">
        <v>21</v>
      </c>
      <c r="D125">
        <v>100</v>
      </c>
      <c r="E125">
        <v>80</v>
      </c>
      <c r="F125">
        <v>141</v>
      </c>
      <c r="G125">
        <v>103</v>
      </c>
      <c r="H125">
        <v>219.8</v>
      </c>
      <c r="I125" s="14">
        <v>359.2750181231429</v>
      </c>
      <c r="J125" s="259">
        <v>304.06768842946587</v>
      </c>
      <c r="K125" s="260">
        <v>519.41195974537004</v>
      </c>
      <c r="L125" s="16">
        <f t="shared" si="18"/>
        <v>52</v>
      </c>
      <c r="M125" s="230">
        <f t="shared" si="19"/>
        <v>60</v>
      </c>
      <c r="N125" s="159">
        <f t="shared" si="20"/>
        <v>124</v>
      </c>
      <c r="O125" s="159">
        <f t="shared" si="21"/>
        <v>125</v>
      </c>
      <c r="P125" s="15">
        <v>0.14285714285714285</v>
      </c>
      <c r="Q125" s="15">
        <v>0.14285714285714285</v>
      </c>
      <c r="R125">
        <v>23</v>
      </c>
      <c r="S125" t="e" vm="1">
        <f t="shared" si="22"/>
        <v>#VALUE!</v>
      </c>
      <c r="T125" s="14" t="e" vm="1">
        <f>Table235[[#This Row],[BDG]]/Table235[[#This Row],[Odds]]</f>
        <v>#VALUE!</v>
      </c>
      <c r="U125" s="14" t="e" cm="1" vm="2">
        <f t="array" ref="U125">MAX(_xlfn._xlws.FILTER(Table22[[B365]:[BFAIREXC]], Table22[PLAYER] = A125))</f>
        <v>#VALUE!</v>
      </c>
    </row>
    <row r="126" spans="1:21">
      <c r="A126" s="159" t="s">
        <v>559</v>
      </c>
      <c r="B126">
        <v>110</v>
      </c>
      <c r="C126">
        <v>147</v>
      </c>
      <c r="D126">
        <v>167</v>
      </c>
      <c r="E126">
        <v>147</v>
      </c>
      <c r="F126">
        <v>13</v>
      </c>
      <c r="G126">
        <v>121</v>
      </c>
      <c r="H126">
        <v>307</v>
      </c>
      <c r="I126" s="14">
        <v>507.68668922913969</v>
      </c>
      <c r="J126" s="259">
        <v>307</v>
      </c>
      <c r="K126" s="260">
        <v>507.68668922913969</v>
      </c>
      <c r="L126" s="16">
        <f t="shared" si="18"/>
        <v>117</v>
      </c>
      <c r="M126" s="230">
        <f t="shared" si="19"/>
        <v>113</v>
      </c>
      <c r="N126" s="159">
        <f t="shared" si="20"/>
        <v>125</v>
      </c>
      <c r="O126" s="159">
        <f t="shared" si="21"/>
        <v>122</v>
      </c>
      <c r="P126" s="15">
        <v>0</v>
      </c>
      <c r="Q126" s="15">
        <v>0</v>
      </c>
      <c r="R126">
        <v>-30</v>
      </c>
      <c r="S126" t="e" vm="1">
        <f t="shared" si="22"/>
        <v>#VALUE!</v>
      </c>
      <c r="T126" s="14">
        <f>Table235[[#This Row],[BDG]]/Table235[[#This Row],[Odds]]</f>
        <v>12.28</v>
      </c>
      <c r="U126" s="14" cm="1">
        <f t="array" ref="U126">MAX(_xlfn._xlws.FILTER(Table22[[B365]:[BFAIREXC]], Table22[PLAYER] = A126))</f>
        <v>25</v>
      </c>
    </row>
    <row r="127" spans="1:21">
      <c r="A127" s="159" t="s">
        <v>445</v>
      </c>
      <c r="B127">
        <v>5</v>
      </c>
      <c r="C127">
        <v>170</v>
      </c>
      <c r="D127">
        <v>159</v>
      </c>
      <c r="E127">
        <v>167</v>
      </c>
      <c r="F127">
        <v>117</v>
      </c>
      <c r="G127">
        <v>135</v>
      </c>
      <c r="H127">
        <v>307.3</v>
      </c>
      <c r="I127" s="14">
        <v>525.54712676221448</v>
      </c>
      <c r="J127" s="259">
        <v>307.3</v>
      </c>
      <c r="K127" s="260">
        <v>525.54712676221448</v>
      </c>
      <c r="L127" s="16">
        <f t="shared" si="18"/>
        <v>118</v>
      </c>
      <c r="M127" s="230">
        <f t="shared" si="19"/>
        <v>117</v>
      </c>
      <c r="N127" s="159">
        <f t="shared" si="20"/>
        <v>126</v>
      </c>
      <c r="O127" s="159">
        <f t="shared" si="21"/>
        <v>128</v>
      </c>
      <c r="P127" s="15">
        <v>0</v>
      </c>
      <c r="Q127" s="15">
        <v>0.125</v>
      </c>
      <c r="R127">
        <v>-8</v>
      </c>
      <c r="S127" t="e" vm="1">
        <f t="shared" si="22"/>
        <v>#VALUE!</v>
      </c>
      <c r="T127" s="14" t="e" vm="1">
        <f>Table235[[#This Row],[BDG]]/Table235[[#This Row],[Odds]]</f>
        <v>#VALUE!</v>
      </c>
      <c r="U127" s="14" t="e" cm="1" vm="2">
        <f t="array" ref="U127">MAX(_xlfn._xlws.FILTER(Table22[[B365]:[BFAIREXC]], Table22[PLAYER] = A127))</f>
        <v>#VALUE!</v>
      </c>
    </row>
    <row r="128" spans="1:21">
      <c r="A128" s="159" t="s">
        <v>522</v>
      </c>
      <c r="B128">
        <v>100</v>
      </c>
      <c r="C128">
        <v>150</v>
      </c>
      <c r="D128">
        <v>160</v>
      </c>
      <c r="E128">
        <v>39</v>
      </c>
      <c r="F128">
        <v>145</v>
      </c>
      <c r="G128">
        <v>172</v>
      </c>
      <c r="H128">
        <v>309</v>
      </c>
      <c r="I128" s="14">
        <v>550.66624019060305</v>
      </c>
      <c r="J128" s="259">
        <v>309</v>
      </c>
      <c r="K128" s="260">
        <v>550.66624019060305</v>
      </c>
      <c r="L128" s="16">
        <f t="shared" si="18"/>
        <v>119</v>
      </c>
      <c r="M128" s="230">
        <f t="shared" si="19"/>
        <v>126</v>
      </c>
      <c r="N128" s="159">
        <f t="shared" si="20"/>
        <v>127</v>
      </c>
      <c r="O128" s="159">
        <f t="shared" si="21"/>
        <v>132</v>
      </c>
      <c r="P128" s="15">
        <v>0</v>
      </c>
      <c r="Q128" s="15">
        <v>0.125</v>
      </c>
      <c r="R128">
        <v>6</v>
      </c>
      <c r="S128" t="e" vm="1">
        <f t="shared" si="22"/>
        <v>#VALUE!</v>
      </c>
      <c r="T128" s="14">
        <f>Table235[[#This Row],[BDG]]/Table235[[#This Row],[Odds]]</f>
        <v>34.181415929203546</v>
      </c>
      <c r="U128" s="14" cm="1">
        <f t="array" ref="U128">MAX(_xlfn._xlws.FILTER(Table22[[B365]:[BFAIREXC]], Table22[PLAYER] = A128))</f>
        <v>9.0399999999999991</v>
      </c>
    </row>
    <row r="129" spans="1:21">
      <c r="A129" s="159" t="s">
        <v>444</v>
      </c>
      <c r="B129">
        <v>133</v>
      </c>
      <c r="C129">
        <v>69</v>
      </c>
      <c r="D129">
        <v>163</v>
      </c>
      <c r="E129">
        <v>16</v>
      </c>
      <c r="F129">
        <v>179</v>
      </c>
      <c r="G129">
        <v>175</v>
      </c>
      <c r="H129">
        <v>312.10000000000002</v>
      </c>
      <c r="I129" s="14">
        <v>540.67334845542268</v>
      </c>
      <c r="J129" s="259">
        <v>312.10000000000002</v>
      </c>
      <c r="K129" s="260">
        <v>540.67334845542268</v>
      </c>
      <c r="L129" s="16">
        <f t="shared" si="18"/>
        <v>122</v>
      </c>
      <c r="M129" s="230">
        <f t="shared" si="19"/>
        <v>123</v>
      </c>
      <c r="N129" s="159">
        <f t="shared" si="20"/>
        <v>128</v>
      </c>
      <c r="O129" s="159">
        <f t="shared" si="21"/>
        <v>130</v>
      </c>
      <c r="P129" s="15">
        <v>0</v>
      </c>
      <c r="Q129" s="15">
        <v>0</v>
      </c>
      <c r="R129">
        <v>-20</v>
      </c>
      <c r="S129" t="e" vm="1">
        <f t="shared" si="22"/>
        <v>#VALUE!</v>
      </c>
      <c r="T129" s="14">
        <f>Table235[[#This Row],[BDG]]/Table235[[#This Row],[Odds]]</f>
        <v>11.146428571428572</v>
      </c>
      <c r="U129" s="14" cm="1">
        <f t="array" ref="U129">MAX(_xlfn._xlws.FILTER(Table22[[B365]:[BFAIREXC]], Table22[PLAYER] = A129))</f>
        <v>28</v>
      </c>
    </row>
    <row r="130" spans="1:21">
      <c r="A130" s="159" t="s">
        <v>170</v>
      </c>
      <c r="B130">
        <v>176</v>
      </c>
      <c r="C130">
        <v>37</v>
      </c>
      <c r="D130">
        <v>142</v>
      </c>
      <c r="E130">
        <v>95</v>
      </c>
      <c r="F130">
        <v>71</v>
      </c>
      <c r="G130">
        <v>108</v>
      </c>
      <c r="H130">
        <v>299.09999999999997</v>
      </c>
      <c r="I130" s="14">
        <v>459.28422066959399</v>
      </c>
      <c r="J130" s="259">
        <v>312.91465648128872</v>
      </c>
      <c r="K130" s="260">
        <v>505.5406483367434</v>
      </c>
      <c r="L130" s="16">
        <f t="shared" ref="L130:L147" si="23">RANK(H130,$H$2:$H$147,1)</f>
        <v>116</v>
      </c>
      <c r="M130" s="230">
        <f t="shared" ref="M130:M147" si="24">RANK(I130,$I$2:$I$147,1)</f>
        <v>108</v>
      </c>
      <c r="N130" s="159">
        <f t="shared" ref="N130:N147" si="25">RANK(J130,$J$2:$J$147,1)</f>
        <v>129</v>
      </c>
      <c r="O130" s="159">
        <f t="shared" ref="O130:O147" si="26">RANK(K130,$K$2:$K$147,1)</f>
        <v>120</v>
      </c>
      <c r="P130" s="15">
        <v>0</v>
      </c>
      <c r="Q130" s="15">
        <v>0</v>
      </c>
      <c r="R130">
        <v>25</v>
      </c>
      <c r="S130" t="e" vm="1">
        <f t="shared" ref="S130:S147" si="27">RANK(U130,$U$2:$U$147,0)</f>
        <v>#VALUE!</v>
      </c>
      <c r="T130" s="14" t="e" vm="1">
        <f>Table235[[#This Row],[BDG]]/Table235[[#This Row],[Odds]]</f>
        <v>#VALUE!</v>
      </c>
      <c r="U130" s="14" t="e" cm="1" vm="2">
        <f t="array" ref="U130">MAX(_xlfn._xlws.FILTER(Table22[[B365]:[BFAIREXC]], Table22[PLAYER] = A130))</f>
        <v>#VALUE!</v>
      </c>
    </row>
    <row r="131" spans="1:21">
      <c r="A131" s="159" t="s">
        <v>37</v>
      </c>
      <c r="B131">
        <v>44</v>
      </c>
      <c r="C131">
        <v>174</v>
      </c>
      <c r="D131">
        <v>174</v>
      </c>
      <c r="E131">
        <v>150</v>
      </c>
      <c r="F131">
        <v>46</v>
      </c>
      <c r="G131">
        <v>164</v>
      </c>
      <c r="H131">
        <v>298.39999999999998</v>
      </c>
      <c r="I131" s="14">
        <v>546.6832023211656</v>
      </c>
      <c r="J131" s="259">
        <v>316.32816351056181</v>
      </c>
      <c r="K131" s="260">
        <v>579.98958247283952</v>
      </c>
      <c r="L131" s="16">
        <f t="shared" si="23"/>
        <v>115</v>
      </c>
      <c r="M131" s="230">
        <f t="shared" si="24"/>
        <v>124</v>
      </c>
      <c r="N131" s="159">
        <f t="shared" si="25"/>
        <v>130</v>
      </c>
      <c r="O131" s="159">
        <f t="shared" si="26"/>
        <v>138</v>
      </c>
      <c r="P131" s="15">
        <v>0</v>
      </c>
      <c r="Q131" s="15">
        <v>0</v>
      </c>
      <c r="R131">
        <v>13</v>
      </c>
      <c r="S131" t="e" vm="1">
        <f t="shared" si="27"/>
        <v>#VALUE!</v>
      </c>
      <c r="T131" s="14">
        <f>Table235[[#This Row],[BDG]]/Table235[[#This Row],[Odds]]</f>
        <v>8.1109785515528667</v>
      </c>
      <c r="U131" s="14" cm="1">
        <f t="array" ref="U131">MAX(_xlfn._xlws.FILTER(Table22[[B365]:[BFAIREXC]], Table22[PLAYER] = A131))</f>
        <v>39</v>
      </c>
    </row>
    <row r="132" spans="1:21">
      <c r="A132" s="159" t="s">
        <v>116</v>
      </c>
      <c r="B132">
        <v>117</v>
      </c>
      <c r="C132">
        <v>11</v>
      </c>
      <c r="D132">
        <v>158</v>
      </c>
      <c r="E132">
        <v>128</v>
      </c>
      <c r="F132">
        <v>154</v>
      </c>
      <c r="G132">
        <v>156</v>
      </c>
      <c r="H132">
        <v>325.10000000000002</v>
      </c>
      <c r="I132" s="14">
        <v>533.91242925342431</v>
      </c>
      <c r="J132" s="259">
        <v>317.971294034376</v>
      </c>
      <c r="K132" s="260">
        <v>505.5943431906062</v>
      </c>
      <c r="L132" s="16">
        <f t="shared" si="23"/>
        <v>129</v>
      </c>
      <c r="M132" s="230">
        <f t="shared" si="24"/>
        <v>120</v>
      </c>
      <c r="N132" s="159">
        <f t="shared" si="25"/>
        <v>131</v>
      </c>
      <c r="O132" s="159">
        <f t="shared" si="26"/>
        <v>121</v>
      </c>
      <c r="P132" s="15">
        <v>0</v>
      </c>
      <c r="Q132" s="15">
        <v>0</v>
      </c>
      <c r="R132">
        <v>-7</v>
      </c>
      <c r="S132" t="e" vm="1">
        <f t="shared" si="27"/>
        <v>#VALUE!</v>
      </c>
      <c r="T132" s="14">
        <f>Table235[[#This Row],[BDG]]/Table235[[#This Row],[Odds]]</f>
        <v>39.450532758607444</v>
      </c>
      <c r="U132" s="14" cm="1">
        <f t="array" ref="U132">MAX(_xlfn._xlws.FILTER(Table22[[B365]:[BFAIREXC]], Table22[PLAYER] = A132))</f>
        <v>8.06</v>
      </c>
    </row>
    <row r="133" spans="1:21">
      <c r="A133" s="159" t="s">
        <v>556</v>
      </c>
      <c r="B133">
        <v>36</v>
      </c>
      <c r="C133">
        <v>123</v>
      </c>
      <c r="D133">
        <v>170</v>
      </c>
      <c r="E133">
        <v>181</v>
      </c>
      <c r="F133">
        <v>101</v>
      </c>
      <c r="G133">
        <v>170</v>
      </c>
      <c r="H133">
        <v>318.5</v>
      </c>
      <c r="I133" s="14">
        <v>566.68292581396292</v>
      </c>
      <c r="J133" s="259">
        <v>318.5</v>
      </c>
      <c r="K133" s="260">
        <v>566.68292581396292</v>
      </c>
      <c r="L133" s="16">
        <f t="shared" si="23"/>
        <v>126</v>
      </c>
      <c r="M133" s="230">
        <f t="shared" si="24"/>
        <v>130</v>
      </c>
      <c r="N133" s="159">
        <f t="shared" si="25"/>
        <v>132</v>
      </c>
      <c r="O133" s="159">
        <f t="shared" si="26"/>
        <v>133</v>
      </c>
      <c r="P133" s="15">
        <v>0</v>
      </c>
      <c r="Q133" s="15">
        <v>0</v>
      </c>
      <c r="R133">
        <v>-25</v>
      </c>
      <c r="S133" t="e" vm="1">
        <f t="shared" si="27"/>
        <v>#VALUE!</v>
      </c>
      <c r="T133" s="14">
        <f>Table235[[#This Row],[BDG]]/Table235[[#This Row],[Odds]]</f>
        <v>16.675392670157066</v>
      </c>
      <c r="U133" s="14" cm="1">
        <f t="array" ref="U133">MAX(_xlfn._xlws.FILTER(Table22[[B365]:[BFAIREXC]], Table22[PLAYER] = A133))</f>
        <v>19.100000000000001</v>
      </c>
    </row>
    <row r="134" spans="1:21">
      <c r="A134" s="159" t="s">
        <v>103</v>
      </c>
      <c r="B134">
        <v>163</v>
      </c>
      <c r="C134">
        <v>39</v>
      </c>
      <c r="D134">
        <v>141</v>
      </c>
      <c r="E134">
        <v>97</v>
      </c>
      <c r="F134">
        <v>41</v>
      </c>
      <c r="G134">
        <v>94</v>
      </c>
      <c r="H134">
        <v>277.2</v>
      </c>
      <c r="I134" s="14">
        <v>422.33978689523036</v>
      </c>
      <c r="J134" s="259">
        <v>322.96855755974775</v>
      </c>
      <c r="K134" s="260">
        <v>522.76358902526772</v>
      </c>
      <c r="L134" s="16">
        <f t="shared" si="23"/>
        <v>110</v>
      </c>
      <c r="M134" s="230">
        <f t="shared" si="24"/>
        <v>83</v>
      </c>
      <c r="N134" s="159">
        <f t="shared" si="25"/>
        <v>133</v>
      </c>
      <c r="O134" s="159">
        <f t="shared" si="26"/>
        <v>126</v>
      </c>
      <c r="P134" s="15">
        <v>0</v>
      </c>
      <c r="Q134" s="15">
        <v>0</v>
      </c>
      <c r="R134">
        <v>13</v>
      </c>
      <c r="S134" t="e" vm="1">
        <f t="shared" si="27"/>
        <v>#VALUE!</v>
      </c>
      <c r="T134" s="14">
        <f>Table235[[#This Row],[BDG]]/Table235[[#This Row],[Odds]]</f>
        <v>19.339434584416033</v>
      </c>
      <c r="U134" s="14" cm="1">
        <f t="array" ref="U134">MAX(_xlfn._xlws.FILTER(Table22[[B365]:[BFAIREXC]], Table22[PLAYER] = A134))</f>
        <v>16.7</v>
      </c>
    </row>
    <row r="135" spans="1:21">
      <c r="A135" s="159" t="s">
        <v>564</v>
      </c>
      <c r="B135">
        <v>179</v>
      </c>
      <c r="C135">
        <v>167</v>
      </c>
      <c r="D135">
        <v>155</v>
      </c>
      <c r="E135">
        <v>118</v>
      </c>
      <c r="F135">
        <v>3</v>
      </c>
      <c r="G135">
        <v>168</v>
      </c>
      <c r="H135">
        <v>326.5</v>
      </c>
      <c r="I135" s="14">
        <v>576.08505384624959</v>
      </c>
      <c r="J135" s="259">
        <v>326.5</v>
      </c>
      <c r="K135" s="260">
        <v>576.08505384624959</v>
      </c>
      <c r="L135" s="16">
        <f t="shared" si="23"/>
        <v>130</v>
      </c>
      <c r="M135" s="230">
        <f t="shared" si="24"/>
        <v>133</v>
      </c>
      <c r="N135" s="159">
        <f t="shared" si="25"/>
        <v>134</v>
      </c>
      <c r="O135" s="159">
        <f t="shared" si="26"/>
        <v>136</v>
      </c>
      <c r="P135" s="15">
        <v>0</v>
      </c>
      <c r="Q135" s="15">
        <v>0</v>
      </c>
      <c r="R135">
        <v>1</v>
      </c>
      <c r="S135" t="e" vm="1">
        <f t="shared" si="27"/>
        <v>#VALUE!</v>
      </c>
      <c r="T135" s="14">
        <f>Table235[[#This Row],[BDG]]/Table235[[#This Row],[Odds]]</f>
        <v>4.598591549295775</v>
      </c>
      <c r="U135" s="14" cm="1">
        <f t="array" ref="U135">MAX(_xlfn._xlws.FILTER(Table22[[B365]:[BFAIREXC]], Table22[PLAYER] = A135))</f>
        <v>71</v>
      </c>
    </row>
    <row r="136" spans="1:21">
      <c r="A136" s="159" t="s">
        <v>561</v>
      </c>
      <c r="B136">
        <v>66</v>
      </c>
      <c r="C136">
        <v>175</v>
      </c>
      <c r="D136">
        <v>152</v>
      </c>
      <c r="E136">
        <v>135</v>
      </c>
      <c r="F136">
        <v>122</v>
      </c>
      <c r="G136">
        <v>158</v>
      </c>
      <c r="H136">
        <v>327</v>
      </c>
      <c r="I136" s="14">
        <v>567.56034428234477</v>
      </c>
      <c r="J136" s="259">
        <v>327</v>
      </c>
      <c r="K136" s="260">
        <v>567.56034428234477</v>
      </c>
      <c r="L136" s="16">
        <f t="shared" si="23"/>
        <v>131</v>
      </c>
      <c r="M136" s="230">
        <f t="shared" si="24"/>
        <v>131</v>
      </c>
      <c r="N136" s="159">
        <f t="shared" si="25"/>
        <v>135</v>
      </c>
      <c r="O136" s="159">
        <f t="shared" si="26"/>
        <v>134</v>
      </c>
      <c r="P136" s="15">
        <v>0</v>
      </c>
      <c r="Q136" s="15">
        <v>0</v>
      </c>
      <c r="R136">
        <v>-83</v>
      </c>
      <c r="S136" t="e" vm="1">
        <f t="shared" si="27"/>
        <v>#VALUE!</v>
      </c>
      <c r="T136" s="14">
        <f>Table235[[#This Row],[BDG]]/Table235[[#This Row],[Odds]]</f>
        <v>12.576923076923077</v>
      </c>
      <c r="U136" s="14" cm="1">
        <f t="array" ref="U136">MAX(_xlfn._xlws.FILTER(Table22[[B365]:[BFAIREXC]], Table22[PLAYER] = A136))</f>
        <v>26</v>
      </c>
    </row>
    <row r="137" spans="1:21">
      <c r="A137" s="159" t="s">
        <v>160</v>
      </c>
      <c r="B137">
        <v>159</v>
      </c>
      <c r="C137">
        <v>89</v>
      </c>
      <c r="D137">
        <v>112</v>
      </c>
      <c r="E137">
        <v>149</v>
      </c>
      <c r="F137">
        <v>172</v>
      </c>
      <c r="G137">
        <v>161</v>
      </c>
      <c r="H137">
        <v>361</v>
      </c>
      <c r="I137" s="14">
        <v>588.57583199777321</v>
      </c>
      <c r="J137" s="259">
        <v>329.66732943660008</v>
      </c>
      <c r="K137" s="260">
        <v>543.74584500350022</v>
      </c>
      <c r="L137" s="16">
        <f t="shared" si="23"/>
        <v>140</v>
      </c>
      <c r="M137" s="230">
        <f t="shared" si="24"/>
        <v>137</v>
      </c>
      <c r="N137" s="159">
        <f t="shared" si="25"/>
        <v>136</v>
      </c>
      <c r="O137" s="159">
        <f t="shared" si="26"/>
        <v>131</v>
      </c>
      <c r="P137" s="15">
        <v>0</v>
      </c>
      <c r="Q137" s="15">
        <v>0</v>
      </c>
      <c r="R137">
        <v>-4</v>
      </c>
      <c r="S137" t="e" vm="1">
        <f t="shared" si="27"/>
        <v>#VALUE!</v>
      </c>
      <c r="T137" s="14">
        <f>Table235[[#This Row],[BDG]]/Table235[[#This Row],[Odds]]</f>
        <v>19.16670519980233</v>
      </c>
      <c r="U137" s="14" cm="1">
        <f t="array" ref="U137">MAX(_xlfn._xlws.FILTER(Table22[[B365]:[BFAIREXC]], Table22[PLAYER] = A137))</f>
        <v>17.2</v>
      </c>
    </row>
    <row r="138" spans="1:21">
      <c r="A138" s="159" t="s">
        <v>223</v>
      </c>
      <c r="B138">
        <v>82</v>
      </c>
      <c r="C138">
        <v>167</v>
      </c>
      <c r="D138">
        <v>164</v>
      </c>
      <c r="E138">
        <v>95</v>
      </c>
      <c r="F138">
        <v>166</v>
      </c>
      <c r="G138">
        <v>173</v>
      </c>
      <c r="H138">
        <v>344.6</v>
      </c>
      <c r="I138" s="14">
        <v>597.74485727310514</v>
      </c>
      <c r="J138" s="259">
        <v>337.076589563482</v>
      </c>
      <c r="K138" s="260">
        <v>575.88167482686845</v>
      </c>
      <c r="L138" s="16">
        <f t="shared" si="23"/>
        <v>138</v>
      </c>
      <c r="M138" s="230">
        <f t="shared" si="24"/>
        <v>138</v>
      </c>
      <c r="N138" s="159">
        <f t="shared" si="25"/>
        <v>137</v>
      </c>
      <c r="O138" s="159">
        <f t="shared" si="26"/>
        <v>135</v>
      </c>
      <c r="P138" s="15">
        <v>0</v>
      </c>
      <c r="Q138" s="15">
        <v>0</v>
      </c>
      <c r="R138">
        <v>11</v>
      </c>
      <c r="S138" t="e" vm="1">
        <f t="shared" si="27"/>
        <v>#VALUE!</v>
      </c>
      <c r="T138" s="14">
        <f>Table235[[#This Row],[BDG]]/Table235[[#This Row],[Odds]]</f>
        <v>32.725882481891453</v>
      </c>
      <c r="U138" s="14" cm="1">
        <f t="array" ref="U138">MAX(_xlfn._xlws.FILTER(Table22[[B365]:[BFAIREXC]], Table22[PLAYER] = A138))</f>
        <v>10.3</v>
      </c>
    </row>
    <row r="139" spans="1:21">
      <c r="A139" s="159" t="s">
        <v>413</v>
      </c>
      <c r="B139">
        <v>91</v>
      </c>
      <c r="C139">
        <v>179</v>
      </c>
      <c r="D139">
        <v>173</v>
      </c>
      <c r="E139">
        <v>65</v>
      </c>
      <c r="F139">
        <v>152</v>
      </c>
      <c r="G139">
        <v>161</v>
      </c>
      <c r="H139">
        <v>337.9</v>
      </c>
      <c r="I139" s="14">
        <v>579.36878243137915</v>
      </c>
      <c r="J139" s="259">
        <v>337.9</v>
      </c>
      <c r="K139" s="260">
        <v>579.36878243137915</v>
      </c>
      <c r="L139" s="16">
        <f t="shared" si="23"/>
        <v>135</v>
      </c>
      <c r="M139" s="230">
        <f t="shared" si="24"/>
        <v>134</v>
      </c>
      <c r="N139" s="159">
        <f t="shared" si="25"/>
        <v>138</v>
      </c>
      <c r="O139" s="159">
        <f t="shared" si="26"/>
        <v>137</v>
      </c>
      <c r="P139" s="15">
        <v>0</v>
      </c>
      <c r="Q139" s="15">
        <v>0</v>
      </c>
      <c r="R139">
        <v>8</v>
      </c>
      <c r="S139" t="e" vm="1">
        <f t="shared" si="27"/>
        <v>#VALUE!</v>
      </c>
      <c r="T139" s="14">
        <f>Table235[[#This Row],[BDG]]/Table235[[#This Row],[Odds]]</f>
        <v>8.2414634146341452</v>
      </c>
      <c r="U139" s="14" cm="1">
        <f t="array" ref="U139">MAX(_xlfn._xlws.FILTER(Table22[[B365]:[BFAIREXC]], Table22[PLAYER] = A139))</f>
        <v>41</v>
      </c>
    </row>
    <row r="140" spans="1:21">
      <c r="A140" s="159" t="s">
        <v>401</v>
      </c>
      <c r="B140">
        <v>18</v>
      </c>
      <c r="C140">
        <v>151</v>
      </c>
      <c r="D140">
        <v>156</v>
      </c>
      <c r="E140">
        <v>177</v>
      </c>
      <c r="F140">
        <v>174</v>
      </c>
      <c r="G140">
        <v>179</v>
      </c>
      <c r="H140">
        <v>340.79999999999995</v>
      </c>
      <c r="I140" s="14">
        <v>602.22447961218177</v>
      </c>
      <c r="J140" s="259">
        <v>340.79999999999995</v>
      </c>
      <c r="K140" s="260">
        <v>602.22447961218177</v>
      </c>
      <c r="L140" s="16">
        <f t="shared" si="23"/>
        <v>136</v>
      </c>
      <c r="M140" s="230">
        <f t="shared" si="24"/>
        <v>139</v>
      </c>
      <c r="N140" s="159">
        <f t="shared" si="25"/>
        <v>139</v>
      </c>
      <c r="O140" s="159">
        <f t="shared" si="26"/>
        <v>140</v>
      </c>
      <c r="P140" s="15">
        <v>0</v>
      </c>
      <c r="Q140" s="15">
        <v>0</v>
      </c>
      <c r="R140">
        <v>-7</v>
      </c>
      <c r="S140" t="e" vm="1">
        <f t="shared" si="27"/>
        <v>#VALUE!</v>
      </c>
      <c r="T140" s="14">
        <f>Table235[[#This Row],[BDG]]/Table235[[#This Row],[Odds]]</f>
        <v>12.62222222222222</v>
      </c>
      <c r="U140" s="14" cm="1">
        <f t="array" ref="U140">MAX(_xlfn._xlws.FILTER(Table22[[B365]:[BFAIREXC]], Table22[PLAYER] = A140))</f>
        <v>27</v>
      </c>
    </row>
    <row r="141" spans="1:21">
      <c r="A141" s="159" t="s">
        <v>412</v>
      </c>
      <c r="B141">
        <v>85</v>
      </c>
      <c r="C141">
        <v>146</v>
      </c>
      <c r="D141">
        <v>153</v>
      </c>
      <c r="E141">
        <v>153</v>
      </c>
      <c r="F141">
        <v>131</v>
      </c>
      <c r="G141">
        <v>163</v>
      </c>
      <c r="H141">
        <v>343.9</v>
      </c>
      <c r="I141" s="14">
        <v>587.08611321740261</v>
      </c>
      <c r="J141" s="259">
        <v>343.9</v>
      </c>
      <c r="K141" s="260">
        <v>587.08611321740261</v>
      </c>
      <c r="L141" s="16">
        <f t="shared" si="23"/>
        <v>137</v>
      </c>
      <c r="M141" s="230">
        <f t="shared" si="24"/>
        <v>136</v>
      </c>
      <c r="N141" s="159">
        <f t="shared" si="25"/>
        <v>140</v>
      </c>
      <c r="O141" s="159">
        <f t="shared" si="26"/>
        <v>139</v>
      </c>
      <c r="P141" s="15">
        <v>0</v>
      </c>
      <c r="Q141" s="15">
        <v>0</v>
      </c>
      <c r="R141">
        <v>-20</v>
      </c>
      <c r="S141" t="e" vm="1">
        <f t="shared" si="27"/>
        <v>#VALUE!</v>
      </c>
      <c r="T141" s="14" t="e" vm="1">
        <f>Table235[[#This Row],[BDG]]/Table235[[#This Row],[Odds]]</f>
        <v>#VALUE!</v>
      </c>
      <c r="U141" s="14" t="e" cm="1" vm="2">
        <f t="array" ref="U141">MAX(_xlfn._xlws.FILTER(Table22[[B365]:[BFAIREXC]], Table22[PLAYER] = A141))</f>
        <v>#VALUE!</v>
      </c>
    </row>
    <row r="142" spans="1:21">
      <c r="A142" s="159" t="s">
        <v>486</v>
      </c>
      <c r="B142">
        <v>44</v>
      </c>
      <c r="C142">
        <v>140</v>
      </c>
      <c r="D142">
        <v>169</v>
      </c>
      <c r="E142">
        <v>180</v>
      </c>
      <c r="F142">
        <v>170</v>
      </c>
      <c r="G142">
        <v>182</v>
      </c>
      <c r="H142">
        <v>361.7</v>
      </c>
      <c r="I142" s="14">
        <v>627.48593089070437</v>
      </c>
      <c r="J142" s="259">
        <v>361.7</v>
      </c>
      <c r="K142" s="260">
        <v>627.48593089070437</v>
      </c>
      <c r="L142" s="16">
        <f t="shared" si="23"/>
        <v>141</v>
      </c>
      <c r="M142" s="230">
        <f t="shared" si="24"/>
        <v>141</v>
      </c>
      <c r="N142" s="159">
        <f t="shared" si="25"/>
        <v>141</v>
      </c>
      <c r="O142" s="159">
        <f t="shared" si="26"/>
        <v>141</v>
      </c>
      <c r="P142" s="15">
        <v>0</v>
      </c>
      <c r="Q142" s="15">
        <v>0.1111111111111111</v>
      </c>
      <c r="R142">
        <v>3</v>
      </c>
      <c r="S142" t="e" vm="1">
        <f t="shared" si="27"/>
        <v>#VALUE!</v>
      </c>
      <c r="T142" s="14">
        <f>Table235[[#This Row],[BDG]]/Table235[[#This Row],[Odds]]</f>
        <v>23.796052631578949</v>
      </c>
      <c r="U142" s="14" cm="1">
        <f t="array" ref="U142">MAX(_xlfn._xlws.FILTER(Table22[[B365]:[BFAIREXC]], Table22[PLAYER] = A142))</f>
        <v>15.2</v>
      </c>
    </row>
    <row r="143" spans="1:21">
      <c r="A143" s="159" t="s">
        <v>176</v>
      </c>
      <c r="B143">
        <v>178</v>
      </c>
      <c r="C143">
        <v>36</v>
      </c>
      <c r="D143">
        <v>193</v>
      </c>
      <c r="E143">
        <v>168</v>
      </c>
      <c r="F143">
        <v>80</v>
      </c>
      <c r="G143">
        <v>187</v>
      </c>
      <c r="H143">
        <v>376.7</v>
      </c>
      <c r="I143" s="14">
        <v>632.79399873456578</v>
      </c>
      <c r="J143" s="259">
        <v>376.7</v>
      </c>
      <c r="K143" s="260">
        <v>632.79399873456578</v>
      </c>
      <c r="L143" s="16">
        <f t="shared" si="23"/>
        <v>142</v>
      </c>
      <c r="M143" s="230">
        <f t="shared" si="24"/>
        <v>142</v>
      </c>
      <c r="N143" s="159">
        <f t="shared" si="25"/>
        <v>142</v>
      </c>
      <c r="O143" s="159">
        <f t="shared" si="26"/>
        <v>142</v>
      </c>
      <c r="P143" s="15" t="e">
        <v>#N/A</v>
      </c>
      <c r="Q143" s="15" t="e">
        <v>#N/A</v>
      </c>
      <c r="R143" t="e">
        <v>#N/A</v>
      </c>
      <c r="S143" t="e" vm="1">
        <f t="shared" si="27"/>
        <v>#VALUE!</v>
      </c>
      <c r="T143" s="14" t="e">
        <f>Table235[[#This Row],[BDG]]/Table235[[#This Row],[Odds]]</f>
        <v>#DIV/0!</v>
      </c>
      <c r="U143" s="14" cm="1">
        <f t="array" ref="U143">MAX(_xlfn._xlws.FILTER(Table22[[B365]:[BFAIREXC]], Table22[PLAYER] = A143))</f>
        <v>0</v>
      </c>
    </row>
    <row r="144" spans="1:21">
      <c r="A144" s="159" t="s">
        <v>222</v>
      </c>
      <c r="B144">
        <v>174</v>
      </c>
      <c r="C144">
        <v>162</v>
      </c>
      <c r="D144">
        <v>161</v>
      </c>
      <c r="E144">
        <v>118</v>
      </c>
      <c r="F144">
        <v>139</v>
      </c>
      <c r="G144">
        <v>180</v>
      </c>
      <c r="H144">
        <v>394.2</v>
      </c>
      <c r="I144" s="14">
        <v>659.44113064994713</v>
      </c>
      <c r="J144" s="259">
        <v>394.2</v>
      </c>
      <c r="K144" s="260">
        <v>659.44113064994713</v>
      </c>
      <c r="L144" s="16">
        <f t="shared" si="23"/>
        <v>143</v>
      </c>
      <c r="M144" s="230">
        <f t="shared" si="24"/>
        <v>144</v>
      </c>
      <c r="N144" s="159">
        <f t="shared" si="25"/>
        <v>143</v>
      </c>
      <c r="O144" s="159">
        <f t="shared" si="26"/>
        <v>144</v>
      </c>
      <c r="P144" s="15">
        <v>0</v>
      </c>
      <c r="Q144" s="15">
        <v>0</v>
      </c>
      <c r="R144">
        <v>-21</v>
      </c>
      <c r="S144" t="e" vm="1">
        <f t="shared" si="27"/>
        <v>#VALUE!</v>
      </c>
      <c r="T144" s="14" t="e" vm="1">
        <f>Table235[[#This Row],[BDG]]/Table235[[#This Row],[Odds]]</f>
        <v>#VALUE!</v>
      </c>
      <c r="U144" s="14" t="e" cm="1" vm="2">
        <f t="array" ref="U144">MAX(_xlfn._xlws.FILTER(Table22[[B365]:[BFAIREXC]], Table22[PLAYER] = A144))</f>
        <v>#VALUE!</v>
      </c>
    </row>
    <row r="145" spans="1:21">
      <c r="A145" s="159" t="s">
        <v>242</v>
      </c>
      <c r="B145">
        <v>190</v>
      </c>
      <c r="C145">
        <v>144</v>
      </c>
      <c r="D145">
        <v>189</v>
      </c>
      <c r="E145">
        <v>104</v>
      </c>
      <c r="F145">
        <v>106</v>
      </c>
      <c r="G145">
        <v>190</v>
      </c>
      <c r="H145">
        <v>394.5</v>
      </c>
      <c r="I145" s="14">
        <v>668.66270992971113</v>
      </c>
      <c r="J145" s="259">
        <v>394.5</v>
      </c>
      <c r="K145" s="260">
        <v>668.66270992971113</v>
      </c>
      <c r="L145" s="16">
        <f t="shared" si="23"/>
        <v>144</v>
      </c>
      <c r="M145" s="230">
        <f t="shared" si="24"/>
        <v>145</v>
      </c>
      <c r="N145" s="159">
        <f t="shared" si="25"/>
        <v>144</v>
      </c>
      <c r="O145" s="159">
        <f t="shared" si="26"/>
        <v>145</v>
      </c>
      <c r="P145" s="15" t="e">
        <v>#N/A</v>
      </c>
      <c r="Q145" s="15" t="e">
        <v>#N/A</v>
      </c>
      <c r="R145" t="e">
        <v>#N/A</v>
      </c>
      <c r="S145" t="e" vm="1">
        <f t="shared" si="27"/>
        <v>#VALUE!</v>
      </c>
      <c r="T145" s="14">
        <f>Table235[[#This Row],[BDG]]/Table235[[#This Row],[Odds]]</f>
        <v>20.763157894736842</v>
      </c>
      <c r="U145" s="14" cm="1">
        <f t="array" ref="U145">MAX(_xlfn._xlws.FILTER(Table22[[B365]:[BFAIREXC]], Table22[PLAYER] = A145))</f>
        <v>19</v>
      </c>
    </row>
    <row r="146" spans="1:21">
      <c r="A146" s="159" t="s">
        <v>419</v>
      </c>
      <c r="B146">
        <v>177</v>
      </c>
      <c r="C146">
        <v>36</v>
      </c>
      <c r="D146">
        <v>170</v>
      </c>
      <c r="E146">
        <v>172</v>
      </c>
      <c r="F146">
        <v>171</v>
      </c>
      <c r="G146">
        <v>181</v>
      </c>
      <c r="H146">
        <v>407.5</v>
      </c>
      <c r="I146" s="14">
        <v>657.0579196437393</v>
      </c>
      <c r="J146" s="259">
        <v>407.5</v>
      </c>
      <c r="K146" s="260">
        <v>657.0579196437393</v>
      </c>
      <c r="L146" s="16">
        <f t="shared" si="23"/>
        <v>145</v>
      </c>
      <c r="M146" s="230">
        <f t="shared" si="24"/>
        <v>143</v>
      </c>
      <c r="N146" s="159">
        <f t="shared" si="25"/>
        <v>145</v>
      </c>
      <c r="O146" s="159">
        <f t="shared" si="26"/>
        <v>143</v>
      </c>
      <c r="P146" s="15">
        <v>0</v>
      </c>
      <c r="Q146" s="15">
        <v>0.1111111111111111</v>
      </c>
      <c r="R146">
        <v>-14</v>
      </c>
      <c r="S146" t="e" vm="1">
        <f t="shared" si="27"/>
        <v>#VALUE!</v>
      </c>
      <c r="T146" s="14">
        <f>Table235[[#This Row],[BDG]]/Table235[[#This Row],[Odds]]</f>
        <v>25.955414012738856</v>
      </c>
      <c r="U146" s="14" cm="1">
        <f t="array" ref="U146">MAX(_xlfn._xlws.FILTER(Table22[[B365]:[BFAIREXC]], Table22[PLAYER] = A146))</f>
        <v>15.7</v>
      </c>
    </row>
    <row r="147" spans="1:21">
      <c r="A147" s="159" t="s">
        <v>247</v>
      </c>
      <c r="B147">
        <v>177</v>
      </c>
      <c r="C147">
        <v>87</v>
      </c>
      <c r="D147">
        <v>182</v>
      </c>
      <c r="E147">
        <v>171</v>
      </c>
      <c r="F147">
        <v>162</v>
      </c>
      <c r="G147">
        <v>183</v>
      </c>
      <c r="H147">
        <v>426.2</v>
      </c>
      <c r="I147" s="14">
        <v>689.64179887095543</v>
      </c>
      <c r="J147" s="259">
        <v>426.2</v>
      </c>
      <c r="K147" s="260">
        <v>689.64179887095543</v>
      </c>
      <c r="L147" s="16">
        <f t="shared" si="23"/>
        <v>146</v>
      </c>
      <c r="M147" s="230">
        <f t="shared" si="24"/>
        <v>146</v>
      </c>
      <c r="N147" s="159">
        <f t="shared" si="25"/>
        <v>146</v>
      </c>
      <c r="O147" s="159">
        <f t="shared" si="26"/>
        <v>146</v>
      </c>
      <c r="P147" s="15">
        <v>0</v>
      </c>
      <c r="Q147" s="15">
        <v>0</v>
      </c>
      <c r="R147">
        <v>5</v>
      </c>
      <c r="S147" t="e" vm="1">
        <f t="shared" si="27"/>
        <v>#VALUE!</v>
      </c>
      <c r="T147" s="14" t="e" vm="1">
        <f>Table235[[#This Row],[BDG]]/Table235[[#This Row],[Odds]]</f>
        <v>#VALUE!</v>
      </c>
      <c r="U147" s="14" t="e" cm="1" vm="2">
        <f t="array" ref="U147">MAX(_xlfn._xlws.FILTER(Table22[[B365]:[BFAIREXC]], Table22[PLAYER] = A147))</f>
        <v>#VALUE!</v>
      </c>
    </row>
  </sheetData>
  <mergeCells count="2">
    <mergeCell ref="X1:AA1"/>
    <mergeCell ref="AD1:AF1"/>
  </mergeCells>
  <conditionalFormatting sqref="J1:K1048576 N1:O1048576 S1:S1048576">
    <cfRule type="containsErrors" dxfId="448" priority="12">
      <formula>ISERROR(J1)</formula>
    </cfRule>
  </conditionalFormatting>
  <conditionalFormatting sqref="P1:Q1048576">
    <cfRule type="cellIs" dxfId="447" priority="5" operator="greaterThanOrEqual">
      <formula>20%</formula>
    </cfRule>
    <cfRule type="cellIs" dxfId="446" priority="6" operator="between">
      <formula>10%</formula>
      <formula>20%</formula>
    </cfRule>
    <cfRule type="cellIs" dxfId="445" priority="7" operator="between">
      <formula>0.01%</formula>
      <formula>10%</formula>
    </cfRule>
  </conditionalFormatting>
  <conditionalFormatting sqref="R1:R1048576">
    <cfRule type="cellIs" dxfId="444" priority="1" operator="between">
      <formula>-5</formula>
      <formula>-9</formula>
    </cfRule>
    <cfRule type="cellIs" dxfId="443" priority="2" operator="lessThanOrEqual">
      <formula>-10</formula>
    </cfRule>
    <cfRule type="cellIs" dxfId="442" priority="3" operator="between">
      <formula>5</formula>
      <formula>9</formula>
    </cfRule>
    <cfRule type="cellIs" dxfId="441" priority="4" operator="greaterThanOrEqual">
      <formula>10</formula>
    </cfRule>
  </conditionalFormatting>
  <conditionalFormatting sqref="B1:G1048576 L2:O1048576 S1:S1048576">
    <cfRule type="cellIs" dxfId="440" priority="8" operator="between">
      <formula>101</formula>
      <formula>250</formula>
    </cfRule>
    <cfRule type="cellIs" dxfId="439" priority="9" operator="between">
      <formula>51</formula>
      <formula>100.5</formula>
    </cfRule>
    <cfRule type="cellIs" dxfId="438" priority="10" operator="between">
      <formula>21</formula>
      <formula>50.5</formula>
    </cfRule>
    <cfRule type="cellIs" dxfId="437" priority="11" operator="lessThanOrEqual">
      <formula>20.5</formula>
    </cfRule>
  </conditionalFormatting>
  <conditionalFormatting sqref="A1:A1048576">
    <cfRule type="expression" dxfId="436" priority="13">
      <formula>$T1=MIN($T$2:$T$9)</formula>
    </cfRule>
    <cfRule type="expression" dxfId="435" priority="14">
      <formula>$T1=MIN($T$10:$T$21)</formula>
    </cfRule>
    <cfRule type="expression" dxfId="434" priority="15">
      <formula>$T1=MIN($T$22:$T$35)</formula>
    </cfRule>
    <cfRule type="expression" dxfId="433" priority="16">
      <formula>$T1=MIN($T$36:$T$73)</formula>
    </cfRule>
    <cfRule type="expression" dxfId="432" priority="17">
      <formula>AND($L1&lt;=3, $M1&gt;3)</formula>
    </cfRule>
    <cfRule type="expression" dxfId="431" priority="18">
      <formula>AND($L1&gt;3, $M1&lt;=3)</formula>
    </cfRule>
    <cfRule type="expression" dxfId="430" priority="19">
      <formula>AND($N1&lt;=3, $O1&gt;3)</formula>
    </cfRule>
    <cfRule type="expression" dxfId="429" priority="20">
      <formula>AND($N1&gt;3, $O1&lt;=3)</formula>
    </cfRule>
    <cfRule type="expression" dxfId="428" priority="21">
      <formula>AND($L1&lt;=3, $M1&lt;=3)</formula>
    </cfRule>
    <cfRule type="expression" dxfId="427"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E50B5-2905-4805-AD0A-6C009DA89117}">
  <sheetPr codeName="Sheet82">
    <tabColor rgb="FFFF0000"/>
  </sheetPr>
  <dimension ref="A1:AF183"/>
  <sheetViews>
    <sheetView zoomScale="90" zoomScaleNormal="90" workbookViewId="0">
      <selection activeCell="N2" activeCellId="1" sqref="L2:L11 N2:N11"/>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19" width="14.42578125" bestFit="1" customWidth="1"/>
    <col min="20" max="20" width="11" customWidth="1"/>
    <col min="21" max="21" width="10.28515625" bestFit="1" customWidth="1"/>
    <col min="22" max="22" width="10.5703125" bestFit="1" customWidth="1"/>
    <col min="24" max="24" width="25.85546875" bestFit="1" customWidth="1"/>
    <col min="30" max="30" width="25.85546875" bestFit="1" customWidth="1"/>
  </cols>
  <sheetData>
    <row r="1" spans="1:32"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122" t="s">
        <v>537</v>
      </c>
      <c r="Q1" s="122" t="s">
        <v>536</v>
      </c>
      <c r="R1" s="362" t="s">
        <v>535</v>
      </c>
      <c r="S1" s="241" t="s">
        <v>566</v>
      </c>
      <c r="T1" s="241" t="s">
        <v>565</v>
      </c>
      <c r="U1" s="241" t="s">
        <v>472</v>
      </c>
      <c r="V1" s="331" t="s">
        <v>210</v>
      </c>
      <c r="W1" s="1"/>
      <c r="X1" s="403" t="s">
        <v>1119</v>
      </c>
      <c r="Y1" s="403"/>
      <c r="Z1" s="403"/>
      <c r="AA1" s="403"/>
      <c r="AD1" s="403" t="s">
        <v>1120</v>
      </c>
      <c r="AE1" s="403"/>
      <c r="AF1" s="403"/>
    </row>
    <row r="2" spans="1:32">
      <c r="A2" s="255" t="s">
        <v>52</v>
      </c>
      <c r="B2">
        <v>9</v>
      </c>
      <c r="C2">
        <v>87</v>
      </c>
      <c r="D2">
        <v>71</v>
      </c>
      <c r="E2">
        <v>51</v>
      </c>
      <c r="F2">
        <v>109</v>
      </c>
      <c r="G2">
        <v>38</v>
      </c>
      <c r="H2">
        <v>174.4</v>
      </c>
      <c r="I2" s="14">
        <v>238.50074603481471</v>
      </c>
      <c r="J2" s="259">
        <v>188.01902035223691</v>
      </c>
      <c r="K2" s="260">
        <v>239.40871161671953</v>
      </c>
      <c r="L2" s="16">
        <f t="shared" ref="L2:L33" si="0">RANK(H2,$H$2:$H$128,1)</f>
        <v>7</v>
      </c>
      <c r="M2" s="230">
        <f t="shared" ref="M2:M33" si="1">RANK(I2,$I$2:$I$128,1)</f>
        <v>12</v>
      </c>
      <c r="N2" s="159">
        <f t="shared" ref="N2:N33" si="2">RANK(J2,$J$2:$J$128,1)</f>
        <v>5</v>
      </c>
      <c r="O2" s="159">
        <f t="shared" ref="O2:O33" si="3">RANK(K2,$K$2:$K$128,1)</f>
        <v>7</v>
      </c>
      <c r="P2" s="15">
        <v>0</v>
      </c>
      <c r="Q2" s="15">
        <v>0.25</v>
      </c>
      <c r="R2">
        <v>8</v>
      </c>
      <c r="S2" t="e" vm="1">
        <f t="shared" ref="S2:S33" si="4">RANK(U2,$U$2:$U$128,0)</f>
        <v>#VALUE!</v>
      </c>
      <c r="T2" s="14" t="e" vm="1">
        <f>Table234[[#This Row],[BDG]]/Table234[[#This Row],[Odds]]</f>
        <v>#VALUE!</v>
      </c>
      <c r="U2" s="14" t="e" cm="1" vm="2">
        <f t="array" ref="U2">MAX(_xlfn._xlws.FILTER(Table22[[B365]:[BFAIREXC]], Table22[PLAYER] = A2))</f>
        <v>#VALUE!</v>
      </c>
      <c r="V2">
        <v>1</v>
      </c>
      <c r="X2" t="s">
        <v>0</v>
      </c>
      <c r="Y2" t="s">
        <v>335</v>
      </c>
      <c r="Z2" t="s">
        <v>532</v>
      </c>
      <c r="AA2" t="s">
        <v>1118</v>
      </c>
      <c r="AD2" t="s">
        <v>0</v>
      </c>
      <c r="AE2" t="s">
        <v>523</v>
      </c>
      <c r="AF2" t="s">
        <v>1121</v>
      </c>
    </row>
    <row r="3" spans="1:32">
      <c r="A3" s="159" t="s">
        <v>35</v>
      </c>
      <c r="B3">
        <v>108</v>
      </c>
      <c r="C3">
        <v>55</v>
      </c>
      <c r="D3">
        <v>1</v>
      </c>
      <c r="E3">
        <v>5</v>
      </c>
      <c r="F3">
        <v>94</v>
      </c>
      <c r="G3">
        <v>1</v>
      </c>
      <c r="H3">
        <v>152.80000000000001</v>
      </c>
      <c r="I3" s="14">
        <v>152.32061498087774</v>
      </c>
      <c r="J3" s="259">
        <v>144.07874729963862</v>
      </c>
      <c r="K3" s="260">
        <v>147.28411801360181</v>
      </c>
      <c r="L3" s="16">
        <f t="shared" si="0"/>
        <v>3</v>
      </c>
      <c r="M3" s="230">
        <f t="shared" si="1"/>
        <v>2</v>
      </c>
      <c r="N3" s="159">
        <f t="shared" si="2"/>
        <v>3</v>
      </c>
      <c r="O3" s="159">
        <f t="shared" si="3"/>
        <v>1</v>
      </c>
      <c r="P3" s="15">
        <v>0.2857142857142857</v>
      </c>
      <c r="Q3" s="15">
        <v>0.8571428571428571</v>
      </c>
      <c r="R3">
        <v>2</v>
      </c>
      <c r="S3" t="e" vm="1">
        <f t="shared" si="4"/>
        <v>#VALUE!</v>
      </c>
      <c r="T3" s="14" t="e" vm="1">
        <f>Table234[[#This Row],[BDG]]/Table234[[#This Row],[Odds]]</f>
        <v>#VALUE!</v>
      </c>
      <c r="U3" s="14" t="e" cm="1" vm="2">
        <f t="array" ref="U3">MAX(_xlfn._xlws.FILTER(Table22[[B365]:[BFAIREXC]], Table22[PLAYER] = A3))</f>
        <v>#VALUE!</v>
      </c>
      <c r="V3">
        <v>2</v>
      </c>
      <c r="X3" t="s">
        <v>107</v>
      </c>
      <c r="Y3" s="14">
        <v>224</v>
      </c>
      <c r="Z3" s="14">
        <v>312.85312471741662</v>
      </c>
      <c r="AA3" s="14">
        <f t="shared" ref="AA3:AA34" si="5">Z3-Y3</f>
        <v>88.85312471741662</v>
      </c>
      <c r="AD3" t="s">
        <v>40</v>
      </c>
      <c r="AE3">
        <v>67</v>
      </c>
      <c r="AF3" t="e">
        <f t="shared" ref="AF3:AF34" si="6">VLOOKUP(AD3,$A$2:$J$160,10,FALSE)/AE3</f>
        <v>#N/A</v>
      </c>
    </row>
    <row r="4" spans="1:32">
      <c r="A4" s="159" t="s">
        <v>49</v>
      </c>
      <c r="B4">
        <v>76</v>
      </c>
      <c r="C4">
        <v>149</v>
      </c>
      <c r="D4">
        <v>48</v>
      </c>
      <c r="E4">
        <v>54</v>
      </c>
      <c r="F4">
        <v>115</v>
      </c>
      <c r="G4">
        <v>67</v>
      </c>
      <c r="H4">
        <v>240.39999999999998</v>
      </c>
      <c r="I4" s="14">
        <v>327.13729633055988</v>
      </c>
      <c r="J4" s="259">
        <v>239.96067676283104</v>
      </c>
      <c r="K4" s="260">
        <v>341.20235805159746</v>
      </c>
      <c r="L4" s="16">
        <f t="shared" si="0"/>
        <v>47</v>
      </c>
      <c r="M4" s="230">
        <f t="shared" si="1"/>
        <v>37</v>
      </c>
      <c r="N4" s="159">
        <f t="shared" si="2"/>
        <v>37</v>
      </c>
      <c r="O4" s="159">
        <f t="shared" si="3"/>
        <v>38</v>
      </c>
      <c r="P4" s="15">
        <v>0</v>
      </c>
      <c r="Q4" s="15">
        <v>0</v>
      </c>
      <c r="R4">
        <v>18</v>
      </c>
      <c r="S4" t="e" vm="1">
        <f t="shared" si="4"/>
        <v>#VALUE!</v>
      </c>
      <c r="T4" s="14" t="e" vm="1">
        <f>Table234[[#This Row],[BDG]]/Table234[[#This Row],[Odds]]</f>
        <v>#VALUE!</v>
      </c>
      <c r="U4" s="14" t="e" cm="1" vm="2">
        <f t="array" ref="U4">MAX(_xlfn._xlws.FILTER(Table22[[B365]:[BFAIREXC]], Table22[PLAYER] = A4))</f>
        <v>#VALUE!</v>
      </c>
      <c r="V4">
        <v>2</v>
      </c>
      <c r="X4" t="s">
        <v>48</v>
      </c>
      <c r="Y4" s="14">
        <v>209</v>
      </c>
      <c r="Z4" s="14">
        <v>282.97105005831907</v>
      </c>
      <c r="AA4" s="14">
        <f t="shared" si="5"/>
        <v>73.971050058319065</v>
      </c>
      <c r="AD4" t="s">
        <v>74</v>
      </c>
      <c r="AE4">
        <v>67.33</v>
      </c>
      <c r="AF4" t="e">
        <f t="shared" si="6"/>
        <v>#N/A</v>
      </c>
    </row>
    <row r="5" spans="1:32">
      <c r="A5" s="159" t="s">
        <v>46</v>
      </c>
      <c r="B5">
        <v>53</v>
      </c>
      <c r="C5">
        <v>118</v>
      </c>
      <c r="D5">
        <v>145</v>
      </c>
      <c r="E5">
        <v>168</v>
      </c>
      <c r="F5">
        <v>56</v>
      </c>
      <c r="G5">
        <v>131</v>
      </c>
      <c r="H5">
        <v>292.8</v>
      </c>
      <c r="I5" s="14">
        <v>483.48512624722366</v>
      </c>
      <c r="J5" s="259">
        <v>259.90567261697618</v>
      </c>
      <c r="K5" s="260">
        <v>406.85777727887529</v>
      </c>
      <c r="L5" s="16">
        <f t="shared" si="0"/>
        <v>88</v>
      </c>
      <c r="M5" s="230">
        <f t="shared" si="1"/>
        <v>89</v>
      </c>
      <c r="N5" s="159">
        <f t="shared" si="2"/>
        <v>57</v>
      </c>
      <c r="O5" s="159">
        <f t="shared" si="3"/>
        <v>67</v>
      </c>
      <c r="P5" s="15">
        <v>0</v>
      </c>
      <c r="Q5" s="15">
        <v>0.125</v>
      </c>
      <c r="R5">
        <v>-84</v>
      </c>
      <c r="S5" t="e" vm="1">
        <f t="shared" si="4"/>
        <v>#VALUE!</v>
      </c>
      <c r="T5" s="14" t="e" vm="1">
        <f>Table234[[#This Row],[BDG]]/Table234[[#This Row],[Odds]]</f>
        <v>#VALUE!</v>
      </c>
      <c r="U5" s="14" t="e" cm="1" vm="2">
        <f t="array" ref="U5">MAX(_xlfn._xlws.FILTER(Table22[[B365]:[BFAIREXC]], Table22[PLAYER] = A5))</f>
        <v>#VALUE!</v>
      </c>
      <c r="V5">
        <v>2</v>
      </c>
      <c r="X5" t="s">
        <v>393</v>
      </c>
      <c r="Y5" s="14">
        <v>256.7</v>
      </c>
      <c r="Z5" s="14">
        <v>317.42442479383863</v>
      </c>
      <c r="AA5" s="14">
        <f t="shared" si="5"/>
        <v>60.724424793838637</v>
      </c>
      <c r="AD5" t="s">
        <v>95</v>
      </c>
      <c r="AE5">
        <v>67.67</v>
      </c>
      <c r="AF5">
        <f t="shared" si="6"/>
        <v>3.0630397502364333</v>
      </c>
    </row>
    <row r="6" spans="1:32">
      <c r="A6" s="159" t="s">
        <v>445</v>
      </c>
      <c r="B6">
        <v>6</v>
      </c>
      <c r="C6">
        <v>160</v>
      </c>
      <c r="D6">
        <v>170</v>
      </c>
      <c r="E6">
        <v>172</v>
      </c>
      <c r="F6">
        <v>149</v>
      </c>
      <c r="G6">
        <v>159</v>
      </c>
      <c r="H6">
        <v>346.5</v>
      </c>
      <c r="I6" s="14">
        <v>575.92581047421652</v>
      </c>
      <c r="J6" s="259">
        <v>346.5</v>
      </c>
      <c r="K6" s="260">
        <v>575.92581047421652</v>
      </c>
      <c r="L6" s="16">
        <f t="shared" si="0"/>
        <v>116</v>
      </c>
      <c r="M6" s="230">
        <f t="shared" si="1"/>
        <v>117</v>
      </c>
      <c r="N6" s="159">
        <f t="shared" si="2"/>
        <v>119</v>
      </c>
      <c r="O6" s="159">
        <f t="shared" si="3"/>
        <v>120</v>
      </c>
      <c r="P6" s="15">
        <v>0</v>
      </c>
      <c r="Q6" s="15">
        <v>0</v>
      </c>
      <c r="R6">
        <v>-40</v>
      </c>
      <c r="S6" t="e" vm="1">
        <f t="shared" si="4"/>
        <v>#VALUE!</v>
      </c>
      <c r="T6" s="14" t="e" vm="1">
        <f>Table234[[#This Row],[BDG]]/Table234[[#This Row],[Odds]]</f>
        <v>#VALUE!</v>
      </c>
      <c r="U6" s="14" t="e" cm="1" vm="2">
        <f t="array" ref="U6">MAX(_xlfn._xlws.FILTER(Table22[[B365]:[BFAIREXC]], Table22[PLAYER] = A6))</f>
        <v>#VALUE!</v>
      </c>
      <c r="V6">
        <v>2</v>
      </c>
      <c r="X6" t="s">
        <v>693</v>
      </c>
      <c r="Y6" s="14">
        <v>183.79999999999995</v>
      </c>
      <c r="Z6" s="14">
        <v>240.51388414827687</v>
      </c>
      <c r="AA6" s="14">
        <f t="shared" si="5"/>
        <v>56.713884148276918</v>
      </c>
      <c r="AD6" t="s">
        <v>485</v>
      </c>
      <c r="AE6">
        <v>67.709999999999994</v>
      </c>
      <c r="AF6">
        <f t="shared" si="6"/>
        <v>3.7645842563875354</v>
      </c>
    </row>
    <row r="7" spans="1:32">
      <c r="A7" s="159" t="s">
        <v>69</v>
      </c>
      <c r="B7">
        <v>39</v>
      </c>
      <c r="C7">
        <v>140</v>
      </c>
      <c r="D7">
        <v>10</v>
      </c>
      <c r="E7">
        <v>77</v>
      </c>
      <c r="F7">
        <v>144</v>
      </c>
      <c r="G7">
        <v>50</v>
      </c>
      <c r="H7">
        <v>207.1</v>
      </c>
      <c r="I7" s="14">
        <v>278.60288453458804</v>
      </c>
      <c r="J7" s="259">
        <v>189.36232429930433</v>
      </c>
      <c r="K7" s="260">
        <v>236.55603638710866</v>
      </c>
      <c r="L7" s="16">
        <f t="shared" si="0"/>
        <v>22</v>
      </c>
      <c r="M7" s="230">
        <f t="shared" si="1"/>
        <v>23</v>
      </c>
      <c r="N7" s="159">
        <f t="shared" si="2"/>
        <v>6</v>
      </c>
      <c r="O7" s="159">
        <f t="shared" si="3"/>
        <v>6</v>
      </c>
      <c r="P7" s="15">
        <v>0</v>
      </c>
      <c r="Q7" s="15">
        <v>0.125</v>
      </c>
      <c r="R7">
        <v>2</v>
      </c>
      <c r="S7" t="e" vm="1">
        <f t="shared" si="4"/>
        <v>#VALUE!</v>
      </c>
      <c r="T7" s="14" t="e" vm="1">
        <f>Table234[[#This Row],[BDG]]/Table234[[#This Row],[Odds]]</f>
        <v>#VALUE!</v>
      </c>
      <c r="U7" s="14" t="e" cm="1" vm="2">
        <f t="array" ref="U7">MAX(_xlfn._xlws.FILTER(Table22[[B365]:[BFAIREXC]], Table22[PLAYER] = A7))</f>
        <v>#VALUE!</v>
      </c>
      <c r="V7">
        <v>2</v>
      </c>
      <c r="X7" t="s">
        <v>100</v>
      </c>
      <c r="Y7" s="14">
        <v>160.30000000000001</v>
      </c>
      <c r="Z7" s="14">
        <v>212.6343806277491</v>
      </c>
      <c r="AA7" s="14">
        <f t="shared" si="5"/>
        <v>52.334380627749084</v>
      </c>
      <c r="AD7" t="s">
        <v>158</v>
      </c>
      <c r="AE7">
        <v>67.78</v>
      </c>
      <c r="AF7" t="e">
        <f t="shared" si="6"/>
        <v>#N/A</v>
      </c>
    </row>
    <row r="8" spans="1:32">
      <c r="A8" s="159" t="s">
        <v>493</v>
      </c>
      <c r="B8">
        <v>39</v>
      </c>
      <c r="C8">
        <v>112</v>
      </c>
      <c r="D8">
        <v>26</v>
      </c>
      <c r="E8">
        <v>101</v>
      </c>
      <c r="F8">
        <v>121</v>
      </c>
      <c r="G8">
        <v>73</v>
      </c>
      <c r="H8">
        <v>202.4</v>
      </c>
      <c r="I8" s="14">
        <v>303.88983168427063</v>
      </c>
      <c r="J8" s="259">
        <v>202.4</v>
      </c>
      <c r="K8" s="260">
        <v>303.88983168427063</v>
      </c>
      <c r="L8" s="16">
        <f t="shared" si="0"/>
        <v>17</v>
      </c>
      <c r="M8" s="230">
        <f t="shared" si="1"/>
        <v>30</v>
      </c>
      <c r="N8" s="159">
        <f t="shared" si="2"/>
        <v>9</v>
      </c>
      <c r="O8" s="159">
        <f t="shared" si="3"/>
        <v>22</v>
      </c>
      <c r="P8" s="15">
        <v>0</v>
      </c>
      <c r="Q8" s="15">
        <v>0</v>
      </c>
      <c r="R8">
        <v>59</v>
      </c>
      <c r="S8" t="e" vm="1">
        <f t="shared" si="4"/>
        <v>#VALUE!</v>
      </c>
      <c r="T8" s="14">
        <f>Table234[[#This Row],[BDG]]/Table234[[#This Row],[Odds]]</f>
        <v>28.914285714285715</v>
      </c>
      <c r="U8" s="14" cm="1">
        <f t="array" ref="U8">MAX(_xlfn._xlws.FILTER(Table22[[B365]:[BFAIREXC]], Table22[PLAYER] = A8))</f>
        <v>7</v>
      </c>
      <c r="V8">
        <v>7</v>
      </c>
      <c r="X8" t="s">
        <v>233</v>
      </c>
      <c r="Y8" s="14">
        <v>195.70000000000002</v>
      </c>
      <c r="Z8" s="14">
        <v>247.279293813865</v>
      </c>
      <c r="AA8" s="14">
        <f t="shared" si="5"/>
        <v>51.579293813864979</v>
      </c>
      <c r="AD8" t="s">
        <v>35</v>
      </c>
      <c r="AE8">
        <v>67.86</v>
      </c>
      <c r="AF8">
        <f t="shared" si="6"/>
        <v>2.1231763527798204</v>
      </c>
    </row>
    <row r="9" spans="1:32">
      <c r="A9" s="159" t="s">
        <v>115</v>
      </c>
      <c r="B9">
        <v>91</v>
      </c>
      <c r="C9">
        <v>53</v>
      </c>
      <c r="D9">
        <v>59</v>
      </c>
      <c r="E9">
        <v>95</v>
      </c>
      <c r="F9">
        <v>17</v>
      </c>
      <c r="G9">
        <v>8</v>
      </c>
      <c r="H9">
        <v>178</v>
      </c>
      <c r="I9" s="14">
        <v>212.07630074869357</v>
      </c>
      <c r="J9" s="259">
        <v>225.00415416428541</v>
      </c>
      <c r="K9" s="260">
        <v>318.78043155323428</v>
      </c>
      <c r="L9" s="16">
        <f t="shared" si="0"/>
        <v>8</v>
      </c>
      <c r="M9" s="230">
        <f t="shared" si="1"/>
        <v>7</v>
      </c>
      <c r="N9" s="159">
        <f t="shared" si="2"/>
        <v>24</v>
      </c>
      <c r="O9" s="159">
        <f t="shared" si="3"/>
        <v>29</v>
      </c>
      <c r="P9" s="15">
        <v>0</v>
      </c>
      <c r="Q9" s="15">
        <v>0.14285714285714285</v>
      </c>
      <c r="R9">
        <v>16</v>
      </c>
      <c r="S9" t="e" vm="1">
        <f t="shared" si="4"/>
        <v>#VALUE!</v>
      </c>
      <c r="T9" s="14">
        <f>Table234[[#This Row],[BDG]]/Table234[[#This Row],[Odds]]</f>
        <v>59.367850702977677</v>
      </c>
      <c r="U9" s="14" cm="1">
        <f t="array" ref="U9">MAX(_xlfn._xlws.FILTER(Table22[[B365]:[BFAIREXC]], Table22[PLAYER] = A9))</f>
        <v>3.79</v>
      </c>
      <c r="V9">
        <v>7</v>
      </c>
      <c r="X9" t="s">
        <v>28</v>
      </c>
      <c r="Y9" s="14">
        <v>180.1</v>
      </c>
      <c r="Z9" s="14">
        <v>231.22624172553452</v>
      </c>
      <c r="AA9" s="14">
        <f t="shared" si="5"/>
        <v>51.126241725534527</v>
      </c>
      <c r="AD9" t="s">
        <v>427</v>
      </c>
      <c r="AE9">
        <v>68</v>
      </c>
      <c r="AF9" t="e">
        <f t="shared" si="6"/>
        <v>#N/A</v>
      </c>
    </row>
    <row r="10" spans="1:32">
      <c r="A10" s="159" t="s">
        <v>152</v>
      </c>
      <c r="B10">
        <v>141</v>
      </c>
      <c r="C10">
        <v>1</v>
      </c>
      <c r="D10">
        <v>30</v>
      </c>
      <c r="E10">
        <v>83</v>
      </c>
      <c r="F10">
        <v>136</v>
      </c>
      <c r="G10">
        <v>59</v>
      </c>
      <c r="H10">
        <v>221.39999999999998</v>
      </c>
      <c r="I10" s="14">
        <v>299.96197921863683</v>
      </c>
      <c r="J10" s="259">
        <v>227.00137127390389</v>
      </c>
      <c r="K10" s="260">
        <v>296.72620838986103</v>
      </c>
      <c r="L10" s="16">
        <f t="shared" si="0"/>
        <v>30</v>
      </c>
      <c r="M10" s="230">
        <f t="shared" si="1"/>
        <v>27</v>
      </c>
      <c r="N10" s="159">
        <f t="shared" si="2"/>
        <v>28</v>
      </c>
      <c r="O10" s="159">
        <f t="shared" si="3"/>
        <v>19</v>
      </c>
      <c r="P10" s="15">
        <v>0</v>
      </c>
      <c r="Q10" s="15">
        <v>0</v>
      </c>
      <c r="R10">
        <v>25</v>
      </c>
      <c r="S10" t="e" vm="1">
        <f t="shared" si="4"/>
        <v>#VALUE!</v>
      </c>
      <c r="T10" s="14">
        <f>Table234[[#This Row],[BDG]]/Table234[[#This Row],[Odds]]</f>
        <v>51.241844531355284</v>
      </c>
      <c r="U10" s="14" cm="1">
        <f t="array" ref="U10">MAX(_xlfn._xlws.FILTER(Table22[[B365]:[BFAIREXC]], Table22[PLAYER] = A10))</f>
        <v>4.43</v>
      </c>
      <c r="V10">
        <v>7</v>
      </c>
      <c r="X10" t="s">
        <v>795</v>
      </c>
      <c r="Y10" s="14">
        <v>160.1</v>
      </c>
      <c r="Z10" s="14">
        <v>209.05536713561773</v>
      </c>
      <c r="AA10" s="14">
        <f t="shared" si="5"/>
        <v>48.955367135617735</v>
      </c>
      <c r="AD10" t="s">
        <v>557</v>
      </c>
      <c r="AE10">
        <v>68.2</v>
      </c>
      <c r="AF10">
        <f t="shared" si="6"/>
        <v>3.2228739002932549</v>
      </c>
    </row>
    <row r="11" spans="1:32">
      <c r="A11" s="159" t="s">
        <v>410</v>
      </c>
      <c r="B11">
        <v>66</v>
      </c>
      <c r="C11">
        <v>132</v>
      </c>
      <c r="D11">
        <v>68</v>
      </c>
      <c r="E11">
        <v>67</v>
      </c>
      <c r="F11">
        <v>141</v>
      </c>
      <c r="G11">
        <v>125</v>
      </c>
      <c r="H11">
        <v>257.10000000000002</v>
      </c>
      <c r="I11" s="14">
        <v>409.25923606866263</v>
      </c>
      <c r="J11" s="259">
        <v>257.10000000000002</v>
      </c>
      <c r="K11" s="260">
        <v>409.25923606866263</v>
      </c>
      <c r="L11" s="16">
        <f t="shared" si="0"/>
        <v>59</v>
      </c>
      <c r="M11" s="230">
        <f t="shared" si="1"/>
        <v>70</v>
      </c>
      <c r="N11" s="159">
        <f t="shared" si="2"/>
        <v>55</v>
      </c>
      <c r="O11" s="159">
        <f t="shared" si="3"/>
        <v>68</v>
      </c>
      <c r="P11" s="15">
        <v>0</v>
      </c>
      <c r="Q11" s="15">
        <v>0.125</v>
      </c>
      <c r="R11">
        <v>20</v>
      </c>
      <c r="S11" t="e" vm="1">
        <f t="shared" si="4"/>
        <v>#VALUE!</v>
      </c>
      <c r="T11" s="14" t="e" vm="1">
        <f>Table234[[#This Row],[BDG]]/Table234[[#This Row],[Odds]]</f>
        <v>#VALUE!</v>
      </c>
      <c r="U11" s="14" t="e" cm="1" vm="2">
        <f t="array" ref="U11">MAX(_xlfn._xlws.FILTER(Table22[[B365]:[BFAIREXC]], Table22[PLAYER] = A11))</f>
        <v>#VALUE!</v>
      </c>
      <c r="V11">
        <v>7</v>
      </c>
      <c r="X11" t="s">
        <v>115</v>
      </c>
      <c r="Y11" s="14">
        <v>178</v>
      </c>
      <c r="Z11" s="14">
        <v>225.00415416428541</v>
      </c>
      <c r="AA11" s="14">
        <f t="shared" si="5"/>
        <v>47.00415416428541</v>
      </c>
      <c r="AD11" t="s">
        <v>170</v>
      </c>
      <c r="AE11">
        <v>68.2</v>
      </c>
      <c r="AF11" t="e">
        <f t="shared" si="6"/>
        <v>#N/A</v>
      </c>
    </row>
    <row r="12" spans="1:32">
      <c r="A12" s="159" t="s">
        <v>18</v>
      </c>
      <c r="B12">
        <v>17</v>
      </c>
      <c r="C12">
        <v>157</v>
      </c>
      <c r="D12">
        <v>17</v>
      </c>
      <c r="E12">
        <v>59</v>
      </c>
      <c r="F12">
        <v>12</v>
      </c>
      <c r="G12">
        <v>3</v>
      </c>
      <c r="H12">
        <v>131.9</v>
      </c>
      <c r="I12" s="14">
        <v>150.65798932627951</v>
      </c>
      <c r="J12" s="259">
        <v>134.27852346373493</v>
      </c>
      <c r="K12" s="260">
        <v>156.29944035874175</v>
      </c>
      <c r="L12" s="16">
        <f t="shared" si="0"/>
        <v>1</v>
      </c>
      <c r="M12" s="230">
        <f t="shared" si="1"/>
        <v>1</v>
      </c>
      <c r="N12" s="159">
        <f t="shared" si="2"/>
        <v>1</v>
      </c>
      <c r="O12" s="159">
        <f t="shared" si="3"/>
        <v>2</v>
      </c>
      <c r="P12" s="15">
        <v>0.14285714285714285</v>
      </c>
      <c r="Q12" s="15">
        <v>0.42857142857142855</v>
      </c>
      <c r="R12">
        <v>32</v>
      </c>
      <c r="S12" t="e" vm="1">
        <f t="shared" si="4"/>
        <v>#VALUE!</v>
      </c>
      <c r="T12" s="14" t="e" vm="1">
        <f>Table234[[#This Row],[BDG]]/Table234[[#This Row],[Odds]]</f>
        <v>#VALUE!</v>
      </c>
      <c r="U12" s="14" t="e" cm="1" vm="2">
        <f t="array" ref="U12">MAX(_xlfn._xlws.FILTER(Table22[[B365]:[BFAIREXC]], Table22[PLAYER] = A12))</f>
        <v>#VALUE!</v>
      </c>
      <c r="X12" t="s">
        <v>89</v>
      </c>
      <c r="Y12" s="14">
        <v>257.29999999999995</v>
      </c>
      <c r="Z12" s="14">
        <v>301.72656235870829</v>
      </c>
      <c r="AA12" s="14">
        <f t="shared" si="5"/>
        <v>44.426562358708338</v>
      </c>
      <c r="AD12" t="s">
        <v>68</v>
      </c>
      <c r="AE12">
        <v>68.290000000000006</v>
      </c>
      <c r="AF12">
        <f t="shared" si="6"/>
        <v>2.8896949235072933</v>
      </c>
    </row>
    <row r="13" spans="1:32">
      <c r="A13" s="159" t="s">
        <v>492</v>
      </c>
      <c r="B13">
        <v>20</v>
      </c>
      <c r="C13">
        <v>145</v>
      </c>
      <c r="D13">
        <v>21</v>
      </c>
      <c r="E13">
        <v>64</v>
      </c>
      <c r="F13">
        <v>31</v>
      </c>
      <c r="G13">
        <v>17</v>
      </c>
      <c r="H13">
        <v>142.30000000000001</v>
      </c>
      <c r="I13" s="14">
        <v>177.19647449075563</v>
      </c>
      <c r="J13" s="259">
        <v>142.30000000000001</v>
      </c>
      <c r="K13" s="260">
        <v>177.19647449075563</v>
      </c>
      <c r="L13" s="16">
        <f t="shared" si="0"/>
        <v>2</v>
      </c>
      <c r="M13" s="230">
        <f t="shared" si="1"/>
        <v>5</v>
      </c>
      <c r="N13" s="159">
        <f t="shared" si="2"/>
        <v>2</v>
      </c>
      <c r="O13" s="159">
        <f t="shared" si="3"/>
        <v>3</v>
      </c>
      <c r="P13" s="15">
        <v>0.125</v>
      </c>
      <c r="Q13" s="15">
        <v>0.375</v>
      </c>
      <c r="R13">
        <v>5</v>
      </c>
      <c r="S13" t="e" vm="1">
        <f t="shared" si="4"/>
        <v>#VALUE!</v>
      </c>
      <c r="T13" s="14" t="e" vm="1">
        <f>Table234[[#This Row],[BDG]]/Table234[[#This Row],[Odds]]</f>
        <v>#VALUE!</v>
      </c>
      <c r="U13" s="14" t="e" cm="1" vm="2">
        <f t="array" ref="U13">MAX(_xlfn._xlws.FILTER(Table22[[B365]:[BFAIREXC]], Table22[PLAYER] = A13))</f>
        <v>#VALUE!</v>
      </c>
      <c r="X13" t="s">
        <v>133</v>
      </c>
      <c r="Y13" s="14">
        <v>224.7</v>
      </c>
      <c r="Z13" s="14">
        <v>268.68723912153939</v>
      </c>
      <c r="AA13" s="14">
        <f t="shared" si="5"/>
        <v>43.987239121539403</v>
      </c>
      <c r="AD13" t="s">
        <v>487</v>
      </c>
      <c r="AE13">
        <v>68.290000000000006</v>
      </c>
      <c r="AF13" t="e">
        <f t="shared" si="6"/>
        <v>#N/A</v>
      </c>
    </row>
    <row r="14" spans="1:32">
      <c r="A14" s="159" t="s">
        <v>489</v>
      </c>
      <c r="B14">
        <v>95</v>
      </c>
      <c r="C14">
        <v>91</v>
      </c>
      <c r="D14">
        <v>18</v>
      </c>
      <c r="E14">
        <v>90</v>
      </c>
      <c r="F14">
        <v>40</v>
      </c>
      <c r="G14">
        <v>30</v>
      </c>
      <c r="H14">
        <v>180.6</v>
      </c>
      <c r="I14" s="14">
        <v>229.57367911343644</v>
      </c>
      <c r="J14" s="259">
        <v>180.6</v>
      </c>
      <c r="K14" s="260">
        <v>229.57367911343644</v>
      </c>
      <c r="L14" s="16">
        <f t="shared" si="0"/>
        <v>11</v>
      </c>
      <c r="M14" s="230">
        <f t="shared" si="1"/>
        <v>9</v>
      </c>
      <c r="N14" s="159">
        <f t="shared" si="2"/>
        <v>4</v>
      </c>
      <c r="O14" s="159">
        <f t="shared" si="3"/>
        <v>4</v>
      </c>
      <c r="P14" s="15">
        <v>0</v>
      </c>
      <c r="Q14" s="15">
        <v>0.14285714285714285</v>
      </c>
      <c r="R14">
        <v>101</v>
      </c>
      <c r="S14" t="e" vm="1">
        <f t="shared" si="4"/>
        <v>#VALUE!</v>
      </c>
      <c r="T14" s="14" t="e" vm="1">
        <f>Table234[[#This Row],[BDG]]/Table234[[#This Row],[Odds]]</f>
        <v>#VALUE!</v>
      </c>
      <c r="U14" s="14" t="e" cm="1" vm="2">
        <f t="array" ref="U14">MAX(_xlfn._xlws.FILTER(Table22[[B365]:[BFAIREXC]], Table22[PLAYER] = A14))</f>
        <v>#VALUE!</v>
      </c>
      <c r="X14" t="s">
        <v>142</v>
      </c>
      <c r="Y14" s="14">
        <v>249.59999999999997</v>
      </c>
      <c r="Z14" s="14">
        <v>292.65367724255537</v>
      </c>
      <c r="AA14" s="14">
        <f t="shared" si="5"/>
        <v>43.053677242555409</v>
      </c>
      <c r="AD14" t="s">
        <v>135</v>
      </c>
      <c r="AE14">
        <v>68.33</v>
      </c>
      <c r="AF14" t="e">
        <f t="shared" si="6"/>
        <v>#N/A</v>
      </c>
    </row>
    <row r="15" spans="1:32">
      <c r="A15" s="159" t="s">
        <v>64</v>
      </c>
      <c r="B15">
        <v>63</v>
      </c>
      <c r="C15">
        <v>123</v>
      </c>
      <c r="D15">
        <v>59</v>
      </c>
      <c r="E15">
        <v>103</v>
      </c>
      <c r="F15">
        <v>7</v>
      </c>
      <c r="G15">
        <v>4</v>
      </c>
      <c r="H15">
        <v>191.59999999999997</v>
      </c>
      <c r="I15" s="14">
        <v>224.95243670951629</v>
      </c>
      <c r="J15" s="259">
        <v>192.31390026039952</v>
      </c>
      <c r="K15" s="260">
        <v>232.64887018233526</v>
      </c>
      <c r="L15" s="16">
        <f t="shared" si="0"/>
        <v>14</v>
      </c>
      <c r="M15" s="230">
        <f t="shared" si="1"/>
        <v>8</v>
      </c>
      <c r="N15" s="159">
        <f t="shared" si="2"/>
        <v>7</v>
      </c>
      <c r="O15" s="159">
        <f t="shared" si="3"/>
        <v>5</v>
      </c>
      <c r="P15" s="15">
        <v>0</v>
      </c>
      <c r="Q15" s="15">
        <v>0.5</v>
      </c>
      <c r="R15">
        <v>11</v>
      </c>
      <c r="S15" t="e" vm="1">
        <f t="shared" si="4"/>
        <v>#VALUE!</v>
      </c>
      <c r="T15" s="14" t="e" vm="1">
        <f>Table234[[#This Row],[BDG]]/Table234[[#This Row],[Odds]]</f>
        <v>#VALUE!</v>
      </c>
      <c r="U15" s="14" t="e" cm="1" vm="2">
        <f t="array" ref="U15">MAX(_xlfn._xlws.FILTER(Table22[[B365]:[BFAIREXC]], Table22[PLAYER] = A15))</f>
        <v>#VALUE!</v>
      </c>
      <c r="X15" t="s">
        <v>121</v>
      </c>
      <c r="Y15" s="14">
        <v>168.3</v>
      </c>
      <c r="Z15" s="14">
        <v>209.81604591246415</v>
      </c>
      <c r="AA15" s="14">
        <f t="shared" si="5"/>
        <v>41.516045912464136</v>
      </c>
      <c r="AD15" t="s">
        <v>73</v>
      </c>
      <c r="AE15">
        <v>68.38</v>
      </c>
      <c r="AF15" t="e">
        <f t="shared" si="6"/>
        <v>#N/A</v>
      </c>
    </row>
    <row r="16" spans="1:32">
      <c r="A16" s="159" t="s">
        <v>68</v>
      </c>
      <c r="B16">
        <v>60</v>
      </c>
      <c r="C16">
        <v>113</v>
      </c>
      <c r="D16">
        <v>115</v>
      </c>
      <c r="E16">
        <v>7</v>
      </c>
      <c r="F16">
        <v>47</v>
      </c>
      <c r="G16">
        <v>28</v>
      </c>
      <c r="H16">
        <v>205.3</v>
      </c>
      <c r="I16" s="14">
        <v>252.26453089550364</v>
      </c>
      <c r="J16" s="259">
        <v>197.33726632631308</v>
      </c>
      <c r="K16" s="260">
        <v>247.47756509501204</v>
      </c>
      <c r="L16" s="16">
        <f t="shared" si="0"/>
        <v>21</v>
      </c>
      <c r="M16" s="230">
        <f t="shared" si="1"/>
        <v>17</v>
      </c>
      <c r="N16" s="159">
        <f t="shared" si="2"/>
        <v>8</v>
      </c>
      <c r="O16" s="159">
        <f t="shared" si="3"/>
        <v>8</v>
      </c>
      <c r="P16" s="15">
        <v>0</v>
      </c>
      <c r="Q16" s="15">
        <v>0.42857142857142855</v>
      </c>
      <c r="R16">
        <v>-14</v>
      </c>
      <c r="S16" t="e" vm="1">
        <f t="shared" si="4"/>
        <v>#VALUE!</v>
      </c>
      <c r="T16" s="14" t="e" vm="1">
        <f>Table234[[#This Row],[BDG]]/Table234[[#This Row],[Odds]]</f>
        <v>#VALUE!</v>
      </c>
      <c r="U16" s="14" t="e" cm="1" vm="2">
        <f t="array" ref="U16">MAX(_xlfn._xlws.FILTER(Table22[[B365]:[BFAIREXC]], Table22[PLAYER] = A16))</f>
        <v>#VALUE!</v>
      </c>
      <c r="X16" t="s">
        <v>33</v>
      </c>
      <c r="Y16" s="14">
        <v>212.79999999999998</v>
      </c>
      <c r="Z16" s="14">
        <v>248.70437800018908</v>
      </c>
      <c r="AA16" s="14">
        <f t="shared" si="5"/>
        <v>35.904378000189098</v>
      </c>
      <c r="AD16" t="s">
        <v>132</v>
      </c>
      <c r="AE16">
        <v>68.5</v>
      </c>
      <c r="AF16" t="e">
        <f t="shared" si="6"/>
        <v>#N/A</v>
      </c>
    </row>
    <row r="17" spans="1:32">
      <c r="A17" s="159" t="s">
        <v>558</v>
      </c>
      <c r="B17">
        <v>34</v>
      </c>
      <c r="C17">
        <v>84</v>
      </c>
      <c r="D17">
        <v>29</v>
      </c>
      <c r="E17">
        <v>139</v>
      </c>
      <c r="F17">
        <v>124</v>
      </c>
      <c r="G17">
        <v>23</v>
      </c>
      <c r="H17">
        <v>203.7</v>
      </c>
      <c r="I17" s="14">
        <v>264.22457347057968</v>
      </c>
      <c r="J17" s="259">
        <v>203.7</v>
      </c>
      <c r="K17" s="260">
        <v>264.22457347057968</v>
      </c>
      <c r="L17" s="16">
        <f t="shared" si="0"/>
        <v>20</v>
      </c>
      <c r="M17" s="230">
        <f t="shared" si="1"/>
        <v>20</v>
      </c>
      <c r="N17" s="159">
        <f t="shared" si="2"/>
        <v>10</v>
      </c>
      <c r="O17" s="159">
        <f t="shared" si="3"/>
        <v>11</v>
      </c>
      <c r="P17" s="15">
        <v>0</v>
      </c>
      <c r="Q17" s="15">
        <v>0</v>
      </c>
      <c r="R17" t="e">
        <v>#N/A</v>
      </c>
      <c r="S17" t="e" vm="1">
        <f t="shared" si="4"/>
        <v>#VALUE!</v>
      </c>
      <c r="T17" s="14">
        <f>Table234[[#This Row],[BDG]]/Table234[[#This Row],[Odds]]</f>
        <v>12.97452229299363</v>
      </c>
      <c r="U17" s="14" cm="1">
        <f t="array" ref="U17">MAX(_xlfn._xlws.FILTER(Table22[[B365]:[BFAIREXC]], Table22[PLAYER] = A17))</f>
        <v>15.7</v>
      </c>
      <c r="X17" t="s">
        <v>87</v>
      </c>
      <c r="Y17" s="14">
        <v>224.1</v>
      </c>
      <c r="Z17" s="14">
        <v>258.57657747939004</v>
      </c>
      <c r="AA17" s="14">
        <f t="shared" si="5"/>
        <v>34.476577479390045</v>
      </c>
      <c r="AD17" t="s">
        <v>361</v>
      </c>
      <c r="AE17">
        <v>68.5</v>
      </c>
      <c r="AF17" t="e">
        <f t="shared" si="6"/>
        <v>#N/A</v>
      </c>
    </row>
    <row r="18" spans="1:32">
      <c r="A18" s="159" t="s">
        <v>95</v>
      </c>
      <c r="B18">
        <v>137</v>
      </c>
      <c r="C18">
        <v>9</v>
      </c>
      <c r="D18">
        <v>72</v>
      </c>
      <c r="E18">
        <v>42</v>
      </c>
      <c r="F18">
        <v>72</v>
      </c>
      <c r="G18">
        <v>22</v>
      </c>
      <c r="H18">
        <v>203.6</v>
      </c>
      <c r="I18" s="14">
        <v>241.2670303954888</v>
      </c>
      <c r="J18" s="259">
        <v>207.27589989849943</v>
      </c>
      <c r="K18" s="260">
        <v>258.20066223808624</v>
      </c>
      <c r="L18" s="16">
        <f t="shared" si="0"/>
        <v>19</v>
      </c>
      <c r="M18" s="230">
        <f t="shared" si="1"/>
        <v>14</v>
      </c>
      <c r="N18" s="159">
        <f t="shared" si="2"/>
        <v>11</v>
      </c>
      <c r="O18" s="159">
        <f t="shared" si="3"/>
        <v>9</v>
      </c>
      <c r="P18" s="15">
        <v>0</v>
      </c>
      <c r="Q18" s="15">
        <v>0.16666666666666666</v>
      </c>
      <c r="R18">
        <v>55</v>
      </c>
      <c r="S18" t="e" vm="1">
        <f t="shared" si="4"/>
        <v>#VALUE!</v>
      </c>
      <c r="T18" s="14">
        <f>Table234[[#This Row],[BDG]]/Table234[[#This Row],[Odds]]</f>
        <v>70.502006768197091</v>
      </c>
      <c r="U18" s="14" cm="1">
        <f t="array" ref="U18">MAX(_xlfn._xlws.FILTER(Table22[[B365]:[BFAIREXC]], Table22[PLAYER] = A18))</f>
        <v>2.94</v>
      </c>
      <c r="X18" t="s">
        <v>14</v>
      </c>
      <c r="Y18" s="14">
        <v>180.2</v>
      </c>
      <c r="Z18" s="14">
        <v>210.25760351177286</v>
      </c>
      <c r="AA18" s="14">
        <f t="shared" si="5"/>
        <v>30.057603511772868</v>
      </c>
      <c r="AD18" t="s">
        <v>493</v>
      </c>
      <c r="AE18">
        <v>68.569999999999993</v>
      </c>
      <c r="AF18">
        <f t="shared" si="6"/>
        <v>2.9517281610033548</v>
      </c>
    </row>
    <row r="19" spans="1:32">
      <c r="A19" s="387" t="s">
        <v>795</v>
      </c>
      <c r="B19">
        <v>94</v>
      </c>
      <c r="C19">
        <v>121</v>
      </c>
      <c r="D19">
        <v>32</v>
      </c>
      <c r="E19">
        <v>16</v>
      </c>
      <c r="F19">
        <v>10</v>
      </c>
      <c r="G19">
        <v>5</v>
      </c>
      <c r="H19">
        <v>160.1</v>
      </c>
      <c r="I19" s="14">
        <v>169.4318642882657</v>
      </c>
      <c r="J19" s="259">
        <v>209.05536713561773</v>
      </c>
      <c r="K19" s="260">
        <v>264.43976090651967</v>
      </c>
      <c r="L19" s="16">
        <f t="shared" si="0"/>
        <v>4</v>
      </c>
      <c r="M19" s="230">
        <f t="shared" si="1"/>
        <v>3</v>
      </c>
      <c r="N19" s="159">
        <f t="shared" si="2"/>
        <v>12</v>
      </c>
      <c r="O19" s="159">
        <f t="shared" si="3"/>
        <v>12</v>
      </c>
      <c r="P19" s="15">
        <v>0</v>
      </c>
      <c r="Q19" s="15">
        <v>0</v>
      </c>
      <c r="R19" t="e">
        <v>#N/A</v>
      </c>
      <c r="S19" t="e" vm="1">
        <f t="shared" si="4"/>
        <v>#VALUE!</v>
      </c>
      <c r="T19" s="14" t="e" vm="1">
        <f>Table234[[#This Row],[BDG]]/Table234[[#This Row],[Odds]]</f>
        <v>#VALUE!</v>
      </c>
      <c r="U19" s="14" t="e" cm="1" vm="2">
        <f t="array" ref="U19">MAX(_xlfn._xlws.FILTER(Table22[[B365]:[BFAIREXC]], Table22[PLAYER] = A19))</f>
        <v>#VALUE!</v>
      </c>
      <c r="X19" t="s">
        <v>136</v>
      </c>
      <c r="Y19" s="14">
        <v>234.20000000000002</v>
      </c>
      <c r="Z19" s="14">
        <v>262.92075662991897</v>
      </c>
      <c r="AA19" s="14">
        <f t="shared" si="5"/>
        <v>28.720756629918952</v>
      </c>
      <c r="AD19" t="s">
        <v>90</v>
      </c>
      <c r="AE19">
        <v>68.67</v>
      </c>
      <c r="AF19" t="e">
        <f t="shared" si="6"/>
        <v>#N/A</v>
      </c>
    </row>
    <row r="20" spans="1:32">
      <c r="A20" s="159" t="s">
        <v>121</v>
      </c>
      <c r="B20">
        <v>127</v>
      </c>
      <c r="C20">
        <v>12</v>
      </c>
      <c r="D20">
        <v>31</v>
      </c>
      <c r="E20">
        <v>68</v>
      </c>
      <c r="F20">
        <v>49</v>
      </c>
      <c r="G20">
        <v>7</v>
      </c>
      <c r="H20">
        <v>168.3</v>
      </c>
      <c r="I20" s="14">
        <v>189.77281064507287</v>
      </c>
      <c r="J20" s="259">
        <v>209.81604591246415</v>
      </c>
      <c r="K20" s="260">
        <v>276.57084838210613</v>
      </c>
      <c r="L20" s="16">
        <f t="shared" si="0"/>
        <v>6</v>
      </c>
      <c r="M20" s="230">
        <f t="shared" si="1"/>
        <v>6</v>
      </c>
      <c r="N20" s="159">
        <f t="shared" si="2"/>
        <v>13</v>
      </c>
      <c r="O20" s="159">
        <f t="shared" si="3"/>
        <v>16</v>
      </c>
      <c r="P20" s="15">
        <v>0</v>
      </c>
      <c r="Q20" s="15">
        <v>0.125</v>
      </c>
      <c r="R20">
        <v>4</v>
      </c>
      <c r="S20" t="e" vm="1">
        <f t="shared" si="4"/>
        <v>#VALUE!</v>
      </c>
      <c r="T20" s="14">
        <f>Table234[[#This Row],[BDG]]/Table234[[#This Row],[Odds]]</f>
        <v>46.317007927696274</v>
      </c>
      <c r="U20" s="14" cm="1">
        <f t="array" ref="U20">MAX(_xlfn._xlws.FILTER(Table22[[B365]:[BFAIREXC]], Table22[PLAYER] = A20))</f>
        <v>4.53</v>
      </c>
      <c r="X20" t="s">
        <v>632</v>
      </c>
      <c r="Y20" s="14">
        <v>227</v>
      </c>
      <c r="Z20" s="14">
        <v>255.12355160439245</v>
      </c>
      <c r="AA20" s="14">
        <f t="shared" si="5"/>
        <v>28.123551604392446</v>
      </c>
      <c r="AD20" t="s">
        <v>10</v>
      </c>
      <c r="AE20">
        <v>68.75</v>
      </c>
      <c r="AF20" t="e">
        <f t="shared" si="6"/>
        <v>#N/A</v>
      </c>
    </row>
    <row r="21" spans="1:32">
      <c r="A21" s="159" t="s">
        <v>14</v>
      </c>
      <c r="B21">
        <v>28</v>
      </c>
      <c r="C21">
        <v>68</v>
      </c>
      <c r="D21">
        <v>9</v>
      </c>
      <c r="E21">
        <v>122</v>
      </c>
      <c r="F21">
        <v>143</v>
      </c>
      <c r="G21">
        <v>27</v>
      </c>
      <c r="H21">
        <v>180.2</v>
      </c>
      <c r="I21" s="14">
        <v>238.62854582322723</v>
      </c>
      <c r="J21" s="259">
        <v>210.25760351177286</v>
      </c>
      <c r="K21" s="260">
        <v>297.01709533481619</v>
      </c>
      <c r="L21" s="16">
        <f t="shared" si="0"/>
        <v>10</v>
      </c>
      <c r="M21" s="230">
        <f t="shared" si="1"/>
        <v>13</v>
      </c>
      <c r="N21" s="159">
        <f t="shared" si="2"/>
        <v>14</v>
      </c>
      <c r="O21" s="159">
        <f t="shared" si="3"/>
        <v>20</v>
      </c>
      <c r="P21" s="15">
        <v>0</v>
      </c>
      <c r="Q21" s="15">
        <v>0.22222222222222221</v>
      </c>
      <c r="R21">
        <v>-6</v>
      </c>
      <c r="S21" t="e" vm="1">
        <f t="shared" si="4"/>
        <v>#VALUE!</v>
      </c>
      <c r="T21" s="14" t="e" vm="1">
        <f>Table234[[#This Row],[BDG]]/Table234[[#This Row],[Odds]]</f>
        <v>#VALUE!</v>
      </c>
      <c r="U21" s="14" t="e" cm="1" vm="2">
        <f t="array" ref="U21">MAX(_xlfn._xlws.FILTER(Table22[[B365]:[BFAIREXC]], Table22[PLAYER] = A21))</f>
        <v>#VALUE!</v>
      </c>
      <c r="X21" t="s">
        <v>91</v>
      </c>
      <c r="Y21" s="14">
        <v>259.5</v>
      </c>
      <c r="Z21" s="14">
        <v>284.82286596744052</v>
      </c>
      <c r="AA21" s="14">
        <f t="shared" si="5"/>
        <v>25.322865967440521</v>
      </c>
      <c r="AD21" t="s">
        <v>88</v>
      </c>
      <c r="AE21">
        <v>68.75</v>
      </c>
      <c r="AF21" t="e">
        <f t="shared" si="6"/>
        <v>#N/A</v>
      </c>
    </row>
    <row r="22" spans="1:32">
      <c r="A22" s="159" t="s">
        <v>162</v>
      </c>
      <c r="B22">
        <v>138</v>
      </c>
      <c r="C22">
        <v>24</v>
      </c>
      <c r="D22">
        <v>33</v>
      </c>
      <c r="E22">
        <v>58</v>
      </c>
      <c r="F22">
        <v>68</v>
      </c>
      <c r="G22">
        <v>47</v>
      </c>
      <c r="H22">
        <v>188.89999999999998</v>
      </c>
      <c r="I22" s="14">
        <v>248.57044070482902</v>
      </c>
      <c r="J22" s="259">
        <v>210.97599266773886</v>
      </c>
      <c r="K22" s="260">
        <v>268.06260238109172</v>
      </c>
      <c r="L22" s="16">
        <f t="shared" si="0"/>
        <v>13</v>
      </c>
      <c r="M22" s="230">
        <f t="shared" si="1"/>
        <v>16</v>
      </c>
      <c r="N22" s="159">
        <f t="shared" si="2"/>
        <v>15</v>
      </c>
      <c r="O22" s="159">
        <f t="shared" si="3"/>
        <v>13</v>
      </c>
      <c r="P22" s="15">
        <v>0</v>
      </c>
      <c r="Q22" s="15">
        <v>0.125</v>
      </c>
      <c r="R22">
        <v>-21</v>
      </c>
      <c r="S22" t="e" vm="1">
        <f t="shared" si="4"/>
        <v>#VALUE!</v>
      </c>
      <c r="T22" s="14">
        <f>Table234[[#This Row],[BDG]]/Table234[[#This Row],[Odds]]</f>
        <v>42.881299322711151</v>
      </c>
      <c r="U22" s="14" cm="1">
        <f t="array" ref="U22">MAX(_xlfn._xlws.FILTER(Table22[[B365]:[BFAIREXC]], Table22[PLAYER] = A22))</f>
        <v>4.92</v>
      </c>
      <c r="X22" t="s">
        <v>122</v>
      </c>
      <c r="Y22" s="14">
        <v>192.1</v>
      </c>
      <c r="Z22" s="14">
        <v>215.60379318853791</v>
      </c>
      <c r="AA22" s="14">
        <f t="shared" si="5"/>
        <v>23.503793188537912</v>
      </c>
      <c r="AD22" t="s">
        <v>563</v>
      </c>
      <c r="AE22">
        <v>68.83</v>
      </c>
      <c r="AF22">
        <f t="shared" si="6"/>
        <v>3.7018741827691417</v>
      </c>
    </row>
    <row r="23" spans="1:32">
      <c r="A23" s="159" t="s">
        <v>100</v>
      </c>
      <c r="B23">
        <v>75</v>
      </c>
      <c r="C23">
        <v>107</v>
      </c>
      <c r="D23">
        <v>11</v>
      </c>
      <c r="E23">
        <v>14</v>
      </c>
      <c r="F23">
        <v>82</v>
      </c>
      <c r="G23">
        <v>11</v>
      </c>
      <c r="H23">
        <v>160.30000000000001</v>
      </c>
      <c r="I23" s="14">
        <v>175.08386337519619</v>
      </c>
      <c r="J23" s="259">
        <v>212.6343806277491</v>
      </c>
      <c r="K23" s="260">
        <v>274.45770939719029</v>
      </c>
      <c r="L23" s="16">
        <f t="shared" si="0"/>
        <v>5</v>
      </c>
      <c r="M23" s="230">
        <f t="shared" si="1"/>
        <v>4</v>
      </c>
      <c r="N23" s="159">
        <f t="shared" si="2"/>
        <v>16</v>
      </c>
      <c r="O23" s="159">
        <f t="shared" si="3"/>
        <v>15</v>
      </c>
      <c r="P23" s="15">
        <v>0</v>
      </c>
      <c r="Q23" s="15">
        <v>0.375</v>
      </c>
      <c r="R23">
        <v>22</v>
      </c>
      <c r="S23" t="e" vm="1">
        <f t="shared" si="4"/>
        <v>#VALUE!</v>
      </c>
      <c r="T23" s="14" t="e" vm="1">
        <f>Table234[[#This Row],[BDG]]/Table234[[#This Row],[Odds]]</f>
        <v>#VALUE!</v>
      </c>
      <c r="U23" s="14" t="e" cm="1" vm="2">
        <f t="array" ref="U23">MAX(_xlfn._xlws.FILTER(Table22[[B365]:[BFAIREXC]], Table22[PLAYER] = A23))</f>
        <v>#VALUE!</v>
      </c>
      <c r="X23" t="s">
        <v>149</v>
      </c>
      <c r="Y23" s="14">
        <v>247.5</v>
      </c>
      <c r="Z23" s="14">
        <v>270.12514671420001</v>
      </c>
      <c r="AA23" s="14">
        <f t="shared" si="5"/>
        <v>22.625146714200014</v>
      </c>
      <c r="AD23" t="s">
        <v>445</v>
      </c>
      <c r="AE23">
        <v>68.86</v>
      </c>
      <c r="AF23">
        <f t="shared" si="6"/>
        <v>5.0319488817891376</v>
      </c>
    </row>
    <row r="24" spans="1:32">
      <c r="A24" s="159" t="s">
        <v>491</v>
      </c>
      <c r="B24">
        <v>180</v>
      </c>
      <c r="C24">
        <v>3</v>
      </c>
      <c r="D24">
        <v>87</v>
      </c>
      <c r="E24">
        <v>174</v>
      </c>
      <c r="F24">
        <v>18</v>
      </c>
      <c r="G24">
        <v>144</v>
      </c>
      <c r="H24">
        <v>267</v>
      </c>
      <c r="I24" s="14">
        <v>453.75800481089362</v>
      </c>
      <c r="J24" s="259">
        <v>215.12553588616214</v>
      </c>
      <c r="K24" s="260">
        <v>321.78086308749869</v>
      </c>
      <c r="L24" s="16">
        <f t="shared" si="0"/>
        <v>70</v>
      </c>
      <c r="M24" s="230">
        <f t="shared" si="1"/>
        <v>84</v>
      </c>
      <c r="N24" s="159">
        <f t="shared" si="2"/>
        <v>17</v>
      </c>
      <c r="O24" s="159">
        <f t="shared" si="3"/>
        <v>31</v>
      </c>
      <c r="P24" s="15">
        <v>0</v>
      </c>
      <c r="Q24" s="15">
        <v>0</v>
      </c>
      <c r="R24">
        <v>16</v>
      </c>
      <c r="S24" t="e" vm="1">
        <f t="shared" si="4"/>
        <v>#VALUE!</v>
      </c>
      <c r="T24" s="14" t="e" vm="1">
        <f>Table234[[#This Row],[BDG]]/Table234[[#This Row],[Odds]]</f>
        <v>#VALUE!</v>
      </c>
      <c r="U24" s="14" t="e" cm="1" vm="2">
        <f t="array" ref="U24">MAX(_xlfn._xlws.FILTER(Table22[[B365]:[BFAIREXC]], Table22[PLAYER] = A24))</f>
        <v>#VALUE!</v>
      </c>
      <c r="X24" t="s">
        <v>162</v>
      </c>
      <c r="Y24" s="14">
        <v>188.89999999999998</v>
      </c>
      <c r="Z24" s="14">
        <v>210.97599266773886</v>
      </c>
      <c r="AA24" s="14">
        <f t="shared" si="5"/>
        <v>22.075992667738888</v>
      </c>
      <c r="AD24" t="s">
        <v>42</v>
      </c>
      <c r="AE24">
        <v>68.86</v>
      </c>
      <c r="AF24" t="e">
        <f t="shared" si="6"/>
        <v>#N/A</v>
      </c>
    </row>
    <row r="25" spans="1:32">
      <c r="A25" s="159" t="s">
        <v>122</v>
      </c>
      <c r="B25">
        <v>130</v>
      </c>
      <c r="C25">
        <v>4</v>
      </c>
      <c r="D25">
        <v>63</v>
      </c>
      <c r="E25">
        <v>30</v>
      </c>
      <c r="F25">
        <v>86</v>
      </c>
      <c r="G25">
        <v>54</v>
      </c>
      <c r="H25">
        <v>192.1</v>
      </c>
      <c r="I25" s="14">
        <v>258.49869555779594</v>
      </c>
      <c r="J25" s="259">
        <v>215.60379318853791</v>
      </c>
      <c r="K25" s="260">
        <v>295.92858408405408</v>
      </c>
      <c r="L25" s="16">
        <f t="shared" si="0"/>
        <v>15</v>
      </c>
      <c r="M25" s="230">
        <f t="shared" si="1"/>
        <v>19</v>
      </c>
      <c r="N25" s="159">
        <f t="shared" si="2"/>
        <v>18</v>
      </c>
      <c r="O25" s="159">
        <f t="shared" si="3"/>
        <v>18</v>
      </c>
      <c r="P25" s="15">
        <v>0</v>
      </c>
      <c r="Q25" s="15">
        <v>0.125</v>
      </c>
      <c r="R25">
        <v>20</v>
      </c>
      <c r="S25" t="e" vm="1">
        <f t="shared" si="4"/>
        <v>#VALUE!</v>
      </c>
      <c r="T25" s="14">
        <f>Table234[[#This Row],[BDG]]/Table234[[#This Row],[Odds]]</f>
        <v>46.56669399320473</v>
      </c>
      <c r="U25" s="14" cm="1">
        <f t="array" ref="U25">MAX(_xlfn._xlws.FILTER(Table22[[B365]:[BFAIREXC]], Table22[PLAYER] = A25))</f>
        <v>4.63</v>
      </c>
      <c r="X25" t="s">
        <v>137</v>
      </c>
      <c r="Y25" s="14">
        <v>258.89999999999998</v>
      </c>
      <c r="Z25" s="14">
        <v>280.81124645380044</v>
      </c>
      <c r="AA25" s="14">
        <f t="shared" si="5"/>
        <v>21.911246453800459</v>
      </c>
      <c r="AD25" t="s">
        <v>121</v>
      </c>
      <c r="AE25">
        <v>68.88</v>
      </c>
      <c r="AF25">
        <f t="shared" si="6"/>
        <v>3.0461098419347294</v>
      </c>
    </row>
    <row r="26" spans="1:32">
      <c r="A26" s="159" t="s">
        <v>118</v>
      </c>
      <c r="B26">
        <v>129</v>
      </c>
      <c r="C26">
        <v>45</v>
      </c>
      <c r="D26">
        <v>52</v>
      </c>
      <c r="E26">
        <v>53</v>
      </c>
      <c r="F26">
        <v>65</v>
      </c>
      <c r="G26">
        <v>53</v>
      </c>
      <c r="H26">
        <v>202.89999999999998</v>
      </c>
      <c r="I26" s="14">
        <v>271.07388648381902</v>
      </c>
      <c r="J26" s="259">
        <v>217.01325899405197</v>
      </c>
      <c r="K26" s="260">
        <v>291.1228278343404</v>
      </c>
      <c r="L26" s="16">
        <f t="shared" si="0"/>
        <v>18</v>
      </c>
      <c r="M26" s="230">
        <f t="shared" si="1"/>
        <v>22</v>
      </c>
      <c r="N26" s="159">
        <f t="shared" si="2"/>
        <v>19</v>
      </c>
      <c r="O26" s="159">
        <f t="shared" si="3"/>
        <v>17</v>
      </c>
      <c r="P26" s="15">
        <v>0</v>
      </c>
      <c r="Q26" s="15">
        <v>0</v>
      </c>
      <c r="R26">
        <v>10</v>
      </c>
      <c r="S26" t="e" vm="1">
        <f t="shared" si="4"/>
        <v>#VALUE!</v>
      </c>
      <c r="T26" s="14" t="e" vm="1">
        <f>Table234[[#This Row],[BDG]]/Table234[[#This Row],[Odds]]</f>
        <v>#VALUE!</v>
      </c>
      <c r="U26" s="14" t="e" cm="1" vm="2">
        <f t="array" ref="U26">MAX(_xlfn._xlws.FILTER(Table22[[B365]:[BFAIREXC]], Table22[PLAYER] = A26))</f>
        <v>#VALUE!</v>
      </c>
      <c r="X26" t="s">
        <v>80</v>
      </c>
      <c r="Y26" s="14">
        <v>265.59999999999997</v>
      </c>
      <c r="Z26" s="14">
        <v>285.2408376929626</v>
      </c>
      <c r="AA26" s="14">
        <f t="shared" si="5"/>
        <v>19.640837692962634</v>
      </c>
      <c r="AD26" t="s">
        <v>128</v>
      </c>
      <c r="AE26">
        <v>68.88</v>
      </c>
      <c r="AF26">
        <f t="shared" si="6"/>
        <v>3.18411321906853</v>
      </c>
    </row>
    <row r="27" spans="1:32">
      <c r="A27" s="159" t="s">
        <v>128</v>
      </c>
      <c r="B27">
        <v>149</v>
      </c>
      <c r="C27">
        <v>10</v>
      </c>
      <c r="D27">
        <v>32</v>
      </c>
      <c r="E27">
        <v>35</v>
      </c>
      <c r="F27">
        <v>130</v>
      </c>
      <c r="G27">
        <v>14</v>
      </c>
      <c r="H27">
        <v>210.7</v>
      </c>
      <c r="I27" s="14">
        <v>233.5176350764882</v>
      </c>
      <c r="J27" s="259">
        <v>219.32171852944032</v>
      </c>
      <c r="K27" s="260">
        <v>262.48304975677786</v>
      </c>
      <c r="L27" s="16">
        <f t="shared" si="0"/>
        <v>25</v>
      </c>
      <c r="M27" s="230">
        <f t="shared" si="1"/>
        <v>10</v>
      </c>
      <c r="N27" s="159">
        <f t="shared" si="2"/>
        <v>20</v>
      </c>
      <c r="O27" s="159">
        <f t="shared" si="3"/>
        <v>10</v>
      </c>
      <c r="P27" s="15">
        <v>0</v>
      </c>
      <c r="Q27" s="15">
        <v>0.125</v>
      </c>
      <c r="R27">
        <v>28</v>
      </c>
      <c r="S27" t="e" vm="1">
        <f t="shared" si="4"/>
        <v>#VALUE!</v>
      </c>
      <c r="T27" s="14" t="e" vm="1">
        <f>Table234[[#This Row],[BDG]]/Table234[[#This Row],[Odds]]</f>
        <v>#VALUE!</v>
      </c>
      <c r="U27" s="14" t="e" cm="1" vm="2">
        <f t="array" ref="U27">MAX(_xlfn._xlws.FILTER(Table22[[B365]:[BFAIREXC]], Table22[PLAYER] = A27))</f>
        <v>#VALUE!</v>
      </c>
      <c r="X27" t="s">
        <v>147</v>
      </c>
      <c r="Y27" s="14">
        <v>266.39999999999998</v>
      </c>
      <c r="Z27" s="14">
        <v>285.12615298432576</v>
      </c>
      <c r="AA27" s="14">
        <f t="shared" si="5"/>
        <v>18.726152984325779</v>
      </c>
      <c r="AD27" t="s">
        <v>65</v>
      </c>
      <c r="AE27">
        <v>68.89</v>
      </c>
      <c r="AF27" t="e">
        <f t="shared" si="6"/>
        <v>#N/A</v>
      </c>
    </row>
    <row r="28" spans="1:32">
      <c r="A28" s="159" t="s">
        <v>557</v>
      </c>
      <c r="B28">
        <v>18</v>
      </c>
      <c r="C28">
        <v>129</v>
      </c>
      <c r="D28">
        <v>149</v>
      </c>
      <c r="E28">
        <v>81</v>
      </c>
      <c r="F28">
        <v>12</v>
      </c>
      <c r="G28">
        <v>41</v>
      </c>
      <c r="H28">
        <v>219.79999999999998</v>
      </c>
      <c r="I28" s="14">
        <v>302.73080653117484</v>
      </c>
      <c r="J28" s="259">
        <v>219.79999999999998</v>
      </c>
      <c r="K28" s="260">
        <v>302.73080653117484</v>
      </c>
      <c r="L28" s="16">
        <f t="shared" si="0"/>
        <v>29</v>
      </c>
      <c r="M28" s="230">
        <f t="shared" si="1"/>
        <v>28</v>
      </c>
      <c r="N28" s="159">
        <f t="shared" si="2"/>
        <v>21</v>
      </c>
      <c r="O28" s="159">
        <f t="shared" si="3"/>
        <v>21</v>
      </c>
      <c r="P28" s="15">
        <v>0</v>
      </c>
      <c r="Q28" s="15">
        <v>0.2</v>
      </c>
      <c r="R28">
        <v>-39</v>
      </c>
      <c r="S28" t="e" vm="1">
        <f t="shared" si="4"/>
        <v>#VALUE!</v>
      </c>
      <c r="T28" s="14">
        <f>Table234[[#This Row],[BDG]]/Table234[[#This Row],[Odds]]</f>
        <v>25.858823529411762</v>
      </c>
      <c r="U28" s="14" cm="1">
        <f t="array" ref="U28">MAX(_xlfn._xlws.FILTER(Table22[[B365]:[BFAIREXC]], Table22[PLAYER] = A28))</f>
        <v>8.5</v>
      </c>
      <c r="X28" t="s">
        <v>8</v>
      </c>
      <c r="Y28" s="14">
        <v>263.5</v>
      </c>
      <c r="Z28" s="14">
        <v>280.79835246352673</v>
      </c>
      <c r="AA28" s="14">
        <f t="shared" si="5"/>
        <v>17.298352463526726</v>
      </c>
      <c r="AD28" t="s">
        <v>63</v>
      </c>
      <c r="AE28">
        <v>69</v>
      </c>
      <c r="AF28">
        <f t="shared" si="6"/>
        <v>3.776914965682447</v>
      </c>
    </row>
    <row r="29" spans="1:32">
      <c r="A29" s="159" t="s">
        <v>370</v>
      </c>
      <c r="B29">
        <v>97</v>
      </c>
      <c r="C29">
        <v>38</v>
      </c>
      <c r="D29">
        <v>73</v>
      </c>
      <c r="E29">
        <v>123</v>
      </c>
      <c r="F29">
        <v>54</v>
      </c>
      <c r="G29">
        <v>35</v>
      </c>
      <c r="H29">
        <v>214.2</v>
      </c>
      <c r="I29" s="14">
        <v>284.46565361217677</v>
      </c>
      <c r="J29" s="259">
        <v>220.73493315288786</v>
      </c>
      <c r="K29" s="260">
        <v>315.61897846586663</v>
      </c>
      <c r="L29" s="16">
        <f t="shared" si="0"/>
        <v>27</v>
      </c>
      <c r="M29" s="230">
        <f t="shared" si="1"/>
        <v>24</v>
      </c>
      <c r="N29" s="159">
        <f t="shared" si="2"/>
        <v>22</v>
      </c>
      <c r="O29" s="159">
        <f t="shared" si="3"/>
        <v>27</v>
      </c>
      <c r="P29" s="15">
        <v>0</v>
      </c>
      <c r="Q29" s="15">
        <v>0</v>
      </c>
      <c r="R29">
        <v>-15</v>
      </c>
      <c r="S29" t="e" vm="1">
        <f t="shared" si="4"/>
        <v>#VALUE!</v>
      </c>
      <c r="T29" s="14" t="e" vm="1">
        <f>Table234[[#This Row],[BDG]]/Table234[[#This Row],[Odds]]</f>
        <v>#VALUE!</v>
      </c>
      <c r="U29" s="14" t="e" cm="1" vm="2">
        <f t="array" ref="U29">MAX(_xlfn._xlws.FILTER(Table22[[B365]:[BFAIREXC]], Table22[PLAYER] = A29))</f>
        <v>#VALUE!</v>
      </c>
      <c r="X29" t="s">
        <v>37</v>
      </c>
      <c r="Y29" s="14">
        <v>323.5</v>
      </c>
      <c r="Z29" s="14">
        <v>340.79835246352673</v>
      </c>
      <c r="AA29" s="14">
        <f t="shared" si="5"/>
        <v>17.298352463526726</v>
      </c>
      <c r="AD29" t="s">
        <v>23</v>
      </c>
      <c r="AE29">
        <v>69</v>
      </c>
      <c r="AF29">
        <f t="shared" si="6"/>
        <v>4.0382535164114719</v>
      </c>
    </row>
    <row r="30" spans="1:32">
      <c r="A30" s="159" t="s">
        <v>497</v>
      </c>
      <c r="B30">
        <v>45</v>
      </c>
      <c r="C30">
        <v>154</v>
      </c>
      <c r="D30">
        <v>12</v>
      </c>
      <c r="E30">
        <v>98</v>
      </c>
      <c r="F30">
        <v>135</v>
      </c>
      <c r="G30">
        <v>63</v>
      </c>
      <c r="H30">
        <v>223.60000000000002</v>
      </c>
      <c r="I30" s="14">
        <v>312.44697004547805</v>
      </c>
      <c r="J30" s="259">
        <v>223.60000000000002</v>
      </c>
      <c r="K30" s="260">
        <v>312.44697004547805</v>
      </c>
      <c r="L30" s="16">
        <f t="shared" si="0"/>
        <v>31</v>
      </c>
      <c r="M30" s="230">
        <f t="shared" si="1"/>
        <v>34</v>
      </c>
      <c r="N30" s="159">
        <f t="shared" si="2"/>
        <v>23</v>
      </c>
      <c r="O30" s="159">
        <f t="shared" si="3"/>
        <v>23</v>
      </c>
      <c r="P30" s="15">
        <v>0</v>
      </c>
      <c r="Q30" s="15">
        <v>0</v>
      </c>
      <c r="R30">
        <v>1</v>
      </c>
      <c r="S30" t="e" vm="1">
        <f t="shared" si="4"/>
        <v>#VALUE!</v>
      </c>
      <c r="T30" s="14">
        <f>Table234[[#This Row],[BDG]]/Table234[[#This Row],[Odds]]</f>
        <v>20.327272727272728</v>
      </c>
      <c r="U30" s="14" cm="1">
        <f t="array" ref="U30">MAX(_xlfn._xlws.FILTER(Table22[[B365]:[BFAIREXC]], Table22[PLAYER] = A30))</f>
        <v>11</v>
      </c>
      <c r="X30" t="s">
        <v>92</v>
      </c>
      <c r="Y30" s="14">
        <v>209.2</v>
      </c>
      <c r="Z30" s="14">
        <v>226.05902922635778</v>
      </c>
      <c r="AA30" s="14">
        <f t="shared" si="5"/>
        <v>16.859029226357791</v>
      </c>
      <c r="AD30" t="s">
        <v>439</v>
      </c>
      <c r="AE30">
        <v>69</v>
      </c>
      <c r="AF30" t="e">
        <f t="shared" si="6"/>
        <v>#N/A</v>
      </c>
    </row>
    <row r="31" spans="1:32">
      <c r="A31" s="159" t="s">
        <v>20</v>
      </c>
      <c r="B31">
        <v>14</v>
      </c>
      <c r="C31">
        <v>158</v>
      </c>
      <c r="D31">
        <v>75</v>
      </c>
      <c r="E31">
        <v>81</v>
      </c>
      <c r="F31">
        <v>89</v>
      </c>
      <c r="G31">
        <v>62</v>
      </c>
      <c r="H31">
        <v>218.20000000000002</v>
      </c>
      <c r="I31" s="14">
        <v>312.87853187361861</v>
      </c>
      <c r="J31" s="259">
        <v>225.00951017611845</v>
      </c>
      <c r="K31" s="260">
        <v>314.2355164513732</v>
      </c>
      <c r="L31" s="16">
        <f t="shared" si="0"/>
        <v>28</v>
      </c>
      <c r="M31" s="230">
        <f t="shared" si="1"/>
        <v>35</v>
      </c>
      <c r="N31" s="159">
        <f t="shared" si="2"/>
        <v>25</v>
      </c>
      <c r="O31" s="159">
        <f t="shared" si="3"/>
        <v>24</v>
      </c>
      <c r="P31" s="15">
        <v>0</v>
      </c>
      <c r="Q31" s="15">
        <v>0</v>
      </c>
      <c r="R31">
        <v>16</v>
      </c>
      <c r="S31" t="e" vm="1">
        <f t="shared" si="4"/>
        <v>#VALUE!</v>
      </c>
      <c r="T31" s="14">
        <f>Table234[[#This Row],[BDG]]/Table234[[#This Row],[Odds]]</f>
        <v>32.144215739445492</v>
      </c>
      <c r="U31" s="14" cm="1">
        <f t="array" ref="U31">MAX(_xlfn._xlws.FILTER(Table22[[B365]:[BFAIREXC]], Table22[PLAYER] = A31))</f>
        <v>7</v>
      </c>
      <c r="X31" t="s">
        <v>177</v>
      </c>
      <c r="Y31" s="14">
        <v>258.20000000000005</v>
      </c>
      <c r="Z31" s="14">
        <v>275.01955877926838</v>
      </c>
      <c r="AA31" s="14">
        <f t="shared" si="5"/>
        <v>16.819558779268334</v>
      </c>
      <c r="AD31" t="s">
        <v>98</v>
      </c>
      <c r="AE31">
        <v>69</v>
      </c>
      <c r="AF31" t="e">
        <f t="shared" si="6"/>
        <v>#N/A</v>
      </c>
    </row>
    <row r="32" spans="1:32">
      <c r="A32" s="159" t="s">
        <v>433</v>
      </c>
      <c r="B32">
        <v>159</v>
      </c>
      <c r="C32">
        <v>22</v>
      </c>
      <c r="D32">
        <v>81</v>
      </c>
      <c r="E32">
        <v>52</v>
      </c>
      <c r="F32">
        <v>52</v>
      </c>
      <c r="G32">
        <v>25</v>
      </c>
      <c r="H32">
        <v>225.8</v>
      </c>
      <c r="I32" s="14">
        <v>268.3066978109822</v>
      </c>
      <c r="J32" s="259">
        <v>225.8</v>
      </c>
      <c r="K32" s="260">
        <v>268.3066978109822</v>
      </c>
      <c r="L32" s="16">
        <f t="shared" si="0"/>
        <v>35</v>
      </c>
      <c r="M32" s="230">
        <f t="shared" si="1"/>
        <v>21</v>
      </c>
      <c r="N32" s="159">
        <f t="shared" si="2"/>
        <v>26</v>
      </c>
      <c r="O32" s="159">
        <f t="shared" si="3"/>
        <v>14</v>
      </c>
      <c r="P32" s="15">
        <v>0</v>
      </c>
      <c r="Q32" s="15">
        <v>0</v>
      </c>
      <c r="R32">
        <v>14</v>
      </c>
      <c r="S32" t="e" vm="1">
        <f t="shared" si="4"/>
        <v>#VALUE!</v>
      </c>
      <c r="T32" s="14">
        <f>Table234[[#This Row],[BDG]]/Table234[[#This Row],[Odds]]</f>
        <v>21.922330097087379</v>
      </c>
      <c r="U32" s="14" cm="1">
        <f t="array" ref="U32">MAX(_xlfn._xlws.FILTER(Table22[[B365]:[BFAIREXC]], Table22[PLAYER] = A32))</f>
        <v>10.3</v>
      </c>
      <c r="X32" t="s">
        <v>54</v>
      </c>
      <c r="Y32" s="14">
        <v>225.9</v>
      </c>
      <c r="Z32" s="14">
        <v>242.15324366885534</v>
      </c>
      <c r="AA32" s="14">
        <f t="shared" si="5"/>
        <v>16.253243668855333</v>
      </c>
      <c r="AD32" t="s">
        <v>165</v>
      </c>
      <c r="AE32">
        <v>69.11</v>
      </c>
      <c r="AF32" t="e">
        <f t="shared" si="6"/>
        <v>#N/A</v>
      </c>
    </row>
    <row r="33" spans="1:32">
      <c r="A33" s="159" t="s">
        <v>92</v>
      </c>
      <c r="B33">
        <v>58</v>
      </c>
      <c r="C33">
        <v>73</v>
      </c>
      <c r="D33">
        <v>141</v>
      </c>
      <c r="E33">
        <v>36</v>
      </c>
      <c r="F33">
        <v>38</v>
      </c>
      <c r="G33">
        <v>61</v>
      </c>
      <c r="H33">
        <v>209.2</v>
      </c>
      <c r="I33" s="14">
        <v>299.38593035244742</v>
      </c>
      <c r="J33" s="259">
        <v>226.05902922635778</v>
      </c>
      <c r="K33" s="260">
        <v>317.59306420210089</v>
      </c>
      <c r="L33" s="16">
        <f t="shared" si="0"/>
        <v>24</v>
      </c>
      <c r="M33" s="230">
        <f t="shared" si="1"/>
        <v>26</v>
      </c>
      <c r="N33" s="159">
        <f t="shared" si="2"/>
        <v>27</v>
      </c>
      <c r="O33" s="159">
        <f t="shared" si="3"/>
        <v>28</v>
      </c>
      <c r="P33" s="15">
        <v>0</v>
      </c>
      <c r="Q33" s="15">
        <v>0.25</v>
      </c>
      <c r="R33">
        <v>38</v>
      </c>
      <c r="S33" t="e" vm="1">
        <f t="shared" si="4"/>
        <v>#VALUE!</v>
      </c>
      <c r="T33" s="14">
        <f>Table234[[#This Row],[BDG]]/Table234[[#This Row],[Odds]]</f>
        <v>38.315089699382675</v>
      </c>
      <c r="U33" s="14" cm="1">
        <f t="array" ref="U33">MAX(_xlfn._xlws.FILTER(Table22[[B365]:[BFAIREXC]], Table22[PLAYER] = A33))</f>
        <v>5.9</v>
      </c>
      <c r="X33" t="s">
        <v>148</v>
      </c>
      <c r="Y33" s="14">
        <v>305.2</v>
      </c>
      <c r="Z33" s="14">
        <v>319.97224384980541</v>
      </c>
      <c r="AA33" s="14">
        <f t="shared" si="5"/>
        <v>14.77224384980542</v>
      </c>
      <c r="AD33" t="s">
        <v>126</v>
      </c>
      <c r="AE33">
        <v>69.11</v>
      </c>
      <c r="AF33" t="e">
        <f t="shared" si="6"/>
        <v>#N/A</v>
      </c>
    </row>
    <row r="34" spans="1:32">
      <c r="A34" s="159" t="s">
        <v>130</v>
      </c>
      <c r="B34">
        <v>81</v>
      </c>
      <c r="C34">
        <v>49</v>
      </c>
      <c r="D34">
        <v>69</v>
      </c>
      <c r="E34">
        <v>96</v>
      </c>
      <c r="F34">
        <v>162</v>
      </c>
      <c r="G34">
        <v>138</v>
      </c>
      <c r="H34">
        <v>248.9</v>
      </c>
      <c r="I34" s="14">
        <v>420.03927013708426</v>
      </c>
      <c r="J34" s="259">
        <v>229.79973582152257</v>
      </c>
      <c r="K34" s="260">
        <v>341.31759207236746</v>
      </c>
      <c r="L34" s="16">
        <f t="shared" ref="L34:L65" si="7">RANK(H34,$H$2:$H$128,1)</f>
        <v>52</v>
      </c>
      <c r="M34" s="230">
        <f t="shared" ref="M34:M65" si="8">RANK(I34,$I$2:$I$128,1)</f>
        <v>74</v>
      </c>
      <c r="N34" s="159">
        <f t="shared" ref="N34:N65" si="9">RANK(J34,$J$2:$J$128,1)</f>
        <v>29</v>
      </c>
      <c r="O34" s="159">
        <f t="shared" ref="O34:O65" si="10">RANK(K34,$K$2:$K$128,1)</f>
        <v>40</v>
      </c>
      <c r="P34" s="15">
        <v>0</v>
      </c>
      <c r="Q34" s="15">
        <v>0.1</v>
      </c>
      <c r="R34">
        <v>-73</v>
      </c>
      <c r="S34" t="e" vm="1">
        <f t="shared" ref="S34:S65" si="11">RANK(U34,$U$2:$U$128,0)</f>
        <v>#VALUE!</v>
      </c>
      <c r="T34" s="14" t="e" vm="1">
        <f>Table234[[#This Row],[BDG]]/Table234[[#This Row],[Odds]]</f>
        <v>#VALUE!</v>
      </c>
      <c r="U34" s="14" t="e" cm="1" vm="2">
        <f t="array" ref="U34">MAX(_xlfn._xlws.FILTER(Table22[[B365]:[BFAIREXC]], Table22[PLAYER] = A34))</f>
        <v>#VALUE!</v>
      </c>
      <c r="X34" t="s">
        <v>32</v>
      </c>
      <c r="Y34" s="14">
        <v>267.10000000000002</v>
      </c>
      <c r="Z34" s="14">
        <v>281.76241304051314</v>
      </c>
      <c r="AA34" s="14">
        <f t="shared" si="5"/>
        <v>14.662413040513115</v>
      </c>
      <c r="AD34" t="s">
        <v>64</v>
      </c>
      <c r="AE34">
        <v>69.13</v>
      </c>
      <c r="AF34">
        <f t="shared" si="6"/>
        <v>2.7819166824880592</v>
      </c>
    </row>
    <row r="35" spans="1:32">
      <c r="A35" s="159" t="s">
        <v>560</v>
      </c>
      <c r="B35">
        <v>47</v>
      </c>
      <c r="C35">
        <v>163</v>
      </c>
      <c r="D35">
        <v>54</v>
      </c>
      <c r="E35">
        <v>45</v>
      </c>
      <c r="F35">
        <v>120</v>
      </c>
      <c r="G35">
        <v>121</v>
      </c>
      <c r="H35">
        <v>230.2</v>
      </c>
      <c r="I35" s="14">
        <v>371.7847082349474</v>
      </c>
      <c r="J35" s="259">
        <v>230.2</v>
      </c>
      <c r="K35" s="260">
        <v>371.7847082349474</v>
      </c>
      <c r="L35" s="16">
        <f t="shared" si="7"/>
        <v>40</v>
      </c>
      <c r="M35" s="230">
        <f t="shared" si="8"/>
        <v>54</v>
      </c>
      <c r="N35" s="159">
        <f t="shared" si="9"/>
        <v>30</v>
      </c>
      <c r="O35" s="159">
        <f t="shared" si="10"/>
        <v>51</v>
      </c>
      <c r="P35" s="15">
        <v>0</v>
      </c>
      <c r="Q35" s="15">
        <v>0</v>
      </c>
      <c r="R35" t="e">
        <v>#N/A</v>
      </c>
      <c r="S35" t="e" vm="1">
        <f t="shared" si="11"/>
        <v>#VALUE!</v>
      </c>
      <c r="T35" s="14">
        <f>Table234[[#This Row],[BDG]]/Table234[[#This Row],[Odds]]</f>
        <v>30.052219321148822</v>
      </c>
      <c r="U35" s="14" cm="1">
        <f t="array" ref="U35">MAX(_xlfn._xlws.FILTER(Table22[[B365]:[BFAIREXC]], Table22[PLAYER] = A35))</f>
        <v>7.66</v>
      </c>
      <c r="X35" t="s">
        <v>118</v>
      </c>
      <c r="Y35" s="14">
        <v>202.89999999999998</v>
      </c>
      <c r="Z35" s="14">
        <v>217.01325899405197</v>
      </c>
      <c r="AA35" s="14">
        <f t="shared" ref="AA35:AA66" si="12">Z35-Y35</f>
        <v>14.113258994051989</v>
      </c>
      <c r="AD35" t="s">
        <v>162</v>
      </c>
      <c r="AE35">
        <v>69.13</v>
      </c>
      <c r="AF35">
        <f t="shared" ref="AF35:AF66" si="13">VLOOKUP(AD35,$A$2:$J$160,10,FALSE)/AE35</f>
        <v>3.0518731761570792</v>
      </c>
    </row>
    <row r="36" spans="1:32">
      <c r="A36" s="159" t="s">
        <v>28</v>
      </c>
      <c r="B36">
        <v>62</v>
      </c>
      <c r="C36">
        <v>119</v>
      </c>
      <c r="D36">
        <v>14</v>
      </c>
      <c r="E36">
        <v>61</v>
      </c>
      <c r="F36">
        <v>86</v>
      </c>
      <c r="G36">
        <v>60</v>
      </c>
      <c r="H36">
        <v>180.1</v>
      </c>
      <c r="I36" s="14">
        <v>255.52895301578249</v>
      </c>
      <c r="J36" s="259">
        <v>231.22624172553452</v>
      </c>
      <c r="K36" s="260">
        <v>341.29225007491004</v>
      </c>
      <c r="L36" s="16">
        <f t="shared" si="7"/>
        <v>9</v>
      </c>
      <c r="M36" s="230">
        <f t="shared" si="8"/>
        <v>18</v>
      </c>
      <c r="N36" s="159">
        <f t="shared" si="9"/>
        <v>31</v>
      </c>
      <c r="O36" s="159">
        <f t="shared" si="10"/>
        <v>39</v>
      </c>
      <c r="P36" s="15">
        <v>0</v>
      </c>
      <c r="Q36" s="15">
        <v>0</v>
      </c>
      <c r="R36">
        <v>-15</v>
      </c>
      <c r="S36" t="e" vm="1">
        <f t="shared" si="11"/>
        <v>#VALUE!</v>
      </c>
      <c r="T36" s="14">
        <f>Table234[[#This Row],[BDG]]/Table234[[#This Row],[Odds]]</f>
        <v>49.940872942880027</v>
      </c>
      <c r="U36" s="14" cm="1">
        <f t="array" ref="U36">MAX(_xlfn._xlws.FILTER(Table22[[B365]:[BFAIREXC]], Table22[PLAYER] = A36))</f>
        <v>4.63</v>
      </c>
      <c r="X36" t="s">
        <v>52</v>
      </c>
      <c r="Y36" s="14">
        <v>174.4</v>
      </c>
      <c r="Z36" s="14">
        <v>188.01902035223691</v>
      </c>
      <c r="AA36" s="14">
        <f t="shared" si="12"/>
        <v>13.619020352236902</v>
      </c>
      <c r="AD36" t="s">
        <v>27</v>
      </c>
      <c r="AE36">
        <v>69.13</v>
      </c>
      <c r="AF36" t="e">
        <f t="shared" si="13"/>
        <v>#N/A</v>
      </c>
    </row>
    <row r="37" spans="1:32">
      <c r="A37" s="159" t="s">
        <v>241</v>
      </c>
      <c r="B37">
        <v>19</v>
      </c>
      <c r="C37">
        <v>84</v>
      </c>
      <c r="D37">
        <v>35</v>
      </c>
      <c r="E37">
        <v>165</v>
      </c>
      <c r="F37">
        <v>173</v>
      </c>
      <c r="G37">
        <v>136</v>
      </c>
      <c r="H37">
        <v>232.3</v>
      </c>
      <c r="I37" s="14">
        <v>414.88863417716766</v>
      </c>
      <c r="J37" s="259">
        <v>232.3</v>
      </c>
      <c r="K37" s="260">
        <v>414.88863417716766</v>
      </c>
      <c r="L37" s="16">
        <f t="shared" si="7"/>
        <v>42</v>
      </c>
      <c r="M37" s="230">
        <f t="shared" si="8"/>
        <v>72</v>
      </c>
      <c r="N37" s="159">
        <f t="shared" si="9"/>
        <v>32</v>
      </c>
      <c r="O37" s="159">
        <f t="shared" si="10"/>
        <v>71</v>
      </c>
      <c r="P37" s="15">
        <v>0</v>
      </c>
      <c r="Q37" s="15">
        <v>0</v>
      </c>
      <c r="R37">
        <v>-19</v>
      </c>
      <c r="S37" t="e" vm="1">
        <f t="shared" si="11"/>
        <v>#VALUE!</v>
      </c>
      <c r="T37" s="14">
        <f>Table234[[#This Row],[BDG]]/Table234[[#This Row],[Odds]]</f>
        <v>30.973333333333336</v>
      </c>
      <c r="U37" s="14" cm="1">
        <f t="array" ref="U37">MAX(_xlfn._xlws.FILTER(Table22[[B365]:[BFAIREXC]], Table22[PLAYER] = A37))</f>
        <v>7.5</v>
      </c>
      <c r="X37" t="s">
        <v>82</v>
      </c>
      <c r="Y37" s="14">
        <v>227.1</v>
      </c>
      <c r="Z37" s="14">
        <v>239.17624070296006</v>
      </c>
      <c r="AA37" s="14">
        <f t="shared" si="12"/>
        <v>12.076240702960064</v>
      </c>
      <c r="AD37" t="s">
        <v>76</v>
      </c>
      <c r="AE37">
        <v>69.14</v>
      </c>
      <c r="AF37" t="e">
        <f t="shared" si="13"/>
        <v>#N/A</v>
      </c>
    </row>
    <row r="38" spans="1:32">
      <c r="A38" s="159" t="s">
        <v>146</v>
      </c>
      <c r="B38">
        <v>172</v>
      </c>
      <c r="C38">
        <v>21</v>
      </c>
      <c r="D38">
        <v>55</v>
      </c>
      <c r="E38">
        <v>132</v>
      </c>
      <c r="F38">
        <v>9</v>
      </c>
      <c r="G38">
        <v>48</v>
      </c>
      <c r="H38">
        <v>226.7</v>
      </c>
      <c r="I38" s="14">
        <v>303.30250514008833</v>
      </c>
      <c r="J38" s="259">
        <v>237.13392688276215</v>
      </c>
      <c r="K38" s="260">
        <v>314.74050108581855</v>
      </c>
      <c r="L38" s="16">
        <f t="shared" si="7"/>
        <v>37</v>
      </c>
      <c r="M38" s="230">
        <f t="shared" si="8"/>
        <v>29</v>
      </c>
      <c r="N38" s="159">
        <f t="shared" si="9"/>
        <v>33</v>
      </c>
      <c r="O38" s="159">
        <f t="shared" si="10"/>
        <v>25</v>
      </c>
      <c r="P38" s="15">
        <v>0</v>
      </c>
      <c r="Q38" s="15">
        <v>0</v>
      </c>
      <c r="R38">
        <v>95</v>
      </c>
      <c r="S38" t="e" vm="1">
        <f t="shared" si="11"/>
        <v>#VALUE!</v>
      </c>
      <c r="T38" s="14">
        <f>Table234[[#This Row],[BDG]]/Table234[[#This Row],[Odds]]</f>
        <v>28.063186613344637</v>
      </c>
      <c r="U38" s="14" cm="1">
        <f t="array" ref="U38">MAX(_xlfn._xlws.FILTER(Table22[[B365]:[BFAIREXC]], Table22[PLAYER] = A38))</f>
        <v>8.4499999999999993</v>
      </c>
      <c r="X38" t="s">
        <v>146</v>
      </c>
      <c r="Y38" s="14">
        <v>226.7</v>
      </c>
      <c r="Z38" s="14">
        <v>237.13392688276215</v>
      </c>
      <c r="AA38" s="14">
        <f t="shared" si="12"/>
        <v>10.433926882762165</v>
      </c>
      <c r="AD38" t="s">
        <v>558</v>
      </c>
      <c r="AE38">
        <v>69.25</v>
      </c>
      <c r="AF38">
        <f t="shared" si="13"/>
        <v>2.9415162454873647</v>
      </c>
    </row>
    <row r="39" spans="1:32">
      <c r="A39" s="159" t="s">
        <v>596</v>
      </c>
      <c r="B39">
        <v>4</v>
      </c>
      <c r="C39">
        <v>180</v>
      </c>
      <c r="D39">
        <v>99</v>
      </c>
      <c r="E39">
        <v>88</v>
      </c>
      <c r="F39">
        <v>80</v>
      </c>
      <c r="G39">
        <v>84</v>
      </c>
      <c r="H39">
        <v>237.3</v>
      </c>
      <c r="I39" s="14">
        <v>359.7824561152828</v>
      </c>
      <c r="J39" s="259">
        <v>237.3</v>
      </c>
      <c r="K39" s="260">
        <v>359.7824561152828</v>
      </c>
      <c r="L39" s="16">
        <f t="shared" si="7"/>
        <v>46</v>
      </c>
      <c r="M39" s="230">
        <f t="shared" si="8"/>
        <v>50</v>
      </c>
      <c r="N39" s="159">
        <f t="shared" si="9"/>
        <v>34</v>
      </c>
      <c r="O39" s="159">
        <f t="shared" si="10"/>
        <v>46</v>
      </c>
      <c r="P39" s="15">
        <v>0</v>
      </c>
      <c r="Q39" s="15">
        <v>0</v>
      </c>
      <c r="R39">
        <v>42</v>
      </c>
      <c r="S39" t="e" vm="1">
        <f t="shared" si="11"/>
        <v>#VALUE!</v>
      </c>
      <c r="T39" s="14">
        <f>Table234[[#This Row],[BDG]]/Table234[[#This Row],[Odds]]</f>
        <v>27.91764705882353</v>
      </c>
      <c r="U39" s="14" cm="1">
        <f t="array" ref="U39">MAX(_xlfn._xlws.FILTER(Table22[[B365]:[BFAIREXC]], Table22[PLAYER] = A39))</f>
        <v>8.5</v>
      </c>
      <c r="X39" t="s">
        <v>134</v>
      </c>
      <c r="Y39" s="14">
        <v>241.59999999999997</v>
      </c>
      <c r="Z39" s="14">
        <v>251.37494202700873</v>
      </c>
      <c r="AA39" s="14">
        <f t="shared" si="12"/>
        <v>9.7749420270087626</v>
      </c>
      <c r="AD39" t="s">
        <v>412</v>
      </c>
      <c r="AE39">
        <v>69.25</v>
      </c>
      <c r="AF39">
        <f t="shared" si="13"/>
        <v>5.384837545126353</v>
      </c>
    </row>
    <row r="40" spans="1:32">
      <c r="A40" s="159" t="s">
        <v>549</v>
      </c>
      <c r="B40">
        <v>33</v>
      </c>
      <c r="C40">
        <v>178</v>
      </c>
      <c r="D40">
        <v>44</v>
      </c>
      <c r="E40">
        <v>139</v>
      </c>
      <c r="F40">
        <v>67</v>
      </c>
      <c r="G40">
        <v>118</v>
      </c>
      <c r="H40">
        <v>231.99999999999997</v>
      </c>
      <c r="I40" s="14">
        <v>388.59188205232408</v>
      </c>
      <c r="J40" s="259">
        <v>238.12649983083236</v>
      </c>
      <c r="K40" s="260">
        <v>359.08375208815437</v>
      </c>
      <c r="L40" s="16">
        <f t="shared" si="7"/>
        <v>41</v>
      </c>
      <c r="M40" s="230">
        <f t="shared" si="8"/>
        <v>60</v>
      </c>
      <c r="N40" s="159">
        <f t="shared" si="9"/>
        <v>35</v>
      </c>
      <c r="O40" s="159">
        <f t="shared" si="10"/>
        <v>45</v>
      </c>
      <c r="P40" s="15">
        <v>0</v>
      </c>
      <c r="Q40" s="15">
        <v>0</v>
      </c>
      <c r="R40">
        <v>-36</v>
      </c>
      <c r="S40" t="e" vm="1">
        <f t="shared" si="11"/>
        <v>#VALUE!</v>
      </c>
      <c r="T40" s="14" t="e" vm="1">
        <f>Table234[[#This Row],[BDG]]/Table234[[#This Row],[Odds]]</f>
        <v>#VALUE!</v>
      </c>
      <c r="U40" s="14" t="e" cm="1" vm="2">
        <f t="array" ref="U40">MAX(_xlfn._xlws.FILTER(Table22[[B365]:[BFAIREXC]], Table22[PLAYER] = A40))</f>
        <v>#VALUE!</v>
      </c>
      <c r="X40" t="s">
        <v>179</v>
      </c>
      <c r="Y40" s="14">
        <v>244.4</v>
      </c>
      <c r="Z40" s="14">
        <v>253.1315493387325</v>
      </c>
      <c r="AA40" s="14">
        <f t="shared" si="12"/>
        <v>8.7315493387324921</v>
      </c>
      <c r="AD40" t="s">
        <v>93</v>
      </c>
      <c r="AE40">
        <v>69.25</v>
      </c>
      <c r="AF40" t="e">
        <f t="shared" si="13"/>
        <v>#N/A</v>
      </c>
    </row>
    <row r="41" spans="1:32">
      <c r="A41" s="159" t="s">
        <v>82</v>
      </c>
      <c r="B41">
        <v>56</v>
      </c>
      <c r="C41">
        <v>166</v>
      </c>
      <c r="D41">
        <v>83</v>
      </c>
      <c r="E41">
        <v>72</v>
      </c>
      <c r="F41">
        <v>36</v>
      </c>
      <c r="G41">
        <v>101</v>
      </c>
      <c r="H41">
        <v>227.1</v>
      </c>
      <c r="I41" s="14">
        <v>356.11422873924437</v>
      </c>
      <c r="J41" s="259">
        <v>239.17624070296006</v>
      </c>
      <c r="K41" s="260">
        <v>367.54713133128394</v>
      </c>
      <c r="L41" s="16">
        <f t="shared" si="7"/>
        <v>39</v>
      </c>
      <c r="M41" s="230">
        <f t="shared" si="8"/>
        <v>48</v>
      </c>
      <c r="N41" s="159">
        <f t="shared" si="9"/>
        <v>36</v>
      </c>
      <c r="O41" s="159">
        <f t="shared" si="10"/>
        <v>49</v>
      </c>
      <c r="P41" s="15">
        <v>0</v>
      </c>
      <c r="Q41" s="15">
        <v>0</v>
      </c>
      <c r="R41">
        <v>2</v>
      </c>
      <c r="S41" t="e" vm="1">
        <f t="shared" si="11"/>
        <v>#VALUE!</v>
      </c>
      <c r="T41" s="14" t="e" vm="1">
        <f>Table234[[#This Row],[BDG]]/Table234[[#This Row],[Odds]]</f>
        <v>#VALUE!</v>
      </c>
      <c r="U41" s="14" t="e" cm="1" vm="2">
        <f t="array" ref="U41">MAX(_xlfn._xlws.FILTER(Table22[[B365]:[BFAIREXC]], Table22[PLAYER] = A41))</f>
        <v>#VALUE!</v>
      </c>
      <c r="X41" t="s">
        <v>128</v>
      </c>
      <c r="Y41" s="14">
        <v>210.7</v>
      </c>
      <c r="Z41" s="14">
        <v>219.32171852944032</v>
      </c>
      <c r="AA41" s="14">
        <f t="shared" si="12"/>
        <v>8.6217185294403293</v>
      </c>
      <c r="AD41" t="s">
        <v>495</v>
      </c>
      <c r="AE41">
        <v>69.25</v>
      </c>
      <c r="AF41" t="e">
        <f t="shared" si="13"/>
        <v>#N/A</v>
      </c>
    </row>
    <row r="42" spans="1:32">
      <c r="A42" s="159" t="s">
        <v>38</v>
      </c>
      <c r="B42">
        <v>29</v>
      </c>
      <c r="C42">
        <v>148</v>
      </c>
      <c r="D42">
        <v>99</v>
      </c>
      <c r="E42">
        <v>49</v>
      </c>
      <c r="F42">
        <v>108</v>
      </c>
      <c r="G42">
        <v>69</v>
      </c>
      <c r="H42">
        <v>237.2</v>
      </c>
      <c r="I42" s="14">
        <v>335.5522251137516</v>
      </c>
      <c r="J42" s="259">
        <v>240.17916070205183</v>
      </c>
      <c r="K42" s="260">
        <v>332.36300214421334</v>
      </c>
      <c r="L42" s="16">
        <f t="shared" si="7"/>
        <v>45</v>
      </c>
      <c r="M42" s="230">
        <f t="shared" si="8"/>
        <v>41</v>
      </c>
      <c r="N42" s="159">
        <f t="shared" si="9"/>
        <v>38</v>
      </c>
      <c r="O42" s="159">
        <f t="shared" si="10"/>
        <v>32</v>
      </c>
      <c r="P42" s="15">
        <v>0</v>
      </c>
      <c r="Q42" s="15">
        <v>0.22222222222222221</v>
      </c>
      <c r="R42">
        <v>18</v>
      </c>
      <c r="S42" t="e" vm="1">
        <f t="shared" si="11"/>
        <v>#VALUE!</v>
      </c>
      <c r="T42" s="14" t="e" vm="1">
        <f>Table234[[#This Row],[BDG]]/Table234[[#This Row],[Odds]]</f>
        <v>#VALUE!</v>
      </c>
      <c r="U42" s="14" t="e" cm="1" vm="2">
        <f t="array" ref="U42">MAX(_xlfn._xlws.FILTER(Table22[[B365]:[BFAIREXC]], Table22[PLAYER] = A42))</f>
        <v>#VALUE!</v>
      </c>
      <c r="X42" t="s">
        <v>182</v>
      </c>
      <c r="Y42" s="14">
        <v>278.99999999999994</v>
      </c>
      <c r="Z42" s="14">
        <v>287.62171852944027</v>
      </c>
      <c r="AA42" s="14">
        <f t="shared" si="12"/>
        <v>8.6217185294403293</v>
      </c>
      <c r="AD42" t="s">
        <v>106</v>
      </c>
      <c r="AE42">
        <v>69.290000000000006</v>
      </c>
      <c r="AF42">
        <f t="shared" si="13"/>
        <v>3.7911753533920036</v>
      </c>
    </row>
    <row r="43" spans="1:32">
      <c r="A43" s="159" t="s">
        <v>693</v>
      </c>
      <c r="B43">
        <v>92</v>
      </c>
      <c r="C43">
        <v>31</v>
      </c>
      <c r="D43">
        <v>96</v>
      </c>
      <c r="E43">
        <v>3</v>
      </c>
      <c r="F43">
        <v>71</v>
      </c>
      <c r="G43">
        <v>37</v>
      </c>
      <c r="H43">
        <v>183.79999999999995</v>
      </c>
      <c r="I43" s="14">
        <v>234.43740011501745</v>
      </c>
      <c r="J43" s="259">
        <v>240.51388414827687</v>
      </c>
      <c r="K43" s="260">
        <v>319.75191851382613</v>
      </c>
      <c r="L43" s="16">
        <f t="shared" si="7"/>
        <v>12</v>
      </c>
      <c r="M43" s="230">
        <f t="shared" si="8"/>
        <v>11</v>
      </c>
      <c r="N43" s="159">
        <f t="shared" si="9"/>
        <v>39</v>
      </c>
      <c r="O43" s="159">
        <f t="shared" si="10"/>
        <v>30</v>
      </c>
      <c r="P43" s="15">
        <v>0</v>
      </c>
      <c r="Q43" s="15">
        <v>0</v>
      </c>
      <c r="R43" t="e">
        <v>#N/A</v>
      </c>
      <c r="S43" t="e" vm="1">
        <f t="shared" si="11"/>
        <v>#VALUE!</v>
      </c>
      <c r="T43" s="14">
        <f>Table234[[#This Row],[BDG]]/Table234[[#This Row],[Odds]]</f>
        <v>18.501068011405913</v>
      </c>
      <c r="U43" s="14" cm="1">
        <f t="array" ref="U43">MAX(_xlfn._xlws.FILTER(Table22[[B365]:[BFAIREXC]], Table22[PLAYER] = A43))</f>
        <v>13</v>
      </c>
      <c r="X43" t="s">
        <v>23</v>
      </c>
      <c r="Y43" s="14">
        <v>270.5</v>
      </c>
      <c r="Z43" s="14">
        <v>278.63949263239158</v>
      </c>
      <c r="AA43" s="14">
        <f t="shared" si="12"/>
        <v>8.1394926323915797</v>
      </c>
      <c r="AD43" t="s">
        <v>433</v>
      </c>
      <c r="AE43">
        <v>69.38</v>
      </c>
      <c r="AF43">
        <f t="shared" si="13"/>
        <v>3.2545402133179593</v>
      </c>
    </row>
    <row r="44" spans="1:32">
      <c r="A44" s="159" t="s">
        <v>139</v>
      </c>
      <c r="B44">
        <v>134</v>
      </c>
      <c r="C44">
        <v>95</v>
      </c>
      <c r="D44">
        <v>2</v>
      </c>
      <c r="E44">
        <v>161</v>
      </c>
      <c r="F44">
        <v>58</v>
      </c>
      <c r="G44">
        <v>29</v>
      </c>
      <c r="H44">
        <v>236.10000000000002</v>
      </c>
      <c r="I44" s="14">
        <v>295.38223521247153</v>
      </c>
      <c r="J44" s="259">
        <v>241.76315110413077</v>
      </c>
      <c r="K44" s="260">
        <v>315.50521678252653</v>
      </c>
      <c r="L44" s="16">
        <f t="shared" si="7"/>
        <v>44</v>
      </c>
      <c r="M44" s="230">
        <f t="shared" si="8"/>
        <v>25</v>
      </c>
      <c r="N44" s="159">
        <f t="shared" si="9"/>
        <v>40</v>
      </c>
      <c r="O44" s="159">
        <f t="shared" si="10"/>
        <v>26</v>
      </c>
      <c r="P44" s="15">
        <v>0</v>
      </c>
      <c r="Q44" s="15">
        <v>0.2</v>
      </c>
      <c r="R44">
        <v>-3</v>
      </c>
      <c r="S44" t="e" vm="1">
        <f t="shared" si="11"/>
        <v>#VALUE!</v>
      </c>
      <c r="T44" s="14" t="e" vm="1">
        <f>Table234[[#This Row],[BDG]]/Table234[[#This Row],[Odds]]</f>
        <v>#VALUE!</v>
      </c>
      <c r="U44" s="14" t="e" cm="1" vm="2">
        <f t="array" ref="U44">MAX(_xlfn._xlws.FILTER(Table22[[B365]:[BFAIREXC]], Table22[PLAYER] = A44))</f>
        <v>#VALUE!</v>
      </c>
      <c r="X44" t="s">
        <v>20</v>
      </c>
      <c r="Y44" s="14">
        <v>218.20000000000002</v>
      </c>
      <c r="Z44" s="14">
        <v>225.00951017611845</v>
      </c>
      <c r="AA44" s="14">
        <f t="shared" si="12"/>
        <v>6.8095101761184367</v>
      </c>
      <c r="AD44" t="s">
        <v>59</v>
      </c>
      <c r="AE44">
        <v>69.38</v>
      </c>
      <c r="AF44">
        <f t="shared" si="13"/>
        <v>3.6778341024516252</v>
      </c>
    </row>
    <row r="45" spans="1:32">
      <c r="A45" s="159" t="s">
        <v>54</v>
      </c>
      <c r="B45">
        <v>39</v>
      </c>
      <c r="C45">
        <v>143</v>
      </c>
      <c r="D45">
        <v>40</v>
      </c>
      <c r="E45">
        <v>129</v>
      </c>
      <c r="F45">
        <v>95</v>
      </c>
      <c r="G45">
        <v>45</v>
      </c>
      <c r="H45">
        <v>225.9</v>
      </c>
      <c r="I45" s="14">
        <v>307.0775881718202</v>
      </c>
      <c r="J45" s="259">
        <v>242.15324366885534</v>
      </c>
      <c r="K45" s="260">
        <v>346.2314789782269</v>
      </c>
      <c r="L45" s="16">
        <f t="shared" si="7"/>
        <v>36</v>
      </c>
      <c r="M45" s="230">
        <f t="shared" si="8"/>
        <v>31</v>
      </c>
      <c r="N45" s="159">
        <f t="shared" si="9"/>
        <v>41</v>
      </c>
      <c r="O45" s="159">
        <f t="shared" si="10"/>
        <v>41</v>
      </c>
      <c r="P45" s="15">
        <v>0</v>
      </c>
      <c r="Q45" s="15">
        <v>0.14285714285714285</v>
      </c>
      <c r="R45">
        <v>-11</v>
      </c>
      <c r="S45" t="e" vm="1">
        <f t="shared" si="11"/>
        <v>#VALUE!</v>
      </c>
      <c r="T45" s="14" t="e" vm="1">
        <f>Table234[[#This Row],[BDG]]/Table234[[#This Row],[Odds]]</f>
        <v>#VALUE!</v>
      </c>
      <c r="U45" s="14" t="e" cm="1" vm="2">
        <f t="array" ref="U45">MAX(_xlfn._xlws.FILTER(Table22[[B365]:[BFAIREXC]], Table22[PLAYER] = A45))</f>
        <v>#VALUE!</v>
      </c>
      <c r="X45" t="s">
        <v>370</v>
      </c>
      <c r="Y45" s="14">
        <v>214.2</v>
      </c>
      <c r="Z45" s="14">
        <v>220.73493315288786</v>
      </c>
      <c r="AA45" s="14">
        <f t="shared" si="12"/>
        <v>6.5349331528878736</v>
      </c>
      <c r="AD45" t="s">
        <v>9</v>
      </c>
      <c r="AE45">
        <v>69.38</v>
      </c>
      <c r="AF45" t="e">
        <f t="shared" si="13"/>
        <v>#N/A</v>
      </c>
    </row>
    <row r="46" spans="1:32">
      <c r="A46" s="159" t="s">
        <v>434</v>
      </c>
      <c r="B46">
        <v>71</v>
      </c>
      <c r="C46">
        <v>126</v>
      </c>
      <c r="D46">
        <v>77</v>
      </c>
      <c r="E46">
        <v>54</v>
      </c>
      <c r="F46">
        <v>150</v>
      </c>
      <c r="G46">
        <v>109</v>
      </c>
      <c r="H46">
        <v>263.2</v>
      </c>
      <c r="I46" s="14">
        <v>397.9792787032473</v>
      </c>
      <c r="J46" s="259">
        <v>243.56945894540851</v>
      </c>
      <c r="K46" s="260">
        <v>340.3156919591795</v>
      </c>
      <c r="L46" s="16">
        <f t="shared" si="7"/>
        <v>66</v>
      </c>
      <c r="M46" s="230">
        <f t="shared" si="8"/>
        <v>65</v>
      </c>
      <c r="N46" s="159">
        <f t="shared" si="9"/>
        <v>42</v>
      </c>
      <c r="O46" s="159">
        <f t="shared" si="10"/>
        <v>37</v>
      </c>
      <c r="P46" s="15">
        <v>0</v>
      </c>
      <c r="Q46" s="15">
        <v>0.1111111111111111</v>
      </c>
      <c r="R46">
        <v>26</v>
      </c>
      <c r="S46" t="e" vm="1">
        <f t="shared" si="11"/>
        <v>#VALUE!</v>
      </c>
      <c r="T46" s="14" t="e" vm="1">
        <f>Table234[[#This Row],[BDG]]/Table234[[#This Row],[Odds]]</f>
        <v>#VALUE!</v>
      </c>
      <c r="U46" s="14" t="e" cm="1" vm="2">
        <f t="array" ref="U46">MAX(_xlfn._xlws.FILTER(Table22[[B365]:[BFAIREXC]], Table22[PLAYER] = A46))</f>
        <v>#VALUE!</v>
      </c>
      <c r="X46" t="s">
        <v>549</v>
      </c>
      <c r="Y46" s="14">
        <v>231.99999999999997</v>
      </c>
      <c r="Z46" s="14">
        <v>238.12649983083236</v>
      </c>
      <c r="AA46" s="14">
        <f t="shared" si="12"/>
        <v>6.1264998308323868</v>
      </c>
      <c r="AD46" t="s">
        <v>489</v>
      </c>
      <c r="AE46">
        <v>69.430000000000007</v>
      </c>
      <c r="AF46">
        <f t="shared" si="13"/>
        <v>2.6011810456574964</v>
      </c>
    </row>
    <row r="47" spans="1:32">
      <c r="A47" s="159" t="s">
        <v>233</v>
      </c>
      <c r="B47">
        <v>87</v>
      </c>
      <c r="C47">
        <v>65</v>
      </c>
      <c r="D47">
        <v>6</v>
      </c>
      <c r="E47">
        <v>119</v>
      </c>
      <c r="F47">
        <v>101</v>
      </c>
      <c r="G47">
        <v>21</v>
      </c>
      <c r="H47">
        <v>195.70000000000002</v>
      </c>
      <c r="I47" s="14">
        <v>242.34110795212484</v>
      </c>
      <c r="J47" s="259">
        <v>247.279293813865</v>
      </c>
      <c r="K47" s="260">
        <v>354.2794598641392</v>
      </c>
      <c r="L47" s="16">
        <f t="shared" si="7"/>
        <v>16</v>
      </c>
      <c r="M47" s="230">
        <f t="shared" si="8"/>
        <v>15</v>
      </c>
      <c r="N47" s="159">
        <f t="shared" si="9"/>
        <v>43</v>
      </c>
      <c r="O47" s="159">
        <f t="shared" si="10"/>
        <v>42</v>
      </c>
      <c r="P47" s="15">
        <v>0</v>
      </c>
      <c r="Q47" s="15">
        <v>0.33333333333333331</v>
      </c>
      <c r="R47">
        <v>-2</v>
      </c>
      <c r="S47" t="e" vm="1">
        <f t="shared" si="11"/>
        <v>#VALUE!</v>
      </c>
      <c r="T47" s="14" t="e" vm="1">
        <f>Table234[[#This Row],[BDG]]/Table234[[#This Row],[Odds]]</f>
        <v>#VALUE!</v>
      </c>
      <c r="U47" s="14" t="e" cm="1" vm="2">
        <f t="array" ref="U47">MAX(_xlfn._xlws.FILTER(Table22[[B365]:[BFAIREXC]], Table22[PLAYER] = A47))</f>
        <v>#VALUE!</v>
      </c>
      <c r="X47" t="s">
        <v>161</v>
      </c>
      <c r="Y47" s="14">
        <v>284.59999999999997</v>
      </c>
      <c r="Z47" s="14">
        <v>290.60294017037859</v>
      </c>
      <c r="AA47" s="14">
        <f t="shared" si="12"/>
        <v>6.002940170378622</v>
      </c>
      <c r="AD47" t="s">
        <v>143</v>
      </c>
      <c r="AE47">
        <v>69.430000000000007</v>
      </c>
      <c r="AF47" t="e">
        <f t="shared" si="13"/>
        <v>#N/A</v>
      </c>
    </row>
    <row r="48" spans="1:32">
      <c r="A48" s="159" t="s">
        <v>633</v>
      </c>
      <c r="B48">
        <v>142</v>
      </c>
      <c r="C48">
        <v>54</v>
      </c>
      <c r="D48">
        <v>30</v>
      </c>
      <c r="E48">
        <v>101</v>
      </c>
      <c r="F48">
        <v>119</v>
      </c>
      <c r="G48">
        <v>68</v>
      </c>
      <c r="H48">
        <v>247.29999999999998</v>
      </c>
      <c r="I48" s="14">
        <v>338.4110720086195</v>
      </c>
      <c r="J48" s="259">
        <v>247.29999999999998</v>
      </c>
      <c r="K48" s="260">
        <v>338.4110720086195</v>
      </c>
      <c r="L48" s="16">
        <f t="shared" si="7"/>
        <v>50</v>
      </c>
      <c r="M48" s="230">
        <f t="shared" si="8"/>
        <v>42</v>
      </c>
      <c r="N48" s="159">
        <f t="shared" si="9"/>
        <v>44</v>
      </c>
      <c r="O48" s="159">
        <f t="shared" si="10"/>
        <v>36</v>
      </c>
      <c r="P48" s="15">
        <v>0</v>
      </c>
      <c r="Q48" s="15">
        <v>0</v>
      </c>
      <c r="R48" t="e">
        <v>#N/A</v>
      </c>
      <c r="S48" t="e" vm="1">
        <f t="shared" si="11"/>
        <v>#VALUE!</v>
      </c>
      <c r="T48" s="14">
        <f>Table234[[#This Row],[BDG]]/Table234[[#This Row],[Odds]]</f>
        <v>34.016506189821186</v>
      </c>
      <c r="U48" s="14" cm="1">
        <f t="array" ref="U48">MAX(_xlfn._xlws.FILTER(Table22[[B365]:[BFAIREXC]], Table22[PLAYER] = A48))</f>
        <v>7.27</v>
      </c>
      <c r="X48" t="s">
        <v>139</v>
      </c>
      <c r="Y48" s="14">
        <v>236.10000000000002</v>
      </c>
      <c r="Z48" s="14">
        <v>241.76315110413077</v>
      </c>
      <c r="AA48" s="14">
        <f t="shared" si="12"/>
        <v>5.6631511041307476</v>
      </c>
      <c r="AD48" t="s">
        <v>123</v>
      </c>
      <c r="AE48">
        <v>69.430000000000007</v>
      </c>
      <c r="AF48" t="e">
        <f t="shared" si="13"/>
        <v>#N/A</v>
      </c>
    </row>
    <row r="49" spans="1:32">
      <c r="A49" s="159" t="s">
        <v>62</v>
      </c>
      <c r="B49">
        <v>100</v>
      </c>
      <c r="C49">
        <v>171</v>
      </c>
      <c r="D49">
        <v>66</v>
      </c>
      <c r="E49">
        <v>112</v>
      </c>
      <c r="F49">
        <v>79</v>
      </c>
      <c r="G49">
        <v>135</v>
      </c>
      <c r="H49">
        <v>286</v>
      </c>
      <c r="I49" s="14">
        <v>453.92916254199463</v>
      </c>
      <c r="J49" s="259">
        <v>247.74970455758461</v>
      </c>
      <c r="K49" s="260">
        <v>379.9082988128057</v>
      </c>
      <c r="L49" s="16">
        <f t="shared" si="7"/>
        <v>84</v>
      </c>
      <c r="M49" s="230">
        <f t="shared" si="8"/>
        <v>85</v>
      </c>
      <c r="N49" s="159">
        <f t="shared" si="9"/>
        <v>45</v>
      </c>
      <c r="O49" s="159">
        <f t="shared" si="10"/>
        <v>53</v>
      </c>
      <c r="P49" s="15">
        <v>0</v>
      </c>
      <c r="Q49" s="15">
        <v>0.1111111111111111</v>
      </c>
      <c r="R49">
        <v>-57</v>
      </c>
      <c r="S49" t="e" vm="1">
        <f t="shared" si="11"/>
        <v>#VALUE!</v>
      </c>
      <c r="T49" s="14">
        <f>Table234[[#This Row],[BDG]]/Table234[[#This Row],[Odds]]</f>
        <v>22.93978745903561</v>
      </c>
      <c r="U49" s="14" cm="1">
        <f t="array" ref="U49">MAX(_xlfn._xlws.FILTER(Table22[[B365]:[BFAIREXC]], Table22[PLAYER] = A49))</f>
        <v>10.8</v>
      </c>
      <c r="X49" t="s">
        <v>152</v>
      </c>
      <c r="Y49" s="14">
        <v>221.39999999999998</v>
      </c>
      <c r="Z49" s="14">
        <v>227.00137127390389</v>
      </c>
      <c r="AA49" s="14">
        <f t="shared" si="12"/>
        <v>5.6013712739039079</v>
      </c>
      <c r="AD49" t="s">
        <v>62</v>
      </c>
      <c r="AE49">
        <v>69.44</v>
      </c>
      <c r="AF49">
        <f t="shared" si="13"/>
        <v>3.567824086370746</v>
      </c>
    </row>
    <row r="50" spans="1:32">
      <c r="A50" s="159" t="s">
        <v>33</v>
      </c>
      <c r="B50">
        <v>12</v>
      </c>
      <c r="C50">
        <v>174</v>
      </c>
      <c r="D50">
        <v>124</v>
      </c>
      <c r="E50">
        <v>44</v>
      </c>
      <c r="F50">
        <v>26</v>
      </c>
      <c r="G50">
        <v>87</v>
      </c>
      <c r="H50">
        <v>212.79999999999998</v>
      </c>
      <c r="I50" s="14">
        <v>330.55416474585354</v>
      </c>
      <c r="J50" s="259">
        <v>248.70437800018908</v>
      </c>
      <c r="K50" s="260">
        <v>377.63260098896217</v>
      </c>
      <c r="L50" s="16">
        <f t="shared" si="7"/>
        <v>26</v>
      </c>
      <c r="M50" s="230">
        <f t="shared" si="8"/>
        <v>38</v>
      </c>
      <c r="N50" s="159">
        <f t="shared" si="9"/>
        <v>46</v>
      </c>
      <c r="O50" s="159">
        <f t="shared" si="10"/>
        <v>52</v>
      </c>
      <c r="P50" s="15">
        <v>0</v>
      </c>
      <c r="Q50" s="15">
        <v>0.2857142857142857</v>
      </c>
      <c r="R50">
        <v>-82</v>
      </c>
      <c r="S50" t="e" vm="1">
        <f t="shared" si="11"/>
        <v>#VALUE!</v>
      </c>
      <c r="T50" s="14">
        <f>Table234[[#This Row],[BDG]]/Table234[[#This Row],[Odds]]</f>
        <v>35.127737005676423</v>
      </c>
      <c r="U50" s="14" cm="1">
        <f t="array" ref="U50">MAX(_xlfn._xlws.FILTER(Table22[[B365]:[BFAIREXC]], Table22[PLAYER] = A50))</f>
        <v>7.08</v>
      </c>
      <c r="X50" t="s">
        <v>63</v>
      </c>
      <c r="Y50" s="14">
        <v>255.5</v>
      </c>
      <c r="Z50" s="14">
        <v>260.60713263208885</v>
      </c>
      <c r="AA50" s="14">
        <f t="shared" si="12"/>
        <v>5.1071326320888488</v>
      </c>
      <c r="AD50" t="s">
        <v>100</v>
      </c>
      <c r="AE50">
        <v>69.5</v>
      </c>
      <c r="AF50">
        <f t="shared" si="13"/>
        <v>3.0594874910467498</v>
      </c>
    </row>
    <row r="51" spans="1:32">
      <c r="A51" s="159" t="s">
        <v>134</v>
      </c>
      <c r="B51">
        <v>141</v>
      </c>
      <c r="C51">
        <v>29</v>
      </c>
      <c r="D51">
        <v>36</v>
      </c>
      <c r="E51">
        <v>63</v>
      </c>
      <c r="F51">
        <v>156</v>
      </c>
      <c r="G51">
        <v>104</v>
      </c>
      <c r="H51">
        <v>241.59999999999997</v>
      </c>
      <c r="I51" s="14">
        <v>362.54232115429238</v>
      </c>
      <c r="J51" s="259">
        <v>251.37494202700873</v>
      </c>
      <c r="K51" s="260">
        <v>355.41720405448081</v>
      </c>
      <c r="L51" s="16">
        <f t="shared" si="7"/>
        <v>48</v>
      </c>
      <c r="M51" s="230">
        <f t="shared" si="8"/>
        <v>51</v>
      </c>
      <c r="N51" s="159">
        <f t="shared" si="9"/>
        <v>47</v>
      </c>
      <c r="O51" s="159">
        <f t="shared" si="10"/>
        <v>43</v>
      </c>
      <c r="P51" s="15">
        <v>0</v>
      </c>
      <c r="Q51" s="15">
        <v>0</v>
      </c>
      <c r="R51">
        <v>31</v>
      </c>
      <c r="S51" t="e" vm="1">
        <f t="shared" si="11"/>
        <v>#VALUE!</v>
      </c>
      <c r="T51" s="14">
        <f>Table234[[#This Row],[BDG]]/Table234[[#This Row],[Odds]]</f>
        <v>34.577020911555536</v>
      </c>
      <c r="U51" s="14" cm="1">
        <f t="array" ref="U51">MAX(_xlfn._xlws.FILTER(Table22[[B365]:[BFAIREXC]], Table22[PLAYER] = A51))</f>
        <v>7.27</v>
      </c>
      <c r="X51" t="s">
        <v>95</v>
      </c>
      <c r="Y51" s="14">
        <v>203.6</v>
      </c>
      <c r="Z51" s="14">
        <v>207.27589989849943</v>
      </c>
      <c r="AA51" s="14">
        <f t="shared" si="12"/>
        <v>3.6758998984994378</v>
      </c>
      <c r="AD51" t="s">
        <v>139</v>
      </c>
      <c r="AE51">
        <v>69.5</v>
      </c>
      <c r="AF51">
        <f t="shared" si="13"/>
        <v>3.4786064907069174</v>
      </c>
    </row>
    <row r="52" spans="1:32">
      <c r="A52" s="159" t="s">
        <v>179</v>
      </c>
      <c r="B52">
        <v>169</v>
      </c>
      <c r="C52">
        <v>2</v>
      </c>
      <c r="D52">
        <v>4</v>
      </c>
      <c r="E52">
        <v>92</v>
      </c>
      <c r="F52">
        <v>171</v>
      </c>
      <c r="G52">
        <v>88</v>
      </c>
      <c r="H52">
        <v>244.4</v>
      </c>
      <c r="I52" s="14">
        <v>349.25852679763813</v>
      </c>
      <c r="J52" s="259">
        <v>253.1315493387325</v>
      </c>
      <c r="K52" s="260">
        <v>366.70382485756784</v>
      </c>
      <c r="L52" s="16">
        <f t="shared" si="7"/>
        <v>49</v>
      </c>
      <c r="M52" s="230">
        <f t="shared" si="8"/>
        <v>46</v>
      </c>
      <c r="N52" s="159">
        <f t="shared" si="9"/>
        <v>48</v>
      </c>
      <c r="O52" s="159">
        <f t="shared" si="10"/>
        <v>48</v>
      </c>
      <c r="P52" s="15">
        <v>0</v>
      </c>
      <c r="Q52" s="15">
        <v>0.125</v>
      </c>
      <c r="R52">
        <v>25</v>
      </c>
      <c r="S52" t="e" vm="1">
        <f t="shared" si="11"/>
        <v>#VALUE!</v>
      </c>
      <c r="T52" s="14" t="e" vm="1">
        <f>Table234[[#This Row],[BDG]]/Table234[[#This Row],[Odds]]</f>
        <v>#VALUE!</v>
      </c>
      <c r="U52" s="14" t="e" cm="1" vm="2">
        <f t="array" ref="U52">MAX(_xlfn._xlws.FILTER(Table22[[B365]:[BFAIREXC]], Table22[PLAYER] = A52))</f>
        <v>#VALUE!</v>
      </c>
      <c r="X52" t="s">
        <v>38</v>
      </c>
      <c r="Y52" s="14">
        <v>237.2</v>
      </c>
      <c r="Z52" s="14">
        <v>240.17916070205183</v>
      </c>
      <c r="AA52" s="14">
        <f t="shared" si="12"/>
        <v>2.9791607020518427</v>
      </c>
      <c r="AD52" t="s">
        <v>89</v>
      </c>
      <c r="AE52">
        <v>69.5</v>
      </c>
      <c r="AF52">
        <f t="shared" si="13"/>
        <v>4.3413893864562345</v>
      </c>
    </row>
    <row r="53" spans="1:32">
      <c r="A53" s="159" t="s">
        <v>97</v>
      </c>
      <c r="B53">
        <v>120</v>
      </c>
      <c r="C53">
        <v>153</v>
      </c>
      <c r="D53">
        <v>132</v>
      </c>
      <c r="E53">
        <v>21</v>
      </c>
      <c r="F53">
        <v>42</v>
      </c>
      <c r="G53">
        <v>85</v>
      </c>
      <c r="H53">
        <v>282.29999999999995</v>
      </c>
      <c r="I53" s="14">
        <v>388.77098993578301</v>
      </c>
      <c r="J53" s="259">
        <v>253.57237894450026</v>
      </c>
      <c r="K53" s="260">
        <v>333.86898706026716</v>
      </c>
      <c r="L53" s="16">
        <f t="shared" si="7"/>
        <v>81</v>
      </c>
      <c r="M53" s="230">
        <f t="shared" si="8"/>
        <v>61</v>
      </c>
      <c r="N53" s="159">
        <f t="shared" si="9"/>
        <v>49</v>
      </c>
      <c r="O53" s="159">
        <f t="shared" si="10"/>
        <v>35</v>
      </c>
      <c r="P53" s="15">
        <v>0</v>
      </c>
      <c r="Q53" s="15">
        <v>0.1</v>
      </c>
      <c r="R53">
        <v>10</v>
      </c>
      <c r="S53" t="e" vm="1">
        <f t="shared" si="11"/>
        <v>#VALUE!</v>
      </c>
      <c r="T53" s="14">
        <f>Table234[[#This Row],[BDG]]/Table234[[#This Row],[Odds]]</f>
        <v>46.020395452722369</v>
      </c>
      <c r="U53" s="14" cm="1">
        <f t="array" ref="U53">MAX(_xlfn._xlws.FILTER(Table22[[B365]:[BFAIREXC]], Table22[PLAYER] = A53))</f>
        <v>5.51</v>
      </c>
      <c r="X53" t="s">
        <v>30</v>
      </c>
      <c r="Y53" s="14">
        <v>278</v>
      </c>
      <c r="Z53" s="14">
        <v>280.65996491254629</v>
      </c>
      <c r="AA53" s="14">
        <f t="shared" si="12"/>
        <v>2.6599649125462861</v>
      </c>
      <c r="AD53" t="s">
        <v>129</v>
      </c>
      <c r="AE53">
        <v>69.5</v>
      </c>
      <c r="AF53" t="e">
        <f t="shared" si="13"/>
        <v>#N/A</v>
      </c>
    </row>
    <row r="54" spans="1:32">
      <c r="A54" s="159" t="s">
        <v>562</v>
      </c>
      <c r="B54">
        <v>3</v>
      </c>
      <c r="C54">
        <v>138</v>
      </c>
      <c r="D54">
        <v>110</v>
      </c>
      <c r="E54">
        <v>180</v>
      </c>
      <c r="F54">
        <v>69</v>
      </c>
      <c r="G54">
        <v>80</v>
      </c>
      <c r="H54">
        <v>254.6</v>
      </c>
      <c r="I54" s="14">
        <v>394.47049225569378</v>
      </c>
      <c r="J54" s="259">
        <v>254.6</v>
      </c>
      <c r="K54" s="260">
        <v>394.47049225569378</v>
      </c>
      <c r="L54" s="16">
        <f t="shared" si="7"/>
        <v>54</v>
      </c>
      <c r="M54" s="230">
        <f t="shared" si="8"/>
        <v>62</v>
      </c>
      <c r="N54" s="159">
        <f t="shared" si="9"/>
        <v>50</v>
      </c>
      <c r="O54" s="159">
        <f t="shared" si="10"/>
        <v>59</v>
      </c>
      <c r="P54" s="15">
        <v>0</v>
      </c>
      <c r="Q54" s="15">
        <v>0</v>
      </c>
      <c r="R54">
        <v>24</v>
      </c>
      <c r="S54" t="e" vm="1">
        <f t="shared" si="11"/>
        <v>#VALUE!</v>
      </c>
      <c r="T54" s="14">
        <f>Table234[[#This Row],[BDG]]/Table234[[#This Row],[Odds]]</f>
        <v>21.576271186440675</v>
      </c>
      <c r="U54" s="14" cm="1">
        <f t="array" ref="U54">MAX(_xlfn._xlws.FILTER(Table22[[B365]:[BFAIREXC]], Table22[PLAYER] = A54))</f>
        <v>11.8</v>
      </c>
      <c r="X54" t="s">
        <v>18</v>
      </c>
      <c r="Y54" s="14">
        <v>131.9</v>
      </c>
      <c r="Z54" s="14">
        <v>134.27852346373493</v>
      </c>
      <c r="AA54" s="14">
        <f t="shared" si="12"/>
        <v>2.378523463734922</v>
      </c>
      <c r="AD54" t="s">
        <v>14</v>
      </c>
      <c r="AE54">
        <v>69.56</v>
      </c>
      <c r="AF54">
        <f t="shared" si="13"/>
        <v>3.0226797514630945</v>
      </c>
    </row>
    <row r="55" spans="1:32">
      <c r="A55" s="159" t="s">
        <v>563</v>
      </c>
      <c r="B55">
        <v>139</v>
      </c>
      <c r="C55">
        <v>50</v>
      </c>
      <c r="D55">
        <v>43</v>
      </c>
      <c r="E55">
        <v>151</v>
      </c>
      <c r="F55">
        <v>84</v>
      </c>
      <c r="G55">
        <v>76</v>
      </c>
      <c r="H55">
        <v>254.8</v>
      </c>
      <c r="I55" s="14">
        <v>365.96238454464947</v>
      </c>
      <c r="J55" s="259">
        <v>254.8</v>
      </c>
      <c r="K55" s="260">
        <v>365.96238454464947</v>
      </c>
      <c r="L55" s="16">
        <f t="shared" si="7"/>
        <v>55</v>
      </c>
      <c r="M55" s="230">
        <f t="shared" si="8"/>
        <v>52</v>
      </c>
      <c r="N55" s="159">
        <f t="shared" si="9"/>
        <v>51</v>
      </c>
      <c r="O55" s="159">
        <f t="shared" si="10"/>
        <v>47</v>
      </c>
      <c r="P55" s="15">
        <v>0</v>
      </c>
      <c r="Q55" s="15">
        <v>0</v>
      </c>
      <c r="R55">
        <v>-69</v>
      </c>
      <c r="S55" t="e" vm="1">
        <f t="shared" si="11"/>
        <v>#VALUE!</v>
      </c>
      <c r="T55" s="14">
        <f>Table234[[#This Row],[BDG]]/Table234[[#This Row],[Odds]]</f>
        <v>12.133333333333335</v>
      </c>
      <c r="U55" s="14" cm="1">
        <f t="array" ref="U55">MAX(_xlfn._xlws.FILTER(Table22[[B365]:[BFAIREXC]], Table22[PLAYER] = A55))</f>
        <v>21</v>
      </c>
      <c r="X55" t="s">
        <v>64</v>
      </c>
      <c r="Y55" s="14">
        <v>191.59999999999997</v>
      </c>
      <c r="Z55" s="14">
        <v>192.31390026039952</v>
      </c>
      <c r="AA55" s="14">
        <f t="shared" si="12"/>
        <v>0.71390026039955501</v>
      </c>
      <c r="AD55" t="s">
        <v>491</v>
      </c>
      <c r="AE55">
        <v>69.569999999999993</v>
      </c>
      <c r="AF55">
        <f t="shared" si="13"/>
        <v>3.0922169884456254</v>
      </c>
    </row>
    <row r="56" spans="1:32">
      <c r="A56" s="159" t="s">
        <v>485</v>
      </c>
      <c r="B56">
        <v>26</v>
      </c>
      <c r="C56">
        <v>114</v>
      </c>
      <c r="D56">
        <v>34</v>
      </c>
      <c r="E56">
        <v>166</v>
      </c>
      <c r="F56">
        <v>179</v>
      </c>
      <c r="G56">
        <v>149</v>
      </c>
      <c r="H56">
        <v>254.9</v>
      </c>
      <c r="I56" s="14">
        <v>450.47602704541418</v>
      </c>
      <c r="J56" s="259">
        <v>254.9</v>
      </c>
      <c r="K56" s="260">
        <v>450.47602704541418</v>
      </c>
      <c r="L56" s="16">
        <f t="shared" si="7"/>
        <v>56</v>
      </c>
      <c r="M56" s="230">
        <f t="shared" si="8"/>
        <v>83</v>
      </c>
      <c r="N56" s="159">
        <f t="shared" si="9"/>
        <v>52</v>
      </c>
      <c r="O56" s="159">
        <f t="shared" si="10"/>
        <v>86</v>
      </c>
      <c r="P56" s="15">
        <v>0</v>
      </c>
      <c r="Q56" s="15">
        <v>0</v>
      </c>
      <c r="R56">
        <v>24</v>
      </c>
      <c r="S56" t="e" vm="1">
        <f t="shared" si="11"/>
        <v>#VALUE!</v>
      </c>
      <c r="T56" s="14">
        <f>Table234[[#This Row],[BDG]]/Table234[[#This Row],[Odds]]</f>
        <v>28.196902654867259</v>
      </c>
      <c r="U56" s="14" cm="1">
        <f t="array" ref="U56">MAX(_xlfn._xlws.FILTER(Table22[[B365]:[BFAIREXC]], Table22[PLAYER] = A56))</f>
        <v>9.0399999999999991</v>
      </c>
      <c r="X56" t="s">
        <v>187</v>
      </c>
      <c r="Y56" s="14">
        <v>260.2</v>
      </c>
      <c r="Z56" s="14">
        <v>260.65305208833047</v>
      </c>
      <c r="AA56" s="14">
        <f t="shared" si="12"/>
        <v>0.45305208833048027</v>
      </c>
      <c r="AD56" t="s">
        <v>187</v>
      </c>
      <c r="AE56">
        <v>69.569999999999993</v>
      </c>
      <c r="AF56">
        <f t="shared" si="13"/>
        <v>3.7466300429542976</v>
      </c>
    </row>
    <row r="57" spans="1:32">
      <c r="A57" s="159" t="s">
        <v>632</v>
      </c>
      <c r="B57">
        <v>87</v>
      </c>
      <c r="C57">
        <v>45</v>
      </c>
      <c r="D57">
        <v>19</v>
      </c>
      <c r="E57">
        <v>117</v>
      </c>
      <c r="F57">
        <v>167</v>
      </c>
      <c r="G57">
        <v>94</v>
      </c>
      <c r="H57">
        <v>227</v>
      </c>
      <c r="I57" s="14">
        <v>350.36925980619498</v>
      </c>
      <c r="J57" s="259">
        <v>255.12355160439245</v>
      </c>
      <c r="K57" s="260">
        <v>388.60261487009666</v>
      </c>
      <c r="L57" s="16">
        <f t="shared" si="7"/>
        <v>38</v>
      </c>
      <c r="M57" s="230">
        <f t="shared" si="8"/>
        <v>47</v>
      </c>
      <c r="N57" s="159">
        <f t="shared" si="9"/>
        <v>53</v>
      </c>
      <c r="O57" s="159">
        <f t="shared" si="10"/>
        <v>56</v>
      </c>
      <c r="P57" s="15">
        <v>0</v>
      </c>
      <c r="Q57" s="15">
        <v>0.16666666666666666</v>
      </c>
      <c r="R57" t="e">
        <v>#N/A</v>
      </c>
      <c r="S57" t="e" vm="1">
        <f t="shared" si="11"/>
        <v>#VALUE!</v>
      </c>
      <c r="T57" s="14">
        <f>Table234[[#This Row],[BDG]]/Table234[[#This Row],[Odds]]</f>
        <v>54.051599916184841</v>
      </c>
      <c r="U57" s="14" cm="1">
        <f t="array" ref="U57">MAX(_xlfn._xlws.FILTER(Table22[[B365]:[BFAIREXC]], Table22[PLAYER] = A57))</f>
        <v>4.72</v>
      </c>
      <c r="X57" t="s">
        <v>492</v>
      </c>
      <c r="Y57" s="14">
        <v>142.30000000000001</v>
      </c>
      <c r="Z57" s="14">
        <v>142.30000000000001</v>
      </c>
      <c r="AA57" s="14">
        <f t="shared" si="12"/>
        <v>0</v>
      </c>
      <c r="AD57" t="s">
        <v>103</v>
      </c>
      <c r="AE57">
        <v>69.599999999999994</v>
      </c>
      <c r="AF57" t="e">
        <f t="shared" si="13"/>
        <v>#N/A</v>
      </c>
    </row>
    <row r="58" spans="1:32">
      <c r="A58" s="159" t="s">
        <v>59</v>
      </c>
      <c r="B58">
        <v>115</v>
      </c>
      <c r="C58">
        <v>117</v>
      </c>
      <c r="D58">
        <v>134</v>
      </c>
      <c r="E58">
        <v>41</v>
      </c>
      <c r="F58">
        <v>16</v>
      </c>
      <c r="G58">
        <v>35</v>
      </c>
      <c r="H58">
        <v>257.20000000000005</v>
      </c>
      <c r="I58" s="14">
        <v>317.64678320979925</v>
      </c>
      <c r="J58" s="259">
        <v>255.16813002809374</v>
      </c>
      <c r="K58" s="260">
        <v>333.7332636818245</v>
      </c>
      <c r="L58" s="16">
        <f t="shared" si="7"/>
        <v>60</v>
      </c>
      <c r="M58" s="230">
        <f t="shared" si="8"/>
        <v>36</v>
      </c>
      <c r="N58" s="159">
        <f t="shared" si="9"/>
        <v>54</v>
      </c>
      <c r="O58" s="159">
        <f t="shared" si="10"/>
        <v>34</v>
      </c>
      <c r="P58" s="15">
        <v>0</v>
      </c>
      <c r="Q58" s="15">
        <v>0.125</v>
      </c>
      <c r="R58">
        <v>-6</v>
      </c>
      <c r="S58" t="e" vm="1">
        <f t="shared" si="11"/>
        <v>#VALUE!</v>
      </c>
      <c r="T58" s="14" t="e" vm="1">
        <f>Table234[[#This Row],[BDG]]/Table234[[#This Row],[Odds]]</f>
        <v>#VALUE!</v>
      </c>
      <c r="U58" s="14" t="e" cm="1" vm="2">
        <f t="array" ref="U58">MAX(_xlfn._xlws.FILTER(Table22[[B365]:[BFAIREXC]], Table22[PLAYER] = A58))</f>
        <v>#VALUE!</v>
      </c>
      <c r="X58" t="s">
        <v>489</v>
      </c>
      <c r="Y58" s="14">
        <v>180.6</v>
      </c>
      <c r="Z58" s="14">
        <v>180.6</v>
      </c>
      <c r="AA58" s="14">
        <f t="shared" si="12"/>
        <v>0</v>
      </c>
      <c r="AD58" t="s">
        <v>47</v>
      </c>
      <c r="AE58">
        <v>69.599999999999994</v>
      </c>
      <c r="AF58" t="e">
        <f t="shared" si="13"/>
        <v>#N/A</v>
      </c>
    </row>
    <row r="59" spans="1:32">
      <c r="A59" s="159" t="s">
        <v>87</v>
      </c>
      <c r="B59">
        <v>65</v>
      </c>
      <c r="C59">
        <v>4</v>
      </c>
      <c r="D59">
        <v>93</v>
      </c>
      <c r="E59">
        <v>85</v>
      </c>
      <c r="F59">
        <v>155</v>
      </c>
      <c r="G59">
        <v>114</v>
      </c>
      <c r="H59">
        <v>224.1</v>
      </c>
      <c r="I59" s="14">
        <v>373.22860603155124</v>
      </c>
      <c r="J59" s="259">
        <v>258.57657747939004</v>
      </c>
      <c r="K59" s="260">
        <v>411.98600925987284</v>
      </c>
      <c r="L59" s="16">
        <f t="shared" si="7"/>
        <v>33</v>
      </c>
      <c r="M59" s="230">
        <f t="shared" si="8"/>
        <v>56</v>
      </c>
      <c r="N59" s="159">
        <f t="shared" si="9"/>
        <v>56</v>
      </c>
      <c r="O59" s="159">
        <f t="shared" si="10"/>
        <v>69</v>
      </c>
      <c r="P59" s="15">
        <v>0</v>
      </c>
      <c r="Q59" s="15">
        <v>0</v>
      </c>
      <c r="R59" t="e">
        <v>#N/A</v>
      </c>
      <c r="S59" t="e" vm="1">
        <f t="shared" si="11"/>
        <v>#VALUE!</v>
      </c>
      <c r="T59" s="14">
        <f>Table234[[#This Row],[BDG]]/Table234[[#This Row],[Odds]]</f>
        <v>18.874202735721902</v>
      </c>
      <c r="U59" s="14" cm="1">
        <f t="array" ref="U59">MAX(_xlfn._xlws.FILTER(Table22[[B365]:[BFAIREXC]], Table22[PLAYER] = A59))</f>
        <v>13.7</v>
      </c>
      <c r="X59" t="s">
        <v>493</v>
      </c>
      <c r="Y59" s="14">
        <v>202.4</v>
      </c>
      <c r="Z59" s="14">
        <v>202.4</v>
      </c>
      <c r="AA59" s="14">
        <f t="shared" si="12"/>
        <v>0</v>
      </c>
      <c r="AD59" t="s">
        <v>52</v>
      </c>
      <c r="AE59">
        <v>69.63</v>
      </c>
      <c r="AF59">
        <f t="shared" si="13"/>
        <v>2.7002588015544582</v>
      </c>
    </row>
    <row r="60" spans="1:32">
      <c r="A60" s="159" t="s">
        <v>63</v>
      </c>
      <c r="B60">
        <v>123</v>
      </c>
      <c r="C60">
        <v>168</v>
      </c>
      <c r="D60">
        <v>88</v>
      </c>
      <c r="E60">
        <v>57</v>
      </c>
      <c r="F60">
        <v>2</v>
      </c>
      <c r="G60">
        <v>34</v>
      </c>
      <c r="H60">
        <v>255.5</v>
      </c>
      <c r="I60" s="14">
        <v>310.24977135689284</v>
      </c>
      <c r="J60" s="259">
        <v>260.60713263208885</v>
      </c>
      <c r="K60" s="260">
        <v>333.72749200704817</v>
      </c>
      <c r="L60" s="16">
        <f t="shared" si="7"/>
        <v>57</v>
      </c>
      <c r="M60" s="230">
        <f t="shared" si="8"/>
        <v>33</v>
      </c>
      <c r="N60" s="159">
        <f t="shared" si="9"/>
        <v>58</v>
      </c>
      <c r="O60" s="159">
        <f t="shared" si="10"/>
        <v>33</v>
      </c>
      <c r="P60" s="15">
        <v>0</v>
      </c>
      <c r="Q60" s="15">
        <v>0</v>
      </c>
      <c r="R60">
        <v>10</v>
      </c>
      <c r="S60" t="e" vm="1">
        <f t="shared" si="11"/>
        <v>#VALUE!</v>
      </c>
      <c r="T60" s="14" t="e" vm="1">
        <f>Table234[[#This Row],[BDG]]/Table234[[#This Row],[Odds]]</f>
        <v>#VALUE!</v>
      </c>
      <c r="U60" s="14" t="e" cm="1" vm="2">
        <f t="array" ref="U60">MAX(_xlfn._xlws.FILTER(Table22[[B365]:[BFAIREXC]], Table22[PLAYER] = A60))</f>
        <v>#VALUE!</v>
      </c>
      <c r="X60" t="s">
        <v>558</v>
      </c>
      <c r="Y60" s="14">
        <v>203.7</v>
      </c>
      <c r="Z60" s="14">
        <v>203.7</v>
      </c>
      <c r="AA60" s="14">
        <f t="shared" si="12"/>
        <v>0</v>
      </c>
      <c r="AD60" t="s">
        <v>152</v>
      </c>
      <c r="AE60">
        <v>69.63</v>
      </c>
      <c r="AF60">
        <f t="shared" si="13"/>
        <v>3.2601087358021528</v>
      </c>
    </row>
    <row r="61" spans="1:32">
      <c r="A61" s="159" t="s">
        <v>187</v>
      </c>
      <c r="B61">
        <v>181</v>
      </c>
      <c r="C61">
        <v>7</v>
      </c>
      <c r="D61">
        <v>90</v>
      </c>
      <c r="E61">
        <v>15</v>
      </c>
      <c r="F61">
        <v>122</v>
      </c>
      <c r="G61">
        <v>115</v>
      </c>
      <c r="H61">
        <v>260.2</v>
      </c>
      <c r="I61" s="14">
        <v>387.07487878755006</v>
      </c>
      <c r="J61" s="259">
        <v>260.65305208833047</v>
      </c>
      <c r="K61" s="260">
        <v>381.26963656684421</v>
      </c>
      <c r="L61" s="16">
        <f t="shared" si="7"/>
        <v>65</v>
      </c>
      <c r="M61" s="230">
        <f t="shared" si="8"/>
        <v>59</v>
      </c>
      <c r="N61" s="159">
        <f t="shared" si="9"/>
        <v>59</v>
      </c>
      <c r="O61" s="159">
        <f t="shared" si="10"/>
        <v>54</v>
      </c>
      <c r="P61" s="15">
        <v>0</v>
      </c>
      <c r="Q61" s="15">
        <v>0</v>
      </c>
      <c r="R61">
        <v>-18</v>
      </c>
      <c r="S61" t="e" vm="1">
        <f t="shared" si="11"/>
        <v>#VALUE!</v>
      </c>
      <c r="T61" s="14" t="e" vm="1">
        <f>Table234[[#This Row],[BDG]]/Table234[[#This Row],[Odds]]</f>
        <v>#VALUE!</v>
      </c>
      <c r="U61" s="14" t="e" cm="1" vm="2">
        <f t="array" ref="U61">MAX(_xlfn._xlws.FILTER(Table22[[B365]:[BFAIREXC]], Table22[PLAYER] = A61))</f>
        <v>#VALUE!</v>
      </c>
      <c r="X61" t="s">
        <v>557</v>
      </c>
      <c r="Y61" s="14">
        <v>219.79999999999998</v>
      </c>
      <c r="Z61" s="14">
        <v>219.79999999999998</v>
      </c>
      <c r="AA61" s="14">
        <f t="shared" si="12"/>
        <v>0</v>
      </c>
      <c r="AD61" t="s">
        <v>146</v>
      </c>
      <c r="AE61">
        <v>69.63</v>
      </c>
      <c r="AF61">
        <f t="shared" si="13"/>
        <v>3.4056287072061204</v>
      </c>
    </row>
    <row r="62" spans="1:32">
      <c r="A62" s="159" t="s">
        <v>106</v>
      </c>
      <c r="B62">
        <v>87</v>
      </c>
      <c r="C62">
        <v>141</v>
      </c>
      <c r="D62">
        <v>128</v>
      </c>
      <c r="E62">
        <v>107</v>
      </c>
      <c r="F62">
        <v>21</v>
      </c>
      <c r="G62">
        <v>82</v>
      </c>
      <c r="H62">
        <v>274.3</v>
      </c>
      <c r="I62" s="14">
        <v>396.9840330467286</v>
      </c>
      <c r="J62" s="259">
        <v>262.69054023653194</v>
      </c>
      <c r="K62" s="260">
        <v>389.35456444988529</v>
      </c>
      <c r="L62" s="16">
        <f t="shared" si="7"/>
        <v>76</v>
      </c>
      <c r="M62" s="230">
        <f t="shared" si="8"/>
        <v>63</v>
      </c>
      <c r="N62" s="159">
        <f t="shared" si="9"/>
        <v>60</v>
      </c>
      <c r="O62" s="159">
        <f t="shared" si="10"/>
        <v>57</v>
      </c>
      <c r="P62" s="15">
        <v>0</v>
      </c>
      <c r="Q62" s="15">
        <v>0</v>
      </c>
      <c r="R62">
        <v>12</v>
      </c>
      <c r="S62" t="e" vm="1">
        <f t="shared" si="11"/>
        <v>#VALUE!</v>
      </c>
      <c r="T62" s="14" t="e" vm="1">
        <f>Table234[[#This Row],[BDG]]/Table234[[#This Row],[Odds]]</f>
        <v>#VALUE!</v>
      </c>
      <c r="U62" s="14" t="e" cm="1" vm="2">
        <f t="array" ref="U62">MAX(_xlfn._xlws.FILTER(Table22[[B365]:[BFAIREXC]], Table22[PLAYER] = A62))</f>
        <v>#VALUE!</v>
      </c>
      <c r="X62" t="s">
        <v>497</v>
      </c>
      <c r="Y62" s="14">
        <v>223.60000000000002</v>
      </c>
      <c r="Z62" s="14">
        <v>223.60000000000002</v>
      </c>
      <c r="AA62" s="14">
        <f t="shared" si="12"/>
        <v>0</v>
      </c>
      <c r="AD62" t="s">
        <v>156</v>
      </c>
      <c r="AE62">
        <v>69.67</v>
      </c>
      <c r="AF62" t="e">
        <f t="shared" si="13"/>
        <v>#N/A</v>
      </c>
    </row>
    <row r="63" spans="1:32">
      <c r="A63" s="159" t="s">
        <v>136</v>
      </c>
      <c r="B63">
        <v>125</v>
      </c>
      <c r="C63">
        <v>17</v>
      </c>
      <c r="D63">
        <v>42</v>
      </c>
      <c r="E63">
        <v>142</v>
      </c>
      <c r="F63">
        <v>104</v>
      </c>
      <c r="G63">
        <v>70</v>
      </c>
      <c r="H63">
        <v>234.20000000000002</v>
      </c>
      <c r="I63" s="14">
        <v>338.51732939950892</v>
      </c>
      <c r="J63" s="259">
        <v>262.92075662991897</v>
      </c>
      <c r="K63" s="260">
        <v>404.98275369294868</v>
      </c>
      <c r="L63" s="16">
        <f t="shared" si="7"/>
        <v>43</v>
      </c>
      <c r="M63" s="230">
        <f t="shared" si="8"/>
        <v>43</v>
      </c>
      <c r="N63" s="159">
        <f t="shared" si="9"/>
        <v>61</v>
      </c>
      <c r="O63" s="159">
        <f t="shared" si="10"/>
        <v>66</v>
      </c>
      <c r="P63" s="15">
        <v>0</v>
      </c>
      <c r="Q63" s="15">
        <v>0.125</v>
      </c>
      <c r="R63">
        <v>10</v>
      </c>
      <c r="S63" t="e" vm="1">
        <f t="shared" si="11"/>
        <v>#VALUE!</v>
      </c>
      <c r="T63" s="14">
        <f>Table234[[#This Row],[BDG]]/Table234[[#This Row],[Odds]]</f>
        <v>23.267323595568048</v>
      </c>
      <c r="U63" s="14" cm="1">
        <f t="array" ref="U63">MAX(_xlfn._xlws.FILTER(Table22[[B365]:[BFAIREXC]], Table22[PLAYER] = A63))</f>
        <v>11.3</v>
      </c>
      <c r="X63" t="s">
        <v>433</v>
      </c>
      <c r="Y63" s="14">
        <v>225.8</v>
      </c>
      <c r="Z63" s="14">
        <v>225.8</v>
      </c>
      <c r="AA63" s="14">
        <f t="shared" si="12"/>
        <v>0</v>
      </c>
      <c r="AD63" t="s">
        <v>188</v>
      </c>
      <c r="AE63">
        <v>69.67</v>
      </c>
      <c r="AF63" t="e">
        <f t="shared" si="13"/>
        <v>#N/A</v>
      </c>
    </row>
    <row r="64" spans="1:32">
      <c r="A64" s="159" t="s">
        <v>133</v>
      </c>
      <c r="B64">
        <v>105</v>
      </c>
      <c r="C64">
        <v>48</v>
      </c>
      <c r="D64">
        <v>92</v>
      </c>
      <c r="E64">
        <v>102</v>
      </c>
      <c r="F64">
        <v>44</v>
      </c>
      <c r="G64">
        <v>91</v>
      </c>
      <c r="H64">
        <v>224.7</v>
      </c>
      <c r="I64" s="14">
        <v>348.76199060045775</v>
      </c>
      <c r="J64" s="259">
        <v>268.68723912153939</v>
      </c>
      <c r="K64" s="260">
        <v>398.02615235514315</v>
      </c>
      <c r="L64" s="16">
        <f t="shared" si="7"/>
        <v>34</v>
      </c>
      <c r="M64" s="230">
        <f t="shared" si="8"/>
        <v>45</v>
      </c>
      <c r="N64" s="159">
        <f t="shared" si="9"/>
        <v>62</v>
      </c>
      <c r="O64" s="159">
        <f t="shared" si="10"/>
        <v>62</v>
      </c>
      <c r="P64" s="15">
        <v>0</v>
      </c>
      <c r="Q64" s="15">
        <v>0</v>
      </c>
      <c r="R64">
        <v>-30</v>
      </c>
      <c r="S64" t="e" vm="1">
        <f t="shared" si="11"/>
        <v>#VALUE!</v>
      </c>
      <c r="T64" s="14">
        <f>Table234[[#This Row],[BDG]]/Table234[[#This Row],[Odds]]</f>
        <v>21.844490985491007</v>
      </c>
      <c r="U64" s="14" cm="1">
        <f t="array" ref="U64">MAX(_xlfn._xlws.FILTER(Table22[[B365]:[BFAIREXC]], Table22[PLAYER] = A64))</f>
        <v>12.3</v>
      </c>
      <c r="X64" t="s">
        <v>560</v>
      </c>
      <c r="Y64" s="14">
        <v>230.2</v>
      </c>
      <c r="Z64" s="14">
        <v>230.2</v>
      </c>
      <c r="AA64" s="14">
        <f t="shared" si="12"/>
        <v>0</v>
      </c>
      <c r="AD64" t="s">
        <v>494</v>
      </c>
      <c r="AE64">
        <v>69.709999999999994</v>
      </c>
      <c r="AF64">
        <f t="shared" si="13"/>
        <v>4.0525032276574384</v>
      </c>
    </row>
    <row r="65" spans="1:32">
      <c r="A65" s="159" t="s">
        <v>496</v>
      </c>
      <c r="B65">
        <v>132</v>
      </c>
      <c r="C65">
        <v>108</v>
      </c>
      <c r="D65">
        <v>70</v>
      </c>
      <c r="E65">
        <v>145</v>
      </c>
      <c r="F65">
        <v>33</v>
      </c>
      <c r="G65">
        <v>122</v>
      </c>
      <c r="H65">
        <v>269.89999999999998</v>
      </c>
      <c r="I65" s="14">
        <v>429.1529250375778</v>
      </c>
      <c r="J65" s="259">
        <v>269.89999999999998</v>
      </c>
      <c r="K65" s="260">
        <v>429.1529250375778</v>
      </c>
      <c r="L65" s="16">
        <f t="shared" si="7"/>
        <v>72</v>
      </c>
      <c r="M65" s="230">
        <f t="shared" si="8"/>
        <v>78</v>
      </c>
      <c r="N65" s="159">
        <f t="shared" si="9"/>
        <v>63</v>
      </c>
      <c r="O65" s="159">
        <f t="shared" si="10"/>
        <v>76</v>
      </c>
      <c r="P65" s="15">
        <v>0</v>
      </c>
      <c r="Q65" s="15">
        <v>0</v>
      </c>
      <c r="R65">
        <v>-7</v>
      </c>
      <c r="S65" t="e" vm="1">
        <f t="shared" si="11"/>
        <v>#VALUE!</v>
      </c>
      <c r="T65" s="14">
        <f>Table234[[#This Row],[BDG]]/Table234[[#This Row],[Odds]]</f>
        <v>34.338422391857499</v>
      </c>
      <c r="U65" s="14" cm="1">
        <f t="array" ref="U65">MAX(_xlfn._xlws.FILTER(Table22[[B365]:[BFAIREXC]], Table22[PLAYER] = A65))</f>
        <v>7.86</v>
      </c>
      <c r="X65" t="s">
        <v>241</v>
      </c>
      <c r="Y65" s="14">
        <v>232.3</v>
      </c>
      <c r="Z65" s="14">
        <v>232.3</v>
      </c>
      <c r="AA65" s="14">
        <f t="shared" si="12"/>
        <v>0</v>
      </c>
      <c r="AD65" t="s">
        <v>69</v>
      </c>
      <c r="AE65">
        <v>69.75</v>
      </c>
      <c r="AF65">
        <f t="shared" si="13"/>
        <v>2.7148720329649367</v>
      </c>
    </row>
    <row r="66" spans="1:32">
      <c r="A66" s="159" t="s">
        <v>149</v>
      </c>
      <c r="B66">
        <v>140</v>
      </c>
      <c r="C66">
        <v>74</v>
      </c>
      <c r="D66">
        <v>64</v>
      </c>
      <c r="E66">
        <v>23</v>
      </c>
      <c r="F66">
        <v>117</v>
      </c>
      <c r="G66">
        <v>124</v>
      </c>
      <c r="H66">
        <v>247.5</v>
      </c>
      <c r="I66" s="14">
        <v>383.27702141434344</v>
      </c>
      <c r="J66" s="259">
        <v>270.12514671420001</v>
      </c>
      <c r="K66" s="260">
        <v>403.09044833090559</v>
      </c>
      <c r="L66" s="16">
        <f t="shared" ref="L66:L97" si="14">RANK(H66,$H$2:$H$128,1)</f>
        <v>51</v>
      </c>
      <c r="M66" s="230">
        <f t="shared" ref="M66:M97" si="15">RANK(I66,$I$2:$I$128,1)</f>
        <v>57</v>
      </c>
      <c r="N66" s="159">
        <f t="shared" ref="N66:N97" si="16">RANK(J66,$J$2:$J$128,1)</f>
        <v>64</v>
      </c>
      <c r="O66" s="159">
        <f t="shared" ref="O66:O97" si="17">RANK(K66,$K$2:$K$128,1)</f>
        <v>65</v>
      </c>
      <c r="P66" s="15">
        <v>0</v>
      </c>
      <c r="Q66" s="15">
        <v>0</v>
      </c>
      <c r="R66">
        <v>-56</v>
      </c>
      <c r="S66" t="e" vm="1">
        <f t="shared" ref="S66:S97" si="18">RANK(U66,$U$2:$U$128,0)</f>
        <v>#VALUE!</v>
      </c>
      <c r="T66" s="14" t="e" vm="1">
        <f>Table234[[#This Row],[BDG]]/Table234[[#This Row],[Odds]]</f>
        <v>#VALUE!</v>
      </c>
      <c r="U66" s="14" t="e" cm="1" vm="2">
        <f t="array" ref="U66">MAX(_xlfn._xlws.FILTER(Table22[[B365]:[BFAIREXC]], Table22[PLAYER] = A66))</f>
        <v>#VALUE!</v>
      </c>
      <c r="X66" t="s">
        <v>596</v>
      </c>
      <c r="Y66" s="14">
        <v>237.3</v>
      </c>
      <c r="Z66" s="14">
        <v>237.3</v>
      </c>
      <c r="AA66" s="14">
        <f t="shared" si="12"/>
        <v>0</v>
      </c>
      <c r="AD66" t="s">
        <v>443</v>
      </c>
      <c r="AE66">
        <v>69.75</v>
      </c>
      <c r="AF66">
        <f t="shared" si="13"/>
        <v>4.3660077230521823</v>
      </c>
    </row>
    <row r="67" spans="1:32">
      <c r="A67" s="159" t="s">
        <v>29</v>
      </c>
      <c r="B67">
        <v>102</v>
      </c>
      <c r="C67">
        <v>121</v>
      </c>
      <c r="D67">
        <v>122</v>
      </c>
      <c r="E67">
        <v>160</v>
      </c>
      <c r="F67">
        <v>98</v>
      </c>
      <c r="G67">
        <v>157</v>
      </c>
      <c r="H67">
        <v>330.29999999999995</v>
      </c>
      <c r="I67" s="14">
        <v>540.13067678838001</v>
      </c>
      <c r="J67" s="259">
        <v>271.28996549495736</v>
      </c>
      <c r="K67" s="260">
        <v>396.52003648787604</v>
      </c>
      <c r="L67" s="16">
        <f t="shared" si="14"/>
        <v>108</v>
      </c>
      <c r="M67" s="230">
        <f t="shared" si="15"/>
        <v>105</v>
      </c>
      <c r="N67" s="159">
        <f t="shared" si="16"/>
        <v>65</v>
      </c>
      <c r="O67" s="159">
        <f t="shared" si="17"/>
        <v>60</v>
      </c>
      <c r="P67" s="15">
        <v>0</v>
      </c>
      <c r="Q67" s="15">
        <v>0</v>
      </c>
      <c r="R67">
        <v>-33</v>
      </c>
      <c r="S67" t="e" vm="1">
        <f t="shared" si="18"/>
        <v>#VALUE!</v>
      </c>
      <c r="T67" s="14" t="e" vm="1">
        <f>Table234[[#This Row],[BDG]]/Table234[[#This Row],[Odds]]</f>
        <v>#VALUE!</v>
      </c>
      <c r="U67" s="14" t="e" cm="1" vm="2">
        <f t="array" ref="U67">MAX(_xlfn._xlws.FILTER(Table22[[B365]:[BFAIREXC]], Table22[PLAYER] = A67))</f>
        <v>#VALUE!</v>
      </c>
      <c r="X67" t="s">
        <v>633</v>
      </c>
      <c r="Y67" s="14">
        <v>247.29999999999998</v>
      </c>
      <c r="Z67" s="14">
        <v>247.29999999999998</v>
      </c>
      <c r="AA67" s="14">
        <f t="shared" ref="AA67:AA98" si="19">Z67-Y67</f>
        <v>0</v>
      </c>
      <c r="AD67" t="s">
        <v>125</v>
      </c>
      <c r="AE67">
        <v>69.75</v>
      </c>
      <c r="AF67" t="e">
        <f t="shared" ref="AF67:AF98" si="20">VLOOKUP(AD67,$A$2:$J$160,10,FALSE)/AE67</f>
        <v>#N/A</v>
      </c>
    </row>
    <row r="68" spans="1:32">
      <c r="A68" s="159" t="s">
        <v>39</v>
      </c>
      <c r="B68">
        <v>85</v>
      </c>
      <c r="C68">
        <v>172</v>
      </c>
      <c r="D68">
        <v>148</v>
      </c>
      <c r="E68">
        <v>2</v>
      </c>
      <c r="F68">
        <v>75</v>
      </c>
      <c r="G68">
        <v>108</v>
      </c>
      <c r="H68">
        <v>287.39999999999998</v>
      </c>
      <c r="I68" s="14">
        <v>418.42637636550938</v>
      </c>
      <c r="J68" s="259">
        <v>271.59466010028956</v>
      </c>
      <c r="K68" s="260">
        <v>385.55165434698858</v>
      </c>
      <c r="L68" s="16">
        <f t="shared" si="14"/>
        <v>86</v>
      </c>
      <c r="M68" s="230">
        <f t="shared" si="15"/>
        <v>73</v>
      </c>
      <c r="N68" s="159">
        <f t="shared" si="16"/>
        <v>66</v>
      </c>
      <c r="O68" s="159">
        <f t="shared" si="17"/>
        <v>55</v>
      </c>
      <c r="P68" s="15">
        <v>0</v>
      </c>
      <c r="Q68" s="15">
        <v>0</v>
      </c>
      <c r="R68">
        <v>-58</v>
      </c>
      <c r="S68" t="e" vm="1">
        <f t="shared" si="18"/>
        <v>#VALUE!</v>
      </c>
      <c r="T68" s="14">
        <f>Table234[[#This Row],[BDG]]/Table234[[#This Row],[Odds]]</f>
        <v>35.456221945207517</v>
      </c>
      <c r="U68" s="14" cm="1">
        <f t="array" ref="U68">MAX(_xlfn._xlws.FILTER(Table22[[B365]:[BFAIREXC]], Table22[PLAYER] = A68))</f>
        <v>7.66</v>
      </c>
      <c r="X68" t="s">
        <v>562</v>
      </c>
      <c r="Y68" s="14">
        <v>254.6</v>
      </c>
      <c r="Z68" s="14">
        <v>254.6</v>
      </c>
      <c r="AA68" s="14">
        <f t="shared" si="19"/>
        <v>0</v>
      </c>
      <c r="AD68" t="s">
        <v>82</v>
      </c>
      <c r="AE68">
        <v>69.78</v>
      </c>
      <c r="AF68">
        <f t="shared" si="20"/>
        <v>3.4275758197615369</v>
      </c>
    </row>
    <row r="69" spans="1:32">
      <c r="A69" s="159" t="s">
        <v>561</v>
      </c>
      <c r="B69">
        <v>46</v>
      </c>
      <c r="C69">
        <v>170</v>
      </c>
      <c r="D69">
        <v>156</v>
      </c>
      <c r="E69">
        <v>109</v>
      </c>
      <c r="F69">
        <v>5</v>
      </c>
      <c r="G69">
        <v>77</v>
      </c>
      <c r="H69">
        <v>272.5</v>
      </c>
      <c r="I69" s="14">
        <v>397.07593224072679</v>
      </c>
      <c r="J69" s="259">
        <v>272.5</v>
      </c>
      <c r="K69" s="260">
        <v>397.07593224072679</v>
      </c>
      <c r="L69" s="16">
        <f t="shared" si="14"/>
        <v>74</v>
      </c>
      <c r="M69" s="230">
        <f t="shared" si="15"/>
        <v>64</v>
      </c>
      <c r="N69" s="159">
        <f t="shared" si="16"/>
        <v>67</v>
      </c>
      <c r="O69" s="159">
        <f t="shared" si="17"/>
        <v>61</v>
      </c>
      <c r="P69" s="15">
        <v>0</v>
      </c>
      <c r="Q69" s="15">
        <v>0</v>
      </c>
      <c r="R69" t="e">
        <v>#N/A</v>
      </c>
      <c r="S69" t="e" vm="1">
        <f t="shared" si="18"/>
        <v>#VALUE!</v>
      </c>
      <c r="T69" s="14">
        <f>Table234[[#This Row],[BDG]]/Table234[[#This Row],[Odds]]</f>
        <v>10.48076923076923</v>
      </c>
      <c r="U69" s="14" cm="1">
        <f t="array" ref="U69">MAX(_xlfn._xlws.FILTER(Table22[[B365]:[BFAIREXC]], Table22[PLAYER] = A69))</f>
        <v>26</v>
      </c>
      <c r="X69" t="s">
        <v>563</v>
      </c>
      <c r="Y69" s="14">
        <v>254.8</v>
      </c>
      <c r="Z69" s="14">
        <v>254.8</v>
      </c>
      <c r="AA69" s="14">
        <f t="shared" si="19"/>
        <v>0</v>
      </c>
      <c r="AD69" t="s">
        <v>26</v>
      </c>
      <c r="AE69">
        <v>69.78</v>
      </c>
      <c r="AF69" t="e">
        <f t="shared" si="20"/>
        <v>#N/A</v>
      </c>
    </row>
    <row r="70" spans="1:32">
      <c r="A70" s="159" t="s">
        <v>235</v>
      </c>
      <c r="B70">
        <v>104</v>
      </c>
      <c r="C70">
        <v>88</v>
      </c>
      <c r="D70">
        <v>78</v>
      </c>
      <c r="E70">
        <v>42</v>
      </c>
      <c r="F70">
        <v>169</v>
      </c>
      <c r="G70">
        <v>155</v>
      </c>
      <c r="H70">
        <v>272.7</v>
      </c>
      <c r="I70" s="14">
        <v>449.64254091989477</v>
      </c>
      <c r="J70" s="259">
        <v>272.7</v>
      </c>
      <c r="K70" s="260">
        <v>449.64254091989477</v>
      </c>
      <c r="L70" s="16">
        <f t="shared" si="14"/>
        <v>75</v>
      </c>
      <c r="M70" s="230">
        <f t="shared" si="15"/>
        <v>82</v>
      </c>
      <c r="N70" s="159">
        <f t="shared" si="16"/>
        <v>68</v>
      </c>
      <c r="O70" s="159">
        <f t="shared" si="17"/>
        <v>85</v>
      </c>
      <c r="P70" s="15">
        <v>0</v>
      </c>
      <c r="Q70" s="15">
        <v>0.2</v>
      </c>
      <c r="R70">
        <v>-97</v>
      </c>
      <c r="S70" t="e" vm="1">
        <f t="shared" si="18"/>
        <v>#VALUE!</v>
      </c>
      <c r="T70" s="14" t="e" vm="1">
        <f>Table234[[#This Row],[BDG]]/Table234[[#This Row],[Odds]]</f>
        <v>#VALUE!</v>
      </c>
      <c r="U70" s="14" t="e" cm="1" vm="2">
        <f t="array" ref="U70">MAX(_xlfn._xlws.FILTER(Table22[[B365]:[BFAIREXC]], Table22[PLAYER] = A70))</f>
        <v>#VALUE!</v>
      </c>
      <c r="X70" t="s">
        <v>485</v>
      </c>
      <c r="Y70" s="14">
        <v>254.9</v>
      </c>
      <c r="Z70" s="14">
        <v>254.9</v>
      </c>
      <c r="AA70" s="14">
        <f t="shared" si="19"/>
        <v>0</v>
      </c>
      <c r="AD70" t="s">
        <v>39</v>
      </c>
      <c r="AE70">
        <v>69.8</v>
      </c>
      <c r="AF70">
        <f t="shared" si="20"/>
        <v>3.8910409756488478</v>
      </c>
    </row>
    <row r="71" spans="1:32">
      <c r="A71" s="159" t="s">
        <v>424</v>
      </c>
      <c r="B71">
        <v>151</v>
      </c>
      <c r="C71">
        <v>43</v>
      </c>
      <c r="D71">
        <v>106</v>
      </c>
      <c r="E71">
        <v>69</v>
      </c>
      <c r="F71">
        <v>92</v>
      </c>
      <c r="G71">
        <v>100</v>
      </c>
      <c r="H71">
        <v>275</v>
      </c>
      <c r="I71" s="14">
        <v>402.11960434797606</v>
      </c>
      <c r="J71" s="259">
        <v>275</v>
      </c>
      <c r="K71" s="260">
        <v>402.11960434797606</v>
      </c>
      <c r="L71" s="16">
        <f t="shared" si="14"/>
        <v>77</v>
      </c>
      <c r="M71" s="230">
        <f t="shared" si="15"/>
        <v>67</v>
      </c>
      <c r="N71" s="159">
        <f t="shared" si="16"/>
        <v>69</v>
      </c>
      <c r="O71" s="159">
        <f t="shared" si="17"/>
        <v>63</v>
      </c>
      <c r="P71" s="15">
        <v>0</v>
      </c>
      <c r="Q71" s="15">
        <v>0.125</v>
      </c>
      <c r="R71">
        <v>54</v>
      </c>
      <c r="S71" t="e" vm="1">
        <f t="shared" si="18"/>
        <v>#VALUE!</v>
      </c>
      <c r="T71" s="14">
        <f>Table234[[#This Row],[BDG]]/Table234[[#This Row],[Odds]]</f>
        <v>45.081967213114758</v>
      </c>
      <c r="U71" s="14" cm="1">
        <f t="array" ref="U71">MAX(_xlfn._xlws.FILTER(Table22[[B365]:[BFAIREXC]], Table22[PLAYER] = A71))</f>
        <v>6.1</v>
      </c>
      <c r="X71" t="s">
        <v>410</v>
      </c>
      <c r="Y71" s="14">
        <v>257.10000000000002</v>
      </c>
      <c r="Z71" s="14">
        <v>257.10000000000002</v>
      </c>
      <c r="AA71" s="14">
        <f t="shared" si="19"/>
        <v>0</v>
      </c>
      <c r="AD71" t="s">
        <v>562</v>
      </c>
      <c r="AE71">
        <v>69.83</v>
      </c>
      <c r="AF71">
        <f t="shared" si="20"/>
        <v>3.6459974223113276</v>
      </c>
    </row>
    <row r="72" spans="1:32">
      <c r="A72" s="159" t="s">
        <v>177</v>
      </c>
      <c r="B72">
        <v>169</v>
      </c>
      <c r="C72">
        <v>77</v>
      </c>
      <c r="D72">
        <v>27</v>
      </c>
      <c r="E72">
        <v>25</v>
      </c>
      <c r="F72">
        <v>145</v>
      </c>
      <c r="G72">
        <v>139</v>
      </c>
      <c r="H72">
        <v>258.20000000000005</v>
      </c>
      <c r="I72" s="14">
        <v>402.67813392871312</v>
      </c>
      <c r="J72" s="259">
        <v>275.01955877926838</v>
      </c>
      <c r="K72" s="260">
        <v>430.49631789864952</v>
      </c>
      <c r="L72" s="16">
        <f t="shared" si="14"/>
        <v>62</v>
      </c>
      <c r="M72" s="230">
        <f t="shared" si="15"/>
        <v>68</v>
      </c>
      <c r="N72" s="159">
        <f t="shared" si="16"/>
        <v>70</v>
      </c>
      <c r="O72" s="159">
        <f t="shared" si="17"/>
        <v>77</v>
      </c>
      <c r="P72" s="15">
        <v>0</v>
      </c>
      <c r="Q72" s="15">
        <v>0</v>
      </c>
      <c r="R72">
        <v>17</v>
      </c>
      <c r="S72" t="e" vm="1">
        <f t="shared" si="18"/>
        <v>#VALUE!</v>
      </c>
      <c r="T72" s="14">
        <f>Table234[[#This Row],[BDG]]/Table234[[#This Row],[Odds]]</f>
        <v>20.074420348851707</v>
      </c>
      <c r="U72" s="14" cm="1">
        <f t="array" ref="U72">MAX(_xlfn._xlws.FILTER(Table22[[B365]:[BFAIREXC]], Table22[PLAYER] = A72))</f>
        <v>13.7</v>
      </c>
      <c r="X72" t="s">
        <v>496</v>
      </c>
      <c r="Y72" s="14">
        <v>269.89999999999998</v>
      </c>
      <c r="Z72" s="14">
        <v>269.89999999999998</v>
      </c>
      <c r="AA72" s="14">
        <f t="shared" si="19"/>
        <v>0</v>
      </c>
      <c r="AD72" t="s">
        <v>384</v>
      </c>
      <c r="AE72">
        <v>69.83</v>
      </c>
      <c r="AF72">
        <f t="shared" si="20"/>
        <v>4.2374337677216092</v>
      </c>
    </row>
    <row r="73" spans="1:32">
      <c r="A73" s="159" t="s">
        <v>11</v>
      </c>
      <c r="B73">
        <v>68</v>
      </c>
      <c r="C73">
        <v>124</v>
      </c>
      <c r="D73">
        <v>139</v>
      </c>
      <c r="E73">
        <v>152</v>
      </c>
      <c r="F73">
        <v>89</v>
      </c>
      <c r="G73">
        <v>134</v>
      </c>
      <c r="H73">
        <v>312.2</v>
      </c>
      <c r="I73" s="14">
        <v>501.67145094451092</v>
      </c>
      <c r="J73" s="259">
        <v>276.92886525963638</v>
      </c>
      <c r="K73" s="260">
        <v>464.51000815657289</v>
      </c>
      <c r="L73" s="16">
        <f t="shared" si="14"/>
        <v>96</v>
      </c>
      <c r="M73" s="230">
        <f t="shared" si="15"/>
        <v>94</v>
      </c>
      <c r="N73" s="159">
        <f t="shared" si="16"/>
        <v>71</v>
      </c>
      <c r="O73" s="159">
        <f t="shared" si="17"/>
        <v>91</v>
      </c>
      <c r="P73" s="15">
        <v>0</v>
      </c>
      <c r="Q73" s="15">
        <v>0.1111111111111111</v>
      </c>
      <c r="R73">
        <v>30</v>
      </c>
      <c r="S73" t="e" vm="1">
        <f t="shared" si="18"/>
        <v>#VALUE!</v>
      </c>
      <c r="T73" s="14">
        <f>Table234[[#This Row],[BDG]]/Table234[[#This Row],[Odds]]</f>
        <v>40.251288555179705</v>
      </c>
      <c r="U73" s="14" cm="1">
        <f t="array" ref="U73">MAX(_xlfn._xlws.FILTER(Table22[[B365]:[BFAIREXC]], Table22[PLAYER] = A73))</f>
        <v>6.88</v>
      </c>
      <c r="X73" t="s">
        <v>561</v>
      </c>
      <c r="Y73" s="14">
        <v>272.5</v>
      </c>
      <c r="Z73" s="14">
        <v>272.5</v>
      </c>
      <c r="AA73" s="14">
        <f t="shared" si="19"/>
        <v>0</v>
      </c>
      <c r="AD73" t="s">
        <v>497</v>
      </c>
      <c r="AE73">
        <v>69.86</v>
      </c>
      <c r="AF73">
        <f t="shared" si="20"/>
        <v>3.2006870884626397</v>
      </c>
    </row>
    <row r="74" spans="1:32">
      <c r="A74" s="159" t="s">
        <v>36</v>
      </c>
      <c r="B74">
        <v>66</v>
      </c>
      <c r="C74">
        <v>131</v>
      </c>
      <c r="D74">
        <v>126</v>
      </c>
      <c r="E74">
        <v>173</v>
      </c>
      <c r="F74">
        <v>96</v>
      </c>
      <c r="G74">
        <v>146</v>
      </c>
      <c r="H74">
        <v>317.09999999999997</v>
      </c>
      <c r="I74" s="14">
        <v>521.39709234313818</v>
      </c>
      <c r="J74" s="259">
        <v>276.93452982055129</v>
      </c>
      <c r="K74" s="260">
        <v>448.20390745309885</v>
      </c>
      <c r="L74" s="16">
        <f t="shared" si="14"/>
        <v>100</v>
      </c>
      <c r="M74" s="230">
        <f t="shared" si="15"/>
        <v>98</v>
      </c>
      <c r="N74" s="159">
        <f t="shared" si="16"/>
        <v>72</v>
      </c>
      <c r="O74" s="159">
        <f t="shared" si="17"/>
        <v>84</v>
      </c>
      <c r="P74" s="15">
        <v>0</v>
      </c>
      <c r="Q74" s="15">
        <v>0</v>
      </c>
      <c r="R74">
        <v>-39</v>
      </c>
      <c r="S74" t="e" vm="1">
        <f t="shared" si="18"/>
        <v>#VALUE!</v>
      </c>
      <c r="T74" s="14">
        <f>Table234[[#This Row],[BDG]]/Table234[[#This Row],[Odds]]</f>
        <v>44.027747189276838</v>
      </c>
      <c r="U74" s="14" cm="1">
        <f t="array" ref="U74">MAX(_xlfn._xlws.FILTER(Table22[[B365]:[BFAIREXC]], Table22[PLAYER] = A74))</f>
        <v>6.29</v>
      </c>
      <c r="X74" t="s">
        <v>235</v>
      </c>
      <c r="Y74" s="14">
        <v>272.7</v>
      </c>
      <c r="Z74" s="14">
        <v>272.7</v>
      </c>
      <c r="AA74" s="14">
        <f t="shared" si="19"/>
        <v>0</v>
      </c>
      <c r="AD74" t="s">
        <v>46</v>
      </c>
      <c r="AE74">
        <v>69.88</v>
      </c>
      <c r="AF74">
        <f t="shared" si="20"/>
        <v>3.719314147352264</v>
      </c>
    </row>
    <row r="75" spans="1:32">
      <c r="A75" s="159" t="s">
        <v>17</v>
      </c>
      <c r="B75">
        <v>20</v>
      </c>
      <c r="C75">
        <v>176</v>
      </c>
      <c r="D75">
        <v>121</v>
      </c>
      <c r="E75">
        <v>149</v>
      </c>
      <c r="F75">
        <v>165</v>
      </c>
      <c r="G75">
        <v>161</v>
      </c>
      <c r="H75">
        <v>328.79999999999995</v>
      </c>
      <c r="I75" s="14">
        <v>547.01569620984162</v>
      </c>
      <c r="J75" s="259">
        <v>277.37858797449258</v>
      </c>
      <c r="K75" s="260">
        <v>436.91542905145798</v>
      </c>
      <c r="L75" s="16">
        <f t="shared" si="14"/>
        <v>107</v>
      </c>
      <c r="M75" s="230">
        <f t="shared" si="15"/>
        <v>111</v>
      </c>
      <c r="N75" s="159">
        <f t="shared" si="16"/>
        <v>73</v>
      </c>
      <c r="O75" s="159">
        <f t="shared" si="17"/>
        <v>80</v>
      </c>
      <c r="P75" s="15">
        <v>0</v>
      </c>
      <c r="Q75" s="15">
        <v>0</v>
      </c>
      <c r="R75">
        <v>-15</v>
      </c>
      <c r="S75" t="e" vm="1">
        <f t="shared" si="18"/>
        <v>#VALUE!</v>
      </c>
      <c r="T75" s="14" t="e" vm="1">
        <f>Table234[[#This Row],[BDG]]/Table234[[#This Row],[Odds]]</f>
        <v>#VALUE!</v>
      </c>
      <c r="U75" s="14" t="e" cm="1" vm="2">
        <f t="array" ref="U75">MAX(_xlfn._xlws.FILTER(Table22[[B365]:[BFAIREXC]], Table22[PLAYER] = A75))</f>
        <v>#VALUE!</v>
      </c>
      <c r="X75" t="s">
        <v>424</v>
      </c>
      <c r="Y75" s="14">
        <v>275</v>
      </c>
      <c r="Z75" s="14">
        <v>275</v>
      </c>
      <c r="AA75" s="14">
        <f t="shared" si="19"/>
        <v>0</v>
      </c>
      <c r="AD75" t="s">
        <v>142</v>
      </c>
      <c r="AE75">
        <v>69.88</v>
      </c>
      <c r="AF75">
        <f t="shared" si="20"/>
        <v>4.1879461540148171</v>
      </c>
    </row>
    <row r="76" spans="1:32">
      <c r="A76" s="159" t="s">
        <v>109</v>
      </c>
      <c r="B76">
        <v>73</v>
      </c>
      <c r="C76">
        <v>101</v>
      </c>
      <c r="D76">
        <v>173</v>
      </c>
      <c r="E76">
        <v>170</v>
      </c>
      <c r="F76">
        <v>3</v>
      </c>
      <c r="G76">
        <v>148</v>
      </c>
      <c r="H76">
        <v>292.2</v>
      </c>
      <c r="I76" s="14">
        <v>502.00068333254302</v>
      </c>
      <c r="J76" s="259">
        <v>277.62339227924645</v>
      </c>
      <c r="K76" s="260">
        <v>456.59622088871987</v>
      </c>
      <c r="L76" s="16">
        <f t="shared" si="14"/>
        <v>87</v>
      </c>
      <c r="M76" s="230">
        <f t="shared" si="15"/>
        <v>95</v>
      </c>
      <c r="N76" s="159">
        <f t="shared" si="16"/>
        <v>74</v>
      </c>
      <c r="O76" s="159">
        <f t="shared" si="17"/>
        <v>90</v>
      </c>
      <c r="P76" s="15">
        <v>0</v>
      </c>
      <c r="Q76" s="15">
        <v>0</v>
      </c>
      <c r="R76">
        <v>-20</v>
      </c>
      <c r="S76" t="e" vm="1">
        <f t="shared" si="18"/>
        <v>#VALUE!</v>
      </c>
      <c r="T76" s="14">
        <f>Table234[[#This Row],[BDG]]/Table234[[#This Row],[Odds]]</f>
        <v>32.85483932298775</v>
      </c>
      <c r="U76" s="14" cm="1">
        <f t="array" ref="U76">MAX(_xlfn._xlws.FILTER(Table22[[B365]:[BFAIREXC]], Table22[PLAYER] = A76))</f>
        <v>8.4499999999999993</v>
      </c>
      <c r="X76" t="s">
        <v>796</v>
      </c>
      <c r="Y76" s="14">
        <v>279.10000000000002</v>
      </c>
      <c r="Z76" s="14">
        <v>279.10000000000002</v>
      </c>
      <c r="AA76" s="14">
        <f t="shared" si="19"/>
        <v>0</v>
      </c>
      <c r="AD76" t="s">
        <v>154</v>
      </c>
      <c r="AE76">
        <v>69.88</v>
      </c>
      <c r="AF76" t="e">
        <f t="shared" si="20"/>
        <v>#N/A</v>
      </c>
    </row>
    <row r="77" spans="1:32">
      <c r="A77" s="159" t="s">
        <v>23</v>
      </c>
      <c r="B77">
        <v>83</v>
      </c>
      <c r="C77">
        <v>137</v>
      </c>
      <c r="D77">
        <v>39</v>
      </c>
      <c r="E77">
        <v>154</v>
      </c>
      <c r="F77">
        <v>110</v>
      </c>
      <c r="G77">
        <v>103</v>
      </c>
      <c r="H77">
        <v>270.5</v>
      </c>
      <c r="I77" s="14">
        <v>412.98264380145235</v>
      </c>
      <c r="J77" s="259">
        <v>278.63949263239158</v>
      </c>
      <c r="K77" s="260">
        <v>418.23435041449346</v>
      </c>
      <c r="L77" s="16">
        <f t="shared" si="14"/>
        <v>73</v>
      </c>
      <c r="M77" s="230">
        <f t="shared" si="15"/>
        <v>71</v>
      </c>
      <c r="N77" s="159">
        <f t="shared" si="16"/>
        <v>75</v>
      </c>
      <c r="O77" s="159">
        <f t="shared" si="17"/>
        <v>73</v>
      </c>
      <c r="P77" s="15">
        <v>0</v>
      </c>
      <c r="Q77" s="15">
        <v>0.1111111111111111</v>
      </c>
      <c r="R77">
        <v>-47</v>
      </c>
      <c r="S77" t="e" vm="1">
        <f t="shared" si="18"/>
        <v>#VALUE!</v>
      </c>
      <c r="T77" s="14" t="e" vm="1">
        <f>Table234[[#This Row],[BDG]]/Table234[[#This Row],[Odds]]</f>
        <v>#VALUE!</v>
      </c>
      <c r="U77" s="14" t="e" cm="1" vm="2">
        <f t="array" ref="U77">MAX(_xlfn._xlws.FILTER(Table22[[B365]:[BFAIREXC]], Table22[PLAYER] = A77))</f>
        <v>#VALUE!</v>
      </c>
      <c r="X77" t="s">
        <v>494</v>
      </c>
      <c r="Y77" s="14">
        <v>282.5</v>
      </c>
      <c r="Z77" s="14">
        <v>282.5</v>
      </c>
      <c r="AA77" s="14">
        <f t="shared" si="19"/>
        <v>0</v>
      </c>
      <c r="AD77" t="s">
        <v>140</v>
      </c>
      <c r="AE77">
        <v>69.88</v>
      </c>
      <c r="AF77" t="e">
        <f t="shared" si="20"/>
        <v>#N/A</v>
      </c>
    </row>
    <row r="78" spans="1:32">
      <c r="A78" s="159" t="s">
        <v>796</v>
      </c>
      <c r="B78">
        <v>158</v>
      </c>
      <c r="C78">
        <v>20</v>
      </c>
      <c r="D78">
        <v>43</v>
      </c>
      <c r="E78">
        <v>171</v>
      </c>
      <c r="F78">
        <v>120</v>
      </c>
      <c r="G78">
        <v>38</v>
      </c>
      <c r="H78">
        <v>279.10000000000002</v>
      </c>
      <c r="I78" s="14">
        <v>356.60296740200101</v>
      </c>
      <c r="J78" s="259">
        <v>279.10000000000002</v>
      </c>
      <c r="K78" s="260">
        <v>356.60296740200101</v>
      </c>
      <c r="L78" s="16">
        <f t="shared" si="14"/>
        <v>80</v>
      </c>
      <c r="M78" s="230">
        <f t="shared" si="15"/>
        <v>49</v>
      </c>
      <c r="N78" s="159">
        <f t="shared" si="16"/>
        <v>76</v>
      </c>
      <c r="O78" s="159">
        <f t="shared" si="17"/>
        <v>44</v>
      </c>
      <c r="P78" s="15" t="e">
        <v>#N/A</v>
      </c>
      <c r="Q78" s="15" t="e">
        <v>#N/A</v>
      </c>
      <c r="R78" t="e">
        <v>#N/A</v>
      </c>
      <c r="S78" t="e" vm="1">
        <f t="shared" si="18"/>
        <v>#VALUE!</v>
      </c>
      <c r="T78" s="14" t="e" vm="1">
        <f>Table234[[#This Row],[BDG]]/Table234[[#This Row],[Odds]]</f>
        <v>#VALUE!</v>
      </c>
      <c r="U78" s="14" t="e" cm="1" vm="2">
        <f t="array" ref="U78">MAX(_xlfn._xlws.FILTER(Table22[[B365]:[BFAIREXC]], Table22[PLAYER] = A78))</f>
        <v>#VALUE!</v>
      </c>
      <c r="X78" t="s">
        <v>167</v>
      </c>
      <c r="Y78" s="14">
        <v>286.3</v>
      </c>
      <c r="Z78" s="14">
        <v>286.3</v>
      </c>
      <c r="AA78" s="14">
        <f t="shared" si="19"/>
        <v>0</v>
      </c>
      <c r="AD78" t="s">
        <v>110</v>
      </c>
      <c r="AE78">
        <v>69.88</v>
      </c>
      <c r="AF78" t="e">
        <f t="shared" si="20"/>
        <v>#N/A</v>
      </c>
    </row>
    <row r="79" spans="1:32">
      <c r="A79" s="159" t="s">
        <v>30</v>
      </c>
      <c r="B79">
        <v>29</v>
      </c>
      <c r="C79">
        <v>159</v>
      </c>
      <c r="D79">
        <v>123</v>
      </c>
      <c r="E79">
        <v>104</v>
      </c>
      <c r="F79">
        <v>101</v>
      </c>
      <c r="G79">
        <v>106</v>
      </c>
      <c r="H79">
        <v>278</v>
      </c>
      <c r="I79" s="14">
        <v>429.08988317395506</v>
      </c>
      <c r="J79" s="259">
        <v>280.65996491254629</v>
      </c>
      <c r="K79" s="260">
        <v>420.84601225112806</v>
      </c>
      <c r="L79" s="16">
        <f t="shared" si="14"/>
        <v>78</v>
      </c>
      <c r="M79" s="230">
        <f t="shared" si="15"/>
        <v>77</v>
      </c>
      <c r="N79" s="159">
        <f t="shared" si="16"/>
        <v>77</v>
      </c>
      <c r="O79" s="159">
        <f t="shared" si="17"/>
        <v>74</v>
      </c>
      <c r="P79" s="15">
        <v>0</v>
      </c>
      <c r="Q79" s="15">
        <v>0</v>
      </c>
      <c r="R79">
        <v>-89</v>
      </c>
      <c r="S79" t="e" vm="1">
        <f t="shared" si="18"/>
        <v>#VALUE!</v>
      </c>
      <c r="T79" s="14">
        <f>Table234[[#This Row],[BDG]]/Table234[[#This Row],[Odds]]</f>
        <v>55.908359544331937</v>
      </c>
      <c r="U79" s="14" cm="1">
        <f t="array" ref="U79">MAX(_xlfn._xlws.FILTER(Table22[[B365]:[BFAIREXC]], Table22[PLAYER] = A79))</f>
        <v>5.0199999999999996</v>
      </c>
      <c r="X79" t="s">
        <v>384</v>
      </c>
      <c r="Y79" s="14">
        <v>295.89999999999998</v>
      </c>
      <c r="Z79" s="14">
        <v>295.89999999999998</v>
      </c>
      <c r="AA79" s="14">
        <f t="shared" si="19"/>
        <v>0</v>
      </c>
      <c r="AD79" t="s">
        <v>492</v>
      </c>
      <c r="AE79">
        <v>70</v>
      </c>
      <c r="AF79">
        <f t="shared" si="20"/>
        <v>2.0328571428571429</v>
      </c>
    </row>
    <row r="80" spans="1:32">
      <c r="A80" s="159" t="s">
        <v>8</v>
      </c>
      <c r="B80">
        <v>1</v>
      </c>
      <c r="C80">
        <v>134</v>
      </c>
      <c r="D80">
        <v>176</v>
      </c>
      <c r="E80">
        <v>164</v>
      </c>
      <c r="F80">
        <v>14</v>
      </c>
      <c r="G80">
        <v>97</v>
      </c>
      <c r="H80">
        <v>263.5</v>
      </c>
      <c r="I80" s="14">
        <v>425.9752157339189</v>
      </c>
      <c r="J80" s="259">
        <v>280.79835246352673</v>
      </c>
      <c r="K80" s="260">
        <v>479.42321717737411</v>
      </c>
      <c r="L80" s="16">
        <f t="shared" si="14"/>
        <v>67</v>
      </c>
      <c r="M80" s="230">
        <f t="shared" si="15"/>
        <v>76</v>
      </c>
      <c r="N80" s="159">
        <f t="shared" si="16"/>
        <v>78</v>
      </c>
      <c r="O80" s="159">
        <f t="shared" si="17"/>
        <v>97</v>
      </c>
      <c r="P80" s="15">
        <v>0</v>
      </c>
      <c r="Q80" s="15">
        <v>0</v>
      </c>
      <c r="R80">
        <v>42</v>
      </c>
      <c r="S80" t="e" vm="1">
        <f t="shared" si="18"/>
        <v>#VALUE!</v>
      </c>
      <c r="T80" s="14" t="e" vm="1">
        <f>Table234[[#This Row],[BDG]]/Table234[[#This Row],[Odds]]</f>
        <v>#VALUE!</v>
      </c>
      <c r="U80" s="14" t="e" cm="1" vm="2">
        <f t="array" ref="U80">MAX(_xlfn._xlws.FILTER(Table22[[B365]:[BFAIREXC]], Table22[PLAYER] = A80))</f>
        <v>#VALUE!</v>
      </c>
      <c r="X80" t="s">
        <v>490</v>
      </c>
      <c r="Y80" s="14">
        <v>299</v>
      </c>
      <c r="Z80" s="14">
        <v>299</v>
      </c>
      <c r="AA80" s="14">
        <f t="shared" si="19"/>
        <v>0</v>
      </c>
      <c r="AD80" t="s">
        <v>596</v>
      </c>
      <c r="AE80">
        <v>70</v>
      </c>
      <c r="AF80">
        <f t="shared" si="20"/>
        <v>3.39</v>
      </c>
    </row>
    <row r="81" spans="1:32">
      <c r="A81" s="159" t="s">
        <v>137</v>
      </c>
      <c r="B81">
        <v>153</v>
      </c>
      <c r="C81">
        <v>28</v>
      </c>
      <c r="D81">
        <v>8</v>
      </c>
      <c r="E81">
        <v>113</v>
      </c>
      <c r="F81">
        <v>174</v>
      </c>
      <c r="G81">
        <v>90</v>
      </c>
      <c r="H81">
        <v>258.89999999999998</v>
      </c>
      <c r="I81" s="14">
        <v>372.08882642409202</v>
      </c>
      <c r="J81" s="259">
        <v>280.81124645380044</v>
      </c>
      <c r="K81" s="260">
        <v>416.11187437321178</v>
      </c>
      <c r="L81" s="16">
        <f t="shared" si="14"/>
        <v>63</v>
      </c>
      <c r="M81" s="230">
        <f t="shared" si="15"/>
        <v>55</v>
      </c>
      <c r="N81" s="159">
        <f t="shared" si="16"/>
        <v>79</v>
      </c>
      <c r="O81" s="159">
        <f t="shared" si="17"/>
        <v>72</v>
      </c>
      <c r="P81" s="15">
        <v>0</v>
      </c>
      <c r="Q81" s="15">
        <v>0</v>
      </c>
      <c r="R81">
        <v>39</v>
      </c>
      <c r="S81" t="e" vm="1">
        <f t="shared" si="18"/>
        <v>#VALUE!</v>
      </c>
      <c r="T81" s="14">
        <f>Table234[[#This Row],[BDG]]/Table234[[#This Row],[Odds]]</f>
        <v>40.815588147354717</v>
      </c>
      <c r="U81" s="14" cm="1">
        <f t="array" ref="U81">MAX(_xlfn._xlws.FILTER(Table22[[B365]:[BFAIREXC]], Table22[PLAYER] = A81))</f>
        <v>6.88</v>
      </c>
      <c r="X81" t="s">
        <v>53</v>
      </c>
      <c r="Y81" s="14">
        <v>302.79999999999995</v>
      </c>
      <c r="Z81" s="14">
        <v>302.79999999999995</v>
      </c>
      <c r="AA81" s="14">
        <f t="shared" si="19"/>
        <v>0</v>
      </c>
      <c r="AD81" t="s">
        <v>559</v>
      </c>
      <c r="AE81">
        <v>70</v>
      </c>
      <c r="AF81">
        <f t="shared" si="20"/>
        <v>4.7328571428571431</v>
      </c>
    </row>
    <row r="82" spans="1:32">
      <c r="A82" s="159" t="s">
        <v>55</v>
      </c>
      <c r="B82">
        <v>50</v>
      </c>
      <c r="C82">
        <v>127</v>
      </c>
      <c r="D82">
        <v>157</v>
      </c>
      <c r="E82">
        <v>137</v>
      </c>
      <c r="F82">
        <v>106</v>
      </c>
      <c r="G82">
        <v>172</v>
      </c>
      <c r="H82">
        <v>316.2</v>
      </c>
      <c r="I82" s="14">
        <v>544.89791829821252</v>
      </c>
      <c r="J82" s="259">
        <v>281.03526385613827</v>
      </c>
      <c r="K82" s="260">
        <v>475.24646855846549</v>
      </c>
      <c r="L82" s="16">
        <f t="shared" si="14"/>
        <v>99</v>
      </c>
      <c r="M82" s="230">
        <f t="shared" si="15"/>
        <v>108</v>
      </c>
      <c r="N82" s="159">
        <f t="shared" si="16"/>
        <v>80</v>
      </c>
      <c r="O82" s="159">
        <f t="shared" si="17"/>
        <v>95</v>
      </c>
      <c r="P82" s="15">
        <v>0</v>
      </c>
      <c r="Q82" s="15">
        <v>0</v>
      </c>
      <c r="R82">
        <v>-1</v>
      </c>
      <c r="S82" t="e" vm="1">
        <f t="shared" si="18"/>
        <v>#VALUE!</v>
      </c>
      <c r="T82" s="14" t="e" vm="1">
        <f>Table234[[#This Row],[BDG]]/Table234[[#This Row],[Odds]]</f>
        <v>#VALUE!</v>
      </c>
      <c r="U82" s="14" t="e" cm="1" vm="2">
        <f t="array" ref="U82">MAX(_xlfn._xlws.FILTER(Table22[[B365]:[BFAIREXC]], Table22[PLAYER] = A82))</f>
        <v>#VALUE!</v>
      </c>
      <c r="X82" t="s">
        <v>539</v>
      </c>
      <c r="Y82" s="14">
        <v>307.60000000000002</v>
      </c>
      <c r="Z82" s="14">
        <v>307.60000000000002</v>
      </c>
      <c r="AA82" s="14">
        <f t="shared" si="19"/>
        <v>0</v>
      </c>
      <c r="AD82" t="s">
        <v>151</v>
      </c>
      <c r="AE82">
        <v>70</v>
      </c>
      <c r="AF82" t="e">
        <f t="shared" si="20"/>
        <v>#N/A</v>
      </c>
    </row>
    <row r="83" spans="1:32">
      <c r="A83" s="159" t="s">
        <v>32</v>
      </c>
      <c r="B83">
        <v>16</v>
      </c>
      <c r="C83">
        <v>165</v>
      </c>
      <c r="D83">
        <v>140</v>
      </c>
      <c r="E83">
        <v>131</v>
      </c>
      <c r="F83">
        <v>46</v>
      </c>
      <c r="G83">
        <v>128</v>
      </c>
      <c r="H83">
        <v>267.10000000000002</v>
      </c>
      <c r="I83" s="14">
        <v>447.82984799851545</v>
      </c>
      <c r="J83" s="259">
        <v>281.76241304051314</v>
      </c>
      <c r="K83" s="260">
        <v>441.23892791335379</v>
      </c>
      <c r="L83" s="16">
        <f t="shared" si="14"/>
        <v>71</v>
      </c>
      <c r="M83" s="230">
        <f t="shared" si="15"/>
        <v>81</v>
      </c>
      <c r="N83" s="159">
        <f t="shared" si="16"/>
        <v>81</v>
      </c>
      <c r="O83" s="159">
        <f t="shared" si="17"/>
        <v>81</v>
      </c>
      <c r="P83" s="15">
        <v>0</v>
      </c>
      <c r="Q83" s="15">
        <v>0</v>
      </c>
      <c r="R83">
        <v>9</v>
      </c>
      <c r="S83" t="e" vm="1">
        <f t="shared" si="18"/>
        <v>#VALUE!</v>
      </c>
      <c r="T83" s="14">
        <f>Table234[[#This Row],[BDG]]/Table234[[#This Row],[Odds]]</f>
        <v>43.348063544694327</v>
      </c>
      <c r="U83" s="14" cm="1">
        <f t="array" ref="U83">MAX(_xlfn._xlws.FILTER(Table22[[B365]:[BFAIREXC]], Table22[PLAYER] = A83))</f>
        <v>6.5</v>
      </c>
      <c r="X83" t="s">
        <v>444</v>
      </c>
      <c r="Y83" s="14">
        <v>325.29999999999995</v>
      </c>
      <c r="Z83" s="14">
        <v>325.29999999999995</v>
      </c>
      <c r="AA83" s="14">
        <f t="shared" si="19"/>
        <v>0</v>
      </c>
      <c r="AD83" t="s">
        <v>6</v>
      </c>
      <c r="AE83">
        <v>70</v>
      </c>
      <c r="AF83" t="e">
        <f t="shared" si="20"/>
        <v>#N/A</v>
      </c>
    </row>
    <row r="84" spans="1:32">
      <c r="A84" s="159" t="s">
        <v>494</v>
      </c>
      <c r="B84">
        <v>24</v>
      </c>
      <c r="C84">
        <v>128</v>
      </c>
      <c r="D84">
        <v>179</v>
      </c>
      <c r="E84">
        <v>136</v>
      </c>
      <c r="F84">
        <v>44</v>
      </c>
      <c r="G84">
        <v>152</v>
      </c>
      <c r="H84">
        <v>282.5</v>
      </c>
      <c r="I84" s="14">
        <v>494.02075000198658</v>
      </c>
      <c r="J84" s="259">
        <v>282.5</v>
      </c>
      <c r="K84" s="260">
        <v>494.02075000198658</v>
      </c>
      <c r="L84" s="16">
        <f t="shared" si="14"/>
        <v>82</v>
      </c>
      <c r="M84" s="230">
        <f t="shared" si="15"/>
        <v>91</v>
      </c>
      <c r="N84" s="159">
        <f t="shared" si="16"/>
        <v>82</v>
      </c>
      <c r="O84" s="159">
        <f t="shared" si="17"/>
        <v>103</v>
      </c>
      <c r="P84" s="15">
        <v>0</v>
      </c>
      <c r="Q84" s="15">
        <v>0.14285714285714285</v>
      </c>
      <c r="R84">
        <v>-8</v>
      </c>
      <c r="S84" t="e" vm="1">
        <f t="shared" si="18"/>
        <v>#VALUE!</v>
      </c>
      <c r="T84" s="14" t="e" vm="1">
        <f>Table234[[#This Row],[BDG]]/Table234[[#This Row],[Odds]]</f>
        <v>#VALUE!</v>
      </c>
      <c r="U84" s="14" t="e" cm="1" vm="2">
        <f t="array" ref="U84">MAX(_xlfn._xlws.FILTER(Table22[[B365]:[BFAIREXC]], Table22[PLAYER] = A84))</f>
        <v>#VALUE!</v>
      </c>
      <c r="X84" t="s">
        <v>556</v>
      </c>
      <c r="Y84" s="14">
        <v>326.89999999999998</v>
      </c>
      <c r="Z84" s="14">
        <v>326.89999999999998</v>
      </c>
      <c r="AA84" s="14">
        <f t="shared" si="19"/>
        <v>0</v>
      </c>
      <c r="AD84" t="s">
        <v>101</v>
      </c>
      <c r="AE84">
        <v>70.099999999999994</v>
      </c>
      <c r="AF84" t="e">
        <f t="shared" si="20"/>
        <v>#N/A</v>
      </c>
    </row>
    <row r="85" spans="1:32">
      <c r="A85" s="159" t="s">
        <v>48</v>
      </c>
      <c r="B85">
        <v>5</v>
      </c>
      <c r="C85">
        <v>76</v>
      </c>
      <c r="D85">
        <v>109</v>
      </c>
      <c r="E85">
        <v>18</v>
      </c>
      <c r="F85">
        <v>168</v>
      </c>
      <c r="G85">
        <v>95</v>
      </c>
      <c r="H85">
        <v>209</v>
      </c>
      <c r="I85" s="14">
        <v>331.18200908568627</v>
      </c>
      <c r="J85" s="259">
        <v>282.97105005831907</v>
      </c>
      <c r="K85" s="260">
        <v>453.18032962994181</v>
      </c>
      <c r="L85" s="16">
        <f t="shared" si="14"/>
        <v>23</v>
      </c>
      <c r="M85" s="230">
        <f t="shared" si="15"/>
        <v>39</v>
      </c>
      <c r="N85" s="159">
        <f t="shared" si="16"/>
        <v>83</v>
      </c>
      <c r="O85" s="159">
        <f t="shared" si="17"/>
        <v>88</v>
      </c>
      <c r="P85" s="15">
        <v>0</v>
      </c>
      <c r="Q85" s="15">
        <v>0.25</v>
      </c>
      <c r="R85">
        <v>-59</v>
      </c>
      <c r="S85" t="e" vm="1">
        <f t="shared" si="18"/>
        <v>#VALUE!</v>
      </c>
      <c r="T85" s="14">
        <f>Table234[[#This Row],[BDG]]/Table234[[#This Row],[Odds]]</f>
        <v>35.108070726838591</v>
      </c>
      <c r="U85" s="14" cm="1">
        <f t="array" ref="U85">MAX(_xlfn._xlws.FILTER(Table22[[B365]:[BFAIREXC]], Table22[PLAYER] = A85))</f>
        <v>8.06</v>
      </c>
      <c r="X85" t="s">
        <v>559</v>
      </c>
      <c r="Y85" s="14">
        <v>331.3</v>
      </c>
      <c r="Z85" s="14">
        <v>331.3</v>
      </c>
      <c r="AA85" s="14">
        <f t="shared" si="19"/>
        <v>0</v>
      </c>
      <c r="AD85" t="s">
        <v>113</v>
      </c>
      <c r="AE85">
        <v>70.099999999999994</v>
      </c>
      <c r="AF85" t="e">
        <f t="shared" si="20"/>
        <v>#N/A</v>
      </c>
    </row>
    <row r="86" spans="1:32">
      <c r="A86" s="159" t="s">
        <v>13</v>
      </c>
      <c r="B86">
        <v>10</v>
      </c>
      <c r="C86">
        <v>97</v>
      </c>
      <c r="D86">
        <v>152</v>
      </c>
      <c r="E86">
        <v>154</v>
      </c>
      <c r="F86">
        <v>178</v>
      </c>
      <c r="G86">
        <v>168</v>
      </c>
      <c r="H86">
        <v>312.5</v>
      </c>
      <c r="I86" s="14">
        <v>544.50485924852194</v>
      </c>
      <c r="J86" s="259">
        <v>283.27814030268519</v>
      </c>
      <c r="K86" s="260">
        <v>455.72964797509712</v>
      </c>
      <c r="L86" s="16">
        <f t="shared" si="14"/>
        <v>97</v>
      </c>
      <c r="M86" s="230">
        <f t="shared" si="15"/>
        <v>107</v>
      </c>
      <c r="N86" s="159">
        <f t="shared" si="16"/>
        <v>84</v>
      </c>
      <c r="O86" s="159">
        <f t="shared" si="17"/>
        <v>89</v>
      </c>
      <c r="P86" s="15">
        <v>0</v>
      </c>
      <c r="Q86" s="15">
        <v>0</v>
      </c>
      <c r="R86">
        <v>-1</v>
      </c>
      <c r="S86" t="e" vm="1">
        <f t="shared" si="18"/>
        <v>#VALUE!</v>
      </c>
      <c r="T86" s="14" t="e" vm="1">
        <f>Table234[[#This Row],[BDG]]/Table234[[#This Row],[Odds]]</f>
        <v>#VALUE!</v>
      </c>
      <c r="U86" s="14" t="e" cm="1" vm="2">
        <f t="array" ref="U86">MAX(_xlfn._xlws.FILTER(Table22[[B365]:[BFAIREXC]], Table22[PLAYER] = A86))</f>
        <v>#VALUE!</v>
      </c>
      <c r="X86" t="s">
        <v>117</v>
      </c>
      <c r="Y86" s="14">
        <v>334.6</v>
      </c>
      <c r="Z86" s="14">
        <v>334.6</v>
      </c>
      <c r="AA86" s="14">
        <f t="shared" si="19"/>
        <v>0</v>
      </c>
      <c r="AD86" t="s">
        <v>141</v>
      </c>
      <c r="AE86">
        <v>70.11</v>
      </c>
      <c r="AF86" t="e">
        <f t="shared" si="20"/>
        <v>#N/A</v>
      </c>
    </row>
    <row r="87" spans="1:32">
      <c r="A87" s="159" t="s">
        <v>91</v>
      </c>
      <c r="B87">
        <v>34</v>
      </c>
      <c r="C87">
        <v>89</v>
      </c>
      <c r="D87">
        <v>99</v>
      </c>
      <c r="E87">
        <v>176</v>
      </c>
      <c r="F87">
        <v>103</v>
      </c>
      <c r="G87">
        <v>143</v>
      </c>
      <c r="H87">
        <v>259.5</v>
      </c>
      <c r="I87" s="14">
        <v>458.86780016071572</v>
      </c>
      <c r="J87" s="259">
        <v>284.82286596744052</v>
      </c>
      <c r="K87" s="260">
        <v>480.41454458927126</v>
      </c>
      <c r="L87" s="16">
        <f t="shared" si="14"/>
        <v>64</v>
      </c>
      <c r="M87" s="230">
        <f t="shared" si="15"/>
        <v>86</v>
      </c>
      <c r="N87" s="159">
        <f t="shared" si="16"/>
        <v>85</v>
      </c>
      <c r="O87" s="159">
        <f t="shared" si="17"/>
        <v>98</v>
      </c>
      <c r="P87" s="15">
        <v>0</v>
      </c>
      <c r="Q87" s="15">
        <v>0</v>
      </c>
      <c r="R87">
        <v>-76</v>
      </c>
      <c r="S87" t="e" vm="1">
        <f t="shared" si="18"/>
        <v>#VALUE!</v>
      </c>
      <c r="T87" s="14">
        <f>Table234[[#This Row],[BDG]]/Table234[[#This Row],[Odds]]</f>
        <v>14.531778875889822</v>
      </c>
      <c r="U87" s="14" cm="1">
        <f t="array" ref="U87">MAX(_xlfn._xlws.FILTER(Table22[[B365]:[BFAIREXC]], Table22[PLAYER] = A87))</f>
        <v>19.600000000000001</v>
      </c>
      <c r="X87" t="s">
        <v>186</v>
      </c>
      <c r="Y87" s="14">
        <v>334.9</v>
      </c>
      <c r="Z87" s="14">
        <v>334.9</v>
      </c>
      <c r="AA87" s="14">
        <f t="shared" si="19"/>
        <v>0</v>
      </c>
      <c r="AD87" t="s">
        <v>118</v>
      </c>
      <c r="AE87">
        <v>70.13</v>
      </c>
      <c r="AF87">
        <f t="shared" si="20"/>
        <v>3.0944425922437184</v>
      </c>
    </row>
    <row r="88" spans="1:32">
      <c r="A88" s="159" t="s">
        <v>147</v>
      </c>
      <c r="B88">
        <v>117</v>
      </c>
      <c r="C88">
        <v>93</v>
      </c>
      <c r="D88">
        <v>50</v>
      </c>
      <c r="E88">
        <v>115</v>
      </c>
      <c r="F88">
        <v>114</v>
      </c>
      <c r="G88">
        <v>112</v>
      </c>
      <c r="H88">
        <v>266.39999999999998</v>
      </c>
      <c r="I88" s="14">
        <v>409.22351352083979</v>
      </c>
      <c r="J88" s="259">
        <v>285.12615298432576</v>
      </c>
      <c r="K88" s="260">
        <v>431.87965872941197</v>
      </c>
      <c r="L88" s="16">
        <f t="shared" si="14"/>
        <v>69</v>
      </c>
      <c r="M88" s="230">
        <f t="shared" si="15"/>
        <v>69</v>
      </c>
      <c r="N88" s="159">
        <f t="shared" si="16"/>
        <v>86</v>
      </c>
      <c r="O88" s="159">
        <f t="shared" si="17"/>
        <v>78</v>
      </c>
      <c r="P88" s="15">
        <v>0</v>
      </c>
      <c r="Q88" s="15">
        <v>0.1111111111111111</v>
      </c>
      <c r="R88">
        <v>-12</v>
      </c>
      <c r="S88" t="e" vm="1">
        <f t="shared" si="18"/>
        <v>#VALUE!</v>
      </c>
      <c r="T88" s="14">
        <f>Table234[[#This Row],[BDG]]/Table234[[#This Row],[Odds]]</f>
        <v>39.219553367857742</v>
      </c>
      <c r="U88" s="14" cm="1">
        <f t="array" ref="U88">MAX(_xlfn._xlws.FILTER(Table22[[B365]:[BFAIREXC]], Table22[PLAYER] = A88))</f>
        <v>7.27</v>
      </c>
      <c r="X88" t="s">
        <v>157</v>
      </c>
      <c r="Y88" s="14">
        <v>337.9</v>
      </c>
      <c r="Z88" s="14">
        <v>337.9</v>
      </c>
      <c r="AA88" s="14">
        <f t="shared" si="19"/>
        <v>0</v>
      </c>
      <c r="AD88" t="s">
        <v>179</v>
      </c>
      <c r="AE88">
        <v>70.13</v>
      </c>
      <c r="AF88">
        <f t="shared" si="20"/>
        <v>3.6094617045306219</v>
      </c>
    </row>
    <row r="89" spans="1:32">
      <c r="A89" s="159" t="s">
        <v>80</v>
      </c>
      <c r="B89">
        <v>10</v>
      </c>
      <c r="C89">
        <v>103</v>
      </c>
      <c r="D89">
        <v>142</v>
      </c>
      <c r="E89">
        <v>153</v>
      </c>
      <c r="F89">
        <v>93</v>
      </c>
      <c r="G89">
        <v>142</v>
      </c>
      <c r="H89">
        <v>265.59999999999997</v>
      </c>
      <c r="I89" s="14">
        <v>467.03985955373872</v>
      </c>
      <c r="J89" s="259">
        <v>285.2408376929626</v>
      </c>
      <c r="K89" s="260">
        <v>485.95053438706259</v>
      </c>
      <c r="L89" s="16">
        <f t="shared" si="14"/>
        <v>68</v>
      </c>
      <c r="M89" s="230">
        <f t="shared" si="15"/>
        <v>87</v>
      </c>
      <c r="N89" s="159">
        <f t="shared" si="16"/>
        <v>87</v>
      </c>
      <c r="O89" s="159">
        <f t="shared" si="17"/>
        <v>100</v>
      </c>
      <c r="P89" s="15">
        <v>0</v>
      </c>
      <c r="Q89" s="15">
        <v>0</v>
      </c>
      <c r="R89">
        <v>-2</v>
      </c>
      <c r="S89" t="e" vm="1">
        <f t="shared" si="18"/>
        <v>#VALUE!</v>
      </c>
      <c r="T89" s="14">
        <f>Table234[[#This Row],[BDG]]/Table234[[#This Row],[Odds]]</f>
        <v>30.903666055575577</v>
      </c>
      <c r="U89" s="14" cm="1">
        <f t="array" ref="U89">MAX(_xlfn._xlws.FILTER(Table22[[B365]:[BFAIREXC]], Table22[PLAYER] = A89))</f>
        <v>9.23</v>
      </c>
      <c r="X89" t="s">
        <v>94</v>
      </c>
      <c r="Y89" s="14">
        <v>340.99999999999994</v>
      </c>
      <c r="Z89" s="14">
        <v>340.99999999999994</v>
      </c>
      <c r="AA89" s="14">
        <f t="shared" si="19"/>
        <v>0</v>
      </c>
      <c r="AD89" t="s">
        <v>136</v>
      </c>
      <c r="AE89">
        <v>70.13</v>
      </c>
      <c r="AF89">
        <f t="shared" si="20"/>
        <v>3.7490482907446028</v>
      </c>
    </row>
    <row r="90" spans="1:32">
      <c r="A90" s="159" t="s">
        <v>167</v>
      </c>
      <c r="B90">
        <v>168</v>
      </c>
      <c r="C90">
        <v>14</v>
      </c>
      <c r="D90">
        <v>178</v>
      </c>
      <c r="E90">
        <v>39</v>
      </c>
      <c r="F90">
        <v>43</v>
      </c>
      <c r="G90">
        <v>117</v>
      </c>
      <c r="H90">
        <v>286.3</v>
      </c>
      <c r="I90" s="14">
        <v>432.98132924659666</v>
      </c>
      <c r="J90" s="259">
        <v>286.3</v>
      </c>
      <c r="K90" s="260">
        <v>432.98132924659666</v>
      </c>
      <c r="L90" s="16">
        <f t="shared" si="14"/>
        <v>85</v>
      </c>
      <c r="M90" s="230">
        <f t="shared" si="15"/>
        <v>79</v>
      </c>
      <c r="N90" s="159">
        <f t="shared" si="16"/>
        <v>88</v>
      </c>
      <c r="O90" s="159">
        <f t="shared" si="17"/>
        <v>79</v>
      </c>
      <c r="P90" s="15" t="e">
        <v>#N/A</v>
      </c>
      <c r="Q90" s="15" t="e">
        <v>#N/A</v>
      </c>
      <c r="R90" t="e">
        <v>#N/A</v>
      </c>
      <c r="S90" t="e" vm="1">
        <f t="shared" si="18"/>
        <v>#VALUE!</v>
      </c>
      <c r="T90" s="14">
        <f>Table234[[#This Row],[BDG]]/Table234[[#This Row],[Odds]]</f>
        <v>13.013636363636364</v>
      </c>
      <c r="U90" s="14" cm="1">
        <f t="array" ref="U90">MAX(_xlfn._xlws.FILTER(Table22[[B365]:[BFAIREXC]], Table22[PLAYER] = A90))</f>
        <v>22</v>
      </c>
      <c r="X90" t="s">
        <v>445</v>
      </c>
      <c r="Y90" s="14">
        <v>346.5</v>
      </c>
      <c r="Z90" s="14">
        <v>346.5</v>
      </c>
      <c r="AA90" s="14">
        <f t="shared" si="19"/>
        <v>0</v>
      </c>
      <c r="AD90" t="s">
        <v>72</v>
      </c>
      <c r="AE90">
        <v>70.13</v>
      </c>
      <c r="AF90" t="e">
        <f t="shared" si="20"/>
        <v>#N/A</v>
      </c>
    </row>
    <row r="91" spans="1:32">
      <c r="A91" s="159" t="s">
        <v>79</v>
      </c>
      <c r="B91">
        <v>60</v>
      </c>
      <c r="C91">
        <v>106</v>
      </c>
      <c r="D91">
        <v>108</v>
      </c>
      <c r="E91">
        <v>162</v>
      </c>
      <c r="F91">
        <v>177</v>
      </c>
      <c r="G91">
        <v>167</v>
      </c>
      <c r="H91">
        <v>323.89999999999998</v>
      </c>
      <c r="I91" s="14">
        <v>546.69670666724221</v>
      </c>
      <c r="J91" s="259">
        <v>286.92648771560681</v>
      </c>
      <c r="K91" s="260">
        <v>442.62510173745522</v>
      </c>
      <c r="L91" s="16">
        <f t="shared" si="14"/>
        <v>103</v>
      </c>
      <c r="M91" s="230">
        <f t="shared" si="15"/>
        <v>110</v>
      </c>
      <c r="N91" s="159">
        <f t="shared" si="16"/>
        <v>89</v>
      </c>
      <c r="O91" s="159">
        <f t="shared" si="17"/>
        <v>82</v>
      </c>
      <c r="P91" s="15">
        <v>0</v>
      </c>
      <c r="Q91" s="15">
        <v>0</v>
      </c>
      <c r="R91">
        <v>-2</v>
      </c>
      <c r="S91" t="e" vm="1">
        <f t="shared" si="18"/>
        <v>#VALUE!</v>
      </c>
      <c r="T91" s="14">
        <f>Table234[[#This Row],[BDG]]/Table234[[#This Row],[Odds]]</f>
        <v>27.85694055491328</v>
      </c>
      <c r="U91" s="14" cm="1">
        <f t="array" ref="U91">MAX(_xlfn._xlws.FILTER(Table22[[B365]:[BFAIREXC]], Table22[PLAYER] = A91))</f>
        <v>10.3</v>
      </c>
      <c r="X91" t="s">
        <v>401</v>
      </c>
      <c r="Y91" s="14">
        <v>354.09999999999997</v>
      </c>
      <c r="Z91" s="14">
        <v>354.09999999999997</v>
      </c>
      <c r="AA91" s="14">
        <f t="shared" si="19"/>
        <v>0</v>
      </c>
      <c r="AD91" t="s">
        <v>496</v>
      </c>
      <c r="AE91">
        <v>70.14</v>
      </c>
      <c r="AF91">
        <f t="shared" si="20"/>
        <v>3.8480182492158534</v>
      </c>
    </row>
    <row r="92" spans="1:32">
      <c r="A92" s="159" t="s">
        <v>182</v>
      </c>
      <c r="B92">
        <v>177</v>
      </c>
      <c r="C92">
        <v>93</v>
      </c>
      <c r="D92">
        <v>151</v>
      </c>
      <c r="E92">
        <v>6</v>
      </c>
      <c r="F92">
        <v>1</v>
      </c>
      <c r="G92">
        <v>52</v>
      </c>
      <c r="H92">
        <v>278.99999999999994</v>
      </c>
      <c r="I92" s="14">
        <v>347.55749932943695</v>
      </c>
      <c r="J92" s="259">
        <v>287.62171852944027</v>
      </c>
      <c r="K92" s="260">
        <v>370.05882692895705</v>
      </c>
      <c r="L92" s="16">
        <f t="shared" si="14"/>
        <v>79</v>
      </c>
      <c r="M92" s="230">
        <f t="shared" si="15"/>
        <v>44</v>
      </c>
      <c r="N92" s="159">
        <f t="shared" si="16"/>
        <v>90</v>
      </c>
      <c r="O92" s="159">
        <f t="shared" si="17"/>
        <v>50</v>
      </c>
      <c r="P92" s="15">
        <v>0</v>
      </c>
      <c r="Q92" s="15">
        <v>0</v>
      </c>
      <c r="R92">
        <v>-20</v>
      </c>
      <c r="S92" t="e" vm="1">
        <f t="shared" si="18"/>
        <v>#VALUE!</v>
      </c>
      <c r="T92" s="14" t="e" vm="1">
        <f>Table234[[#This Row],[BDG]]/Table234[[#This Row],[Odds]]</f>
        <v>#VALUE!</v>
      </c>
      <c r="U92" s="14" t="e" cm="1" vm="2">
        <f t="array" ref="U92">MAX(_xlfn._xlws.FILTER(Table22[[B365]:[BFAIREXC]], Table22[PLAYER] = A92))</f>
        <v>#VALUE!</v>
      </c>
      <c r="X92" t="s">
        <v>522</v>
      </c>
      <c r="Y92" s="14">
        <v>361.19999999999993</v>
      </c>
      <c r="Z92" s="14">
        <v>361.19999999999993</v>
      </c>
      <c r="AA92" s="14">
        <f t="shared" si="19"/>
        <v>0</v>
      </c>
      <c r="AD92" t="s">
        <v>29</v>
      </c>
      <c r="AE92">
        <v>70.14</v>
      </c>
      <c r="AF92">
        <f t="shared" si="20"/>
        <v>3.8678352651120238</v>
      </c>
    </row>
    <row r="93" spans="1:32">
      <c r="A93" s="159" t="s">
        <v>112</v>
      </c>
      <c r="B93">
        <v>153</v>
      </c>
      <c r="C93">
        <v>109</v>
      </c>
      <c r="D93">
        <v>131</v>
      </c>
      <c r="E93">
        <v>76</v>
      </c>
      <c r="F93">
        <v>163</v>
      </c>
      <c r="G93">
        <v>164</v>
      </c>
      <c r="H93">
        <v>365.2</v>
      </c>
      <c r="I93" s="14">
        <v>564.38660852199916</v>
      </c>
      <c r="J93" s="259">
        <v>287.65944863968338</v>
      </c>
      <c r="K93" s="260">
        <v>413.64983279192455</v>
      </c>
      <c r="L93" s="16">
        <f t="shared" si="14"/>
        <v>119</v>
      </c>
      <c r="M93" s="230">
        <f t="shared" si="15"/>
        <v>113</v>
      </c>
      <c r="N93" s="159">
        <f t="shared" si="16"/>
        <v>91</v>
      </c>
      <c r="O93" s="159">
        <f t="shared" si="17"/>
        <v>70</v>
      </c>
      <c r="P93" s="15">
        <v>0</v>
      </c>
      <c r="Q93" s="15">
        <v>0</v>
      </c>
      <c r="R93">
        <v>-17</v>
      </c>
      <c r="S93" t="e" vm="1">
        <f t="shared" si="18"/>
        <v>#VALUE!</v>
      </c>
      <c r="T93" s="14" t="e" vm="1">
        <f>Table234[[#This Row],[BDG]]/Table234[[#This Row],[Odds]]</f>
        <v>#VALUE!</v>
      </c>
      <c r="U93" s="14" t="e" cm="1" vm="2">
        <f t="array" ref="U93">MAX(_xlfn._xlws.FILTER(Table22[[B365]:[BFAIREXC]], Table22[PLAYER] = A93))</f>
        <v>#VALUE!</v>
      </c>
      <c r="X93" t="s">
        <v>486</v>
      </c>
      <c r="Y93" s="14">
        <v>372</v>
      </c>
      <c r="Z93" s="14">
        <v>372</v>
      </c>
      <c r="AA93" s="14">
        <f t="shared" si="19"/>
        <v>0</v>
      </c>
      <c r="AD93" t="s">
        <v>66</v>
      </c>
      <c r="AE93">
        <v>70.14</v>
      </c>
      <c r="AF93" t="e">
        <f t="shared" si="20"/>
        <v>#N/A</v>
      </c>
    </row>
    <row r="94" spans="1:32">
      <c r="A94" s="159" t="s">
        <v>104</v>
      </c>
      <c r="B94">
        <v>124</v>
      </c>
      <c r="C94">
        <v>155</v>
      </c>
      <c r="D94">
        <v>144</v>
      </c>
      <c r="E94">
        <v>4</v>
      </c>
      <c r="F94">
        <v>73</v>
      </c>
      <c r="G94">
        <v>75</v>
      </c>
      <c r="H94">
        <v>303.20000000000005</v>
      </c>
      <c r="I94" s="14">
        <v>398.70692955951762</v>
      </c>
      <c r="J94" s="259">
        <v>289.08674100594806</v>
      </c>
      <c r="K94" s="260">
        <v>391.89208959262413</v>
      </c>
      <c r="L94" s="16">
        <f t="shared" si="14"/>
        <v>93</v>
      </c>
      <c r="M94" s="230">
        <f t="shared" si="15"/>
        <v>66</v>
      </c>
      <c r="N94" s="159">
        <f t="shared" si="16"/>
        <v>92</v>
      </c>
      <c r="O94" s="159">
        <f t="shared" si="17"/>
        <v>58</v>
      </c>
      <c r="P94" s="15">
        <v>0</v>
      </c>
      <c r="Q94" s="15">
        <v>0.125</v>
      </c>
      <c r="R94">
        <v>17</v>
      </c>
      <c r="S94" t="e" vm="1">
        <f t="shared" si="18"/>
        <v>#VALUE!</v>
      </c>
      <c r="T94" s="14" t="e" vm="1">
        <f>Table234[[#This Row],[BDG]]/Table234[[#This Row],[Odds]]</f>
        <v>#VALUE!</v>
      </c>
      <c r="U94" s="14" t="e" cm="1" vm="2">
        <f t="array" ref="U94">MAX(_xlfn._xlws.FILTER(Table22[[B365]:[BFAIREXC]], Table22[PLAYER] = A94))</f>
        <v>#VALUE!</v>
      </c>
      <c r="X94" t="s">
        <v>412</v>
      </c>
      <c r="Y94" s="14">
        <v>372.9</v>
      </c>
      <c r="Z94" s="14">
        <v>372.9</v>
      </c>
      <c r="AA94" s="14">
        <f t="shared" si="19"/>
        <v>0</v>
      </c>
      <c r="AD94" t="s">
        <v>544</v>
      </c>
      <c r="AE94">
        <v>70.14</v>
      </c>
      <c r="AF94" t="e">
        <f t="shared" si="20"/>
        <v>#N/A</v>
      </c>
    </row>
    <row r="95" spans="1:32">
      <c r="A95" s="159" t="s">
        <v>60</v>
      </c>
      <c r="B95">
        <v>113</v>
      </c>
      <c r="C95">
        <v>47</v>
      </c>
      <c r="D95">
        <v>160</v>
      </c>
      <c r="E95">
        <v>111</v>
      </c>
      <c r="F95">
        <v>107</v>
      </c>
      <c r="G95">
        <v>147</v>
      </c>
      <c r="H95">
        <v>312.5</v>
      </c>
      <c r="I95" s="14">
        <v>507.20824718352253</v>
      </c>
      <c r="J95" s="259">
        <v>289.38061464398493</v>
      </c>
      <c r="K95" s="260">
        <v>467.87082084208834</v>
      </c>
      <c r="L95" s="16">
        <f t="shared" si="14"/>
        <v>97</v>
      </c>
      <c r="M95" s="230">
        <f t="shared" si="15"/>
        <v>96</v>
      </c>
      <c r="N95" s="159">
        <f t="shared" si="16"/>
        <v>93</v>
      </c>
      <c r="O95" s="159">
        <f t="shared" si="17"/>
        <v>93</v>
      </c>
      <c r="P95" s="15">
        <v>0</v>
      </c>
      <c r="Q95" s="15">
        <v>0</v>
      </c>
      <c r="R95">
        <v>-17</v>
      </c>
      <c r="S95" t="e" vm="1">
        <f t="shared" si="18"/>
        <v>#VALUE!</v>
      </c>
      <c r="T95" s="14">
        <f>Table234[[#This Row],[BDG]]/Table234[[#This Row],[Odds]]</f>
        <v>16.824454339766564</v>
      </c>
      <c r="U95" s="14" cm="1">
        <f t="array" ref="U95">MAX(_xlfn._xlws.FILTER(Table22[[B365]:[BFAIREXC]], Table22[PLAYER] = A95))</f>
        <v>17.2</v>
      </c>
      <c r="X95" t="s">
        <v>174</v>
      </c>
      <c r="Y95" s="14">
        <v>404.8</v>
      </c>
      <c r="Z95" s="14">
        <v>404.8</v>
      </c>
      <c r="AA95" s="14">
        <f t="shared" si="19"/>
        <v>0</v>
      </c>
      <c r="AD95" t="s">
        <v>549</v>
      </c>
      <c r="AE95">
        <v>70.17</v>
      </c>
      <c r="AF95">
        <f t="shared" si="20"/>
        <v>3.3935656239252152</v>
      </c>
    </row>
    <row r="96" spans="1:32">
      <c r="A96" s="159" t="s">
        <v>161</v>
      </c>
      <c r="B96">
        <v>167</v>
      </c>
      <c r="C96">
        <v>52</v>
      </c>
      <c r="D96">
        <v>155</v>
      </c>
      <c r="E96">
        <v>8</v>
      </c>
      <c r="F96">
        <v>60</v>
      </c>
      <c r="G96">
        <v>120</v>
      </c>
      <c r="H96">
        <v>284.59999999999997</v>
      </c>
      <c r="I96" s="14">
        <v>424.52931435730699</v>
      </c>
      <c r="J96" s="259">
        <v>290.60294017037859</v>
      </c>
      <c r="K96" s="260">
        <v>446.9682337888454</v>
      </c>
      <c r="L96" s="16">
        <f t="shared" si="14"/>
        <v>83</v>
      </c>
      <c r="M96" s="230">
        <f t="shared" si="15"/>
        <v>75</v>
      </c>
      <c r="N96" s="159">
        <f t="shared" si="16"/>
        <v>94</v>
      </c>
      <c r="O96" s="159">
        <f t="shared" si="17"/>
        <v>83</v>
      </c>
      <c r="P96" s="15">
        <v>0</v>
      </c>
      <c r="Q96" s="15">
        <v>0.2857142857142857</v>
      </c>
      <c r="R96">
        <v>28</v>
      </c>
      <c r="S96" t="e" vm="1">
        <f t="shared" si="18"/>
        <v>#VALUE!</v>
      </c>
      <c r="T96" s="14" t="e" vm="1">
        <f>Table234[[#This Row],[BDG]]/Table234[[#This Row],[Odds]]</f>
        <v>#VALUE!</v>
      </c>
      <c r="U96" s="14" t="e" cm="1" vm="2">
        <f t="array" ref="U96">MAX(_xlfn._xlws.FILTER(Table22[[B365]:[BFAIREXC]], Table22[PLAYER] = A96))</f>
        <v>#VALUE!</v>
      </c>
      <c r="X96" t="s">
        <v>242</v>
      </c>
      <c r="Y96" s="14">
        <v>431.9</v>
      </c>
      <c r="Z96" s="14">
        <v>431.9</v>
      </c>
      <c r="AA96" s="14">
        <f t="shared" si="19"/>
        <v>0</v>
      </c>
      <c r="AD96" t="s">
        <v>49</v>
      </c>
      <c r="AE96">
        <v>70.25</v>
      </c>
      <c r="AF96">
        <f t="shared" si="20"/>
        <v>3.4158103453783779</v>
      </c>
    </row>
    <row r="97" spans="1:32">
      <c r="A97" s="159" t="s">
        <v>108</v>
      </c>
      <c r="B97">
        <v>114</v>
      </c>
      <c r="C97">
        <v>146</v>
      </c>
      <c r="D97">
        <v>86</v>
      </c>
      <c r="E97">
        <v>27</v>
      </c>
      <c r="F97">
        <v>139</v>
      </c>
      <c r="G97">
        <v>123</v>
      </c>
      <c r="H97">
        <v>293.3</v>
      </c>
      <c r="I97" s="14">
        <v>435.00087095465494</v>
      </c>
      <c r="J97" s="259">
        <v>291.81041964897406</v>
      </c>
      <c r="K97" s="260">
        <v>425.90009392359661</v>
      </c>
      <c r="L97" s="16">
        <f t="shared" si="14"/>
        <v>89</v>
      </c>
      <c r="M97" s="230">
        <f t="shared" si="15"/>
        <v>80</v>
      </c>
      <c r="N97" s="159">
        <f t="shared" si="16"/>
        <v>95</v>
      </c>
      <c r="O97" s="159">
        <f t="shared" si="17"/>
        <v>75</v>
      </c>
      <c r="P97" s="15">
        <v>0</v>
      </c>
      <c r="Q97" s="15">
        <v>0</v>
      </c>
      <c r="R97">
        <v>-42</v>
      </c>
      <c r="S97" t="e" vm="1">
        <f t="shared" si="18"/>
        <v>#VALUE!</v>
      </c>
      <c r="T97" s="14" t="e" vm="1">
        <f>Table234[[#This Row],[BDG]]/Table234[[#This Row],[Odds]]</f>
        <v>#VALUE!</v>
      </c>
      <c r="U97" s="14" t="e" cm="1" vm="2">
        <f t="array" ref="U97">MAX(_xlfn._xlws.FILTER(Table22[[B365]:[BFAIREXC]], Table22[PLAYER] = A97))</f>
        <v>#VALUE!</v>
      </c>
      <c r="X97" t="s">
        <v>247</v>
      </c>
      <c r="Y97" s="14">
        <v>448.5</v>
      </c>
      <c r="Z97" s="14">
        <v>448.5</v>
      </c>
      <c r="AA97" s="14">
        <f t="shared" si="19"/>
        <v>0</v>
      </c>
      <c r="AD97" t="s">
        <v>182</v>
      </c>
      <c r="AE97">
        <v>70.25</v>
      </c>
      <c r="AF97">
        <f t="shared" si="20"/>
        <v>4.0942593384973707</v>
      </c>
    </row>
    <row r="98" spans="1:32">
      <c r="A98" s="159" t="s">
        <v>142</v>
      </c>
      <c r="B98">
        <v>136</v>
      </c>
      <c r="C98">
        <v>164</v>
      </c>
      <c r="D98">
        <v>46</v>
      </c>
      <c r="E98">
        <v>93</v>
      </c>
      <c r="F98">
        <v>6</v>
      </c>
      <c r="G98">
        <v>39</v>
      </c>
      <c r="H98">
        <v>249.59999999999997</v>
      </c>
      <c r="I98" s="14">
        <v>309.73707008897856</v>
      </c>
      <c r="J98" s="259">
        <v>292.65367724255537</v>
      </c>
      <c r="K98" s="260">
        <v>402.94802452091454</v>
      </c>
      <c r="L98" s="16">
        <f t="shared" ref="L98:L128" si="21">RANK(H98,$H$2:$H$128,1)</f>
        <v>53</v>
      </c>
      <c r="M98" s="230">
        <f t="shared" ref="M98:M128" si="22">RANK(I98,$I$2:$I$128,1)</f>
        <v>32</v>
      </c>
      <c r="N98" s="159">
        <f t="shared" ref="N98:N128" si="23">RANK(J98,$J$2:$J$128,1)</f>
        <v>96</v>
      </c>
      <c r="O98" s="159">
        <f t="shared" ref="O98:O128" si="24">RANK(K98,$K$2:$K$128,1)</f>
        <v>64</v>
      </c>
      <c r="P98" s="15">
        <v>0.125</v>
      </c>
      <c r="Q98" s="15">
        <v>0.25</v>
      </c>
      <c r="R98">
        <v>87</v>
      </c>
      <c r="S98" t="e" vm="1">
        <f t="shared" ref="S98:S128" si="25">RANK(U98,$U$2:$U$128,0)</f>
        <v>#VALUE!</v>
      </c>
      <c r="T98" s="14" t="e" vm="1">
        <f>Table234[[#This Row],[BDG]]/Table234[[#This Row],[Odds]]</f>
        <v>#VALUE!</v>
      </c>
      <c r="U98" s="14" t="e" cm="1" vm="2">
        <f t="array" ref="U98">MAX(_xlfn._xlws.FILTER(Table22[[B365]:[BFAIREXC]], Table22[PLAYER] = A98))</f>
        <v>#VALUE!</v>
      </c>
      <c r="X98" t="s">
        <v>49</v>
      </c>
      <c r="Y98" s="14">
        <v>240.39999999999998</v>
      </c>
      <c r="Z98" s="14">
        <v>239.96067676283104</v>
      </c>
      <c r="AA98" s="14">
        <f t="shared" si="19"/>
        <v>-0.43932323716893507</v>
      </c>
      <c r="AD98" t="s">
        <v>18</v>
      </c>
      <c r="AE98">
        <v>70.290000000000006</v>
      </c>
      <c r="AF98">
        <f t="shared" si="20"/>
        <v>1.9103503124731103</v>
      </c>
    </row>
    <row r="99" spans="1:32">
      <c r="A99" s="159" t="s">
        <v>384</v>
      </c>
      <c r="B99">
        <v>148</v>
      </c>
      <c r="C99">
        <v>6</v>
      </c>
      <c r="D99">
        <v>51</v>
      </c>
      <c r="E99">
        <v>159</v>
      </c>
      <c r="F99">
        <v>180</v>
      </c>
      <c r="G99">
        <v>160</v>
      </c>
      <c r="H99">
        <v>295.89999999999998</v>
      </c>
      <c r="I99" s="14">
        <v>496.52084805117045</v>
      </c>
      <c r="J99" s="259">
        <v>295.89999999999998</v>
      </c>
      <c r="K99" s="260">
        <v>496.52084805117045</v>
      </c>
      <c r="L99" s="16">
        <f t="shared" si="21"/>
        <v>90</v>
      </c>
      <c r="M99" s="230">
        <f t="shared" si="22"/>
        <v>92</v>
      </c>
      <c r="N99" s="159">
        <f t="shared" si="23"/>
        <v>97</v>
      </c>
      <c r="O99" s="159">
        <f t="shared" si="24"/>
        <v>104</v>
      </c>
      <c r="P99" s="15">
        <v>0</v>
      </c>
      <c r="Q99" s="15">
        <v>0</v>
      </c>
      <c r="R99">
        <v>-42</v>
      </c>
      <c r="S99" t="e" vm="1">
        <f t="shared" si="25"/>
        <v>#VALUE!</v>
      </c>
      <c r="T99" s="14">
        <f>Table234[[#This Row],[BDG]]/Table234[[#This Row],[Odds]]</f>
        <v>47.042925278219393</v>
      </c>
      <c r="U99" s="14" cm="1">
        <f t="array" ref="U99">MAX(_xlfn._xlws.FILTER(Table22[[B365]:[BFAIREXC]], Table22[PLAYER] = A99))</f>
        <v>6.29</v>
      </c>
      <c r="X99" t="s">
        <v>108</v>
      </c>
      <c r="Y99" s="14">
        <v>293.3</v>
      </c>
      <c r="Z99" s="14">
        <v>291.81041964897406</v>
      </c>
      <c r="AA99" s="14">
        <f t="shared" ref="AA99:AA129" si="26">Z99-Y99</f>
        <v>-1.4895803510259498</v>
      </c>
      <c r="AD99" t="s">
        <v>115</v>
      </c>
      <c r="AE99">
        <v>70.290000000000006</v>
      </c>
      <c r="AF99">
        <f t="shared" ref="AF99:AF130" si="27">VLOOKUP(AD99,$A$2:$J$160,10,FALSE)/AE99</f>
        <v>3.2010834281446208</v>
      </c>
    </row>
    <row r="100" spans="1:32">
      <c r="A100" s="159" t="s">
        <v>490</v>
      </c>
      <c r="B100">
        <v>20</v>
      </c>
      <c r="C100">
        <v>169</v>
      </c>
      <c r="D100">
        <v>181</v>
      </c>
      <c r="E100">
        <v>167</v>
      </c>
      <c r="F100">
        <v>14</v>
      </c>
      <c r="G100">
        <v>176</v>
      </c>
      <c r="H100">
        <v>299</v>
      </c>
      <c r="I100" s="14">
        <v>541.03985382193673</v>
      </c>
      <c r="J100" s="259">
        <v>299</v>
      </c>
      <c r="K100" s="260">
        <v>541.03985382193673</v>
      </c>
      <c r="L100" s="16">
        <f t="shared" si="21"/>
        <v>91</v>
      </c>
      <c r="M100" s="230">
        <f t="shared" si="22"/>
        <v>106</v>
      </c>
      <c r="N100" s="159">
        <f t="shared" si="23"/>
        <v>98</v>
      </c>
      <c r="O100" s="159">
        <f t="shared" si="24"/>
        <v>115</v>
      </c>
      <c r="P100" s="15">
        <v>0</v>
      </c>
      <c r="Q100" s="15">
        <v>0</v>
      </c>
      <c r="R100">
        <v>-53</v>
      </c>
      <c r="S100" t="e" vm="1">
        <f t="shared" si="25"/>
        <v>#VALUE!</v>
      </c>
      <c r="T100" s="14">
        <f>Table234[[#This Row],[BDG]]/Table234[[#This Row],[Odds]]</f>
        <v>15.255102040816325</v>
      </c>
      <c r="U100" s="14" cm="1">
        <f t="array" ref="U100">MAX(_xlfn._xlws.FILTER(Table22[[B365]:[BFAIREXC]], Table22[PLAYER] = A100))</f>
        <v>19.600000000000001</v>
      </c>
      <c r="X100" t="s">
        <v>59</v>
      </c>
      <c r="Y100" s="14">
        <v>257.20000000000005</v>
      </c>
      <c r="Z100" s="14">
        <v>255.16813002809374</v>
      </c>
      <c r="AA100" s="14">
        <f t="shared" si="26"/>
        <v>-2.0318699719063034</v>
      </c>
      <c r="AD100" t="s">
        <v>166</v>
      </c>
      <c r="AE100">
        <v>70.290000000000006</v>
      </c>
      <c r="AF100" t="e">
        <f t="shared" si="27"/>
        <v>#N/A</v>
      </c>
    </row>
    <row r="101" spans="1:32">
      <c r="A101" s="159" t="s">
        <v>89</v>
      </c>
      <c r="B101">
        <v>100</v>
      </c>
      <c r="C101">
        <v>144</v>
      </c>
      <c r="D101">
        <v>21</v>
      </c>
      <c r="E101">
        <v>54</v>
      </c>
      <c r="F101">
        <v>158</v>
      </c>
      <c r="G101">
        <v>98</v>
      </c>
      <c r="H101">
        <v>257.29999999999995</v>
      </c>
      <c r="I101" s="14">
        <v>370.66165330627717</v>
      </c>
      <c r="J101" s="259">
        <v>301.72656235870829</v>
      </c>
      <c r="K101" s="260">
        <v>452.58039196345919</v>
      </c>
      <c r="L101" s="16">
        <f t="shared" si="21"/>
        <v>61</v>
      </c>
      <c r="M101" s="230">
        <f t="shared" si="22"/>
        <v>53</v>
      </c>
      <c r="N101" s="159">
        <f t="shared" si="23"/>
        <v>99</v>
      </c>
      <c r="O101" s="159">
        <f t="shared" si="24"/>
        <v>87</v>
      </c>
      <c r="P101" s="15">
        <v>0</v>
      </c>
      <c r="Q101" s="15">
        <v>0</v>
      </c>
      <c r="R101">
        <v>-50</v>
      </c>
      <c r="S101" t="e" vm="1">
        <f t="shared" si="25"/>
        <v>#VALUE!</v>
      </c>
      <c r="T101" s="14" t="e" vm="1">
        <f>Table234[[#This Row],[BDG]]/Table234[[#This Row],[Odds]]</f>
        <v>#VALUE!</v>
      </c>
      <c r="U101" s="14" t="e" cm="1" vm="2">
        <f t="array" ref="U101">MAX(_xlfn._xlws.FILTER(Table22[[B365]:[BFAIREXC]], Table22[PLAYER] = A101))</f>
        <v>#VALUE!</v>
      </c>
      <c r="X101" t="s">
        <v>116</v>
      </c>
      <c r="Y101" s="14">
        <v>319</v>
      </c>
      <c r="Z101" s="14">
        <v>313.20127649064915</v>
      </c>
      <c r="AA101" s="14">
        <f t="shared" si="26"/>
        <v>-5.7987235093508502</v>
      </c>
      <c r="AD101" t="s">
        <v>124</v>
      </c>
      <c r="AE101">
        <v>70.290000000000006</v>
      </c>
      <c r="AF101" t="e">
        <f t="shared" si="27"/>
        <v>#N/A</v>
      </c>
    </row>
    <row r="102" spans="1:32">
      <c r="A102" s="159" t="s">
        <v>53</v>
      </c>
      <c r="B102">
        <v>56</v>
      </c>
      <c r="C102">
        <v>174</v>
      </c>
      <c r="D102">
        <v>131</v>
      </c>
      <c r="E102">
        <v>76</v>
      </c>
      <c r="F102">
        <v>109</v>
      </c>
      <c r="G102">
        <v>155</v>
      </c>
      <c r="H102">
        <v>302.79999999999995</v>
      </c>
      <c r="I102" s="14">
        <v>496.90980203285</v>
      </c>
      <c r="J102" s="259">
        <v>302.79999999999995</v>
      </c>
      <c r="K102" s="260">
        <v>496.90980203285</v>
      </c>
      <c r="L102" s="16">
        <f t="shared" si="21"/>
        <v>92</v>
      </c>
      <c r="M102" s="230">
        <f t="shared" si="22"/>
        <v>93</v>
      </c>
      <c r="N102" s="159">
        <f t="shared" si="23"/>
        <v>100</v>
      </c>
      <c r="O102" s="159">
        <f t="shared" si="24"/>
        <v>105</v>
      </c>
      <c r="P102" s="15">
        <v>0</v>
      </c>
      <c r="Q102" s="15">
        <v>0</v>
      </c>
      <c r="R102" t="e">
        <v>#N/A</v>
      </c>
      <c r="S102" t="e" vm="1">
        <f t="shared" si="25"/>
        <v>#VALUE!</v>
      </c>
      <c r="T102" s="14" t="e" vm="1">
        <f>Table234[[#This Row],[BDG]]/Table234[[#This Row],[Odds]]</f>
        <v>#VALUE!</v>
      </c>
      <c r="U102" s="14" t="e" cm="1" vm="2">
        <f t="array" ref="U102">MAX(_xlfn._xlws.FILTER(Table22[[B365]:[BFAIREXC]], Table22[PLAYER] = A102))</f>
        <v>#VALUE!</v>
      </c>
      <c r="X102" t="s">
        <v>223</v>
      </c>
      <c r="Y102" s="14">
        <v>367.6</v>
      </c>
      <c r="Z102" s="14">
        <v>360.91748169712571</v>
      </c>
      <c r="AA102" s="14">
        <f t="shared" si="26"/>
        <v>-6.682518302874314</v>
      </c>
      <c r="AD102" t="s">
        <v>30</v>
      </c>
      <c r="AE102">
        <v>70.33</v>
      </c>
      <c r="AF102">
        <f t="shared" si="27"/>
        <v>3.9906151700916577</v>
      </c>
    </row>
    <row r="103" spans="1:32">
      <c r="A103" s="159" t="s">
        <v>443</v>
      </c>
      <c r="B103">
        <v>145</v>
      </c>
      <c r="C103">
        <v>53</v>
      </c>
      <c r="D103">
        <v>147</v>
      </c>
      <c r="E103">
        <v>128</v>
      </c>
      <c r="F103">
        <v>128</v>
      </c>
      <c r="G103">
        <v>151</v>
      </c>
      <c r="H103">
        <v>346.09999999999997</v>
      </c>
      <c r="I103" s="14">
        <v>545.32008844789698</v>
      </c>
      <c r="J103" s="259">
        <v>304.52903868288973</v>
      </c>
      <c r="K103" s="260">
        <v>467.02013997414133</v>
      </c>
      <c r="L103" s="16">
        <f t="shared" si="21"/>
        <v>115</v>
      </c>
      <c r="M103" s="230">
        <f t="shared" si="22"/>
        <v>109</v>
      </c>
      <c r="N103" s="159">
        <f t="shared" si="23"/>
        <v>101</v>
      </c>
      <c r="O103" s="159">
        <f t="shared" si="24"/>
        <v>92</v>
      </c>
      <c r="P103" s="15">
        <v>0</v>
      </c>
      <c r="Q103" s="15">
        <v>0</v>
      </c>
      <c r="R103">
        <v>8</v>
      </c>
      <c r="S103" t="e" vm="1">
        <f t="shared" si="25"/>
        <v>#VALUE!</v>
      </c>
      <c r="T103" s="14">
        <f>Table234[[#This Row],[BDG]]/Table234[[#This Row],[Odds]]</f>
        <v>20.034805176505905</v>
      </c>
      <c r="U103" s="14" cm="1">
        <f t="array" ref="U103">MAX(_xlfn._xlws.FILTER(Table22[[B365]:[BFAIREXC]], Table22[PLAYER] = A103))</f>
        <v>15.2</v>
      </c>
      <c r="X103" t="s">
        <v>68</v>
      </c>
      <c r="Y103" s="14">
        <v>205.3</v>
      </c>
      <c r="Z103" s="14">
        <v>197.33726632631308</v>
      </c>
      <c r="AA103" s="14">
        <f t="shared" si="26"/>
        <v>-7.9627336736869267</v>
      </c>
      <c r="AD103" t="s">
        <v>131</v>
      </c>
      <c r="AE103">
        <v>70.33</v>
      </c>
      <c r="AF103" t="e">
        <f t="shared" si="27"/>
        <v>#N/A</v>
      </c>
    </row>
    <row r="104" spans="1:32">
      <c r="A104" s="159" t="s">
        <v>539</v>
      </c>
      <c r="B104">
        <v>55</v>
      </c>
      <c r="C104">
        <v>172</v>
      </c>
      <c r="D104">
        <v>153</v>
      </c>
      <c r="E104">
        <v>130</v>
      </c>
      <c r="F104">
        <v>48</v>
      </c>
      <c r="G104">
        <v>162</v>
      </c>
      <c r="H104">
        <v>307.60000000000002</v>
      </c>
      <c r="I104" s="14">
        <v>522.16227815953812</v>
      </c>
      <c r="J104" s="259">
        <v>307.60000000000002</v>
      </c>
      <c r="K104" s="260">
        <v>522.16227815953812</v>
      </c>
      <c r="L104" s="16">
        <f t="shared" si="21"/>
        <v>95</v>
      </c>
      <c r="M104" s="230">
        <f t="shared" si="22"/>
        <v>99</v>
      </c>
      <c r="N104" s="159">
        <f t="shared" si="23"/>
        <v>102</v>
      </c>
      <c r="O104" s="159">
        <f t="shared" si="24"/>
        <v>109</v>
      </c>
      <c r="P104" s="15">
        <v>1</v>
      </c>
      <c r="Q104" s="15">
        <v>1</v>
      </c>
      <c r="R104">
        <v>13</v>
      </c>
      <c r="S104" t="e" vm="1">
        <f t="shared" si="25"/>
        <v>#VALUE!</v>
      </c>
      <c r="T104" s="14" t="e" vm="1">
        <f>Table234[[#This Row],[BDG]]/Table234[[#This Row],[Odds]]</f>
        <v>#VALUE!</v>
      </c>
      <c r="U104" s="14" t="e" cm="1" vm="2">
        <f t="array" ref="U104">MAX(_xlfn._xlws.FILTER(Table22[[B365]:[BFAIREXC]], Table22[PLAYER] = A104))</f>
        <v>#VALUE!</v>
      </c>
      <c r="X104" t="s">
        <v>35</v>
      </c>
      <c r="Y104" s="14">
        <v>152.80000000000001</v>
      </c>
      <c r="Z104" s="14">
        <v>144.07874729963862</v>
      </c>
      <c r="AA104" s="14">
        <f t="shared" si="26"/>
        <v>-8.72125270036139</v>
      </c>
      <c r="AD104" t="s">
        <v>20</v>
      </c>
      <c r="AE104">
        <v>70.38</v>
      </c>
      <c r="AF104">
        <f t="shared" si="27"/>
        <v>3.1970660724086168</v>
      </c>
    </row>
    <row r="105" spans="1:32">
      <c r="A105" s="159" t="s">
        <v>163</v>
      </c>
      <c r="B105">
        <v>165</v>
      </c>
      <c r="C105">
        <v>63</v>
      </c>
      <c r="D105">
        <v>95</v>
      </c>
      <c r="E105">
        <v>98</v>
      </c>
      <c r="F105">
        <v>151</v>
      </c>
      <c r="G105">
        <v>158</v>
      </c>
      <c r="H105">
        <v>328.2</v>
      </c>
      <c r="I105" s="14">
        <v>519.06001816858111</v>
      </c>
      <c r="J105" s="259">
        <v>308.75994675527471</v>
      </c>
      <c r="K105" s="260">
        <v>478.27181384536311</v>
      </c>
      <c r="L105" s="16">
        <f t="shared" si="21"/>
        <v>106</v>
      </c>
      <c r="M105" s="230">
        <f t="shared" si="22"/>
        <v>97</v>
      </c>
      <c r="N105" s="159">
        <f t="shared" si="23"/>
        <v>103</v>
      </c>
      <c r="O105" s="159">
        <f t="shared" si="24"/>
        <v>96</v>
      </c>
      <c r="P105" s="15">
        <v>0</v>
      </c>
      <c r="Q105" s="15">
        <v>0</v>
      </c>
      <c r="R105">
        <v>12</v>
      </c>
      <c r="S105" t="e" vm="1">
        <f t="shared" si="25"/>
        <v>#VALUE!</v>
      </c>
      <c r="T105" s="14">
        <f>Table234[[#This Row],[BDG]]/Table234[[#This Row],[Odds]]</f>
        <v>18.488619566184116</v>
      </c>
      <c r="U105" s="14" cm="1">
        <f t="array" ref="U105">MAX(_xlfn._xlws.FILTER(Table22[[B365]:[BFAIREXC]], Table22[PLAYER] = A105))</f>
        <v>16.7</v>
      </c>
      <c r="X105" t="s">
        <v>106</v>
      </c>
      <c r="Y105" s="14">
        <v>274.3</v>
      </c>
      <c r="Z105" s="14">
        <v>262.69054023653194</v>
      </c>
      <c r="AA105" s="14">
        <f t="shared" si="26"/>
        <v>-11.609459763468067</v>
      </c>
      <c r="AD105" t="s">
        <v>424</v>
      </c>
      <c r="AE105">
        <v>70.38</v>
      </c>
      <c r="AF105">
        <f t="shared" si="27"/>
        <v>3.9073600454674624</v>
      </c>
    </row>
    <row r="106" spans="1:32">
      <c r="A106" s="159" t="s">
        <v>107</v>
      </c>
      <c r="B106">
        <v>71</v>
      </c>
      <c r="C106">
        <v>136</v>
      </c>
      <c r="D106">
        <v>80</v>
      </c>
      <c r="E106">
        <v>72</v>
      </c>
      <c r="F106">
        <v>43</v>
      </c>
      <c r="G106">
        <v>83</v>
      </c>
      <c r="H106">
        <v>224</v>
      </c>
      <c r="I106" s="14">
        <v>333.78928990997139</v>
      </c>
      <c r="J106" s="259">
        <v>312.85312471741662</v>
      </c>
      <c r="K106" s="260">
        <v>484.10542052058918</v>
      </c>
      <c r="L106" s="16">
        <f t="shared" si="21"/>
        <v>32</v>
      </c>
      <c r="M106" s="230">
        <f t="shared" si="22"/>
        <v>40</v>
      </c>
      <c r="N106" s="159">
        <f t="shared" si="23"/>
        <v>104</v>
      </c>
      <c r="O106" s="159">
        <f t="shared" si="24"/>
        <v>99</v>
      </c>
      <c r="P106" s="15">
        <v>0</v>
      </c>
      <c r="Q106" s="15">
        <v>0</v>
      </c>
      <c r="R106">
        <v>18</v>
      </c>
      <c r="S106" t="e" vm="1">
        <f t="shared" si="25"/>
        <v>#VALUE!</v>
      </c>
      <c r="T106" s="14">
        <f>Table234[[#This Row],[BDG]]/Table234[[#This Row],[Odds]]</f>
        <v>19.311921278852878</v>
      </c>
      <c r="U106" s="14" cm="1">
        <f t="array" ref="U106">MAX(_xlfn._xlws.FILTER(Table22[[B365]:[BFAIREXC]], Table22[PLAYER] = A106))</f>
        <v>16.2</v>
      </c>
      <c r="X106" t="s">
        <v>104</v>
      </c>
      <c r="Y106" s="14">
        <v>303.20000000000005</v>
      </c>
      <c r="Z106" s="14">
        <v>289.08674100594806</v>
      </c>
      <c r="AA106" s="14">
        <f t="shared" si="26"/>
        <v>-14.113258994051989</v>
      </c>
      <c r="AD106" t="s">
        <v>32</v>
      </c>
      <c r="AE106">
        <v>70.38</v>
      </c>
      <c r="AF106">
        <f t="shared" si="27"/>
        <v>4.0034443455600055</v>
      </c>
    </row>
    <row r="107" spans="1:32">
      <c r="A107" s="159" t="s">
        <v>116</v>
      </c>
      <c r="B107">
        <v>111</v>
      </c>
      <c r="C107">
        <v>13</v>
      </c>
      <c r="D107">
        <v>159</v>
      </c>
      <c r="E107">
        <v>125</v>
      </c>
      <c r="F107">
        <v>147</v>
      </c>
      <c r="G107">
        <v>153</v>
      </c>
      <c r="H107">
        <v>319</v>
      </c>
      <c r="I107" s="14">
        <v>523.8547911365963</v>
      </c>
      <c r="J107" s="259">
        <v>313.20127649064915</v>
      </c>
      <c r="K107" s="260">
        <v>501.00296794190359</v>
      </c>
      <c r="L107" s="16">
        <f t="shared" si="21"/>
        <v>101</v>
      </c>
      <c r="M107" s="230">
        <f t="shared" si="22"/>
        <v>101</v>
      </c>
      <c r="N107" s="159">
        <f t="shared" si="23"/>
        <v>105</v>
      </c>
      <c r="O107" s="159">
        <f t="shared" si="24"/>
        <v>106</v>
      </c>
      <c r="P107" s="15">
        <v>0</v>
      </c>
      <c r="Q107" s="15">
        <v>0</v>
      </c>
      <c r="R107">
        <v>-41</v>
      </c>
      <c r="S107" t="e" vm="1">
        <f t="shared" si="25"/>
        <v>#VALUE!</v>
      </c>
      <c r="T107" s="14">
        <f>Table234[[#This Row],[BDG]]/Table234[[#This Row],[Odds]]</f>
        <v>38.858719167574336</v>
      </c>
      <c r="U107" s="14" cm="1">
        <f t="array" ref="U107">MAX(_xlfn._xlws.FILTER(Table22[[B365]:[BFAIREXC]], Table22[PLAYER] = A107))</f>
        <v>8.06</v>
      </c>
      <c r="X107" t="s">
        <v>109</v>
      </c>
      <c r="Y107" s="14">
        <v>292.2</v>
      </c>
      <c r="Z107" s="14">
        <v>277.62339227924645</v>
      </c>
      <c r="AA107" s="14">
        <f t="shared" si="26"/>
        <v>-14.576607720753543</v>
      </c>
      <c r="AD107" t="s">
        <v>87</v>
      </c>
      <c r="AE107">
        <v>70.400000000000006</v>
      </c>
      <c r="AF107">
        <f t="shared" si="27"/>
        <v>3.6729627482867899</v>
      </c>
    </row>
    <row r="108" spans="1:32">
      <c r="A108" s="159" t="s">
        <v>21</v>
      </c>
      <c r="B108">
        <v>13</v>
      </c>
      <c r="C108">
        <v>181</v>
      </c>
      <c r="D108">
        <v>167</v>
      </c>
      <c r="E108">
        <v>157</v>
      </c>
      <c r="F108">
        <v>118</v>
      </c>
      <c r="G108">
        <v>173</v>
      </c>
      <c r="H108">
        <v>338.3</v>
      </c>
      <c r="I108" s="14">
        <v>576.66518275569956</v>
      </c>
      <c r="J108" s="259">
        <v>313.64298331389364</v>
      </c>
      <c r="K108" s="260">
        <v>510.7258048729683</v>
      </c>
      <c r="L108" s="16">
        <f t="shared" si="21"/>
        <v>113</v>
      </c>
      <c r="M108" s="230">
        <f t="shared" si="22"/>
        <v>118</v>
      </c>
      <c r="N108" s="159">
        <f t="shared" si="23"/>
        <v>106</v>
      </c>
      <c r="O108" s="159">
        <f t="shared" si="24"/>
        <v>107</v>
      </c>
      <c r="P108" s="15">
        <v>0</v>
      </c>
      <c r="Q108" s="15">
        <v>0</v>
      </c>
      <c r="R108">
        <v>-18</v>
      </c>
      <c r="S108" t="e" vm="1">
        <f t="shared" si="25"/>
        <v>#VALUE!</v>
      </c>
      <c r="T108" s="14">
        <f>Table234[[#This Row],[BDG]]/Table234[[#This Row],[Odds]]</f>
        <v>16.421098602821655</v>
      </c>
      <c r="U108" s="14" cm="1">
        <f t="array" ref="U108">MAX(_xlfn._xlws.FILTER(Table22[[B365]:[BFAIREXC]], Table22[PLAYER] = A108))</f>
        <v>19.100000000000001</v>
      </c>
      <c r="X108" t="s">
        <v>39</v>
      </c>
      <c r="Y108" s="14">
        <v>287.39999999999998</v>
      </c>
      <c r="Z108" s="14">
        <v>271.59466010028956</v>
      </c>
      <c r="AA108" s="14">
        <f t="shared" si="26"/>
        <v>-15.805339899710418</v>
      </c>
      <c r="AD108" t="s">
        <v>85</v>
      </c>
      <c r="AE108">
        <v>70.400000000000006</v>
      </c>
      <c r="AF108" t="e">
        <f t="shared" si="27"/>
        <v>#N/A</v>
      </c>
    </row>
    <row r="109" spans="1:32">
      <c r="A109" s="159" t="s">
        <v>393</v>
      </c>
      <c r="B109">
        <v>158</v>
      </c>
      <c r="C109">
        <v>11</v>
      </c>
      <c r="D109">
        <v>125</v>
      </c>
      <c r="E109">
        <v>9</v>
      </c>
      <c r="F109">
        <v>99</v>
      </c>
      <c r="G109">
        <v>110</v>
      </c>
      <c r="H109">
        <v>256.7</v>
      </c>
      <c r="I109" s="14">
        <v>383.53244085244967</v>
      </c>
      <c r="J109" s="259">
        <v>317.42442479383863</v>
      </c>
      <c r="K109" s="260">
        <v>489.73494844167465</v>
      </c>
      <c r="L109" s="16">
        <f t="shared" si="21"/>
        <v>58</v>
      </c>
      <c r="M109" s="230">
        <f t="shared" si="22"/>
        <v>58</v>
      </c>
      <c r="N109" s="159">
        <f t="shared" si="23"/>
        <v>107</v>
      </c>
      <c r="O109" s="159">
        <f t="shared" si="24"/>
        <v>102</v>
      </c>
      <c r="P109" s="15">
        <v>0</v>
      </c>
      <c r="Q109" s="15">
        <v>0</v>
      </c>
      <c r="R109" t="e">
        <v>#N/A</v>
      </c>
      <c r="S109" t="e" vm="1">
        <f t="shared" si="25"/>
        <v>#VALUE!</v>
      </c>
      <c r="T109" s="14">
        <f>Table234[[#This Row],[BDG]]/Table234[[#This Row],[Odds]]</f>
        <v>17.933583321685798</v>
      </c>
      <c r="U109" s="14" cm="1">
        <f t="array" ref="U109">MAX(_xlfn._xlws.FILTER(Table22[[B365]:[BFAIREXC]], Table22[PLAYER] = A109))</f>
        <v>17.7</v>
      </c>
      <c r="X109" t="s">
        <v>69</v>
      </c>
      <c r="Y109" s="14">
        <v>207.1</v>
      </c>
      <c r="Z109" s="14">
        <v>189.36232429930433</v>
      </c>
      <c r="AA109" s="14">
        <f t="shared" si="26"/>
        <v>-17.737675700695661</v>
      </c>
      <c r="AD109" t="s">
        <v>147</v>
      </c>
      <c r="AE109">
        <v>70.44</v>
      </c>
      <c r="AF109">
        <f t="shared" si="27"/>
        <v>4.0477875210722001</v>
      </c>
    </row>
    <row r="110" spans="1:32">
      <c r="A110" s="159" t="s">
        <v>148</v>
      </c>
      <c r="B110">
        <v>156</v>
      </c>
      <c r="C110">
        <v>61</v>
      </c>
      <c r="D110">
        <v>172</v>
      </c>
      <c r="E110">
        <v>89</v>
      </c>
      <c r="F110">
        <v>19</v>
      </c>
      <c r="G110">
        <v>140</v>
      </c>
      <c r="H110">
        <v>305.2</v>
      </c>
      <c r="I110" s="14">
        <v>484.9027000066115</v>
      </c>
      <c r="J110" s="259">
        <v>319.97224384980541</v>
      </c>
      <c r="K110" s="260">
        <v>486.32992645022296</v>
      </c>
      <c r="L110" s="16">
        <f t="shared" si="21"/>
        <v>94</v>
      </c>
      <c r="M110" s="230">
        <f t="shared" si="22"/>
        <v>90</v>
      </c>
      <c r="N110" s="159">
        <f t="shared" si="23"/>
        <v>108</v>
      </c>
      <c r="O110" s="159">
        <f t="shared" si="24"/>
        <v>101</v>
      </c>
      <c r="P110" s="15">
        <v>0</v>
      </c>
      <c r="Q110" s="15">
        <v>0</v>
      </c>
      <c r="R110">
        <v>17</v>
      </c>
      <c r="S110" t="e" vm="1">
        <f t="shared" si="25"/>
        <v>#VALUE!</v>
      </c>
      <c r="T110" s="14">
        <f>Table234[[#This Row],[BDG]]/Table234[[#This Row],[Odds]]</f>
        <v>39.698789559529203</v>
      </c>
      <c r="U110" s="14" cm="1">
        <f t="array" ref="U110">MAX(_xlfn._xlws.FILTER(Table22[[B365]:[BFAIREXC]], Table22[PLAYER] = A110))</f>
        <v>8.06</v>
      </c>
      <c r="X110" t="s">
        <v>130</v>
      </c>
      <c r="Y110" s="14">
        <v>248.9</v>
      </c>
      <c r="Z110" s="14">
        <v>229.79973582152257</v>
      </c>
      <c r="AA110" s="14">
        <f t="shared" si="26"/>
        <v>-19.100264178477431</v>
      </c>
      <c r="AD110" t="s">
        <v>28</v>
      </c>
      <c r="AE110">
        <v>70.5</v>
      </c>
      <c r="AF110">
        <f t="shared" si="27"/>
        <v>3.2798048471707024</v>
      </c>
    </row>
    <row r="111" spans="1:32">
      <c r="A111" s="159" t="s">
        <v>444</v>
      </c>
      <c r="B111">
        <v>128</v>
      </c>
      <c r="C111">
        <v>56</v>
      </c>
      <c r="D111">
        <v>166</v>
      </c>
      <c r="E111">
        <v>10</v>
      </c>
      <c r="F111">
        <v>175</v>
      </c>
      <c r="G111">
        <v>169</v>
      </c>
      <c r="H111">
        <v>325.29999999999995</v>
      </c>
      <c r="I111" s="14">
        <v>522.35124914050107</v>
      </c>
      <c r="J111" s="259">
        <v>325.29999999999995</v>
      </c>
      <c r="K111" s="260">
        <v>522.35124914050107</v>
      </c>
      <c r="L111" s="16">
        <f t="shared" si="21"/>
        <v>104</v>
      </c>
      <c r="M111" s="230">
        <f t="shared" si="22"/>
        <v>100</v>
      </c>
      <c r="N111" s="159">
        <f t="shared" si="23"/>
        <v>109</v>
      </c>
      <c r="O111" s="159">
        <f t="shared" si="24"/>
        <v>110</v>
      </c>
      <c r="P111" s="15">
        <v>0</v>
      </c>
      <c r="Q111" s="15">
        <v>0</v>
      </c>
      <c r="R111">
        <v>-31</v>
      </c>
      <c r="S111" t="e" vm="1">
        <f t="shared" si="25"/>
        <v>#VALUE!</v>
      </c>
      <c r="T111" s="14">
        <f>Table234[[#This Row],[BDG]]/Table234[[#This Row],[Odds]]</f>
        <v>11.617857142857142</v>
      </c>
      <c r="U111" s="14" cm="1">
        <f t="array" ref="U111">MAX(_xlfn._xlws.FILTER(Table22[[B365]:[BFAIREXC]], Table22[PLAYER] = A111))</f>
        <v>28</v>
      </c>
      <c r="X111" t="s">
        <v>163</v>
      </c>
      <c r="Y111" s="14">
        <v>328.2</v>
      </c>
      <c r="Z111" s="14">
        <v>308.75994675527471</v>
      </c>
      <c r="AA111" s="14">
        <f t="shared" si="26"/>
        <v>-19.440053244725277</v>
      </c>
      <c r="AD111" t="s">
        <v>632</v>
      </c>
      <c r="AE111">
        <v>70.5</v>
      </c>
      <c r="AF111">
        <f t="shared" si="27"/>
        <v>3.618773781622588</v>
      </c>
    </row>
    <row r="112" spans="1:32">
      <c r="A112" s="159" t="s">
        <v>556</v>
      </c>
      <c r="B112">
        <v>44</v>
      </c>
      <c r="C112">
        <v>96</v>
      </c>
      <c r="D112">
        <v>174</v>
      </c>
      <c r="E112">
        <v>177</v>
      </c>
      <c r="F112">
        <v>111</v>
      </c>
      <c r="G112">
        <v>170</v>
      </c>
      <c r="H112">
        <v>326.89999999999998</v>
      </c>
      <c r="I112" s="14">
        <v>565.46161252833758</v>
      </c>
      <c r="J112" s="259">
        <v>326.89999999999998</v>
      </c>
      <c r="K112" s="260">
        <v>565.46161252833758</v>
      </c>
      <c r="L112" s="16">
        <f t="shared" si="21"/>
        <v>105</v>
      </c>
      <c r="M112" s="230">
        <f t="shared" si="22"/>
        <v>114</v>
      </c>
      <c r="N112" s="159">
        <f t="shared" si="23"/>
        <v>110</v>
      </c>
      <c r="O112" s="159">
        <f t="shared" si="24"/>
        <v>116</v>
      </c>
      <c r="P112" s="15">
        <v>0</v>
      </c>
      <c r="Q112" s="15">
        <v>0</v>
      </c>
      <c r="R112" t="e">
        <v>#N/A</v>
      </c>
      <c r="S112" t="e" vm="1">
        <f t="shared" si="25"/>
        <v>#VALUE!</v>
      </c>
      <c r="T112" s="14">
        <f>Table234[[#This Row],[BDG]]/Table234[[#This Row],[Odds]]</f>
        <v>17.115183246073297</v>
      </c>
      <c r="U112" s="14" cm="1">
        <f t="array" ref="U112">MAX(_xlfn._xlws.FILTER(Table22[[B365]:[BFAIREXC]], Table22[PLAYER] = A112))</f>
        <v>19.100000000000001</v>
      </c>
      <c r="X112" t="s">
        <v>434</v>
      </c>
      <c r="Y112" s="14">
        <v>263.2</v>
      </c>
      <c r="Z112" s="14">
        <v>243.56945894540851</v>
      </c>
      <c r="AA112" s="14">
        <f t="shared" si="26"/>
        <v>-19.630541054591475</v>
      </c>
      <c r="AD112" t="s">
        <v>148</v>
      </c>
      <c r="AE112">
        <v>70.5</v>
      </c>
      <c r="AF112">
        <f t="shared" si="27"/>
        <v>4.5386133879405026</v>
      </c>
    </row>
    <row r="113" spans="1:32">
      <c r="A113" s="159" t="s">
        <v>559</v>
      </c>
      <c r="B113">
        <v>121</v>
      </c>
      <c r="C113">
        <v>156</v>
      </c>
      <c r="D113">
        <v>154</v>
      </c>
      <c r="E113">
        <v>147</v>
      </c>
      <c r="F113">
        <v>4</v>
      </c>
      <c r="G113">
        <v>88</v>
      </c>
      <c r="H113">
        <v>331.3</v>
      </c>
      <c r="I113" s="14">
        <v>470.58232934074215</v>
      </c>
      <c r="J113" s="259">
        <v>331.3</v>
      </c>
      <c r="K113" s="260">
        <v>470.58232934074215</v>
      </c>
      <c r="L113" s="16">
        <f t="shared" si="21"/>
        <v>109</v>
      </c>
      <c r="M113" s="230">
        <f t="shared" si="22"/>
        <v>88</v>
      </c>
      <c r="N113" s="159">
        <f t="shared" si="23"/>
        <v>111</v>
      </c>
      <c r="O113" s="159">
        <f t="shared" si="24"/>
        <v>94</v>
      </c>
      <c r="P113" s="15">
        <v>0</v>
      </c>
      <c r="Q113" s="15">
        <v>0</v>
      </c>
      <c r="R113">
        <v>-81</v>
      </c>
      <c r="S113" t="e" vm="1">
        <f t="shared" si="25"/>
        <v>#VALUE!</v>
      </c>
      <c r="T113" s="14">
        <f>Table234[[#This Row],[BDG]]/Table234[[#This Row],[Odds]]</f>
        <v>13.252000000000001</v>
      </c>
      <c r="U113" s="14" cm="1">
        <f t="array" ref="U113">MAX(_xlfn._xlws.FILTER(Table22[[B365]:[BFAIREXC]], Table22[PLAYER] = A113))</f>
        <v>25</v>
      </c>
      <c r="X113" t="s">
        <v>60</v>
      </c>
      <c r="Y113" s="14">
        <v>312.5</v>
      </c>
      <c r="Z113" s="14">
        <v>289.38061464398493</v>
      </c>
      <c r="AA113" s="14">
        <f t="shared" si="26"/>
        <v>-23.119385356015073</v>
      </c>
      <c r="AD113" t="s">
        <v>50</v>
      </c>
      <c r="AE113">
        <v>70.5</v>
      </c>
      <c r="AF113" t="e">
        <f t="shared" si="27"/>
        <v>#N/A</v>
      </c>
    </row>
    <row r="114" spans="1:32">
      <c r="A114" s="159" t="s">
        <v>71</v>
      </c>
      <c r="B114">
        <v>118</v>
      </c>
      <c r="C114">
        <v>178</v>
      </c>
      <c r="D114">
        <v>165</v>
      </c>
      <c r="E114">
        <v>107</v>
      </c>
      <c r="F114">
        <v>116</v>
      </c>
      <c r="G114">
        <v>174</v>
      </c>
      <c r="H114">
        <v>387.9</v>
      </c>
      <c r="I114" s="14">
        <v>610.12242623786858</v>
      </c>
      <c r="J114" s="259">
        <v>331.88628726096113</v>
      </c>
      <c r="K114" s="260">
        <v>520.3856650541079</v>
      </c>
      <c r="L114" s="16">
        <f t="shared" si="21"/>
        <v>124</v>
      </c>
      <c r="M114" s="230">
        <f t="shared" si="22"/>
        <v>123</v>
      </c>
      <c r="N114" s="159">
        <f t="shared" si="23"/>
        <v>112</v>
      </c>
      <c r="O114" s="159">
        <f t="shared" si="24"/>
        <v>108</v>
      </c>
      <c r="P114" s="15">
        <v>0</v>
      </c>
      <c r="Q114" s="15">
        <v>0</v>
      </c>
      <c r="R114">
        <v>-24</v>
      </c>
      <c r="S114" t="e" vm="1">
        <f t="shared" si="25"/>
        <v>#VALUE!</v>
      </c>
      <c r="T114" s="14">
        <f>Table234[[#This Row],[BDG]]/Table234[[#This Row],[Odds]]</f>
        <v>7.2149192882817639</v>
      </c>
      <c r="U114" s="14" cm="1">
        <f t="array" ref="U114">MAX(_xlfn._xlws.FILTER(Table22[[B365]:[BFAIREXC]], Table22[PLAYER] = A114))</f>
        <v>46</v>
      </c>
      <c r="X114" t="s">
        <v>160</v>
      </c>
      <c r="Y114" s="14">
        <v>367.8</v>
      </c>
      <c r="Z114" s="14">
        <v>344.13489281031411</v>
      </c>
      <c r="AA114" s="14">
        <f t="shared" si="26"/>
        <v>-23.665107189685898</v>
      </c>
      <c r="AD114" t="s">
        <v>161</v>
      </c>
      <c r="AE114">
        <v>70.569999999999993</v>
      </c>
      <c r="AF114">
        <f t="shared" si="27"/>
        <v>4.1179387866002353</v>
      </c>
    </row>
    <row r="115" spans="1:32">
      <c r="A115" s="159" t="s">
        <v>117</v>
      </c>
      <c r="B115">
        <v>114</v>
      </c>
      <c r="C115">
        <v>31</v>
      </c>
      <c r="D115">
        <v>141</v>
      </c>
      <c r="E115">
        <v>169</v>
      </c>
      <c r="F115">
        <v>146</v>
      </c>
      <c r="G115">
        <v>146</v>
      </c>
      <c r="H115">
        <v>334.6</v>
      </c>
      <c r="I115" s="14">
        <v>538.99310966766188</v>
      </c>
      <c r="J115" s="259">
        <v>334.6</v>
      </c>
      <c r="K115" s="260">
        <v>538.99310966766188</v>
      </c>
      <c r="L115" s="16">
        <f t="shared" si="21"/>
        <v>110</v>
      </c>
      <c r="M115" s="230">
        <f t="shared" si="22"/>
        <v>104</v>
      </c>
      <c r="N115" s="159">
        <f t="shared" si="23"/>
        <v>113</v>
      </c>
      <c r="O115" s="159">
        <f t="shared" si="24"/>
        <v>113</v>
      </c>
      <c r="P115" s="15">
        <v>0</v>
      </c>
      <c r="Q115" s="15">
        <v>0</v>
      </c>
      <c r="R115" t="e">
        <v>#N/A</v>
      </c>
      <c r="S115" t="e" vm="1">
        <f t="shared" si="25"/>
        <v>#VALUE!</v>
      </c>
      <c r="T115" s="14"/>
      <c r="U115" s="14"/>
      <c r="X115" t="s">
        <v>21</v>
      </c>
      <c r="Y115" s="14">
        <v>338.3</v>
      </c>
      <c r="Z115" s="14">
        <v>313.64298331389364</v>
      </c>
      <c r="AA115" s="14">
        <f t="shared" si="26"/>
        <v>-24.657016686106374</v>
      </c>
      <c r="AD115" t="s">
        <v>410</v>
      </c>
      <c r="AE115">
        <v>70.63</v>
      </c>
      <c r="AF115">
        <f t="shared" si="27"/>
        <v>3.6400962763698153</v>
      </c>
    </row>
    <row r="116" spans="1:32">
      <c r="A116" s="159" t="s">
        <v>186</v>
      </c>
      <c r="B116">
        <v>188</v>
      </c>
      <c r="C116">
        <v>28</v>
      </c>
      <c r="D116">
        <v>166</v>
      </c>
      <c r="E116">
        <v>24</v>
      </c>
      <c r="F116">
        <v>127</v>
      </c>
      <c r="G116">
        <v>171</v>
      </c>
      <c r="H116">
        <v>334.9</v>
      </c>
      <c r="I116" s="14">
        <v>532.00673349239037</v>
      </c>
      <c r="J116" s="259">
        <v>334.9</v>
      </c>
      <c r="K116" s="260">
        <v>532.00673349239037</v>
      </c>
      <c r="L116" s="16">
        <f t="shared" si="21"/>
        <v>111</v>
      </c>
      <c r="M116" s="230">
        <f t="shared" si="22"/>
        <v>103</v>
      </c>
      <c r="N116" s="159">
        <f t="shared" si="23"/>
        <v>114</v>
      </c>
      <c r="O116" s="159">
        <f t="shared" si="24"/>
        <v>112</v>
      </c>
      <c r="P116" s="15">
        <v>0</v>
      </c>
      <c r="Q116" s="15">
        <v>0.5</v>
      </c>
      <c r="R116" t="e">
        <v>#N/A</v>
      </c>
      <c r="S116" t="e" vm="1">
        <f t="shared" si="25"/>
        <v>#VALUE!</v>
      </c>
      <c r="T116" s="14">
        <f>Table234[[#This Row],[BDG]]/Table234[[#This Row],[Odds]]</f>
        <v>19.470930232558139</v>
      </c>
      <c r="U116" s="14" cm="1">
        <f t="array" ref="U116">MAX(_xlfn._xlws.FILTER(Table22[[B365]:[BFAIREXC]], Table22[PLAYER] = A116))</f>
        <v>17.2</v>
      </c>
      <c r="X116" t="s">
        <v>97</v>
      </c>
      <c r="Y116" s="14">
        <v>282.29999999999995</v>
      </c>
      <c r="Z116" s="14">
        <v>253.57237894450026</v>
      </c>
      <c r="AA116" s="14">
        <f t="shared" si="26"/>
        <v>-28.727621055499696</v>
      </c>
      <c r="AD116" t="s">
        <v>58</v>
      </c>
      <c r="AE116">
        <v>70.63</v>
      </c>
      <c r="AF116" t="e">
        <f t="shared" si="27"/>
        <v>#N/A</v>
      </c>
    </row>
    <row r="117" spans="1:32">
      <c r="A117" s="159" t="s">
        <v>157</v>
      </c>
      <c r="B117">
        <v>165</v>
      </c>
      <c r="C117">
        <v>63</v>
      </c>
      <c r="D117">
        <v>106</v>
      </c>
      <c r="E117">
        <v>98</v>
      </c>
      <c r="F117">
        <v>155</v>
      </c>
      <c r="G117">
        <v>157</v>
      </c>
      <c r="H117">
        <v>337.9</v>
      </c>
      <c r="I117" s="14">
        <v>529.68464278549322</v>
      </c>
      <c r="J117" s="259">
        <v>337.9</v>
      </c>
      <c r="K117" s="260">
        <v>529.68464278549322</v>
      </c>
      <c r="L117" s="16">
        <f t="shared" si="21"/>
        <v>112</v>
      </c>
      <c r="M117" s="230">
        <f t="shared" si="22"/>
        <v>102</v>
      </c>
      <c r="N117" s="159">
        <f t="shared" si="23"/>
        <v>115</v>
      </c>
      <c r="O117" s="159">
        <f t="shared" si="24"/>
        <v>111</v>
      </c>
      <c r="P117" s="15">
        <v>0</v>
      </c>
      <c r="Q117" s="15">
        <v>0</v>
      </c>
      <c r="R117" t="e">
        <v>#N/A</v>
      </c>
      <c r="S117" t="e" vm="1">
        <f t="shared" si="25"/>
        <v>#VALUE!</v>
      </c>
      <c r="T117" s="14">
        <f>Table234[[#This Row],[BDG]]/Table234[[#This Row],[Odds]]</f>
        <v>24.664233576642335</v>
      </c>
      <c r="U117" s="14" cm="1">
        <f t="array" ref="U117">MAX(_xlfn._xlws.FILTER(Table22[[B365]:[BFAIREXC]], Table22[PLAYER] = A117))</f>
        <v>13.7</v>
      </c>
      <c r="X117" t="s">
        <v>13</v>
      </c>
      <c r="Y117" s="14">
        <v>312.5</v>
      </c>
      <c r="Z117" s="14">
        <v>283.27814030268519</v>
      </c>
      <c r="AA117" s="14">
        <f t="shared" si="26"/>
        <v>-29.221859697314812</v>
      </c>
      <c r="AD117" t="s">
        <v>222</v>
      </c>
      <c r="AE117">
        <v>70.63</v>
      </c>
      <c r="AF117" t="e">
        <f t="shared" si="27"/>
        <v>#N/A</v>
      </c>
    </row>
    <row r="118" spans="1:32">
      <c r="A118" s="159" t="s">
        <v>37</v>
      </c>
      <c r="B118">
        <v>54</v>
      </c>
      <c r="C118">
        <v>177</v>
      </c>
      <c r="D118">
        <v>171</v>
      </c>
      <c r="E118">
        <v>150</v>
      </c>
      <c r="F118">
        <v>35</v>
      </c>
      <c r="G118">
        <v>165</v>
      </c>
      <c r="H118">
        <v>323.5</v>
      </c>
      <c r="I118" s="14">
        <v>548.02157566314281</v>
      </c>
      <c r="J118" s="259">
        <v>340.79835246352673</v>
      </c>
      <c r="K118" s="260">
        <v>582.17554886701214</v>
      </c>
      <c r="L118" s="16">
        <f t="shared" si="21"/>
        <v>102</v>
      </c>
      <c r="M118" s="230">
        <f t="shared" si="22"/>
        <v>112</v>
      </c>
      <c r="N118" s="159">
        <f t="shared" si="23"/>
        <v>116</v>
      </c>
      <c r="O118" s="159">
        <f t="shared" si="24"/>
        <v>121</v>
      </c>
      <c r="P118" s="15">
        <v>0</v>
      </c>
      <c r="Q118" s="15">
        <v>0</v>
      </c>
      <c r="R118">
        <v>-5</v>
      </c>
      <c r="S118" t="e" vm="1">
        <f t="shared" si="25"/>
        <v>#VALUE!</v>
      </c>
      <c r="T118" s="14">
        <f>Table234[[#This Row],[BDG]]/Table234[[#This Row],[Odds]]</f>
        <v>8.7384192939365821</v>
      </c>
      <c r="U118" s="14" cm="1">
        <f t="array" ref="U118">MAX(_xlfn._xlws.FILTER(Table22[[B365]:[BFAIREXC]], Table22[PLAYER] = A118))</f>
        <v>39</v>
      </c>
      <c r="X118" t="s">
        <v>46</v>
      </c>
      <c r="Y118" s="14">
        <v>292.8</v>
      </c>
      <c r="Z118" s="14">
        <v>259.90567261697618</v>
      </c>
      <c r="AA118" s="14">
        <f t="shared" si="26"/>
        <v>-32.894327383023835</v>
      </c>
      <c r="AD118" t="s">
        <v>109</v>
      </c>
      <c r="AE118">
        <v>70.67</v>
      </c>
      <c r="AF118">
        <f t="shared" si="27"/>
        <v>3.928447605479644</v>
      </c>
    </row>
    <row r="119" spans="1:32">
      <c r="A119" s="159" t="s">
        <v>94</v>
      </c>
      <c r="B119">
        <v>93</v>
      </c>
      <c r="C119">
        <v>118</v>
      </c>
      <c r="D119">
        <v>191</v>
      </c>
      <c r="E119">
        <v>153</v>
      </c>
      <c r="F119">
        <v>44</v>
      </c>
      <c r="G119">
        <v>172</v>
      </c>
      <c r="H119">
        <v>340.99999999999994</v>
      </c>
      <c r="I119" s="14">
        <v>574.31377955978928</v>
      </c>
      <c r="J119" s="259">
        <v>340.99999999999994</v>
      </c>
      <c r="K119" s="260">
        <v>574.31377955978928</v>
      </c>
      <c r="L119" s="16">
        <f t="shared" si="21"/>
        <v>114</v>
      </c>
      <c r="M119" s="230">
        <f t="shared" si="22"/>
        <v>116</v>
      </c>
      <c r="N119" s="159">
        <f t="shared" si="23"/>
        <v>117</v>
      </c>
      <c r="O119" s="159">
        <f t="shared" si="24"/>
        <v>119</v>
      </c>
      <c r="P119" s="15">
        <v>0</v>
      </c>
      <c r="Q119" s="15">
        <v>0</v>
      </c>
      <c r="R119" t="e">
        <v>#N/A</v>
      </c>
      <c r="S119" t="e" vm="1">
        <f t="shared" si="25"/>
        <v>#VALUE!</v>
      </c>
      <c r="T119" s="14">
        <f>Table234[[#This Row],[BDG]]/Table234[[#This Row],[Odds]]</f>
        <v>13.639999999999997</v>
      </c>
      <c r="U119" s="14" cm="1">
        <f t="array" ref="U119">MAX(_xlfn._xlws.FILTER(Table22[[B365]:[BFAIREXC]], Table22[PLAYER] = A119))</f>
        <v>25</v>
      </c>
      <c r="X119" t="s">
        <v>55</v>
      </c>
      <c r="Y119" s="14">
        <v>316.2</v>
      </c>
      <c r="Z119" s="14">
        <v>281.03526385613827</v>
      </c>
      <c r="AA119" s="14">
        <f t="shared" si="26"/>
        <v>-35.164736143861717</v>
      </c>
      <c r="AD119" t="s">
        <v>116</v>
      </c>
      <c r="AE119">
        <v>70.67</v>
      </c>
      <c r="AF119">
        <f t="shared" si="27"/>
        <v>4.4318844840901255</v>
      </c>
    </row>
    <row r="120" spans="1:32">
      <c r="A120" s="159" t="s">
        <v>160</v>
      </c>
      <c r="B120">
        <v>157</v>
      </c>
      <c r="C120">
        <v>81</v>
      </c>
      <c r="D120">
        <v>99</v>
      </c>
      <c r="E120">
        <v>144</v>
      </c>
      <c r="F120">
        <v>181</v>
      </c>
      <c r="G120">
        <v>171</v>
      </c>
      <c r="H120">
        <v>367.8</v>
      </c>
      <c r="I120" s="14">
        <v>583.83619023062704</v>
      </c>
      <c r="J120" s="259">
        <v>344.13489281031411</v>
      </c>
      <c r="K120" s="260">
        <v>540.64196189872098</v>
      </c>
      <c r="L120" s="16">
        <f t="shared" si="21"/>
        <v>121</v>
      </c>
      <c r="M120" s="230">
        <f t="shared" si="22"/>
        <v>120</v>
      </c>
      <c r="N120" s="159">
        <f t="shared" si="23"/>
        <v>118</v>
      </c>
      <c r="O120" s="159">
        <f t="shared" si="24"/>
        <v>114</v>
      </c>
      <c r="P120" s="15">
        <v>0</v>
      </c>
      <c r="Q120" s="15">
        <v>0</v>
      </c>
      <c r="R120">
        <v>-13</v>
      </c>
      <c r="S120" t="e" vm="1">
        <f t="shared" si="25"/>
        <v>#VALUE!</v>
      </c>
      <c r="T120" s="14">
        <f>Table234[[#This Row],[BDG]]/Table234[[#This Row],[Odds]]</f>
        <v>20.007842605250822</v>
      </c>
      <c r="U120" s="14" cm="1">
        <f t="array" ref="U120">MAX(_xlfn._xlws.FILTER(Table22[[B365]:[BFAIREXC]], Table22[PLAYER] = A120))</f>
        <v>17.2</v>
      </c>
      <c r="X120" t="s">
        <v>11</v>
      </c>
      <c r="Y120" s="14">
        <v>312.2</v>
      </c>
      <c r="Z120" s="14">
        <v>276.92886525963638</v>
      </c>
      <c r="AA120" s="14">
        <f t="shared" si="26"/>
        <v>-35.271134740363607</v>
      </c>
      <c r="AD120" t="s">
        <v>183</v>
      </c>
      <c r="AE120">
        <v>70.67</v>
      </c>
      <c r="AF120" t="e">
        <f t="shared" si="27"/>
        <v>#N/A</v>
      </c>
    </row>
    <row r="121" spans="1:32">
      <c r="A121" s="159" t="s">
        <v>401</v>
      </c>
      <c r="B121">
        <v>14</v>
      </c>
      <c r="C121">
        <v>141</v>
      </c>
      <c r="D121">
        <v>168</v>
      </c>
      <c r="E121">
        <v>178</v>
      </c>
      <c r="F121">
        <v>170</v>
      </c>
      <c r="G121">
        <v>178</v>
      </c>
      <c r="H121">
        <v>354.09999999999997</v>
      </c>
      <c r="I121" s="14">
        <v>603.65995517166255</v>
      </c>
      <c r="J121" s="259">
        <v>354.09999999999997</v>
      </c>
      <c r="K121" s="260">
        <v>603.65995517166255</v>
      </c>
      <c r="L121" s="16">
        <f t="shared" si="21"/>
        <v>117</v>
      </c>
      <c r="M121" s="230">
        <f t="shared" si="22"/>
        <v>122</v>
      </c>
      <c r="N121" s="159">
        <f t="shared" si="23"/>
        <v>120</v>
      </c>
      <c r="O121" s="159">
        <f t="shared" si="24"/>
        <v>123</v>
      </c>
      <c r="P121" s="15">
        <v>0</v>
      </c>
      <c r="Q121" s="15">
        <v>0</v>
      </c>
      <c r="R121">
        <v>-9</v>
      </c>
      <c r="S121" t="e" vm="1">
        <f t="shared" si="25"/>
        <v>#VALUE!</v>
      </c>
      <c r="T121" s="14">
        <f>Table234[[#This Row],[BDG]]/Table234[[#This Row],[Odds]]</f>
        <v>13.114814814814814</v>
      </c>
      <c r="U121" s="14" cm="1">
        <f t="array" ref="U121">MAX(_xlfn._xlws.FILTER(Table22[[B365]:[BFAIREXC]], Table22[PLAYER] = A121))</f>
        <v>27</v>
      </c>
      <c r="X121" t="s">
        <v>79</v>
      </c>
      <c r="Y121" s="14">
        <v>323.89999999999998</v>
      </c>
      <c r="Z121" s="14">
        <v>286.92648771560681</v>
      </c>
      <c r="AA121" s="14">
        <f t="shared" si="26"/>
        <v>-36.973512284393166</v>
      </c>
      <c r="AD121" t="s">
        <v>149</v>
      </c>
      <c r="AE121">
        <v>70.75</v>
      </c>
      <c r="AF121">
        <f t="shared" si="27"/>
        <v>3.8180232751123677</v>
      </c>
    </row>
    <row r="122" spans="1:32">
      <c r="A122" s="159" t="s">
        <v>223</v>
      </c>
      <c r="B122">
        <v>78</v>
      </c>
      <c r="C122">
        <v>175</v>
      </c>
      <c r="D122">
        <v>150</v>
      </c>
      <c r="E122">
        <v>110</v>
      </c>
      <c r="F122">
        <v>153</v>
      </c>
      <c r="G122">
        <v>166</v>
      </c>
      <c r="H122">
        <v>367.6</v>
      </c>
      <c r="I122" s="14">
        <v>583.42955902621975</v>
      </c>
      <c r="J122" s="259">
        <v>360.91748169712571</v>
      </c>
      <c r="K122" s="260">
        <v>569.5139438178561</v>
      </c>
      <c r="L122" s="16">
        <f t="shared" si="21"/>
        <v>120</v>
      </c>
      <c r="M122" s="230">
        <f t="shared" si="22"/>
        <v>119</v>
      </c>
      <c r="N122" s="159">
        <f t="shared" si="23"/>
        <v>121</v>
      </c>
      <c r="O122" s="159">
        <f t="shared" si="24"/>
        <v>117</v>
      </c>
      <c r="P122" s="15">
        <v>0</v>
      </c>
      <c r="Q122" s="15">
        <v>0</v>
      </c>
      <c r="R122">
        <v>6</v>
      </c>
      <c r="S122" t="e" vm="1">
        <f t="shared" si="25"/>
        <v>#VALUE!</v>
      </c>
      <c r="T122" s="14">
        <f>Table234[[#This Row],[BDG]]/Table234[[#This Row],[Odds]]</f>
        <v>35.040532203604435</v>
      </c>
      <c r="U122" s="14" cm="1">
        <f t="array" ref="U122">MAX(_xlfn._xlws.FILTER(Table22[[B365]:[BFAIREXC]], Table22[PLAYER] = A122))</f>
        <v>10.3</v>
      </c>
      <c r="X122" t="s">
        <v>62</v>
      </c>
      <c r="Y122" s="14">
        <v>286</v>
      </c>
      <c r="Z122" s="14">
        <v>247.74970455758461</v>
      </c>
      <c r="AA122" s="14">
        <f t="shared" si="26"/>
        <v>-38.250295442415393</v>
      </c>
      <c r="AD122" t="s">
        <v>8</v>
      </c>
      <c r="AE122">
        <v>70.75</v>
      </c>
      <c r="AF122">
        <f t="shared" si="27"/>
        <v>3.9688813069049713</v>
      </c>
    </row>
    <row r="123" spans="1:32">
      <c r="A123" s="159" t="s">
        <v>522</v>
      </c>
      <c r="B123">
        <v>102</v>
      </c>
      <c r="C123">
        <v>167</v>
      </c>
      <c r="D123">
        <v>177</v>
      </c>
      <c r="E123">
        <v>16</v>
      </c>
      <c r="F123">
        <v>152</v>
      </c>
      <c r="G123">
        <v>179</v>
      </c>
      <c r="H123">
        <v>361.19999999999993</v>
      </c>
      <c r="I123" s="14">
        <v>572.53132035096542</v>
      </c>
      <c r="J123" s="259">
        <v>361.19999999999993</v>
      </c>
      <c r="K123" s="260">
        <v>572.53132035096542</v>
      </c>
      <c r="L123" s="16">
        <f t="shared" si="21"/>
        <v>118</v>
      </c>
      <c r="M123" s="230">
        <f t="shared" si="22"/>
        <v>115</v>
      </c>
      <c r="N123" s="159">
        <f t="shared" si="23"/>
        <v>122</v>
      </c>
      <c r="O123" s="159">
        <f t="shared" si="24"/>
        <v>118</v>
      </c>
      <c r="P123" s="15">
        <v>0</v>
      </c>
      <c r="Q123" s="15">
        <v>0.14285714285714285</v>
      </c>
      <c r="R123">
        <v>-13</v>
      </c>
      <c r="S123" t="e" vm="1">
        <f t="shared" si="25"/>
        <v>#VALUE!</v>
      </c>
      <c r="T123" s="14">
        <f>Table234[[#This Row],[BDG]]/Table234[[#This Row],[Odds]]</f>
        <v>39.955752212389378</v>
      </c>
      <c r="U123" s="14" cm="1">
        <f t="array" ref="U123">MAX(_xlfn._xlws.FILTER(Table22[[B365]:[BFAIREXC]], Table22[PLAYER] = A123))</f>
        <v>9.0399999999999991</v>
      </c>
      <c r="X123" t="s">
        <v>36</v>
      </c>
      <c r="Y123" s="14">
        <v>317.09999999999997</v>
      </c>
      <c r="Z123" s="14">
        <v>276.93452982055129</v>
      </c>
      <c r="AA123" s="14">
        <f t="shared" si="26"/>
        <v>-40.165470179448675</v>
      </c>
      <c r="AD123" t="s">
        <v>48</v>
      </c>
      <c r="AE123">
        <v>70.75</v>
      </c>
      <c r="AF123">
        <f t="shared" si="27"/>
        <v>3.9995908135451459</v>
      </c>
    </row>
    <row r="124" spans="1:32">
      <c r="A124" s="159" t="s">
        <v>486</v>
      </c>
      <c r="B124">
        <v>69</v>
      </c>
      <c r="C124">
        <v>100</v>
      </c>
      <c r="D124">
        <v>163</v>
      </c>
      <c r="E124">
        <v>179</v>
      </c>
      <c r="F124">
        <v>176</v>
      </c>
      <c r="G124">
        <v>180</v>
      </c>
      <c r="H124">
        <v>372</v>
      </c>
      <c r="I124" s="14">
        <v>619.92616516429598</v>
      </c>
      <c r="J124" s="259">
        <v>372</v>
      </c>
      <c r="K124" s="260">
        <v>619.92616516429598</v>
      </c>
      <c r="L124" s="16">
        <f t="shared" si="21"/>
        <v>122</v>
      </c>
      <c r="M124" s="230">
        <f t="shared" si="22"/>
        <v>124</v>
      </c>
      <c r="N124" s="159">
        <f t="shared" si="23"/>
        <v>123</v>
      </c>
      <c r="O124" s="159">
        <f t="shared" si="24"/>
        <v>124</v>
      </c>
      <c r="P124" s="15">
        <v>0</v>
      </c>
      <c r="Q124" s="15">
        <v>0.125</v>
      </c>
      <c r="R124">
        <v>-17</v>
      </c>
      <c r="S124" t="e" vm="1">
        <f t="shared" si="25"/>
        <v>#VALUE!</v>
      </c>
      <c r="T124" s="14">
        <f>Table234[[#This Row],[BDG]]/Table234[[#This Row],[Odds]]</f>
        <v>24.473684210526319</v>
      </c>
      <c r="U124" s="14" cm="1">
        <f t="array" ref="U124">MAX(_xlfn._xlws.FILTER(Table22[[B365]:[BFAIREXC]], Table22[PLAYER] = A124))</f>
        <v>15.2</v>
      </c>
      <c r="X124" t="s">
        <v>443</v>
      </c>
      <c r="Y124" s="14">
        <v>346.09999999999997</v>
      </c>
      <c r="Z124" s="14">
        <v>304.52903868288973</v>
      </c>
      <c r="AA124" s="14">
        <f t="shared" si="26"/>
        <v>-41.570961317110232</v>
      </c>
      <c r="AD124" t="s">
        <v>163</v>
      </c>
      <c r="AE124">
        <v>70.75</v>
      </c>
      <c r="AF124">
        <f t="shared" si="27"/>
        <v>4.3640981873537061</v>
      </c>
    </row>
    <row r="125" spans="1:32">
      <c r="A125" s="159" t="s">
        <v>412</v>
      </c>
      <c r="B125">
        <v>85</v>
      </c>
      <c r="C125">
        <v>147</v>
      </c>
      <c r="D125">
        <v>146</v>
      </c>
      <c r="E125">
        <v>148</v>
      </c>
      <c r="F125">
        <v>157</v>
      </c>
      <c r="G125">
        <v>163</v>
      </c>
      <c r="H125">
        <v>372.9</v>
      </c>
      <c r="I125" s="14">
        <v>592.98740201452472</v>
      </c>
      <c r="J125" s="259">
        <v>372.9</v>
      </c>
      <c r="K125" s="260">
        <v>592.98740201452472</v>
      </c>
      <c r="L125" s="16">
        <f t="shared" si="21"/>
        <v>123</v>
      </c>
      <c r="M125" s="230">
        <f t="shared" si="22"/>
        <v>121</v>
      </c>
      <c r="N125" s="159">
        <f t="shared" si="23"/>
        <v>124</v>
      </c>
      <c r="O125" s="159">
        <f t="shared" si="24"/>
        <v>122</v>
      </c>
      <c r="P125" s="15">
        <v>0</v>
      </c>
      <c r="Q125" s="15">
        <v>0</v>
      </c>
      <c r="R125">
        <v>-49</v>
      </c>
      <c r="S125" t="e" vm="1">
        <f t="shared" si="25"/>
        <v>#VALUE!</v>
      </c>
      <c r="T125" s="14" t="e" vm="1">
        <f>Table234[[#This Row],[BDG]]/Table234[[#This Row],[Odds]]</f>
        <v>#VALUE!</v>
      </c>
      <c r="U125" s="14" t="e" cm="1" vm="2">
        <f t="array" ref="U125">MAX(_xlfn._xlws.FILTER(Table22[[B365]:[BFAIREXC]], Table22[PLAYER] = A125))</f>
        <v>#VALUE!</v>
      </c>
      <c r="X125" t="s">
        <v>17</v>
      </c>
      <c r="Y125" s="14">
        <v>328.79999999999995</v>
      </c>
      <c r="Z125" s="14">
        <v>277.37858797449258</v>
      </c>
      <c r="AA125" s="14">
        <f t="shared" si="26"/>
        <v>-51.421412025507379</v>
      </c>
      <c r="AD125" t="s">
        <v>561</v>
      </c>
      <c r="AE125">
        <v>70.8</v>
      </c>
      <c r="AF125">
        <f t="shared" si="27"/>
        <v>3.8488700564971752</v>
      </c>
    </row>
    <row r="126" spans="1:32">
      <c r="A126" s="159" t="s">
        <v>174</v>
      </c>
      <c r="B126">
        <v>176</v>
      </c>
      <c r="C126">
        <v>180</v>
      </c>
      <c r="D126">
        <v>104</v>
      </c>
      <c r="E126">
        <v>157</v>
      </c>
      <c r="F126">
        <v>112</v>
      </c>
      <c r="G126">
        <v>173</v>
      </c>
      <c r="H126">
        <v>404.8</v>
      </c>
      <c r="I126" s="14">
        <v>623.63086118218655</v>
      </c>
      <c r="J126" s="259">
        <v>404.8</v>
      </c>
      <c r="K126" s="260">
        <v>623.63086118218655</v>
      </c>
      <c r="L126" s="16">
        <f t="shared" si="21"/>
        <v>125</v>
      </c>
      <c r="M126" s="230">
        <f t="shared" si="22"/>
        <v>125</v>
      </c>
      <c r="N126" s="159">
        <f t="shared" si="23"/>
        <v>125</v>
      </c>
      <c r="O126" s="159">
        <f t="shared" si="24"/>
        <v>125</v>
      </c>
      <c r="P126" s="15" t="e">
        <v>#N/A</v>
      </c>
      <c r="Q126" s="15" t="e">
        <v>#N/A</v>
      </c>
      <c r="R126" t="e">
        <v>#N/A</v>
      </c>
      <c r="S126" t="e" vm="1">
        <f t="shared" si="25"/>
        <v>#VALUE!</v>
      </c>
      <c r="T126" s="14">
        <f>Table234[[#This Row],[BDG]]/Table234[[#This Row],[Odds]]</f>
        <v>7.9372549019607845</v>
      </c>
      <c r="U126" s="14" cm="1">
        <f t="array" ref="U126">MAX(_xlfn._xlws.FILTER(Table22[[B365]:[BFAIREXC]], Table22[PLAYER] = A126))</f>
        <v>51</v>
      </c>
      <c r="X126" t="s">
        <v>491</v>
      </c>
      <c r="Y126" s="14">
        <v>267</v>
      </c>
      <c r="Z126" s="14">
        <v>215.12553588616214</v>
      </c>
      <c r="AA126" s="14">
        <f t="shared" si="26"/>
        <v>-51.87446411383786</v>
      </c>
      <c r="AD126" t="s">
        <v>233</v>
      </c>
      <c r="AE126">
        <v>70.83</v>
      </c>
      <c r="AF126">
        <f t="shared" si="27"/>
        <v>3.4911660851879853</v>
      </c>
    </row>
    <row r="127" spans="1:32">
      <c r="A127" s="159" t="s">
        <v>242</v>
      </c>
      <c r="B127">
        <v>190</v>
      </c>
      <c r="C127">
        <v>144</v>
      </c>
      <c r="D127">
        <v>189</v>
      </c>
      <c r="E127">
        <v>104</v>
      </c>
      <c r="F127">
        <v>106</v>
      </c>
      <c r="G127">
        <v>190</v>
      </c>
      <c r="H127">
        <v>431.9</v>
      </c>
      <c r="I127" s="14">
        <v>668.92005504335179</v>
      </c>
      <c r="J127" s="259">
        <v>431.9</v>
      </c>
      <c r="K127" s="260">
        <v>668.92005504335179</v>
      </c>
      <c r="L127" s="16">
        <f t="shared" si="21"/>
        <v>126</v>
      </c>
      <c r="M127" s="230">
        <f t="shared" si="22"/>
        <v>126</v>
      </c>
      <c r="N127" s="159">
        <f t="shared" si="23"/>
        <v>126</v>
      </c>
      <c r="O127" s="159">
        <f t="shared" si="24"/>
        <v>126</v>
      </c>
      <c r="P127" s="15" t="e">
        <v>#N/A</v>
      </c>
      <c r="Q127" s="15" t="e">
        <v>#N/A</v>
      </c>
      <c r="R127" t="e">
        <v>#N/A</v>
      </c>
      <c r="S127" t="e" vm="1">
        <f t="shared" si="25"/>
        <v>#VALUE!</v>
      </c>
      <c r="T127" s="14">
        <f>Table234[[#This Row],[BDG]]/Table234[[#This Row],[Odds]]</f>
        <v>22.731578947368419</v>
      </c>
      <c r="U127" s="14" cm="1">
        <f t="array" ref="U127">MAX(_xlfn._xlws.FILTER(Table22[[B365]:[BFAIREXC]], Table22[PLAYER] = A127))</f>
        <v>19</v>
      </c>
      <c r="X127" t="s">
        <v>71</v>
      </c>
      <c r="Y127" s="14">
        <v>387.9</v>
      </c>
      <c r="Z127" s="14">
        <v>331.88628726096113</v>
      </c>
      <c r="AA127" s="14">
        <f t="shared" si="26"/>
        <v>-56.013712739038851</v>
      </c>
      <c r="AD127" t="s">
        <v>177</v>
      </c>
      <c r="AE127">
        <v>70.86</v>
      </c>
      <c r="AF127">
        <f t="shared" si="27"/>
        <v>3.8811679195493705</v>
      </c>
    </row>
    <row r="128" spans="1:32">
      <c r="A128" s="159" t="s">
        <v>247</v>
      </c>
      <c r="B128">
        <v>178</v>
      </c>
      <c r="C128">
        <v>105</v>
      </c>
      <c r="D128">
        <v>180</v>
      </c>
      <c r="E128">
        <v>171</v>
      </c>
      <c r="F128">
        <v>154</v>
      </c>
      <c r="G128">
        <v>181</v>
      </c>
      <c r="H128">
        <v>448.5</v>
      </c>
      <c r="I128" s="14">
        <v>691.71484157495445</v>
      </c>
      <c r="J128" s="259">
        <v>448.5</v>
      </c>
      <c r="K128" s="260">
        <v>691.71484157495445</v>
      </c>
      <c r="L128" s="16">
        <f t="shared" si="21"/>
        <v>127</v>
      </c>
      <c r="M128" s="230">
        <f t="shared" si="22"/>
        <v>127</v>
      </c>
      <c r="N128" s="159">
        <f t="shared" si="23"/>
        <v>127</v>
      </c>
      <c r="O128" s="159">
        <f t="shared" si="24"/>
        <v>127</v>
      </c>
      <c r="P128" s="15">
        <v>0</v>
      </c>
      <c r="Q128" s="15">
        <v>0</v>
      </c>
      <c r="R128">
        <v>-7</v>
      </c>
      <c r="S128" t="e" vm="1">
        <f t="shared" si="25"/>
        <v>#VALUE!</v>
      </c>
      <c r="T128" s="14" t="e" vm="1">
        <f>Table234[[#This Row],[BDG]]/Table234[[#This Row],[Odds]]</f>
        <v>#VALUE!</v>
      </c>
      <c r="U128" s="14" t="e" cm="1" vm="2">
        <f t="array" ref="U128">MAX(_xlfn._xlws.FILTER(Table22[[B365]:[BFAIREXC]], Table22[PLAYER] = A128))</f>
        <v>#VALUE!</v>
      </c>
      <c r="X128" t="s">
        <v>29</v>
      </c>
      <c r="Y128" s="14">
        <v>330.29999999999995</v>
      </c>
      <c r="Z128" s="14">
        <v>271.28996549495736</v>
      </c>
      <c r="AA128" s="14">
        <f t="shared" si="26"/>
        <v>-59.010034505042597</v>
      </c>
      <c r="AD128" t="s">
        <v>522</v>
      </c>
      <c r="AE128">
        <v>70.86</v>
      </c>
      <c r="AF128">
        <f t="shared" si="27"/>
        <v>5.0973751058425059</v>
      </c>
    </row>
    <row r="129" spans="24:32">
      <c r="X129" t="s">
        <v>112</v>
      </c>
      <c r="Y129" s="14">
        <v>365.2</v>
      </c>
      <c r="Z129" s="14">
        <v>287.65944863968338</v>
      </c>
      <c r="AA129" s="14">
        <f t="shared" si="26"/>
        <v>-77.540551360316613</v>
      </c>
      <c r="AD129" t="s">
        <v>114</v>
      </c>
      <c r="AE129">
        <v>70.91</v>
      </c>
      <c r="AF129" t="e">
        <f t="shared" si="27"/>
        <v>#N/A</v>
      </c>
    </row>
    <row r="130" spans="24:32">
      <c r="AD130" t="s">
        <v>241</v>
      </c>
      <c r="AE130">
        <v>71</v>
      </c>
      <c r="AF130">
        <f t="shared" si="27"/>
        <v>3.2718309859154933</v>
      </c>
    </row>
    <row r="131" spans="24:32">
      <c r="AD131" t="s">
        <v>54</v>
      </c>
      <c r="AE131">
        <v>71</v>
      </c>
      <c r="AF131">
        <f t="shared" ref="AF131:AF162" si="28">VLOOKUP(AD131,$A$2:$J$160,10,FALSE)/AE131</f>
        <v>3.4106090657585257</v>
      </c>
    </row>
    <row r="132" spans="24:32">
      <c r="AD132" t="s">
        <v>134</v>
      </c>
      <c r="AE132">
        <v>71</v>
      </c>
      <c r="AF132">
        <f t="shared" si="28"/>
        <v>3.5404921412254748</v>
      </c>
    </row>
    <row r="133" spans="24:32">
      <c r="AD133" t="s">
        <v>235</v>
      </c>
      <c r="AE133">
        <v>71</v>
      </c>
      <c r="AF133">
        <f t="shared" si="28"/>
        <v>3.8408450704225352</v>
      </c>
    </row>
    <row r="134" spans="24:32">
      <c r="AD134" t="s">
        <v>539</v>
      </c>
      <c r="AE134">
        <v>71</v>
      </c>
      <c r="AF134">
        <f t="shared" si="28"/>
        <v>4.3323943661971835</v>
      </c>
    </row>
    <row r="135" spans="24:32">
      <c r="AD135" t="s">
        <v>393</v>
      </c>
      <c r="AE135">
        <v>71</v>
      </c>
      <c r="AF135">
        <f t="shared" si="28"/>
        <v>4.4707665463920936</v>
      </c>
    </row>
    <row r="136" spans="24:32">
      <c r="AD136" t="s">
        <v>56</v>
      </c>
      <c r="AE136">
        <v>71</v>
      </c>
      <c r="AF136" t="e">
        <f t="shared" si="28"/>
        <v>#N/A</v>
      </c>
    </row>
    <row r="137" spans="24:32">
      <c r="AD137" t="s">
        <v>145</v>
      </c>
      <c r="AE137">
        <v>71.13</v>
      </c>
      <c r="AF137" t="e">
        <f t="shared" si="28"/>
        <v>#N/A</v>
      </c>
    </row>
    <row r="138" spans="24:32">
      <c r="AD138" t="s">
        <v>91</v>
      </c>
      <c r="AE138">
        <v>71.17</v>
      </c>
      <c r="AF138">
        <f t="shared" si="28"/>
        <v>4.0020073902970426</v>
      </c>
    </row>
    <row r="139" spans="24:32">
      <c r="AD139" t="s">
        <v>97</v>
      </c>
      <c r="AE139">
        <v>71.2</v>
      </c>
      <c r="AF139">
        <f t="shared" si="28"/>
        <v>3.5614098166362393</v>
      </c>
    </row>
    <row r="140" spans="24:32">
      <c r="AD140" t="s">
        <v>80</v>
      </c>
      <c r="AE140">
        <v>71.2</v>
      </c>
      <c r="AF140">
        <f t="shared" si="28"/>
        <v>4.0061915406314972</v>
      </c>
    </row>
    <row r="141" spans="24:32">
      <c r="AD141" t="s">
        <v>239</v>
      </c>
      <c r="AE141">
        <v>71.2</v>
      </c>
      <c r="AF141" t="e">
        <f t="shared" si="28"/>
        <v>#N/A</v>
      </c>
    </row>
    <row r="142" spans="24:32">
      <c r="AD142" t="s">
        <v>102</v>
      </c>
      <c r="AE142">
        <v>71.2</v>
      </c>
      <c r="AF142" t="e">
        <f t="shared" si="28"/>
        <v>#N/A</v>
      </c>
    </row>
    <row r="143" spans="24:32">
      <c r="AD143" t="s">
        <v>122</v>
      </c>
      <c r="AE143">
        <v>71.25</v>
      </c>
      <c r="AF143">
        <f t="shared" si="28"/>
        <v>3.0260181500145671</v>
      </c>
    </row>
    <row r="144" spans="24:32">
      <c r="AD144" t="s">
        <v>370</v>
      </c>
      <c r="AE144">
        <v>71.25</v>
      </c>
      <c r="AF144">
        <f t="shared" si="28"/>
        <v>3.0980341495142154</v>
      </c>
    </row>
    <row r="145" spans="30:32">
      <c r="AD145" t="s">
        <v>92</v>
      </c>
      <c r="AE145">
        <v>71.25</v>
      </c>
      <c r="AF145">
        <f t="shared" si="28"/>
        <v>3.172758304931337</v>
      </c>
    </row>
    <row r="146" spans="30:32">
      <c r="AD146" t="s">
        <v>693</v>
      </c>
      <c r="AE146">
        <v>71.25</v>
      </c>
      <c r="AF146">
        <f t="shared" si="28"/>
        <v>3.3756334617302017</v>
      </c>
    </row>
    <row r="147" spans="30:32">
      <c r="AD147" t="s">
        <v>44</v>
      </c>
      <c r="AE147">
        <v>71.25</v>
      </c>
      <c r="AF147" t="e">
        <f t="shared" si="28"/>
        <v>#N/A</v>
      </c>
    </row>
    <row r="148" spans="30:32">
      <c r="AD148" t="s">
        <v>223</v>
      </c>
      <c r="AE148">
        <v>71.290000000000006</v>
      </c>
      <c r="AF148">
        <f t="shared" si="28"/>
        <v>5.0626663164136021</v>
      </c>
    </row>
    <row r="149" spans="30:32">
      <c r="AD149" t="s">
        <v>130</v>
      </c>
      <c r="AE149">
        <v>71.3</v>
      </c>
      <c r="AF149">
        <f t="shared" si="28"/>
        <v>3.2229976973565582</v>
      </c>
    </row>
    <row r="150" spans="30:32">
      <c r="AD150" t="s">
        <v>38</v>
      </c>
      <c r="AE150">
        <v>71.33</v>
      </c>
      <c r="AF150">
        <f t="shared" si="28"/>
        <v>3.367154923623326</v>
      </c>
    </row>
    <row r="151" spans="30:32">
      <c r="AD151" t="s">
        <v>444</v>
      </c>
      <c r="AE151">
        <v>71.33</v>
      </c>
      <c r="AF151">
        <f t="shared" si="28"/>
        <v>4.5604934810037845</v>
      </c>
    </row>
    <row r="152" spans="30:32">
      <c r="AD152" t="s">
        <v>488</v>
      </c>
      <c r="AE152">
        <v>71.33</v>
      </c>
      <c r="AF152" t="e">
        <f t="shared" si="28"/>
        <v>#N/A</v>
      </c>
    </row>
    <row r="153" spans="30:32">
      <c r="AD153" t="s">
        <v>60</v>
      </c>
      <c r="AE153">
        <v>71.38</v>
      </c>
      <c r="AF153">
        <f t="shared" si="28"/>
        <v>4.0540853830762815</v>
      </c>
    </row>
    <row r="154" spans="30:32">
      <c r="AD154" t="s">
        <v>71</v>
      </c>
      <c r="AE154">
        <v>71.38</v>
      </c>
      <c r="AF154">
        <f t="shared" si="28"/>
        <v>4.6495697290692233</v>
      </c>
    </row>
    <row r="155" spans="30:32">
      <c r="AD155" t="s">
        <v>372</v>
      </c>
      <c r="AE155">
        <v>71.430000000000007</v>
      </c>
      <c r="AF155" t="e">
        <f t="shared" si="28"/>
        <v>#N/A</v>
      </c>
    </row>
    <row r="156" spans="30:32">
      <c r="AD156" t="s">
        <v>11</v>
      </c>
      <c r="AE156">
        <v>71.44</v>
      </c>
      <c r="AF156">
        <f t="shared" si="28"/>
        <v>3.8763838922121554</v>
      </c>
    </row>
    <row r="157" spans="30:32">
      <c r="AD157" t="s">
        <v>36</v>
      </c>
      <c r="AE157">
        <v>71.44</v>
      </c>
      <c r="AF157">
        <f t="shared" si="28"/>
        <v>3.8764631833783776</v>
      </c>
    </row>
    <row r="158" spans="30:32">
      <c r="AD158" t="s">
        <v>560</v>
      </c>
      <c r="AE158">
        <v>71.5</v>
      </c>
      <c r="AF158">
        <f t="shared" si="28"/>
        <v>3.2195804195804194</v>
      </c>
    </row>
    <row r="159" spans="30:32">
      <c r="AD159" t="s">
        <v>595</v>
      </c>
      <c r="AE159">
        <v>71.5</v>
      </c>
      <c r="AF159" t="e">
        <f t="shared" si="28"/>
        <v>#N/A</v>
      </c>
    </row>
    <row r="160" spans="30:32">
      <c r="AD160" t="s">
        <v>108</v>
      </c>
      <c r="AE160">
        <v>71.56</v>
      </c>
      <c r="AF160">
        <f t="shared" si="28"/>
        <v>4.0778426446195368</v>
      </c>
    </row>
    <row r="161" spans="30:32">
      <c r="AD161" t="s">
        <v>33</v>
      </c>
      <c r="AE161">
        <v>71.569999999999993</v>
      </c>
      <c r="AF161">
        <f t="shared" si="28"/>
        <v>3.4749808299593279</v>
      </c>
    </row>
    <row r="162" spans="30:32">
      <c r="AD162" t="s">
        <v>401</v>
      </c>
      <c r="AE162">
        <v>71.569999999999993</v>
      </c>
      <c r="AF162">
        <f t="shared" si="28"/>
        <v>4.9476037445857202</v>
      </c>
    </row>
    <row r="163" spans="30:32">
      <c r="AD163" t="s">
        <v>137</v>
      </c>
      <c r="AE163">
        <v>71.63</v>
      </c>
      <c r="AF163">
        <f t="shared" ref="AF163:AF183" si="29">VLOOKUP(AD163,$A$2:$J$160,10,FALSE)/AE163</f>
        <v>3.9203021981544111</v>
      </c>
    </row>
    <row r="164" spans="30:32">
      <c r="AD164" t="s">
        <v>104</v>
      </c>
      <c r="AE164">
        <v>71.63</v>
      </c>
      <c r="AF164">
        <f t="shared" si="29"/>
        <v>4.0358333241092845</v>
      </c>
    </row>
    <row r="165" spans="30:32">
      <c r="AD165" t="s">
        <v>107</v>
      </c>
      <c r="AE165">
        <v>71.63</v>
      </c>
      <c r="AF165">
        <f t="shared" si="29"/>
        <v>4.367627037797245</v>
      </c>
    </row>
    <row r="166" spans="30:32">
      <c r="AD166" t="s">
        <v>79</v>
      </c>
      <c r="AE166">
        <v>71.67</v>
      </c>
      <c r="AF166">
        <f t="shared" si="29"/>
        <v>4.003439203510629</v>
      </c>
    </row>
    <row r="167" spans="30:32">
      <c r="AD167" t="s">
        <v>17</v>
      </c>
      <c r="AE167">
        <v>71.709999999999994</v>
      </c>
      <c r="AF167">
        <f t="shared" si="29"/>
        <v>3.8680600749476026</v>
      </c>
    </row>
    <row r="168" spans="30:32">
      <c r="AD168" t="s">
        <v>133</v>
      </c>
      <c r="AE168">
        <v>71.75</v>
      </c>
      <c r="AF168">
        <f t="shared" si="29"/>
        <v>3.74476988322703</v>
      </c>
    </row>
    <row r="169" spans="30:32">
      <c r="AD169" t="s">
        <v>434</v>
      </c>
      <c r="AE169">
        <v>71.78</v>
      </c>
      <c r="AF169">
        <f t="shared" si="29"/>
        <v>3.3932774999360338</v>
      </c>
    </row>
    <row r="170" spans="30:32">
      <c r="AD170" t="s">
        <v>105</v>
      </c>
      <c r="AE170">
        <v>71.78</v>
      </c>
      <c r="AF170" t="e">
        <f t="shared" si="29"/>
        <v>#N/A</v>
      </c>
    </row>
    <row r="171" spans="30:32">
      <c r="AD171" t="s">
        <v>160</v>
      </c>
      <c r="AE171">
        <v>71.8</v>
      </c>
      <c r="AF171">
        <f t="shared" si="29"/>
        <v>4.7929650809235955</v>
      </c>
    </row>
    <row r="172" spans="30:32">
      <c r="AD172" t="s">
        <v>19</v>
      </c>
      <c r="AE172">
        <v>71.8</v>
      </c>
      <c r="AF172" t="e">
        <f t="shared" si="29"/>
        <v>#N/A</v>
      </c>
    </row>
    <row r="173" spans="30:32">
      <c r="AD173" t="s">
        <v>556</v>
      </c>
      <c r="AE173">
        <v>72</v>
      </c>
      <c r="AF173">
        <f t="shared" si="29"/>
        <v>4.5402777777777779</v>
      </c>
    </row>
    <row r="174" spans="30:32">
      <c r="AD174" t="s">
        <v>486</v>
      </c>
      <c r="AE174">
        <v>72</v>
      </c>
      <c r="AF174">
        <f t="shared" si="29"/>
        <v>5.166666666666667</v>
      </c>
    </row>
    <row r="175" spans="30:32">
      <c r="AD175" t="s">
        <v>21</v>
      </c>
      <c r="AE175">
        <v>72.13</v>
      </c>
      <c r="AF175">
        <f t="shared" si="29"/>
        <v>4.348301446192897</v>
      </c>
    </row>
    <row r="176" spans="30:32">
      <c r="AD176" t="s">
        <v>419</v>
      </c>
      <c r="AE176">
        <v>72.22</v>
      </c>
      <c r="AF176" t="e">
        <f t="shared" si="29"/>
        <v>#N/A</v>
      </c>
    </row>
    <row r="177" spans="30:32">
      <c r="AD177" t="s">
        <v>13</v>
      </c>
      <c r="AE177">
        <v>72.430000000000007</v>
      </c>
      <c r="AF177">
        <f t="shared" si="29"/>
        <v>3.9110608905520525</v>
      </c>
    </row>
    <row r="178" spans="30:32">
      <c r="AD178" t="s">
        <v>55</v>
      </c>
      <c r="AE178">
        <v>72.44</v>
      </c>
      <c r="AF178">
        <f t="shared" si="29"/>
        <v>3.8795591366115167</v>
      </c>
    </row>
    <row r="179" spans="30:32">
      <c r="AD179" t="s">
        <v>144</v>
      </c>
      <c r="AE179">
        <v>72.5</v>
      </c>
      <c r="AF179" t="e">
        <f t="shared" si="29"/>
        <v>#N/A</v>
      </c>
    </row>
    <row r="180" spans="30:32">
      <c r="AD180" t="s">
        <v>37</v>
      </c>
      <c r="AE180">
        <v>72.75</v>
      </c>
      <c r="AF180">
        <f t="shared" si="29"/>
        <v>4.6845134359247664</v>
      </c>
    </row>
    <row r="181" spans="30:32">
      <c r="AD181" t="s">
        <v>490</v>
      </c>
      <c r="AE181">
        <v>72.86</v>
      </c>
      <c r="AF181">
        <f t="shared" si="29"/>
        <v>4.1037606368377713</v>
      </c>
    </row>
    <row r="182" spans="30:32">
      <c r="AD182" t="s">
        <v>112</v>
      </c>
      <c r="AE182">
        <v>73.13</v>
      </c>
      <c r="AF182">
        <f t="shared" si="29"/>
        <v>3.9335354661518309</v>
      </c>
    </row>
    <row r="183" spans="30:32">
      <c r="AD183" t="s">
        <v>247</v>
      </c>
      <c r="AE183">
        <v>73.13</v>
      </c>
      <c r="AF183">
        <f t="shared" si="29"/>
        <v>6.1329139887870916</v>
      </c>
    </row>
  </sheetData>
  <mergeCells count="2">
    <mergeCell ref="X1:AA1"/>
    <mergeCell ref="AD1:AF1"/>
  </mergeCells>
  <conditionalFormatting sqref="J1:K1048576 N1:O1048576 S1:S1048576">
    <cfRule type="containsErrors" dxfId="426" priority="12">
      <formula>ISERROR(J1)</formula>
    </cfRule>
  </conditionalFormatting>
  <conditionalFormatting sqref="P1:Q1048576">
    <cfRule type="cellIs" dxfId="425" priority="5" operator="greaterThanOrEqual">
      <formula>20%</formula>
    </cfRule>
    <cfRule type="cellIs" dxfId="424" priority="6" operator="between">
      <formula>10%</formula>
      <formula>20%</formula>
    </cfRule>
    <cfRule type="cellIs" dxfId="423" priority="7" operator="between">
      <formula>0.01%</formula>
      <formula>10%</formula>
    </cfRule>
  </conditionalFormatting>
  <conditionalFormatting sqref="R1:R1048576">
    <cfRule type="cellIs" dxfId="422" priority="1" operator="between">
      <formula>-5</formula>
      <formula>-9</formula>
    </cfRule>
    <cfRule type="cellIs" dxfId="421" priority="2" operator="lessThanOrEqual">
      <formula>-10</formula>
    </cfRule>
    <cfRule type="cellIs" dxfId="420" priority="3" operator="between">
      <formula>5</formula>
      <formula>9</formula>
    </cfRule>
    <cfRule type="cellIs" dxfId="419" priority="4" operator="greaterThanOrEqual">
      <formula>10</formula>
    </cfRule>
  </conditionalFormatting>
  <conditionalFormatting sqref="B1:G1048576 L2:O1048576 S1:S1048576">
    <cfRule type="cellIs" dxfId="418" priority="8" operator="between">
      <formula>101</formula>
      <formula>250</formula>
    </cfRule>
    <cfRule type="cellIs" dxfId="417" priority="9" operator="between">
      <formula>51</formula>
      <formula>100.5</formula>
    </cfRule>
    <cfRule type="cellIs" dxfId="416" priority="10" operator="between">
      <formula>21</formula>
      <formula>50.5</formula>
    </cfRule>
    <cfRule type="cellIs" dxfId="415" priority="11" operator="lessThanOrEqual">
      <formula>20.5</formula>
    </cfRule>
  </conditionalFormatting>
  <conditionalFormatting sqref="A1:A1048576">
    <cfRule type="expression" dxfId="414" priority="13">
      <formula>$T1=MIN($T$2:$T$9)</formula>
    </cfRule>
    <cfRule type="expression" dxfId="413" priority="14">
      <formula>$T1=MIN($T$10:$T$21)</formula>
    </cfRule>
    <cfRule type="expression" dxfId="412" priority="15">
      <formula>$T1=MIN($T$22:$T$35)</formula>
    </cfRule>
    <cfRule type="expression" dxfId="411" priority="16">
      <formula>$T1=MIN($T$36:$T$73)</formula>
    </cfRule>
    <cfRule type="expression" dxfId="410" priority="17">
      <formula>AND($L1&lt;=3, $M1&gt;3)</formula>
    </cfRule>
    <cfRule type="expression" dxfId="409" priority="18">
      <formula>AND($L1&gt;3, $M1&lt;=3)</formula>
    </cfRule>
    <cfRule type="expression" dxfId="408" priority="19">
      <formula>AND($N1&lt;=3, $O1&gt;3)</formula>
    </cfRule>
    <cfRule type="expression" dxfId="407" priority="20">
      <formula>AND($N1&gt;3, $O1&lt;=3)</formula>
    </cfRule>
    <cfRule type="expression" dxfId="406" priority="21">
      <formula>AND($L1&lt;=3, $M1&lt;=3)</formula>
    </cfRule>
    <cfRule type="expression" dxfId="405"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3F3CB-2FF3-46C8-8A58-CC3F68D0C012}">
  <sheetPr codeName="Sheet81">
    <tabColor rgb="FFFF0000"/>
  </sheetPr>
  <dimension ref="A1:W143"/>
  <sheetViews>
    <sheetView zoomScale="90" zoomScaleNormal="90" workbookViewId="0">
      <selection activeCell="I195" sqref="I195"/>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20" width="14.42578125" bestFit="1" customWidth="1"/>
    <col min="21" max="21" width="10.28515625" bestFit="1" customWidth="1"/>
    <col min="22" max="22" width="11" bestFit="1" customWidth="1"/>
  </cols>
  <sheetData>
    <row r="1" spans="1:23" ht="15.75" thickBot="1">
      <c r="A1" s="6"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122" t="s">
        <v>537</v>
      </c>
      <c r="Q1" s="122" t="s">
        <v>536</v>
      </c>
      <c r="R1" s="362" t="s">
        <v>535</v>
      </c>
      <c r="S1" s="244" t="s">
        <v>566</v>
      </c>
      <c r="T1" s="244" t="s">
        <v>565</v>
      </c>
      <c r="U1" s="383" t="s">
        <v>472</v>
      </c>
      <c r="V1" s="91" t="s">
        <v>1115</v>
      </c>
      <c r="W1" s="1"/>
    </row>
    <row r="2" spans="1:23">
      <c r="A2" s="159" t="s">
        <v>142</v>
      </c>
      <c r="B2">
        <v>135</v>
      </c>
      <c r="C2">
        <v>166</v>
      </c>
      <c r="D2">
        <v>61</v>
      </c>
      <c r="E2">
        <v>82</v>
      </c>
      <c r="F2">
        <v>25</v>
      </c>
      <c r="G2">
        <v>107</v>
      </c>
      <c r="H2" s="137">
        <v>266.09999999999997</v>
      </c>
      <c r="I2" s="382">
        <v>391.28663719625462</v>
      </c>
      <c r="J2" s="259">
        <v>302.00437800018904</v>
      </c>
      <c r="K2" s="260">
        <v>438.98992566580546</v>
      </c>
      <c r="L2" s="16">
        <f t="shared" ref="L2:L33" si="0">RANK(H2,$H$2:$H$143,1)</f>
        <v>84</v>
      </c>
      <c r="M2" s="230">
        <f t="shared" ref="M2:M33" si="1">RANK(I2,$I$2:$I$143,1)</f>
        <v>67</v>
      </c>
      <c r="N2" s="159">
        <f t="shared" ref="N2:N33" si="2">RANK(J2,$J$2:$J$143,1)</f>
        <v>119</v>
      </c>
      <c r="O2" s="159">
        <f t="shared" ref="O2:O33" si="3">RANK(K2,$K$2:$K$143,1)</f>
        <v>95</v>
      </c>
      <c r="P2" s="15">
        <v>0</v>
      </c>
      <c r="Q2" s="15">
        <v>0.14285714285714285</v>
      </c>
      <c r="R2">
        <v>25</v>
      </c>
      <c r="S2" t="e" vm="1">
        <f t="shared" ref="S2:S33" si="4">RANK(U2,$U$2:$U$143,0)</f>
        <v>#VALUE!</v>
      </c>
      <c r="T2" s="14" t="e" vm="1">
        <f>Table232[[#This Row],[BDG]]/Table232[[#This Row],[Odds]]</f>
        <v>#VALUE!</v>
      </c>
      <c r="U2" s="14" t="e" cm="1" vm="2">
        <f t="array" ref="U2">MAX(_xlfn._xlws.FILTER(Table22[[B365]:[BFAIREXC]], Table22[PLAYER] = A2))</f>
        <v>#VALUE!</v>
      </c>
      <c r="V2">
        <v>1</v>
      </c>
    </row>
    <row r="3" spans="1:23">
      <c r="A3" s="159" t="s">
        <v>9</v>
      </c>
      <c r="B3">
        <v>68</v>
      </c>
      <c r="C3">
        <v>98</v>
      </c>
      <c r="D3">
        <v>11</v>
      </c>
      <c r="E3">
        <v>137</v>
      </c>
      <c r="F3">
        <v>122</v>
      </c>
      <c r="G3">
        <v>49</v>
      </c>
      <c r="H3" s="137">
        <v>210.9</v>
      </c>
      <c r="I3" s="382">
        <v>297.51097371799136</v>
      </c>
      <c r="J3" s="259">
        <v>229.07871504425978</v>
      </c>
      <c r="K3" s="260">
        <v>335.14417103041467</v>
      </c>
      <c r="L3" s="16">
        <f t="shared" si="0"/>
        <v>31</v>
      </c>
      <c r="M3" s="230">
        <f t="shared" si="1"/>
        <v>28</v>
      </c>
      <c r="N3" s="159">
        <f t="shared" si="2"/>
        <v>44</v>
      </c>
      <c r="O3" s="159">
        <f t="shared" si="3"/>
        <v>43</v>
      </c>
      <c r="P3" s="15">
        <v>0</v>
      </c>
      <c r="Q3" s="15">
        <v>0.2857142857142857</v>
      </c>
      <c r="R3">
        <v>28</v>
      </c>
      <c r="S3" t="e" vm="1">
        <f t="shared" si="4"/>
        <v>#VALUE!</v>
      </c>
      <c r="T3" s="14" t="e" vm="1">
        <f>Table232[[#This Row],[BDG]]/Table232[[#This Row],[Odds]]</f>
        <v>#VALUE!</v>
      </c>
      <c r="U3" s="14" t="e" cm="1" vm="2">
        <f t="array" ref="U3">MAX(_xlfn._xlws.FILTER(Table22[[B365]:[BFAIREXC]], Table22[PLAYER] = A3))</f>
        <v>#VALUE!</v>
      </c>
      <c r="V3">
        <v>2</v>
      </c>
    </row>
    <row r="4" spans="1:23">
      <c r="A4" s="159" t="s">
        <v>489</v>
      </c>
      <c r="B4">
        <v>102</v>
      </c>
      <c r="C4">
        <v>102</v>
      </c>
      <c r="D4">
        <v>43</v>
      </c>
      <c r="E4">
        <v>55</v>
      </c>
      <c r="F4">
        <v>101</v>
      </c>
      <c r="G4">
        <v>72</v>
      </c>
      <c r="H4" s="137">
        <v>214.9</v>
      </c>
      <c r="I4" s="382">
        <v>310.74392501603046</v>
      </c>
      <c r="J4" s="259">
        <v>214.9</v>
      </c>
      <c r="K4" s="260">
        <v>310.74392501603046</v>
      </c>
      <c r="L4" s="16">
        <f t="shared" si="0"/>
        <v>36</v>
      </c>
      <c r="M4" s="230">
        <f t="shared" si="1"/>
        <v>35</v>
      </c>
      <c r="N4" s="159">
        <f t="shared" si="2"/>
        <v>28</v>
      </c>
      <c r="O4" s="159">
        <f t="shared" si="3"/>
        <v>27</v>
      </c>
      <c r="P4" s="15">
        <v>0</v>
      </c>
      <c r="Q4" s="15">
        <v>0</v>
      </c>
      <c r="R4">
        <v>66</v>
      </c>
      <c r="S4" t="e" vm="1">
        <f t="shared" si="4"/>
        <v>#VALUE!</v>
      </c>
      <c r="T4" s="14" t="e" vm="1">
        <f>Table232[[#This Row],[BDG]]/Table232[[#This Row],[Odds]]</f>
        <v>#VALUE!</v>
      </c>
      <c r="U4" s="14" t="e" cm="1" vm="2">
        <f t="array" ref="U4">MAX(_xlfn._xlws.FILTER(Table22[[B365]:[BFAIREXC]], Table22[PLAYER] = A4))</f>
        <v>#VALUE!</v>
      </c>
      <c r="V4">
        <v>3</v>
      </c>
    </row>
    <row r="5" spans="1:23">
      <c r="A5" s="159" t="s">
        <v>104</v>
      </c>
      <c r="B5">
        <v>123</v>
      </c>
      <c r="C5">
        <v>152</v>
      </c>
      <c r="D5">
        <v>145</v>
      </c>
      <c r="E5">
        <v>5</v>
      </c>
      <c r="F5">
        <v>121</v>
      </c>
      <c r="G5">
        <v>110</v>
      </c>
      <c r="H5" s="137">
        <v>316.89999999999998</v>
      </c>
      <c r="I5" s="382">
        <v>453.86587691848348</v>
      </c>
      <c r="J5" s="259">
        <v>295.3233942932618</v>
      </c>
      <c r="K5" s="260">
        <v>413.58471713741608</v>
      </c>
      <c r="L5" s="16">
        <f t="shared" si="0"/>
        <v>121</v>
      </c>
      <c r="M5" s="230">
        <f t="shared" si="1"/>
        <v>102</v>
      </c>
      <c r="N5" s="159">
        <f t="shared" si="2"/>
        <v>115</v>
      </c>
      <c r="O5" s="159">
        <f t="shared" si="3"/>
        <v>83</v>
      </c>
      <c r="P5" s="15">
        <v>0</v>
      </c>
      <c r="Q5" s="15">
        <v>0</v>
      </c>
      <c r="R5">
        <v>-12</v>
      </c>
      <c r="S5" t="e" vm="1">
        <f t="shared" si="4"/>
        <v>#VALUE!</v>
      </c>
      <c r="T5" s="14" t="e" vm="1">
        <f>Table232[[#This Row],[BDG]]/Table232[[#This Row],[Odds]]</f>
        <v>#VALUE!</v>
      </c>
      <c r="U5" s="14" t="e" cm="1" vm="2">
        <f t="array" ref="U5">MAX(_xlfn._xlws.FILTER(Table22[[B365]:[BFAIREXC]], Table22[PLAYER] = A5))</f>
        <v>#VALUE!</v>
      </c>
      <c r="V5">
        <v>3</v>
      </c>
    </row>
    <row r="6" spans="1:23">
      <c r="A6" s="159" t="s">
        <v>73</v>
      </c>
      <c r="B6">
        <v>39</v>
      </c>
      <c r="C6">
        <v>100</v>
      </c>
      <c r="D6">
        <v>15</v>
      </c>
      <c r="E6">
        <v>13</v>
      </c>
      <c r="F6">
        <v>80</v>
      </c>
      <c r="G6">
        <v>3</v>
      </c>
      <c r="H6" s="137">
        <v>131.10000000000002</v>
      </c>
      <c r="I6" s="382">
        <v>140.16513953090436</v>
      </c>
      <c r="J6" s="259">
        <v>147.18334913573139</v>
      </c>
      <c r="K6" s="260">
        <v>158.22228610363518</v>
      </c>
      <c r="L6" s="16">
        <f t="shared" si="0"/>
        <v>2</v>
      </c>
      <c r="M6" s="230">
        <f t="shared" si="1"/>
        <v>2</v>
      </c>
      <c r="N6" s="159">
        <f t="shared" si="2"/>
        <v>1</v>
      </c>
      <c r="O6" s="159">
        <f t="shared" si="3"/>
        <v>1</v>
      </c>
      <c r="P6" s="15">
        <v>0</v>
      </c>
      <c r="Q6" s="15">
        <v>0.5714285714285714</v>
      </c>
      <c r="R6">
        <v>16</v>
      </c>
      <c r="S6" t="e" vm="1">
        <f t="shared" si="4"/>
        <v>#VALUE!</v>
      </c>
      <c r="T6" s="14" t="e" vm="1">
        <f>Table232[[#This Row],[BDG]]/Table232[[#This Row],[Odds]]</f>
        <v>#VALUE!</v>
      </c>
      <c r="U6" s="14" t="e" cm="1" vm="2">
        <f t="array" ref="U6">MAX(_xlfn._xlws.FILTER(Table22[[B365]:[BFAIREXC]], Table22[PLAYER] = A6))</f>
        <v>#VALUE!</v>
      </c>
      <c r="V6">
        <v>5</v>
      </c>
    </row>
    <row r="7" spans="1:23">
      <c r="A7" s="159" t="s">
        <v>179</v>
      </c>
      <c r="B7">
        <v>165</v>
      </c>
      <c r="C7">
        <v>3</v>
      </c>
      <c r="D7">
        <v>31</v>
      </c>
      <c r="E7">
        <v>85</v>
      </c>
      <c r="F7">
        <v>168</v>
      </c>
      <c r="G7">
        <v>127</v>
      </c>
      <c r="H7" s="137">
        <v>223.7</v>
      </c>
      <c r="I7" s="382">
        <v>399.27996337649267</v>
      </c>
      <c r="J7" s="259">
        <v>228.51367843851114</v>
      </c>
      <c r="K7" s="260">
        <v>386.6423891272417</v>
      </c>
      <c r="L7" s="16">
        <f t="shared" si="0"/>
        <v>46</v>
      </c>
      <c r="M7" s="230">
        <f t="shared" si="1"/>
        <v>72</v>
      </c>
      <c r="N7" s="159">
        <f t="shared" si="2"/>
        <v>42</v>
      </c>
      <c r="O7" s="159">
        <f t="shared" si="3"/>
        <v>68</v>
      </c>
      <c r="P7" s="15">
        <v>0</v>
      </c>
      <c r="Q7" s="15">
        <v>0</v>
      </c>
      <c r="R7">
        <v>-9</v>
      </c>
      <c r="S7" t="e" vm="1">
        <f t="shared" si="4"/>
        <v>#VALUE!</v>
      </c>
      <c r="T7" s="14" t="e" vm="1">
        <f>Table232[[#This Row],[BDG]]/Table232[[#This Row],[Odds]]</f>
        <v>#VALUE!</v>
      </c>
      <c r="U7" s="14" t="e" cm="1" vm="2">
        <f t="array" ref="U7">MAX(_xlfn._xlws.FILTER(Table22[[B365]:[BFAIREXC]], Table22[PLAYER] = A7))</f>
        <v>#VALUE!</v>
      </c>
      <c r="V7">
        <v>5</v>
      </c>
    </row>
    <row r="8" spans="1:23">
      <c r="A8" s="159" t="s">
        <v>141</v>
      </c>
      <c r="B8">
        <v>86</v>
      </c>
      <c r="C8">
        <v>81</v>
      </c>
      <c r="D8">
        <v>120</v>
      </c>
      <c r="E8">
        <v>109</v>
      </c>
      <c r="F8">
        <v>96</v>
      </c>
      <c r="G8">
        <v>117</v>
      </c>
      <c r="H8" s="137">
        <v>266.2</v>
      </c>
      <c r="I8" s="382">
        <v>430.65247397369853</v>
      </c>
      <c r="J8" s="259">
        <v>228.74769403134849</v>
      </c>
      <c r="K8" s="260">
        <v>341.04245919706</v>
      </c>
      <c r="L8" s="16">
        <f t="shared" si="0"/>
        <v>85</v>
      </c>
      <c r="M8" s="230">
        <f t="shared" si="1"/>
        <v>88</v>
      </c>
      <c r="N8" s="159">
        <f t="shared" si="2"/>
        <v>43</v>
      </c>
      <c r="O8" s="159">
        <f t="shared" si="3"/>
        <v>45</v>
      </c>
      <c r="P8" s="15">
        <v>0</v>
      </c>
      <c r="Q8" s="15">
        <v>0.25</v>
      </c>
      <c r="R8">
        <v>13</v>
      </c>
      <c r="S8" t="e" vm="1">
        <f t="shared" si="4"/>
        <v>#VALUE!</v>
      </c>
      <c r="T8" s="14" t="e" vm="1">
        <f>Table232[[#This Row],[BDG]]/Table232[[#This Row],[Odds]]</f>
        <v>#VALUE!</v>
      </c>
      <c r="U8" s="14" t="e" cm="1" vm="2">
        <f t="array" ref="U8">MAX(_xlfn._xlws.FILTER(Table22[[B365]:[BFAIREXC]], Table22[PLAYER] = A8))</f>
        <v>#VALUE!</v>
      </c>
      <c r="V8">
        <v>5</v>
      </c>
    </row>
    <row r="9" spans="1:23">
      <c r="A9" s="159" t="s">
        <v>48</v>
      </c>
      <c r="B9">
        <v>5</v>
      </c>
      <c r="C9">
        <v>80</v>
      </c>
      <c r="D9">
        <v>131</v>
      </c>
      <c r="E9">
        <v>70</v>
      </c>
      <c r="F9">
        <v>167</v>
      </c>
      <c r="G9">
        <v>135</v>
      </c>
      <c r="H9" s="137">
        <v>237.5</v>
      </c>
      <c r="I9" s="382">
        <v>418.66285369201233</v>
      </c>
      <c r="J9" s="259">
        <v>296.67992903816662</v>
      </c>
      <c r="K9" s="260">
        <v>491.45461374257252</v>
      </c>
      <c r="L9" s="16">
        <f t="shared" si="0"/>
        <v>56</v>
      </c>
      <c r="M9" s="230">
        <f t="shared" si="1"/>
        <v>80</v>
      </c>
      <c r="N9" s="159">
        <f t="shared" si="2"/>
        <v>117</v>
      </c>
      <c r="O9" s="159">
        <f t="shared" si="3"/>
        <v>120</v>
      </c>
      <c r="P9" s="15">
        <v>0</v>
      </c>
      <c r="Q9" s="15">
        <v>0.14285714285714285</v>
      </c>
      <c r="R9">
        <v>-93</v>
      </c>
      <c r="S9" t="e" vm="1">
        <f t="shared" si="4"/>
        <v>#VALUE!</v>
      </c>
      <c r="T9" s="14">
        <f>Table232[[#This Row],[BDG]]/Table232[[#This Row],[Odds]]</f>
        <v>36.808924198283698</v>
      </c>
      <c r="U9" s="14" cm="1">
        <f t="array" ref="U9">MAX(_xlfn._xlws.FILTER(Table22[[B365]:[BFAIREXC]], Table22[PLAYER] = A9))</f>
        <v>8.06</v>
      </c>
      <c r="V9">
        <v>5</v>
      </c>
    </row>
    <row r="10" spans="1:23">
      <c r="A10" s="159" t="s">
        <v>92</v>
      </c>
      <c r="B10">
        <v>81</v>
      </c>
      <c r="C10">
        <v>63</v>
      </c>
      <c r="D10">
        <v>138</v>
      </c>
      <c r="E10">
        <v>44</v>
      </c>
      <c r="F10">
        <v>73</v>
      </c>
      <c r="G10">
        <v>106</v>
      </c>
      <c r="H10" s="137">
        <v>229.8</v>
      </c>
      <c r="I10" s="382">
        <v>371.28534260672058</v>
      </c>
      <c r="J10" s="259">
        <v>230.25305208833049</v>
      </c>
      <c r="K10" s="260">
        <v>347.27805984536735</v>
      </c>
      <c r="L10" s="16">
        <f t="shared" si="0"/>
        <v>51</v>
      </c>
      <c r="M10" s="230">
        <f t="shared" si="1"/>
        <v>58</v>
      </c>
      <c r="N10" s="159">
        <f t="shared" si="2"/>
        <v>45</v>
      </c>
      <c r="O10" s="159">
        <f t="shared" si="3"/>
        <v>49</v>
      </c>
      <c r="P10" s="15">
        <v>0</v>
      </c>
      <c r="Q10" s="15">
        <v>0.14285714285714285</v>
      </c>
      <c r="R10">
        <v>-3</v>
      </c>
      <c r="S10" t="e" vm="1">
        <f t="shared" si="4"/>
        <v>#VALUE!</v>
      </c>
      <c r="T10" s="14">
        <f>Table232[[#This Row],[BDG]]/Table232[[#This Row],[Odds]]</f>
        <v>39.025941031920418</v>
      </c>
      <c r="U10" s="14" cm="1">
        <f t="array" ref="U10">MAX(_xlfn._xlws.FILTER(Table22[[B365]:[BFAIREXC]], Table22[PLAYER] = A10))</f>
        <v>5.9</v>
      </c>
      <c r="V10">
        <v>9</v>
      </c>
    </row>
    <row r="11" spans="1:23">
      <c r="A11" s="159" t="s">
        <v>165</v>
      </c>
      <c r="B11">
        <v>167</v>
      </c>
      <c r="C11">
        <v>126</v>
      </c>
      <c r="D11">
        <v>8</v>
      </c>
      <c r="E11">
        <v>129</v>
      </c>
      <c r="F11">
        <v>27</v>
      </c>
      <c r="G11">
        <v>36</v>
      </c>
      <c r="H11" s="137">
        <v>243.8</v>
      </c>
      <c r="I11" s="382">
        <v>305.33905000160809</v>
      </c>
      <c r="J11" s="259">
        <v>240.12066788871022</v>
      </c>
      <c r="K11" s="260">
        <v>328.75944432481128</v>
      </c>
      <c r="L11" s="16">
        <f t="shared" si="0"/>
        <v>62</v>
      </c>
      <c r="M11" s="230">
        <f t="shared" si="1"/>
        <v>31</v>
      </c>
      <c r="N11" s="159">
        <f t="shared" si="2"/>
        <v>55</v>
      </c>
      <c r="O11" s="159">
        <f t="shared" si="3"/>
        <v>40</v>
      </c>
      <c r="P11" s="15">
        <v>0</v>
      </c>
      <c r="Q11" s="15">
        <v>0.125</v>
      </c>
      <c r="R11">
        <v>1</v>
      </c>
      <c r="S11" t="e" vm="1">
        <f t="shared" si="4"/>
        <v>#VALUE!</v>
      </c>
      <c r="T11" s="14" t="e" vm="1">
        <f>Table232[[#This Row],[BDG]]/Table232[[#This Row],[Odds]]</f>
        <v>#VALUE!</v>
      </c>
      <c r="U11" s="14" t="e" cm="1" vm="2">
        <f t="array" ref="U11">MAX(_xlfn._xlws.FILTER(Table22[[B365]:[BFAIREXC]], Table22[PLAYER] = A11))</f>
        <v>#VALUE!</v>
      </c>
      <c r="V11">
        <v>9</v>
      </c>
    </row>
    <row r="12" spans="1:23" hidden="1">
      <c r="A12" s="159" t="s">
        <v>558</v>
      </c>
      <c r="B12">
        <v>22</v>
      </c>
      <c r="C12">
        <v>85</v>
      </c>
      <c r="D12">
        <v>30</v>
      </c>
      <c r="E12">
        <v>91</v>
      </c>
      <c r="F12">
        <v>116</v>
      </c>
      <c r="G12">
        <v>11</v>
      </c>
      <c r="H12" s="137">
        <v>168</v>
      </c>
      <c r="I12" s="382">
        <v>208.58951609776841</v>
      </c>
      <c r="J12" s="259">
        <v>168</v>
      </c>
      <c r="K12" s="260">
        <v>208.58951609776841</v>
      </c>
      <c r="L12" s="16">
        <f t="shared" si="0"/>
        <v>6</v>
      </c>
      <c r="M12" s="230">
        <f t="shared" si="1"/>
        <v>6</v>
      </c>
      <c r="N12" s="159">
        <f t="shared" si="2"/>
        <v>2</v>
      </c>
      <c r="O12" s="159">
        <f t="shared" si="3"/>
        <v>2</v>
      </c>
      <c r="P12" s="15">
        <v>0</v>
      </c>
      <c r="Q12" s="15">
        <v>0</v>
      </c>
      <c r="R12" t="e">
        <v>#N/A</v>
      </c>
      <c r="S12" t="e" vm="1">
        <f t="shared" si="4"/>
        <v>#VALUE!</v>
      </c>
      <c r="T12" s="14">
        <f>Table232[[#This Row],[BDG]]/Table232[[#This Row],[Odds]]</f>
        <v>10.70063694267516</v>
      </c>
      <c r="U12" s="14" cm="1">
        <f t="array" ref="U12">MAX(_xlfn._xlws.FILTER(Table22[[B365]:[BFAIREXC]], Table22[PLAYER] = A12))</f>
        <v>15.7</v>
      </c>
    </row>
    <row r="13" spans="1:23" hidden="1">
      <c r="A13" s="159" t="s">
        <v>121</v>
      </c>
      <c r="B13">
        <v>119</v>
      </c>
      <c r="C13">
        <v>12</v>
      </c>
      <c r="D13">
        <v>13</v>
      </c>
      <c r="E13">
        <v>41</v>
      </c>
      <c r="F13">
        <v>32</v>
      </c>
      <c r="G13">
        <v>4</v>
      </c>
      <c r="H13" s="137">
        <v>116.89999999999999</v>
      </c>
      <c r="I13" s="382">
        <v>138.8113570790504</v>
      </c>
      <c r="J13" s="259">
        <v>174.1544576627621</v>
      </c>
      <c r="K13" s="260">
        <v>254.71774214283658</v>
      </c>
      <c r="L13" s="16">
        <f t="shared" si="0"/>
        <v>1</v>
      </c>
      <c r="M13" s="230">
        <f t="shared" si="1"/>
        <v>1</v>
      </c>
      <c r="N13" s="159">
        <f t="shared" si="2"/>
        <v>3</v>
      </c>
      <c r="O13" s="159">
        <f t="shared" si="3"/>
        <v>10</v>
      </c>
      <c r="P13" s="15">
        <v>0</v>
      </c>
      <c r="Q13" s="15">
        <v>0.14285714285714285</v>
      </c>
      <c r="R13">
        <v>13</v>
      </c>
      <c r="S13" t="e" vm="1">
        <f t="shared" si="4"/>
        <v>#VALUE!</v>
      </c>
      <c r="T13" s="14">
        <f>Table232[[#This Row],[BDG]]/Table232[[#This Row],[Odds]]</f>
        <v>38.444692640786336</v>
      </c>
      <c r="U13" s="14" cm="1">
        <f t="array" ref="U13">MAX(_xlfn._xlws.FILTER(Table22[[B365]:[BFAIREXC]], Table22[PLAYER] = A13))</f>
        <v>4.53</v>
      </c>
    </row>
    <row r="14" spans="1:23" hidden="1">
      <c r="A14" s="159" t="s">
        <v>69</v>
      </c>
      <c r="B14">
        <v>41</v>
      </c>
      <c r="C14">
        <v>130</v>
      </c>
      <c r="D14">
        <v>4</v>
      </c>
      <c r="E14">
        <v>74</v>
      </c>
      <c r="F14">
        <v>151</v>
      </c>
      <c r="G14">
        <v>34</v>
      </c>
      <c r="H14" s="137">
        <v>195.4</v>
      </c>
      <c r="I14" s="382">
        <v>252.00062299288913</v>
      </c>
      <c r="J14" s="259">
        <v>177.78760006615332</v>
      </c>
      <c r="K14" s="260">
        <v>222.07567856300227</v>
      </c>
      <c r="L14" s="16">
        <f t="shared" si="0"/>
        <v>22</v>
      </c>
      <c r="M14" s="230">
        <f t="shared" si="1"/>
        <v>18</v>
      </c>
      <c r="N14" s="159">
        <f t="shared" si="2"/>
        <v>4</v>
      </c>
      <c r="O14" s="159">
        <f t="shared" si="3"/>
        <v>3</v>
      </c>
      <c r="P14" s="15">
        <v>0</v>
      </c>
      <c r="Q14" s="15">
        <v>0.14285714285714285</v>
      </c>
      <c r="R14">
        <v>22</v>
      </c>
      <c r="S14" t="e" vm="1">
        <f t="shared" si="4"/>
        <v>#VALUE!</v>
      </c>
      <c r="T14" s="14" t="e" vm="1">
        <f>Table232[[#This Row],[BDG]]/Table232[[#This Row],[Odds]]</f>
        <v>#VALUE!</v>
      </c>
      <c r="U14" s="14" t="e" cm="1" vm="2">
        <f t="array" ref="U14">MAX(_xlfn._xlws.FILTER(Table22[[B365]:[BFAIREXC]], Table22[PLAYER] = A14))</f>
        <v>#VALUE!</v>
      </c>
    </row>
    <row r="15" spans="1:23" hidden="1">
      <c r="A15" s="159" t="s">
        <v>557</v>
      </c>
      <c r="B15">
        <v>14</v>
      </c>
      <c r="C15">
        <v>85</v>
      </c>
      <c r="D15">
        <v>87</v>
      </c>
      <c r="E15">
        <v>160</v>
      </c>
      <c r="F15">
        <v>4</v>
      </c>
      <c r="G15">
        <v>5</v>
      </c>
      <c r="H15" s="137">
        <v>185.9</v>
      </c>
      <c r="I15" s="382">
        <v>229.8411880240169</v>
      </c>
      <c r="J15" s="259">
        <v>185.9</v>
      </c>
      <c r="K15" s="260">
        <v>229.8411880240169</v>
      </c>
      <c r="L15" s="16">
        <f t="shared" si="0"/>
        <v>15</v>
      </c>
      <c r="M15" s="230">
        <f t="shared" si="1"/>
        <v>13</v>
      </c>
      <c r="N15" s="159">
        <f t="shared" si="2"/>
        <v>5</v>
      </c>
      <c r="O15" s="159">
        <f t="shared" si="3"/>
        <v>4</v>
      </c>
      <c r="P15" s="15">
        <v>0</v>
      </c>
      <c r="Q15" s="15">
        <v>0.25</v>
      </c>
      <c r="R15">
        <v>-3</v>
      </c>
      <c r="S15" t="e" vm="1">
        <f t="shared" si="4"/>
        <v>#VALUE!</v>
      </c>
      <c r="T15" s="14">
        <f>Table232[[#This Row],[BDG]]/Table232[[#This Row],[Odds]]</f>
        <v>21.870588235294118</v>
      </c>
      <c r="U15" s="14" cm="1">
        <f t="array" ref="U15">MAX(_xlfn._xlws.FILTER(Table22[[B365]:[BFAIREXC]], Table22[PLAYER] = A15))</f>
        <v>8.5</v>
      </c>
    </row>
    <row r="16" spans="1:23" hidden="1">
      <c r="A16" s="159" t="s">
        <v>491</v>
      </c>
      <c r="B16">
        <v>178</v>
      </c>
      <c r="C16">
        <v>2</v>
      </c>
      <c r="D16">
        <v>50</v>
      </c>
      <c r="E16">
        <v>176</v>
      </c>
      <c r="F16">
        <v>37</v>
      </c>
      <c r="G16">
        <v>146</v>
      </c>
      <c r="H16" s="137">
        <v>228.20000000000002</v>
      </c>
      <c r="I16" s="382">
        <v>429.7330889209195</v>
      </c>
      <c r="J16" s="259">
        <v>186.13136782828434</v>
      </c>
      <c r="K16" s="260">
        <v>306.81037094858124</v>
      </c>
      <c r="L16" s="16">
        <f t="shared" si="0"/>
        <v>50</v>
      </c>
      <c r="M16" s="230">
        <f t="shared" si="1"/>
        <v>86</v>
      </c>
      <c r="N16" s="159">
        <f t="shared" si="2"/>
        <v>6</v>
      </c>
      <c r="O16" s="159">
        <f t="shared" si="3"/>
        <v>25</v>
      </c>
      <c r="P16" s="15">
        <v>0</v>
      </c>
      <c r="Q16" s="15">
        <v>0</v>
      </c>
      <c r="R16">
        <v>22</v>
      </c>
      <c r="S16" t="e" vm="1">
        <f t="shared" si="4"/>
        <v>#VALUE!</v>
      </c>
      <c r="T16" s="14" t="e" vm="1">
        <f>Table232[[#This Row],[BDG]]/Table232[[#This Row],[Odds]]</f>
        <v>#VALUE!</v>
      </c>
      <c r="U16" s="14" t="e" cm="1" vm="2">
        <f t="array" ref="U16">MAX(_xlfn._xlws.FILTER(Table22[[B365]:[BFAIREXC]], Table22[PLAYER] = A16))</f>
        <v>#VALUE!</v>
      </c>
    </row>
    <row r="17" spans="1:21" hidden="1">
      <c r="A17" s="159" t="s">
        <v>42</v>
      </c>
      <c r="B17">
        <v>37</v>
      </c>
      <c r="C17">
        <v>136</v>
      </c>
      <c r="D17">
        <v>6</v>
      </c>
      <c r="E17">
        <v>31</v>
      </c>
      <c r="F17">
        <v>149</v>
      </c>
      <c r="G17">
        <v>35</v>
      </c>
      <c r="H17" s="137">
        <v>180</v>
      </c>
      <c r="I17" s="382">
        <v>227.95634767177467</v>
      </c>
      <c r="J17" s="259">
        <v>190.56091875600629</v>
      </c>
      <c r="K17" s="260">
        <v>231.47159226056664</v>
      </c>
      <c r="L17" s="16">
        <f t="shared" si="0"/>
        <v>12</v>
      </c>
      <c r="M17" s="230">
        <f t="shared" si="1"/>
        <v>11</v>
      </c>
      <c r="N17" s="159">
        <f t="shared" si="2"/>
        <v>7</v>
      </c>
      <c r="O17" s="159">
        <f t="shared" si="3"/>
        <v>5</v>
      </c>
      <c r="P17" s="15">
        <v>0</v>
      </c>
      <c r="Q17" s="15">
        <v>0.33333333333333331</v>
      </c>
      <c r="R17">
        <v>-27</v>
      </c>
      <c r="S17" t="e" vm="1">
        <f t="shared" si="4"/>
        <v>#VALUE!</v>
      </c>
      <c r="T17" s="14" t="e" vm="1">
        <f>Table232[[#This Row],[BDG]]/Table232[[#This Row],[Odds]]</f>
        <v>#VALUE!</v>
      </c>
      <c r="U17" s="14" t="e" cm="1" vm="2">
        <f t="array" ref="U17">MAX(_xlfn._xlws.FILTER(Table22[[B365]:[BFAIREXC]], Table22[PLAYER] = A17))</f>
        <v>#VALUE!</v>
      </c>
    </row>
    <row r="18" spans="1:21" hidden="1">
      <c r="A18" s="159" t="s">
        <v>183</v>
      </c>
      <c r="B18">
        <v>173</v>
      </c>
      <c r="C18">
        <v>28</v>
      </c>
      <c r="D18">
        <v>70</v>
      </c>
      <c r="E18">
        <v>48</v>
      </c>
      <c r="F18">
        <v>35</v>
      </c>
      <c r="G18">
        <v>65</v>
      </c>
      <c r="H18" s="137">
        <v>202.8</v>
      </c>
      <c r="I18" s="382">
        <v>296.66826580500202</v>
      </c>
      <c r="J18" s="259">
        <v>191.54234204754613</v>
      </c>
      <c r="K18" s="260">
        <v>270.9154386743304</v>
      </c>
      <c r="L18" s="16">
        <f t="shared" si="0"/>
        <v>29</v>
      </c>
      <c r="M18" s="230">
        <f t="shared" si="1"/>
        <v>26</v>
      </c>
      <c r="N18" s="159">
        <f t="shared" si="2"/>
        <v>8</v>
      </c>
      <c r="O18" s="159">
        <f t="shared" si="3"/>
        <v>15</v>
      </c>
      <c r="P18" s="15">
        <v>0</v>
      </c>
      <c r="Q18" s="15">
        <v>0.25</v>
      </c>
      <c r="R18">
        <v>-2</v>
      </c>
      <c r="S18" t="e" vm="1">
        <f t="shared" si="4"/>
        <v>#VALUE!</v>
      </c>
      <c r="T18" s="14" t="e" vm="1">
        <f>Table232[[#This Row],[BDG]]/Table232[[#This Row],[Odds]]</f>
        <v>#VALUE!</v>
      </c>
      <c r="U18" s="14" t="e" cm="1" vm="2">
        <f t="array" ref="U18">MAX(_xlfn._xlws.FILTER(Table22[[B365]:[BFAIREXC]], Table22[PLAYER] = A18))</f>
        <v>#VALUE!</v>
      </c>
    </row>
    <row r="19" spans="1:21" hidden="1">
      <c r="A19" s="159" t="s">
        <v>152</v>
      </c>
      <c r="B19">
        <v>129</v>
      </c>
      <c r="C19">
        <v>1</v>
      </c>
      <c r="D19">
        <v>23</v>
      </c>
      <c r="E19">
        <v>100</v>
      </c>
      <c r="F19">
        <v>125</v>
      </c>
      <c r="G19">
        <v>45</v>
      </c>
      <c r="H19" s="137">
        <v>184.09999999999997</v>
      </c>
      <c r="I19" s="382">
        <v>273.26217226537432</v>
      </c>
      <c r="J19" s="259">
        <v>194.18040896535274</v>
      </c>
      <c r="K19" s="260">
        <v>282.90366835085911</v>
      </c>
      <c r="L19" s="16">
        <f t="shared" si="0"/>
        <v>14</v>
      </c>
      <c r="M19" s="230">
        <f t="shared" si="1"/>
        <v>19</v>
      </c>
      <c r="N19" s="159">
        <f t="shared" si="2"/>
        <v>9</v>
      </c>
      <c r="O19" s="159">
        <f t="shared" si="3"/>
        <v>18</v>
      </c>
      <c r="P19" s="15">
        <v>0</v>
      </c>
      <c r="Q19" s="15">
        <v>0</v>
      </c>
      <c r="R19">
        <v>44</v>
      </c>
      <c r="S19" t="e" vm="1">
        <f t="shared" si="4"/>
        <v>#VALUE!</v>
      </c>
      <c r="T19" s="14">
        <f>Table232[[#This Row],[BDG]]/Table232[[#This Row],[Odds]]</f>
        <v>43.833049427844863</v>
      </c>
      <c r="U19" s="14" cm="1">
        <f t="array" ref="U19">MAX(_xlfn._xlws.FILTER(Table22[[B365]:[BFAIREXC]], Table22[PLAYER] = A19))</f>
        <v>4.43</v>
      </c>
    </row>
    <row r="20" spans="1:21" hidden="1">
      <c r="A20" s="159" t="s">
        <v>493</v>
      </c>
      <c r="B20">
        <v>44</v>
      </c>
      <c r="C20">
        <v>144</v>
      </c>
      <c r="D20">
        <v>25</v>
      </c>
      <c r="E20">
        <v>16</v>
      </c>
      <c r="F20">
        <v>144</v>
      </c>
      <c r="G20">
        <v>102</v>
      </c>
      <c r="H20" s="137">
        <v>194.29999999999998</v>
      </c>
      <c r="I20" s="382">
        <v>307.88058713337904</v>
      </c>
      <c r="J20" s="259">
        <v>194.29999999999998</v>
      </c>
      <c r="K20" s="260">
        <v>307.88058713337904</v>
      </c>
      <c r="L20" s="16">
        <f t="shared" si="0"/>
        <v>20</v>
      </c>
      <c r="M20" s="230">
        <f t="shared" si="1"/>
        <v>33</v>
      </c>
      <c r="N20" s="159">
        <f t="shared" si="2"/>
        <v>10</v>
      </c>
      <c r="O20" s="159">
        <f t="shared" si="3"/>
        <v>26</v>
      </c>
      <c r="P20" s="15">
        <v>0</v>
      </c>
      <c r="Q20" s="15">
        <v>0</v>
      </c>
      <c r="R20">
        <v>37</v>
      </c>
      <c r="S20" t="e" vm="1">
        <f t="shared" si="4"/>
        <v>#VALUE!</v>
      </c>
      <c r="T20" s="14">
        <f>Table232[[#This Row],[BDG]]/Table232[[#This Row],[Odds]]</f>
        <v>27.757142857142856</v>
      </c>
      <c r="U20" s="14" cm="1">
        <f t="array" ref="U20">MAX(_xlfn._xlws.FILTER(Table22[[B365]:[BFAIREXC]], Table22[PLAYER] = A20))</f>
        <v>7</v>
      </c>
    </row>
    <row r="21" spans="1:21" hidden="1">
      <c r="A21" s="159" t="s">
        <v>188</v>
      </c>
      <c r="B21">
        <v>176</v>
      </c>
      <c r="C21">
        <v>19</v>
      </c>
      <c r="D21">
        <v>126</v>
      </c>
      <c r="E21">
        <v>17</v>
      </c>
      <c r="F21">
        <v>13</v>
      </c>
      <c r="G21">
        <v>68</v>
      </c>
      <c r="H21" s="137">
        <v>217.2</v>
      </c>
      <c r="I21" s="382">
        <v>314.41840824214023</v>
      </c>
      <c r="J21" s="259">
        <v>194.4101070718616</v>
      </c>
      <c r="K21" s="260">
        <v>269.02294980504087</v>
      </c>
      <c r="L21" s="16">
        <f t="shared" si="0"/>
        <v>40</v>
      </c>
      <c r="M21" s="230">
        <f t="shared" si="1"/>
        <v>36</v>
      </c>
      <c r="N21" s="159">
        <f t="shared" si="2"/>
        <v>11</v>
      </c>
      <c r="O21" s="159">
        <f t="shared" si="3"/>
        <v>14</v>
      </c>
      <c r="P21" s="15">
        <v>0</v>
      </c>
      <c r="Q21" s="15">
        <v>0.125</v>
      </c>
      <c r="R21">
        <v>-11</v>
      </c>
      <c r="S21" t="e" vm="1">
        <f t="shared" si="4"/>
        <v>#VALUE!</v>
      </c>
      <c r="T21" s="14" t="e" vm="1">
        <f>Table232[[#This Row],[BDG]]/Table232[[#This Row],[Odds]]</f>
        <v>#VALUE!</v>
      </c>
      <c r="U21" s="14" t="e" cm="1" vm="2">
        <f t="array" ref="U21">MAX(_xlfn._xlws.FILTER(Table22[[B365]:[BFAIREXC]], Table22[PLAYER] = A21))</f>
        <v>#VALUE!</v>
      </c>
    </row>
    <row r="22" spans="1:21" hidden="1">
      <c r="A22" s="159" t="s">
        <v>497</v>
      </c>
      <c r="B22">
        <v>43</v>
      </c>
      <c r="C22">
        <v>148</v>
      </c>
      <c r="D22">
        <v>20</v>
      </c>
      <c r="E22">
        <v>33</v>
      </c>
      <c r="F22">
        <v>134</v>
      </c>
      <c r="G22">
        <v>42</v>
      </c>
      <c r="H22" s="137">
        <v>195.39999999999998</v>
      </c>
      <c r="I22" s="382">
        <v>250.15280119188708</v>
      </c>
      <c r="J22" s="259">
        <v>195.39999999999998</v>
      </c>
      <c r="K22" s="260">
        <v>250.15280119188708</v>
      </c>
      <c r="L22" s="16">
        <f t="shared" si="0"/>
        <v>21</v>
      </c>
      <c r="M22" s="230">
        <f t="shared" si="1"/>
        <v>17</v>
      </c>
      <c r="N22" s="159">
        <f t="shared" si="2"/>
        <v>12</v>
      </c>
      <c r="O22" s="159">
        <f t="shared" si="3"/>
        <v>7</v>
      </c>
      <c r="P22" s="15">
        <v>0</v>
      </c>
      <c r="Q22" s="15">
        <v>0</v>
      </c>
      <c r="R22">
        <v>24</v>
      </c>
      <c r="S22" t="e" vm="1">
        <f t="shared" si="4"/>
        <v>#VALUE!</v>
      </c>
      <c r="T22" s="14">
        <f>Table232[[#This Row],[BDG]]/Table232[[#This Row],[Odds]]</f>
        <v>17.763636363636362</v>
      </c>
      <c r="U22" s="14" cm="1">
        <f t="array" ref="U22">MAX(_xlfn._xlws.FILTER(Table22[[B365]:[BFAIREXC]], Table22[PLAYER] = A22))</f>
        <v>11</v>
      </c>
    </row>
    <row r="23" spans="1:21" hidden="1">
      <c r="A23" s="159" t="s">
        <v>241</v>
      </c>
      <c r="B23">
        <v>18</v>
      </c>
      <c r="C23">
        <v>58</v>
      </c>
      <c r="D23">
        <v>27</v>
      </c>
      <c r="E23">
        <v>163</v>
      </c>
      <c r="F23">
        <v>171</v>
      </c>
      <c r="G23">
        <v>132</v>
      </c>
      <c r="H23" s="137">
        <v>198.1</v>
      </c>
      <c r="I23" s="382">
        <v>383.2316109814135</v>
      </c>
      <c r="J23" s="259">
        <v>198.1</v>
      </c>
      <c r="K23" s="260">
        <v>383.2316109814135</v>
      </c>
      <c r="L23" s="16">
        <f t="shared" si="0"/>
        <v>25</v>
      </c>
      <c r="M23" s="230">
        <f t="shared" si="1"/>
        <v>65</v>
      </c>
      <c r="N23" s="159">
        <f t="shared" si="2"/>
        <v>13</v>
      </c>
      <c r="O23" s="159">
        <f t="shared" si="3"/>
        <v>65</v>
      </c>
      <c r="P23" s="15">
        <v>0</v>
      </c>
      <c r="Q23" s="15">
        <v>0</v>
      </c>
      <c r="R23">
        <v>-10</v>
      </c>
      <c r="S23" t="e" vm="1">
        <f t="shared" si="4"/>
        <v>#VALUE!</v>
      </c>
      <c r="T23" s="14">
        <f>Table232[[#This Row],[BDG]]/Table232[[#This Row],[Odds]]</f>
        <v>26.413333333333334</v>
      </c>
      <c r="U23" s="14" cm="1">
        <f t="array" ref="U23">MAX(_xlfn._xlws.FILTER(Table22[[B365]:[BFAIREXC]], Table22[PLAYER] = A23))</f>
        <v>7.5</v>
      </c>
    </row>
    <row r="24" spans="1:21" hidden="1">
      <c r="A24" s="159" t="s">
        <v>433</v>
      </c>
      <c r="B24">
        <v>153</v>
      </c>
      <c r="C24">
        <v>14</v>
      </c>
      <c r="D24">
        <v>106</v>
      </c>
      <c r="E24">
        <v>36</v>
      </c>
      <c r="F24">
        <v>26</v>
      </c>
      <c r="G24">
        <v>19</v>
      </c>
      <c r="H24" s="137">
        <v>199.2</v>
      </c>
      <c r="I24" s="382">
        <v>249.47228908202626</v>
      </c>
      <c r="J24" s="259">
        <v>199.2</v>
      </c>
      <c r="K24" s="260">
        <v>249.47228908202626</v>
      </c>
      <c r="L24" s="16">
        <f t="shared" si="0"/>
        <v>27</v>
      </c>
      <c r="M24" s="230">
        <f t="shared" si="1"/>
        <v>16</v>
      </c>
      <c r="N24" s="159">
        <f t="shared" si="2"/>
        <v>14</v>
      </c>
      <c r="O24" s="159">
        <f t="shared" si="3"/>
        <v>6</v>
      </c>
      <c r="P24" s="15">
        <v>0</v>
      </c>
      <c r="Q24" s="15">
        <v>0</v>
      </c>
      <c r="R24">
        <v>25</v>
      </c>
      <c r="S24" t="e" vm="1">
        <f t="shared" si="4"/>
        <v>#VALUE!</v>
      </c>
      <c r="T24" s="14">
        <f>Table232[[#This Row],[BDG]]/Table232[[#This Row],[Odds]]</f>
        <v>19.339805825242717</v>
      </c>
      <c r="U24" s="14" cm="1">
        <f t="array" ref="U24">MAX(_xlfn._xlws.FILTER(Table22[[B365]:[BFAIREXC]], Table22[PLAYER] = A24))</f>
        <v>10.3</v>
      </c>
    </row>
    <row r="25" spans="1:21" hidden="1">
      <c r="A25" s="159" t="s">
        <v>114</v>
      </c>
      <c r="B25">
        <v>120</v>
      </c>
      <c r="C25">
        <v>69</v>
      </c>
      <c r="D25">
        <v>68</v>
      </c>
      <c r="E25">
        <v>113</v>
      </c>
      <c r="F25">
        <v>23</v>
      </c>
      <c r="G25">
        <v>57</v>
      </c>
      <c r="H25" s="137">
        <v>215.39999999999998</v>
      </c>
      <c r="I25" s="382">
        <v>306.85838026447027</v>
      </c>
      <c r="J25" s="259">
        <v>202.58068522792217</v>
      </c>
      <c r="K25" s="260">
        <v>253.20703580992239</v>
      </c>
      <c r="L25" s="16">
        <f t="shared" si="0"/>
        <v>37</v>
      </c>
      <c r="M25" s="230">
        <f t="shared" si="1"/>
        <v>32</v>
      </c>
      <c r="N25" s="159">
        <f t="shared" si="2"/>
        <v>15</v>
      </c>
      <c r="O25" s="159">
        <f t="shared" si="3"/>
        <v>9</v>
      </c>
      <c r="P25" s="15">
        <v>0</v>
      </c>
      <c r="Q25" s="15">
        <v>0.1</v>
      </c>
      <c r="R25">
        <v>-23</v>
      </c>
      <c r="S25" t="e" vm="1">
        <f t="shared" si="4"/>
        <v>#VALUE!</v>
      </c>
      <c r="T25" s="14" t="e" vm="1">
        <f>Table232[[#This Row],[BDG]]/Table232[[#This Row],[Odds]]</f>
        <v>#VALUE!</v>
      </c>
      <c r="U25" s="14" t="e" cm="1" vm="2">
        <f t="array" ref="U25">MAX(_xlfn._xlws.FILTER(Table22[[B365]:[BFAIREXC]], Table22[PLAYER] = A25))</f>
        <v>#VALUE!</v>
      </c>
    </row>
    <row r="26" spans="1:21" hidden="1">
      <c r="A26" s="159" t="s">
        <v>27</v>
      </c>
      <c r="B26">
        <v>32</v>
      </c>
      <c r="C26">
        <v>79</v>
      </c>
      <c r="D26">
        <v>62</v>
      </c>
      <c r="E26">
        <v>141</v>
      </c>
      <c r="F26">
        <v>18</v>
      </c>
      <c r="G26">
        <v>20</v>
      </c>
      <c r="H26" s="137">
        <v>173.6</v>
      </c>
      <c r="I26" s="382">
        <v>227.82362186415119</v>
      </c>
      <c r="J26" s="259">
        <v>204.23764747334747</v>
      </c>
      <c r="K26" s="260">
        <v>260.95015956955461</v>
      </c>
      <c r="L26" s="16">
        <f t="shared" si="0"/>
        <v>8</v>
      </c>
      <c r="M26" s="230">
        <f t="shared" si="1"/>
        <v>10</v>
      </c>
      <c r="N26" s="159">
        <f t="shared" si="2"/>
        <v>16</v>
      </c>
      <c r="O26" s="159">
        <f t="shared" si="3"/>
        <v>11</v>
      </c>
      <c r="P26" s="15">
        <v>0</v>
      </c>
      <c r="Q26" s="15">
        <v>0.5714285714285714</v>
      </c>
      <c r="R26">
        <v>-8</v>
      </c>
      <c r="S26" t="e" vm="1">
        <f t="shared" si="4"/>
        <v>#VALUE!</v>
      </c>
      <c r="T26" s="14" t="e" vm="1">
        <f>Table232[[#This Row],[BDG]]/Table232[[#This Row],[Odds]]</f>
        <v>#VALUE!</v>
      </c>
      <c r="U26" s="14" t="e" cm="1" vm="2">
        <f t="array" ref="U26">MAX(_xlfn._xlws.FILTER(Table22[[B365]:[BFAIREXC]], Table22[PLAYER] = A26))</f>
        <v>#VALUE!</v>
      </c>
    </row>
    <row r="27" spans="1:21" hidden="1">
      <c r="A27" s="159" t="s">
        <v>795</v>
      </c>
      <c r="B27">
        <v>94</v>
      </c>
      <c r="C27">
        <v>121</v>
      </c>
      <c r="D27">
        <v>32</v>
      </c>
      <c r="E27">
        <v>16</v>
      </c>
      <c r="F27">
        <v>10</v>
      </c>
      <c r="G27">
        <v>5</v>
      </c>
      <c r="H27" s="137">
        <v>161.80000000000001</v>
      </c>
      <c r="I27" s="382">
        <v>167.93033931433499</v>
      </c>
      <c r="J27" s="259">
        <v>206.20940129475639</v>
      </c>
      <c r="K27" s="260">
        <v>264.18261437134004</v>
      </c>
      <c r="L27" s="16">
        <f t="shared" si="0"/>
        <v>5</v>
      </c>
      <c r="M27" s="230">
        <f t="shared" si="1"/>
        <v>3</v>
      </c>
      <c r="N27" s="159">
        <f t="shared" si="2"/>
        <v>17</v>
      </c>
      <c r="O27" s="159">
        <f t="shared" si="3"/>
        <v>12</v>
      </c>
      <c r="P27" s="15">
        <v>0</v>
      </c>
      <c r="Q27" s="15">
        <v>0</v>
      </c>
      <c r="R27" t="e">
        <v>#N/A</v>
      </c>
      <c r="S27" t="e" vm="1">
        <f t="shared" si="4"/>
        <v>#VALUE!</v>
      </c>
      <c r="T27" s="14" t="e" vm="1">
        <f>Table232[[#This Row],[BDG]]/Table232[[#This Row],[Odds]]</f>
        <v>#VALUE!</v>
      </c>
      <c r="U27" s="14" t="e" cm="1" vm="2">
        <f t="array" ref="U27">MAX(_xlfn._xlws.FILTER(Table22[[B365]:[BFAIREXC]], Table22[PLAYER] = A27))</f>
        <v>#VALUE!</v>
      </c>
    </row>
    <row r="28" spans="1:21" hidden="1">
      <c r="A28" s="159" t="s">
        <v>100</v>
      </c>
      <c r="B28">
        <v>74</v>
      </c>
      <c r="C28">
        <v>88</v>
      </c>
      <c r="D28">
        <v>22</v>
      </c>
      <c r="E28">
        <v>6</v>
      </c>
      <c r="F28">
        <v>86</v>
      </c>
      <c r="G28">
        <v>14</v>
      </c>
      <c r="H28" s="137">
        <v>149.4</v>
      </c>
      <c r="I28" s="382">
        <v>172.37910730091369</v>
      </c>
      <c r="J28" s="259">
        <v>206.31466859651425</v>
      </c>
      <c r="K28" s="260">
        <v>274.31958779859917</v>
      </c>
      <c r="L28" s="16">
        <f t="shared" si="0"/>
        <v>3</v>
      </c>
      <c r="M28" s="230">
        <f t="shared" si="1"/>
        <v>4</v>
      </c>
      <c r="N28" s="159">
        <f t="shared" si="2"/>
        <v>18</v>
      </c>
      <c r="O28" s="159">
        <f t="shared" si="3"/>
        <v>17</v>
      </c>
      <c r="P28" s="15">
        <v>0</v>
      </c>
      <c r="Q28" s="15">
        <v>0.42857142857142855</v>
      </c>
      <c r="R28">
        <v>27</v>
      </c>
      <c r="S28" t="e" vm="1">
        <f t="shared" si="4"/>
        <v>#VALUE!</v>
      </c>
      <c r="T28" s="14" t="e" vm="1">
        <f>Table232[[#This Row],[BDG]]/Table232[[#This Row],[Odds]]</f>
        <v>#VALUE!</v>
      </c>
      <c r="U28" s="14" t="e" cm="1" vm="2">
        <f t="array" ref="U28">MAX(_xlfn._xlws.FILTER(Table22[[B365]:[BFAIREXC]], Table22[PLAYER] = A28))</f>
        <v>#VALUE!</v>
      </c>
    </row>
    <row r="29" spans="1:21" hidden="1">
      <c r="A29" s="159" t="s">
        <v>154</v>
      </c>
      <c r="B29">
        <v>143</v>
      </c>
      <c r="C29">
        <v>51</v>
      </c>
      <c r="D29">
        <v>46</v>
      </c>
      <c r="E29">
        <v>47</v>
      </c>
      <c r="F29">
        <v>22</v>
      </c>
      <c r="G29">
        <v>13</v>
      </c>
      <c r="H29" s="137">
        <v>176.20000000000002</v>
      </c>
      <c r="I29" s="382">
        <v>209.23069200085314</v>
      </c>
      <c r="J29" s="259">
        <v>206.83764747334749</v>
      </c>
      <c r="K29" s="260">
        <v>272.09815090802545</v>
      </c>
      <c r="L29" s="16">
        <f t="shared" si="0"/>
        <v>11</v>
      </c>
      <c r="M29" s="230">
        <f t="shared" si="1"/>
        <v>7</v>
      </c>
      <c r="N29" s="159">
        <f t="shared" si="2"/>
        <v>19</v>
      </c>
      <c r="O29" s="159">
        <f t="shared" si="3"/>
        <v>16</v>
      </c>
      <c r="P29" s="15">
        <v>0</v>
      </c>
      <c r="Q29" s="15">
        <v>0.14285714285714285</v>
      </c>
      <c r="R29">
        <v>37</v>
      </c>
      <c r="S29" t="e" vm="1">
        <f t="shared" si="4"/>
        <v>#VALUE!</v>
      </c>
      <c r="T29" s="14" t="e" vm="1">
        <f>Table232[[#This Row],[BDG]]/Table232[[#This Row],[Odds]]</f>
        <v>#VALUE!</v>
      </c>
      <c r="U29" s="14" t="e" cm="1" vm="2">
        <f t="array" ref="U29">MAX(_xlfn._xlws.FILTER(Table22[[B365]:[BFAIREXC]], Table22[PLAYER] = A29))</f>
        <v>#VALUE!</v>
      </c>
    </row>
    <row r="30" spans="1:21" hidden="1">
      <c r="A30" s="159" t="s">
        <v>145</v>
      </c>
      <c r="B30">
        <v>166</v>
      </c>
      <c r="C30">
        <v>18</v>
      </c>
      <c r="D30">
        <v>10</v>
      </c>
      <c r="E30">
        <v>23</v>
      </c>
      <c r="F30">
        <v>161</v>
      </c>
      <c r="G30">
        <v>76</v>
      </c>
      <c r="H30" s="137">
        <v>191</v>
      </c>
      <c r="I30" s="382">
        <v>297.25861221340386</v>
      </c>
      <c r="J30" s="259">
        <v>208.49913691176411</v>
      </c>
      <c r="K30" s="260">
        <v>322.15530306921266</v>
      </c>
      <c r="L30" s="16">
        <f t="shared" si="0"/>
        <v>17</v>
      </c>
      <c r="M30" s="230">
        <f t="shared" si="1"/>
        <v>27</v>
      </c>
      <c r="N30" s="159">
        <f t="shared" si="2"/>
        <v>20</v>
      </c>
      <c r="O30" s="159">
        <f t="shared" si="3"/>
        <v>34</v>
      </c>
      <c r="P30" s="15">
        <v>0</v>
      </c>
      <c r="Q30" s="15">
        <v>0</v>
      </c>
      <c r="R30">
        <v>9</v>
      </c>
      <c r="S30" t="e" vm="1">
        <f t="shared" si="4"/>
        <v>#VALUE!</v>
      </c>
      <c r="T30" s="14" t="e" vm="1">
        <f>Table232[[#This Row],[BDG]]/Table232[[#This Row],[Odds]]</f>
        <v>#VALUE!</v>
      </c>
      <c r="U30" s="14" t="e" cm="1" vm="2">
        <f t="array" ref="U30">MAX(_xlfn._xlws.FILTER(Table22[[B365]:[BFAIREXC]], Table22[PLAYER] = A30))</f>
        <v>#VALUE!</v>
      </c>
    </row>
    <row r="31" spans="1:21" hidden="1">
      <c r="A31" s="159" t="s">
        <v>76</v>
      </c>
      <c r="B31">
        <v>72</v>
      </c>
      <c r="C31">
        <v>104</v>
      </c>
      <c r="D31">
        <v>118</v>
      </c>
      <c r="E31">
        <v>14</v>
      </c>
      <c r="F31">
        <v>9</v>
      </c>
      <c r="G31">
        <v>9</v>
      </c>
      <c r="H31" s="137">
        <v>197.39999999999998</v>
      </c>
      <c r="I31" s="382">
        <v>220.66186306088571</v>
      </c>
      <c r="J31" s="259">
        <v>210.06143298372024</v>
      </c>
      <c r="K31" s="260">
        <v>250.79705493830591</v>
      </c>
      <c r="L31" s="16">
        <f t="shared" si="0"/>
        <v>23</v>
      </c>
      <c r="M31" s="230">
        <f t="shared" si="1"/>
        <v>9</v>
      </c>
      <c r="N31" s="159">
        <f t="shared" si="2"/>
        <v>21</v>
      </c>
      <c r="O31" s="159">
        <f t="shared" si="3"/>
        <v>8</v>
      </c>
      <c r="P31" s="15">
        <v>0</v>
      </c>
      <c r="Q31" s="15">
        <v>0.33333333333333331</v>
      </c>
      <c r="R31">
        <v>-2</v>
      </c>
      <c r="S31" t="e" vm="1">
        <f t="shared" si="4"/>
        <v>#VALUE!</v>
      </c>
      <c r="T31" s="14" t="e" vm="1">
        <f>Table232[[#This Row],[BDG]]/Table232[[#This Row],[Odds]]</f>
        <v>#VALUE!</v>
      </c>
      <c r="U31" s="14" t="e" cm="1" vm="2">
        <f t="array" ref="U31">MAX(_xlfn._xlws.FILTER(Table22[[B365]:[BFAIREXC]], Table22[PLAYER] = A31))</f>
        <v>#VALUE!</v>
      </c>
    </row>
    <row r="32" spans="1:21" hidden="1">
      <c r="A32" s="159" t="s">
        <v>118</v>
      </c>
      <c r="B32">
        <v>117</v>
      </c>
      <c r="C32">
        <v>34</v>
      </c>
      <c r="D32">
        <v>72</v>
      </c>
      <c r="E32">
        <v>60</v>
      </c>
      <c r="F32">
        <v>82</v>
      </c>
      <c r="G32">
        <v>63</v>
      </c>
      <c r="H32" s="137">
        <v>197.8</v>
      </c>
      <c r="I32" s="382">
        <v>295.13741890466855</v>
      </c>
      <c r="J32" s="259">
        <v>211.33493113887255</v>
      </c>
      <c r="K32" s="260">
        <v>300.40452644962124</v>
      </c>
      <c r="L32" s="16">
        <f t="shared" si="0"/>
        <v>24</v>
      </c>
      <c r="M32" s="230">
        <f t="shared" si="1"/>
        <v>24</v>
      </c>
      <c r="N32" s="159">
        <f t="shared" si="2"/>
        <v>22</v>
      </c>
      <c r="O32" s="159">
        <f t="shared" si="3"/>
        <v>21</v>
      </c>
      <c r="P32" s="15">
        <v>0</v>
      </c>
      <c r="Q32" s="15">
        <v>0</v>
      </c>
      <c r="R32">
        <v>2</v>
      </c>
      <c r="S32" t="e" vm="1">
        <f t="shared" si="4"/>
        <v>#VALUE!</v>
      </c>
      <c r="T32" s="14" t="e" vm="1">
        <f>Table232[[#This Row],[BDG]]/Table232[[#This Row],[Odds]]</f>
        <v>#VALUE!</v>
      </c>
      <c r="U32" s="14" t="e" cm="1" vm="2">
        <f t="array" ref="U32">MAX(_xlfn._xlws.FILTER(Table22[[B365]:[BFAIREXC]], Table22[PLAYER] = A32))</f>
        <v>#VALUE!</v>
      </c>
    </row>
    <row r="33" spans="1:21" hidden="1">
      <c r="A33" s="159" t="s">
        <v>370</v>
      </c>
      <c r="B33">
        <v>111</v>
      </c>
      <c r="C33">
        <v>36</v>
      </c>
      <c r="D33">
        <v>73</v>
      </c>
      <c r="E33">
        <v>132</v>
      </c>
      <c r="F33">
        <v>75</v>
      </c>
      <c r="G33">
        <v>48</v>
      </c>
      <c r="H33" s="137">
        <v>222.1</v>
      </c>
      <c r="I33" s="382">
        <v>318.30428988698736</v>
      </c>
      <c r="J33" s="259">
        <v>212.81243218922552</v>
      </c>
      <c r="K33" s="260">
        <v>328.61652901218122</v>
      </c>
      <c r="L33" s="16">
        <f t="shared" si="0"/>
        <v>45</v>
      </c>
      <c r="M33" s="230">
        <f t="shared" si="1"/>
        <v>38</v>
      </c>
      <c r="N33" s="159">
        <f t="shared" si="2"/>
        <v>23</v>
      </c>
      <c r="O33" s="159">
        <f t="shared" si="3"/>
        <v>39</v>
      </c>
      <c r="P33" s="15">
        <v>0</v>
      </c>
      <c r="Q33" s="15">
        <v>0</v>
      </c>
      <c r="R33">
        <v>-18</v>
      </c>
      <c r="S33" t="e" vm="1">
        <f t="shared" si="4"/>
        <v>#VALUE!</v>
      </c>
      <c r="T33" s="14" t="e" vm="1">
        <f>Table232[[#This Row],[BDG]]/Table232[[#This Row],[Odds]]</f>
        <v>#VALUE!</v>
      </c>
      <c r="U33" s="14" t="e" cm="1" vm="2">
        <f t="array" ref="U33">MAX(_xlfn._xlws.FILTER(Table22[[B365]:[BFAIREXC]], Table22[PLAYER] = A33))</f>
        <v>#VALUE!</v>
      </c>
    </row>
    <row r="34" spans="1:21" hidden="1">
      <c r="A34" s="159" t="s">
        <v>14</v>
      </c>
      <c r="B34">
        <v>31</v>
      </c>
      <c r="C34">
        <v>65</v>
      </c>
      <c r="D34">
        <v>33</v>
      </c>
      <c r="E34">
        <v>103</v>
      </c>
      <c r="F34">
        <v>131</v>
      </c>
      <c r="G34">
        <v>33</v>
      </c>
      <c r="H34" s="137">
        <v>174.3</v>
      </c>
      <c r="I34" s="382">
        <v>243.95612571447333</v>
      </c>
      <c r="J34" s="259">
        <v>213.63315857778099</v>
      </c>
      <c r="K34" s="260">
        <v>312.34328442319577</v>
      </c>
      <c r="L34" s="16">
        <f t="shared" ref="L34:L65" si="5">RANK(H34,$H$2:$H$143,1)</f>
        <v>9</v>
      </c>
      <c r="M34" s="230">
        <f t="shared" ref="M34:M65" si="6">RANK(I34,$I$2:$I$143,1)</f>
        <v>15</v>
      </c>
      <c r="N34" s="159">
        <f t="shared" ref="N34:N65" si="7">RANK(J34,$J$2:$J$143,1)</f>
        <v>24</v>
      </c>
      <c r="O34" s="159">
        <f t="shared" ref="O34:O65" si="8">RANK(K34,$K$2:$K$143,1)</f>
        <v>28</v>
      </c>
      <c r="P34" s="15">
        <v>0</v>
      </c>
      <c r="Q34" s="15">
        <v>0.25</v>
      </c>
      <c r="R34">
        <v>-2</v>
      </c>
      <c r="S34" t="e" vm="1">
        <f t="shared" ref="S34:S65" si="9">RANK(U34,$U$2:$U$143,0)</f>
        <v>#VALUE!</v>
      </c>
      <c r="T34" s="14" t="e" vm="1">
        <f>Table232[[#This Row],[BDG]]/Table232[[#This Row],[Odds]]</f>
        <v>#VALUE!</v>
      </c>
      <c r="U34" s="14" t="e" cm="1" vm="2">
        <f t="array" ref="U34">MAX(_xlfn._xlws.FILTER(Table22[[B365]:[BFAIREXC]], Table22[PLAYER] = A34))</f>
        <v>#VALUE!</v>
      </c>
    </row>
    <row r="35" spans="1:21" hidden="1">
      <c r="A35" s="159" t="s">
        <v>235</v>
      </c>
      <c r="B35">
        <v>109</v>
      </c>
      <c r="C35">
        <v>85</v>
      </c>
      <c r="D35">
        <v>54</v>
      </c>
      <c r="E35">
        <v>12</v>
      </c>
      <c r="F35">
        <v>137</v>
      </c>
      <c r="G35">
        <v>97</v>
      </c>
      <c r="H35" s="137">
        <v>213.8</v>
      </c>
      <c r="I35" s="382">
        <v>333.56024284511386</v>
      </c>
      <c r="J35" s="259">
        <v>213.8</v>
      </c>
      <c r="K35" s="260">
        <v>333.56024284511386</v>
      </c>
      <c r="L35" s="16">
        <f t="shared" si="5"/>
        <v>34</v>
      </c>
      <c r="M35" s="230">
        <f t="shared" si="6"/>
        <v>43</v>
      </c>
      <c r="N35" s="159">
        <f t="shared" si="7"/>
        <v>25</v>
      </c>
      <c r="O35" s="159">
        <f t="shared" si="8"/>
        <v>41</v>
      </c>
      <c r="P35" s="15">
        <v>0</v>
      </c>
      <c r="Q35" s="15">
        <v>0.25</v>
      </c>
      <c r="R35">
        <v>-36</v>
      </c>
      <c r="S35" t="e" vm="1">
        <f t="shared" si="9"/>
        <v>#VALUE!</v>
      </c>
      <c r="T35" s="14" t="e" vm="1">
        <f>Table232[[#This Row],[BDG]]/Table232[[#This Row],[Odds]]</f>
        <v>#VALUE!</v>
      </c>
      <c r="U35" s="14" t="e" cm="1" vm="2">
        <f t="array" ref="U35">MAX(_xlfn._xlws.FILTER(Table22[[B365]:[BFAIREXC]], Table22[PLAYER] = A35))</f>
        <v>#VALUE!</v>
      </c>
    </row>
    <row r="36" spans="1:21" hidden="1">
      <c r="A36" s="159" t="s">
        <v>485</v>
      </c>
      <c r="B36">
        <v>20</v>
      </c>
      <c r="C36">
        <v>97</v>
      </c>
      <c r="D36">
        <v>17</v>
      </c>
      <c r="E36">
        <v>153</v>
      </c>
      <c r="F36">
        <v>178</v>
      </c>
      <c r="G36">
        <v>153</v>
      </c>
      <c r="H36" s="137">
        <v>214.5</v>
      </c>
      <c r="I36" s="382">
        <v>414.09350346116167</v>
      </c>
      <c r="J36" s="259">
        <v>214.5</v>
      </c>
      <c r="K36" s="260">
        <v>414.09350346116167</v>
      </c>
      <c r="L36" s="16">
        <f t="shared" si="5"/>
        <v>35</v>
      </c>
      <c r="M36" s="230">
        <f t="shared" si="6"/>
        <v>78</v>
      </c>
      <c r="N36" s="159">
        <f t="shared" si="7"/>
        <v>26</v>
      </c>
      <c r="O36" s="159">
        <f t="shared" si="8"/>
        <v>84</v>
      </c>
      <c r="P36" s="15">
        <v>0</v>
      </c>
      <c r="Q36" s="15">
        <v>0</v>
      </c>
      <c r="R36">
        <v>30</v>
      </c>
      <c r="S36" t="e" vm="1">
        <f t="shared" si="9"/>
        <v>#VALUE!</v>
      </c>
      <c r="T36" s="14">
        <f>Table232[[#This Row],[BDG]]/Table232[[#This Row],[Odds]]</f>
        <v>23.727876106194692</v>
      </c>
      <c r="U36" s="14" cm="1">
        <f t="array" ref="U36">MAX(_xlfn._xlws.FILTER(Table22[[B365]:[BFAIREXC]], Table22[PLAYER] = A36))</f>
        <v>9.0399999999999991</v>
      </c>
    </row>
    <row r="37" spans="1:21" hidden="1">
      <c r="A37" s="159" t="s">
        <v>158</v>
      </c>
      <c r="B37">
        <v>140</v>
      </c>
      <c r="C37">
        <v>98</v>
      </c>
      <c r="D37">
        <v>9</v>
      </c>
      <c r="E37">
        <v>117</v>
      </c>
      <c r="F37">
        <v>11</v>
      </c>
      <c r="G37">
        <v>16</v>
      </c>
      <c r="H37" s="137">
        <v>200.30000000000004</v>
      </c>
      <c r="I37" s="382">
        <v>239.2799973149269</v>
      </c>
      <c r="J37" s="259">
        <v>214.74275142192866</v>
      </c>
      <c r="K37" s="260">
        <v>266.6519645468972</v>
      </c>
      <c r="L37" s="16">
        <f t="shared" si="5"/>
        <v>28</v>
      </c>
      <c r="M37" s="230">
        <f t="shared" si="6"/>
        <v>14</v>
      </c>
      <c r="N37" s="159">
        <f t="shared" si="7"/>
        <v>27</v>
      </c>
      <c r="O37" s="159">
        <f t="shared" si="8"/>
        <v>13</v>
      </c>
      <c r="P37" s="15">
        <v>0.125</v>
      </c>
      <c r="Q37" s="15">
        <v>0.25</v>
      </c>
      <c r="R37">
        <v>2</v>
      </c>
      <c r="S37" t="e" vm="1">
        <f t="shared" si="9"/>
        <v>#VALUE!</v>
      </c>
      <c r="T37" s="14" t="e" vm="1">
        <f>Table232[[#This Row],[BDG]]/Table232[[#This Row],[Odds]]</f>
        <v>#VALUE!</v>
      </c>
      <c r="U37" s="14" t="e" cm="1" vm="2">
        <f t="array" ref="U37">MAX(_xlfn._xlws.FILTER(Table22[[B365]:[BFAIREXC]], Table22[PLAYER] = A37))</f>
        <v>#VALUE!</v>
      </c>
    </row>
    <row r="38" spans="1:21" hidden="1">
      <c r="A38" s="159" t="s">
        <v>28</v>
      </c>
      <c r="B38">
        <v>54</v>
      </c>
      <c r="C38">
        <v>108</v>
      </c>
      <c r="D38">
        <v>28</v>
      </c>
      <c r="E38">
        <v>45</v>
      </c>
      <c r="F38">
        <v>41</v>
      </c>
      <c r="G38">
        <v>46</v>
      </c>
      <c r="H38" s="137">
        <v>151.19999999999999</v>
      </c>
      <c r="I38" s="382">
        <v>207.08657418733611</v>
      </c>
      <c r="J38" s="259">
        <v>216.0430801422973</v>
      </c>
      <c r="K38" s="260">
        <v>320.0041527797361</v>
      </c>
      <c r="L38" s="16">
        <f t="shared" si="5"/>
        <v>4</v>
      </c>
      <c r="M38" s="230">
        <f t="shared" si="6"/>
        <v>5</v>
      </c>
      <c r="N38" s="159">
        <f t="shared" si="7"/>
        <v>29</v>
      </c>
      <c r="O38" s="159">
        <f t="shared" si="8"/>
        <v>33</v>
      </c>
      <c r="P38" s="15">
        <v>0</v>
      </c>
      <c r="Q38" s="15">
        <v>0</v>
      </c>
      <c r="R38">
        <v>2</v>
      </c>
      <c r="S38" t="e" vm="1">
        <f t="shared" si="9"/>
        <v>#VALUE!</v>
      </c>
      <c r="T38" s="14">
        <f>Table232[[#This Row],[BDG]]/Table232[[#This Row],[Odds]]</f>
        <v>46.661572384945423</v>
      </c>
      <c r="U38" s="14" cm="1">
        <f t="array" ref="U38">MAX(_xlfn._xlws.FILTER(Table22[[B365]:[BFAIREXC]], Table22[PLAYER] = A38))</f>
        <v>4.63</v>
      </c>
    </row>
    <row r="39" spans="1:21" hidden="1">
      <c r="A39" s="159" t="s">
        <v>410</v>
      </c>
      <c r="B39">
        <v>55</v>
      </c>
      <c r="C39">
        <v>96</v>
      </c>
      <c r="D39">
        <v>89</v>
      </c>
      <c r="E39">
        <v>88</v>
      </c>
      <c r="F39">
        <v>70</v>
      </c>
      <c r="G39">
        <v>53</v>
      </c>
      <c r="H39" s="137">
        <v>216.09999999999997</v>
      </c>
      <c r="I39" s="382">
        <v>301.72243036671972</v>
      </c>
      <c r="J39" s="259">
        <v>216.09999999999997</v>
      </c>
      <c r="K39" s="260">
        <v>301.72243036671972</v>
      </c>
      <c r="L39" s="16">
        <f t="shared" si="5"/>
        <v>39</v>
      </c>
      <c r="M39" s="230">
        <f t="shared" si="6"/>
        <v>29</v>
      </c>
      <c r="N39" s="159">
        <f t="shared" si="7"/>
        <v>30</v>
      </c>
      <c r="O39" s="159">
        <f t="shared" si="8"/>
        <v>22</v>
      </c>
      <c r="P39" s="15">
        <v>0</v>
      </c>
      <c r="Q39" s="15">
        <v>0.14285714285714285</v>
      </c>
      <c r="R39">
        <v>100</v>
      </c>
      <c r="S39" t="e" vm="1">
        <f t="shared" si="9"/>
        <v>#VALUE!</v>
      </c>
      <c r="T39" s="14" t="e" vm="1">
        <f>Table232[[#This Row],[BDG]]/Table232[[#This Row],[Odds]]</f>
        <v>#VALUE!</v>
      </c>
      <c r="U39" s="14" t="e" cm="1" vm="2">
        <f t="array" ref="U39">MAX(_xlfn._xlws.FILTER(Table22[[B365]:[BFAIREXC]], Table22[PLAYER] = A39))</f>
        <v>#VALUE!</v>
      </c>
    </row>
    <row r="40" spans="1:21" hidden="1">
      <c r="A40" s="159" t="s">
        <v>56</v>
      </c>
      <c r="B40">
        <v>70</v>
      </c>
      <c r="C40">
        <v>46</v>
      </c>
      <c r="D40">
        <v>152</v>
      </c>
      <c r="E40">
        <v>32</v>
      </c>
      <c r="F40">
        <v>68</v>
      </c>
      <c r="G40">
        <v>69</v>
      </c>
      <c r="H40" s="137">
        <v>216</v>
      </c>
      <c r="I40" s="382">
        <v>320.73150102879652</v>
      </c>
      <c r="J40" s="259">
        <v>216.53199298250925</v>
      </c>
      <c r="K40" s="260">
        <v>298.94239544697666</v>
      </c>
      <c r="L40" s="16">
        <f t="shared" si="5"/>
        <v>38</v>
      </c>
      <c r="M40" s="230">
        <f t="shared" si="6"/>
        <v>39</v>
      </c>
      <c r="N40" s="159">
        <f t="shared" si="7"/>
        <v>31</v>
      </c>
      <c r="O40" s="159">
        <f t="shared" si="8"/>
        <v>19</v>
      </c>
      <c r="P40" s="15">
        <v>0</v>
      </c>
      <c r="Q40" s="15">
        <v>0</v>
      </c>
      <c r="R40">
        <v>-26</v>
      </c>
      <c r="S40" t="e" vm="1">
        <f t="shared" si="9"/>
        <v>#VALUE!</v>
      </c>
      <c r="T40" s="14" t="e" vm="1">
        <f>Table232[[#This Row],[BDG]]/Table232[[#This Row],[Odds]]</f>
        <v>#VALUE!</v>
      </c>
      <c r="U40" s="14" t="e" cm="1" vm="2">
        <f t="array" ref="U40">MAX(_xlfn._xlws.FILTER(Table22[[B365]:[BFAIREXC]], Table22[PLAYER] = A40))</f>
        <v>#VALUE!</v>
      </c>
    </row>
    <row r="41" spans="1:21" hidden="1">
      <c r="A41" s="159" t="s">
        <v>58</v>
      </c>
      <c r="B41">
        <v>74</v>
      </c>
      <c r="C41">
        <v>132</v>
      </c>
      <c r="D41">
        <v>51</v>
      </c>
      <c r="E41">
        <v>78</v>
      </c>
      <c r="F41">
        <v>148</v>
      </c>
      <c r="G41">
        <v>93</v>
      </c>
      <c r="H41" s="137">
        <v>249.7</v>
      </c>
      <c r="I41" s="382">
        <v>373.96106879897161</v>
      </c>
      <c r="J41" s="259">
        <v>218.09961683895028</v>
      </c>
      <c r="K41" s="260">
        <v>299.91386198407196</v>
      </c>
      <c r="L41" s="16">
        <f t="shared" si="5"/>
        <v>63</v>
      </c>
      <c r="M41" s="230">
        <f t="shared" si="6"/>
        <v>60</v>
      </c>
      <c r="N41" s="159">
        <f t="shared" si="7"/>
        <v>32</v>
      </c>
      <c r="O41" s="159">
        <f t="shared" si="8"/>
        <v>20</v>
      </c>
      <c r="P41" s="15">
        <v>0</v>
      </c>
      <c r="Q41" s="15">
        <v>0.14285714285714285</v>
      </c>
      <c r="R41">
        <v>-54</v>
      </c>
      <c r="S41" t="e" vm="1">
        <f t="shared" si="9"/>
        <v>#VALUE!</v>
      </c>
      <c r="T41" s="14" t="e" vm="1">
        <f>Table232[[#This Row],[BDG]]/Table232[[#This Row],[Odds]]</f>
        <v>#VALUE!</v>
      </c>
      <c r="U41" s="14" t="e" cm="1" vm="2">
        <f t="array" ref="U41">MAX(_xlfn._xlws.FILTER(Table22[[B365]:[BFAIREXC]], Table22[PLAYER] = A41))</f>
        <v>#VALUE!</v>
      </c>
    </row>
    <row r="42" spans="1:21" hidden="1">
      <c r="A42" s="159" t="s">
        <v>187</v>
      </c>
      <c r="B42">
        <v>177</v>
      </c>
      <c r="C42">
        <v>4</v>
      </c>
      <c r="D42">
        <v>45</v>
      </c>
      <c r="E42">
        <v>20</v>
      </c>
      <c r="F42">
        <v>126</v>
      </c>
      <c r="G42">
        <v>104</v>
      </c>
      <c r="H42" s="137">
        <v>198.5</v>
      </c>
      <c r="I42" s="382">
        <v>335.07973353188015</v>
      </c>
      <c r="J42" s="259">
        <v>218.6299280155921</v>
      </c>
      <c r="K42" s="260">
        <v>357.2969588056086</v>
      </c>
      <c r="L42" s="16">
        <f t="shared" si="5"/>
        <v>26</v>
      </c>
      <c r="M42" s="230">
        <f t="shared" si="6"/>
        <v>45</v>
      </c>
      <c r="N42" s="159">
        <f t="shared" si="7"/>
        <v>33</v>
      </c>
      <c r="O42" s="159">
        <f t="shared" si="8"/>
        <v>53</v>
      </c>
      <c r="P42" s="15">
        <v>0</v>
      </c>
      <c r="Q42" s="15">
        <v>0</v>
      </c>
      <c r="R42">
        <v>-4</v>
      </c>
      <c r="S42" t="e" vm="1">
        <f t="shared" si="9"/>
        <v>#VALUE!</v>
      </c>
      <c r="T42" s="14" t="e" vm="1">
        <f>Table232[[#This Row],[BDG]]/Table232[[#This Row],[Odds]]</f>
        <v>#VALUE!</v>
      </c>
      <c r="U42" s="14" t="e" cm="1" vm="2">
        <f t="array" ref="U42">MAX(_xlfn._xlws.FILTER(Table22[[B365]:[BFAIREXC]], Table22[PLAYER] = A42))</f>
        <v>#VALUE!</v>
      </c>
    </row>
    <row r="43" spans="1:21" hidden="1">
      <c r="A43" s="159" t="s">
        <v>596</v>
      </c>
      <c r="B43">
        <v>4</v>
      </c>
      <c r="C43">
        <v>178</v>
      </c>
      <c r="D43">
        <v>29</v>
      </c>
      <c r="E43">
        <v>127</v>
      </c>
      <c r="F43">
        <v>96</v>
      </c>
      <c r="G43">
        <v>74</v>
      </c>
      <c r="H43" s="137">
        <v>218.70000000000002</v>
      </c>
      <c r="I43" s="382">
        <v>317.31800156089309</v>
      </c>
      <c r="J43" s="259">
        <v>218.70000000000002</v>
      </c>
      <c r="K43" s="260">
        <v>317.31800156089309</v>
      </c>
      <c r="L43" s="16">
        <f t="shared" si="5"/>
        <v>41</v>
      </c>
      <c r="M43" s="230">
        <f t="shared" si="6"/>
        <v>37</v>
      </c>
      <c r="N43" s="159">
        <f t="shared" si="7"/>
        <v>34</v>
      </c>
      <c r="O43" s="159">
        <f t="shared" si="8"/>
        <v>32</v>
      </c>
      <c r="P43" s="15">
        <v>0</v>
      </c>
      <c r="Q43" s="15">
        <v>0</v>
      </c>
      <c r="R43">
        <v>58</v>
      </c>
      <c r="S43" t="e" vm="1">
        <f t="shared" si="9"/>
        <v>#VALUE!</v>
      </c>
      <c r="T43" s="14">
        <f>Table232[[#This Row],[BDG]]/Table232[[#This Row],[Odds]]</f>
        <v>25.729411764705883</v>
      </c>
      <c r="U43" s="14" cm="1">
        <f t="array" ref="U43">MAX(_xlfn._xlws.FILTER(Table22[[B365]:[BFAIREXC]], Table22[PLAYER] = A43))</f>
        <v>8.5</v>
      </c>
    </row>
    <row r="44" spans="1:21" hidden="1">
      <c r="A44" s="159" t="s">
        <v>495</v>
      </c>
      <c r="B44">
        <v>25</v>
      </c>
      <c r="C44">
        <v>60</v>
      </c>
      <c r="D44">
        <v>122</v>
      </c>
      <c r="E44">
        <v>131</v>
      </c>
      <c r="F44">
        <v>76</v>
      </c>
      <c r="G44">
        <v>59</v>
      </c>
      <c r="H44" s="137">
        <v>219.2</v>
      </c>
      <c r="I44" s="382">
        <v>327.76943303451003</v>
      </c>
      <c r="J44" s="259">
        <v>219.2</v>
      </c>
      <c r="K44" s="260">
        <v>327.76943303451003</v>
      </c>
      <c r="L44" s="16">
        <f t="shared" si="5"/>
        <v>42</v>
      </c>
      <c r="M44" s="230">
        <f t="shared" si="6"/>
        <v>42</v>
      </c>
      <c r="N44" s="159">
        <f t="shared" si="7"/>
        <v>35</v>
      </c>
      <c r="O44" s="159">
        <f t="shared" si="8"/>
        <v>38</v>
      </c>
      <c r="P44" s="15">
        <v>0</v>
      </c>
      <c r="Q44" s="15">
        <v>0.14285714285714285</v>
      </c>
      <c r="R44">
        <v>100</v>
      </c>
      <c r="S44" t="e" vm="1">
        <f t="shared" si="9"/>
        <v>#VALUE!</v>
      </c>
      <c r="T44" s="14">
        <f>Table232[[#This Row],[BDG]]/Table232[[#This Row],[Odds]]</f>
        <v>26.569696969696967</v>
      </c>
      <c r="U44" s="14" cm="1">
        <f t="array" ref="U44">MAX(_xlfn._xlws.FILTER(Table22[[B365]:[BFAIREXC]], Table22[PLAYER] = A44))</f>
        <v>8.25</v>
      </c>
    </row>
    <row r="45" spans="1:21" hidden="1">
      <c r="A45" s="159" t="s">
        <v>115</v>
      </c>
      <c r="B45">
        <v>97</v>
      </c>
      <c r="C45">
        <v>29</v>
      </c>
      <c r="D45">
        <v>78</v>
      </c>
      <c r="E45">
        <v>103</v>
      </c>
      <c r="F45">
        <v>12</v>
      </c>
      <c r="G45">
        <v>18</v>
      </c>
      <c r="H45" s="137">
        <v>176.2</v>
      </c>
      <c r="I45" s="382">
        <v>229.80588623835172</v>
      </c>
      <c r="J45" s="259">
        <v>219.66897499019166</v>
      </c>
      <c r="K45" s="260">
        <v>327.0877793961123</v>
      </c>
      <c r="L45" s="16">
        <f t="shared" si="5"/>
        <v>10</v>
      </c>
      <c r="M45" s="230">
        <f t="shared" si="6"/>
        <v>12</v>
      </c>
      <c r="N45" s="159">
        <f t="shared" si="7"/>
        <v>36</v>
      </c>
      <c r="O45" s="159">
        <f t="shared" si="8"/>
        <v>37</v>
      </c>
      <c r="P45" s="15">
        <v>0</v>
      </c>
      <c r="Q45" s="15">
        <v>0.16666666666666666</v>
      </c>
      <c r="R45">
        <v>17</v>
      </c>
      <c r="S45" t="e" vm="1">
        <f t="shared" si="9"/>
        <v>#VALUE!</v>
      </c>
      <c r="T45" s="14">
        <f>Table232[[#This Row],[BDG]]/Table232[[#This Row],[Odds]]</f>
        <v>57.960151712451626</v>
      </c>
      <c r="U45" s="14" cm="1">
        <f t="array" ref="U45">MAX(_xlfn._xlws.FILTER(Table22[[B365]:[BFAIREXC]], Table22[PLAYER] = A45))</f>
        <v>3.79</v>
      </c>
    </row>
    <row r="46" spans="1:21" hidden="1">
      <c r="A46" s="159" t="s">
        <v>146</v>
      </c>
      <c r="B46">
        <v>171</v>
      </c>
      <c r="C46">
        <v>11</v>
      </c>
      <c r="D46">
        <v>37</v>
      </c>
      <c r="E46">
        <v>92</v>
      </c>
      <c r="F46">
        <v>51</v>
      </c>
      <c r="G46">
        <v>55</v>
      </c>
      <c r="H46" s="137">
        <v>192.3</v>
      </c>
      <c r="I46" s="382">
        <v>283.87810499353543</v>
      </c>
      <c r="J46" s="259">
        <v>221.01217609794304</v>
      </c>
      <c r="K46" s="260">
        <v>305.08094434706607</v>
      </c>
      <c r="L46" s="16">
        <f t="shared" si="5"/>
        <v>18</v>
      </c>
      <c r="M46" s="230">
        <f t="shared" si="6"/>
        <v>22</v>
      </c>
      <c r="N46" s="159">
        <f t="shared" si="7"/>
        <v>37</v>
      </c>
      <c r="O46" s="159">
        <f t="shared" si="8"/>
        <v>24</v>
      </c>
      <c r="P46" s="15">
        <v>0</v>
      </c>
      <c r="Q46" s="15">
        <v>0</v>
      </c>
      <c r="R46">
        <v>69</v>
      </c>
      <c r="S46" t="e" vm="1">
        <f t="shared" si="9"/>
        <v>#VALUE!</v>
      </c>
      <c r="T46" s="14">
        <f>Table232[[#This Row],[BDG]]/Table232[[#This Row],[Odds]]</f>
        <v>26.155287112182609</v>
      </c>
      <c r="U46" s="14" cm="1">
        <f t="array" ref="U46">MAX(_xlfn._xlws.FILTER(Table22[[B365]:[BFAIREXC]], Table22[PLAYER] = A46))</f>
        <v>8.4499999999999993</v>
      </c>
    </row>
    <row r="47" spans="1:21" hidden="1">
      <c r="A47" s="159" t="s">
        <v>130</v>
      </c>
      <c r="B47">
        <v>88</v>
      </c>
      <c r="C47">
        <v>61</v>
      </c>
      <c r="D47">
        <v>84</v>
      </c>
      <c r="E47">
        <v>110</v>
      </c>
      <c r="F47">
        <v>146</v>
      </c>
      <c r="G47">
        <v>138</v>
      </c>
      <c r="H47" s="137">
        <v>250.6</v>
      </c>
      <c r="I47" s="382">
        <v>438.83620637489508</v>
      </c>
      <c r="J47" s="259">
        <v>221.76598034799841</v>
      </c>
      <c r="K47" s="260">
        <v>345.89315854816124</v>
      </c>
      <c r="L47" s="16">
        <f t="shared" si="5"/>
        <v>65</v>
      </c>
      <c r="M47" s="230">
        <f t="shared" si="6"/>
        <v>90</v>
      </c>
      <c r="N47" s="159">
        <f t="shared" si="7"/>
        <v>38</v>
      </c>
      <c r="O47" s="159">
        <f t="shared" si="8"/>
        <v>48</v>
      </c>
      <c r="P47" s="15">
        <v>0</v>
      </c>
      <c r="Q47" s="15">
        <v>0.1111111111111111</v>
      </c>
      <c r="R47">
        <v>-54</v>
      </c>
      <c r="S47" t="e" vm="1">
        <f t="shared" si="9"/>
        <v>#VALUE!</v>
      </c>
      <c r="T47" s="14" t="e" vm="1">
        <f>Table232[[#This Row],[BDG]]/Table232[[#This Row],[Odds]]</f>
        <v>#VALUE!</v>
      </c>
      <c r="U47" s="14" t="e" cm="1" vm="2">
        <f t="array" ref="U47">MAX(_xlfn._xlws.FILTER(Table22[[B365]:[BFAIREXC]], Table22[PLAYER] = A47))</f>
        <v>#VALUE!</v>
      </c>
    </row>
    <row r="48" spans="1:21" hidden="1">
      <c r="A48" s="159" t="s">
        <v>633</v>
      </c>
      <c r="B48">
        <v>142</v>
      </c>
      <c r="C48">
        <v>54</v>
      </c>
      <c r="D48">
        <v>30</v>
      </c>
      <c r="E48">
        <v>101</v>
      </c>
      <c r="F48">
        <v>119</v>
      </c>
      <c r="G48">
        <v>68</v>
      </c>
      <c r="H48" s="137">
        <v>226.6</v>
      </c>
      <c r="I48" s="382">
        <v>334.58418952725435</v>
      </c>
      <c r="J48" s="259">
        <v>226.6</v>
      </c>
      <c r="K48" s="260">
        <v>334.58418952725435</v>
      </c>
      <c r="L48" s="16">
        <f t="shared" si="5"/>
        <v>48</v>
      </c>
      <c r="M48" s="230">
        <f t="shared" si="6"/>
        <v>44</v>
      </c>
      <c r="N48" s="159">
        <f t="shared" si="7"/>
        <v>39</v>
      </c>
      <c r="O48" s="159">
        <f t="shared" si="8"/>
        <v>42</v>
      </c>
      <c r="P48" s="15">
        <v>0</v>
      </c>
      <c r="Q48" s="15">
        <v>0</v>
      </c>
      <c r="R48" t="e">
        <v>#N/A</v>
      </c>
      <c r="S48" t="e" vm="1">
        <f t="shared" si="9"/>
        <v>#VALUE!</v>
      </c>
      <c r="T48" s="14">
        <f>Table232[[#This Row],[BDG]]/Table232[[#This Row],[Odds]]</f>
        <v>31.169188445667125</v>
      </c>
      <c r="U48" s="14" cm="1">
        <f t="array" ref="U48">MAX(_xlfn._xlws.FILTER(Table22[[B365]:[BFAIREXC]], Table22[PLAYER] = A48))</f>
        <v>7.27</v>
      </c>
    </row>
    <row r="49" spans="1:21" hidden="1">
      <c r="A49" s="159" t="s">
        <v>427</v>
      </c>
      <c r="B49">
        <v>115</v>
      </c>
      <c r="C49">
        <v>49</v>
      </c>
      <c r="D49">
        <v>49</v>
      </c>
      <c r="E49">
        <v>22</v>
      </c>
      <c r="F49">
        <v>106</v>
      </c>
      <c r="G49">
        <v>78</v>
      </c>
      <c r="H49" s="137">
        <v>183.9</v>
      </c>
      <c r="I49" s="382">
        <v>286.14835229485448</v>
      </c>
      <c r="J49" s="259">
        <v>226.89876183790929</v>
      </c>
      <c r="K49" s="260">
        <v>357.36856857913835</v>
      </c>
      <c r="L49" s="16">
        <f t="shared" si="5"/>
        <v>13</v>
      </c>
      <c r="M49" s="230">
        <f t="shared" si="6"/>
        <v>23</v>
      </c>
      <c r="N49" s="159">
        <f t="shared" si="7"/>
        <v>40</v>
      </c>
      <c r="O49" s="159">
        <f t="shared" si="8"/>
        <v>54</v>
      </c>
      <c r="P49" s="15">
        <v>0</v>
      </c>
      <c r="Q49" s="15">
        <v>0</v>
      </c>
      <c r="R49">
        <v>-7</v>
      </c>
      <c r="S49" t="e" vm="1">
        <f t="shared" si="9"/>
        <v>#VALUE!</v>
      </c>
      <c r="T49" s="14" t="e" vm="1">
        <f>Table232[[#This Row],[BDG]]/Table232[[#This Row],[Odds]]</f>
        <v>#VALUE!</v>
      </c>
      <c r="U49" s="14" t="e" cm="1" vm="2">
        <f t="array" ref="U49">MAX(_xlfn._xlws.FILTER(Table22[[B365]:[BFAIREXC]], Table22[PLAYER] = A49))</f>
        <v>#VALUE!</v>
      </c>
    </row>
    <row r="50" spans="1:21" hidden="1">
      <c r="A50" s="159" t="s">
        <v>110</v>
      </c>
      <c r="B50">
        <v>139</v>
      </c>
      <c r="C50">
        <v>30</v>
      </c>
      <c r="D50">
        <v>113</v>
      </c>
      <c r="E50">
        <v>106</v>
      </c>
      <c r="F50">
        <v>140</v>
      </c>
      <c r="G50">
        <v>122</v>
      </c>
      <c r="H50" s="137">
        <v>278.89999999999998</v>
      </c>
      <c r="I50" s="382">
        <v>459.08753648329878</v>
      </c>
      <c r="J50" s="259">
        <v>228.3846921511535</v>
      </c>
      <c r="K50" s="260">
        <v>366.72071214744426</v>
      </c>
      <c r="L50" s="16">
        <f t="shared" si="5"/>
        <v>97</v>
      </c>
      <c r="M50" s="230">
        <f t="shared" si="6"/>
        <v>104</v>
      </c>
      <c r="N50" s="159">
        <f t="shared" si="7"/>
        <v>41</v>
      </c>
      <c r="O50" s="159">
        <f t="shared" si="8"/>
        <v>60</v>
      </c>
      <c r="P50" s="15">
        <v>0</v>
      </c>
      <c r="Q50" s="15">
        <v>0</v>
      </c>
      <c r="R50">
        <v>-40</v>
      </c>
      <c r="S50" t="e" vm="1">
        <f t="shared" si="9"/>
        <v>#VALUE!</v>
      </c>
      <c r="T50" s="14" t="e" vm="1">
        <f>Table232[[#This Row],[BDG]]/Table232[[#This Row],[Odds]]</f>
        <v>#VALUE!</v>
      </c>
      <c r="U50" s="14" t="e" cm="1" vm="2">
        <f t="array" ref="U50">MAX(_xlfn._xlws.FILTER(Table22[[B365]:[BFAIREXC]], Table22[PLAYER] = A50))</f>
        <v>#VALUE!</v>
      </c>
    </row>
    <row r="51" spans="1:21" hidden="1">
      <c r="A51" s="159" t="s">
        <v>26</v>
      </c>
      <c r="B51">
        <v>35</v>
      </c>
      <c r="C51">
        <v>74</v>
      </c>
      <c r="D51">
        <v>79</v>
      </c>
      <c r="E51">
        <v>173</v>
      </c>
      <c r="F51">
        <v>132</v>
      </c>
      <c r="G51">
        <v>124</v>
      </c>
      <c r="H51" s="137">
        <v>242.70000000000002</v>
      </c>
      <c r="I51" s="382">
        <v>424.20123471256375</v>
      </c>
      <c r="J51" s="259">
        <v>230.56369557320824</v>
      </c>
      <c r="K51" s="260">
        <v>382.76288998947808</v>
      </c>
      <c r="L51" s="16">
        <f t="shared" si="5"/>
        <v>61</v>
      </c>
      <c r="M51" s="230">
        <f t="shared" si="6"/>
        <v>83</v>
      </c>
      <c r="N51" s="159">
        <f t="shared" si="7"/>
        <v>46</v>
      </c>
      <c r="O51" s="159">
        <f t="shared" si="8"/>
        <v>64</v>
      </c>
      <c r="P51" s="15">
        <v>0</v>
      </c>
      <c r="Q51" s="15">
        <v>0.375</v>
      </c>
      <c r="R51">
        <v>-17</v>
      </c>
      <c r="S51" t="e" vm="1">
        <f t="shared" si="9"/>
        <v>#VALUE!</v>
      </c>
      <c r="T51" s="14">
        <f>Table232[[#This Row],[BDG]]/Table232[[#This Row],[Odds]]</f>
        <v>49.797774421859231</v>
      </c>
      <c r="U51" s="14" cm="1">
        <f t="array" ref="U51">MAX(_xlfn._xlws.FILTER(Table22[[B365]:[BFAIREXC]], Table22[PLAYER] = A51))</f>
        <v>4.63</v>
      </c>
    </row>
    <row r="52" spans="1:21" hidden="1">
      <c r="A52" s="159" t="s">
        <v>134</v>
      </c>
      <c r="B52">
        <v>150</v>
      </c>
      <c r="C52">
        <v>16</v>
      </c>
      <c r="D52">
        <v>19</v>
      </c>
      <c r="E52">
        <v>94</v>
      </c>
      <c r="F52">
        <v>158</v>
      </c>
      <c r="G52">
        <v>114</v>
      </c>
      <c r="H52" s="137">
        <v>213.7</v>
      </c>
      <c r="I52" s="382">
        <v>373.27667897141094</v>
      </c>
      <c r="J52" s="259">
        <v>230.68945331239235</v>
      </c>
      <c r="K52" s="260">
        <v>357.69990525596609</v>
      </c>
      <c r="L52" s="16">
        <f t="shared" si="5"/>
        <v>33</v>
      </c>
      <c r="M52" s="230">
        <f t="shared" si="6"/>
        <v>59</v>
      </c>
      <c r="N52" s="159">
        <f t="shared" si="7"/>
        <v>47</v>
      </c>
      <c r="O52" s="159">
        <f t="shared" si="8"/>
        <v>55</v>
      </c>
      <c r="P52" s="15">
        <v>0</v>
      </c>
      <c r="Q52" s="15">
        <v>0</v>
      </c>
      <c r="R52">
        <v>27</v>
      </c>
      <c r="S52" t="e" vm="1">
        <f t="shared" si="9"/>
        <v>#VALUE!</v>
      </c>
      <c r="T52" s="14">
        <f>Table232[[#This Row],[BDG]]/Table232[[#This Row],[Odds]]</f>
        <v>31.731699217660573</v>
      </c>
      <c r="U52" s="14" cm="1">
        <f t="array" ref="U52">MAX(_xlfn._xlws.FILTER(Table22[[B365]:[BFAIREXC]], Table22[PLAYER] = A52))</f>
        <v>7.27</v>
      </c>
    </row>
    <row r="53" spans="1:21" hidden="1">
      <c r="A53" s="159" t="s">
        <v>113</v>
      </c>
      <c r="B53">
        <v>131</v>
      </c>
      <c r="C53">
        <v>92</v>
      </c>
      <c r="D53">
        <v>128</v>
      </c>
      <c r="E53">
        <v>50</v>
      </c>
      <c r="F53">
        <v>91</v>
      </c>
      <c r="G53">
        <v>70</v>
      </c>
      <c r="H53" s="137">
        <v>279.79999999999995</v>
      </c>
      <c r="I53" s="382">
        <v>386.3213528126081</v>
      </c>
      <c r="J53" s="259">
        <v>231.86743227591617</v>
      </c>
      <c r="K53" s="260">
        <v>303.10796361115365</v>
      </c>
      <c r="L53" s="16">
        <f t="shared" si="5"/>
        <v>98</v>
      </c>
      <c r="M53" s="230">
        <f t="shared" si="6"/>
        <v>66</v>
      </c>
      <c r="N53" s="159">
        <f t="shared" si="7"/>
        <v>48</v>
      </c>
      <c r="O53" s="159">
        <f t="shared" si="8"/>
        <v>23</v>
      </c>
      <c r="P53" s="15">
        <v>0</v>
      </c>
      <c r="Q53" s="15">
        <v>0.1111111111111111</v>
      </c>
      <c r="R53">
        <v>-4</v>
      </c>
      <c r="S53" t="e" vm="1">
        <f t="shared" si="9"/>
        <v>#VALUE!</v>
      </c>
      <c r="T53" s="14" t="e" vm="1">
        <f>Table232[[#This Row],[BDG]]/Table232[[#This Row],[Odds]]</f>
        <v>#VALUE!</v>
      </c>
      <c r="U53" s="14" t="e" cm="1" vm="2">
        <f t="array" ref="U53">MAX(_xlfn._xlws.FILTER(Table22[[B365]:[BFAIREXC]], Table22[PLAYER] = A53))</f>
        <v>#VALUE!</v>
      </c>
    </row>
    <row r="54" spans="1:21" hidden="1">
      <c r="A54" s="159" t="s">
        <v>496</v>
      </c>
      <c r="B54">
        <v>138</v>
      </c>
      <c r="C54">
        <v>82</v>
      </c>
      <c r="D54">
        <v>52</v>
      </c>
      <c r="E54">
        <v>129</v>
      </c>
      <c r="F54">
        <v>34</v>
      </c>
      <c r="G54">
        <v>89</v>
      </c>
      <c r="H54" s="137">
        <v>233.6</v>
      </c>
      <c r="I54" s="382">
        <v>358.73504986989855</v>
      </c>
      <c r="J54" s="259">
        <v>233.6</v>
      </c>
      <c r="K54" s="260">
        <v>358.73504986989855</v>
      </c>
      <c r="L54" s="16">
        <f t="shared" si="5"/>
        <v>52</v>
      </c>
      <c r="M54" s="230">
        <f t="shared" si="6"/>
        <v>54</v>
      </c>
      <c r="N54" s="159">
        <f t="shared" si="7"/>
        <v>49</v>
      </c>
      <c r="O54" s="159">
        <f t="shared" si="8"/>
        <v>56</v>
      </c>
      <c r="P54" s="15">
        <v>0</v>
      </c>
      <c r="Q54" s="15">
        <v>0</v>
      </c>
      <c r="R54">
        <v>31</v>
      </c>
      <c r="S54" t="e" vm="1">
        <f t="shared" si="9"/>
        <v>#VALUE!</v>
      </c>
      <c r="T54" s="14">
        <f>Table232[[#This Row],[BDG]]/Table232[[#This Row],[Odds]]</f>
        <v>29.720101781170481</v>
      </c>
      <c r="U54" s="14" cm="1">
        <f t="array" ref="U54">MAX(_xlfn._xlws.FILTER(Table22[[B365]:[BFAIREXC]], Table22[PLAYER] = A54))</f>
        <v>7.86</v>
      </c>
    </row>
    <row r="55" spans="1:21" hidden="1">
      <c r="A55" s="159" t="s">
        <v>424</v>
      </c>
      <c r="B55">
        <v>153</v>
      </c>
      <c r="C55">
        <v>45</v>
      </c>
      <c r="D55">
        <v>81</v>
      </c>
      <c r="E55">
        <v>68</v>
      </c>
      <c r="F55">
        <v>78</v>
      </c>
      <c r="G55">
        <v>77</v>
      </c>
      <c r="H55" s="137">
        <v>233.89999999999998</v>
      </c>
      <c r="I55" s="382">
        <v>348.15280859579804</v>
      </c>
      <c r="J55" s="259">
        <v>233.89999999999998</v>
      </c>
      <c r="K55" s="260">
        <v>348.15280859579804</v>
      </c>
      <c r="L55" s="16">
        <f t="shared" si="5"/>
        <v>54</v>
      </c>
      <c r="M55" s="230">
        <f t="shared" si="6"/>
        <v>50</v>
      </c>
      <c r="N55" s="159">
        <f t="shared" si="7"/>
        <v>50</v>
      </c>
      <c r="O55" s="159">
        <f t="shared" si="8"/>
        <v>50</v>
      </c>
      <c r="P55" s="15">
        <v>0</v>
      </c>
      <c r="Q55" s="15">
        <v>0.14285714285714285</v>
      </c>
      <c r="R55">
        <v>83</v>
      </c>
      <c r="S55" t="e" vm="1">
        <f t="shared" si="9"/>
        <v>#VALUE!</v>
      </c>
      <c r="T55" s="14">
        <f>Table232[[#This Row],[BDG]]/Table232[[#This Row],[Odds]]</f>
        <v>38.344262295081968</v>
      </c>
      <c r="U55" s="14" cm="1">
        <f t="array" ref="U55">MAX(_xlfn._xlws.FILTER(Table22[[B365]:[BFAIREXC]], Table22[PLAYER] = A55))</f>
        <v>6.1</v>
      </c>
    </row>
    <row r="56" spans="1:21" hidden="1">
      <c r="A56" s="159" t="s">
        <v>136</v>
      </c>
      <c r="B56">
        <v>112</v>
      </c>
      <c r="C56">
        <v>13</v>
      </c>
      <c r="D56">
        <v>24</v>
      </c>
      <c r="E56">
        <v>154</v>
      </c>
      <c r="F56">
        <v>100</v>
      </c>
      <c r="G56">
        <v>60</v>
      </c>
      <c r="H56" s="137">
        <v>193.4</v>
      </c>
      <c r="I56" s="382">
        <v>304.11885412443439</v>
      </c>
      <c r="J56" s="259">
        <v>235.47721270369163</v>
      </c>
      <c r="K56" s="260">
        <v>389.45788631587084</v>
      </c>
      <c r="L56" s="16">
        <f t="shared" si="5"/>
        <v>19</v>
      </c>
      <c r="M56" s="230">
        <f t="shared" si="6"/>
        <v>30</v>
      </c>
      <c r="N56" s="159">
        <f t="shared" si="7"/>
        <v>51</v>
      </c>
      <c r="O56" s="159">
        <f t="shared" si="8"/>
        <v>69</v>
      </c>
      <c r="P56" s="15">
        <v>0</v>
      </c>
      <c r="Q56" s="15">
        <v>0.14285714285714285</v>
      </c>
      <c r="R56">
        <v>23</v>
      </c>
      <c r="S56" t="e" vm="1">
        <f t="shared" si="9"/>
        <v>#VALUE!</v>
      </c>
      <c r="T56" s="14">
        <f>Table232[[#This Row],[BDG]]/Table232[[#This Row],[Odds]]</f>
        <v>20.838691389707222</v>
      </c>
      <c r="U56" s="14" cm="1">
        <f t="array" ref="U56">MAX(_xlfn._xlws.FILTER(Table22[[B365]:[BFAIREXC]], Table22[PLAYER] = A56))</f>
        <v>11.3</v>
      </c>
    </row>
    <row r="57" spans="1:21" hidden="1">
      <c r="A57" s="159" t="s">
        <v>632</v>
      </c>
      <c r="B57">
        <v>77</v>
      </c>
      <c r="C57">
        <v>26</v>
      </c>
      <c r="D57">
        <v>14</v>
      </c>
      <c r="E57">
        <v>95</v>
      </c>
      <c r="F57">
        <v>155</v>
      </c>
      <c r="G57">
        <v>67</v>
      </c>
      <c r="H57" s="137">
        <v>171.6</v>
      </c>
      <c r="I57" s="382">
        <v>279.31865197529277</v>
      </c>
      <c r="J57" s="259">
        <v>236.16850311906674</v>
      </c>
      <c r="K57" s="260">
        <v>358.9114781421074</v>
      </c>
      <c r="L57" s="16">
        <f t="shared" si="5"/>
        <v>7</v>
      </c>
      <c r="M57" s="230">
        <f t="shared" si="6"/>
        <v>20</v>
      </c>
      <c r="N57" s="159">
        <f t="shared" si="7"/>
        <v>52</v>
      </c>
      <c r="O57" s="159">
        <f t="shared" si="8"/>
        <v>57</v>
      </c>
      <c r="P57" s="15">
        <v>0</v>
      </c>
      <c r="Q57" s="15">
        <v>0.2</v>
      </c>
      <c r="R57" t="e">
        <v>#N/A</v>
      </c>
      <c r="S57" t="e" vm="1">
        <f t="shared" si="9"/>
        <v>#VALUE!</v>
      </c>
      <c r="T57" s="14">
        <f>Table232[[#This Row],[BDG]]/Table232[[#This Row],[Odds]]</f>
        <v>50.035699813361603</v>
      </c>
      <c r="U57" s="14" cm="1">
        <f t="array" ref="U57">MAX(_xlfn._xlws.FILTER(Table22[[B365]:[BFAIREXC]], Table22[PLAYER] = A57))</f>
        <v>4.72</v>
      </c>
    </row>
    <row r="58" spans="1:21" hidden="1">
      <c r="A58" s="159" t="s">
        <v>563</v>
      </c>
      <c r="B58">
        <v>148</v>
      </c>
      <c r="C58">
        <v>47</v>
      </c>
      <c r="D58">
        <v>16</v>
      </c>
      <c r="E58">
        <v>164</v>
      </c>
      <c r="F58">
        <v>107</v>
      </c>
      <c r="G58">
        <v>108</v>
      </c>
      <c r="H58" s="137">
        <v>236.60000000000002</v>
      </c>
      <c r="I58" s="382">
        <v>395.12290243705985</v>
      </c>
      <c r="J58" s="259">
        <v>236.60000000000002</v>
      </c>
      <c r="K58" s="260">
        <v>395.12290243705985</v>
      </c>
      <c r="L58" s="16">
        <f t="shared" si="5"/>
        <v>55</v>
      </c>
      <c r="M58" s="230">
        <f t="shared" si="6"/>
        <v>70</v>
      </c>
      <c r="N58" s="159">
        <f t="shared" si="7"/>
        <v>53</v>
      </c>
      <c r="O58" s="159">
        <f t="shared" si="8"/>
        <v>73</v>
      </c>
      <c r="P58" s="15">
        <v>0</v>
      </c>
      <c r="Q58" s="15">
        <v>0</v>
      </c>
      <c r="R58">
        <v>-94</v>
      </c>
      <c r="S58" t="e" vm="1">
        <f t="shared" si="9"/>
        <v>#VALUE!</v>
      </c>
      <c r="T58" s="14">
        <f>Table232[[#This Row],[BDG]]/Table232[[#This Row],[Odds]]</f>
        <v>11.266666666666667</v>
      </c>
      <c r="U58" s="14" cm="1">
        <f t="array" ref="U58">MAX(_xlfn._xlws.FILTER(Table22[[B365]:[BFAIREXC]], Table22[PLAYER] = A58))</f>
        <v>21</v>
      </c>
    </row>
    <row r="59" spans="1:21" hidden="1">
      <c r="A59" s="159" t="s">
        <v>544</v>
      </c>
      <c r="B59">
        <v>7</v>
      </c>
      <c r="C59">
        <v>119</v>
      </c>
      <c r="D59">
        <v>109</v>
      </c>
      <c r="E59">
        <v>102</v>
      </c>
      <c r="F59">
        <v>118</v>
      </c>
      <c r="G59">
        <v>80</v>
      </c>
      <c r="H59" s="137">
        <v>239.89999999999998</v>
      </c>
      <c r="I59" s="382">
        <v>359.8608467591315</v>
      </c>
      <c r="J59" s="259">
        <v>239.60826191281751</v>
      </c>
      <c r="K59" s="260">
        <v>313.32911880295978</v>
      </c>
      <c r="L59" s="16">
        <f t="shared" si="5"/>
        <v>59</v>
      </c>
      <c r="M59" s="230">
        <f t="shared" si="6"/>
        <v>55</v>
      </c>
      <c r="N59" s="159">
        <f t="shared" si="7"/>
        <v>54</v>
      </c>
      <c r="O59" s="159">
        <f t="shared" si="8"/>
        <v>29</v>
      </c>
      <c r="P59" s="15">
        <v>0</v>
      </c>
      <c r="Q59" s="15">
        <v>0.16666666666666666</v>
      </c>
      <c r="R59">
        <v>51</v>
      </c>
      <c r="S59" t="e" vm="1">
        <f t="shared" si="9"/>
        <v>#VALUE!</v>
      </c>
      <c r="T59" s="14" t="e" vm="1">
        <f>Table232[[#This Row],[BDG]]/Table232[[#This Row],[Odds]]</f>
        <v>#VALUE!</v>
      </c>
      <c r="U59" s="14" t="e" cm="1" vm="2">
        <f t="array" ref="U59">MAX(_xlfn._xlws.FILTER(Table22[[B365]:[BFAIREXC]], Table22[PLAYER] = A59))</f>
        <v>#VALUE!</v>
      </c>
    </row>
    <row r="60" spans="1:21" hidden="1">
      <c r="A60" s="159" t="s">
        <v>549</v>
      </c>
      <c r="B60">
        <v>28</v>
      </c>
      <c r="C60">
        <v>174</v>
      </c>
      <c r="D60">
        <v>55</v>
      </c>
      <c r="E60">
        <v>116</v>
      </c>
      <c r="F60">
        <v>38</v>
      </c>
      <c r="G60">
        <v>99</v>
      </c>
      <c r="H60" s="137">
        <v>221.29999999999998</v>
      </c>
      <c r="I60" s="382">
        <v>341.04982277295142</v>
      </c>
      <c r="J60" s="259">
        <v>240.52039162614079</v>
      </c>
      <c r="K60" s="260">
        <v>336.89580256341037</v>
      </c>
      <c r="L60" s="16">
        <f t="shared" si="5"/>
        <v>44</v>
      </c>
      <c r="M60" s="230">
        <f t="shared" si="6"/>
        <v>47</v>
      </c>
      <c r="N60" s="159">
        <f t="shared" si="7"/>
        <v>56</v>
      </c>
      <c r="O60" s="159">
        <f t="shared" si="8"/>
        <v>44</v>
      </c>
      <c r="P60" s="15">
        <v>0</v>
      </c>
      <c r="Q60" s="15">
        <v>0</v>
      </c>
      <c r="R60">
        <v>-12</v>
      </c>
      <c r="S60" t="e" vm="1">
        <f t="shared" si="9"/>
        <v>#VALUE!</v>
      </c>
      <c r="T60" s="14" t="e" vm="1">
        <f>Table232[[#This Row],[BDG]]/Table232[[#This Row],[Odds]]</f>
        <v>#VALUE!</v>
      </c>
      <c r="U60" s="14" t="e" cm="1" vm="2">
        <f t="array" ref="U60">MAX(_xlfn._xlws.FILTER(Table22[[B365]:[BFAIREXC]], Table22[PLAYER] = A60))</f>
        <v>#VALUE!</v>
      </c>
    </row>
    <row r="61" spans="1:21" hidden="1">
      <c r="A61" s="159" t="s">
        <v>20</v>
      </c>
      <c r="B61">
        <v>27</v>
      </c>
      <c r="C61">
        <v>149</v>
      </c>
      <c r="D61">
        <v>105</v>
      </c>
      <c r="E61">
        <v>133</v>
      </c>
      <c r="F61">
        <v>66</v>
      </c>
      <c r="G61">
        <v>84</v>
      </c>
      <c r="H61" s="137">
        <v>258.7</v>
      </c>
      <c r="I61" s="382">
        <v>380.21680313710664</v>
      </c>
      <c r="J61" s="259">
        <v>242.95643993051641</v>
      </c>
      <c r="K61" s="260">
        <v>341.21503069413461</v>
      </c>
      <c r="L61" s="16">
        <f t="shared" si="5"/>
        <v>75</v>
      </c>
      <c r="M61" s="230">
        <f t="shared" si="6"/>
        <v>62</v>
      </c>
      <c r="N61" s="159">
        <f t="shared" si="7"/>
        <v>57</v>
      </c>
      <c r="O61" s="159">
        <f t="shared" si="8"/>
        <v>46</v>
      </c>
      <c r="P61" s="15">
        <v>0</v>
      </c>
      <c r="Q61" s="15">
        <v>0</v>
      </c>
      <c r="R61">
        <v>-4</v>
      </c>
      <c r="S61" t="e" vm="1">
        <f t="shared" si="9"/>
        <v>#VALUE!</v>
      </c>
      <c r="T61" s="14">
        <f>Table232[[#This Row],[BDG]]/Table232[[#This Row],[Odds]]</f>
        <v>34.708062847216631</v>
      </c>
      <c r="U61" s="14" cm="1">
        <f t="array" ref="U61">MAX(_xlfn._xlws.FILTER(Table22[[B365]:[BFAIREXC]], Table22[PLAYER] = A61))</f>
        <v>7</v>
      </c>
    </row>
    <row r="62" spans="1:21" hidden="1">
      <c r="A62" s="159" t="s">
        <v>98</v>
      </c>
      <c r="B62">
        <v>37</v>
      </c>
      <c r="C62">
        <v>93</v>
      </c>
      <c r="D62">
        <v>141</v>
      </c>
      <c r="E62">
        <v>2</v>
      </c>
      <c r="F62">
        <v>23</v>
      </c>
      <c r="G62">
        <v>10</v>
      </c>
      <c r="H62" s="137">
        <v>186.7</v>
      </c>
      <c r="I62" s="382">
        <v>213.22582069230407</v>
      </c>
      <c r="J62" s="259">
        <v>243.15303597620783</v>
      </c>
      <c r="K62" s="260">
        <v>313.63385762956966</v>
      </c>
      <c r="L62" s="16">
        <f t="shared" si="5"/>
        <v>16</v>
      </c>
      <c r="M62" s="230">
        <f t="shared" si="6"/>
        <v>8</v>
      </c>
      <c r="N62" s="159">
        <f t="shared" si="7"/>
        <v>58</v>
      </c>
      <c r="O62" s="159">
        <f t="shared" si="8"/>
        <v>30</v>
      </c>
      <c r="P62" s="15">
        <v>0</v>
      </c>
      <c r="Q62" s="15">
        <v>0.125</v>
      </c>
      <c r="R62">
        <v>35</v>
      </c>
      <c r="S62" t="e" vm="1">
        <f t="shared" si="9"/>
        <v>#VALUE!</v>
      </c>
      <c r="T62" s="14" t="e" vm="1">
        <f>Table232[[#This Row],[BDG]]/Table232[[#This Row],[Odds]]</f>
        <v>#VALUE!</v>
      </c>
      <c r="U62" s="14" t="e" cm="1" vm="2">
        <f t="array" ref="U62">MAX(_xlfn._xlws.FILTER(Table22[[B365]:[BFAIREXC]], Table22[PLAYER] = A62))</f>
        <v>#VALUE!</v>
      </c>
    </row>
    <row r="63" spans="1:21" hidden="1">
      <c r="A63" s="159" t="s">
        <v>38</v>
      </c>
      <c r="B63">
        <v>28</v>
      </c>
      <c r="C63">
        <v>147</v>
      </c>
      <c r="D63">
        <v>102</v>
      </c>
      <c r="E63">
        <v>53</v>
      </c>
      <c r="F63">
        <v>103</v>
      </c>
      <c r="G63">
        <v>58</v>
      </c>
      <c r="H63" s="137">
        <v>238.79999999999995</v>
      </c>
      <c r="I63" s="382">
        <v>321.8223912335759</v>
      </c>
      <c r="J63" s="259">
        <v>244.40137127390386</v>
      </c>
      <c r="K63" s="260">
        <v>324.01723715387777</v>
      </c>
      <c r="L63" s="16">
        <f t="shared" si="5"/>
        <v>57</v>
      </c>
      <c r="M63" s="230">
        <f t="shared" si="6"/>
        <v>40</v>
      </c>
      <c r="N63" s="159">
        <f t="shared" si="7"/>
        <v>59</v>
      </c>
      <c r="O63" s="159">
        <f t="shared" si="8"/>
        <v>35</v>
      </c>
      <c r="P63" s="15">
        <v>0</v>
      </c>
      <c r="Q63" s="15">
        <v>0.25</v>
      </c>
      <c r="R63">
        <v>14</v>
      </c>
      <c r="S63" t="e" vm="1">
        <f t="shared" si="9"/>
        <v>#VALUE!</v>
      </c>
      <c r="T63" s="14" t="e" vm="1">
        <f>Table232[[#This Row],[BDG]]/Table232[[#This Row],[Odds]]</f>
        <v>#VALUE!</v>
      </c>
      <c r="U63" s="14" t="e" cm="1" vm="2">
        <f t="array" ref="U63">MAX(_xlfn._xlws.FILTER(Table22[[B365]:[BFAIREXC]], Table22[PLAYER] = A63))</f>
        <v>#VALUE!</v>
      </c>
    </row>
    <row r="64" spans="1:21" hidden="1">
      <c r="A64" s="159" t="s">
        <v>434</v>
      </c>
      <c r="B64">
        <v>73</v>
      </c>
      <c r="C64">
        <v>128</v>
      </c>
      <c r="D64">
        <v>82</v>
      </c>
      <c r="E64">
        <v>43</v>
      </c>
      <c r="F64">
        <v>162</v>
      </c>
      <c r="G64">
        <v>119</v>
      </c>
      <c r="H64" s="137">
        <v>260</v>
      </c>
      <c r="I64" s="382">
        <v>409.62572652276083</v>
      </c>
      <c r="J64" s="259">
        <v>245.66707938736357</v>
      </c>
      <c r="K64" s="260">
        <v>341.92239489099768</v>
      </c>
      <c r="L64" s="16">
        <f t="shared" si="5"/>
        <v>79</v>
      </c>
      <c r="M64" s="230">
        <f t="shared" si="6"/>
        <v>77</v>
      </c>
      <c r="N64" s="159">
        <f t="shared" si="7"/>
        <v>60</v>
      </c>
      <c r="O64" s="159">
        <f t="shared" si="8"/>
        <v>47</v>
      </c>
      <c r="P64" s="15">
        <v>0</v>
      </c>
      <c r="Q64" s="15">
        <v>0.125</v>
      </c>
      <c r="R64">
        <v>22</v>
      </c>
      <c r="S64" t="e" vm="1">
        <f t="shared" si="9"/>
        <v>#VALUE!</v>
      </c>
      <c r="T64" s="14" t="e" vm="1">
        <f>Table232[[#This Row],[BDG]]/Table232[[#This Row],[Odds]]</f>
        <v>#VALUE!</v>
      </c>
      <c r="U64" s="14" t="e" cm="1" vm="2">
        <f t="array" ref="U64">MAX(_xlfn._xlws.FILTER(Table22[[B365]:[BFAIREXC]], Table22[PLAYER] = A64))</f>
        <v>#VALUE!</v>
      </c>
    </row>
    <row r="65" spans="1:21" hidden="1">
      <c r="A65" s="159" t="s">
        <v>59</v>
      </c>
      <c r="B65">
        <v>114</v>
      </c>
      <c r="C65">
        <v>120</v>
      </c>
      <c r="D65">
        <v>107</v>
      </c>
      <c r="E65">
        <v>30</v>
      </c>
      <c r="F65">
        <v>16</v>
      </c>
      <c r="G65">
        <v>31</v>
      </c>
      <c r="H65" s="137">
        <v>233.69999999999996</v>
      </c>
      <c r="I65" s="382">
        <v>281.59466324781556</v>
      </c>
      <c r="J65" s="259">
        <v>245.87577487388114</v>
      </c>
      <c r="K65" s="260">
        <v>316.42506825967155</v>
      </c>
      <c r="L65" s="16">
        <f t="shared" si="5"/>
        <v>53</v>
      </c>
      <c r="M65" s="230">
        <f t="shared" si="6"/>
        <v>21</v>
      </c>
      <c r="N65" s="159">
        <f t="shared" si="7"/>
        <v>61</v>
      </c>
      <c r="O65" s="159">
        <f t="shared" si="8"/>
        <v>31</v>
      </c>
      <c r="P65" s="15">
        <v>0</v>
      </c>
      <c r="Q65" s="15">
        <v>0.14285714285714285</v>
      </c>
      <c r="R65">
        <v>-6</v>
      </c>
      <c r="S65" t="e" vm="1">
        <f t="shared" si="9"/>
        <v>#VALUE!</v>
      </c>
      <c r="T65" s="14" t="e" vm="1">
        <f>Table232[[#This Row],[BDG]]/Table232[[#This Row],[Odds]]</f>
        <v>#VALUE!</v>
      </c>
      <c r="U65" s="14" t="e" cm="1" vm="2">
        <f t="array" ref="U65">MAX(_xlfn._xlws.FILTER(Table22[[B365]:[BFAIREXC]], Table22[PLAYER] = A65))</f>
        <v>#VALUE!</v>
      </c>
    </row>
    <row r="66" spans="1:21" hidden="1">
      <c r="A66" s="159" t="s">
        <v>137</v>
      </c>
      <c r="B66">
        <v>152</v>
      </c>
      <c r="C66">
        <v>23</v>
      </c>
      <c r="D66">
        <v>38</v>
      </c>
      <c r="E66">
        <v>52</v>
      </c>
      <c r="F66">
        <v>172</v>
      </c>
      <c r="G66">
        <v>96</v>
      </c>
      <c r="H66" s="137">
        <v>221.2</v>
      </c>
      <c r="I66" s="382">
        <v>357.91916662805818</v>
      </c>
      <c r="J66" s="259">
        <v>249.68565005377778</v>
      </c>
      <c r="K66" s="260">
        <v>408.43654222548821</v>
      </c>
      <c r="L66" s="16">
        <f t="shared" ref="L66:L97" si="10">RANK(H66,$H$2:$H$143,1)</f>
        <v>43</v>
      </c>
      <c r="M66" s="230">
        <f t="shared" ref="M66:M97" si="11">RANK(I66,$I$2:$I$143,1)</f>
        <v>53</v>
      </c>
      <c r="N66" s="159">
        <f t="shared" ref="N66:N97" si="12">RANK(J66,$J$2:$J$143,1)</f>
        <v>62</v>
      </c>
      <c r="O66" s="159">
        <f t="shared" ref="O66:O97" si="13">RANK(K66,$K$2:$K$143,1)</f>
        <v>80</v>
      </c>
      <c r="P66" s="15">
        <v>0</v>
      </c>
      <c r="Q66" s="15">
        <v>0</v>
      </c>
      <c r="R66">
        <v>39</v>
      </c>
      <c r="S66" t="e" vm="1">
        <f t="shared" ref="S66:S97" si="14">RANK(U66,$U$2:$U$143,0)</f>
        <v>#VALUE!</v>
      </c>
      <c r="T66" s="14">
        <f>Table232[[#This Row],[BDG]]/Table232[[#This Row],[Odds]]</f>
        <v>36.291518903165375</v>
      </c>
      <c r="U66" s="14" cm="1">
        <f t="array" ref="U66">MAX(_xlfn._xlws.FILTER(Table22[[B365]:[BFAIREXC]], Table22[PLAYER] = A66))</f>
        <v>6.88</v>
      </c>
    </row>
    <row r="67" spans="1:21" hidden="1">
      <c r="A67" s="381" t="s">
        <v>560</v>
      </c>
      <c r="B67">
        <v>48</v>
      </c>
      <c r="C67">
        <v>160</v>
      </c>
      <c r="D67">
        <v>77</v>
      </c>
      <c r="E67">
        <v>29</v>
      </c>
      <c r="F67">
        <v>151</v>
      </c>
      <c r="G67">
        <v>148</v>
      </c>
      <c r="H67" s="137">
        <v>250.7</v>
      </c>
      <c r="I67" s="382">
        <v>420.17421492495271</v>
      </c>
      <c r="J67" s="259">
        <v>250.7</v>
      </c>
      <c r="K67" s="260">
        <v>420.17421492495271</v>
      </c>
      <c r="L67" s="16">
        <f t="shared" si="10"/>
        <v>66</v>
      </c>
      <c r="M67" s="230">
        <f t="shared" si="11"/>
        <v>81</v>
      </c>
      <c r="N67" s="159">
        <f t="shared" si="12"/>
        <v>63</v>
      </c>
      <c r="O67" s="159">
        <f t="shared" si="13"/>
        <v>87</v>
      </c>
      <c r="P67" s="15">
        <v>0</v>
      </c>
      <c r="Q67" s="15">
        <v>0</v>
      </c>
      <c r="R67">
        <v>22</v>
      </c>
      <c r="S67" t="e" vm="1">
        <f t="shared" si="14"/>
        <v>#VALUE!</v>
      </c>
      <c r="T67" s="14">
        <f>Table232[[#This Row],[BDG]]/Table232[[#This Row],[Odds]]</f>
        <v>32.728459530026107</v>
      </c>
      <c r="U67" s="14" cm="1">
        <f t="array" ref="U67">MAX(_xlfn._xlws.FILTER(Table22[[B365]:[BFAIREXC]], Table22[PLAYER] = A67))</f>
        <v>7.66</v>
      </c>
    </row>
    <row r="68" spans="1:21" hidden="1">
      <c r="A68" s="159" t="s">
        <v>384</v>
      </c>
      <c r="B68">
        <v>149</v>
      </c>
      <c r="C68">
        <v>5</v>
      </c>
      <c r="D68">
        <v>48</v>
      </c>
      <c r="E68">
        <v>147</v>
      </c>
      <c r="F68">
        <v>165</v>
      </c>
      <c r="G68">
        <v>137</v>
      </c>
      <c r="H68" s="137">
        <v>250.79999999999998</v>
      </c>
      <c r="I68" s="382">
        <v>450.62592136558351</v>
      </c>
      <c r="J68" s="259">
        <v>250.79999999999998</v>
      </c>
      <c r="K68" s="260">
        <v>450.62592136558351</v>
      </c>
      <c r="L68" s="16">
        <f t="shared" si="10"/>
        <v>67</v>
      </c>
      <c r="M68" s="230">
        <f t="shared" si="11"/>
        <v>99</v>
      </c>
      <c r="N68" s="159">
        <f t="shared" si="12"/>
        <v>64</v>
      </c>
      <c r="O68" s="159">
        <f t="shared" si="13"/>
        <v>102</v>
      </c>
      <c r="P68" s="15">
        <v>0</v>
      </c>
      <c r="Q68" s="15">
        <v>0</v>
      </c>
      <c r="R68">
        <v>-14</v>
      </c>
      <c r="S68" t="e" vm="1">
        <f t="shared" si="14"/>
        <v>#VALUE!</v>
      </c>
      <c r="T68" s="14">
        <f>Table232[[#This Row],[BDG]]/Table232[[#This Row],[Odds]]</f>
        <v>39.872813990461047</v>
      </c>
      <c r="U68" s="14" cm="1">
        <f t="array" ref="U68">MAX(_xlfn._xlws.FILTER(Table22[[B365]:[BFAIREXC]], Table22[PLAYER] = A68))</f>
        <v>6.29</v>
      </c>
    </row>
    <row r="69" spans="1:21" hidden="1">
      <c r="A69" s="159" t="s">
        <v>62</v>
      </c>
      <c r="B69">
        <v>104</v>
      </c>
      <c r="C69">
        <v>162</v>
      </c>
      <c r="D69">
        <v>80</v>
      </c>
      <c r="E69">
        <v>108</v>
      </c>
      <c r="F69">
        <v>104</v>
      </c>
      <c r="G69">
        <v>143</v>
      </c>
      <c r="H69" s="137">
        <v>300.40000000000003</v>
      </c>
      <c r="I69" s="382">
        <v>478.30087037831311</v>
      </c>
      <c r="J69" s="259">
        <v>251.69003607889459</v>
      </c>
      <c r="K69" s="260">
        <v>386.6198554309492</v>
      </c>
      <c r="L69" s="16">
        <f t="shared" si="10"/>
        <v>113</v>
      </c>
      <c r="M69" s="230">
        <f t="shared" si="11"/>
        <v>107</v>
      </c>
      <c r="N69" s="159">
        <f t="shared" si="12"/>
        <v>65</v>
      </c>
      <c r="O69" s="159">
        <f t="shared" si="13"/>
        <v>67</v>
      </c>
      <c r="P69" s="15">
        <v>0</v>
      </c>
      <c r="Q69" s="15">
        <v>0.125</v>
      </c>
      <c r="R69">
        <v>-63</v>
      </c>
      <c r="S69" t="e" vm="1">
        <f t="shared" si="14"/>
        <v>#VALUE!</v>
      </c>
      <c r="T69" s="14">
        <f>Table232[[#This Row],[BDG]]/Table232[[#This Row],[Odds]]</f>
        <v>23.304632970268017</v>
      </c>
      <c r="U69" s="14" cm="1">
        <f t="array" ref="U69">MAX(_xlfn._xlws.FILTER(Table22[[B365]:[BFAIREXC]], Table22[PLAYER] = A69))</f>
        <v>10.8</v>
      </c>
    </row>
    <row r="70" spans="1:21" hidden="1">
      <c r="A70" s="159" t="s">
        <v>82</v>
      </c>
      <c r="B70">
        <v>65</v>
      </c>
      <c r="C70">
        <v>168</v>
      </c>
      <c r="D70">
        <v>97</v>
      </c>
      <c r="E70">
        <v>84</v>
      </c>
      <c r="F70">
        <v>45</v>
      </c>
      <c r="G70">
        <v>116</v>
      </c>
      <c r="H70" s="137">
        <v>259.29999999999995</v>
      </c>
      <c r="I70" s="382">
        <v>398.60502490607394</v>
      </c>
      <c r="J70" s="259">
        <v>252.65523603781986</v>
      </c>
      <c r="K70" s="260">
        <v>385.0815292953165</v>
      </c>
      <c r="L70" s="16">
        <f t="shared" si="10"/>
        <v>77</v>
      </c>
      <c r="M70" s="230">
        <f t="shared" si="11"/>
        <v>71</v>
      </c>
      <c r="N70" s="159">
        <f t="shared" si="12"/>
        <v>66</v>
      </c>
      <c r="O70" s="159">
        <f t="shared" si="13"/>
        <v>66</v>
      </c>
      <c r="P70" s="15">
        <v>0</v>
      </c>
      <c r="Q70" s="15">
        <v>0</v>
      </c>
      <c r="R70">
        <v>-8</v>
      </c>
      <c r="S70" t="e" vm="1">
        <f t="shared" si="14"/>
        <v>#VALUE!</v>
      </c>
      <c r="T70" s="14" t="e" vm="1">
        <f>Table232[[#This Row],[BDG]]/Table232[[#This Row],[Odds]]</f>
        <v>#VALUE!</v>
      </c>
      <c r="U70" s="14" t="e" cm="1" vm="2">
        <f t="array" ref="U70">MAX(_xlfn._xlws.FILTER(Table22[[B365]:[BFAIREXC]], Table22[PLAYER] = A70))</f>
        <v>#VALUE!</v>
      </c>
    </row>
    <row r="71" spans="1:21" hidden="1">
      <c r="A71" s="159" t="s">
        <v>49</v>
      </c>
      <c r="B71">
        <v>76</v>
      </c>
      <c r="C71">
        <v>143</v>
      </c>
      <c r="D71">
        <v>74</v>
      </c>
      <c r="E71">
        <v>79</v>
      </c>
      <c r="F71">
        <v>115</v>
      </c>
      <c r="G71">
        <v>90</v>
      </c>
      <c r="H71" s="137">
        <v>260.79999999999995</v>
      </c>
      <c r="I71" s="382">
        <v>380.80883346545886</v>
      </c>
      <c r="J71" s="259">
        <v>252.98485147629953</v>
      </c>
      <c r="K71" s="260">
        <v>362.85678294794241</v>
      </c>
      <c r="L71" s="16">
        <f t="shared" si="10"/>
        <v>80</v>
      </c>
      <c r="M71" s="230">
        <f t="shared" si="11"/>
        <v>63</v>
      </c>
      <c r="N71" s="159">
        <f t="shared" si="12"/>
        <v>67</v>
      </c>
      <c r="O71" s="159">
        <f t="shared" si="13"/>
        <v>58</v>
      </c>
      <c r="P71" s="15">
        <v>0</v>
      </c>
      <c r="Q71" s="15">
        <v>0</v>
      </c>
      <c r="R71">
        <v>0</v>
      </c>
      <c r="S71" t="e" vm="1">
        <f t="shared" si="14"/>
        <v>#VALUE!</v>
      </c>
      <c r="T71" s="14" t="e" vm="1">
        <f>Table232[[#This Row],[BDG]]/Table232[[#This Row],[Odds]]</f>
        <v>#VALUE!</v>
      </c>
      <c r="U71" s="14" t="e" cm="1" vm="2">
        <f t="array" ref="U71">MAX(_xlfn._xlws.FILTER(Table22[[B365]:[BFAIREXC]], Table22[PLAYER] = A71))</f>
        <v>#VALUE!</v>
      </c>
    </row>
    <row r="72" spans="1:21" hidden="1">
      <c r="A72" s="159" t="s">
        <v>101</v>
      </c>
      <c r="B72">
        <v>135</v>
      </c>
      <c r="C72">
        <v>44</v>
      </c>
      <c r="D72">
        <v>58</v>
      </c>
      <c r="E72">
        <v>162</v>
      </c>
      <c r="F72">
        <v>114</v>
      </c>
      <c r="G72">
        <v>138</v>
      </c>
      <c r="H72" s="137">
        <v>258.40000000000003</v>
      </c>
      <c r="I72" s="382">
        <v>453.3891624373976</v>
      </c>
      <c r="J72" s="259">
        <v>253.18646877140932</v>
      </c>
      <c r="K72" s="260">
        <v>403.25043129253157</v>
      </c>
      <c r="L72" s="16">
        <f t="shared" si="10"/>
        <v>74</v>
      </c>
      <c r="M72" s="230">
        <f t="shared" si="11"/>
        <v>101</v>
      </c>
      <c r="N72" s="159">
        <f t="shared" si="12"/>
        <v>68</v>
      </c>
      <c r="O72" s="159">
        <f t="shared" si="13"/>
        <v>78</v>
      </c>
      <c r="P72" s="15">
        <v>0</v>
      </c>
      <c r="Q72" s="15">
        <v>0</v>
      </c>
      <c r="R72">
        <v>36</v>
      </c>
      <c r="S72" t="e" vm="1">
        <f t="shared" si="14"/>
        <v>#VALUE!</v>
      </c>
      <c r="T72" s="14" t="e" vm="1">
        <f>Table232[[#This Row],[BDG]]/Table232[[#This Row],[Odds]]</f>
        <v>#VALUE!</v>
      </c>
      <c r="U72" s="14" t="e" cm="1" vm="2">
        <f t="array" ref="U72">MAX(_xlfn._xlws.FILTER(Table22[[B365]:[BFAIREXC]], Table22[PLAYER] = A72))</f>
        <v>#VALUE!</v>
      </c>
    </row>
    <row r="73" spans="1:21" hidden="1">
      <c r="A73" s="159" t="s">
        <v>796</v>
      </c>
      <c r="B73">
        <v>158</v>
      </c>
      <c r="C73">
        <v>20</v>
      </c>
      <c r="D73">
        <v>43</v>
      </c>
      <c r="E73">
        <v>171</v>
      </c>
      <c r="F73">
        <v>120</v>
      </c>
      <c r="G73">
        <v>38</v>
      </c>
      <c r="H73" s="137">
        <v>253.3</v>
      </c>
      <c r="I73" s="382">
        <v>351.94084726278686</v>
      </c>
      <c r="J73" s="259">
        <v>253.3</v>
      </c>
      <c r="K73" s="260">
        <v>351.94084726278686</v>
      </c>
      <c r="L73" s="16">
        <f t="shared" si="10"/>
        <v>69</v>
      </c>
      <c r="M73" s="230">
        <f t="shared" si="11"/>
        <v>51</v>
      </c>
      <c r="N73" s="159">
        <f t="shared" si="12"/>
        <v>69</v>
      </c>
      <c r="O73" s="159">
        <f t="shared" si="13"/>
        <v>52</v>
      </c>
      <c r="P73" s="15" t="e">
        <v>#N/A</v>
      </c>
      <c r="Q73" s="15" t="e">
        <v>#N/A</v>
      </c>
      <c r="R73" t="e">
        <v>#N/A</v>
      </c>
      <c r="S73" t="e" vm="1">
        <f t="shared" si="14"/>
        <v>#VALUE!</v>
      </c>
      <c r="T73" s="14" t="e" vm="1">
        <f>Table232[[#This Row],[BDG]]/Table232[[#This Row],[Odds]]</f>
        <v>#VALUE!</v>
      </c>
      <c r="U73" s="14" t="e" cm="1" vm="2">
        <f t="array" ref="U73">MAX(_xlfn._xlws.FILTER(Table22[[B365]:[BFAIREXC]], Table22[PLAYER] = A73))</f>
        <v>#VALUE!</v>
      </c>
    </row>
    <row r="74" spans="1:21" hidden="1">
      <c r="A74" s="159" t="s">
        <v>488</v>
      </c>
      <c r="B74">
        <v>45</v>
      </c>
      <c r="C74">
        <v>59</v>
      </c>
      <c r="D74">
        <v>90</v>
      </c>
      <c r="E74">
        <v>134</v>
      </c>
      <c r="F74">
        <v>79</v>
      </c>
      <c r="G74">
        <v>85</v>
      </c>
      <c r="H74" s="137">
        <v>210.6</v>
      </c>
      <c r="I74" s="382">
        <v>342.27028853705497</v>
      </c>
      <c r="J74" s="259">
        <v>255.63063180981561</v>
      </c>
      <c r="K74" s="260">
        <v>423.15057485260974</v>
      </c>
      <c r="L74" s="16">
        <f t="shared" si="10"/>
        <v>30</v>
      </c>
      <c r="M74" s="230">
        <f t="shared" si="11"/>
        <v>48</v>
      </c>
      <c r="N74" s="159">
        <f t="shared" si="12"/>
        <v>70</v>
      </c>
      <c r="O74" s="159">
        <f t="shared" si="13"/>
        <v>89</v>
      </c>
      <c r="P74" s="15">
        <v>0</v>
      </c>
      <c r="Q74" s="15">
        <v>0.125</v>
      </c>
      <c r="R74">
        <v>29</v>
      </c>
      <c r="S74" t="e" vm="1">
        <f t="shared" si="14"/>
        <v>#VALUE!</v>
      </c>
      <c r="T74" s="14" t="e" vm="1">
        <f>Table232[[#This Row],[BDG]]/Table232[[#This Row],[Odds]]</f>
        <v>#VALUE!</v>
      </c>
      <c r="U74" s="14" t="e" cm="1" vm="2">
        <f t="array" ref="U74">MAX(_xlfn._xlws.FILTER(Table22[[B365]:[BFAIREXC]], Table22[PLAYER] = A74))</f>
        <v>#VALUE!</v>
      </c>
    </row>
    <row r="75" spans="1:21" hidden="1">
      <c r="A75" s="159" t="s">
        <v>50</v>
      </c>
      <c r="B75">
        <v>59</v>
      </c>
      <c r="C75">
        <v>158</v>
      </c>
      <c r="D75">
        <v>95</v>
      </c>
      <c r="E75">
        <v>77</v>
      </c>
      <c r="F75">
        <v>59</v>
      </c>
      <c r="G75">
        <v>88</v>
      </c>
      <c r="H75" s="137">
        <v>251.1</v>
      </c>
      <c r="I75" s="382">
        <v>363.04818015713289</v>
      </c>
      <c r="J75" s="259">
        <v>255.74378390538726</v>
      </c>
      <c r="K75" s="260">
        <v>392.92625311835974</v>
      </c>
      <c r="L75" s="16">
        <f t="shared" si="10"/>
        <v>68</v>
      </c>
      <c r="M75" s="230">
        <f t="shared" si="11"/>
        <v>56</v>
      </c>
      <c r="N75" s="159">
        <f t="shared" si="12"/>
        <v>71</v>
      </c>
      <c r="O75" s="159">
        <f t="shared" si="13"/>
        <v>70</v>
      </c>
      <c r="P75" s="15">
        <v>0</v>
      </c>
      <c r="Q75" s="15">
        <v>0.14285714285714285</v>
      </c>
      <c r="R75">
        <v>-75</v>
      </c>
      <c r="S75" t="e" vm="1">
        <f t="shared" si="14"/>
        <v>#VALUE!</v>
      </c>
      <c r="T75" s="14">
        <f>Table232[[#This Row],[BDG]]/Table232[[#This Row],[Odds]]</f>
        <v>24.829493583047306</v>
      </c>
      <c r="U75" s="14" cm="1">
        <f t="array" ref="U75">MAX(_xlfn._xlws.FILTER(Table22[[B365]:[BFAIREXC]], Table22[PLAYER] = A75))</f>
        <v>10.3</v>
      </c>
    </row>
    <row r="76" spans="1:21" hidden="1">
      <c r="A76" s="159" t="s">
        <v>106</v>
      </c>
      <c r="B76">
        <v>86</v>
      </c>
      <c r="C76">
        <v>140</v>
      </c>
      <c r="D76">
        <v>121</v>
      </c>
      <c r="E76">
        <v>93</v>
      </c>
      <c r="F76">
        <v>14</v>
      </c>
      <c r="G76">
        <v>56</v>
      </c>
      <c r="H76" s="137">
        <v>263.10000000000002</v>
      </c>
      <c r="I76" s="382">
        <v>347.84426426216152</v>
      </c>
      <c r="J76" s="259">
        <v>256.50671922967564</v>
      </c>
      <c r="K76" s="260">
        <v>366.53696015567698</v>
      </c>
      <c r="L76" s="16">
        <f t="shared" si="10"/>
        <v>82</v>
      </c>
      <c r="M76" s="230">
        <f t="shared" si="11"/>
        <v>49</v>
      </c>
      <c r="N76" s="159">
        <f t="shared" si="12"/>
        <v>72</v>
      </c>
      <c r="O76" s="159">
        <f t="shared" si="13"/>
        <v>59</v>
      </c>
      <c r="P76" s="15">
        <v>0</v>
      </c>
      <c r="Q76" s="15">
        <v>0</v>
      </c>
      <c r="R76">
        <v>39</v>
      </c>
      <c r="S76" t="e" vm="1">
        <f t="shared" si="14"/>
        <v>#VALUE!</v>
      </c>
      <c r="T76" s="14" t="e" vm="1">
        <f>Table232[[#This Row],[BDG]]/Table232[[#This Row],[Odds]]</f>
        <v>#VALUE!</v>
      </c>
      <c r="U76" s="14" t="e" cm="1" vm="2">
        <f t="array" ref="U76">MAX(_xlfn._xlws.FILTER(Table22[[B365]:[BFAIREXC]], Table22[PLAYER] = A76))</f>
        <v>#VALUE!</v>
      </c>
    </row>
    <row r="77" spans="1:21" hidden="1">
      <c r="A77" s="159" t="s">
        <v>33</v>
      </c>
      <c r="B77">
        <v>11</v>
      </c>
      <c r="C77">
        <v>173</v>
      </c>
      <c r="D77">
        <v>132</v>
      </c>
      <c r="E77">
        <v>40</v>
      </c>
      <c r="F77">
        <v>21</v>
      </c>
      <c r="G77">
        <v>86</v>
      </c>
      <c r="H77" s="137">
        <v>227.2</v>
      </c>
      <c r="I77" s="382">
        <v>327.06050135575094</v>
      </c>
      <c r="J77" s="259">
        <v>256.78224204030488</v>
      </c>
      <c r="K77" s="260">
        <v>374.74052140666288</v>
      </c>
      <c r="L77" s="16">
        <f t="shared" si="10"/>
        <v>49</v>
      </c>
      <c r="M77" s="230">
        <f t="shared" si="11"/>
        <v>41</v>
      </c>
      <c r="N77" s="159">
        <f t="shared" si="12"/>
        <v>73</v>
      </c>
      <c r="O77" s="159">
        <f t="shared" si="13"/>
        <v>62</v>
      </c>
      <c r="P77" s="15">
        <v>0</v>
      </c>
      <c r="Q77" s="15">
        <v>0.33333333333333331</v>
      </c>
      <c r="R77">
        <v>-76</v>
      </c>
      <c r="S77" t="e" vm="1">
        <f t="shared" si="14"/>
        <v>#VALUE!</v>
      </c>
      <c r="T77" s="14">
        <f>Table232[[#This Row],[BDG]]/Table232[[#This Row],[Odds]]</f>
        <v>36.268678254280353</v>
      </c>
      <c r="U77" s="14" cm="1">
        <f t="array" ref="U77">MAX(_xlfn._xlws.FILTER(Table22[[B365]:[BFAIREXC]], Table22[PLAYER] = A77))</f>
        <v>7.08</v>
      </c>
    </row>
    <row r="78" spans="1:21" hidden="1">
      <c r="A78" s="159" t="s">
        <v>112</v>
      </c>
      <c r="B78">
        <v>157</v>
      </c>
      <c r="C78">
        <v>116</v>
      </c>
      <c r="D78">
        <v>115</v>
      </c>
      <c r="E78">
        <v>65</v>
      </c>
      <c r="F78">
        <v>156</v>
      </c>
      <c r="G78">
        <v>156</v>
      </c>
      <c r="H78" s="137">
        <v>332.70000000000005</v>
      </c>
      <c r="I78" s="382">
        <v>532.74700527397101</v>
      </c>
      <c r="J78" s="259">
        <v>258.5127205358869</v>
      </c>
      <c r="K78" s="260">
        <v>393.122125574861</v>
      </c>
      <c r="L78" s="16">
        <f t="shared" si="10"/>
        <v>130</v>
      </c>
      <c r="M78" s="230">
        <f t="shared" si="11"/>
        <v>125</v>
      </c>
      <c r="N78" s="159">
        <f t="shared" si="12"/>
        <v>74</v>
      </c>
      <c r="O78" s="159">
        <f t="shared" si="13"/>
        <v>71</v>
      </c>
      <c r="P78" s="15">
        <v>0</v>
      </c>
      <c r="Q78" s="15">
        <v>0</v>
      </c>
      <c r="R78">
        <v>-5</v>
      </c>
      <c r="S78" t="e" vm="1">
        <f t="shared" si="14"/>
        <v>#VALUE!</v>
      </c>
      <c r="T78" s="14" t="e" vm="1">
        <f>Table232[[#This Row],[BDG]]/Table232[[#This Row],[Odds]]</f>
        <v>#VALUE!</v>
      </c>
      <c r="U78" s="14" t="e" cm="1" vm="2">
        <f t="array" ref="U78">MAX(_xlfn._xlws.FILTER(Table22[[B365]:[BFAIREXC]], Table22[PLAYER] = A78))</f>
        <v>#VALUE!</v>
      </c>
    </row>
    <row r="79" spans="1:21" hidden="1">
      <c r="A79" s="159" t="s">
        <v>177</v>
      </c>
      <c r="B79">
        <v>172</v>
      </c>
      <c r="C79">
        <v>54</v>
      </c>
      <c r="D79">
        <v>66</v>
      </c>
      <c r="E79">
        <v>18</v>
      </c>
      <c r="F79">
        <v>169</v>
      </c>
      <c r="G79">
        <v>163</v>
      </c>
      <c r="H79" s="137">
        <v>256.59999999999997</v>
      </c>
      <c r="I79" s="382">
        <v>454.82096160833294</v>
      </c>
      <c r="J79" s="259">
        <v>258.58381899284097</v>
      </c>
      <c r="K79" s="260">
        <v>450.36163363999253</v>
      </c>
      <c r="L79" s="16">
        <f t="shared" si="10"/>
        <v>72</v>
      </c>
      <c r="M79" s="230">
        <f t="shared" si="11"/>
        <v>103</v>
      </c>
      <c r="N79" s="159">
        <f t="shared" si="12"/>
        <v>75</v>
      </c>
      <c r="O79" s="159">
        <f t="shared" si="13"/>
        <v>101</v>
      </c>
      <c r="P79" s="15">
        <v>0</v>
      </c>
      <c r="Q79" s="15">
        <v>0</v>
      </c>
      <c r="R79">
        <v>-1</v>
      </c>
      <c r="S79" t="e" vm="1">
        <f t="shared" si="14"/>
        <v>#VALUE!</v>
      </c>
      <c r="T79" s="14">
        <f>Table232[[#This Row],[BDG]]/Table232[[#This Row],[Odds]]</f>
        <v>18.874731313346057</v>
      </c>
      <c r="U79" s="14" cm="1">
        <f t="array" ref="U79">MAX(_xlfn._xlws.FILTER(Table22[[B365]:[BFAIREXC]], Table22[PLAYER] = A79))</f>
        <v>13.7</v>
      </c>
    </row>
    <row r="80" spans="1:21" hidden="1">
      <c r="A80" s="159" t="s">
        <v>75</v>
      </c>
      <c r="B80">
        <v>75</v>
      </c>
      <c r="C80">
        <v>119</v>
      </c>
      <c r="D80">
        <v>13</v>
      </c>
      <c r="E80">
        <v>149</v>
      </c>
      <c r="F80">
        <v>187</v>
      </c>
      <c r="G80">
        <v>139</v>
      </c>
      <c r="H80" s="137">
        <v>259.89999999999998</v>
      </c>
      <c r="I80" s="382">
        <v>445.18194446562387</v>
      </c>
      <c r="J80" s="259">
        <v>259.89999999999998</v>
      </c>
      <c r="K80" s="260">
        <v>445.18194446562387</v>
      </c>
      <c r="L80" s="16">
        <f t="shared" si="10"/>
        <v>78</v>
      </c>
      <c r="M80" s="230">
        <f t="shared" si="11"/>
        <v>93</v>
      </c>
      <c r="N80" s="159">
        <f t="shared" si="12"/>
        <v>76</v>
      </c>
      <c r="O80" s="159">
        <f t="shared" si="13"/>
        <v>99</v>
      </c>
      <c r="P80" s="15" t="e">
        <v>#N/A</v>
      </c>
      <c r="Q80" s="15" t="e">
        <v>#N/A</v>
      </c>
      <c r="R80" t="e">
        <v>#N/A</v>
      </c>
      <c r="S80" t="e" vm="1">
        <f t="shared" si="14"/>
        <v>#VALUE!</v>
      </c>
      <c r="T80" s="14" t="e" vm="1">
        <f>Table232[[#This Row],[BDG]]/Table232[[#This Row],[Odds]]</f>
        <v>#VALUE!</v>
      </c>
      <c r="U80" s="14" t="e" cm="1" vm="2">
        <f t="array" ref="U80">MAX(_xlfn._xlws.FILTER(Table22[[B365]:[BFAIREXC]], Table22[PLAYER] = A80))</f>
        <v>#VALUE!</v>
      </c>
    </row>
    <row r="81" spans="1:21" hidden="1">
      <c r="A81" s="159" t="s">
        <v>97</v>
      </c>
      <c r="B81">
        <v>117</v>
      </c>
      <c r="C81">
        <v>159</v>
      </c>
      <c r="D81">
        <v>136</v>
      </c>
      <c r="E81">
        <v>21</v>
      </c>
      <c r="F81">
        <v>72</v>
      </c>
      <c r="G81">
        <v>109</v>
      </c>
      <c r="H81" s="137">
        <v>297.99999999999994</v>
      </c>
      <c r="I81" s="382">
        <v>429.22733531219984</v>
      </c>
      <c r="J81" s="259">
        <v>260.38809613659566</v>
      </c>
      <c r="K81" s="260">
        <v>349.51802540424922</v>
      </c>
      <c r="L81" s="16">
        <f t="shared" si="10"/>
        <v>112</v>
      </c>
      <c r="M81" s="230">
        <f t="shared" si="11"/>
        <v>85</v>
      </c>
      <c r="N81" s="159">
        <f t="shared" si="12"/>
        <v>77</v>
      </c>
      <c r="O81" s="159">
        <f t="shared" si="13"/>
        <v>51</v>
      </c>
      <c r="P81" s="15">
        <v>0</v>
      </c>
      <c r="Q81" s="15">
        <v>0.1111111111111111</v>
      </c>
      <c r="R81">
        <v>-21</v>
      </c>
      <c r="S81" t="e" vm="1">
        <f t="shared" si="14"/>
        <v>#VALUE!</v>
      </c>
      <c r="T81" s="14">
        <f>Table232[[#This Row],[BDG]]/Table232[[#This Row],[Odds]]</f>
        <v>47.257367719890318</v>
      </c>
      <c r="U81" s="14" cm="1">
        <f t="array" ref="U81">MAX(_xlfn._xlws.FILTER(Table22[[B365]:[BFAIREXC]], Table22[PLAYER] = A81))</f>
        <v>5.51</v>
      </c>
    </row>
    <row r="82" spans="1:21" hidden="1">
      <c r="A82" s="159" t="s">
        <v>151</v>
      </c>
      <c r="B82">
        <v>141</v>
      </c>
      <c r="C82">
        <v>122</v>
      </c>
      <c r="D82">
        <v>42</v>
      </c>
      <c r="E82">
        <v>140</v>
      </c>
      <c r="F82">
        <v>40</v>
      </c>
      <c r="G82">
        <v>82</v>
      </c>
      <c r="H82" s="137">
        <v>259.20000000000005</v>
      </c>
      <c r="I82" s="382">
        <v>374.9913560592056</v>
      </c>
      <c r="J82" s="259">
        <v>261.97494404102406</v>
      </c>
      <c r="K82" s="260">
        <v>399.58028906411801</v>
      </c>
      <c r="L82" s="16">
        <f t="shared" si="10"/>
        <v>76</v>
      </c>
      <c r="M82" s="230">
        <f t="shared" si="11"/>
        <v>61</v>
      </c>
      <c r="N82" s="159">
        <f t="shared" si="12"/>
        <v>78</v>
      </c>
      <c r="O82" s="159">
        <f t="shared" si="13"/>
        <v>76</v>
      </c>
      <c r="P82" s="15">
        <v>0</v>
      </c>
      <c r="Q82" s="15">
        <v>0</v>
      </c>
      <c r="R82">
        <v>31</v>
      </c>
      <c r="S82" t="e" vm="1">
        <f t="shared" si="14"/>
        <v>#VALUE!</v>
      </c>
      <c r="T82" s="14">
        <f>Table232[[#This Row],[BDG]]/Table232[[#This Row],[Odds]]</f>
        <v>50.283098664304042</v>
      </c>
      <c r="U82" s="14" cm="1">
        <f t="array" ref="U82">MAX(_xlfn._xlws.FILTER(Table22[[B365]:[BFAIREXC]], Table22[PLAYER] = A82))</f>
        <v>5.21</v>
      </c>
    </row>
    <row r="83" spans="1:21" hidden="1">
      <c r="A83" s="159" t="s">
        <v>156</v>
      </c>
      <c r="B83">
        <v>147</v>
      </c>
      <c r="C83">
        <v>14</v>
      </c>
      <c r="D83">
        <v>117</v>
      </c>
      <c r="E83">
        <v>15</v>
      </c>
      <c r="F83">
        <v>140</v>
      </c>
      <c r="G83">
        <v>118</v>
      </c>
      <c r="H83" s="137">
        <v>240.5</v>
      </c>
      <c r="I83" s="382">
        <v>400.25814157586507</v>
      </c>
      <c r="J83" s="259">
        <v>262.30141564450827</v>
      </c>
      <c r="K83" s="260">
        <v>442.59160742671895</v>
      </c>
      <c r="L83" s="16">
        <f t="shared" si="10"/>
        <v>60</v>
      </c>
      <c r="M83" s="230">
        <f t="shared" si="11"/>
        <v>73</v>
      </c>
      <c r="N83" s="159">
        <f t="shared" si="12"/>
        <v>79</v>
      </c>
      <c r="O83" s="159">
        <f t="shared" si="13"/>
        <v>96</v>
      </c>
      <c r="P83" s="15">
        <v>0</v>
      </c>
      <c r="Q83" s="15">
        <v>0</v>
      </c>
      <c r="R83">
        <v>-2</v>
      </c>
      <c r="S83" t="e" vm="1">
        <f t="shared" si="14"/>
        <v>#VALUE!</v>
      </c>
      <c r="T83" s="14">
        <f>Table232[[#This Row],[BDG]]/Table232[[#This Row],[Odds]]</f>
        <v>21.325318345081971</v>
      </c>
      <c r="U83" s="14" cm="1">
        <f t="array" ref="U83">MAX(_xlfn._xlws.FILTER(Table22[[B365]:[BFAIREXC]], Table22[PLAYER] = A83))</f>
        <v>12.3</v>
      </c>
    </row>
    <row r="84" spans="1:21" hidden="1">
      <c r="A84" s="159" t="s">
        <v>87</v>
      </c>
      <c r="B84">
        <v>87</v>
      </c>
      <c r="C84">
        <v>66</v>
      </c>
      <c r="D84">
        <v>60</v>
      </c>
      <c r="E84">
        <v>154</v>
      </c>
      <c r="F84">
        <v>168</v>
      </c>
      <c r="G84">
        <v>112</v>
      </c>
      <c r="H84" s="137">
        <v>262.60000000000002</v>
      </c>
      <c r="I84" s="382">
        <v>432.46089404854757</v>
      </c>
      <c r="J84" s="259">
        <v>262.60000000000002</v>
      </c>
      <c r="K84" s="260">
        <v>432.46089404854752</v>
      </c>
      <c r="L84" s="16">
        <f t="shared" si="10"/>
        <v>81</v>
      </c>
      <c r="M84" s="230">
        <f t="shared" si="11"/>
        <v>89</v>
      </c>
      <c r="N84" s="159">
        <f t="shared" si="12"/>
        <v>80</v>
      </c>
      <c r="O84" s="159">
        <f t="shared" si="13"/>
        <v>93</v>
      </c>
      <c r="P84" s="15">
        <v>0</v>
      </c>
      <c r="Q84" s="15">
        <v>0</v>
      </c>
      <c r="R84" t="e">
        <v>#N/A</v>
      </c>
      <c r="S84" t="e" vm="1">
        <f t="shared" si="14"/>
        <v>#VALUE!</v>
      </c>
      <c r="T84" s="14">
        <f>Table232[[#This Row],[BDG]]/Table232[[#This Row],[Odds]]</f>
        <v>19.167883211678834</v>
      </c>
      <c r="U84" s="14" cm="1">
        <f t="array" ref="U84">MAX(_xlfn._xlws.FILTER(Table22[[B365]:[BFAIREXC]], Table22[PLAYER] = A84))</f>
        <v>13.7</v>
      </c>
    </row>
    <row r="85" spans="1:21" hidden="1">
      <c r="A85" s="159" t="s">
        <v>79</v>
      </c>
      <c r="B85">
        <v>40</v>
      </c>
      <c r="C85">
        <v>89</v>
      </c>
      <c r="D85">
        <v>114</v>
      </c>
      <c r="E85">
        <v>156</v>
      </c>
      <c r="F85">
        <v>173</v>
      </c>
      <c r="G85">
        <v>162</v>
      </c>
      <c r="H85" s="137">
        <v>288.8</v>
      </c>
      <c r="I85" s="382">
        <v>513.55802624644593</v>
      </c>
      <c r="J85" s="259">
        <v>262.77009819774071</v>
      </c>
      <c r="K85" s="260">
        <v>421.88439469242269</v>
      </c>
      <c r="L85" s="16">
        <f t="shared" si="10"/>
        <v>104</v>
      </c>
      <c r="M85" s="230">
        <f t="shared" si="11"/>
        <v>116</v>
      </c>
      <c r="N85" s="159">
        <f t="shared" si="12"/>
        <v>81</v>
      </c>
      <c r="O85" s="159">
        <f t="shared" si="13"/>
        <v>88</v>
      </c>
      <c r="P85" s="15">
        <v>0</v>
      </c>
      <c r="Q85" s="15">
        <v>0</v>
      </c>
      <c r="R85">
        <v>11</v>
      </c>
      <c r="S85" t="e" vm="1">
        <f t="shared" si="14"/>
        <v>#VALUE!</v>
      </c>
      <c r="T85" s="14">
        <f>Table232[[#This Row],[BDG]]/Table232[[#This Row],[Odds]]</f>
        <v>25.511660019198125</v>
      </c>
      <c r="U85" s="14" cm="1">
        <f t="array" ref="U85">MAX(_xlfn._xlws.FILTER(Table22[[B365]:[BFAIREXC]], Table22[PLAYER] = A85))</f>
        <v>10.3</v>
      </c>
    </row>
    <row r="86" spans="1:21" hidden="1">
      <c r="A86" s="159" t="s">
        <v>147</v>
      </c>
      <c r="B86">
        <v>107</v>
      </c>
      <c r="C86">
        <v>94</v>
      </c>
      <c r="D86">
        <v>47</v>
      </c>
      <c r="E86">
        <v>80</v>
      </c>
      <c r="F86">
        <v>102</v>
      </c>
      <c r="G86">
        <v>81</v>
      </c>
      <c r="H86" s="137">
        <v>226.3</v>
      </c>
      <c r="I86" s="382">
        <v>338.06105316153355</v>
      </c>
      <c r="J86" s="259">
        <v>263.09332111289808</v>
      </c>
      <c r="K86" s="260">
        <v>398.19168638227995</v>
      </c>
      <c r="L86" s="16">
        <f t="shared" si="10"/>
        <v>47</v>
      </c>
      <c r="M86" s="230">
        <f t="shared" si="11"/>
        <v>46</v>
      </c>
      <c r="N86" s="159">
        <f t="shared" si="12"/>
        <v>82</v>
      </c>
      <c r="O86" s="159">
        <f t="shared" si="13"/>
        <v>74</v>
      </c>
      <c r="P86" s="15">
        <v>0</v>
      </c>
      <c r="Q86" s="15">
        <v>0.125</v>
      </c>
      <c r="R86">
        <v>24</v>
      </c>
      <c r="S86" t="e" vm="1">
        <f t="shared" si="14"/>
        <v>#VALUE!</v>
      </c>
      <c r="T86" s="14">
        <f>Table232[[#This Row],[BDG]]/Table232[[#This Row],[Odds]]</f>
        <v>36.188902491457782</v>
      </c>
      <c r="U86" s="14" cm="1">
        <f t="array" ref="U86">MAX(_xlfn._xlws.FILTER(Table22[[B365]:[BFAIREXC]], Table22[PLAYER] = A86))</f>
        <v>7.27</v>
      </c>
    </row>
    <row r="87" spans="1:21" hidden="1">
      <c r="A87" s="159" t="s">
        <v>63</v>
      </c>
      <c r="B87">
        <v>120</v>
      </c>
      <c r="C87">
        <v>165</v>
      </c>
      <c r="D87">
        <v>71</v>
      </c>
      <c r="E87">
        <v>71</v>
      </c>
      <c r="F87">
        <v>3</v>
      </c>
      <c r="G87">
        <v>32</v>
      </c>
      <c r="H87" s="137">
        <v>250.29999999999998</v>
      </c>
      <c r="I87" s="382">
        <v>296.58639554637972</v>
      </c>
      <c r="J87" s="259">
        <v>263.26003549648351</v>
      </c>
      <c r="K87" s="260">
        <v>326.41728823969208</v>
      </c>
      <c r="L87" s="16">
        <f t="shared" si="10"/>
        <v>64</v>
      </c>
      <c r="M87" s="230">
        <f t="shared" si="11"/>
        <v>25</v>
      </c>
      <c r="N87" s="159">
        <f t="shared" si="12"/>
        <v>83</v>
      </c>
      <c r="O87" s="159">
        <f t="shared" si="13"/>
        <v>36</v>
      </c>
      <c r="P87" s="15">
        <v>0</v>
      </c>
      <c r="Q87" s="15">
        <v>0</v>
      </c>
      <c r="R87">
        <v>-9</v>
      </c>
      <c r="S87" t="e" vm="1">
        <f t="shared" si="14"/>
        <v>#VALUE!</v>
      </c>
      <c r="T87" s="14" t="e" vm="1">
        <f>Table232[[#This Row],[BDG]]/Table232[[#This Row],[Odds]]</f>
        <v>#VALUE!</v>
      </c>
      <c r="U87" s="14" t="e" cm="1" vm="2">
        <f t="array" ref="U87">MAX(_xlfn._xlws.FILTER(Table22[[B365]:[BFAIREXC]], Table22[PLAYER] = A87))</f>
        <v>#VALUE!</v>
      </c>
    </row>
    <row r="88" spans="1:21" hidden="1">
      <c r="A88" s="159" t="s">
        <v>46</v>
      </c>
      <c r="B88">
        <v>61</v>
      </c>
      <c r="C88">
        <v>110</v>
      </c>
      <c r="D88">
        <v>155</v>
      </c>
      <c r="E88">
        <v>168</v>
      </c>
      <c r="F88">
        <v>56</v>
      </c>
      <c r="G88">
        <v>144</v>
      </c>
      <c r="H88" s="137">
        <v>300.7</v>
      </c>
      <c r="I88" s="382">
        <v>501.05864995086245</v>
      </c>
      <c r="J88" s="259">
        <v>264.28593840043914</v>
      </c>
      <c r="K88" s="260">
        <v>409.99650570249514</v>
      </c>
      <c r="L88" s="16">
        <f t="shared" si="10"/>
        <v>114</v>
      </c>
      <c r="M88" s="230">
        <f t="shared" si="11"/>
        <v>110</v>
      </c>
      <c r="N88" s="159">
        <f t="shared" si="12"/>
        <v>84</v>
      </c>
      <c r="O88" s="159">
        <f t="shared" si="13"/>
        <v>81</v>
      </c>
      <c r="P88" s="15">
        <v>0</v>
      </c>
      <c r="Q88" s="15">
        <v>0.14285714285714285</v>
      </c>
      <c r="R88">
        <v>-91</v>
      </c>
      <c r="S88" t="e" vm="1">
        <f t="shared" si="14"/>
        <v>#VALUE!</v>
      </c>
      <c r="T88" s="14" t="e" vm="1">
        <f>Table232[[#This Row],[BDG]]/Table232[[#This Row],[Odds]]</f>
        <v>#VALUE!</v>
      </c>
      <c r="U88" s="14" t="e" cm="1" vm="2">
        <f t="array" ref="U88">MAX(_xlfn._xlws.FILTER(Table22[[B365]:[BFAIREXC]], Table22[PLAYER] = A88))</f>
        <v>#VALUE!</v>
      </c>
    </row>
    <row r="89" spans="1:21" hidden="1">
      <c r="A89" s="159" t="s">
        <v>149</v>
      </c>
      <c r="B89">
        <v>144</v>
      </c>
      <c r="C89">
        <v>64</v>
      </c>
      <c r="D89">
        <v>110</v>
      </c>
      <c r="E89">
        <v>48</v>
      </c>
      <c r="F89">
        <v>93</v>
      </c>
      <c r="G89">
        <v>126</v>
      </c>
      <c r="H89" s="137">
        <v>258.2</v>
      </c>
      <c r="I89" s="382">
        <v>421.15181032739389</v>
      </c>
      <c r="J89" s="259">
        <v>266.01514852370047</v>
      </c>
      <c r="K89" s="260">
        <v>417.82569294813584</v>
      </c>
      <c r="L89" s="16">
        <f t="shared" si="10"/>
        <v>73</v>
      </c>
      <c r="M89" s="230">
        <f t="shared" si="11"/>
        <v>82</v>
      </c>
      <c r="N89" s="159">
        <f t="shared" si="12"/>
        <v>85</v>
      </c>
      <c r="O89" s="159">
        <f t="shared" si="13"/>
        <v>86</v>
      </c>
      <c r="P89" s="15">
        <v>0</v>
      </c>
      <c r="Q89" s="15">
        <v>0</v>
      </c>
      <c r="R89">
        <v>-56</v>
      </c>
      <c r="S89" t="e" vm="1">
        <f t="shared" si="14"/>
        <v>#VALUE!</v>
      </c>
      <c r="T89" s="14" t="e" vm="1">
        <f>Table232[[#This Row],[BDG]]/Table232[[#This Row],[Odds]]</f>
        <v>#VALUE!</v>
      </c>
      <c r="U89" s="14" t="e" cm="1" vm="2">
        <f t="array" ref="U89">MAX(_xlfn._xlws.FILTER(Table22[[B365]:[BFAIREXC]], Table22[PLAYER] = A89))</f>
        <v>#VALUE!</v>
      </c>
    </row>
    <row r="90" spans="1:21" hidden="1">
      <c r="A90" s="159" t="s">
        <v>144</v>
      </c>
      <c r="B90">
        <v>162</v>
      </c>
      <c r="C90">
        <v>66</v>
      </c>
      <c r="D90">
        <v>167</v>
      </c>
      <c r="E90">
        <v>37</v>
      </c>
      <c r="F90">
        <v>150</v>
      </c>
      <c r="G90">
        <v>161</v>
      </c>
      <c r="H90" s="137">
        <v>328.5</v>
      </c>
      <c r="I90" s="382">
        <v>539.95781554891039</v>
      </c>
      <c r="J90" s="259">
        <v>266.14870634352019</v>
      </c>
      <c r="K90" s="260">
        <v>402.59156572056884</v>
      </c>
      <c r="L90" s="16">
        <f t="shared" si="10"/>
        <v>129</v>
      </c>
      <c r="M90" s="230">
        <f t="shared" si="11"/>
        <v>130</v>
      </c>
      <c r="N90" s="159">
        <f t="shared" si="12"/>
        <v>86</v>
      </c>
      <c r="O90" s="159">
        <f t="shared" si="13"/>
        <v>77</v>
      </c>
      <c r="P90" s="15">
        <v>0</v>
      </c>
      <c r="Q90" s="15">
        <v>0</v>
      </c>
      <c r="R90">
        <v>-4</v>
      </c>
      <c r="S90" t="e" vm="1">
        <f t="shared" si="14"/>
        <v>#VALUE!</v>
      </c>
      <c r="T90" s="14" t="e" vm="1">
        <f>Table232[[#This Row],[BDG]]/Table232[[#This Row],[Odds]]</f>
        <v>#VALUE!</v>
      </c>
      <c r="U90" s="14" t="e" cm="1" vm="2">
        <f t="array" ref="U90">MAX(_xlfn._xlws.FILTER(Table22[[B365]:[BFAIREXC]], Table22[PLAYER] = A90))</f>
        <v>#VALUE!</v>
      </c>
    </row>
    <row r="91" spans="1:21" hidden="1">
      <c r="A91" s="159" t="s">
        <v>562</v>
      </c>
      <c r="B91">
        <v>3</v>
      </c>
      <c r="C91">
        <v>135</v>
      </c>
      <c r="D91">
        <v>103</v>
      </c>
      <c r="E91">
        <v>175</v>
      </c>
      <c r="F91">
        <v>105</v>
      </c>
      <c r="G91">
        <v>98</v>
      </c>
      <c r="H91" s="137">
        <v>266.89999999999998</v>
      </c>
      <c r="I91" s="382">
        <v>415.87294619901786</v>
      </c>
      <c r="J91" s="259">
        <v>266.89999999999998</v>
      </c>
      <c r="K91" s="260">
        <v>415.87294619901786</v>
      </c>
      <c r="L91" s="16">
        <f t="shared" si="10"/>
        <v>86</v>
      </c>
      <c r="M91" s="230">
        <f t="shared" si="11"/>
        <v>79</v>
      </c>
      <c r="N91" s="159">
        <f t="shared" si="12"/>
        <v>87</v>
      </c>
      <c r="O91" s="159">
        <f t="shared" si="13"/>
        <v>85</v>
      </c>
      <c r="P91" s="15">
        <v>0</v>
      </c>
      <c r="Q91" s="15">
        <v>0</v>
      </c>
      <c r="R91">
        <v>11</v>
      </c>
      <c r="S91" t="e" vm="1">
        <f t="shared" si="14"/>
        <v>#VALUE!</v>
      </c>
      <c r="T91" s="14">
        <f>Table232[[#This Row],[BDG]]/Table232[[#This Row],[Odds]]</f>
        <v>22.618644067796605</v>
      </c>
      <c r="U91" s="14" cm="1">
        <f t="array" ref="U91">MAX(_xlfn._xlws.FILTER(Table22[[B365]:[BFAIREXC]], Table22[PLAYER] = A91))</f>
        <v>11.8</v>
      </c>
    </row>
    <row r="92" spans="1:21" hidden="1">
      <c r="A92" s="159" t="s">
        <v>39</v>
      </c>
      <c r="B92">
        <v>77</v>
      </c>
      <c r="C92">
        <v>163</v>
      </c>
      <c r="D92">
        <v>150</v>
      </c>
      <c r="E92">
        <v>3</v>
      </c>
      <c r="F92">
        <v>57</v>
      </c>
      <c r="G92">
        <v>103</v>
      </c>
      <c r="H92" s="137">
        <v>273</v>
      </c>
      <c r="I92" s="382">
        <v>392.78156464498466</v>
      </c>
      <c r="J92" s="259">
        <v>267.25447578890004</v>
      </c>
      <c r="K92" s="260">
        <v>370.30237076038122</v>
      </c>
      <c r="L92" s="16">
        <f t="shared" si="10"/>
        <v>92</v>
      </c>
      <c r="M92" s="230">
        <f t="shared" si="11"/>
        <v>68</v>
      </c>
      <c r="N92" s="159">
        <f t="shared" si="12"/>
        <v>88</v>
      </c>
      <c r="O92" s="159">
        <f t="shared" si="13"/>
        <v>61</v>
      </c>
      <c r="P92" s="15">
        <v>0</v>
      </c>
      <c r="Q92" s="15">
        <v>0</v>
      </c>
      <c r="R92">
        <v>-48</v>
      </c>
      <c r="S92" t="e" vm="1">
        <f t="shared" si="14"/>
        <v>#VALUE!</v>
      </c>
      <c r="T92" s="14">
        <f>Table232[[#This Row],[BDG]]/Table232[[#This Row],[Odds]]</f>
        <v>34.889618249203657</v>
      </c>
      <c r="U92" s="14" cm="1">
        <f t="array" ref="U92">MAX(_xlfn._xlws.FILTER(Table22[[B365]:[BFAIREXC]], Table22[PLAYER] = A92))</f>
        <v>7.66</v>
      </c>
    </row>
    <row r="93" spans="1:21" hidden="1">
      <c r="A93" s="159" t="s">
        <v>163</v>
      </c>
      <c r="B93">
        <v>164</v>
      </c>
      <c r="C93">
        <v>42</v>
      </c>
      <c r="D93">
        <v>67</v>
      </c>
      <c r="E93">
        <v>115</v>
      </c>
      <c r="F93">
        <v>142</v>
      </c>
      <c r="G93">
        <v>141</v>
      </c>
      <c r="H93" s="137">
        <v>273.3</v>
      </c>
      <c r="I93" s="382">
        <v>467.53765736528374</v>
      </c>
      <c r="J93" s="259">
        <v>267.86337494003448</v>
      </c>
      <c r="K93" s="260">
        <v>451.94752251721843</v>
      </c>
      <c r="L93" s="16">
        <f t="shared" si="10"/>
        <v>93</v>
      </c>
      <c r="M93" s="230">
        <f t="shared" si="11"/>
        <v>105</v>
      </c>
      <c r="N93" s="159">
        <f t="shared" si="12"/>
        <v>89</v>
      </c>
      <c r="O93" s="159">
        <f t="shared" si="13"/>
        <v>103</v>
      </c>
      <c r="P93" s="15">
        <v>0</v>
      </c>
      <c r="Q93" s="15">
        <v>0</v>
      </c>
      <c r="R93">
        <v>39</v>
      </c>
      <c r="S93" t="e" vm="1">
        <f t="shared" si="14"/>
        <v>#VALUE!</v>
      </c>
      <c r="T93" s="14">
        <f>Table232[[#This Row],[BDG]]/Table232[[#This Row],[Odds]]</f>
        <v>16.039723050301465</v>
      </c>
      <c r="U93" s="14" cm="1">
        <f t="array" ref="U93">MAX(_xlfn._xlws.FILTER(Table22[[B365]:[BFAIREXC]], Table22[PLAYER] = A93))</f>
        <v>16.7</v>
      </c>
    </row>
    <row r="94" spans="1:21" hidden="1">
      <c r="A94" s="159" t="s">
        <v>11</v>
      </c>
      <c r="B94">
        <v>59</v>
      </c>
      <c r="C94">
        <v>123</v>
      </c>
      <c r="D94">
        <v>143</v>
      </c>
      <c r="E94">
        <v>149</v>
      </c>
      <c r="F94">
        <v>127</v>
      </c>
      <c r="G94">
        <v>150</v>
      </c>
      <c r="H94" s="137">
        <v>319.7</v>
      </c>
      <c r="I94" s="382">
        <v>527.31626832216489</v>
      </c>
      <c r="J94" s="259">
        <v>269.24647198138041</v>
      </c>
      <c r="K94" s="260">
        <v>458.42471004691333</v>
      </c>
      <c r="L94" s="16">
        <f t="shared" si="10"/>
        <v>122</v>
      </c>
      <c r="M94" s="230">
        <f t="shared" si="11"/>
        <v>124</v>
      </c>
      <c r="N94" s="159">
        <f t="shared" si="12"/>
        <v>90</v>
      </c>
      <c r="O94" s="159">
        <f t="shared" si="13"/>
        <v>108</v>
      </c>
      <c r="P94" s="15">
        <v>0</v>
      </c>
      <c r="Q94" s="15">
        <v>0.125</v>
      </c>
      <c r="R94">
        <v>22</v>
      </c>
      <c r="S94" t="e" vm="1">
        <f t="shared" si="14"/>
        <v>#VALUE!</v>
      </c>
      <c r="T94" s="14">
        <f>Table232[[#This Row],[BDG]]/Table232[[#This Row],[Odds]]</f>
        <v>39.134661625200643</v>
      </c>
      <c r="U94" s="14" cm="1">
        <f t="array" ref="U94">MAX(_xlfn._xlws.FILTER(Table22[[B365]:[BFAIREXC]], Table22[PLAYER] = A94))</f>
        <v>6.88</v>
      </c>
    </row>
    <row r="95" spans="1:21" hidden="1">
      <c r="A95" s="159" t="s">
        <v>238</v>
      </c>
      <c r="B95">
        <v>193</v>
      </c>
      <c r="C95">
        <v>105</v>
      </c>
      <c r="D95">
        <v>78</v>
      </c>
      <c r="E95">
        <v>53</v>
      </c>
      <c r="F95">
        <v>37</v>
      </c>
      <c r="G95">
        <v>149</v>
      </c>
      <c r="H95" s="137">
        <v>269.40000000000003</v>
      </c>
      <c r="I95" s="382">
        <v>442.92192322796609</v>
      </c>
      <c r="J95" s="259">
        <v>269.40000000000003</v>
      </c>
      <c r="K95" s="260">
        <v>442.92192322796609</v>
      </c>
      <c r="L95" s="16">
        <f t="shared" si="10"/>
        <v>87</v>
      </c>
      <c r="M95" s="230">
        <f t="shared" si="11"/>
        <v>91</v>
      </c>
      <c r="N95" s="159">
        <f t="shared" si="12"/>
        <v>91</v>
      </c>
      <c r="O95" s="159">
        <f t="shared" si="13"/>
        <v>98</v>
      </c>
      <c r="P95" s="15" t="e">
        <v>#N/A</v>
      </c>
      <c r="Q95" s="15" t="e">
        <v>#N/A</v>
      </c>
      <c r="R95" t="e">
        <v>#N/A</v>
      </c>
      <c r="S95" t="e" vm="1">
        <f t="shared" si="14"/>
        <v>#VALUE!</v>
      </c>
      <c r="T95" s="14" t="e" vm="1">
        <f>Table232[[#This Row],[BDG]]/Table232[[#This Row],[Odds]]</f>
        <v>#VALUE!</v>
      </c>
      <c r="U95" s="14" t="e" cm="1" vm="2">
        <f t="array" ref="U95">MAX(_xlfn._xlws.FILTER(Table22[[B365]:[BFAIREXC]], Table22[PLAYER] = A95))</f>
        <v>#VALUE!</v>
      </c>
    </row>
    <row r="96" spans="1:21" hidden="1">
      <c r="A96" s="159" t="s">
        <v>17</v>
      </c>
      <c r="B96">
        <v>19</v>
      </c>
      <c r="C96">
        <v>172</v>
      </c>
      <c r="D96">
        <v>137</v>
      </c>
      <c r="E96">
        <v>139</v>
      </c>
      <c r="F96">
        <v>153</v>
      </c>
      <c r="G96">
        <v>160</v>
      </c>
      <c r="H96" s="137">
        <v>327.3</v>
      </c>
      <c r="I96" s="382">
        <v>538.51793069019698</v>
      </c>
      <c r="J96" s="259">
        <v>270.64446346915963</v>
      </c>
      <c r="K96" s="260">
        <v>427.13903995269976</v>
      </c>
      <c r="L96" s="16">
        <f t="shared" si="10"/>
        <v>128</v>
      </c>
      <c r="M96" s="230">
        <f t="shared" si="11"/>
        <v>127</v>
      </c>
      <c r="N96" s="159">
        <f t="shared" si="12"/>
        <v>92</v>
      </c>
      <c r="O96" s="159">
        <f t="shared" si="13"/>
        <v>90</v>
      </c>
      <c r="P96" s="15">
        <v>0</v>
      </c>
      <c r="Q96" s="15">
        <v>0</v>
      </c>
      <c r="R96">
        <v>2</v>
      </c>
      <c r="S96" t="e" vm="1">
        <f t="shared" si="14"/>
        <v>#VALUE!</v>
      </c>
      <c r="T96" s="14" t="e" vm="1">
        <f>Table232[[#This Row],[BDG]]/Table232[[#This Row],[Odds]]</f>
        <v>#VALUE!</v>
      </c>
      <c r="U96" s="14" t="e" cm="1" vm="2">
        <f t="array" ref="U96">MAX(_xlfn._xlws.FILTER(Table22[[B365]:[BFAIREXC]], Table22[PLAYER] = A96))</f>
        <v>#VALUE!</v>
      </c>
    </row>
    <row r="97" spans="1:21" hidden="1">
      <c r="A97" s="159" t="s">
        <v>102</v>
      </c>
      <c r="B97">
        <v>94</v>
      </c>
      <c r="C97">
        <v>66</v>
      </c>
      <c r="D97">
        <v>124</v>
      </c>
      <c r="E97">
        <v>105</v>
      </c>
      <c r="F97">
        <v>138</v>
      </c>
      <c r="G97">
        <v>115</v>
      </c>
      <c r="H97" s="137">
        <v>280</v>
      </c>
      <c r="I97" s="382">
        <v>448.98861220515738</v>
      </c>
      <c r="J97" s="259">
        <v>271.165484277556</v>
      </c>
      <c r="K97" s="260">
        <v>458.39588089797581</v>
      </c>
      <c r="L97" s="16">
        <f t="shared" si="10"/>
        <v>99</v>
      </c>
      <c r="M97" s="230">
        <f t="shared" si="11"/>
        <v>95</v>
      </c>
      <c r="N97" s="159">
        <f t="shared" si="12"/>
        <v>93</v>
      </c>
      <c r="O97" s="159">
        <f t="shared" si="13"/>
        <v>107</v>
      </c>
      <c r="P97" s="15">
        <v>0</v>
      </c>
      <c r="Q97" s="15">
        <v>0</v>
      </c>
      <c r="R97">
        <v>12</v>
      </c>
      <c r="S97" t="e" vm="1">
        <f t="shared" si="14"/>
        <v>#VALUE!</v>
      </c>
      <c r="T97" s="14" t="e" vm="1">
        <f>Table232[[#This Row],[BDG]]/Table232[[#This Row],[Odds]]</f>
        <v>#VALUE!</v>
      </c>
      <c r="U97" s="14" t="e" cm="1" vm="2">
        <f t="array" ref="U97">MAX(_xlfn._xlws.FILTER(Table22[[B365]:[BFAIREXC]], Table22[PLAYER] = A97))</f>
        <v>#VALUE!</v>
      </c>
    </row>
    <row r="98" spans="1:21" hidden="1">
      <c r="A98" s="159" t="s">
        <v>55</v>
      </c>
      <c r="B98">
        <v>53</v>
      </c>
      <c r="C98">
        <v>112</v>
      </c>
      <c r="D98">
        <v>159</v>
      </c>
      <c r="E98">
        <v>135</v>
      </c>
      <c r="F98">
        <v>108</v>
      </c>
      <c r="G98">
        <v>171</v>
      </c>
      <c r="H98" s="137">
        <v>307.5</v>
      </c>
      <c r="I98" s="382">
        <v>534.2019527289599</v>
      </c>
      <c r="J98" s="259">
        <v>272.18939481254699</v>
      </c>
      <c r="K98" s="260">
        <v>465.64276123443256</v>
      </c>
      <c r="L98" s="16">
        <f t="shared" ref="L98:L129" si="15">RANK(H98,$H$2:$H$143,1)</f>
        <v>117</v>
      </c>
      <c r="M98" s="230">
        <f t="shared" ref="M98:M129" si="16">RANK(I98,$I$2:$I$143,1)</f>
        <v>126</v>
      </c>
      <c r="N98" s="159">
        <f t="shared" ref="N98:N129" si="17">RANK(J98,$J$2:$J$143,1)</f>
        <v>94</v>
      </c>
      <c r="O98" s="159">
        <f t="shared" ref="O98:O129" si="18">RANK(K98,$K$2:$K$143,1)</f>
        <v>111</v>
      </c>
      <c r="P98" s="15">
        <v>0</v>
      </c>
      <c r="Q98" s="15">
        <v>0</v>
      </c>
      <c r="R98">
        <v>10</v>
      </c>
      <c r="S98" t="e" vm="1">
        <f t="shared" ref="S98:S129" si="19">RANK(U98,$U$2:$U$143,0)</f>
        <v>#VALUE!</v>
      </c>
      <c r="T98" s="14" t="e" vm="1">
        <f>Table232[[#This Row],[BDG]]/Table232[[#This Row],[Odds]]</f>
        <v>#VALUE!</v>
      </c>
      <c r="U98" s="14" t="e" cm="1" vm="2">
        <f t="array" ref="U98">MAX(_xlfn._xlws.FILTER(Table22[[B365]:[BFAIREXC]], Table22[PLAYER] = A98))</f>
        <v>#VALUE!</v>
      </c>
    </row>
    <row r="99" spans="1:21" hidden="1">
      <c r="A99" s="159" t="s">
        <v>109</v>
      </c>
      <c r="B99">
        <v>81</v>
      </c>
      <c r="C99">
        <v>77</v>
      </c>
      <c r="D99">
        <v>177</v>
      </c>
      <c r="E99">
        <v>172</v>
      </c>
      <c r="F99">
        <v>6</v>
      </c>
      <c r="G99">
        <v>154</v>
      </c>
      <c r="H99" s="137">
        <v>289.89999999999998</v>
      </c>
      <c r="I99" s="382">
        <v>502.57048863920431</v>
      </c>
      <c r="J99" s="259">
        <v>272.21723970395044</v>
      </c>
      <c r="K99" s="260">
        <v>453.06431375907539</v>
      </c>
      <c r="L99" s="16">
        <f t="shared" si="15"/>
        <v>105</v>
      </c>
      <c r="M99" s="230">
        <f t="shared" si="16"/>
        <v>112</v>
      </c>
      <c r="N99" s="159">
        <f t="shared" si="17"/>
        <v>95</v>
      </c>
      <c r="O99" s="159">
        <f t="shared" si="18"/>
        <v>105</v>
      </c>
      <c r="P99" s="15">
        <v>0</v>
      </c>
      <c r="Q99" s="15">
        <v>0</v>
      </c>
      <c r="R99">
        <v>-20</v>
      </c>
      <c r="S99" t="e" vm="1">
        <f t="shared" si="19"/>
        <v>#VALUE!</v>
      </c>
      <c r="T99" s="14">
        <f>Table232[[#This Row],[BDG]]/Table232[[#This Row],[Odds]]</f>
        <v>32.215057953130234</v>
      </c>
      <c r="U99" s="14" cm="1">
        <f t="array" ref="U99">MAX(_xlfn._xlws.FILTER(Table22[[B365]:[BFAIREXC]], Table22[PLAYER] = A99))</f>
        <v>8.4499999999999993</v>
      </c>
    </row>
    <row r="100" spans="1:21" hidden="1">
      <c r="A100" s="159" t="s">
        <v>239</v>
      </c>
      <c r="B100">
        <v>142</v>
      </c>
      <c r="C100">
        <v>20</v>
      </c>
      <c r="D100">
        <v>111</v>
      </c>
      <c r="E100">
        <v>90</v>
      </c>
      <c r="F100">
        <v>154</v>
      </c>
      <c r="G100">
        <v>142</v>
      </c>
      <c r="H100" s="137">
        <v>272.5</v>
      </c>
      <c r="I100" s="382">
        <v>471.82386365182327</v>
      </c>
      <c r="J100" s="259">
        <v>272.5</v>
      </c>
      <c r="K100" s="260">
        <v>471.82386365182327</v>
      </c>
      <c r="L100" s="16">
        <f t="shared" si="15"/>
        <v>91</v>
      </c>
      <c r="M100" s="230">
        <f t="shared" si="16"/>
        <v>106</v>
      </c>
      <c r="N100" s="159">
        <f t="shared" si="17"/>
        <v>96</v>
      </c>
      <c r="O100" s="159">
        <f t="shared" si="18"/>
        <v>114</v>
      </c>
      <c r="P100" s="15">
        <v>0</v>
      </c>
      <c r="Q100" s="15">
        <v>0</v>
      </c>
      <c r="R100" t="e">
        <v>#N/A</v>
      </c>
      <c r="S100" t="e" vm="1">
        <f t="shared" si="19"/>
        <v>#VALUE!</v>
      </c>
      <c r="T100" s="14">
        <f>Table232[[#This Row],[BDG]]/Table232[[#This Row],[Odds]]</f>
        <v>17.356687898089174</v>
      </c>
      <c r="U100" s="14" cm="1">
        <f t="array" ref="U100">MAX(_xlfn._xlws.FILTER(Table22[[B365]:[BFAIREXC]], Table22[PLAYER] = A100))</f>
        <v>15.7</v>
      </c>
    </row>
    <row r="101" spans="1:21" hidden="1">
      <c r="A101" s="159" t="s">
        <v>36</v>
      </c>
      <c r="B101">
        <v>69</v>
      </c>
      <c r="C101">
        <v>131</v>
      </c>
      <c r="D101">
        <v>127</v>
      </c>
      <c r="E101">
        <v>165</v>
      </c>
      <c r="F101">
        <v>95</v>
      </c>
      <c r="G101">
        <v>136</v>
      </c>
      <c r="H101" s="137">
        <v>312.89999999999998</v>
      </c>
      <c r="I101" s="382">
        <v>503.28823753801942</v>
      </c>
      <c r="J101" s="259">
        <v>274.34938593842617</v>
      </c>
      <c r="K101" s="260">
        <v>435.32614871800945</v>
      </c>
      <c r="L101" s="16">
        <f t="shared" si="15"/>
        <v>119</v>
      </c>
      <c r="M101" s="230">
        <f t="shared" si="16"/>
        <v>113</v>
      </c>
      <c r="N101" s="159">
        <f t="shared" si="17"/>
        <v>97</v>
      </c>
      <c r="O101" s="159">
        <f t="shared" si="18"/>
        <v>94</v>
      </c>
      <c r="P101" s="15">
        <v>0</v>
      </c>
      <c r="Q101" s="15">
        <v>0</v>
      </c>
      <c r="R101">
        <v>-43</v>
      </c>
      <c r="S101" t="e" vm="1">
        <f t="shared" si="19"/>
        <v>#VALUE!</v>
      </c>
      <c r="T101" s="14">
        <f>Table232[[#This Row],[BDG]]/Table232[[#This Row],[Odds]]</f>
        <v>43.616754521212428</v>
      </c>
      <c r="U101" s="14" cm="1">
        <f t="array" ref="U101">MAX(_xlfn._xlws.FILTER(Table22[[B365]:[BFAIREXC]], Table22[PLAYER] = A101))</f>
        <v>6.29</v>
      </c>
    </row>
    <row r="102" spans="1:21" hidden="1">
      <c r="A102" s="159" t="s">
        <v>60</v>
      </c>
      <c r="B102">
        <v>125</v>
      </c>
      <c r="C102">
        <v>37</v>
      </c>
      <c r="D102">
        <v>165</v>
      </c>
      <c r="E102">
        <v>144</v>
      </c>
      <c r="F102">
        <v>65</v>
      </c>
      <c r="G102">
        <v>147</v>
      </c>
      <c r="H102" s="137">
        <v>296.3</v>
      </c>
      <c r="I102" s="382">
        <v>507.06668202570665</v>
      </c>
      <c r="J102" s="259">
        <v>274.72339429326178</v>
      </c>
      <c r="K102" s="260">
        <v>463.61401481739182</v>
      </c>
      <c r="L102" s="16">
        <f t="shared" si="15"/>
        <v>111</v>
      </c>
      <c r="M102" s="230">
        <f t="shared" si="16"/>
        <v>114</v>
      </c>
      <c r="N102" s="159">
        <f t="shared" si="17"/>
        <v>98</v>
      </c>
      <c r="O102" s="159">
        <f t="shared" si="18"/>
        <v>110</v>
      </c>
      <c r="P102" s="15">
        <v>0</v>
      </c>
      <c r="Q102" s="15">
        <v>0</v>
      </c>
      <c r="R102">
        <v>-11</v>
      </c>
      <c r="S102" t="e" vm="1">
        <f t="shared" si="19"/>
        <v>#VALUE!</v>
      </c>
      <c r="T102" s="14">
        <f>Table232[[#This Row],[BDG]]/Table232[[#This Row],[Odds]]</f>
        <v>15.972290365887313</v>
      </c>
      <c r="U102" s="14" cm="1">
        <f t="array" ref="U102">MAX(_xlfn._xlws.FILTER(Table22[[B365]:[BFAIREXC]], Table22[PLAYER] = A102))</f>
        <v>17.2</v>
      </c>
    </row>
    <row r="103" spans="1:21" hidden="1">
      <c r="A103" s="159" t="s">
        <v>30</v>
      </c>
      <c r="B103">
        <v>30</v>
      </c>
      <c r="C103">
        <v>164</v>
      </c>
      <c r="D103">
        <v>108</v>
      </c>
      <c r="E103">
        <v>97</v>
      </c>
      <c r="F103">
        <v>110</v>
      </c>
      <c r="G103">
        <v>95</v>
      </c>
      <c r="H103" s="137">
        <v>274.8</v>
      </c>
      <c r="I103" s="382">
        <v>404.10062350919236</v>
      </c>
      <c r="J103" s="259">
        <v>276.72203916261412</v>
      </c>
      <c r="K103" s="260">
        <v>406.46695524948325</v>
      </c>
      <c r="L103" s="16">
        <f t="shared" si="15"/>
        <v>95</v>
      </c>
      <c r="M103" s="230">
        <f t="shared" si="16"/>
        <v>75</v>
      </c>
      <c r="N103" s="159">
        <f t="shared" si="17"/>
        <v>99</v>
      </c>
      <c r="O103" s="159">
        <f t="shared" si="18"/>
        <v>79</v>
      </c>
      <c r="P103" s="15">
        <v>0</v>
      </c>
      <c r="Q103" s="15">
        <v>0</v>
      </c>
      <c r="R103">
        <v>-66</v>
      </c>
      <c r="S103" t="e" vm="1">
        <f t="shared" si="19"/>
        <v>#VALUE!</v>
      </c>
      <c r="T103" s="14">
        <f>Table232[[#This Row],[BDG]]/Table232[[#This Row],[Odds]]</f>
        <v>55.123912183787681</v>
      </c>
      <c r="U103" s="14" cm="1">
        <f t="array" ref="U103">MAX(_xlfn._xlws.FILTER(Table22[[B365]:[BFAIREXC]], Table22[PLAYER] = A103))</f>
        <v>5.0199999999999996</v>
      </c>
    </row>
    <row r="104" spans="1:21" hidden="1">
      <c r="A104" s="159" t="s">
        <v>175</v>
      </c>
      <c r="B104">
        <v>177</v>
      </c>
      <c r="C104">
        <v>32</v>
      </c>
      <c r="D104">
        <v>137</v>
      </c>
      <c r="E104">
        <v>71</v>
      </c>
      <c r="F104">
        <v>69</v>
      </c>
      <c r="G104">
        <v>105</v>
      </c>
      <c r="H104" s="137">
        <v>277.3</v>
      </c>
      <c r="I104" s="382">
        <v>429.76541802765206</v>
      </c>
      <c r="J104" s="259">
        <v>277.3</v>
      </c>
      <c r="K104" s="260">
        <v>429.76541802765212</v>
      </c>
      <c r="L104" s="16">
        <f t="shared" si="15"/>
        <v>96</v>
      </c>
      <c r="M104" s="230">
        <f t="shared" si="16"/>
        <v>87</v>
      </c>
      <c r="N104" s="159">
        <f t="shared" si="17"/>
        <v>100</v>
      </c>
      <c r="O104" s="159">
        <f t="shared" si="18"/>
        <v>92</v>
      </c>
      <c r="P104" s="15">
        <v>0.5</v>
      </c>
      <c r="Q104" s="15">
        <v>0.5</v>
      </c>
      <c r="R104" t="e">
        <v>#N/A</v>
      </c>
      <c r="S104" t="e" vm="1">
        <f t="shared" si="19"/>
        <v>#VALUE!</v>
      </c>
      <c r="T104" s="14" t="e" vm="1">
        <f>Table232[[#This Row],[BDG]]/Table232[[#This Row],[Odds]]</f>
        <v>#VALUE!</v>
      </c>
      <c r="U104" s="14" t="e" cm="1" vm="2">
        <f t="array" ref="U104">MAX(_xlfn._xlws.FILTER(Table22[[B365]:[BFAIREXC]], Table22[PLAYER] = A104))</f>
        <v>#VALUE!</v>
      </c>
    </row>
    <row r="105" spans="1:21" hidden="1">
      <c r="A105" s="159" t="s">
        <v>182</v>
      </c>
      <c r="B105">
        <v>175</v>
      </c>
      <c r="C105">
        <v>84</v>
      </c>
      <c r="D105">
        <v>158</v>
      </c>
      <c r="E105">
        <v>10</v>
      </c>
      <c r="F105">
        <v>1</v>
      </c>
      <c r="G105">
        <v>73</v>
      </c>
      <c r="H105" s="137">
        <v>270.39999999999998</v>
      </c>
      <c r="I105" s="382">
        <v>368.05034755586803</v>
      </c>
      <c r="J105" s="259">
        <v>279.51767327765049</v>
      </c>
      <c r="K105" s="260">
        <v>377.83982890328321</v>
      </c>
      <c r="L105" s="16">
        <f t="shared" si="15"/>
        <v>88</v>
      </c>
      <c r="M105" s="230">
        <f t="shared" si="16"/>
        <v>57</v>
      </c>
      <c r="N105" s="159">
        <f t="shared" si="17"/>
        <v>101</v>
      </c>
      <c r="O105" s="159">
        <f t="shared" si="18"/>
        <v>63</v>
      </c>
      <c r="P105" s="15">
        <v>0</v>
      </c>
      <c r="Q105" s="15">
        <v>0</v>
      </c>
      <c r="R105">
        <v>-33</v>
      </c>
      <c r="S105" t="e" vm="1">
        <f t="shared" si="19"/>
        <v>#VALUE!</v>
      </c>
      <c r="T105" s="14" t="e" vm="1">
        <f>Table232[[#This Row],[BDG]]/Table232[[#This Row],[Odds]]</f>
        <v>#VALUE!</v>
      </c>
      <c r="U105" s="14" t="e" cm="1" vm="2">
        <f t="array" ref="U105">MAX(_xlfn._xlws.FILTER(Table22[[B365]:[BFAIREXC]], Table22[PLAYER] = A105))</f>
        <v>#VALUE!</v>
      </c>
    </row>
    <row r="106" spans="1:21" hidden="1">
      <c r="A106" s="159" t="s">
        <v>693</v>
      </c>
      <c r="B106">
        <v>128</v>
      </c>
      <c r="C106">
        <v>131</v>
      </c>
      <c r="D106">
        <v>145</v>
      </c>
      <c r="E106">
        <v>53</v>
      </c>
      <c r="F106">
        <v>39</v>
      </c>
      <c r="G106">
        <v>126</v>
      </c>
      <c r="H106" s="137">
        <v>293.7</v>
      </c>
      <c r="I106" s="382">
        <v>449.26479102389908</v>
      </c>
      <c r="J106" s="259">
        <v>280.23886143612071</v>
      </c>
      <c r="K106" s="260">
        <v>398.23213043808994</v>
      </c>
      <c r="L106" s="16">
        <f t="shared" si="15"/>
        <v>109</v>
      </c>
      <c r="M106" s="230">
        <f t="shared" si="16"/>
        <v>97</v>
      </c>
      <c r="N106" s="159">
        <f t="shared" si="17"/>
        <v>102</v>
      </c>
      <c r="O106" s="159">
        <f t="shared" si="18"/>
        <v>75</v>
      </c>
      <c r="P106" s="15">
        <v>0</v>
      </c>
      <c r="Q106" s="15">
        <v>0</v>
      </c>
      <c r="R106" t="e">
        <v>#N/A</v>
      </c>
      <c r="S106" t="e" vm="1">
        <f t="shared" si="19"/>
        <v>#VALUE!</v>
      </c>
      <c r="T106" s="14">
        <f>Table232[[#This Row],[BDG]]/Table232[[#This Row],[Odds]]</f>
        <v>21.556835495086208</v>
      </c>
      <c r="U106" s="14" cm="1">
        <f t="array" ref="U106">MAX(_xlfn._xlws.FILTER(Table22[[B365]:[BFAIREXC]], Table22[PLAYER] = A106))</f>
        <v>13</v>
      </c>
    </row>
    <row r="107" spans="1:21" hidden="1">
      <c r="A107" s="159" t="s">
        <v>443</v>
      </c>
      <c r="B107">
        <v>151</v>
      </c>
      <c r="C107">
        <v>50</v>
      </c>
      <c r="D107">
        <v>133</v>
      </c>
      <c r="E107">
        <v>138</v>
      </c>
      <c r="F107">
        <v>128</v>
      </c>
      <c r="G107">
        <v>140</v>
      </c>
      <c r="H107" s="137">
        <v>320.09999999999997</v>
      </c>
      <c r="I107" s="382">
        <v>525.03148565621109</v>
      </c>
      <c r="J107" s="259">
        <v>281.08088889253895</v>
      </c>
      <c r="K107" s="260">
        <v>453.25542427348796</v>
      </c>
      <c r="L107" s="16">
        <f t="shared" si="15"/>
        <v>124</v>
      </c>
      <c r="M107" s="230">
        <f t="shared" si="16"/>
        <v>121</v>
      </c>
      <c r="N107" s="159">
        <f t="shared" si="17"/>
        <v>103</v>
      </c>
      <c r="O107" s="159">
        <f t="shared" si="18"/>
        <v>106</v>
      </c>
      <c r="P107" s="15">
        <v>0</v>
      </c>
      <c r="Q107" s="15">
        <v>0</v>
      </c>
      <c r="R107">
        <v>27</v>
      </c>
      <c r="S107" t="e" vm="1">
        <f t="shared" si="19"/>
        <v>#VALUE!</v>
      </c>
      <c r="T107" s="14">
        <f>Table232[[#This Row],[BDG]]/Table232[[#This Row],[Odds]]</f>
        <v>18.492163742930195</v>
      </c>
      <c r="U107" s="14" cm="1">
        <f t="array" ref="U107">MAX(_xlfn._xlws.FILTER(Table22[[B365]:[BFAIREXC]], Table22[PLAYER] = A107))</f>
        <v>15.2</v>
      </c>
    </row>
    <row r="108" spans="1:21" hidden="1">
      <c r="A108" s="159" t="s">
        <v>8</v>
      </c>
      <c r="B108">
        <v>1</v>
      </c>
      <c r="C108">
        <v>124</v>
      </c>
      <c r="D108">
        <v>176</v>
      </c>
      <c r="E108">
        <v>122</v>
      </c>
      <c r="F108">
        <v>67</v>
      </c>
      <c r="G108">
        <v>123</v>
      </c>
      <c r="H108" s="137">
        <v>273.8</v>
      </c>
      <c r="I108" s="382">
        <v>444.19575444517682</v>
      </c>
      <c r="J108" s="259">
        <v>281.6151485237005</v>
      </c>
      <c r="K108" s="260">
        <v>485.45081834590121</v>
      </c>
      <c r="L108" s="16">
        <f t="shared" si="15"/>
        <v>94</v>
      </c>
      <c r="M108" s="230">
        <f t="shared" si="16"/>
        <v>92</v>
      </c>
      <c r="N108" s="159">
        <f t="shared" si="17"/>
        <v>104</v>
      </c>
      <c r="O108" s="159">
        <f t="shared" si="18"/>
        <v>118</v>
      </c>
      <c r="P108" s="15">
        <v>0</v>
      </c>
      <c r="Q108" s="15">
        <v>0</v>
      </c>
      <c r="R108">
        <v>22</v>
      </c>
      <c r="S108" t="e" vm="1">
        <f t="shared" si="19"/>
        <v>#VALUE!</v>
      </c>
      <c r="T108" s="14" t="e" vm="1">
        <f>Table232[[#This Row],[BDG]]/Table232[[#This Row],[Odds]]</f>
        <v>#VALUE!</v>
      </c>
      <c r="U108" s="14" t="e" cm="1" vm="2">
        <f t="array" ref="U108">MAX(_xlfn._xlws.FILTER(Table22[[B365]:[BFAIREXC]], Table22[PLAYER] = A108))</f>
        <v>#VALUE!</v>
      </c>
    </row>
    <row r="109" spans="1:21" hidden="1">
      <c r="A109" s="159" t="s">
        <v>170</v>
      </c>
      <c r="B109">
        <v>169</v>
      </c>
      <c r="C109">
        <v>21</v>
      </c>
      <c r="D109">
        <v>94</v>
      </c>
      <c r="E109">
        <v>85</v>
      </c>
      <c r="F109">
        <v>64</v>
      </c>
      <c r="G109">
        <v>71</v>
      </c>
      <c r="H109" s="137">
        <v>239.39999999999998</v>
      </c>
      <c r="I109" s="382">
        <v>354.5163656611748</v>
      </c>
      <c r="J109" s="259">
        <v>281.78096353564047</v>
      </c>
      <c r="K109" s="260">
        <v>463.59944056161009</v>
      </c>
      <c r="L109" s="16">
        <f t="shared" si="15"/>
        <v>58</v>
      </c>
      <c r="M109" s="230">
        <f t="shared" si="16"/>
        <v>52</v>
      </c>
      <c r="N109" s="159">
        <f t="shared" si="17"/>
        <v>105</v>
      </c>
      <c r="O109" s="159">
        <f t="shared" si="18"/>
        <v>109</v>
      </c>
      <c r="P109" s="15">
        <v>0</v>
      </c>
      <c r="Q109" s="15">
        <v>0</v>
      </c>
      <c r="R109">
        <v>57</v>
      </c>
      <c r="S109" t="e" vm="1">
        <f t="shared" si="19"/>
        <v>#VALUE!</v>
      </c>
      <c r="T109" s="14" t="e" vm="1">
        <f>Table232[[#This Row],[BDG]]/Table232[[#This Row],[Odds]]</f>
        <v>#VALUE!</v>
      </c>
      <c r="U109" s="14" t="e" cm="1" vm="2">
        <f t="array" ref="U109">MAX(_xlfn._xlws.FILTER(Table22[[B365]:[BFAIREXC]], Table22[PLAYER] = A109))</f>
        <v>#VALUE!</v>
      </c>
    </row>
    <row r="110" spans="1:21" hidden="1">
      <c r="A110" s="159" t="s">
        <v>556</v>
      </c>
      <c r="B110">
        <v>36</v>
      </c>
      <c r="C110">
        <v>54</v>
      </c>
      <c r="D110">
        <v>175</v>
      </c>
      <c r="E110">
        <v>177</v>
      </c>
      <c r="F110">
        <v>87</v>
      </c>
      <c r="G110">
        <v>164</v>
      </c>
      <c r="H110" s="137">
        <v>282.10000000000002</v>
      </c>
      <c r="I110" s="382">
        <v>515.51979747259509</v>
      </c>
      <c r="J110" s="259">
        <v>282.10000000000002</v>
      </c>
      <c r="K110" s="260">
        <v>515.51979747259509</v>
      </c>
      <c r="L110" s="16">
        <f t="shared" si="15"/>
        <v>100</v>
      </c>
      <c r="M110" s="230">
        <f t="shared" si="16"/>
        <v>118</v>
      </c>
      <c r="N110" s="159">
        <f t="shared" si="17"/>
        <v>106</v>
      </c>
      <c r="O110" s="159">
        <f t="shared" si="18"/>
        <v>128</v>
      </c>
      <c r="P110" s="15">
        <v>0</v>
      </c>
      <c r="Q110" s="15">
        <v>0</v>
      </c>
      <c r="R110">
        <v>-68</v>
      </c>
      <c r="S110" t="e" vm="1">
        <f t="shared" si="19"/>
        <v>#VALUE!</v>
      </c>
      <c r="T110" s="14">
        <f>Table232[[#This Row],[BDG]]/Table232[[#This Row],[Odds]]</f>
        <v>14.769633507853403</v>
      </c>
      <c r="U110" s="14" cm="1">
        <f t="array" ref="U110">MAX(_xlfn._xlws.FILTER(Table22[[B365]:[BFAIREXC]], Table22[PLAYER] = A110))</f>
        <v>19.100000000000001</v>
      </c>
    </row>
    <row r="111" spans="1:21" hidden="1">
      <c r="A111" s="159" t="s">
        <v>105</v>
      </c>
      <c r="B111">
        <v>113</v>
      </c>
      <c r="C111">
        <v>73</v>
      </c>
      <c r="D111">
        <v>112</v>
      </c>
      <c r="E111">
        <v>63</v>
      </c>
      <c r="F111">
        <v>143</v>
      </c>
      <c r="G111">
        <v>131</v>
      </c>
      <c r="H111" s="137">
        <v>272.39999999999998</v>
      </c>
      <c r="I111" s="382">
        <v>447.51975140304137</v>
      </c>
      <c r="J111" s="259">
        <v>283.32816552457717</v>
      </c>
      <c r="K111" s="260">
        <v>442.62603394539155</v>
      </c>
      <c r="L111" s="16">
        <f t="shared" si="15"/>
        <v>90</v>
      </c>
      <c r="M111" s="230">
        <f t="shared" si="16"/>
        <v>94</v>
      </c>
      <c r="N111" s="159">
        <f t="shared" si="17"/>
        <v>107</v>
      </c>
      <c r="O111" s="159">
        <f t="shared" si="18"/>
        <v>97</v>
      </c>
      <c r="P111" s="15">
        <v>0</v>
      </c>
      <c r="Q111" s="15">
        <v>0</v>
      </c>
      <c r="R111">
        <v>19</v>
      </c>
      <c r="S111" t="e" vm="1">
        <f t="shared" si="19"/>
        <v>#VALUE!</v>
      </c>
      <c r="T111" s="14" t="e" vm="1">
        <f>Table232[[#This Row],[BDG]]/Table232[[#This Row],[Odds]]</f>
        <v>#VALUE!</v>
      </c>
      <c r="U111" s="14" t="e" cm="1" vm="2">
        <f t="array" ref="U111">MAX(_xlfn._xlws.FILTER(Table22[[B365]:[BFAIREXC]], Table22[PLAYER] = A111))</f>
        <v>#VALUE!</v>
      </c>
    </row>
    <row r="112" spans="1:21" hidden="1">
      <c r="A112" s="159" t="s">
        <v>32</v>
      </c>
      <c r="B112">
        <v>13</v>
      </c>
      <c r="C112">
        <v>167</v>
      </c>
      <c r="D112">
        <v>139</v>
      </c>
      <c r="E112">
        <v>123</v>
      </c>
      <c r="F112">
        <v>43</v>
      </c>
      <c r="G112">
        <v>121</v>
      </c>
      <c r="H112" s="137">
        <v>271.7</v>
      </c>
      <c r="I112" s="382">
        <v>428.15666909725178</v>
      </c>
      <c r="J112" s="259">
        <v>285.42885116152911</v>
      </c>
      <c r="K112" s="260">
        <v>429.4803826102285</v>
      </c>
      <c r="L112" s="16">
        <f t="shared" si="15"/>
        <v>89</v>
      </c>
      <c r="M112" s="230">
        <f t="shared" si="16"/>
        <v>84</v>
      </c>
      <c r="N112" s="159">
        <f t="shared" si="17"/>
        <v>108</v>
      </c>
      <c r="O112" s="159">
        <f t="shared" si="18"/>
        <v>91</v>
      </c>
      <c r="P112" s="15">
        <v>0</v>
      </c>
      <c r="Q112" s="15">
        <v>0</v>
      </c>
      <c r="R112">
        <v>22</v>
      </c>
      <c r="S112" t="e" vm="1">
        <f t="shared" si="19"/>
        <v>#VALUE!</v>
      </c>
      <c r="T112" s="14">
        <f>Table232[[#This Row],[BDG]]/Table232[[#This Row],[Odds]]</f>
        <v>43.912130947927558</v>
      </c>
      <c r="U112" s="14" cm="1">
        <f t="array" ref="U112">MAX(_xlfn._xlws.FILTER(Table22[[B365]:[BFAIREXC]], Table22[PLAYER] = A112))</f>
        <v>6.5</v>
      </c>
    </row>
    <row r="113" spans="1:21" hidden="1">
      <c r="A113" s="159" t="s">
        <v>444</v>
      </c>
      <c r="B113">
        <v>128</v>
      </c>
      <c r="C113">
        <v>54</v>
      </c>
      <c r="D113">
        <v>154</v>
      </c>
      <c r="E113">
        <v>9</v>
      </c>
      <c r="F113">
        <v>164</v>
      </c>
      <c r="G113">
        <v>155</v>
      </c>
      <c r="H113" s="137">
        <v>286.2</v>
      </c>
      <c r="I113" s="382">
        <v>485.34157432876992</v>
      </c>
      <c r="J113" s="259">
        <v>286.2</v>
      </c>
      <c r="K113" s="260">
        <v>485.34157432876992</v>
      </c>
      <c r="L113" s="16">
        <f t="shared" si="15"/>
        <v>102</v>
      </c>
      <c r="M113" s="230">
        <f t="shared" si="16"/>
        <v>108</v>
      </c>
      <c r="N113" s="159">
        <f t="shared" si="17"/>
        <v>109</v>
      </c>
      <c r="O113" s="159">
        <f t="shared" si="18"/>
        <v>117</v>
      </c>
      <c r="P113" s="15">
        <v>0</v>
      </c>
      <c r="Q113" s="15">
        <v>0</v>
      </c>
      <c r="R113">
        <v>-11</v>
      </c>
      <c r="S113" t="e" vm="1">
        <f t="shared" si="19"/>
        <v>#VALUE!</v>
      </c>
      <c r="T113" s="14">
        <f>Table232[[#This Row],[BDG]]/Table232[[#This Row],[Odds]]</f>
        <v>10.221428571428572</v>
      </c>
      <c r="U113" s="14" cm="1">
        <f t="array" ref="U113">MAX(_xlfn._xlws.FILTER(Table22[[B365]:[BFAIREXC]], Table22[PLAYER] = A113))</f>
        <v>28</v>
      </c>
    </row>
    <row r="114" spans="1:21" hidden="1">
      <c r="A114" s="159" t="s">
        <v>108</v>
      </c>
      <c r="B114">
        <v>104</v>
      </c>
      <c r="C114">
        <v>134</v>
      </c>
      <c r="D114">
        <v>85</v>
      </c>
      <c r="E114">
        <v>35</v>
      </c>
      <c r="F114">
        <v>124</v>
      </c>
      <c r="G114">
        <v>111</v>
      </c>
      <c r="H114" s="137">
        <v>265.89999999999998</v>
      </c>
      <c r="I114" s="382">
        <v>402.49221160188642</v>
      </c>
      <c r="J114" s="259">
        <v>286.90514227713959</v>
      </c>
      <c r="K114" s="260">
        <v>410.50048399354546</v>
      </c>
      <c r="L114" s="16">
        <f t="shared" si="15"/>
        <v>83</v>
      </c>
      <c r="M114" s="230">
        <f t="shared" si="16"/>
        <v>74</v>
      </c>
      <c r="N114" s="159">
        <f t="shared" si="17"/>
        <v>110</v>
      </c>
      <c r="O114" s="159">
        <f t="shared" si="18"/>
        <v>82</v>
      </c>
      <c r="P114" s="15">
        <v>0</v>
      </c>
      <c r="Q114" s="15">
        <v>0</v>
      </c>
      <c r="R114">
        <v>-26</v>
      </c>
      <c r="S114" t="e" vm="1">
        <f t="shared" si="19"/>
        <v>#VALUE!</v>
      </c>
      <c r="T114" s="14" t="e" vm="1">
        <f>Table232[[#This Row],[BDG]]/Table232[[#This Row],[Odds]]</f>
        <v>#VALUE!</v>
      </c>
      <c r="U114" s="14" t="e" cm="1" vm="2">
        <f t="array" ref="U114">MAX(_xlfn._xlws.FILTER(Table22[[B365]:[BFAIREXC]], Table22[PLAYER] = A114))</f>
        <v>#VALUE!</v>
      </c>
    </row>
    <row r="115" spans="1:21" hidden="1">
      <c r="A115" s="159" t="s">
        <v>116</v>
      </c>
      <c r="B115">
        <v>115</v>
      </c>
      <c r="C115">
        <v>10</v>
      </c>
      <c r="D115">
        <v>153</v>
      </c>
      <c r="E115">
        <v>119</v>
      </c>
      <c r="F115">
        <v>147</v>
      </c>
      <c r="G115">
        <v>145</v>
      </c>
      <c r="H115" s="137">
        <v>288.5</v>
      </c>
      <c r="I115" s="382">
        <v>502.21424552058977</v>
      </c>
      <c r="J115" s="259">
        <v>287.45660731172376</v>
      </c>
      <c r="K115" s="260">
        <v>487.39652939346684</v>
      </c>
      <c r="L115" s="16">
        <f t="shared" si="15"/>
        <v>103</v>
      </c>
      <c r="M115" s="230">
        <f t="shared" si="16"/>
        <v>111</v>
      </c>
      <c r="N115" s="159">
        <f t="shared" si="17"/>
        <v>111</v>
      </c>
      <c r="O115" s="159">
        <f t="shared" si="18"/>
        <v>119</v>
      </c>
      <c r="P115" s="15">
        <v>0</v>
      </c>
      <c r="Q115" s="15">
        <v>0</v>
      </c>
      <c r="R115">
        <v>-28</v>
      </c>
      <c r="S115" t="e" vm="1">
        <f t="shared" si="19"/>
        <v>#VALUE!</v>
      </c>
      <c r="T115" s="14">
        <f>Table232[[#This Row],[BDG]]/Table232[[#This Row],[Odds]]</f>
        <v>35.664591477881359</v>
      </c>
      <c r="U115" s="14" cm="1">
        <f t="array" ref="U115">MAX(_xlfn._xlws.FILTER(Table22[[B365]:[BFAIREXC]], Table22[PLAYER] = A115))</f>
        <v>8.06</v>
      </c>
    </row>
    <row r="116" spans="1:21" hidden="1">
      <c r="A116" s="159" t="s">
        <v>494</v>
      </c>
      <c r="B116">
        <v>33</v>
      </c>
      <c r="C116">
        <v>76</v>
      </c>
      <c r="D116">
        <v>171</v>
      </c>
      <c r="E116">
        <v>156</v>
      </c>
      <c r="F116">
        <v>112</v>
      </c>
      <c r="G116">
        <v>157</v>
      </c>
      <c r="H116" s="137">
        <v>292.3</v>
      </c>
      <c r="I116" s="382">
        <v>514.39692754020643</v>
      </c>
      <c r="J116" s="259">
        <v>292.3</v>
      </c>
      <c r="K116" s="260">
        <v>514.39692754020643</v>
      </c>
      <c r="L116" s="16">
        <f t="shared" si="15"/>
        <v>106</v>
      </c>
      <c r="M116" s="230">
        <f t="shared" si="16"/>
        <v>117</v>
      </c>
      <c r="N116" s="159">
        <f t="shared" si="17"/>
        <v>112</v>
      </c>
      <c r="O116" s="159">
        <f t="shared" si="18"/>
        <v>126</v>
      </c>
      <c r="P116" s="15">
        <v>0</v>
      </c>
      <c r="Q116" s="15">
        <v>0.16666666666666666</v>
      </c>
      <c r="R116">
        <v>-8</v>
      </c>
      <c r="S116" t="e" vm="1">
        <f t="shared" si="19"/>
        <v>#VALUE!</v>
      </c>
      <c r="T116" s="14" t="e" vm="1">
        <f>Table232[[#This Row],[BDG]]/Table232[[#This Row],[Odds]]</f>
        <v>#VALUE!</v>
      </c>
      <c r="U116" s="14" t="e" cm="1" vm="2">
        <f t="array" ref="U116">MAX(_xlfn._xlws.FILTER(Table22[[B365]:[BFAIREXC]], Table22[PLAYER] = A116))</f>
        <v>#VALUE!</v>
      </c>
    </row>
    <row r="117" spans="1:21" hidden="1">
      <c r="A117" s="159" t="s">
        <v>231</v>
      </c>
      <c r="B117">
        <v>75</v>
      </c>
      <c r="C117">
        <v>147</v>
      </c>
      <c r="D117">
        <v>192</v>
      </c>
      <c r="E117">
        <v>45</v>
      </c>
      <c r="F117">
        <v>19</v>
      </c>
      <c r="G117">
        <v>128</v>
      </c>
      <c r="H117" s="137">
        <v>293.2</v>
      </c>
      <c r="I117" s="382">
        <v>450.03188832631952</v>
      </c>
      <c r="J117" s="259">
        <v>293.2</v>
      </c>
      <c r="K117" s="260">
        <v>450.03188832631952</v>
      </c>
      <c r="L117" s="16">
        <f t="shared" si="15"/>
        <v>107</v>
      </c>
      <c r="M117" s="230">
        <f t="shared" si="16"/>
        <v>98</v>
      </c>
      <c r="N117" s="159">
        <f t="shared" si="17"/>
        <v>113</v>
      </c>
      <c r="O117" s="159">
        <f t="shared" si="18"/>
        <v>100</v>
      </c>
      <c r="P117" s="15" t="e">
        <v>#N/A</v>
      </c>
      <c r="Q117" s="15" t="e">
        <v>#N/A</v>
      </c>
      <c r="R117" t="e">
        <v>#N/A</v>
      </c>
      <c r="S117" t="e" vm="1">
        <f t="shared" si="19"/>
        <v>#VALUE!</v>
      </c>
      <c r="T117" s="14" t="e" vm="1">
        <f>Table232[[#This Row],[BDG]]/Table232[[#This Row],[Odds]]</f>
        <v>#VALUE!</v>
      </c>
      <c r="U117" s="14" t="e" cm="1" vm="2">
        <f t="array" ref="U117">MAX(_xlfn._xlws.FILTER(Table22[[B365]:[BFAIREXC]], Table22[PLAYER] = A117))</f>
        <v>#VALUE!</v>
      </c>
    </row>
    <row r="118" spans="1:21" hidden="1">
      <c r="A118" s="159" t="s">
        <v>561</v>
      </c>
      <c r="B118">
        <v>65</v>
      </c>
      <c r="C118">
        <v>155</v>
      </c>
      <c r="D118">
        <v>144</v>
      </c>
      <c r="E118">
        <v>146</v>
      </c>
      <c r="F118">
        <v>5</v>
      </c>
      <c r="G118">
        <v>62</v>
      </c>
      <c r="H118" s="137">
        <v>293.20000000000005</v>
      </c>
      <c r="I118" s="382">
        <v>395.01459943529528</v>
      </c>
      <c r="J118" s="259">
        <v>293.20000000000005</v>
      </c>
      <c r="K118" s="260">
        <v>395.01459943529528</v>
      </c>
      <c r="L118" s="16">
        <f t="shared" si="15"/>
        <v>108</v>
      </c>
      <c r="M118" s="230">
        <f t="shared" si="16"/>
        <v>69</v>
      </c>
      <c r="N118" s="159">
        <f t="shared" si="17"/>
        <v>114</v>
      </c>
      <c r="O118" s="159">
        <f t="shared" si="18"/>
        <v>72</v>
      </c>
      <c r="P118" s="15">
        <v>0</v>
      </c>
      <c r="Q118" s="15">
        <v>0</v>
      </c>
      <c r="R118">
        <v>86</v>
      </c>
      <c r="S118" t="e" vm="1">
        <f t="shared" si="19"/>
        <v>#VALUE!</v>
      </c>
      <c r="T118" s="14">
        <f>Table232[[#This Row],[BDG]]/Table232[[#This Row],[Odds]]</f>
        <v>11.276923076923079</v>
      </c>
      <c r="U118" s="14" cm="1">
        <f t="array" ref="U118">MAX(_xlfn._xlws.FILTER(Table22[[B365]:[BFAIREXC]], Table22[PLAYER] = A118))</f>
        <v>26</v>
      </c>
    </row>
    <row r="119" spans="1:21" hidden="1">
      <c r="A119" s="159" t="s">
        <v>490</v>
      </c>
      <c r="B119">
        <v>17</v>
      </c>
      <c r="C119">
        <v>155</v>
      </c>
      <c r="D119">
        <v>178</v>
      </c>
      <c r="E119">
        <v>161</v>
      </c>
      <c r="F119">
        <v>10</v>
      </c>
      <c r="G119">
        <v>174</v>
      </c>
      <c r="H119" s="137">
        <v>296.20000000000005</v>
      </c>
      <c r="I119" s="382">
        <v>516.86302442154545</v>
      </c>
      <c r="J119" s="259">
        <v>296.20000000000005</v>
      </c>
      <c r="K119" s="260">
        <v>516.86302442154545</v>
      </c>
      <c r="L119" s="16">
        <f t="shared" si="15"/>
        <v>110</v>
      </c>
      <c r="M119" s="230">
        <f t="shared" si="16"/>
        <v>119</v>
      </c>
      <c r="N119" s="159">
        <f t="shared" si="17"/>
        <v>116</v>
      </c>
      <c r="O119" s="159">
        <f t="shared" si="18"/>
        <v>129</v>
      </c>
      <c r="P119" s="15">
        <v>0</v>
      </c>
      <c r="Q119" s="15">
        <v>0</v>
      </c>
      <c r="R119">
        <v>-45</v>
      </c>
      <c r="S119" t="e" vm="1">
        <f t="shared" si="19"/>
        <v>#VALUE!</v>
      </c>
      <c r="T119" s="14">
        <f>Table232[[#This Row],[BDG]]/Table232[[#This Row],[Odds]]</f>
        <v>15.112244897959185</v>
      </c>
      <c r="U119" s="14" cm="1">
        <f t="array" ref="U119">MAX(_xlfn._xlws.FILTER(Table22[[B365]:[BFAIREXC]], Table22[PLAYER] = A119))</f>
        <v>19.600000000000001</v>
      </c>
    </row>
    <row r="120" spans="1:21" hidden="1">
      <c r="A120" s="159" t="s">
        <v>89</v>
      </c>
      <c r="B120">
        <v>97</v>
      </c>
      <c r="C120">
        <v>141</v>
      </c>
      <c r="D120">
        <v>36</v>
      </c>
      <c r="E120">
        <v>59</v>
      </c>
      <c r="F120">
        <v>160</v>
      </c>
      <c r="G120">
        <v>125</v>
      </c>
      <c r="H120" s="137">
        <v>255.59999999999997</v>
      </c>
      <c r="I120" s="382">
        <v>407.12086481427446</v>
      </c>
      <c r="J120" s="259">
        <v>296.82774003807197</v>
      </c>
      <c r="K120" s="260">
        <v>467.74565807827912</v>
      </c>
      <c r="L120" s="16">
        <f t="shared" si="15"/>
        <v>71</v>
      </c>
      <c r="M120" s="230">
        <f t="shared" si="16"/>
        <v>76</v>
      </c>
      <c r="N120" s="159">
        <f t="shared" si="17"/>
        <v>118</v>
      </c>
      <c r="O120" s="159">
        <f t="shared" si="18"/>
        <v>112</v>
      </c>
      <c r="P120" s="15">
        <v>0</v>
      </c>
      <c r="Q120" s="15">
        <v>0</v>
      </c>
      <c r="R120">
        <v>-71</v>
      </c>
      <c r="S120" t="e" vm="1">
        <f t="shared" si="19"/>
        <v>#VALUE!</v>
      </c>
      <c r="T120" s="14" t="e" vm="1">
        <f>Table232[[#This Row],[BDG]]/Table232[[#This Row],[Odds]]</f>
        <v>#VALUE!</v>
      </c>
      <c r="U120" s="14" t="e" cm="1" vm="2">
        <f t="array" ref="U120">MAX(_xlfn._xlws.FILTER(Table22[[B365]:[BFAIREXC]], Table22[PLAYER] = A120))</f>
        <v>#VALUE!</v>
      </c>
    </row>
    <row r="121" spans="1:21" hidden="1">
      <c r="A121" s="159" t="s">
        <v>53</v>
      </c>
      <c r="B121">
        <v>56</v>
      </c>
      <c r="C121">
        <v>174</v>
      </c>
      <c r="D121">
        <v>131</v>
      </c>
      <c r="E121">
        <v>76</v>
      </c>
      <c r="F121">
        <v>109</v>
      </c>
      <c r="G121">
        <v>155</v>
      </c>
      <c r="H121" s="137">
        <v>303.7</v>
      </c>
      <c r="I121" s="382">
        <v>492.02219791472902</v>
      </c>
      <c r="J121" s="259">
        <v>303.7</v>
      </c>
      <c r="K121" s="260">
        <v>492.02219791472902</v>
      </c>
      <c r="L121" s="16">
        <f t="shared" si="15"/>
        <v>115</v>
      </c>
      <c r="M121" s="230">
        <f t="shared" si="16"/>
        <v>109</v>
      </c>
      <c r="N121" s="159">
        <f t="shared" si="17"/>
        <v>120</v>
      </c>
      <c r="O121" s="159">
        <f t="shared" si="18"/>
        <v>121</v>
      </c>
      <c r="P121" s="15">
        <v>0</v>
      </c>
      <c r="Q121" s="15">
        <v>0</v>
      </c>
      <c r="R121" t="e">
        <v>#N/A</v>
      </c>
      <c r="S121" t="e" vm="1">
        <f t="shared" si="19"/>
        <v>#VALUE!</v>
      </c>
      <c r="T121" s="14" t="e" vm="1">
        <f>Table232[[#This Row],[BDG]]/Table232[[#This Row],[Odds]]</f>
        <v>#VALUE!</v>
      </c>
      <c r="U121" s="14" t="e" cm="1" vm="2">
        <f t="array" ref="U121">MAX(_xlfn._xlws.FILTER(Table22[[B365]:[BFAIREXC]], Table22[PLAYER] = A121))</f>
        <v>#VALUE!</v>
      </c>
    </row>
    <row r="122" spans="1:21" hidden="1">
      <c r="A122" s="159" t="s">
        <v>148</v>
      </c>
      <c r="B122">
        <v>161</v>
      </c>
      <c r="C122">
        <v>75</v>
      </c>
      <c r="D122">
        <v>168</v>
      </c>
      <c r="E122">
        <v>46</v>
      </c>
      <c r="F122">
        <v>17</v>
      </c>
      <c r="G122">
        <v>129</v>
      </c>
      <c r="H122" s="137">
        <v>284.39999999999998</v>
      </c>
      <c r="I122" s="382">
        <v>449.25120562039569</v>
      </c>
      <c r="J122" s="259">
        <v>305.29702757424252</v>
      </c>
      <c r="K122" s="260">
        <v>468.10008085873835</v>
      </c>
      <c r="L122" s="16">
        <f t="shared" si="15"/>
        <v>101</v>
      </c>
      <c r="M122" s="230">
        <f t="shared" si="16"/>
        <v>96</v>
      </c>
      <c r="N122" s="159">
        <f t="shared" si="17"/>
        <v>121</v>
      </c>
      <c r="O122" s="159">
        <f t="shared" si="18"/>
        <v>113</v>
      </c>
      <c r="P122" s="15">
        <v>0</v>
      </c>
      <c r="Q122" s="15">
        <v>0</v>
      </c>
      <c r="R122">
        <v>35</v>
      </c>
      <c r="S122" t="e" vm="1">
        <f t="shared" si="19"/>
        <v>#VALUE!</v>
      </c>
      <c r="T122" s="14">
        <f>Table232[[#This Row],[BDG]]/Table232[[#This Row],[Odds]]</f>
        <v>37.878043123355148</v>
      </c>
      <c r="U122" s="14" cm="1">
        <f t="array" ref="U122">MAX(_xlfn._xlws.FILTER(Table22[[B365]:[BFAIREXC]], Table22[PLAYER] = A122))</f>
        <v>8.06</v>
      </c>
    </row>
    <row r="123" spans="1:21" hidden="1">
      <c r="A123" s="159" t="s">
        <v>107</v>
      </c>
      <c r="B123">
        <v>62</v>
      </c>
      <c r="C123">
        <v>146</v>
      </c>
      <c r="D123">
        <v>65</v>
      </c>
      <c r="E123">
        <v>71</v>
      </c>
      <c r="F123">
        <v>36</v>
      </c>
      <c r="G123">
        <v>78</v>
      </c>
      <c r="H123" s="137">
        <v>213.1</v>
      </c>
      <c r="I123" s="382">
        <v>307.90538582925603</v>
      </c>
      <c r="J123" s="259">
        <v>305.52262601941419</v>
      </c>
      <c r="K123" s="260">
        <v>474.00885086710116</v>
      </c>
      <c r="L123" s="16">
        <f t="shared" si="15"/>
        <v>32</v>
      </c>
      <c r="M123" s="230">
        <f t="shared" si="16"/>
        <v>34</v>
      </c>
      <c r="N123" s="159">
        <f t="shared" si="17"/>
        <v>122</v>
      </c>
      <c r="O123" s="159">
        <f t="shared" si="18"/>
        <v>115</v>
      </c>
      <c r="P123" s="15">
        <v>0</v>
      </c>
      <c r="Q123" s="15">
        <v>0</v>
      </c>
      <c r="R123">
        <v>28</v>
      </c>
      <c r="S123" t="e" vm="1">
        <f t="shared" si="19"/>
        <v>#VALUE!</v>
      </c>
      <c r="T123" s="14">
        <f>Table232[[#This Row],[BDG]]/Table232[[#This Row],[Odds]]</f>
        <v>18.859421359223099</v>
      </c>
      <c r="U123" s="14" cm="1">
        <f t="array" ref="U123">MAX(_xlfn._xlws.FILTER(Table22[[B365]:[BFAIREXC]], Table22[PLAYER] = A123))</f>
        <v>16.2</v>
      </c>
    </row>
    <row r="124" spans="1:21" hidden="1">
      <c r="A124" s="159" t="s">
        <v>186</v>
      </c>
      <c r="B124">
        <v>188</v>
      </c>
      <c r="C124">
        <v>28</v>
      </c>
      <c r="D124">
        <v>166</v>
      </c>
      <c r="E124">
        <v>24</v>
      </c>
      <c r="F124">
        <v>127</v>
      </c>
      <c r="G124">
        <v>171</v>
      </c>
      <c r="H124" s="137">
        <v>306.2</v>
      </c>
      <c r="I124" s="382">
        <v>526.91434196773571</v>
      </c>
      <c r="J124" s="259">
        <v>306.2</v>
      </c>
      <c r="K124" s="260">
        <v>526.91434196773571</v>
      </c>
      <c r="L124" s="16">
        <f t="shared" si="15"/>
        <v>116</v>
      </c>
      <c r="M124" s="230">
        <f t="shared" si="16"/>
        <v>123</v>
      </c>
      <c r="N124" s="159">
        <f t="shared" si="17"/>
        <v>123</v>
      </c>
      <c r="O124" s="159">
        <f t="shared" si="18"/>
        <v>131</v>
      </c>
      <c r="P124" s="15">
        <v>0</v>
      </c>
      <c r="Q124" s="15">
        <v>1</v>
      </c>
      <c r="R124" t="e">
        <v>#N/A</v>
      </c>
      <c r="S124" t="e" vm="1">
        <f t="shared" si="19"/>
        <v>#VALUE!</v>
      </c>
      <c r="T124" s="14">
        <f>Table232[[#This Row],[BDG]]/Table232[[#This Row],[Odds]]</f>
        <v>17.802325581395348</v>
      </c>
      <c r="U124" s="14" cm="1">
        <f t="array" ref="U124">MAX(_xlfn._xlws.FILTER(Table22[[B365]:[BFAIREXC]], Table22[PLAYER] = A124))</f>
        <v>17.2</v>
      </c>
    </row>
    <row r="125" spans="1:21" hidden="1">
      <c r="A125" s="159" t="s">
        <v>160</v>
      </c>
      <c r="B125">
        <v>132</v>
      </c>
      <c r="C125">
        <v>105</v>
      </c>
      <c r="D125">
        <v>60</v>
      </c>
      <c r="E125">
        <v>148</v>
      </c>
      <c r="F125">
        <v>175</v>
      </c>
      <c r="G125">
        <v>158</v>
      </c>
      <c r="H125" s="137">
        <v>313.39999999999998</v>
      </c>
      <c r="I125" s="382">
        <v>526.80312303934886</v>
      </c>
      <c r="J125" s="259">
        <v>309.26075137479893</v>
      </c>
      <c r="K125" s="260">
        <v>514.46931603500923</v>
      </c>
      <c r="L125" s="16">
        <f t="shared" si="15"/>
        <v>120</v>
      </c>
      <c r="M125" s="230">
        <f t="shared" si="16"/>
        <v>122</v>
      </c>
      <c r="N125" s="159">
        <f t="shared" si="17"/>
        <v>124</v>
      </c>
      <c r="O125" s="159">
        <f t="shared" si="18"/>
        <v>127</v>
      </c>
      <c r="P125" s="15">
        <v>0</v>
      </c>
      <c r="Q125" s="15">
        <v>0</v>
      </c>
      <c r="R125">
        <v>7</v>
      </c>
      <c r="S125" t="e" vm="1">
        <f t="shared" si="19"/>
        <v>#VALUE!</v>
      </c>
      <c r="T125" s="14">
        <f>Table232[[#This Row],[BDG]]/Table232[[#This Row],[Odds]]</f>
        <v>17.980276242720869</v>
      </c>
      <c r="U125" s="14" cm="1">
        <f t="array" ref="U125">MAX(_xlfn._xlws.FILTER(Table22[[B365]:[BFAIREXC]], Table22[PLAYER] = A125))</f>
        <v>17.2</v>
      </c>
    </row>
    <row r="126" spans="1:21" hidden="1">
      <c r="A126" s="159" t="s">
        <v>401</v>
      </c>
      <c r="B126">
        <v>16</v>
      </c>
      <c r="C126">
        <v>108</v>
      </c>
      <c r="D126">
        <v>163</v>
      </c>
      <c r="E126">
        <v>142</v>
      </c>
      <c r="F126">
        <v>163</v>
      </c>
      <c r="G126">
        <v>165</v>
      </c>
      <c r="H126" s="137">
        <v>310.5</v>
      </c>
      <c r="I126" s="382">
        <v>538.63909120571566</v>
      </c>
      <c r="J126" s="259">
        <v>310.5</v>
      </c>
      <c r="K126" s="260">
        <v>538.63909120571566</v>
      </c>
      <c r="L126" s="16">
        <f t="shared" si="15"/>
        <v>118</v>
      </c>
      <c r="M126" s="230">
        <f t="shared" si="16"/>
        <v>128</v>
      </c>
      <c r="N126" s="159">
        <f t="shared" si="17"/>
        <v>125</v>
      </c>
      <c r="O126" s="159">
        <f t="shared" si="18"/>
        <v>132</v>
      </c>
      <c r="P126" s="15">
        <v>0</v>
      </c>
      <c r="Q126" s="15">
        <v>0</v>
      </c>
      <c r="R126">
        <v>14</v>
      </c>
      <c r="S126" t="e" vm="1">
        <f t="shared" si="19"/>
        <v>#VALUE!</v>
      </c>
      <c r="T126" s="14">
        <f>Table232[[#This Row],[BDG]]/Table232[[#This Row],[Odds]]</f>
        <v>11.5</v>
      </c>
      <c r="U126" s="14" cm="1">
        <f t="array" ref="U126">MAX(_xlfn._xlws.FILTER(Table22[[B365]:[BFAIREXC]], Table22[PLAYER] = A126))</f>
        <v>27</v>
      </c>
    </row>
    <row r="127" spans="1:21" hidden="1">
      <c r="A127" s="159" t="s">
        <v>123</v>
      </c>
      <c r="B127">
        <v>135</v>
      </c>
      <c r="C127">
        <v>114</v>
      </c>
      <c r="D127">
        <v>161</v>
      </c>
      <c r="E127">
        <v>126</v>
      </c>
      <c r="F127">
        <v>176</v>
      </c>
      <c r="G127">
        <v>170</v>
      </c>
      <c r="H127" s="137">
        <v>382.9</v>
      </c>
      <c r="I127" s="382">
        <v>618.19344826328631</v>
      </c>
      <c r="J127" s="259">
        <v>310.84069246592389</v>
      </c>
      <c r="K127" s="260">
        <v>481.0636626268597</v>
      </c>
      <c r="L127" s="16">
        <f t="shared" si="15"/>
        <v>139</v>
      </c>
      <c r="M127" s="230">
        <f t="shared" si="16"/>
        <v>140</v>
      </c>
      <c r="N127" s="159">
        <f t="shared" si="17"/>
        <v>126</v>
      </c>
      <c r="O127" s="159">
        <f t="shared" si="18"/>
        <v>116</v>
      </c>
      <c r="P127" s="15">
        <v>0</v>
      </c>
      <c r="Q127" s="15">
        <v>0</v>
      </c>
      <c r="R127">
        <v>-30</v>
      </c>
      <c r="S127" t="e" vm="1">
        <f t="shared" si="19"/>
        <v>#VALUE!</v>
      </c>
      <c r="T127" s="14" t="e" vm="1">
        <f>Table232[[#This Row],[BDG]]/Table232[[#This Row],[Odds]]</f>
        <v>#VALUE!</v>
      </c>
      <c r="U127" s="14" t="e" cm="1" vm="2">
        <f t="array" ref="U127">MAX(_xlfn._xlws.FILTER(Table22[[B365]:[BFAIREXC]], Table22[PLAYER] = A127))</f>
        <v>#VALUE!</v>
      </c>
    </row>
    <row r="128" spans="1:21" hidden="1">
      <c r="A128" s="159" t="s">
        <v>103</v>
      </c>
      <c r="B128">
        <v>153</v>
      </c>
      <c r="C128">
        <v>38</v>
      </c>
      <c r="D128">
        <v>135</v>
      </c>
      <c r="E128">
        <v>69</v>
      </c>
      <c r="F128">
        <v>44</v>
      </c>
      <c r="G128">
        <v>86</v>
      </c>
      <c r="H128" s="137">
        <v>254.29999999999998</v>
      </c>
      <c r="I128" s="382">
        <v>382.52722915221199</v>
      </c>
      <c r="J128" s="259">
        <v>313.2980217602763</v>
      </c>
      <c r="K128" s="260">
        <v>504.25955400710086</v>
      </c>
      <c r="L128" s="16">
        <f t="shared" si="15"/>
        <v>70</v>
      </c>
      <c r="M128" s="230">
        <f t="shared" si="16"/>
        <v>64</v>
      </c>
      <c r="N128" s="159">
        <f t="shared" si="17"/>
        <v>127</v>
      </c>
      <c r="O128" s="159">
        <f t="shared" si="18"/>
        <v>124</v>
      </c>
      <c r="P128" s="15">
        <v>0</v>
      </c>
      <c r="Q128" s="15">
        <v>0</v>
      </c>
      <c r="R128">
        <v>35</v>
      </c>
      <c r="S128" t="e" vm="1">
        <f t="shared" si="19"/>
        <v>#VALUE!</v>
      </c>
      <c r="T128" s="14">
        <f>Table232[[#This Row],[BDG]]/Table232[[#This Row],[Odds]]</f>
        <v>18.760360584447682</v>
      </c>
      <c r="U128" s="14" cm="1">
        <f t="array" ref="U128">MAX(_xlfn._xlws.FILTER(Table22[[B365]:[BFAIREXC]], Table22[PLAYER] = A128))</f>
        <v>16.7</v>
      </c>
    </row>
    <row r="129" spans="1:21" hidden="1">
      <c r="A129" s="159" t="s">
        <v>21</v>
      </c>
      <c r="B129">
        <v>22</v>
      </c>
      <c r="C129">
        <v>177</v>
      </c>
      <c r="D129">
        <v>162</v>
      </c>
      <c r="E129">
        <v>143</v>
      </c>
      <c r="F129">
        <v>157</v>
      </c>
      <c r="G129">
        <v>173</v>
      </c>
      <c r="H129" s="137">
        <v>352.8</v>
      </c>
      <c r="I129" s="382">
        <v>581.69187355641918</v>
      </c>
      <c r="J129" s="259">
        <v>313.7414184454496</v>
      </c>
      <c r="K129" s="260">
        <v>492.14569213384141</v>
      </c>
      <c r="L129" s="16">
        <f t="shared" si="15"/>
        <v>135</v>
      </c>
      <c r="M129" s="230">
        <f t="shared" si="16"/>
        <v>136</v>
      </c>
      <c r="N129" s="159">
        <f t="shared" si="17"/>
        <v>128</v>
      </c>
      <c r="O129" s="159">
        <f t="shared" si="18"/>
        <v>122</v>
      </c>
      <c r="P129" s="15" t="e">
        <v>#N/A</v>
      </c>
      <c r="Q129" s="15" t="e">
        <v>#N/A</v>
      </c>
      <c r="R129">
        <v>-12</v>
      </c>
      <c r="S129" t="e" vm="1">
        <f t="shared" si="19"/>
        <v>#VALUE!</v>
      </c>
      <c r="T129" s="14">
        <f>Table232[[#This Row],[BDG]]/Table232[[#This Row],[Odds]]</f>
        <v>16.426252274630869</v>
      </c>
      <c r="U129" s="14" cm="1">
        <f t="array" ref="U129">MAX(_xlfn._xlws.FILTER(Table22[[B365]:[BFAIREXC]], Table22[PLAYER] = A129))</f>
        <v>19.100000000000001</v>
      </c>
    </row>
    <row r="130" spans="1:21" hidden="1">
      <c r="A130" s="159" t="s">
        <v>445</v>
      </c>
      <c r="B130">
        <v>12</v>
      </c>
      <c r="C130">
        <v>153</v>
      </c>
      <c r="D130">
        <v>172</v>
      </c>
      <c r="E130">
        <v>166</v>
      </c>
      <c r="F130">
        <v>85</v>
      </c>
      <c r="G130">
        <v>149</v>
      </c>
      <c r="H130" s="137">
        <v>319.79999999999995</v>
      </c>
      <c r="I130" s="382">
        <v>524.45152852393699</v>
      </c>
      <c r="J130" s="259">
        <v>319.79999999999995</v>
      </c>
      <c r="K130" s="260">
        <v>524.45152852393699</v>
      </c>
      <c r="L130" s="16">
        <f t="shared" ref="L130:L143" si="20">RANK(H130,$H$2:$H$143,1)</f>
        <v>123</v>
      </c>
      <c r="M130" s="230">
        <f t="shared" ref="M130:M143" si="21">RANK(I130,$I$2:$I$143,1)</f>
        <v>120</v>
      </c>
      <c r="N130" s="159">
        <f t="shared" ref="N130:N143" si="22">RANK(J130,$J$2:$J$143,1)</f>
        <v>129</v>
      </c>
      <c r="O130" s="159">
        <f t="shared" ref="O130:O143" si="23">RANK(K130,$K$2:$K$143,1)</f>
        <v>130</v>
      </c>
      <c r="P130" s="15">
        <v>0</v>
      </c>
      <c r="Q130" s="15">
        <v>0</v>
      </c>
      <c r="R130">
        <v>-23</v>
      </c>
      <c r="S130" t="e" vm="1">
        <f t="shared" ref="S130:S143" si="24">RANK(U130,$U$2:$U$143,0)</f>
        <v>#VALUE!</v>
      </c>
      <c r="T130" s="14" t="e" vm="1">
        <f>Table232[[#This Row],[BDG]]/Table232[[#This Row],[Odds]]</f>
        <v>#VALUE!</v>
      </c>
      <c r="U130" s="14" t="e" cm="1" vm="2">
        <f t="array" ref="U130">MAX(_xlfn._xlws.FILTER(Table22[[B365]:[BFAIREXC]], Table22[PLAYER] = A130))</f>
        <v>#VALUE!</v>
      </c>
    </row>
    <row r="131" spans="1:21" hidden="1">
      <c r="A131" s="159" t="s">
        <v>71</v>
      </c>
      <c r="B131">
        <v>97</v>
      </c>
      <c r="C131">
        <v>176</v>
      </c>
      <c r="D131">
        <v>164</v>
      </c>
      <c r="E131">
        <v>114</v>
      </c>
      <c r="F131">
        <v>77</v>
      </c>
      <c r="G131">
        <v>167</v>
      </c>
      <c r="H131" s="137">
        <v>355</v>
      </c>
      <c r="I131" s="382">
        <v>565.86639977856771</v>
      </c>
      <c r="J131" s="259">
        <v>320.73793582000883</v>
      </c>
      <c r="K131" s="260">
        <v>496.08029289953993</v>
      </c>
      <c r="L131" s="16">
        <f t="shared" si="20"/>
        <v>136</v>
      </c>
      <c r="M131" s="230">
        <f t="shared" si="21"/>
        <v>133</v>
      </c>
      <c r="N131" s="159">
        <f t="shared" si="22"/>
        <v>130</v>
      </c>
      <c r="O131" s="159">
        <f t="shared" si="23"/>
        <v>123</v>
      </c>
      <c r="P131" s="15">
        <v>0</v>
      </c>
      <c r="Q131" s="15">
        <v>0</v>
      </c>
      <c r="R131">
        <v>-9</v>
      </c>
      <c r="S131" t="e" vm="1">
        <f t="shared" si="24"/>
        <v>#VALUE!</v>
      </c>
      <c r="T131" s="14">
        <f>Table232[[#This Row],[BDG]]/Table232[[#This Row],[Odds]]</f>
        <v>6.9725638221741049</v>
      </c>
      <c r="U131" s="14" cm="1">
        <f t="array" ref="U131">MAX(_xlfn._xlws.FILTER(Table22[[B365]:[BFAIREXC]], Table22[PLAYER] = A131))</f>
        <v>46</v>
      </c>
    </row>
    <row r="132" spans="1:21" hidden="1">
      <c r="A132" s="159" t="s">
        <v>559</v>
      </c>
      <c r="B132">
        <v>120</v>
      </c>
      <c r="C132">
        <v>155</v>
      </c>
      <c r="D132">
        <v>130</v>
      </c>
      <c r="E132">
        <v>171</v>
      </c>
      <c r="F132">
        <v>2</v>
      </c>
      <c r="G132">
        <v>83</v>
      </c>
      <c r="H132" s="137">
        <v>325.2</v>
      </c>
      <c r="I132" s="382">
        <v>453.00704752531209</v>
      </c>
      <c r="J132" s="259">
        <v>325.2</v>
      </c>
      <c r="K132" s="260">
        <v>453.00704752531209</v>
      </c>
      <c r="L132" s="16">
        <f t="shared" si="20"/>
        <v>125</v>
      </c>
      <c r="M132" s="230">
        <f t="shared" si="21"/>
        <v>100</v>
      </c>
      <c r="N132" s="159">
        <f t="shared" si="22"/>
        <v>131</v>
      </c>
      <c r="O132" s="159">
        <f t="shared" si="23"/>
        <v>104</v>
      </c>
      <c r="P132" s="15">
        <v>0</v>
      </c>
      <c r="Q132" s="15">
        <v>0</v>
      </c>
      <c r="R132">
        <v>-69</v>
      </c>
      <c r="S132" t="e" vm="1">
        <f t="shared" si="24"/>
        <v>#VALUE!</v>
      </c>
      <c r="T132" s="14">
        <f>Table232[[#This Row],[BDG]]/Table232[[#This Row],[Odds]]</f>
        <v>13.007999999999999</v>
      </c>
      <c r="U132" s="14" cm="1">
        <f t="array" ref="U132">MAX(_xlfn._xlws.FILTER(Table22[[B365]:[BFAIREXC]], Table22[PLAYER] = A132))</f>
        <v>25</v>
      </c>
    </row>
    <row r="133" spans="1:21" hidden="1">
      <c r="A133" s="159" t="s">
        <v>41</v>
      </c>
      <c r="B133">
        <v>39</v>
      </c>
      <c r="C133">
        <v>176</v>
      </c>
      <c r="D133">
        <v>140</v>
      </c>
      <c r="E133">
        <v>151</v>
      </c>
      <c r="F133">
        <v>95</v>
      </c>
      <c r="G133">
        <v>135</v>
      </c>
      <c r="H133" s="137">
        <v>325.39999999999998</v>
      </c>
      <c r="I133" s="382">
        <v>508.13727320583405</v>
      </c>
      <c r="J133" s="259">
        <v>325.39999999999998</v>
      </c>
      <c r="K133" s="260">
        <v>508.13727320583405</v>
      </c>
      <c r="L133" s="16">
        <f t="shared" si="20"/>
        <v>126</v>
      </c>
      <c r="M133" s="230">
        <f t="shared" si="21"/>
        <v>115</v>
      </c>
      <c r="N133" s="159">
        <f t="shared" si="22"/>
        <v>132</v>
      </c>
      <c r="O133" s="159">
        <f t="shared" si="23"/>
        <v>125</v>
      </c>
      <c r="P133" s="15">
        <v>0</v>
      </c>
      <c r="Q133" s="15">
        <v>0</v>
      </c>
      <c r="R133" t="e">
        <v>#N/A</v>
      </c>
      <c r="S133" t="e" vm="1">
        <f t="shared" si="24"/>
        <v>#VALUE!</v>
      </c>
      <c r="T133" s="14">
        <f>Table232[[#This Row],[BDG]]/Table232[[#This Row],[Odds]]</f>
        <v>22.136054421768709</v>
      </c>
      <c r="U133" s="14" cm="1">
        <f t="array" ref="U133">MAX(_xlfn._xlws.FILTER(Table22[[B365]:[BFAIREXC]], Table22[PLAYER] = A133))</f>
        <v>14.7</v>
      </c>
    </row>
    <row r="134" spans="1:21" hidden="1">
      <c r="A134" s="159" t="s">
        <v>486</v>
      </c>
      <c r="B134">
        <v>62</v>
      </c>
      <c r="C134">
        <v>77</v>
      </c>
      <c r="D134">
        <v>149</v>
      </c>
      <c r="E134">
        <v>178</v>
      </c>
      <c r="F134">
        <v>170</v>
      </c>
      <c r="G134">
        <v>177</v>
      </c>
      <c r="H134" s="137">
        <v>326.89999999999998</v>
      </c>
      <c r="I134" s="382">
        <v>578.20867518047589</v>
      </c>
      <c r="J134" s="259">
        <v>326.89999999999998</v>
      </c>
      <c r="K134" s="260">
        <v>578.20867518047589</v>
      </c>
      <c r="L134" s="16">
        <f t="shared" si="20"/>
        <v>127</v>
      </c>
      <c r="M134" s="230">
        <f t="shared" si="21"/>
        <v>135</v>
      </c>
      <c r="N134" s="159">
        <f t="shared" si="22"/>
        <v>133</v>
      </c>
      <c r="O134" s="159">
        <f t="shared" si="23"/>
        <v>137</v>
      </c>
      <c r="P134" s="15">
        <v>0</v>
      </c>
      <c r="Q134" s="15">
        <v>0.14285714285714285</v>
      </c>
      <c r="R134">
        <v>-6</v>
      </c>
      <c r="S134" t="e" vm="1">
        <f t="shared" si="24"/>
        <v>#VALUE!</v>
      </c>
      <c r="T134" s="14">
        <f>Table232[[#This Row],[BDG]]/Table232[[#This Row],[Odds]]</f>
        <v>21.506578947368421</v>
      </c>
      <c r="U134" s="14" cm="1">
        <f t="array" ref="U134">MAX(_xlfn._xlws.FILTER(Table22[[B365]:[BFAIREXC]], Table22[PLAYER] = A134))</f>
        <v>15.2</v>
      </c>
    </row>
    <row r="135" spans="1:21" hidden="1">
      <c r="A135" s="159" t="s">
        <v>522</v>
      </c>
      <c r="B135">
        <v>100</v>
      </c>
      <c r="C135">
        <v>169</v>
      </c>
      <c r="D135">
        <v>174</v>
      </c>
      <c r="E135">
        <v>11</v>
      </c>
      <c r="F135">
        <v>119</v>
      </c>
      <c r="G135">
        <v>175</v>
      </c>
      <c r="H135" s="137">
        <v>335.2</v>
      </c>
      <c r="I135" s="382">
        <v>539.89847817571263</v>
      </c>
      <c r="J135" s="259">
        <v>335.2</v>
      </c>
      <c r="K135" s="260">
        <v>539.89847817571263</v>
      </c>
      <c r="L135" s="16">
        <f t="shared" si="20"/>
        <v>132</v>
      </c>
      <c r="M135" s="230">
        <f t="shared" si="21"/>
        <v>129</v>
      </c>
      <c r="N135" s="159">
        <f t="shared" si="22"/>
        <v>134</v>
      </c>
      <c r="O135" s="159">
        <f t="shared" si="23"/>
        <v>133</v>
      </c>
      <c r="P135" s="15">
        <v>0</v>
      </c>
      <c r="Q135" s="15">
        <v>0.16666666666666666</v>
      </c>
      <c r="R135">
        <v>0</v>
      </c>
      <c r="S135" t="e" vm="1">
        <f t="shared" si="24"/>
        <v>#VALUE!</v>
      </c>
      <c r="T135" s="14">
        <f>Table232[[#This Row],[BDG]]/Table232[[#This Row],[Odds]]</f>
        <v>37.079646017699119</v>
      </c>
      <c r="U135" s="14" cm="1">
        <f t="array" ref="U135">MAX(_xlfn._xlws.FILTER(Table22[[B365]:[BFAIREXC]], Table22[PLAYER] = A135))</f>
        <v>9.0399999999999991</v>
      </c>
    </row>
    <row r="136" spans="1:21" hidden="1">
      <c r="A136" s="159" t="s">
        <v>94</v>
      </c>
      <c r="B136">
        <v>93</v>
      </c>
      <c r="C136">
        <v>118</v>
      </c>
      <c r="D136">
        <v>191</v>
      </c>
      <c r="E136">
        <v>153</v>
      </c>
      <c r="F136">
        <v>44</v>
      </c>
      <c r="G136">
        <v>172</v>
      </c>
      <c r="H136" s="137">
        <v>339.09999999999997</v>
      </c>
      <c r="I136" s="382">
        <v>568.81977096073979</v>
      </c>
      <c r="J136" s="259">
        <v>339.09999999999997</v>
      </c>
      <c r="K136" s="260">
        <v>568.81977096073979</v>
      </c>
      <c r="L136" s="16">
        <f t="shared" si="20"/>
        <v>133</v>
      </c>
      <c r="M136" s="230">
        <f t="shared" si="21"/>
        <v>134</v>
      </c>
      <c r="N136" s="159">
        <f t="shared" si="22"/>
        <v>135</v>
      </c>
      <c r="O136" s="159">
        <f t="shared" si="23"/>
        <v>136</v>
      </c>
      <c r="P136" s="15">
        <v>0</v>
      </c>
      <c r="Q136" s="15">
        <v>0</v>
      </c>
      <c r="R136" t="e">
        <v>#N/A</v>
      </c>
      <c r="S136" t="e" vm="1">
        <f t="shared" si="24"/>
        <v>#VALUE!</v>
      </c>
      <c r="T136" s="14">
        <f>Table232[[#This Row],[BDG]]/Table232[[#This Row],[Odds]]</f>
        <v>13.563999999999998</v>
      </c>
      <c r="U136" s="14" cm="1">
        <f t="array" ref="U136">MAX(_xlfn._xlws.FILTER(Table22[[B365]:[BFAIREXC]], Table22[PLAYER] = A136))</f>
        <v>25</v>
      </c>
    </row>
    <row r="137" spans="1:21" hidden="1">
      <c r="A137" s="159" t="s">
        <v>393</v>
      </c>
      <c r="B137">
        <v>173</v>
      </c>
      <c r="C137">
        <v>106</v>
      </c>
      <c r="D137">
        <v>187</v>
      </c>
      <c r="E137">
        <v>82</v>
      </c>
      <c r="F137">
        <v>40</v>
      </c>
      <c r="G137">
        <v>162</v>
      </c>
      <c r="H137" s="137">
        <v>347.09999999999997</v>
      </c>
      <c r="I137" s="382">
        <v>555.41790556527667</v>
      </c>
      <c r="J137" s="259">
        <v>347.09999999999997</v>
      </c>
      <c r="K137" s="260">
        <v>555.41790556527667</v>
      </c>
      <c r="L137" s="16">
        <f t="shared" si="20"/>
        <v>134</v>
      </c>
      <c r="M137" s="230">
        <f t="shared" si="21"/>
        <v>132</v>
      </c>
      <c r="N137" s="159">
        <f t="shared" si="22"/>
        <v>136</v>
      </c>
      <c r="O137" s="159">
        <f t="shared" si="23"/>
        <v>134</v>
      </c>
      <c r="P137" s="15">
        <v>0</v>
      </c>
      <c r="Q137" s="15">
        <v>0</v>
      </c>
      <c r="R137" t="e">
        <v>#N/A</v>
      </c>
      <c r="S137" t="e" vm="1">
        <f t="shared" si="24"/>
        <v>#VALUE!</v>
      </c>
      <c r="T137" s="14">
        <f>Table232[[#This Row],[BDG]]/Table232[[#This Row],[Odds]]</f>
        <v>19.610169491525422</v>
      </c>
      <c r="U137" s="14" cm="1">
        <f t="array" ref="U137">MAX(_xlfn._xlws.FILTER(Table22[[B365]:[BFAIREXC]], Table22[PLAYER] = A137))</f>
        <v>17.7</v>
      </c>
    </row>
    <row r="138" spans="1:21" hidden="1">
      <c r="A138" s="159" t="s">
        <v>37</v>
      </c>
      <c r="B138">
        <v>67</v>
      </c>
      <c r="C138">
        <v>175</v>
      </c>
      <c r="D138">
        <v>169</v>
      </c>
      <c r="E138">
        <v>145</v>
      </c>
      <c r="F138">
        <v>33</v>
      </c>
      <c r="G138">
        <v>168</v>
      </c>
      <c r="H138" s="137">
        <v>334.7</v>
      </c>
      <c r="I138" s="382">
        <v>547.45223943471183</v>
      </c>
      <c r="J138" s="259">
        <v>351.17976971302051</v>
      </c>
      <c r="K138" s="260">
        <v>579.59342628556874</v>
      </c>
      <c r="L138" s="16">
        <f t="shared" si="20"/>
        <v>131</v>
      </c>
      <c r="M138" s="230">
        <f t="shared" si="21"/>
        <v>131</v>
      </c>
      <c r="N138" s="159">
        <f t="shared" si="22"/>
        <v>137</v>
      </c>
      <c r="O138" s="159">
        <f t="shared" si="23"/>
        <v>138</v>
      </c>
      <c r="P138" s="15">
        <v>0</v>
      </c>
      <c r="Q138" s="15">
        <v>0</v>
      </c>
      <c r="R138">
        <v>0</v>
      </c>
      <c r="S138" t="e" vm="1">
        <f t="shared" si="24"/>
        <v>#VALUE!</v>
      </c>
      <c r="T138" s="14">
        <f>Table232[[#This Row],[BDG]]/Table232[[#This Row],[Odds]]</f>
        <v>9.0046094798210383</v>
      </c>
      <c r="U138" s="14" cm="1">
        <f t="array" ref="U138">MAX(_xlfn._xlws.FILTER(Table22[[B365]:[BFAIREXC]], Table22[PLAYER] = A138))</f>
        <v>39</v>
      </c>
    </row>
    <row r="139" spans="1:21" hidden="1">
      <c r="A139" s="159" t="s">
        <v>223</v>
      </c>
      <c r="B139">
        <v>70</v>
      </c>
      <c r="C139">
        <v>171</v>
      </c>
      <c r="D139">
        <v>157</v>
      </c>
      <c r="E139">
        <v>89</v>
      </c>
      <c r="F139">
        <v>177</v>
      </c>
      <c r="G139">
        <v>176</v>
      </c>
      <c r="H139" s="137">
        <v>360.90000000000003</v>
      </c>
      <c r="I139" s="382">
        <v>585.71334734056279</v>
      </c>
      <c r="J139" s="259">
        <v>359.32461432921457</v>
      </c>
      <c r="K139" s="260">
        <v>566.45347429341791</v>
      </c>
      <c r="L139" s="16">
        <f t="shared" si="20"/>
        <v>137</v>
      </c>
      <c r="M139" s="230">
        <f t="shared" si="21"/>
        <v>137</v>
      </c>
      <c r="N139" s="159">
        <f t="shared" si="22"/>
        <v>138</v>
      </c>
      <c r="O139" s="159">
        <f t="shared" si="23"/>
        <v>135</v>
      </c>
      <c r="P139" s="15">
        <v>0</v>
      </c>
      <c r="Q139" s="15">
        <v>0</v>
      </c>
      <c r="R139">
        <v>6</v>
      </c>
      <c r="S139" t="e" vm="1">
        <f t="shared" si="24"/>
        <v>#VALUE!</v>
      </c>
      <c r="T139" s="14">
        <f>Table232[[#This Row],[BDG]]/Table232[[#This Row],[Odds]]</f>
        <v>34.88588488633151</v>
      </c>
      <c r="U139" s="14" cm="1">
        <f t="array" ref="U139">MAX(_xlfn._xlws.FILTER(Table22[[B365]:[BFAIREXC]], Table22[PLAYER] = A139))</f>
        <v>10.3</v>
      </c>
    </row>
    <row r="140" spans="1:21" hidden="1">
      <c r="A140" s="159" t="s">
        <v>419</v>
      </c>
      <c r="B140">
        <v>170</v>
      </c>
      <c r="C140">
        <v>38</v>
      </c>
      <c r="D140">
        <v>156</v>
      </c>
      <c r="E140">
        <v>167</v>
      </c>
      <c r="F140">
        <v>159</v>
      </c>
      <c r="G140">
        <v>172</v>
      </c>
      <c r="H140" s="137">
        <v>364.40000000000003</v>
      </c>
      <c r="I140" s="382">
        <v>616.4329578073739</v>
      </c>
      <c r="J140" s="259">
        <v>364.40000000000003</v>
      </c>
      <c r="K140" s="260">
        <v>616.4329578073739</v>
      </c>
      <c r="L140" s="16">
        <f t="shared" si="20"/>
        <v>138</v>
      </c>
      <c r="M140" s="230">
        <f t="shared" si="21"/>
        <v>138</v>
      </c>
      <c r="N140" s="159">
        <f t="shared" si="22"/>
        <v>139</v>
      </c>
      <c r="O140" s="159">
        <f t="shared" si="23"/>
        <v>139</v>
      </c>
      <c r="P140" s="15">
        <v>0</v>
      </c>
      <c r="Q140" s="15">
        <v>0.125</v>
      </c>
      <c r="R140">
        <v>-25</v>
      </c>
      <c r="S140" t="e" vm="1">
        <f t="shared" si="24"/>
        <v>#VALUE!</v>
      </c>
      <c r="T140" s="14">
        <f>Table232[[#This Row],[BDG]]/Table232[[#This Row],[Odds]]</f>
        <v>23.210191082802552</v>
      </c>
      <c r="U140" s="14" cm="1">
        <f t="array" ref="U140">MAX(_xlfn._xlws.FILTER(Table22[[B365]:[BFAIREXC]], Table22[PLAYER] = A140))</f>
        <v>15.7</v>
      </c>
    </row>
    <row r="141" spans="1:21" hidden="1">
      <c r="A141" s="159" t="s">
        <v>222</v>
      </c>
      <c r="B141">
        <v>168</v>
      </c>
      <c r="C141">
        <v>161</v>
      </c>
      <c r="D141">
        <v>148</v>
      </c>
      <c r="E141">
        <v>118</v>
      </c>
      <c r="F141">
        <v>120</v>
      </c>
      <c r="G141">
        <v>169</v>
      </c>
      <c r="H141" s="137">
        <v>396.2</v>
      </c>
      <c r="I141" s="382">
        <v>616.95611134273213</v>
      </c>
      <c r="J141" s="259">
        <v>396.2</v>
      </c>
      <c r="K141" s="260">
        <v>616.95611134273213</v>
      </c>
      <c r="L141" s="16">
        <f t="shared" si="20"/>
        <v>140</v>
      </c>
      <c r="M141" s="230">
        <f t="shared" si="21"/>
        <v>139</v>
      </c>
      <c r="N141" s="159">
        <f t="shared" si="22"/>
        <v>140</v>
      </c>
      <c r="O141" s="159">
        <f t="shared" si="23"/>
        <v>140</v>
      </c>
      <c r="P141" s="15">
        <v>0</v>
      </c>
      <c r="Q141" s="15">
        <v>0</v>
      </c>
      <c r="R141">
        <v>-13</v>
      </c>
      <c r="S141" t="e" vm="1">
        <f t="shared" si="24"/>
        <v>#VALUE!</v>
      </c>
      <c r="T141" s="14" t="e" vm="1">
        <f>Table232[[#This Row],[BDG]]/Table232[[#This Row],[Odds]]</f>
        <v>#VALUE!</v>
      </c>
      <c r="U141" s="14" t="e" cm="1" vm="2">
        <f t="array" ref="U141">MAX(_xlfn._xlws.FILTER(Table22[[B365]:[BFAIREXC]], Table22[PLAYER] = A141))</f>
        <v>#VALUE!</v>
      </c>
    </row>
    <row r="142" spans="1:21" hidden="1">
      <c r="A142" s="159" t="s">
        <v>242</v>
      </c>
      <c r="B142">
        <v>190</v>
      </c>
      <c r="C142">
        <v>144</v>
      </c>
      <c r="D142">
        <v>189</v>
      </c>
      <c r="E142">
        <v>104</v>
      </c>
      <c r="F142">
        <v>106</v>
      </c>
      <c r="G142">
        <v>190</v>
      </c>
      <c r="H142" s="137">
        <v>416.69999999999993</v>
      </c>
      <c r="I142" s="382">
        <v>662.60972133374457</v>
      </c>
      <c r="J142" s="259">
        <v>416.69999999999993</v>
      </c>
      <c r="K142" s="260">
        <v>662.60972133374457</v>
      </c>
      <c r="L142" s="16">
        <f t="shared" si="20"/>
        <v>141</v>
      </c>
      <c r="M142" s="230">
        <f t="shared" si="21"/>
        <v>141</v>
      </c>
      <c r="N142" s="159">
        <f t="shared" si="22"/>
        <v>141</v>
      </c>
      <c r="O142" s="159">
        <f t="shared" si="23"/>
        <v>141</v>
      </c>
      <c r="P142" s="15" t="e">
        <v>#N/A</v>
      </c>
      <c r="Q142" s="15" t="e">
        <v>#N/A</v>
      </c>
      <c r="R142" t="e">
        <v>#N/A</v>
      </c>
      <c r="S142" t="e" vm="1">
        <f t="shared" si="24"/>
        <v>#VALUE!</v>
      </c>
      <c r="T142" s="14">
        <f>Table232[[#This Row],[BDG]]/Table232[[#This Row],[Odds]]</f>
        <v>21.931578947368418</v>
      </c>
      <c r="U142" s="14" cm="1">
        <f t="array" ref="U142">MAX(_xlfn._xlws.FILTER(Table22[[B365]:[BFAIREXC]], Table22[PLAYER] = A142))</f>
        <v>19</v>
      </c>
    </row>
    <row r="143" spans="1:21" hidden="1">
      <c r="A143" s="159" t="s">
        <v>247</v>
      </c>
      <c r="B143">
        <v>174</v>
      </c>
      <c r="C143">
        <v>102</v>
      </c>
      <c r="D143">
        <v>173</v>
      </c>
      <c r="E143">
        <v>170</v>
      </c>
      <c r="F143">
        <v>166</v>
      </c>
      <c r="G143">
        <v>178</v>
      </c>
      <c r="H143" s="137">
        <v>421.1</v>
      </c>
      <c r="I143" s="382">
        <v>676.94554934093435</v>
      </c>
      <c r="J143" s="259">
        <v>421.1</v>
      </c>
      <c r="K143" s="260">
        <v>676.94554934093435</v>
      </c>
      <c r="L143" s="16">
        <f t="shared" si="20"/>
        <v>142</v>
      </c>
      <c r="M143" s="230">
        <f t="shared" si="21"/>
        <v>142</v>
      </c>
      <c r="N143" s="159">
        <f t="shared" si="22"/>
        <v>142</v>
      </c>
      <c r="O143" s="159">
        <f t="shared" si="23"/>
        <v>142</v>
      </c>
      <c r="P143" s="15">
        <v>0</v>
      </c>
      <c r="Q143" s="15">
        <v>0</v>
      </c>
      <c r="R143">
        <v>6</v>
      </c>
      <c r="S143" t="e" vm="1">
        <f t="shared" si="24"/>
        <v>#VALUE!</v>
      </c>
      <c r="T143" s="14" t="e" vm="1">
        <f>Table232[[#This Row],[BDG]]/Table232[[#This Row],[Odds]]</f>
        <v>#VALUE!</v>
      </c>
      <c r="U143" s="14" t="e" cm="1" vm="2">
        <f t="array" ref="U143">MAX(_xlfn._xlws.FILTER(Table22[[B365]:[BFAIREXC]], Table22[PLAYER] = A143))</f>
        <v>#VALUE!</v>
      </c>
    </row>
  </sheetData>
  <conditionalFormatting sqref="J1:K1048576 N1:O1048576 S1:S1048576">
    <cfRule type="containsErrors" dxfId="404" priority="12">
      <formula>ISERROR(J1)</formula>
    </cfRule>
  </conditionalFormatting>
  <conditionalFormatting sqref="P1:Q1048576">
    <cfRule type="cellIs" dxfId="403" priority="5" operator="greaterThanOrEqual">
      <formula>20%</formula>
    </cfRule>
    <cfRule type="cellIs" dxfId="402" priority="6" operator="between">
      <formula>10%</formula>
      <formula>20%</formula>
    </cfRule>
    <cfRule type="cellIs" dxfId="401" priority="7" operator="between">
      <formula>0.01%</formula>
      <formula>10%</formula>
    </cfRule>
  </conditionalFormatting>
  <conditionalFormatting sqref="R1:R1048576">
    <cfRule type="cellIs" dxfId="400" priority="1" operator="between">
      <formula>-5</formula>
      <formula>-9</formula>
    </cfRule>
    <cfRule type="cellIs" dxfId="399" priority="2" operator="lessThanOrEqual">
      <formula>-10</formula>
    </cfRule>
    <cfRule type="cellIs" dxfId="398" priority="3" operator="between">
      <formula>5</formula>
      <formula>9</formula>
    </cfRule>
    <cfRule type="cellIs" dxfId="397" priority="4" operator="greaterThanOrEqual">
      <formula>10</formula>
    </cfRule>
  </conditionalFormatting>
  <conditionalFormatting sqref="B1:G1048576 L2:O1048576 S1:S1048576">
    <cfRule type="cellIs" dxfId="396" priority="8" operator="between">
      <formula>101</formula>
      <formula>250</formula>
    </cfRule>
    <cfRule type="cellIs" dxfId="395" priority="9" operator="between">
      <formula>51</formula>
      <formula>100.5</formula>
    </cfRule>
    <cfRule type="cellIs" dxfId="394" priority="10" operator="between">
      <formula>21</formula>
      <formula>50.5</formula>
    </cfRule>
    <cfRule type="cellIs" dxfId="393" priority="11" operator="lessThanOrEqual">
      <formula>20.5</formula>
    </cfRule>
  </conditionalFormatting>
  <conditionalFormatting sqref="A1:A1048576">
    <cfRule type="expression" dxfId="392" priority="13">
      <formula>$T1=MIN($T$2:$T$9)</formula>
    </cfRule>
    <cfRule type="expression" dxfId="391" priority="14">
      <formula>$T1=MIN($T$10:$T$21)</formula>
    </cfRule>
    <cfRule type="expression" dxfId="390" priority="15">
      <formula>$T1=MIN($T$22:$T$35)</formula>
    </cfRule>
    <cfRule type="expression" dxfId="389" priority="16">
      <formula>$T1=MIN($T$36:$T$74)</formula>
    </cfRule>
    <cfRule type="expression" dxfId="388" priority="17">
      <formula>AND($L1&lt;=3, $M1&gt;3)</formula>
    </cfRule>
    <cfRule type="expression" dxfId="387" priority="18">
      <formula>AND($L1&gt;3, $M1&lt;=3)</formula>
    </cfRule>
    <cfRule type="expression" dxfId="386" priority="19">
      <formula>AND($N1&lt;=3, $O1&gt;3)</formula>
    </cfRule>
    <cfRule type="expression" dxfId="385" priority="20">
      <formula>AND($N1&gt;3, $O1&lt;=3)</formula>
    </cfRule>
    <cfRule type="expression" dxfId="384" priority="21">
      <formula>AND($L1&lt;=3, $M1&lt;=3)</formula>
    </cfRule>
    <cfRule type="expression" dxfId="383"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812DE-4B89-475A-91DB-D03AB7F2DB68}">
  <sheetPr codeName="Sheet77">
    <tabColor rgb="FF92D050"/>
  </sheetPr>
  <dimension ref="A1:W143"/>
  <sheetViews>
    <sheetView zoomScale="90" zoomScaleNormal="90" workbookViewId="0">
      <selection activeCell="N2" activeCellId="1" sqref="L2:L11 N2:N11"/>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7" max="17" width="9.28515625" customWidth="1"/>
    <col min="19" max="20" width="14.42578125" bestFit="1" customWidth="1"/>
    <col min="21" max="21"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122" t="s">
        <v>537</v>
      </c>
      <c r="Q1" s="122" t="s">
        <v>536</v>
      </c>
      <c r="R1" s="362" t="s">
        <v>535</v>
      </c>
      <c r="S1" s="241" t="s">
        <v>566</v>
      </c>
      <c r="T1" s="241" t="s">
        <v>565</v>
      </c>
      <c r="U1" s="241" t="s">
        <v>472</v>
      </c>
      <c r="V1" s="331" t="s">
        <v>210</v>
      </c>
      <c r="W1" s="1"/>
    </row>
    <row r="2" spans="1:23">
      <c r="A2" s="159" t="s">
        <v>35</v>
      </c>
      <c r="B2">
        <v>120</v>
      </c>
      <c r="C2">
        <v>105</v>
      </c>
      <c r="D2">
        <v>2</v>
      </c>
      <c r="E2">
        <v>8</v>
      </c>
      <c r="F2">
        <v>107</v>
      </c>
      <c r="G2">
        <v>1</v>
      </c>
      <c r="H2">
        <v>180.9</v>
      </c>
      <c r="I2" s="14">
        <v>195.92525981731578</v>
      </c>
      <c r="J2" s="259">
        <v>149.9174151412191</v>
      </c>
      <c r="K2" s="260">
        <v>165.06337903944365</v>
      </c>
      <c r="L2" s="16">
        <f t="shared" ref="L2:L33" si="0">RANK(H2,$H$2:$H$143,1)</f>
        <v>15</v>
      </c>
      <c r="M2" s="230">
        <f t="shared" ref="M2:M33" si="1">RANK(I2,$I$2:$I$143,1)</f>
        <v>7</v>
      </c>
      <c r="N2" s="159">
        <f t="shared" ref="N2:N33" si="2">RANK(J2,$J$2:$J$143,1)</f>
        <v>2</v>
      </c>
      <c r="O2" s="159">
        <f t="shared" ref="O2:O33" si="3">RANK(K2,$K$2:$K$143,1)</f>
        <v>1</v>
      </c>
      <c r="P2" s="15">
        <v>0.16666666666666666</v>
      </c>
      <c r="Q2" s="15">
        <v>0.83333333333333337</v>
      </c>
      <c r="R2">
        <v>7</v>
      </c>
      <c r="S2" t="e" vm="1">
        <f t="shared" ref="S2:S33" si="4">RANK(U2,$U$2:$U$143,0)</f>
        <v>#VALUE!</v>
      </c>
      <c r="T2" s="14" t="e" vm="1">
        <f>Table230[[#This Row],[BDG]]/Table230[[#This Row],[Odds]]</f>
        <v>#VALUE!</v>
      </c>
      <c r="U2" s="14" t="e" cm="1" vm="2">
        <f t="array" ref="U2">MAX(_xlfn._xlws.FILTER(Table22[[B365]:[BFAIREXC]], Table22[PLAYER] = A2))</f>
        <v>#VALUE!</v>
      </c>
      <c r="V2">
        <v>1</v>
      </c>
    </row>
    <row r="3" spans="1:23">
      <c r="A3" s="159" t="s">
        <v>73</v>
      </c>
      <c r="B3">
        <v>42</v>
      </c>
      <c r="C3">
        <v>102</v>
      </c>
      <c r="D3">
        <v>40</v>
      </c>
      <c r="E3">
        <v>18</v>
      </c>
      <c r="F3">
        <v>126</v>
      </c>
      <c r="G3">
        <v>8</v>
      </c>
      <c r="H3">
        <v>178</v>
      </c>
      <c r="I3" s="14">
        <v>198.67280638887036</v>
      </c>
      <c r="J3" s="259">
        <v>170.88159067274711</v>
      </c>
      <c r="K3" s="260">
        <v>184.36083555432407</v>
      </c>
      <c r="L3" s="16">
        <f t="shared" si="0"/>
        <v>14</v>
      </c>
      <c r="M3" s="230">
        <f t="shared" si="1"/>
        <v>8</v>
      </c>
      <c r="N3" s="159">
        <f t="shared" si="2"/>
        <v>7</v>
      </c>
      <c r="O3" s="159">
        <f t="shared" si="3"/>
        <v>5</v>
      </c>
      <c r="P3" s="15">
        <v>0</v>
      </c>
      <c r="Q3" s="15">
        <v>0.66666666666666663</v>
      </c>
      <c r="R3">
        <v>16</v>
      </c>
      <c r="S3" t="e" vm="1">
        <f t="shared" si="4"/>
        <v>#VALUE!</v>
      </c>
      <c r="T3" s="14" t="e" vm="1">
        <f>Table230[[#This Row],[BDG]]/Table230[[#This Row],[Odds]]</f>
        <v>#VALUE!</v>
      </c>
      <c r="U3" s="14" t="e" cm="1" vm="2">
        <f t="array" ref="U3">MAX(_xlfn._xlws.FILTER(Table22[[B365]:[BFAIREXC]], Table22[PLAYER] = A3))</f>
        <v>#VALUE!</v>
      </c>
      <c r="V3">
        <v>2</v>
      </c>
    </row>
    <row r="4" spans="1:23">
      <c r="A4" s="159" t="s">
        <v>18</v>
      </c>
      <c r="B4">
        <v>11</v>
      </c>
      <c r="C4">
        <v>176</v>
      </c>
      <c r="D4">
        <v>39</v>
      </c>
      <c r="E4">
        <v>95</v>
      </c>
      <c r="F4">
        <v>39</v>
      </c>
      <c r="G4">
        <v>9</v>
      </c>
      <c r="H4">
        <v>209.6</v>
      </c>
      <c r="I4" s="14">
        <v>217.21466954261825</v>
      </c>
      <c r="J4" s="259">
        <v>181.24305792586154</v>
      </c>
      <c r="K4" s="260">
        <v>184.18961861247851</v>
      </c>
      <c r="L4" s="16">
        <f t="shared" si="0"/>
        <v>42</v>
      </c>
      <c r="M4" s="230">
        <f t="shared" si="1"/>
        <v>13</v>
      </c>
      <c r="N4" s="159">
        <f t="shared" si="2"/>
        <v>15</v>
      </c>
      <c r="O4" s="159">
        <f t="shared" si="3"/>
        <v>3</v>
      </c>
      <c r="P4" s="15">
        <v>0.16666666666666666</v>
      </c>
      <c r="Q4" s="15">
        <v>0.33333333333333331</v>
      </c>
      <c r="R4">
        <v>-3</v>
      </c>
      <c r="S4" t="e" vm="1">
        <f t="shared" si="4"/>
        <v>#VALUE!</v>
      </c>
      <c r="T4" s="14" t="e" vm="1">
        <f>Table230[[#This Row],[BDG]]/Table230[[#This Row],[Odds]]</f>
        <v>#VALUE!</v>
      </c>
      <c r="U4" s="14" t="e" cm="1" vm="2">
        <f t="array" ref="U4">MAX(_xlfn._xlws.FILTER(Table22[[B365]:[BFAIREXC]], Table22[PLAYER] = A4))</f>
        <v>#VALUE!</v>
      </c>
      <c r="V4">
        <v>2</v>
      </c>
    </row>
    <row r="5" spans="1:23">
      <c r="A5" s="159" t="s">
        <v>154</v>
      </c>
      <c r="B5">
        <v>150</v>
      </c>
      <c r="C5">
        <v>60</v>
      </c>
      <c r="D5">
        <v>99</v>
      </c>
      <c r="E5">
        <v>46</v>
      </c>
      <c r="F5">
        <v>50</v>
      </c>
      <c r="G5">
        <v>55</v>
      </c>
      <c r="H5">
        <v>224.70000000000002</v>
      </c>
      <c r="I5" s="14">
        <v>322.26563731810324</v>
      </c>
      <c r="J5" s="259">
        <v>219.79880013533409</v>
      </c>
      <c r="K5" s="260">
        <v>322.66282970960367</v>
      </c>
      <c r="L5" s="16">
        <f t="shared" si="0"/>
        <v>57</v>
      </c>
      <c r="M5" s="230">
        <f t="shared" si="1"/>
        <v>52</v>
      </c>
      <c r="N5" s="159">
        <f t="shared" si="2"/>
        <v>53</v>
      </c>
      <c r="O5" s="159">
        <f t="shared" si="3"/>
        <v>55</v>
      </c>
      <c r="P5" s="15">
        <v>0</v>
      </c>
      <c r="Q5" s="15">
        <v>0.16666666666666666</v>
      </c>
      <c r="R5">
        <v>-21</v>
      </c>
      <c r="S5" t="e" vm="1">
        <f t="shared" si="4"/>
        <v>#VALUE!</v>
      </c>
      <c r="T5" s="14" t="e" vm="1">
        <f>Table230[[#This Row],[BDG]]/Table230[[#This Row],[Odds]]</f>
        <v>#VALUE!</v>
      </c>
      <c r="U5" s="14" t="e" cm="1" vm="2">
        <f t="array" ref="U5">MAX(_xlfn._xlws.FILTER(Table22[[B365]:[BFAIREXC]], Table22[PLAYER] = A5))</f>
        <v>#VALUE!</v>
      </c>
      <c r="V5">
        <v>2</v>
      </c>
    </row>
    <row r="6" spans="1:23">
      <c r="A6" s="159" t="s">
        <v>72</v>
      </c>
      <c r="B6">
        <v>69</v>
      </c>
      <c r="C6">
        <v>93</v>
      </c>
      <c r="D6">
        <v>128</v>
      </c>
      <c r="E6">
        <v>86</v>
      </c>
      <c r="F6">
        <v>86</v>
      </c>
      <c r="G6">
        <v>112</v>
      </c>
      <c r="H6">
        <v>258</v>
      </c>
      <c r="I6" s="14">
        <v>410.91630735139381</v>
      </c>
      <c r="J6" s="259">
        <v>241.35033575385552</v>
      </c>
      <c r="K6" s="260">
        <v>324.87533322048648</v>
      </c>
      <c r="L6" s="16">
        <f t="shared" si="0"/>
        <v>87</v>
      </c>
      <c r="M6" s="230">
        <f t="shared" si="1"/>
        <v>93</v>
      </c>
      <c r="N6" s="159">
        <f t="shared" si="2"/>
        <v>71</v>
      </c>
      <c r="O6" s="159">
        <f t="shared" si="3"/>
        <v>56</v>
      </c>
      <c r="P6" s="15">
        <v>0</v>
      </c>
      <c r="Q6" s="15">
        <v>0</v>
      </c>
      <c r="R6">
        <v>3</v>
      </c>
      <c r="S6" t="e" vm="1">
        <f t="shared" si="4"/>
        <v>#VALUE!</v>
      </c>
      <c r="T6" s="14" t="e" vm="1">
        <f>Table230[[#This Row],[BDG]]/Table230[[#This Row],[Odds]]</f>
        <v>#VALUE!</v>
      </c>
      <c r="U6" s="14" t="e" cm="1" vm="2">
        <f t="array" ref="U6">MAX(_xlfn._xlws.FILTER(Table22[[B365]:[BFAIREXC]], Table22[PLAYER] = A6))</f>
        <v>#VALUE!</v>
      </c>
      <c r="V6">
        <v>5</v>
      </c>
    </row>
    <row r="7" spans="1:23">
      <c r="A7" s="159" t="s">
        <v>128</v>
      </c>
      <c r="B7">
        <v>158</v>
      </c>
      <c r="C7">
        <v>16</v>
      </c>
      <c r="D7">
        <v>31</v>
      </c>
      <c r="E7">
        <v>53</v>
      </c>
      <c r="F7">
        <v>158</v>
      </c>
      <c r="G7">
        <v>44</v>
      </c>
      <c r="H7">
        <v>196.3</v>
      </c>
      <c r="I7" s="14">
        <v>297.45357779509436</v>
      </c>
      <c r="J7" s="259">
        <v>190.63684889586926</v>
      </c>
      <c r="K7" s="260">
        <v>290.83424779997472</v>
      </c>
      <c r="L7" s="16">
        <f t="shared" si="0"/>
        <v>27</v>
      </c>
      <c r="M7" s="230">
        <f t="shared" si="1"/>
        <v>41</v>
      </c>
      <c r="N7" s="159">
        <f t="shared" si="2"/>
        <v>23</v>
      </c>
      <c r="O7" s="159">
        <f t="shared" si="3"/>
        <v>40</v>
      </c>
      <c r="P7" s="15">
        <v>0</v>
      </c>
      <c r="Q7" s="15">
        <v>0</v>
      </c>
      <c r="R7">
        <v>-2</v>
      </c>
      <c r="S7" t="e" vm="1">
        <f t="shared" si="4"/>
        <v>#VALUE!</v>
      </c>
      <c r="T7" s="14" t="e" vm="1">
        <f>Table230[[#This Row],[BDG]]/Table230[[#This Row],[Odds]]</f>
        <v>#VALUE!</v>
      </c>
      <c r="U7" s="14" t="e" cm="1" vm="2">
        <f t="array" ref="U7">MAX(_xlfn._xlws.FILTER(Table22[[B365]:[BFAIREXC]], Table22[PLAYER] = A7))</f>
        <v>#VALUE!</v>
      </c>
      <c r="V7">
        <v>6</v>
      </c>
    </row>
    <row r="8" spans="1:23">
      <c r="A8" s="159" t="s">
        <v>129</v>
      </c>
      <c r="B8">
        <v>90</v>
      </c>
      <c r="C8">
        <v>124</v>
      </c>
      <c r="D8">
        <v>66</v>
      </c>
      <c r="E8">
        <v>4</v>
      </c>
      <c r="F8">
        <v>139</v>
      </c>
      <c r="G8">
        <v>41</v>
      </c>
      <c r="H8">
        <v>235.2</v>
      </c>
      <c r="I8" s="14">
        <v>294.73234302766286</v>
      </c>
      <c r="J8" s="259">
        <v>212.26423802827037</v>
      </c>
      <c r="K8" s="260">
        <v>262.50718523767841</v>
      </c>
      <c r="L8" s="16">
        <f t="shared" si="0"/>
        <v>67</v>
      </c>
      <c r="M8" s="230">
        <f t="shared" si="1"/>
        <v>39</v>
      </c>
      <c r="N8" s="159">
        <f t="shared" si="2"/>
        <v>44</v>
      </c>
      <c r="O8" s="159">
        <f t="shared" si="3"/>
        <v>22</v>
      </c>
      <c r="P8" s="15">
        <v>0.14285714285714285</v>
      </c>
      <c r="Q8" s="15">
        <v>0.14285714285714285</v>
      </c>
      <c r="R8">
        <v>75</v>
      </c>
      <c r="S8" t="e" vm="1">
        <f t="shared" si="4"/>
        <v>#VALUE!</v>
      </c>
      <c r="T8" s="14" t="e" vm="1">
        <f>Table230[[#This Row],[BDG]]/Table230[[#This Row],[Odds]]</f>
        <v>#VALUE!</v>
      </c>
      <c r="U8" s="14" t="e" cm="1" vm="2">
        <f t="array" ref="U8">MAX(_xlfn._xlws.FILTER(Table22[[B365]:[BFAIREXC]], Table22[PLAYER] = A8))</f>
        <v>#VALUE!</v>
      </c>
      <c r="V8">
        <v>6</v>
      </c>
    </row>
    <row r="9" spans="1:23">
      <c r="A9" s="159" t="s">
        <v>439</v>
      </c>
      <c r="B9">
        <v>28</v>
      </c>
      <c r="C9">
        <v>127</v>
      </c>
      <c r="D9">
        <v>63</v>
      </c>
      <c r="E9">
        <v>113</v>
      </c>
      <c r="F9">
        <v>48</v>
      </c>
      <c r="G9">
        <v>34</v>
      </c>
      <c r="H9">
        <v>211.39999999999998</v>
      </c>
      <c r="I9" s="14">
        <v>264.52876103922392</v>
      </c>
      <c r="J9" s="259">
        <v>163.43825846719793</v>
      </c>
      <c r="K9" s="260">
        <v>206.13539940047355</v>
      </c>
      <c r="L9" s="16">
        <f t="shared" si="0"/>
        <v>43</v>
      </c>
      <c r="M9" s="230">
        <f t="shared" si="1"/>
        <v>29</v>
      </c>
      <c r="N9" s="159">
        <f t="shared" si="2"/>
        <v>4</v>
      </c>
      <c r="O9" s="159">
        <f t="shared" si="3"/>
        <v>7</v>
      </c>
      <c r="P9" s="15">
        <v>0</v>
      </c>
      <c r="Q9" s="15">
        <v>0.33333333333333331</v>
      </c>
      <c r="R9">
        <v>12</v>
      </c>
      <c r="S9" t="e" vm="1">
        <f t="shared" si="4"/>
        <v>#VALUE!</v>
      </c>
      <c r="T9" s="14" t="e" vm="1">
        <f>Table230[[#This Row],[BDG]]/Table230[[#This Row],[Odds]]</f>
        <v>#VALUE!</v>
      </c>
      <c r="U9" s="14" t="e" cm="1" vm="2">
        <f t="array" ref="U9">MAX(_xlfn._xlws.FILTER(Table22[[B365]:[BFAIREXC]], Table22[PLAYER] = A9))</f>
        <v>#VALUE!</v>
      </c>
      <c r="V9">
        <v>8</v>
      </c>
    </row>
    <row r="10" spans="1:23">
      <c r="A10" s="159" t="s">
        <v>64</v>
      </c>
      <c r="B10">
        <v>71</v>
      </c>
      <c r="C10">
        <v>129</v>
      </c>
      <c r="D10">
        <v>81</v>
      </c>
      <c r="E10">
        <v>77</v>
      </c>
      <c r="F10">
        <v>21</v>
      </c>
      <c r="G10">
        <v>12</v>
      </c>
      <c r="H10">
        <v>221.70000000000002</v>
      </c>
      <c r="I10" s="14">
        <v>250.89356096212057</v>
      </c>
      <c r="J10" s="259">
        <v>217.22611062773672</v>
      </c>
      <c r="K10" s="260">
        <v>244.22175295713208</v>
      </c>
      <c r="L10" s="16">
        <f t="shared" si="0"/>
        <v>55</v>
      </c>
      <c r="M10" s="230">
        <f t="shared" si="1"/>
        <v>22</v>
      </c>
      <c r="N10" s="159">
        <f t="shared" si="2"/>
        <v>47</v>
      </c>
      <c r="O10" s="159">
        <f t="shared" si="3"/>
        <v>13</v>
      </c>
      <c r="P10" s="15">
        <v>0</v>
      </c>
      <c r="Q10" s="15">
        <v>0.42857142857142855</v>
      </c>
      <c r="R10">
        <v>20</v>
      </c>
      <c r="S10" t="e" vm="1">
        <f t="shared" si="4"/>
        <v>#VALUE!</v>
      </c>
      <c r="T10" s="14" t="e" vm="1">
        <f>Table230[[#This Row],[BDG]]/Table230[[#This Row],[Odds]]</f>
        <v>#VALUE!</v>
      </c>
      <c r="U10" s="14" t="e" cm="1" vm="2">
        <f t="array" ref="U10">MAX(_xlfn._xlws.FILTER(Table22[[B365]:[BFAIREXC]], Table22[PLAYER] = A10))</f>
        <v>#VALUE!</v>
      </c>
      <c r="V10">
        <v>9</v>
      </c>
    </row>
    <row r="11" spans="1:23">
      <c r="A11" s="159" t="s">
        <v>98</v>
      </c>
      <c r="B11">
        <v>35</v>
      </c>
      <c r="C11">
        <v>106</v>
      </c>
      <c r="D11">
        <v>142</v>
      </c>
      <c r="E11">
        <v>23</v>
      </c>
      <c r="F11">
        <v>31</v>
      </c>
      <c r="G11">
        <v>24</v>
      </c>
      <c r="H11">
        <v>212.69999999999996</v>
      </c>
      <c r="I11" s="14">
        <v>251.84343062894567</v>
      </c>
      <c r="J11" s="259">
        <v>259.53425963116143</v>
      </c>
      <c r="K11" s="260">
        <v>335.06435836375107</v>
      </c>
      <c r="L11" s="16">
        <f t="shared" si="0"/>
        <v>44</v>
      </c>
      <c r="M11" s="230">
        <f t="shared" si="1"/>
        <v>23</v>
      </c>
      <c r="N11" s="159">
        <f t="shared" si="2"/>
        <v>93</v>
      </c>
      <c r="O11" s="159">
        <f t="shared" si="3"/>
        <v>65</v>
      </c>
      <c r="P11" s="15">
        <v>0</v>
      </c>
      <c r="Q11" s="15">
        <v>0.14285714285714285</v>
      </c>
      <c r="R11">
        <v>62</v>
      </c>
      <c r="S11" t="e" vm="1">
        <f t="shared" si="4"/>
        <v>#VALUE!</v>
      </c>
      <c r="T11" s="14" t="e" vm="1">
        <f>Table230[[#This Row],[BDG]]/Table230[[#This Row],[Odds]]</f>
        <v>#VALUE!</v>
      </c>
      <c r="U11" s="14" t="e" cm="1" vm="2">
        <f t="array" ref="U11">MAX(_xlfn._xlws.FILTER(Table22[[B365]:[BFAIREXC]], Table22[PLAYER] = A11))</f>
        <v>#VALUE!</v>
      </c>
      <c r="V11">
        <v>9</v>
      </c>
    </row>
    <row r="12" spans="1:23">
      <c r="A12" s="159" t="s">
        <v>74</v>
      </c>
      <c r="B12">
        <v>112</v>
      </c>
      <c r="C12">
        <v>8</v>
      </c>
      <c r="D12">
        <v>5</v>
      </c>
      <c r="E12">
        <v>42</v>
      </c>
      <c r="F12">
        <v>84</v>
      </c>
      <c r="G12">
        <v>10</v>
      </c>
      <c r="H12">
        <v>115.5</v>
      </c>
      <c r="I12" s="14">
        <v>161.4945749597041</v>
      </c>
      <c r="J12" s="259">
        <v>142.34848455276543</v>
      </c>
      <c r="K12" s="260">
        <v>202.11134200175815</v>
      </c>
      <c r="L12" s="16">
        <f t="shared" si="0"/>
        <v>1</v>
      </c>
      <c r="M12" s="230">
        <f t="shared" si="1"/>
        <v>3</v>
      </c>
      <c r="N12" s="159">
        <f t="shared" si="2"/>
        <v>1</v>
      </c>
      <c r="O12" s="159">
        <f t="shared" si="3"/>
        <v>6</v>
      </c>
      <c r="P12" s="15">
        <v>0</v>
      </c>
      <c r="Q12" s="15">
        <v>0.4</v>
      </c>
      <c r="R12">
        <v>48</v>
      </c>
      <c r="S12" t="e" vm="1">
        <f t="shared" si="4"/>
        <v>#VALUE!</v>
      </c>
      <c r="T12" s="14" t="e" vm="1">
        <f>Table230[[#This Row],[BDG]]/Table230[[#This Row],[Odds]]</f>
        <v>#VALUE!</v>
      </c>
      <c r="U12" s="14" t="e" cm="1" vm="2">
        <f t="array" ref="U12">MAX(_xlfn._xlws.FILTER(Table22[[B365]:[BFAIREXC]], Table22[PLAYER] = A12))</f>
        <v>#VALUE!</v>
      </c>
    </row>
    <row r="13" spans="1:23">
      <c r="A13" s="159" t="s">
        <v>66</v>
      </c>
      <c r="B13">
        <v>57</v>
      </c>
      <c r="C13">
        <v>137</v>
      </c>
      <c r="D13">
        <v>71</v>
      </c>
      <c r="E13">
        <v>28</v>
      </c>
      <c r="F13">
        <v>60</v>
      </c>
      <c r="G13">
        <v>26</v>
      </c>
      <c r="H13">
        <v>209.29999999999998</v>
      </c>
      <c r="I13" s="14">
        <v>241.99128830837446</v>
      </c>
      <c r="J13" s="259">
        <v>162.97199175541991</v>
      </c>
      <c r="K13" s="260">
        <v>183.80309713973435</v>
      </c>
      <c r="L13" s="16">
        <f t="shared" si="0"/>
        <v>39</v>
      </c>
      <c r="M13" s="230">
        <f t="shared" si="1"/>
        <v>20</v>
      </c>
      <c r="N13" s="159">
        <f t="shared" si="2"/>
        <v>3</v>
      </c>
      <c r="O13" s="159">
        <f t="shared" si="3"/>
        <v>2</v>
      </c>
      <c r="P13" s="15">
        <v>0</v>
      </c>
      <c r="Q13" s="15">
        <v>0.16666666666666666</v>
      </c>
      <c r="R13">
        <v>5</v>
      </c>
      <c r="S13" t="e" vm="1">
        <f t="shared" si="4"/>
        <v>#VALUE!</v>
      </c>
      <c r="T13" s="14" t="e" vm="1">
        <f>Table230[[#This Row],[BDG]]/Table230[[#This Row],[Odds]]</f>
        <v>#VALUE!</v>
      </c>
      <c r="U13" s="14" t="e" cm="1" vm="2">
        <f t="array" ref="U13">MAX(_xlfn._xlws.FILTER(Table22[[B365]:[BFAIREXC]], Table22[PLAYER] = A13))</f>
        <v>#VALUE!</v>
      </c>
    </row>
    <row r="14" spans="1:23">
      <c r="A14" s="159" t="s">
        <v>492</v>
      </c>
      <c r="B14">
        <v>8</v>
      </c>
      <c r="C14">
        <v>155</v>
      </c>
      <c r="D14">
        <v>9</v>
      </c>
      <c r="E14">
        <v>76</v>
      </c>
      <c r="F14">
        <v>52</v>
      </c>
      <c r="G14">
        <v>19</v>
      </c>
      <c r="H14">
        <v>170</v>
      </c>
      <c r="I14" s="14">
        <v>184.35041021902788</v>
      </c>
      <c r="J14" s="259">
        <v>170</v>
      </c>
      <c r="K14" s="260">
        <v>184.35041021902788</v>
      </c>
      <c r="L14" s="16">
        <f t="shared" si="0"/>
        <v>9</v>
      </c>
      <c r="M14" s="230">
        <f t="shared" si="1"/>
        <v>5</v>
      </c>
      <c r="N14" s="159">
        <f t="shared" si="2"/>
        <v>5</v>
      </c>
      <c r="O14" s="159">
        <f t="shared" si="3"/>
        <v>4</v>
      </c>
      <c r="P14" s="15">
        <v>0.14285714285714285</v>
      </c>
      <c r="Q14" s="15">
        <v>0.42857142857142855</v>
      </c>
      <c r="R14">
        <v>16</v>
      </c>
      <c r="S14" t="e" vm="1">
        <f t="shared" si="4"/>
        <v>#VALUE!</v>
      </c>
      <c r="T14" s="14" t="e" vm="1">
        <f>Table230[[#This Row],[BDG]]/Table230[[#This Row],[Odds]]</f>
        <v>#VALUE!</v>
      </c>
      <c r="U14" s="14" t="e" cm="1" vm="2">
        <f t="array" ref="U14">MAX(_xlfn._xlws.FILTER(Table22[[B365]:[BFAIREXC]], Table22[PLAYER] = A14))</f>
        <v>#VALUE!</v>
      </c>
    </row>
    <row r="15" spans="1:23">
      <c r="A15" s="159" t="s">
        <v>121</v>
      </c>
      <c r="B15">
        <v>114</v>
      </c>
      <c r="C15">
        <v>13</v>
      </c>
      <c r="D15">
        <v>12</v>
      </c>
      <c r="E15">
        <v>65</v>
      </c>
      <c r="F15">
        <v>49</v>
      </c>
      <c r="G15">
        <v>3</v>
      </c>
      <c r="H15">
        <v>120.1</v>
      </c>
      <c r="I15" s="14">
        <v>159.87336237340858</v>
      </c>
      <c r="J15" s="259">
        <v>170.862427169754</v>
      </c>
      <c r="K15" s="260">
        <v>268.82852708851271</v>
      </c>
      <c r="L15" s="16">
        <f t="shared" si="0"/>
        <v>2</v>
      </c>
      <c r="M15" s="230">
        <f t="shared" si="1"/>
        <v>2</v>
      </c>
      <c r="N15" s="159">
        <f t="shared" si="2"/>
        <v>6</v>
      </c>
      <c r="O15" s="159">
        <f t="shared" si="3"/>
        <v>27</v>
      </c>
      <c r="P15" s="15">
        <v>0</v>
      </c>
      <c r="Q15" s="15">
        <v>0.16666666666666666</v>
      </c>
      <c r="R15">
        <v>36</v>
      </c>
      <c r="S15" t="e" vm="1">
        <f t="shared" si="4"/>
        <v>#VALUE!</v>
      </c>
      <c r="T15" s="14">
        <f>Table230[[#This Row],[BDG]]/Table230[[#This Row],[Odds]]</f>
        <v>37.717975092660922</v>
      </c>
      <c r="U15" s="14" cm="1">
        <f t="array" ref="U15">MAX(_xlfn._xlws.FILTER(Table22[[B365]:[BFAIREXC]], Table22[PLAYER] = A15))</f>
        <v>4.53</v>
      </c>
    </row>
    <row r="16" spans="1:23">
      <c r="A16" s="159" t="s">
        <v>433</v>
      </c>
      <c r="B16">
        <v>155</v>
      </c>
      <c r="C16">
        <v>14</v>
      </c>
      <c r="D16">
        <v>95</v>
      </c>
      <c r="E16">
        <v>25</v>
      </c>
      <c r="F16">
        <v>24</v>
      </c>
      <c r="G16">
        <v>13</v>
      </c>
      <c r="H16">
        <v>173.4</v>
      </c>
      <c r="I16" s="14">
        <v>230.28001665793511</v>
      </c>
      <c r="J16" s="259">
        <v>173.4</v>
      </c>
      <c r="K16" s="260">
        <v>230.28001665793511</v>
      </c>
      <c r="L16" s="16">
        <f t="shared" si="0"/>
        <v>11</v>
      </c>
      <c r="M16" s="230">
        <f t="shared" si="1"/>
        <v>17</v>
      </c>
      <c r="N16" s="159">
        <f t="shared" si="2"/>
        <v>8</v>
      </c>
      <c r="O16" s="159">
        <f t="shared" si="3"/>
        <v>10</v>
      </c>
      <c r="P16" s="15">
        <v>0</v>
      </c>
      <c r="Q16" s="15">
        <v>0</v>
      </c>
      <c r="R16">
        <v>37</v>
      </c>
      <c r="S16" t="e" vm="1">
        <f t="shared" si="4"/>
        <v>#VALUE!</v>
      </c>
      <c r="T16" s="14">
        <f>Table230[[#This Row],[BDG]]/Table230[[#This Row],[Odds]]</f>
        <v>16.83495145631068</v>
      </c>
      <c r="U16" s="14" cm="1">
        <f t="array" ref="U16">MAX(_xlfn._xlws.FILTER(Table22[[B365]:[BFAIREXC]], Table22[PLAYER] = A16))</f>
        <v>10.3</v>
      </c>
    </row>
    <row r="17" spans="1:21">
      <c r="A17" s="159" t="s">
        <v>188</v>
      </c>
      <c r="B17">
        <v>184</v>
      </c>
      <c r="C17">
        <v>22</v>
      </c>
      <c r="D17">
        <v>103</v>
      </c>
      <c r="E17">
        <v>30</v>
      </c>
      <c r="F17">
        <v>12</v>
      </c>
      <c r="G17">
        <v>49</v>
      </c>
      <c r="H17">
        <v>196.3</v>
      </c>
      <c r="I17" s="14">
        <v>292.87725008868904</v>
      </c>
      <c r="J17" s="259">
        <v>174.44023673805523</v>
      </c>
      <c r="K17" s="260">
        <v>259.97309439318707</v>
      </c>
      <c r="L17" s="16">
        <f t="shared" si="0"/>
        <v>27</v>
      </c>
      <c r="M17" s="230">
        <f t="shared" si="1"/>
        <v>38</v>
      </c>
      <c r="N17" s="159">
        <f t="shared" si="2"/>
        <v>9</v>
      </c>
      <c r="O17" s="159">
        <f t="shared" si="3"/>
        <v>20</v>
      </c>
      <c r="P17" s="15">
        <v>0</v>
      </c>
      <c r="Q17" s="15">
        <v>0.14285714285714285</v>
      </c>
      <c r="R17">
        <v>21</v>
      </c>
      <c r="S17" t="e" vm="1">
        <f t="shared" si="4"/>
        <v>#VALUE!</v>
      </c>
      <c r="T17" s="14" t="e" vm="1">
        <f>Table230[[#This Row],[BDG]]/Table230[[#This Row],[Odds]]</f>
        <v>#VALUE!</v>
      </c>
      <c r="U17" s="14" t="e" cm="1" vm="2">
        <f t="array" ref="U17">MAX(_xlfn._xlws.FILTER(Table22[[B365]:[BFAIREXC]], Table22[PLAYER] = A17))</f>
        <v>#VALUE!</v>
      </c>
    </row>
    <row r="18" spans="1:21">
      <c r="A18" s="159" t="s">
        <v>40</v>
      </c>
      <c r="B18">
        <v>118</v>
      </c>
      <c r="C18">
        <v>144</v>
      </c>
      <c r="D18">
        <v>111</v>
      </c>
      <c r="E18">
        <v>118</v>
      </c>
      <c r="F18">
        <v>46</v>
      </c>
      <c r="G18">
        <v>64</v>
      </c>
      <c r="H18">
        <v>303.09999999999997</v>
      </c>
      <c r="I18" s="14">
        <v>404.93477525279604</v>
      </c>
      <c r="J18" s="259">
        <v>178.46948915563843</v>
      </c>
      <c r="K18" s="260">
        <v>234.89215264455976</v>
      </c>
      <c r="L18" s="16">
        <f t="shared" si="0"/>
        <v>120</v>
      </c>
      <c r="M18" s="230">
        <f t="shared" si="1"/>
        <v>90</v>
      </c>
      <c r="N18" s="159">
        <f t="shared" si="2"/>
        <v>10</v>
      </c>
      <c r="O18" s="159">
        <f t="shared" si="3"/>
        <v>11</v>
      </c>
      <c r="P18" s="15">
        <v>0</v>
      </c>
      <c r="Q18" s="15">
        <v>0.16666666666666666</v>
      </c>
      <c r="R18">
        <v>47</v>
      </c>
      <c r="S18" t="e" vm="1">
        <f t="shared" si="4"/>
        <v>#VALUE!</v>
      </c>
      <c r="T18" s="14" t="e" vm="1">
        <f>Table230[[#This Row],[BDG]]/Table230[[#This Row],[Odds]]</f>
        <v>#VALUE!</v>
      </c>
      <c r="U18" s="14" t="e" cm="1" vm="2">
        <f t="array" ref="U18">MAX(_xlfn._xlws.FILTER(Table22[[B365]:[BFAIREXC]], Table22[PLAYER] = A18))</f>
        <v>#VALUE!</v>
      </c>
    </row>
    <row r="19" spans="1:21">
      <c r="A19" s="159" t="s">
        <v>88</v>
      </c>
      <c r="B19">
        <v>89</v>
      </c>
      <c r="C19">
        <v>17</v>
      </c>
      <c r="D19">
        <v>22</v>
      </c>
      <c r="E19">
        <v>34</v>
      </c>
      <c r="F19">
        <v>95</v>
      </c>
      <c r="G19">
        <v>23</v>
      </c>
      <c r="H19">
        <v>123.4</v>
      </c>
      <c r="I19" s="14">
        <v>179.3687621793481</v>
      </c>
      <c r="J19" s="259">
        <v>179.63509046401856</v>
      </c>
      <c r="K19" s="260">
        <v>274.24615811338782</v>
      </c>
      <c r="L19" s="16">
        <f t="shared" si="0"/>
        <v>3</v>
      </c>
      <c r="M19" s="230">
        <f t="shared" si="1"/>
        <v>4</v>
      </c>
      <c r="N19" s="159">
        <f t="shared" si="2"/>
        <v>11</v>
      </c>
      <c r="O19" s="159">
        <f t="shared" si="3"/>
        <v>31</v>
      </c>
      <c r="P19" s="15">
        <v>0.14285714285714285</v>
      </c>
      <c r="Q19" s="15">
        <v>0.14285714285714285</v>
      </c>
      <c r="R19">
        <v>5</v>
      </c>
      <c r="S19" t="e" vm="1">
        <f t="shared" si="4"/>
        <v>#VALUE!</v>
      </c>
      <c r="T19" s="14" t="e" vm="1">
        <f>Table230[[#This Row],[BDG]]/Table230[[#This Row],[Odds]]</f>
        <v>#VALUE!</v>
      </c>
      <c r="U19" s="14" t="e" cm="1" vm="2">
        <f t="array" ref="U19">MAX(_xlfn._xlws.FILTER(Table22[[B365]:[BFAIREXC]], Table22[PLAYER] = A19))</f>
        <v>#VALUE!</v>
      </c>
    </row>
    <row r="20" spans="1:21">
      <c r="A20" s="159" t="s">
        <v>85</v>
      </c>
      <c r="B20">
        <v>116</v>
      </c>
      <c r="C20">
        <v>72</v>
      </c>
      <c r="D20">
        <v>179</v>
      </c>
      <c r="E20">
        <v>33</v>
      </c>
      <c r="F20">
        <v>90</v>
      </c>
      <c r="G20">
        <v>154</v>
      </c>
      <c r="H20">
        <v>282.89999999999998</v>
      </c>
      <c r="I20" s="14">
        <v>486.22290835726926</v>
      </c>
      <c r="J20" s="259">
        <v>179.7276835211085</v>
      </c>
      <c r="K20" s="260">
        <v>265.25535386159993</v>
      </c>
      <c r="L20" s="16">
        <f t="shared" si="0"/>
        <v>108</v>
      </c>
      <c r="M20" s="230">
        <f t="shared" si="1"/>
        <v>118</v>
      </c>
      <c r="N20" s="159">
        <f t="shared" si="2"/>
        <v>12</v>
      </c>
      <c r="O20" s="159">
        <f t="shared" si="3"/>
        <v>26</v>
      </c>
      <c r="P20" s="15">
        <v>0</v>
      </c>
      <c r="Q20" s="15">
        <v>0.25</v>
      </c>
      <c r="R20">
        <v>-4</v>
      </c>
      <c r="S20" t="e" vm="1">
        <f t="shared" si="4"/>
        <v>#VALUE!</v>
      </c>
      <c r="T20" s="14" t="e" vm="1">
        <f>Table230[[#This Row],[BDG]]/Table230[[#This Row],[Odds]]</f>
        <v>#VALUE!</v>
      </c>
      <c r="U20" s="14" t="e" cm="1" vm="2">
        <f t="array" ref="U20">MAX(_xlfn._xlws.FILTER(Table22[[B365]:[BFAIREXC]], Table22[PLAYER] = A20))</f>
        <v>#VALUE!</v>
      </c>
    </row>
    <row r="21" spans="1:21">
      <c r="A21" s="159" t="s">
        <v>135</v>
      </c>
      <c r="B21">
        <v>163</v>
      </c>
      <c r="C21">
        <v>36</v>
      </c>
      <c r="D21">
        <v>21</v>
      </c>
      <c r="E21">
        <v>100</v>
      </c>
      <c r="F21">
        <v>135</v>
      </c>
      <c r="G21">
        <v>71</v>
      </c>
      <c r="H21">
        <v>215.4</v>
      </c>
      <c r="I21" s="14">
        <v>345.90445548517795</v>
      </c>
      <c r="J21" s="259">
        <v>180.92342252060996</v>
      </c>
      <c r="K21" s="260">
        <v>272.09841342475283</v>
      </c>
      <c r="L21" s="16">
        <f t="shared" si="0"/>
        <v>46</v>
      </c>
      <c r="M21" s="230">
        <f t="shared" si="1"/>
        <v>68</v>
      </c>
      <c r="N21" s="159">
        <f t="shared" si="2"/>
        <v>13</v>
      </c>
      <c r="O21" s="159">
        <f t="shared" si="3"/>
        <v>29</v>
      </c>
      <c r="P21" s="15">
        <v>0</v>
      </c>
      <c r="Q21" s="15">
        <v>0.2</v>
      </c>
      <c r="R21">
        <v>-41</v>
      </c>
      <c r="S21" t="e" vm="1">
        <f t="shared" si="4"/>
        <v>#VALUE!</v>
      </c>
      <c r="T21" s="14" t="e" vm="1">
        <f>Table230[[#This Row],[BDG]]/Table230[[#This Row],[Odds]]</f>
        <v>#VALUE!</v>
      </c>
      <c r="U21" s="14" t="e" cm="1" vm="2">
        <f t="array" ref="U21">MAX(_xlfn._xlws.FILTER(Table22[[B365]:[BFAIREXC]], Table22[PLAYER] = A21))</f>
        <v>#VALUE!</v>
      </c>
    </row>
    <row r="22" spans="1:21">
      <c r="A22" s="159" t="s">
        <v>69</v>
      </c>
      <c r="B22">
        <v>44</v>
      </c>
      <c r="C22">
        <v>109</v>
      </c>
      <c r="D22">
        <v>3</v>
      </c>
      <c r="E22">
        <v>88</v>
      </c>
      <c r="F22">
        <v>166</v>
      </c>
      <c r="G22">
        <v>29</v>
      </c>
      <c r="H22">
        <v>202</v>
      </c>
      <c r="I22" s="14">
        <v>256.7646569455942</v>
      </c>
      <c r="J22" s="259">
        <v>181.16990057516989</v>
      </c>
      <c r="K22" s="260">
        <v>224.72970147475363</v>
      </c>
      <c r="L22" s="16">
        <f t="shared" si="0"/>
        <v>33</v>
      </c>
      <c r="M22" s="230">
        <f t="shared" si="1"/>
        <v>26</v>
      </c>
      <c r="N22" s="159">
        <f t="shared" si="2"/>
        <v>14</v>
      </c>
      <c r="O22" s="159">
        <f t="shared" si="3"/>
        <v>9</v>
      </c>
      <c r="P22" s="15">
        <v>0</v>
      </c>
      <c r="Q22" s="15">
        <v>0.16666666666666666</v>
      </c>
      <c r="R22">
        <v>30</v>
      </c>
      <c r="S22" t="e" vm="1">
        <f t="shared" si="4"/>
        <v>#VALUE!</v>
      </c>
      <c r="T22" s="14" t="e" vm="1">
        <f>Table230[[#This Row],[BDG]]/Table230[[#This Row],[Odds]]</f>
        <v>#VALUE!</v>
      </c>
      <c r="U22" s="14" t="e" cm="1" vm="2">
        <f t="array" ref="U22">MAX(_xlfn._xlws.FILTER(Table22[[B365]:[BFAIREXC]], Table22[PLAYER] = A22))</f>
        <v>#VALUE!</v>
      </c>
    </row>
    <row r="23" spans="1:21">
      <c r="A23" s="159" t="s">
        <v>6</v>
      </c>
      <c r="B23">
        <v>2</v>
      </c>
      <c r="C23">
        <v>19</v>
      </c>
      <c r="D23">
        <v>152</v>
      </c>
      <c r="E23">
        <v>123</v>
      </c>
      <c r="F23">
        <v>129</v>
      </c>
      <c r="G23">
        <v>67</v>
      </c>
      <c r="H23">
        <v>221.49999999999997</v>
      </c>
      <c r="I23" s="14">
        <v>349.93742982144869</v>
      </c>
      <c r="J23" s="259">
        <v>181.89912882456917</v>
      </c>
      <c r="K23" s="260">
        <v>219.71464387026646</v>
      </c>
      <c r="L23" s="16">
        <f t="shared" si="0"/>
        <v>54</v>
      </c>
      <c r="M23" s="230">
        <f t="shared" si="1"/>
        <v>71</v>
      </c>
      <c r="N23" s="159">
        <f t="shared" si="2"/>
        <v>16</v>
      </c>
      <c r="O23" s="159">
        <f t="shared" si="3"/>
        <v>8</v>
      </c>
      <c r="P23" s="15">
        <v>0</v>
      </c>
      <c r="Q23" s="15">
        <v>0</v>
      </c>
      <c r="R23" t="e">
        <v>#N/A</v>
      </c>
      <c r="S23" t="e" vm="1">
        <f t="shared" si="4"/>
        <v>#VALUE!</v>
      </c>
      <c r="T23" s="14" t="e" vm="1">
        <f>Table230[[#This Row],[BDG]]/Table230[[#This Row],[Odds]]</f>
        <v>#VALUE!</v>
      </c>
      <c r="U23" s="14" t="e" cm="1" vm="2">
        <f t="array" ref="U23">MAX(_xlfn._xlws.FILTER(Table22[[B365]:[BFAIREXC]], Table22[PLAYER] = A23))</f>
        <v>#VALUE!</v>
      </c>
    </row>
    <row r="24" spans="1:21">
      <c r="A24" s="159" t="s">
        <v>166</v>
      </c>
      <c r="B24">
        <v>162</v>
      </c>
      <c r="C24">
        <v>42</v>
      </c>
      <c r="D24">
        <v>115</v>
      </c>
      <c r="E24">
        <v>32</v>
      </c>
      <c r="F24">
        <v>36</v>
      </c>
      <c r="G24">
        <v>37</v>
      </c>
      <c r="H24">
        <v>218.10000000000002</v>
      </c>
      <c r="I24" s="14">
        <v>300.68175527835643</v>
      </c>
      <c r="J24" s="259">
        <v>182.39125812886272</v>
      </c>
      <c r="K24" s="260">
        <v>260.44223832947324</v>
      </c>
      <c r="L24" s="16">
        <f t="shared" si="0"/>
        <v>48</v>
      </c>
      <c r="M24" s="230">
        <f t="shared" si="1"/>
        <v>42</v>
      </c>
      <c r="N24" s="159">
        <f t="shared" si="2"/>
        <v>17</v>
      </c>
      <c r="O24" s="159">
        <f t="shared" si="3"/>
        <v>21</v>
      </c>
      <c r="P24" s="15">
        <v>0</v>
      </c>
      <c r="Q24" s="15">
        <v>0.33333333333333331</v>
      </c>
      <c r="R24">
        <v>33</v>
      </c>
      <c r="S24" t="e" vm="1">
        <f t="shared" si="4"/>
        <v>#VALUE!</v>
      </c>
      <c r="T24" s="14" t="e" vm="1">
        <f>Table230[[#This Row],[BDG]]/Table230[[#This Row],[Odds]]</f>
        <v>#VALUE!</v>
      </c>
      <c r="U24" s="14" t="e" cm="1" vm="2">
        <f t="array" ref="U24">MAX(_xlfn._xlws.FILTER(Table22[[B365]:[BFAIREXC]], Table22[PLAYER] = A24))</f>
        <v>#VALUE!</v>
      </c>
    </row>
    <row r="25" spans="1:21">
      <c r="A25" s="159" t="s">
        <v>152</v>
      </c>
      <c r="B25">
        <v>131</v>
      </c>
      <c r="C25">
        <v>3</v>
      </c>
      <c r="D25">
        <v>28</v>
      </c>
      <c r="E25">
        <v>93</v>
      </c>
      <c r="F25">
        <v>132</v>
      </c>
      <c r="G25">
        <v>52</v>
      </c>
      <c r="H25">
        <v>177.2</v>
      </c>
      <c r="I25" s="14">
        <v>289.26286089255666</v>
      </c>
      <c r="J25" s="259">
        <v>183.15145697852287</v>
      </c>
      <c r="K25" s="260">
        <v>291.93852405150733</v>
      </c>
      <c r="L25" s="16">
        <f t="shared" si="0"/>
        <v>13</v>
      </c>
      <c r="M25" s="230">
        <f t="shared" si="1"/>
        <v>36</v>
      </c>
      <c r="N25" s="159">
        <f t="shared" si="2"/>
        <v>18</v>
      </c>
      <c r="O25" s="159">
        <f t="shared" si="3"/>
        <v>41</v>
      </c>
      <c r="P25" s="15">
        <v>0</v>
      </c>
      <c r="Q25" s="15">
        <v>0</v>
      </c>
      <c r="R25">
        <v>27</v>
      </c>
      <c r="S25" t="e" vm="1">
        <f t="shared" si="4"/>
        <v>#VALUE!</v>
      </c>
      <c r="T25" s="14">
        <f>Table230[[#This Row],[BDG]]/Table230[[#This Row],[Odds]]</f>
        <v>41.343444013210586</v>
      </c>
      <c r="U25" s="14" cm="1">
        <f t="array" ref="U25">MAX(_xlfn._xlws.FILTER(Table22[[B365]:[BFAIREXC]], Table22[PLAYER] = A25))</f>
        <v>4.43</v>
      </c>
    </row>
    <row r="26" spans="1:21">
      <c r="A26" s="159" t="s">
        <v>47</v>
      </c>
      <c r="B26">
        <v>52</v>
      </c>
      <c r="C26">
        <v>138</v>
      </c>
      <c r="D26">
        <v>121</v>
      </c>
      <c r="E26">
        <v>173</v>
      </c>
      <c r="F26">
        <v>61</v>
      </c>
      <c r="G26">
        <v>111</v>
      </c>
      <c r="H26">
        <v>300.89999999999998</v>
      </c>
      <c r="I26" s="14">
        <v>455.51029427508882</v>
      </c>
      <c r="J26" s="259">
        <v>185.24815781527849</v>
      </c>
      <c r="K26" s="260">
        <v>265.09817813614694</v>
      </c>
      <c r="L26" s="16">
        <f t="shared" si="0"/>
        <v>117</v>
      </c>
      <c r="M26" s="230">
        <f t="shared" si="1"/>
        <v>107</v>
      </c>
      <c r="N26" s="159">
        <f t="shared" si="2"/>
        <v>19</v>
      </c>
      <c r="O26" s="159">
        <f t="shared" si="3"/>
        <v>24</v>
      </c>
      <c r="P26" s="15">
        <v>0</v>
      </c>
      <c r="Q26" s="15">
        <v>0</v>
      </c>
      <c r="R26">
        <v>11</v>
      </c>
      <c r="S26" t="e" vm="1">
        <f t="shared" si="4"/>
        <v>#VALUE!</v>
      </c>
      <c r="T26" s="14" t="e" vm="1">
        <f>Table230[[#This Row],[BDG]]/Table230[[#This Row],[Odds]]</f>
        <v>#VALUE!</v>
      </c>
      <c r="U26" s="14" t="e" cm="1" vm="2">
        <f t="array" ref="U26">MAX(_xlfn._xlws.FILTER(Table22[[B365]:[BFAIREXC]], Table22[PLAYER] = A26))</f>
        <v>#VALUE!</v>
      </c>
    </row>
    <row r="27" spans="1:21">
      <c r="A27" s="159" t="s">
        <v>125</v>
      </c>
      <c r="B27">
        <v>81</v>
      </c>
      <c r="C27">
        <v>49</v>
      </c>
      <c r="D27">
        <v>125</v>
      </c>
      <c r="E27">
        <v>40</v>
      </c>
      <c r="F27">
        <v>25</v>
      </c>
      <c r="G27">
        <v>28</v>
      </c>
      <c r="H27">
        <v>188.3</v>
      </c>
      <c r="I27" s="14">
        <v>249.74190167933727</v>
      </c>
      <c r="J27" s="259">
        <v>188.8663151104131</v>
      </c>
      <c r="K27" s="260">
        <v>264.24785673217963</v>
      </c>
      <c r="L27" s="16">
        <f t="shared" si="0"/>
        <v>22</v>
      </c>
      <c r="M27" s="230">
        <f t="shared" si="1"/>
        <v>21</v>
      </c>
      <c r="N27" s="159">
        <f t="shared" si="2"/>
        <v>20</v>
      </c>
      <c r="O27" s="159">
        <f t="shared" si="3"/>
        <v>23</v>
      </c>
      <c r="P27" s="15">
        <v>0</v>
      </c>
      <c r="Q27" s="15">
        <v>0.2857142857142857</v>
      </c>
      <c r="R27">
        <v>40</v>
      </c>
      <c r="S27" t="e" vm="1">
        <f t="shared" si="4"/>
        <v>#VALUE!</v>
      </c>
      <c r="T27" s="14" t="e" vm="1">
        <f>Table230[[#This Row],[BDG]]/Table230[[#This Row],[Odds]]</f>
        <v>#VALUE!</v>
      </c>
      <c r="U27" s="14" t="e" cm="1" vm="2">
        <f t="array" ref="U27">MAX(_xlfn._xlws.FILTER(Table22[[B365]:[BFAIREXC]], Table22[PLAYER] = A27))</f>
        <v>#VALUE!</v>
      </c>
    </row>
    <row r="28" spans="1:21">
      <c r="A28" s="159" t="s">
        <v>143</v>
      </c>
      <c r="B28">
        <v>94</v>
      </c>
      <c r="C28">
        <v>62</v>
      </c>
      <c r="D28">
        <v>158</v>
      </c>
      <c r="E28">
        <v>91</v>
      </c>
      <c r="F28">
        <v>55</v>
      </c>
      <c r="G28">
        <v>133</v>
      </c>
      <c r="H28">
        <v>259.39999999999998</v>
      </c>
      <c r="I28" s="14">
        <v>444.75553368930224</v>
      </c>
      <c r="J28" s="259">
        <v>189.79129239825684</v>
      </c>
      <c r="K28" s="260">
        <v>288.01931821532185</v>
      </c>
      <c r="L28" s="16">
        <f t="shared" si="0"/>
        <v>91</v>
      </c>
      <c r="M28" s="230">
        <f t="shared" si="1"/>
        <v>101</v>
      </c>
      <c r="N28" s="159">
        <f t="shared" si="2"/>
        <v>21</v>
      </c>
      <c r="O28" s="159">
        <f t="shared" si="3"/>
        <v>37</v>
      </c>
      <c r="P28" s="15">
        <v>0</v>
      </c>
      <c r="Q28" s="15">
        <v>0</v>
      </c>
      <c r="R28">
        <v>-36</v>
      </c>
      <c r="S28" t="e" vm="1">
        <f t="shared" si="4"/>
        <v>#VALUE!</v>
      </c>
      <c r="T28" s="14" t="e" vm="1">
        <f>Table230[[#This Row],[BDG]]/Table230[[#This Row],[Odds]]</f>
        <v>#VALUE!</v>
      </c>
      <c r="U28" s="14" t="e" cm="1" vm="2">
        <f t="array" ref="U28">MAX(_xlfn._xlws.FILTER(Table22[[B365]:[BFAIREXC]], Table22[PLAYER] = A28))</f>
        <v>#VALUE!</v>
      </c>
    </row>
    <row r="29" spans="1:21">
      <c r="A29" s="159" t="s">
        <v>183</v>
      </c>
      <c r="B29">
        <v>180</v>
      </c>
      <c r="C29">
        <v>26</v>
      </c>
      <c r="D29">
        <v>106</v>
      </c>
      <c r="E29">
        <v>72</v>
      </c>
      <c r="F29">
        <v>22</v>
      </c>
      <c r="G29">
        <v>68</v>
      </c>
      <c r="H29">
        <v>220</v>
      </c>
      <c r="I29" s="14">
        <v>344.67070834293611</v>
      </c>
      <c r="J29" s="259">
        <v>190.15519368123086</v>
      </c>
      <c r="K29" s="260">
        <v>292.67881165153108</v>
      </c>
      <c r="L29" s="16">
        <f t="shared" si="0"/>
        <v>52</v>
      </c>
      <c r="M29" s="230">
        <f t="shared" si="1"/>
        <v>65</v>
      </c>
      <c r="N29" s="159">
        <f t="shared" si="2"/>
        <v>22</v>
      </c>
      <c r="O29" s="159">
        <f t="shared" si="3"/>
        <v>43</v>
      </c>
      <c r="P29" s="15">
        <v>0</v>
      </c>
      <c r="Q29" s="15">
        <v>0.2857142857142857</v>
      </c>
      <c r="R29">
        <v>-12</v>
      </c>
      <c r="S29" t="e" vm="1">
        <f t="shared" si="4"/>
        <v>#VALUE!</v>
      </c>
      <c r="T29" s="14" t="e" vm="1">
        <f>Table230[[#This Row],[BDG]]/Table230[[#This Row],[Odds]]</f>
        <v>#VALUE!</v>
      </c>
      <c r="U29" s="14" t="e" cm="1" vm="2">
        <f t="array" ref="U29">MAX(_xlfn._xlws.FILTER(Table22[[B365]:[BFAIREXC]], Table22[PLAYER] = A29))</f>
        <v>#VALUE!</v>
      </c>
    </row>
    <row r="30" spans="1:21">
      <c r="A30" s="159" t="s">
        <v>132</v>
      </c>
      <c r="B30">
        <v>108</v>
      </c>
      <c r="C30">
        <v>75</v>
      </c>
      <c r="D30">
        <v>28</v>
      </c>
      <c r="E30">
        <v>56</v>
      </c>
      <c r="F30">
        <v>150</v>
      </c>
      <c r="G30">
        <v>31</v>
      </c>
      <c r="H30">
        <v>208.5</v>
      </c>
      <c r="I30" s="14">
        <v>276.75799471833511</v>
      </c>
      <c r="J30" s="259">
        <v>192.13349330906209</v>
      </c>
      <c r="K30" s="260">
        <v>251.52556022665556</v>
      </c>
      <c r="L30" s="16">
        <f t="shared" si="0"/>
        <v>38</v>
      </c>
      <c r="M30" s="230">
        <f t="shared" si="1"/>
        <v>33</v>
      </c>
      <c r="N30" s="159">
        <f t="shared" si="2"/>
        <v>24</v>
      </c>
      <c r="O30" s="159">
        <f t="shared" si="3"/>
        <v>16</v>
      </c>
      <c r="P30" s="15">
        <v>0.14285714285714285</v>
      </c>
      <c r="Q30" s="15">
        <v>0.14285714285714285</v>
      </c>
      <c r="R30">
        <v>-20</v>
      </c>
      <c r="S30" t="e" vm="1">
        <f t="shared" si="4"/>
        <v>#VALUE!</v>
      </c>
      <c r="T30" s="14" t="e" vm="1">
        <f>Table230[[#This Row],[BDG]]/Table230[[#This Row],[Odds]]</f>
        <v>#VALUE!</v>
      </c>
      <c r="U30" s="14" t="e" cm="1" vm="2">
        <f t="array" ref="U30">MAX(_xlfn._xlws.FILTER(Table22[[B365]:[BFAIREXC]], Table22[PLAYER] = A30))</f>
        <v>#VALUE!</v>
      </c>
    </row>
    <row r="31" spans="1:21">
      <c r="A31" s="159" t="s">
        <v>424</v>
      </c>
      <c r="B31">
        <v>149</v>
      </c>
      <c r="C31">
        <v>48</v>
      </c>
      <c r="D31">
        <v>74</v>
      </c>
      <c r="E31">
        <v>55</v>
      </c>
      <c r="F31">
        <v>35</v>
      </c>
      <c r="G31">
        <v>40</v>
      </c>
      <c r="H31">
        <v>195.89999999999998</v>
      </c>
      <c r="I31" s="14">
        <v>276.84304159296499</v>
      </c>
      <c r="J31" s="259">
        <v>195.89999999999998</v>
      </c>
      <c r="K31" s="260">
        <v>276.84304159296499</v>
      </c>
      <c r="L31" s="16">
        <f t="shared" si="0"/>
        <v>26</v>
      </c>
      <c r="M31" s="230">
        <f t="shared" si="1"/>
        <v>34</v>
      </c>
      <c r="N31" s="159">
        <f t="shared" si="2"/>
        <v>25</v>
      </c>
      <c r="O31" s="159">
        <f t="shared" si="3"/>
        <v>32</v>
      </c>
      <c r="P31" s="15">
        <v>0</v>
      </c>
      <c r="Q31" s="15">
        <v>0.16666666666666666</v>
      </c>
      <c r="R31">
        <v>119</v>
      </c>
      <c r="S31" t="e" vm="1">
        <f t="shared" si="4"/>
        <v>#VALUE!</v>
      </c>
      <c r="T31" s="14">
        <f>Table230[[#This Row],[BDG]]/Table230[[#This Row],[Odds]]</f>
        <v>32.114754098360656</v>
      </c>
      <c r="U31" s="14" cm="1">
        <f t="array" ref="U31">MAX(_xlfn._xlws.FILTER(Table22[[B365]:[BFAIREXC]], Table22[PLAYER] = A31))</f>
        <v>6.1</v>
      </c>
    </row>
    <row r="32" spans="1:21">
      <c r="A32" s="159" t="s">
        <v>162</v>
      </c>
      <c r="B32">
        <v>123</v>
      </c>
      <c r="C32">
        <v>43</v>
      </c>
      <c r="D32">
        <v>76</v>
      </c>
      <c r="E32">
        <v>79</v>
      </c>
      <c r="F32">
        <v>26</v>
      </c>
      <c r="G32">
        <v>59</v>
      </c>
      <c r="H32">
        <v>186.79999999999998</v>
      </c>
      <c r="I32" s="14">
        <v>287.83465912170533</v>
      </c>
      <c r="J32" s="259">
        <v>196.42735687702231</v>
      </c>
      <c r="K32" s="260">
        <v>286.25719308408475</v>
      </c>
      <c r="L32" s="16">
        <f t="shared" si="0"/>
        <v>21</v>
      </c>
      <c r="M32" s="230">
        <f t="shared" si="1"/>
        <v>35</v>
      </c>
      <c r="N32" s="159">
        <f t="shared" si="2"/>
        <v>26</v>
      </c>
      <c r="O32" s="159">
        <f t="shared" si="3"/>
        <v>36</v>
      </c>
      <c r="P32" s="15">
        <v>0</v>
      </c>
      <c r="Q32" s="15">
        <v>0.14285714285714285</v>
      </c>
      <c r="R32">
        <v>-36</v>
      </c>
      <c r="S32" t="e" vm="1">
        <f t="shared" si="4"/>
        <v>#VALUE!</v>
      </c>
      <c r="T32" s="14">
        <f>Table230[[#This Row],[BDG]]/Table230[[#This Row],[Odds]]</f>
        <v>39.924259527850062</v>
      </c>
      <c r="U32" s="14" cm="1">
        <f t="array" ref="U32">MAX(_xlfn._xlws.FILTER(Table22[[B365]:[BFAIREXC]], Table22[PLAYER] = A32))</f>
        <v>4.92</v>
      </c>
    </row>
    <row r="33" spans="1:21">
      <c r="A33" s="159" t="s">
        <v>14</v>
      </c>
      <c r="B33">
        <v>32</v>
      </c>
      <c r="C33">
        <v>45</v>
      </c>
      <c r="D33">
        <v>23</v>
      </c>
      <c r="E33">
        <v>106</v>
      </c>
      <c r="F33">
        <v>114</v>
      </c>
      <c r="G33">
        <v>11</v>
      </c>
      <c r="H33">
        <v>151.6</v>
      </c>
      <c r="I33" s="14">
        <v>198.93686103101021</v>
      </c>
      <c r="J33" s="259">
        <v>198.83068020845064</v>
      </c>
      <c r="K33" s="260">
        <v>281.63632177319107</v>
      </c>
      <c r="L33" s="16">
        <f t="shared" si="0"/>
        <v>6</v>
      </c>
      <c r="M33" s="230">
        <f t="shared" si="1"/>
        <v>9</v>
      </c>
      <c r="N33" s="159">
        <f t="shared" si="2"/>
        <v>27</v>
      </c>
      <c r="O33" s="159">
        <f t="shared" si="3"/>
        <v>35</v>
      </c>
      <c r="P33" s="15">
        <v>0</v>
      </c>
      <c r="Q33" s="15">
        <v>0.2857142857142857</v>
      </c>
      <c r="R33">
        <v>38</v>
      </c>
      <c r="S33" t="e" vm="1">
        <f t="shared" si="4"/>
        <v>#VALUE!</v>
      </c>
      <c r="T33" s="14" t="e" vm="1">
        <f>Table230[[#This Row],[BDG]]/Table230[[#This Row],[Odds]]</f>
        <v>#VALUE!</v>
      </c>
      <c r="U33" s="14" t="e" cm="1" vm="2">
        <f t="array" ref="U33">MAX(_xlfn._xlws.FILTER(Table22[[B365]:[BFAIREXC]], Table22[PLAYER] = A33))</f>
        <v>#VALUE!</v>
      </c>
    </row>
    <row r="34" spans="1:21">
      <c r="A34" s="159" t="s">
        <v>124</v>
      </c>
      <c r="B34">
        <v>129</v>
      </c>
      <c r="C34">
        <v>76</v>
      </c>
      <c r="D34">
        <v>94</v>
      </c>
      <c r="E34">
        <v>81</v>
      </c>
      <c r="F34">
        <v>143</v>
      </c>
      <c r="G34">
        <v>128</v>
      </c>
      <c r="H34">
        <v>273.10000000000002</v>
      </c>
      <c r="I34" s="14">
        <v>455.6537184649402</v>
      </c>
      <c r="J34" s="259">
        <v>199.02598355796954</v>
      </c>
      <c r="K34" s="260">
        <v>315.3642415059997</v>
      </c>
      <c r="L34" s="16">
        <f t="shared" ref="L34:L65" si="5">RANK(H34,$H$2:$H$143,1)</f>
        <v>100</v>
      </c>
      <c r="M34" s="230">
        <f t="shared" ref="M34:M65" si="6">RANK(I34,$I$2:$I$143,1)</f>
        <v>108</v>
      </c>
      <c r="N34" s="159">
        <f t="shared" ref="N34:N65" si="7">RANK(J34,$J$2:$J$143,1)</f>
        <v>28</v>
      </c>
      <c r="O34" s="159">
        <f t="shared" ref="O34:O65" si="8">RANK(K34,$K$2:$K$143,1)</f>
        <v>51</v>
      </c>
      <c r="P34" s="15">
        <v>0</v>
      </c>
      <c r="Q34" s="15">
        <v>0</v>
      </c>
      <c r="R34">
        <v>19</v>
      </c>
      <c r="S34" t="e" vm="1">
        <f t="shared" ref="S34:S65" si="9">RANK(U34,$U$2:$U$143,0)</f>
        <v>#VALUE!</v>
      </c>
      <c r="T34" s="14" t="e" vm="1">
        <f>Table230[[#This Row],[BDG]]/Table230[[#This Row],[Odds]]</f>
        <v>#VALUE!</v>
      </c>
      <c r="U34" s="14" t="e" cm="1" vm="2">
        <f t="array" ref="U34">MAX(_xlfn._xlws.FILTER(Table22[[B365]:[BFAIREXC]], Table22[PLAYER] = A34))</f>
        <v>#VALUE!</v>
      </c>
    </row>
    <row r="35" spans="1:21">
      <c r="A35" s="159" t="s">
        <v>145</v>
      </c>
      <c r="B35">
        <v>172</v>
      </c>
      <c r="C35">
        <v>26</v>
      </c>
      <c r="D35">
        <v>13</v>
      </c>
      <c r="E35">
        <v>22</v>
      </c>
      <c r="F35">
        <v>167</v>
      </c>
      <c r="G35">
        <v>82</v>
      </c>
      <c r="H35">
        <v>188.89999999999998</v>
      </c>
      <c r="I35" s="14">
        <v>320.28183961202808</v>
      </c>
      <c r="J35" s="259">
        <v>199.92769969549829</v>
      </c>
      <c r="K35" s="260">
        <v>334.63837267284214</v>
      </c>
      <c r="L35" s="16">
        <f t="shared" si="5"/>
        <v>23</v>
      </c>
      <c r="M35" s="230">
        <f t="shared" si="6"/>
        <v>51</v>
      </c>
      <c r="N35" s="159">
        <f t="shared" si="7"/>
        <v>29</v>
      </c>
      <c r="O35" s="159">
        <f t="shared" si="8"/>
        <v>64</v>
      </c>
      <c r="P35" s="15">
        <v>0</v>
      </c>
      <c r="Q35" s="15">
        <v>0</v>
      </c>
      <c r="R35">
        <v>2</v>
      </c>
      <c r="S35" t="e" vm="1">
        <f t="shared" si="9"/>
        <v>#VALUE!</v>
      </c>
      <c r="T35" s="14" t="e" vm="1">
        <f>Table230[[#This Row],[BDG]]/Table230[[#This Row],[Odds]]</f>
        <v>#VALUE!</v>
      </c>
      <c r="U35" s="14" t="e" cm="1" vm="2">
        <f t="array" ref="U35">MAX(_xlfn._xlws.FILTER(Table22[[B365]:[BFAIREXC]], Table22[PLAYER] = A35))</f>
        <v>#VALUE!</v>
      </c>
    </row>
    <row r="36" spans="1:21">
      <c r="A36" s="159" t="s">
        <v>52</v>
      </c>
      <c r="B36">
        <v>10</v>
      </c>
      <c r="C36">
        <v>94</v>
      </c>
      <c r="D36">
        <v>87</v>
      </c>
      <c r="E36">
        <v>58</v>
      </c>
      <c r="F36">
        <v>102</v>
      </c>
      <c r="G36">
        <v>37</v>
      </c>
      <c r="H36">
        <v>195.7</v>
      </c>
      <c r="I36" s="14">
        <v>254.29580610526398</v>
      </c>
      <c r="J36" s="259">
        <v>200.06062635018068</v>
      </c>
      <c r="K36" s="260">
        <v>246.0292926569187</v>
      </c>
      <c r="L36" s="16">
        <f t="shared" si="5"/>
        <v>25</v>
      </c>
      <c r="M36" s="230">
        <f t="shared" si="6"/>
        <v>24</v>
      </c>
      <c r="N36" s="159">
        <f t="shared" si="7"/>
        <v>30</v>
      </c>
      <c r="O36" s="159">
        <f t="shared" si="8"/>
        <v>15</v>
      </c>
      <c r="P36" s="15">
        <v>0</v>
      </c>
      <c r="Q36" s="15">
        <v>0.2857142857142857</v>
      </c>
      <c r="R36">
        <v>16</v>
      </c>
      <c r="S36" t="e" vm="1">
        <f t="shared" si="9"/>
        <v>#VALUE!</v>
      </c>
      <c r="T36" s="14" t="e" vm="1">
        <f>Table230[[#This Row],[BDG]]/Table230[[#This Row],[Odds]]</f>
        <v>#VALUE!</v>
      </c>
      <c r="U36" s="14" t="e" cm="1" vm="2">
        <f t="array" ref="U36">MAX(_xlfn._xlws.FILTER(Table22[[B365]:[BFAIREXC]], Table22[PLAYER] = A36))</f>
        <v>#VALUE!</v>
      </c>
    </row>
    <row r="37" spans="1:21">
      <c r="A37" s="159" t="s">
        <v>114</v>
      </c>
      <c r="B37">
        <v>131</v>
      </c>
      <c r="C37">
        <v>53</v>
      </c>
      <c r="D37">
        <v>62</v>
      </c>
      <c r="E37">
        <v>122</v>
      </c>
      <c r="F37">
        <v>33</v>
      </c>
      <c r="G37">
        <v>50</v>
      </c>
      <c r="H37">
        <v>208</v>
      </c>
      <c r="I37" s="14">
        <v>307.12398456134548</v>
      </c>
      <c r="J37" s="259">
        <v>201.35008771863431</v>
      </c>
      <c r="K37" s="260">
        <v>253.15022740360592</v>
      </c>
      <c r="L37" s="16">
        <f t="shared" si="5"/>
        <v>36</v>
      </c>
      <c r="M37" s="230">
        <f t="shared" si="6"/>
        <v>45</v>
      </c>
      <c r="N37" s="159">
        <f t="shared" si="7"/>
        <v>31</v>
      </c>
      <c r="O37" s="159">
        <f t="shared" si="8"/>
        <v>18</v>
      </c>
      <c r="P37" s="15">
        <v>0</v>
      </c>
      <c r="Q37" s="15">
        <v>0.1111111111111111</v>
      </c>
      <c r="R37">
        <v>-24</v>
      </c>
      <c r="S37" t="e" vm="1">
        <f t="shared" si="9"/>
        <v>#VALUE!</v>
      </c>
      <c r="T37" s="14" t="e" vm="1">
        <f>Table230[[#This Row],[BDG]]/Table230[[#This Row],[Odds]]</f>
        <v>#VALUE!</v>
      </c>
      <c r="U37" s="14" t="e" cm="1" vm="2">
        <f t="array" ref="U37">MAX(_xlfn._xlws.FILTER(Table22[[B365]:[BFAIREXC]], Table22[PLAYER] = A37))</f>
        <v>#VALUE!</v>
      </c>
    </row>
    <row r="38" spans="1:21">
      <c r="A38" s="159" t="s">
        <v>100</v>
      </c>
      <c r="B38">
        <v>76</v>
      </c>
      <c r="C38">
        <v>80</v>
      </c>
      <c r="D38">
        <v>4</v>
      </c>
      <c r="E38">
        <v>6</v>
      </c>
      <c r="F38">
        <v>88</v>
      </c>
      <c r="G38">
        <v>6</v>
      </c>
      <c r="H38">
        <v>134.4</v>
      </c>
      <c r="I38" s="14">
        <v>149.86010365642622</v>
      </c>
      <c r="J38" s="259">
        <v>202.66671240070369</v>
      </c>
      <c r="K38" s="260">
        <v>269.80120915818566</v>
      </c>
      <c r="L38" s="16">
        <f t="shared" si="5"/>
        <v>4</v>
      </c>
      <c r="M38" s="230">
        <f t="shared" si="6"/>
        <v>1</v>
      </c>
      <c r="N38" s="159">
        <f t="shared" si="7"/>
        <v>32</v>
      </c>
      <c r="O38" s="159">
        <f t="shared" si="8"/>
        <v>28</v>
      </c>
      <c r="P38" s="15">
        <v>0</v>
      </c>
      <c r="Q38" s="15">
        <v>0.5</v>
      </c>
      <c r="R38">
        <v>128</v>
      </c>
      <c r="S38" t="e" vm="1">
        <f t="shared" si="9"/>
        <v>#VALUE!</v>
      </c>
      <c r="T38" s="14" t="e" vm="1">
        <f>Table230[[#This Row],[BDG]]/Table230[[#This Row],[Odds]]</f>
        <v>#VALUE!</v>
      </c>
      <c r="U38" s="14" t="e" cm="1" vm="2">
        <f t="array" ref="U38">MAX(_xlfn._xlws.FILTER(Table22[[B365]:[BFAIREXC]], Table22[PLAYER] = A38))</f>
        <v>#VALUE!</v>
      </c>
    </row>
    <row r="39" spans="1:21">
      <c r="A39" s="159" t="s">
        <v>68</v>
      </c>
      <c r="B39">
        <v>54</v>
      </c>
      <c r="C39">
        <v>123</v>
      </c>
      <c r="D39">
        <v>110</v>
      </c>
      <c r="E39">
        <v>9</v>
      </c>
      <c r="F39">
        <v>73</v>
      </c>
      <c r="G39">
        <v>27</v>
      </c>
      <c r="H39">
        <v>222.89999999999998</v>
      </c>
      <c r="I39" s="14">
        <v>262.32935161253516</v>
      </c>
      <c r="J39" s="259">
        <v>203.93702433313786</v>
      </c>
      <c r="K39" s="260">
        <v>251.74370307311224</v>
      </c>
      <c r="L39" s="16">
        <f t="shared" si="5"/>
        <v>56</v>
      </c>
      <c r="M39" s="230">
        <f t="shared" si="6"/>
        <v>27</v>
      </c>
      <c r="N39" s="159">
        <f t="shared" si="7"/>
        <v>33</v>
      </c>
      <c r="O39" s="159">
        <f t="shared" si="8"/>
        <v>17</v>
      </c>
      <c r="P39" s="15">
        <v>0</v>
      </c>
      <c r="Q39" s="15">
        <v>0.5</v>
      </c>
      <c r="R39">
        <v>2</v>
      </c>
      <c r="S39" t="e" vm="1">
        <f t="shared" si="9"/>
        <v>#VALUE!</v>
      </c>
      <c r="T39" s="14" t="e" vm="1">
        <f>Table230[[#This Row],[BDG]]/Table230[[#This Row],[Odds]]</f>
        <v>#VALUE!</v>
      </c>
      <c r="U39" s="14" t="e" cm="1" vm="2">
        <f t="array" ref="U39">MAX(_xlfn._xlws.FILTER(Table22[[B365]:[BFAIREXC]], Table22[PLAYER] = A39))</f>
        <v>#VALUE!</v>
      </c>
    </row>
    <row r="40" spans="1:21">
      <c r="A40" s="159" t="s">
        <v>95</v>
      </c>
      <c r="B40">
        <v>134</v>
      </c>
      <c r="C40">
        <v>6</v>
      </c>
      <c r="D40">
        <v>78</v>
      </c>
      <c r="E40">
        <v>64</v>
      </c>
      <c r="F40">
        <v>77</v>
      </c>
      <c r="G40">
        <v>39</v>
      </c>
      <c r="H40">
        <v>182.20000000000002</v>
      </c>
      <c r="I40" s="14">
        <v>275.64305064091894</v>
      </c>
      <c r="J40" s="259">
        <v>204.84402388454714</v>
      </c>
      <c r="K40" s="260">
        <v>272.72976125382888</v>
      </c>
      <c r="L40" s="16">
        <f t="shared" si="5"/>
        <v>16</v>
      </c>
      <c r="M40" s="230">
        <f t="shared" si="6"/>
        <v>32</v>
      </c>
      <c r="N40" s="159">
        <f t="shared" si="7"/>
        <v>34</v>
      </c>
      <c r="O40" s="159">
        <f t="shared" si="8"/>
        <v>30</v>
      </c>
      <c r="P40" s="15">
        <v>0</v>
      </c>
      <c r="Q40" s="15">
        <v>0.2</v>
      </c>
      <c r="R40">
        <v>24</v>
      </c>
      <c r="S40" t="e" vm="1">
        <f t="shared" si="9"/>
        <v>#VALUE!</v>
      </c>
      <c r="T40" s="14">
        <f>Table230[[#This Row],[BDG]]/Table230[[#This Row],[Odds]]</f>
        <v>69.674838055968422</v>
      </c>
      <c r="U40" s="14" cm="1">
        <f t="array" ref="U40">MAX(_xlfn._xlws.FILTER(Table22[[B365]:[BFAIREXC]], Table22[PLAYER] = A40))</f>
        <v>2.94</v>
      </c>
    </row>
    <row r="41" spans="1:21">
      <c r="A41" s="159" t="s">
        <v>42</v>
      </c>
      <c r="B41">
        <v>40</v>
      </c>
      <c r="C41">
        <v>140</v>
      </c>
      <c r="D41">
        <v>30</v>
      </c>
      <c r="E41">
        <v>21</v>
      </c>
      <c r="F41">
        <v>136</v>
      </c>
      <c r="G41">
        <v>25</v>
      </c>
      <c r="H41">
        <v>201.8</v>
      </c>
      <c r="I41" s="14">
        <v>232.27778111066473</v>
      </c>
      <c r="J41" s="259">
        <v>206.54503418270352</v>
      </c>
      <c r="K41" s="260">
        <v>235.03054692392163</v>
      </c>
      <c r="L41" s="16">
        <f t="shared" si="5"/>
        <v>32</v>
      </c>
      <c r="M41" s="230">
        <f t="shared" si="6"/>
        <v>18</v>
      </c>
      <c r="N41" s="159">
        <f t="shared" si="7"/>
        <v>35</v>
      </c>
      <c r="O41" s="159">
        <f t="shared" si="8"/>
        <v>12</v>
      </c>
      <c r="P41" s="15">
        <v>0</v>
      </c>
      <c r="Q41" s="15">
        <v>0.4</v>
      </c>
      <c r="R41">
        <v>-11</v>
      </c>
      <c r="S41" t="e" vm="1">
        <f t="shared" si="9"/>
        <v>#VALUE!</v>
      </c>
      <c r="T41" s="14" t="e" vm="1">
        <f>Table230[[#This Row],[BDG]]/Table230[[#This Row],[Odds]]</f>
        <v>#VALUE!</v>
      </c>
      <c r="U41" s="14" t="e" cm="1" vm="2">
        <f t="array" ref="U41">MAX(_xlfn._xlws.FILTER(Table22[[B365]:[BFAIREXC]], Table22[PLAYER] = A41))</f>
        <v>#VALUE!</v>
      </c>
    </row>
    <row r="42" spans="1:21">
      <c r="A42" s="159" t="s">
        <v>92</v>
      </c>
      <c r="B42">
        <v>76</v>
      </c>
      <c r="C42">
        <v>57</v>
      </c>
      <c r="D42">
        <v>77</v>
      </c>
      <c r="E42">
        <v>29</v>
      </c>
      <c r="F42">
        <v>71</v>
      </c>
      <c r="G42">
        <v>57</v>
      </c>
      <c r="H42">
        <v>171.8</v>
      </c>
      <c r="I42" s="14">
        <v>256.25785521552842</v>
      </c>
      <c r="J42" s="259">
        <v>206.57517999215332</v>
      </c>
      <c r="K42" s="260">
        <v>300.36974615886538</v>
      </c>
      <c r="L42" s="16">
        <f t="shared" si="5"/>
        <v>10</v>
      </c>
      <c r="M42" s="230">
        <f t="shared" si="6"/>
        <v>25</v>
      </c>
      <c r="N42" s="159">
        <f t="shared" si="7"/>
        <v>36</v>
      </c>
      <c r="O42" s="159">
        <f t="shared" si="8"/>
        <v>44</v>
      </c>
      <c r="P42" s="15">
        <v>0</v>
      </c>
      <c r="Q42" s="15">
        <v>0.16666666666666666</v>
      </c>
      <c r="R42">
        <v>23</v>
      </c>
      <c r="S42" t="e" vm="1">
        <f t="shared" si="9"/>
        <v>#VALUE!</v>
      </c>
      <c r="T42" s="14">
        <f>Table230[[#This Row],[BDG]]/Table230[[#This Row],[Odds]]</f>
        <v>35.012742371551411</v>
      </c>
      <c r="U42" s="14" cm="1">
        <f t="array" ref="U42">MAX(_xlfn._xlws.FILTER(Table22[[B365]:[BFAIREXC]], Table22[PLAYER] = A42))</f>
        <v>5.9</v>
      </c>
    </row>
    <row r="43" spans="1:21">
      <c r="A43" s="159" t="s">
        <v>44</v>
      </c>
      <c r="B43">
        <v>88</v>
      </c>
      <c r="C43">
        <v>114</v>
      </c>
      <c r="D43">
        <v>129</v>
      </c>
      <c r="E43">
        <v>110</v>
      </c>
      <c r="F43">
        <v>130</v>
      </c>
      <c r="G43">
        <v>155</v>
      </c>
      <c r="H43">
        <v>310.10000000000002</v>
      </c>
      <c r="I43" s="14">
        <v>515.667374685038</v>
      </c>
      <c r="J43" s="259">
        <v>208.7295952360592</v>
      </c>
      <c r="K43" s="260">
        <v>302.36643768046412</v>
      </c>
      <c r="L43" s="16">
        <f t="shared" si="5"/>
        <v>124</v>
      </c>
      <c r="M43" s="230">
        <f t="shared" si="6"/>
        <v>124</v>
      </c>
      <c r="N43" s="159">
        <f t="shared" si="7"/>
        <v>37</v>
      </c>
      <c r="O43" s="159">
        <f t="shared" si="8"/>
        <v>47</v>
      </c>
      <c r="P43" s="15">
        <v>0</v>
      </c>
      <c r="Q43" s="15">
        <v>0</v>
      </c>
      <c r="R43">
        <v>20</v>
      </c>
      <c r="S43" t="e" vm="1">
        <f t="shared" si="9"/>
        <v>#VALUE!</v>
      </c>
      <c r="T43" s="14" t="e" vm="1">
        <f>Table230[[#This Row],[BDG]]/Table230[[#This Row],[Odds]]</f>
        <v>#VALUE!</v>
      </c>
      <c r="U43" s="14" t="e" cm="1" vm="2">
        <f t="array" ref="U43">MAX(_xlfn._xlws.FILTER(Table22[[B365]:[BFAIREXC]], Table22[PLAYER] = A43))</f>
        <v>#VALUE!</v>
      </c>
    </row>
    <row r="44" spans="1:21">
      <c r="A44" s="159" t="s">
        <v>76</v>
      </c>
      <c r="B44">
        <v>80</v>
      </c>
      <c r="C44">
        <v>95</v>
      </c>
      <c r="D44">
        <v>101</v>
      </c>
      <c r="E44">
        <v>7</v>
      </c>
      <c r="F44">
        <v>11</v>
      </c>
      <c r="G44">
        <v>4</v>
      </c>
      <c r="H44">
        <v>184.4</v>
      </c>
      <c r="I44" s="14">
        <v>200.62370769545248</v>
      </c>
      <c r="J44" s="259">
        <v>209.02612677099287</v>
      </c>
      <c r="K44" s="260">
        <v>245.37671618190802</v>
      </c>
      <c r="L44" s="16">
        <f t="shared" si="5"/>
        <v>17</v>
      </c>
      <c r="M44" s="230">
        <f t="shared" si="6"/>
        <v>10</v>
      </c>
      <c r="N44" s="159">
        <f t="shared" si="7"/>
        <v>38</v>
      </c>
      <c r="O44" s="159">
        <f t="shared" si="8"/>
        <v>14</v>
      </c>
      <c r="P44" s="15">
        <v>0</v>
      </c>
      <c r="Q44" s="15">
        <v>0.4</v>
      </c>
      <c r="R44">
        <v>15</v>
      </c>
      <c r="S44" t="e" vm="1">
        <f t="shared" si="9"/>
        <v>#VALUE!</v>
      </c>
      <c r="T44" s="14" t="e" vm="1">
        <f>Table230[[#This Row],[BDG]]/Table230[[#This Row],[Odds]]</f>
        <v>#VALUE!</v>
      </c>
      <c r="U44" s="14" t="e" cm="1" vm="2">
        <f t="array" ref="U44">MAX(_xlfn._xlws.FILTER(Table22[[B365]:[BFAIREXC]], Table22[PLAYER] = A44))</f>
        <v>#VALUE!</v>
      </c>
    </row>
    <row r="45" spans="1:21">
      <c r="A45" s="159" t="s">
        <v>187</v>
      </c>
      <c r="B45">
        <v>185</v>
      </c>
      <c r="C45">
        <v>5</v>
      </c>
      <c r="D45">
        <v>61</v>
      </c>
      <c r="E45">
        <v>24</v>
      </c>
      <c r="F45">
        <v>131</v>
      </c>
      <c r="G45">
        <v>106</v>
      </c>
      <c r="H45">
        <v>200.7</v>
      </c>
      <c r="I45" s="14">
        <v>365.18280859419906</v>
      </c>
      <c r="J45" s="259">
        <v>209.10892133643659</v>
      </c>
      <c r="K45" s="260">
        <v>372.1786014968182</v>
      </c>
      <c r="L45" s="16">
        <f t="shared" si="5"/>
        <v>31</v>
      </c>
      <c r="M45" s="230">
        <f t="shared" si="6"/>
        <v>75</v>
      </c>
      <c r="N45" s="159">
        <f t="shared" si="7"/>
        <v>39</v>
      </c>
      <c r="O45" s="159">
        <f t="shared" si="8"/>
        <v>86</v>
      </c>
      <c r="P45" s="15">
        <v>0</v>
      </c>
      <c r="Q45" s="15">
        <v>0</v>
      </c>
      <c r="R45">
        <v>-1</v>
      </c>
      <c r="S45" t="e" vm="1">
        <f t="shared" si="9"/>
        <v>#VALUE!</v>
      </c>
      <c r="T45" s="14" t="e" vm="1">
        <f>Table230[[#This Row],[BDG]]/Table230[[#This Row],[Odds]]</f>
        <v>#VALUE!</v>
      </c>
      <c r="U45" s="14" t="e" cm="1" vm="2">
        <f t="array" ref="U45">MAX(_xlfn._xlws.FILTER(Table22[[B365]:[BFAIREXC]], Table22[PLAYER] = A45))</f>
        <v>#VALUE!</v>
      </c>
    </row>
    <row r="46" spans="1:21">
      <c r="A46" s="159" t="s">
        <v>27</v>
      </c>
      <c r="B46">
        <v>23</v>
      </c>
      <c r="C46">
        <v>69</v>
      </c>
      <c r="D46">
        <v>58</v>
      </c>
      <c r="E46">
        <v>158</v>
      </c>
      <c r="F46">
        <v>14</v>
      </c>
      <c r="G46">
        <v>17</v>
      </c>
      <c r="H46">
        <v>169.2</v>
      </c>
      <c r="I46" s="14">
        <v>220.00293475030128</v>
      </c>
      <c r="J46" s="259">
        <v>210.16002744042217</v>
      </c>
      <c r="K46" s="260">
        <v>259.57978307944086</v>
      </c>
      <c r="L46" s="16">
        <f t="shared" si="5"/>
        <v>8</v>
      </c>
      <c r="M46" s="230">
        <f t="shared" si="6"/>
        <v>15</v>
      </c>
      <c r="N46" s="159">
        <f t="shared" si="7"/>
        <v>40</v>
      </c>
      <c r="O46" s="159">
        <f t="shared" si="8"/>
        <v>19</v>
      </c>
      <c r="P46" s="15">
        <v>0</v>
      </c>
      <c r="Q46" s="15">
        <v>0.66666666666666663</v>
      </c>
      <c r="R46">
        <v>56</v>
      </c>
      <c r="S46" t="e" vm="1">
        <f t="shared" si="9"/>
        <v>#VALUE!</v>
      </c>
      <c r="T46" s="14" t="e" vm="1">
        <f>Table230[[#This Row],[BDG]]/Table230[[#This Row],[Odds]]</f>
        <v>#VALUE!</v>
      </c>
      <c r="U46" s="14" t="e" cm="1" vm="2">
        <f t="array" ref="U46">MAX(_xlfn._xlws.FILTER(Table22[[B365]:[BFAIREXC]], Table22[PLAYER] = A46))</f>
        <v>#VALUE!</v>
      </c>
    </row>
    <row r="47" spans="1:21">
      <c r="A47" s="159" t="s">
        <v>93</v>
      </c>
      <c r="B47">
        <v>103</v>
      </c>
      <c r="C47">
        <v>32</v>
      </c>
      <c r="D47">
        <v>7</v>
      </c>
      <c r="E47">
        <v>134</v>
      </c>
      <c r="F47">
        <v>161</v>
      </c>
      <c r="G47">
        <v>61</v>
      </c>
      <c r="H47">
        <v>196.8</v>
      </c>
      <c r="I47" s="14">
        <v>317.03851168396795</v>
      </c>
      <c r="J47" s="259">
        <v>210.22166811678994</v>
      </c>
      <c r="K47" s="260">
        <v>301.36284526948646</v>
      </c>
      <c r="L47" s="16">
        <f t="shared" si="5"/>
        <v>30</v>
      </c>
      <c r="M47" s="230">
        <f t="shared" si="6"/>
        <v>49</v>
      </c>
      <c r="N47" s="159">
        <f t="shared" si="7"/>
        <v>41</v>
      </c>
      <c r="O47" s="159">
        <f t="shared" si="8"/>
        <v>45</v>
      </c>
      <c r="P47" s="15">
        <v>0</v>
      </c>
      <c r="Q47" s="15">
        <v>0</v>
      </c>
      <c r="R47">
        <v>32</v>
      </c>
      <c r="S47" t="e" vm="1">
        <f t="shared" si="9"/>
        <v>#VALUE!</v>
      </c>
      <c r="T47" s="14" t="e" vm="1">
        <f>Table230[[#This Row],[BDG]]/Table230[[#This Row],[Odds]]</f>
        <v>#VALUE!</v>
      </c>
      <c r="U47" s="14" t="e" cm="1" vm="2">
        <f t="array" ref="U47">MAX(_xlfn._xlws.FILTER(Table22[[B365]:[BFAIREXC]], Table22[PLAYER] = A47))</f>
        <v>#VALUE!</v>
      </c>
    </row>
    <row r="48" spans="1:21">
      <c r="A48" s="159" t="s">
        <v>370</v>
      </c>
      <c r="B48">
        <v>122</v>
      </c>
      <c r="C48">
        <v>32</v>
      </c>
      <c r="D48">
        <v>85</v>
      </c>
      <c r="E48">
        <v>132</v>
      </c>
      <c r="F48">
        <v>63</v>
      </c>
      <c r="G48">
        <v>46</v>
      </c>
      <c r="H48">
        <v>220.90000000000003</v>
      </c>
      <c r="I48" s="14">
        <v>327.97455128879676</v>
      </c>
      <c r="J48" s="259">
        <v>210.80586218348569</v>
      </c>
      <c r="K48" s="260">
        <v>334.57290282896827</v>
      </c>
      <c r="L48" s="16">
        <f t="shared" si="5"/>
        <v>53</v>
      </c>
      <c r="M48" s="230">
        <f t="shared" si="6"/>
        <v>57</v>
      </c>
      <c r="N48" s="159">
        <f t="shared" si="7"/>
        <v>42</v>
      </c>
      <c r="O48" s="159">
        <f t="shared" si="8"/>
        <v>63</v>
      </c>
      <c r="P48" s="15">
        <v>0</v>
      </c>
      <c r="Q48" s="15">
        <v>0</v>
      </c>
      <c r="R48">
        <v>-31</v>
      </c>
      <c r="S48" t="e" vm="1">
        <f t="shared" si="9"/>
        <v>#VALUE!</v>
      </c>
      <c r="T48" s="14" t="e" vm="1">
        <f>Table230[[#This Row],[BDG]]/Table230[[#This Row],[Odds]]</f>
        <v>#VALUE!</v>
      </c>
      <c r="U48" s="14" t="e" cm="1" vm="2">
        <f t="array" ref="U48">MAX(_xlfn._xlws.FILTER(Table22[[B365]:[BFAIREXC]], Table22[PLAYER] = A48))</f>
        <v>#VALUE!</v>
      </c>
    </row>
    <row r="49" spans="1:21">
      <c r="A49" s="159" t="s">
        <v>115</v>
      </c>
      <c r="B49">
        <v>102</v>
      </c>
      <c r="C49">
        <v>31</v>
      </c>
      <c r="D49">
        <v>53</v>
      </c>
      <c r="E49">
        <v>117</v>
      </c>
      <c r="F49">
        <v>10</v>
      </c>
      <c r="G49">
        <v>14</v>
      </c>
      <c r="H49">
        <v>160.6</v>
      </c>
      <c r="I49" s="14">
        <v>218.13297422374262</v>
      </c>
      <c r="J49" s="259">
        <v>210.99346429478791</v>
      </c>
      <c r="K49" s="260">
        <v>326.81956201431996</v>
      </c>
      <c r="L49" s="16">
        <f t="shared" si="5"/>
        <v>7</v>
      </c>
      <c r="M49" s="230">
        <f t="shared" si="6"/>
        <v>14</v>
      </c>
      <c r="N49" s="159">
        <f t="shared" si="7"/>
        <v>43</v>
      </c>
      <c r="O49" s="159">
        <f t="shared" si="8"/>
        <v>59</v>
      </c>
      <c r="P49" s="15">
        <v>0</v>
      </c>
      <c r="Q49" s="15">
        <v>0.2</v>
      </c>
      <c r="R49">
        <v>8</v>
      </c>
      <c r="S49" t="e" vm="1">
        <f t="shared" si="9"/>
        <v>#VALUE!</v>
      </c>
      <c r="T49" s="14">
        <f>Table230[[#This Row],[BDG]]/Table230[[#This Row],[Odds]]</f>
        <v>55.671098758519236</v>
      </c>
      <c r="U49" s="14" cm="1">
        <f t="array" ref="U49">MAX(_xlfn._xlws.FILTER(Table22[[B365]:[BFAIREXC]], Table22[PLAYER] = A49))</f>
        <v>3.79</v>
      </c>
    </row>
    <row r="50" spans="1:21">
      <c r="A50" s="159" t="s">
        <v>487</v>
      </c>
      <c r="B50">
        <v>81</v>
      </c>
      <c r="C50">
        <v>119</v>
      </c>
      <c r="D50">
        <v>11</v>
      </c>
      <c r="E50">
        <v>129</v>
      </c>
      <c r="F50">
        <v>6</v>
      </c>
      <c r="G50">
        <v>2</v>
      </c>
      <c r="H50">
        <v>185.5</v>
      </c>
      <c r="I50" s="14">
        <v>206.6263205321699</v>
      </c>
      <c r="J50" s="259">
        <v>213.56520398695591</v>
      </c>
      <c r="K50" s="260">
        <v>292.06472103668386</v>
      </c>
      <c r="L50" s="16">
        <f t="shared" si="5"/>
        <v>19</v>
      </c>
      <c r="M50" s="230">
        <f t="shared" si="6"/>
        <v>12</v>
      </c>
      <c r="N50" s="159">
        <f t="shared" si="7"/>
        <v>45</v>
      </c>
      <c r="O50" s="159">
        <f t="shared" si="8"/>
        <v>42</v>
      </c>
      <c r="P50" s="15">
        <v>0.16666666666666666</v>
      </c>
      <c r="Q50" s="15">
        <v>0.5</v>
      </c>
      <c r="R50">
        <v>-1</v>
      </c>
      <c r="S50" t="e" vm="1">
        <f t="shared" si="9"/>
        <v>#VALUE!</v>
      </c>
      <c r="T50" s="14" t="e" vm="1">
        <f>Table230[[#This Row],[BDG]]/Table230[[#This Row],[Odds]]</f>
        <v>#VALUE!</v>
      </c>
      <c r="U50" s="14" t="e" cm="1" vm="2">
        <f t="array" ref="U50">MAX(_xlfn._xlws.FILTER(Table22[[B365]:[BFAIREXC]], Table22[PLAYER] = A50))</f>
        <v>#VALUE!</v>
      </c>
    </row>
    <row r="51" spans="1:21">
      <c r="A51" s="159" t="s">
        <v>158</v>
      </c>
      <c r="B51">
        <v>147</v>
      </c>
      <c r="C51">
        <v>101</v>
      </c>
      <c r="D51">
        <v>20</v>
      </c>
      <c r="E51">
        <v>109</v>
      </c>
      <c r="F51">
        <v>19</v>
      </c>
      <c r="G51">
        <v>22</v>
      </c>
      <c r="H51">
        <v>209.39999999999998</v>
      </c>
      <c r="I51" s="14">
        <v>263.03915699110405</v>
      </c>
      <c r="J51" s="259">
        <v>216.81872794641129</v>
      </c>
      <c r="K51" s="260">
        <v>279.85336188690468</v>
      </c>
      <c r="L51" s="16">
        <f t="shared" si="5"/>
        <v>40</v>
      </c>
      <c r="M51" s="230">
        <f t="shared" si="6"/>
        <v>28</v>
      </c>
      <c r="N51" s="159">
        <f t="shared" si="7"/>
        <v>46</v>
      </c>
      <c r="O51" s="159">
        <f t="shared" si="8"/>
        <v>33</v>
      </c>
      <c r="P51" s="15">
        <v>0.14285714285714285</v>
      </c>
      <c r="Q51" s="15">
        <v>0.2857142857142857</v>
      </c>
      <c r="R51">
        <v>55</v>
      </c>
      <c r="S51" t="e" vm="1">
        <f t="shared" si="9"/>
        <v>#VALUE!</v>
      </c>
      <c r="T51" s="14" t="e" vm="1">
        <f>Table230[[#This Row],[BDG]]/Table230[[#This Row],[Odds]]</f>
        <v>#VALUE!</v>
      </c>
      <c r="U51" s="14" t="e" cm="1" vm="2">
        <f t="array" ref="U51">MAX(_xlfn._xlws.FILTER(Table22[[B365]:[BFAIREXC]], Table22[PLAYER] = A51))</f>
        <v>#VALUE!</v>
      </c>
    </row>
    <row r="52" spans="1:21">
      <c r="A52" s="159" t="s">
        <v>141</v>
      </c>
      <c r="B52">
        <v>100</v>
      </c>
      <c r="C52">
        <v>52</v>
      </c>
      <c r="D52">
        <v>117</v>
      </c>
      <c r="E52">
        <v>125</v>
      </c>
      <c r="F52">
        <v>96</v>
      </c>
      <c r="G52">
        <v>108</v>
      </c>
      <c r="H52">
        <v>256.70000000000005</v>
      </c>
      <c r="I52" s="14">
        <v>426.0360654325417</v>
      </c>
      <c r="J52" s="259">
        <v>218.13394098086945</v>
      </c>
      <c r="K52" s="260">
        <v>337.7294769463798</v>
      </c>
      <c r="L52" s="16">
        <f t="shared" si="5"/>
        <v>84</v>
      </c>
      <c r="M52" s="230">
        <f t="shared" si="6"/>
        <v>97</v>
      </c>
      <c r="N52" s="159">
        <f t="shared" si="7"/>
        <v>48</v>
      </c>
      <c r="O52" s="159">
        <f t="shared" si="8"/>
        <v>66</v>
      </c>
      <c r="P52" s="15">
        <v>0</v>
      </c>
      <c r="Q52" s="15">
        <v>0.2857142857142857</v>
      </c>
      <c r="R52">
        <v>-17</v>
      </c>
      <c r="S52" t="e" vm="1">
        <f t="shared" si="9"/>
        <v>#VALUE!</v>
      </c>
      <c r="T52" s="14" t="e" vm="1">
        <f>Table230[[#This Row],[BDG]]/Table230[[#This Row],[Odds]]</f>
        <v>#VALUE!</v>
      </c>
      <c r="U52" s="14" t="e" cm="1" vm="2">
        <f t="array" ref="U52">MAX(_xlfn._xlws.FILTER(Table22[[B365]:[BFAIREXC]], Table22[PLAYER] = A52))</f>
        <v>#VALUE!</v>
      </c>
    </row>
    <row r="53" spans="1:21">
      <c r="A53" s="159" t="s">
        <v>58</v>
      </c>
      <c r="B53">
        <v>81</v>
      </c>
      <c r="C53">
        <v>133</v>
      </c>
      <c r="D53">
        <v>47</v>
      </c>
      <c r="E53">
        <v>69</v>
      </c>
      <c r="F53">
        <v>124</v>
      </c>
      <c r="G53">
        <v>63</v>
      </c>
      <c r="H53">
        <v>243.7</v>
      </c>
      <c r="I53" s="14">
        <v>330.93485670550444</v>
      </c>
      <c r="J53" s="259">
        <v>218.14374356281348</v>
      </c>
      <c r="K53" s="260">
        <v>280.86174813079242</v>
      </c>
      <c r="L53" s="16">
        <f t="shared" si="5"/>
        <v>75</v>
      </c>
      <c r="M53" s="230">
        <f t="shared" si="6"/>
        <v>59</v>
      </c>
      <c r="N53" s="159">
        <f t="shared" si="7"/>
        <v>49</v>
      </c>
      <c r="O53" s="159">
        <f t="shared" si="8"/>
        <v>34</v>
      </c>
      <c r="P53" s="15">
        <v>0</v>
      </c>
      <c r="Q53" s="15">
        <v>0.16666666666666666</v>
      </c>
      <c r="R53">
        <v>-16</v>
      </c>
      <c r="S53" t="e" vm="1">
        <f t="shared" si="9"/>
        <v>#VALUE!</v>
      </c>
      <c r="T53" s="14" t="e" vm="1">
        <f>Table230[[#This Row],[BDG]]/Table230[[#This Row],[Odds]]</f>
        <v>#VALUE!</v>
      </c>
      <c r="U53" s="14" t="e" cm="1" vm="2">
        <f t="array" ref="U53">MAX(_xlfn._xlws.FILTER(Table22[[B365]:[BFAIREXC]], Table22[PLAYER] = A53))</f>
        <v>#VALUE!</v>
      </c>
    </row>
    <row r="54" spans="1:21">
      <c r="A54" s="159" t="s">
        <v>410</v>
      </c>
      <c r="B54">
        <v>51</v>
      </c>
      <c r="C54">
        <v>120</v>
      </c>
      <c r="D54">
        <v>69</v>
      </c>
      <c r="E54">
        <v>119</v>
      </c>
      <c r="F54">
        <v>32</v>
      </c>
      <c r="G54">
        <v>48</v>
      </c>
      <c r="H54">
        <v>218.20000000000002</v>
      </c>
      <c r="I54" s="14">
        <v>290.36964567466254</v>
      </c>
      <c r="J54" s="259">
        <v>218.20000000000002</v>
      </c>
      <c r="K54" s="260">
        <v>290.36964567466254</v>
      </c>
      <c r="L54" s="16">
        <f t="shared" si="5"/>
        <v>49</v>
      </c>
      <c r="M54" s="230">
        <f t="shared" si="6"/>
        <v>37</v>
      </c>
      <c r="N54" s="159">
        <f t="shared" si="7"/>
        <v>50</v>
      </c>
      <c r="O54" s="159">
        <f t="shared" si="8"/>
        <v>39</v>
      </c>
      <c r="P54" s="15">
        <v>0</v>
      </c>
      <c r="Q54" s="15">
        <v>0.16666666666666666</v>
      </c>
      <c r="R54">
        <v>104</v>
      </c>
      <c r="S54" t="e" vm="1">
        <f t="shared" si="9"/>
        <v>#VALUE!</v>
      </c>
      <c r="T54" s="14" t="e" vm="1">
        <f>Table230[[#This Row],[BDG]]/Table230[[#This Row],[Odds]]</f>
        <v>#VALUE!</v>
      </c>
      <c r="U54" s="14" t="e" cm="1" vm="2">
        <f t="array" ref="U54">MAX(_xlfn._xlws.FILTER(Table22[[B365]:[BFAIREXC]], Table22[PLAYER] = A54))</f>
        <v>#VALUE!</v>
      </c>
    </row>
    <row r="55" spans="1:21">
      <c r="A55" s="159" t="s">
        <v>126</v>
      </c>
      <c r="B55">
        <v>156</v>
      </c>
      <c r="C55">
        <v>40</v>
      </c>
      <c r="D55">
        <v>106</v>
      </c>
      <c r="E55">
        <v>60</v>
      </c>
      <c r="F55">
        <v>64</v>
      </c>
      <c r="G55">
        <v>58</v>
      </c>
      <c r="H55">
        <v>229.79999999999998</v>
      </c>
      <c r="I55" s="14">
        <v>340.86797525232993</v>
      </c>
      <c r="J55" s="259">
        <v>219.03658068936113</v>
      </c>
      <c r="K55" s="260">
        <v>313.89856368269341</v>
      </c>
      <c r="L55" s="16">
        <f t="shared" si="5"/>
        <v>62</v>
      </c>
      <c r="M55" s="230">
        <f t="shared" si="6"/>
        <v>63</v>
      </c>
      <c r="N55" s="159">
        <f t="shared" si="7"/>
        <v>51</v>
      </c>
      <c r="O55" s="159">
        <f t="shared" si="8"/>
        <v>50</v>
      </c>
      <c r="P55" s="15">
        <v>0</v>
      </c>
      <c r="Q55" s="15">
        <v>0.375</v>
      </c>
      <c r="R55">
        <v>-47</v>
      </c>
      <c r="S55" t="e" vm="1">
        <f t="shared" si="9"/>
        <v>#VALUE!</v>
      </c>
      <c r="T55" s="14" t="e" vm="1">
        <f>Table230[[#This Row],[BDG]]/Table230[[#This Row],[Odds]]</f>
        <v>#VALUE!</v>
      </c>
      <c r="U55" s="14" t="e" cm="1" vm="2">
        <f t="array" ref="U55">MAX(_xlfn._xlws.FILTER(Table22[[B365]:[BFAIREXC]], Table22[PLAYER] = A55))</f>
        <v>#VALUE!</v>
      </c>
    </row>
    <row r="56" spans="1:21">
      <c r="A56" s="159" t="s">
        <v>130</v>
      </c>
      <c r="B56">
        <v>98</v>
      </c>
      <c r="C56">
        <v>63</v>
      </c>
      <c r="D56">
        <v>80</v>
      </c>
      <c r="E56">
        <v>139</v>
      </c>
      <c r="F56">
        <v>137</v>
      </c>
      <c r="G56">
        <v>138</v>
      </c>
      <c r="H56">
        <v>259.5</v>
      </c>
      <c r="I56" s="14">
        <v>458.9784548374559</v>
      </c>
      <c r="J56" s="259">
        <v>219.63141622691938</v>
      </c>
      <c r="K56" s="260">
        <v>353.51725158758973</v>
      </c>
      <c r="L56" s="16">
        <f t="shared" si="5"/>
        <v>92</v>
      </c>
      <c r="M56" s="230">
        <f t="shared" si="6"/>
        <v>109</v>
      </c>
      <c r="N56" s="159">
        <f t="shared" si="7"/>
        <v>52</v>
      </c>
      <c r="O56" s="159">
        <f t="shared" si="8"/>
        <v>74</v>
      </c>
      <c r="P56" s="15">
        <v>0</v>
      </c>
      <c r="Q56" s="15">
        <v>0.125</v>
      </c>
      <c r="R56">
        <v>-60</v>
      </c>
      <c r="S56" t="e" vm="1">
        <f t="shared" si="9"/>
        <v>#VALUE!</v>
      </c>
      <c r="T56" s="14" t="e" vm="1">
        <f>Table230[[#This Row],[BDG]]/Table230[[#This Row],[Odds]]</f>
        <v>#VALUE!</v>
      </c>
      <c r="U56" s="14" t="e" cm="1" vm="2">
        <f t="array" ref="U56">MAX(_xlfn._xlws.FILTER(Table22[[B365]:[BFAIREXC]], Table22[PLAYER] = A56))</f>
        <v>#VALUE!</v>
      </c>
    </row>
    <row r="57" spans="1:21">
      <c r="A57" s="159" t="s">
        <v>28</v>
      </c>
      <c r="B57">
        <v>58</v>
      </c>
      <c r="C57">
        <v>98</v>
      </c>
      <c r="D57">
        <v>26</v>
      </c>
      <c r="E57">
        <v>44</v>
      </c>
      <c r="F57">
        <v>43</v>
      </c>
      <c r="G57">
        <v>35</v>
      </c>
      <c r="H57">
        <v>150.6</v>
      </c>
      <c r="I57" s="14">
        <v>194.3593654221815</v>
      </c>
      <c r="J57" s="259">
        <v>221.20061709816363</v>
      </c>
      <c r="K57" s="260">
        <v>319.4938281641671</v>
      </c>
      <c r="L57" s="16">
        <f t="shared" si="5"/>
        <v>5</v>
      </c>
      <c r="M57" s="230">
        <f t="shared" si="6"/>
        <v>6</v>
      </c>
      <c r="N57" s="159">
        <f t="shared" si="7"/>
        <v>54</v>
      </c>
      <c r="O57" s="159">
        <f t="shared" si="8"/>
        <v>54</v>
      </c>
      <c r="P57" s="15">
        <v>0</v>
      </c>
      <c r="Q57" s="15">
        <v>0</v>
      </c>
      <c r="R57">
        <v>63</v>
      </c>
      <c r="S57" t="e" vm="1">
        <f t="shared" si="9"/>
        <v>#VALUE!</v>
      </c>
      <c r="T57" s="14">
        <f>Table230[[#This Row],[BDG]]/Table230[[#This Row],[Odds]]</f>
        <v>47.775511252303161</v>
      </c>
      <c r="U57" s="14" cm="1">
        <f t="array" ref="U57">MAX(_xlfn._xlws.FILTER(Table22[[B365]:[BFAIREXC]], Table22[PLAYER] = A57))</f>
        <v>4.63</v>
      </c>
    </row>
    <row r="58" spans="1:21">
      <c r="A58" s="159" t="s">
        <v>122</v>
      </c>
      <c r="B58">
        <v>136</v>
      </c>
      <c r="C58">
        <v>7</v>
      </c>
      <c r="D58">
        <v>146</v>
      </c>
      <c r="E58">
        <v>49</v>
      </c>
      <c r="F58">
        <v>76</v>
      </c>
      <c r="G58">
        <v>115</v>
      </c>
      <c r="H58">
        <v>225.1</v>
      </c>
      <c r="I58" s="14">
        <v>401.59750176111129</v>
      </c>
      <c r="J58" s="259">
        <v>221.6454778264802</v>
      </c>
      <c r="K58" s="260">
        <v>359.06746290457204</v>
      </c>
      <c r="L58" s="16">
        <f t="shared" si="5"/>
        <v>58</v>
      </c>
      <c r="M58" s="230">
        <f t="shared" si="6"/>
        <v>89</v>
      </c>
      <c r="N58" s="159">
        <f t="shared" si="7"/>
        <v>55</v>
      </c>
      <c r="O58" s="159">
        <f t="shared" si="8"/>
        <v>78</v>
      </c>
      <c r="P58" s="15">
        <v>0</v>
      </c>
      <c r="Q58" s="15">
        <v>0.14285714285714285</v>
      </c>
      <c r="R58">
        <v>-74</v>
      </c>
      <c r="S58" t="e" vm="1">
        <f t="shared" si="9"/>
        <v>#VALUE!</v>
      </c>
      <c r="T58" s="14">
        <f>Table230[[#This Row],[BDG]]/Table230[[#This Row],[Odds]]</f>
        <v>47.871593483041082</v>
      </c>
      <c r="U58" s="14" cm="1">
        <f t="array" ref="U58">MAX(_xlfn._xlws.FILTER(Table22[[B365]:[BFAIREXC]], Table22[PLAYER] = A58))</f>
        <v>4.63</v>
      </c>
    </row>
    <row r="59" spans="1:21">
      <c r="A59" s="159" t="s">
        <v>427</v>
      </c>
      <c r="B59">
        <v>115</v>
      </c>
      <c r="C59">
        <v>51</v>
      </c>
      <c r="D59">
        <v>53</v>
      </c>
      <c r="E59">
        <v>16</v>
      </c>
      <c r="F59">
        <v>124</v>
      </c>
      <c r="G59">
        <v>85</v>
      </c>
      <c r="H59">
        <v>186.29999999999998</v>
      </c>
      <c r="I59" s="14">
        <v>306.35162795994017</v>
      </c>
      <c r="J59" s="259">
        <v>222.82732462164347</v>
      </c>
      <c r="K59" s="260">
        <v>369.98128646485287</v>
      </c>
      <c r="L59" s="16">
        <f t="shared" si="5"/>
        <v>20</v>
      </c>
      <c r="M59" s="230">
        <f t="shared" si="6"/>
        <v>44</v>
      </c>
      <c r="N59" s="159">
        <f t="shared" si="7"/>
        <v>56</v>
      </c>
      <c r="O59" s="159">
        <f t="shared" si="8"/>
        <v>85</v>
      </c>
      <c r="P59" s="15">
        <v>0</v>
      </c>
      <c r="Q59" s="15">
        <v>0</v>
      </c>
      <c r="R59">
        <v>-24</v>
      </c>
      <c r="S59" t="e" vm="1">
        <f t="shared" si="9"/>
        <v>#VALUE!</v>
      </c>
      <c r="T59" s="14" t="e" vm="1">
        <f>Table230[[#This Row],[BDG]]/Table230[[#This Row],[Odds]]</f>
        <v>#VALUE!</v>
      </c>
      <c r="U59" s="14" t="e" cm="1" vm="2">
        <f t="array" ref="U59">MAX(_xlfn._xlws.FILTER(Table22[[B365]:[BFAIREXC]], Table22[PLAYER] = A59))</f>
        <v>#VALUE!</v>
      </c>
    </row>
    <row r="60" spans="1:21">
      <c r="A60" s="159" t="s">
        <v>118</v>
      </c>
      <c r="B60">
        <v>126</v>
      </c>
      <c r="C60">
        <v>24</v>
      </c>
      <c r="D60">
        <v>115</v>
      </c>
      <c r="E60">
        <v>71</v>
      </c>
      <c r="F60">
        <v>108</v>
      </c>
      <c r="G60">
        <v>100</v>
      </c>
      <c r="H60">
        <v>231.90000000000003</v>
      </c>
      <c r="I60" s="14">
        <v>392.58029862981942</v>
      </c>
      <c r="J60" s="259">
        <v>224.25646211581866</v>
      </c>
      <c r="K60" s="260">
        <v>342.79340964071798</v>
      </c>
      <c r="L60" s="16">
        <f t="shared" si="5"/>
        <v>63</v>
      </c>
      <c r="M60" s="230">
        <f t="shared" si="6"/>
        <v>86</v>
      </c>
      <c r="N60" s="159">
        <f t="shared" si="7"/>
        <v>57</v>
      </c>
      <c r="O60" s="159">
        <f t="shared" si="8"/>
        <v>69</v>
      </c>
      <c r="P60" s="15">
        <v>0</v>
      </c>
      <c r="Q60" s="15">
        <v>0</v>
      </c>
      <c r="R60">
        <v>-46</v>
      </c>
      <c r="S60" t="e" vm="1">
        <f t="shared" si="9"/>
        <v>#VALUE!</v>
      </c>
      <c r="T60" s="14" t="e" vm="1">
        <f>Table230[[#This Row],[BDG]]/Table230[[#This Row],[Odds]]</f>
        <v>#VALUE!</v>
      </c>
      <c r="U60" s="14" t="e" cm="1" vm="2">
        <f t="array" ref="U60">MAX(_xlfn._xlws.FILTER(Table22[[B365]:[BFAIREXC]], Table22[PLAYER] = A60))</f>
        <v>#VALUE!</v>
      </c>
    </row>
    <row r="61" spans="1:21">
      <c r="A61" s="159" t="s">
        <v>146</v>
      </c>
      <c r="B61">
        <v>183</v>
      </c>
      <c r="C61">
        <v>20</v>
      </c>
      <c r="D61">
        <v>25</v>
      </c>
      <c r="E61">
        <v>103</v>
      </c>
      <c r="F61">
        <v>100</v>
      </c>
      <c r="G61">
        <v>114</v>
      </c>
      <c r="H61">
        <v>204.2</v>
      </c>
      <c r="I61" s="14">
        <v>380.67489880062152</v>
      </c>
      <c r="J61" s="259">
        <v>226.08035653868708</v>
      </c>
      <c r="K61" s="260">
        <v>348.02019167565004</v>
      </c>
      <c r="L61" s="16">
        <f t="shared" si="5"/>
        <v>34</v>
      </c>
      <c r="M61" s="230">
        <f t="shared" si="6"/>
        <v>81</v>
      </c>
      <c r="N61" s="159">
        <f t="shared" si="7"/>
        <v>58</v>
      </c>
      <c r="O61" s="159">
        <f t="shared" si="8"/>
        <v>71</v>
      </c>
      <c r="P61" s="15">
        <v>0</v>
      </c>
      <c r="Q61" s="15">
        <v>0</v>
      </c>
      <c r="R61">
        <v>12</v>
      </c>
      <c r="S61" t="e" vm="1">
        <f t="shared" si="9"/>
        <v>#VALUE!</v>
      </c>
      <c r="T61" s="14">
        <f>Table230[[#This Row],[BDG]]/Table230[[#This Row],[Odds]]</f>
        <v>26.755071779726283</v>
      </c>
      <c r="U61" s="14" cm="1">
        <f t="array" ref="U61">MAX(_xlfn._xlws.FILTER(Table22[[B365]:[BFAIREXC]], Table22[PLAYER] = A61))</f>
        <v>8.4499999999999993</v>
      </c>
    </row>
    <row r="62" spans="1:21">
      <c r="A62" s="159" t="s">
        <v>136</v>
      </c>
      <c r="B62">
        <v>125</v>
      </c>
      <c r="C62">
        <v>18</v>
      </c>
      <c r="D62">
        <v>10</v>
      </c>
      <c r="E62">
        <v>141</v>
      </c>
      <c r="F62">
        <v>115</v>
      </c>
      <c r="G62">
        <v>51</v>
      </c>
      <c r="H62">
        <v>184.5</v>
      </c>
      <c r="I62" s="14">
        <v>296.93105901699306</v>
      </c>
      <c r="J62" s="259">
        <v>226.2185464670967</v>
      </c>
      <c r="K62" s="260">
        <v>390.79051666435106</v>
      </c>
      <c r="L62" s="16">
        <f t="shared" si="5"/>
        <v>18</v>
      </c>
      <c r="M62" s="230">
        <f t="shared" si="6"/>
        <v>40</v>
      </c>
      <c r="N62" s="159">
        <f t="shared" si="7"/>
        <v>59</v>
      </c>
      <c r="O62" s="159">
        <f t="shared" si="8"/>
        <v>94</v>
      </c>
      <c r="P62" s="15">
        <v>0</v>
      </c>
      <c r="Q62" s="15">
        <v>0.16666666666666666</v>
      </c>
      <c r="R62">
        <v>39</v>
      </c>
      <c r="S62" t="e" vm="1">
        <f t="shared" si="9"/>
        <v>#VALUE!</v>
      </c>
      <c r="T62" s="14">
        <f>Table230[[#This Row],[BDG]]/Table230[[#This Row],[Odds]]</f>
        <v>20.019340395318292</v>
      </c>
      <c r="U62" s="14" cm="1">
        <f t="array" ref="U62">MAX(_xlfn._xlws.FILTER(Table22[[B365]:[BFAIREXC]], Table22[PLAYER] = A62))</f>
        <v>11.3</v>
      </c>
    </row>
    <row r="63" spans="1:21">
      <c r="A63" s="159" t="s">
        <v>131</v>
      </c>
      <c r="B63">
        <v>134</v>
      </c>
      <c r="C63">
        <v>30</v>
      </c>
      <c r="D63">
        <v>137</v>
      </c>
      <c r="E63">
        <v>36</v>
      </c>
      <c r="F63">
        <v>28</v>
      </c>
      <c r="G63">
        <v>75</v>
      </c>
      <c r="H63">
        <v>209.49999999999997</v>
      </c>
      <c r="I63" s="14">
        <v>331.1527745933675</v>
      </c>
      <c r="J63" s="259">
        <v>226.25777894904149</v>
      </c>
      <c r="K63" s="260">
        <v>365.70629139662168</v>
      </c>
      <c r="L63" s="16">
        <f t="shared" si="5"/>
        <v>41</v>
      </c>
      <c r="M63" s="230">
        <f t="shared" si="6"/>
        <v>60</v>
      </c>
      <c r="N63" s="159">
        <f t="shared" si="7"/>
        <v>60</v>
      </c>
      <c r="O63" s="159">
        <f t="shared" si="8"/>
        <v>83</v>
      </c>
      <c r="P63" s="15">
        <v>0</v>
      </c>
      <c r="Q63" s="15">
        <v>0.2</v>
      </c>
      <c r="R63" t="e">
        <v>#N/A</v>
      </c>
      <c r="S63" t="e" vm="1">
        <f t="shared" si="9"/>
        <v>#VALUE!</v>
      </c>
      <c r="T63" s="14" t="e" vm="1">
        <f>Table230[[#This Row],[BDG]]/Table230[[#This Row],[Odds]]</f>
        <v>#VALUE!</v>
      </c>
      <c r="U63" s="14" t="e" cm="1" vm="2">
        <f t="array" ref="U63">MAX(_xlfn._xlws.FILTER(Table22[[B365]:[BFAIREXC]], Table22[PLAYER] = A63))</f>
        <v>#VALUE!</v>
      </c>
    </row>
    <row r="64" spans="1:21">
      <c r="A64" s="159" t="s">
        <v>90</v>
      </c>
      <c r="B64">
        <v>151</v>
      </c>
      <c r="C64">
        <v>24</v>
      </c>
      <c r="D64">
        <v>68</v>
      </c>
      <c r="E64">
        <v>168</v>
      </c>
      <c r="F64">
        <v>18</v>
      </c>
      <c r="G64">
        <v>45</v>
      </c>
      <c r="H64">
        <v>214.29999999999995</v>
      </c>
      <c r="I64" s="14">
        <v>325.68696804440879</v>
      </c>
      <c r="J64" s="259">
        <v>227.58952792436017</v>
      </c>
      <c r="K64" s="260">
        <v>348.71436307139163</v>
      </c>
      <c r="L64" s="16">
        <f t="shared" si="5"/>
        <v>45</v>
      </c>
      <c r="M64" s="230">
        <f t="shared" si="6"/>
        <v>54</v>
      </c>
      <c r="N64" s="159">
        <f t="shared" si="7"/>
        <v>61</v>
      </c>
      <c r="O64" s="159">
        <f t="shared" si="8"/>
        <v>72</v>
      </c>
      <c r="P64" s="15">
        <v>0</v>
      </c>
      <c r="Q64" s="15">
        <v>0.25</v>
      </c>
      <c r="R64">
        <v>12</v>
      </c>
      <c r="S64" t="e" vm="1">
        <f t="shared" si="9"/>
        <v>#VALUE!</v>
      </c>
      <c r="T64" s="14" t="e" vm="1">
        <f>Table230[[#This Row],[BDG]]/Table230[[#This Row],[Odds]]</f>
        <v>#VALUE!</v>
      </c>
      <c r="U64" s="14" t="e" cm="1" vm="2">
        <f t="array" ref="U64">MAX(_xlfn._xlws.FILTER(Table22[[B365]:[BFAIREXC]], Table22[PLAYER] = A64))</f>
        <v>#VALUE!</v>
      </c>
    </row>
    <row r="65" spans="1:21">
      <c r="A65" s="159" t="s">
        <v>134</v>
      </c>
      <c r="B65">
        <v>160</v>
      </c>
      <c r="C65">
        <v>10</v>
      </c>
      <c r="D65">
        <v>36</v>
      </c>
      <c r="E65">
        <v>98</v>
      </c>
      <c r="F65">
        <v>164</v>
      </c>
      <c r="G65">
        <v>107</v>
      </c>
      <c r="H65">
        <v>217</v>
      </c>
      <c r="I65" s="14">
        <v>393.51374510926627</v>
      </c>
      <c r="J65" s="259">
        <v>229.01960919191876</v>
      </c>
      <c r="K65" s="260">
        <v>367.67905432796476</v>
      </c>
      <c r="L65" s="16">
        <f t="shared" si="5"/>
        <v>47</v>
      </c>
      <c r="M65" s="230">
        <f t="shared" si="6"/>
        <v>87</v>
      </c>
      <c r="N65" s="159">
        <f t="shared" si="7"/>
        <v>62</v>
      </c>
      <c r="O65" s="159">
        <f t="shared" si="8"/>
        <v>84</v>
      </c>
      <c r="P65" s="15">
        <v>0</v>
      </c>
      <c r="Q65" s="15">
        <v>0</v>
      </c>
      <c r="R65">
        <v>11</v>
      </c>
      <c r="S65" t="e" vm="1">
        <f t="shared" si="9"/>
        <v>#VALUE!</v>
      </c>
      <c r="T65" s="14">
        <f>Table230[[#This Row],[BDG]]/Table230[[#This Row],[Odds]]</f>
        <v>31.502009517457878</v>
      </c>
      <c r="U65" s="14" cm="1">
        <f t="array" ref="U65">MAX(_xlfn._xlws.FILTER(Table22[[B365]:[BFAIREXC]], Table22[PLAYER] = A65))</f>
        <v>7.27</v>
      </c>
    </row>
    <row r="66" spans="1:21">
      <c r="A66" s="159" t="s">
        <v>140</v>
      </c>
      <c r="B66">
        <v>164</v>
      </c>
      <c r="C66">
        <v>85</v>
      </c>
      <c r="D66">
        <v>105</v>
      </c>
      <c r="E66">
        <v>82</v>
      </c>
      <c r="F66">
        <v>34</v>
      </c>
      <c r="G66">
        <v>92</v>
      </c>
      <c r="H66">
        <v>261.40000000000003</v>
      </c>
      <c r="I66" s="14">
        <v>399.74384880563139</v>
      </c>
      <c r="J66" s="259">
        <v>230.30930043832205</v>
      </c>
      <c r="K66" s="260">
        <v>319.44633926486847</v>
      </c>
      <c r="L66" s="16">
        <f t="shared" ref="L66:L97" si="10">RANK(H66,$H$2:$H$143,1)</f>
        <v>93</v>
      </c>
      <c r="M66" s="230">
        <f t="shared" ref="M66:M97" si="11">RANK(I66,$I$2:$I$143,1)</f>
        <v>88</v>
      </c>
      <c r="N66" s="159">
        <f t="shared" ref="N66:N97" si="12">RANK(J66,$J$2:$J$143,1)</f>
        <v>63</v>
      </c>
      <c r="O66" s="159">
        <f t="shared" ref="O66:O97" si="13">RANK(K66,$K$2:$K$143,1)</f>
        <v>52</v>
      </c>
      <c r="P66" s="15">
        <v>0</v>
      </c>
      <c r="Q66" s="15">
        <v>0</v>
      </c>
      <c r="R66">
        <v>-22</v>
      </c>
      <c r="S66" t="e" vm="1">
        <f t="shared" ref="S66:S97" si="14">RANK(U66,$U$2:$U$143,0)</f>
        <v>#VALUE!</v>
      </c>
      <c r="T66" s="14" t="e" vm="1">
        <f>Table230[[#This Row],[BDG]]/Table230[[#This Row],[Odds]]</f>
        <v>#VALUE!</v>
      </c>
      <c r="U66" s="14" t="e" cm="1" vm="2">
        <f t="array" ref="U66">MAX(_xlfn._xlws.FILTER(Table22[[B365]:[BFAIREXC]], Table22[PLAYER] = A66))</f>
        <v>#VALUE!</v>
      </c>
    </row>
    <row r="67" spans="1:21">
      <c r="A67" s="159" t="s">
        <v>495</v>
      </c>
      <c r="B67">
        <v>16</v>
      </c>
      <c r="C67">
        <v>50</v>
      </c>
      <c r="D67">
        <v>139</v>
      </c>
      <c r="E67">
        <v>107</v>
      </c>
      <c r="F67">
        <v>122</v>
      </c>
      <c r="G67">
        <v>89</v>
      </c>
      <c r="H67">
        <v>231.90000000000003</v>
      </c>
      <c r="I67" s="14">
        <v>372.40262505713065</v>
      </c>
      <c r="J67" s="259">
        <v>231.90000000000003</v>
      </c>
      <c r="K67" s="260">
        <v>372.40262505713065</v>
      </c>
      <c r="L67" s="16">
        <f t="shared" si="10"/>
        <v>63</v>
      </c>
      <c r="M67" s="230">
        <f t="shared" si="11"/>
        <v>77</v>
      </c>
      <c r="N67" s="159">
        <f t="shared" si="12"/>
        <v>64</v>
      </c>
      <c r="O67" s="159">
        <f t="shared" si="13"/>
        <v>87</v>
      </c>
      <c r="P67" s="15">
        <v>0</v>
      </c>
      <c r="Q67" s="15">
        <v>0.16666666666666666</v>
      </c>
      <c r="R67">
        <v>69</v>
      </c>
      <c r="S67" t="e" vm="1">
        <f t="shared" si="14"/>
        <v>#VALUE!</v>
      </c>
      <c r="T67" s="14">
        <f>Table230[[#This Row],[BDG]]/Table230[[#This Row],[Odds]]</f>
        <v>28.109090909090913</v>
      </c>
      <c r="U67" s="14" cm="1">
        <f t="array" ref="U67">MAX(_xlfn._xlws.FILTER(Table22[[B365]:[BFAIREXC]], Table22[PLAYER] = A67))</f>
        <v>8.25</v>
      </c>
    </row>
    <row r="68" spans="1:21">
      <c r="A68" s="159" t="s">
        <v>26</v>
      </c>
      <c r="B68">
        <v>36</v>
      </c>
      <c r="C68">
        <v>70</v>
      </c>
      <c r="D68">
        <v>63</v>
      </c>
      <c r="E68">
        <v>178</v>
      </c>
      <c r="F68">
        <v>146</v>
      </c>
      <c r="G68">
        <v>121</v>
      </c>
      <c r="H68">
        <v>240.70000000000002</v>
      </c>
      <c r="I68" s="14">
        <v>418.9407257326543</v>
      </c>
      <c r="J68" s="259">
        <v>232.14864183276254</v>
      </c>
      <c r="K68" s="260">
        <v>380.64253965328516</v>
      </c>
      <c r="L68" s="16">
        <f t="shared" si="10"/>
        <v>72</v>
      </c>
      <c r="M68" s="230">
        <f t="shared" si="11"/>
        <v>96</v>
      </c>
      <c r="N68" s="159">
        <f t="shared" si="12"/>
        <v>65</v>
      </c>
      <c r="O68" s="159">
        <f t="shared" si="13"/>
        <v>89</v>
      </c>
      <c r="P68" s="15">
        <v>0</v>
      </c>
      <c r="Q68" s="15">
        <v>0.42857142857142855</v>
      </c>
      <c r="R68">
        <v>-36</v>
      </c>
      <c r="S68" t="e" vm="1">
        <f t="shared" si="14"/>
        <v>#VALUE!</v>
      </c>
      <c r="T68" s="14">
        <f>Table230[[#This Row],[BDG]]/Table230[[#This Row],[Odds]]</f>
        <v>50.140095428242446</v>
      </c>
      <c r="U68" s="14" cm="1">
        <f t="array" ref="U68">MAX(_xlfn._xlws.FILTER(Table22[[B365]:[BFAIREXC]], Table22[PLAYER] = A68))</f>
        <v>4.63</v>
      </c>
    </row>
    <row r="69" spans="1:21">
      <c r="A69" s="159" t="s">
        <v>56</v>
      </c>
      <c r="B69">
        <v>65</v>
      </c>
      <c r="C69">
        <v>67</v>
      </c>
      <c r="D69">
        <v>165</v>
      </c>
      <c r="E69">
        <v>51</v>
      </c>
      <c r="F69">
        <v>62</v>
      </c>
      <c r="G69">
        <v>103</v>
      </c>
      <c r="H69">
        <v>240.1</v>
      </c>
      <c r="I69" s="14">
        <v>383.57997633763858</v>
      </c>
      <c r="J69" s="259">
        <v>232.85116658671262</v>
      </c>
      <c r="K69" s="260">
        <v>327.85940229219079</v>
      </c>
      <c r="L69" s="16">
        <f t="shared" si="10"/>
        <v>70</v>
      </c>
      <c r="M69" s="230">
        <f t="shared" si="11"/>
        <v>84</v>
      </c>
      <c r="N69" s="159">
        <f t="shared" si="12"/>
        <v>66</v>
      </c>
      <c r="O69" s="159">
        <f t="shared" si="13"/>
        <v>61</v>
      </c>
      <c r="P69" s="15">
        <v>0</v>
      </c>
      <c r="Q69" s="15">
        <v>0</v>
      </c>
      <c r="R69">
        <v>-48</v>
      </c>
      <c r="S69" t="e" vm="1">
        <f t="shared" si="14"/>
        <v>#VALUE!</v>
      </c>
      <c r="T69" s="14" t="e" vm="1">
        <f>Table230[[#This Row],[BDG]]/Table230[[#This Row],[Odds]]</f>
        <v>#VALUE!</v>
      </c>
      <c r="U69" s="14" t="e" cm="1" vm="2">
        <f t="array" ref="U69">MAX(_xlfn._xlws.FILTER(Table22[[B365]:[BFAIREXC]], Table22[PLAYER] = A69))</f>
        <v>#VALUE!</v>
      </c>
    </row>
    <row r="70" spans="1:21">
      <c r="A70" s="159" t="s">
        <v>110</v>
      </c>
      <c r="B70">
        <v>145</v>
      </c>
      <c r="C70">
        <v>21</v>
      </c>
      <c r="D70">
        <v>147</v>
      </c>
      <c r="E70">
        <v>144</v>
      </c>
      <c r="F70">
        <v>149</v>
      </c>
      <c r="G70">
        <v>147</v>
      </c>
      <c r="H70">
        <v>307.3</v>
      </c>
      <c r="I70" s="14">
        <v>543.72184463681765</v>
      </c>
      <c r="J70" s="259">
        <v>234.48217343924944</v>
      </c>
      <c r="K70" s="260">
        <v>400.56853079585733</v>
      </c>
      <c r="L70" s="16">
        <f t="shared" si="10"/>
        <v>122</v>
      </c>
      <c r="M70" s="230">
        <f t="shared" si="11"/>
        <v>130</v>
      </c>
      <c r="N70" s="159">
        <f t="shared" si="12"/>
        <v>67</v>
      </c>
      <c r="O70" s="159">
        <f t="shared" si="13"/>
        <v>100</v>
      </c>
      <c r="P70" s="15">
        <v>0</v>
      </c>
      <c r="Q70" s="15">
        <v>0</v>
      </c>
      <c r="R70">
        <v>-65</v>
      </c>
      <c r="S70" t="e" vm="1">
        <f t="shared" si="14"/>
        <v>#VALUE!</v>
      </c>
      <c r="T70" s="14" t="e" vm="1">
        <f>Table230[[#This Row],[BDG]]/Table230[[#This Row],[Odds]]</f>
        <v>#VALUE!</v>
      </c>
      <c r="U70" s="14" t="e" cm="1" vm="2">
        <f t="array" ref="U70">MAX(_xlfn._xlws.FILTER(Table22[[B365]:[BFAIREXC]], Table22[PLAYER] = A70))</f>
        <v>#VALUE!</v>
      </c>
    </row>
    <row r="71" spans="1:21">
      <c r="A71" s="159" t="s">
        <v>139</v>
      </c>
      <c r="B71">
        <v>144</v>
      </c>
      <c r="C71">
        <v>97</v>
      </c>
      <c r="D71">
        <v>1</v>
      </c>
      <c r="E71">
        <v>159</v>
      </c>
      <c r="F71">
        <v>78</v>
      </c>
      <c r="G71">
        <v>20</v>
      </c>
      <c r="H71">
        <v>235.39999999999998</v>
      </c>
      <c r="I71" s="14">
        <v>302.3860966331398</v>
      </c>
      <c r="J71" s="259">
        <v>234.49561192973425</v>
      </c>
      <c r="K71" s="260">
        <v>319.45060038823021</v>
      </c>
      <c r="L71" s="16">
        <f t="shared" si="10"/>
        <v>68</v>
      </c>
      <c r="M71" s="230">
        <f t="shared" si="11"/>
        <v>43</v>
      </c>
      <c r="N71" s="159">
        <f t="shared" si="12"/>
        <v>68</v>
      </c>
      <c r="O71" s="159">
        <f t="shared" si="13"/>
        <v>53</v>
      </c>
      <c r="P71" s="15">
        <v>0</v>
      </c>
      <c r="Q71" s="15">
        <v>0.22222222222222221</v>
      </c>
      <c r="R71">
        <v>46</v>
      </c>
      <c r="S71" t="e" vm="1">
        <f t="shared" si="14"/>
        <v>#VALUE!</v>
      </c>
      <c r="T71" s="14" t="e" vm="1">
        <f>Table230[[#This Row],[BDG]]/Table230[[#This Row],[Odds]]</f>
        <v>#VALUE!</v>
      </c>
      <c r="U71" s="14" t="e" cm="1" vm="2">
        <f t="array" ref="U71">MAX(_xlfn._xlws.FILTER(Table22[[B365]:[BFAIREXC]], Table22[PLAYER] = A71))</f>
        <v>#VALUE!</v>
      </c>
    </row>
    <row r="72" spans="1:21">
      <c r="A72" s="159" t="s">
        <v>10</v>
      </c>
      <c r="B72">
        <v>11</v>
      </c>
      <c r="C72">
        <v>162</v>
      </c>
      <c r="D72">
        <v>60</v>
      </c>
      <c r="E72">
        <v>38</v>
      </c>
      <c r="F72">
        <v>80</v>
      </c>
      <c r="G72">
        <v>15</v>
      </c>
      <c r="H72">
        <v>208.09999999999997</v>
      </c>
      <c r="I72" s="14">
        <v>220.82834092786999</v>
      </c>
      <c r="J72" s="259">
        <v>236.30249249857127</v>
      </c>
      <c r="K72" s="260">
        <v>265.10636192831589</v>
      </c>
      <c r="L72" s="16">
        <f t="shared" si="10"/>
        <v>37</v>
      </c>
      <c r="M72" s="230">
        <f t="shared" si="11"/>
        <v>16</v>
      </c>
      <c r="N72" s="159">
        <f t="shared" si="12"/>
        <v>69</v>
      </c>
      <c r="O72" s="159">
        <f t="shared" si="13"/>
        <v>25</v>
      </c>
      <c r="P72" s="15">
        <v>0</v>
      </c>
      <c r="Q72" s="15">
        <v>0.42857142857142855</v>
      </c>
      <c r="R72">
        <v>-8</v>
      </c>
      <c r="S72" t="e" vm="1">
        <f t="shared" si="14"/>
        <v>#VALUE!</v>
      </c>
      <c r="T72" s="14" t="e" vm="1">
        <f>Table230[[#This Row],[BDG]]/Table230[[#This Row],[Odds]]</f>
        <v>#VALUE!</v>
      </c>
      <c r="U72" s="14" t="e" cm="1" vm="2">
        <f t="array" ref="U72">MAX(_xlfn._xlws.FILTER(Table22[[B365]:[BFAIREXC]], Table22[PLAYER] = A72))</f>
        <v>#VALUE!</v>
      </c>
    </row>
    <row r="73" spans="1:21">
      <c r="A73" s="159" t="s">
        <v>595</v>
      </c>
      <c r="B73">
        <v>29</v>
      </c>
      <c r="C73">
        <v>139</v>
      </c>
      <c r="D73">
        <v>83</v>
      </c>
      <c r="E73">
        <v>132</v>
      </c>
      <c r="F73">
        <v>119</v>
      </c>
      <c r="G73">
        <v>80</v>
      </c>
      <c r="H73">
        <v>270.3</v>
      </c>
      <c r="I73" s="14">
        <v>383.22546630690181</v>
      </c>
      <c r="J73" s="259">
        <v>237.02469699724375</v>
      </c>
      <c r="K73" s="260">
        <v>302.36072721539</v>
      </c>
      <c r="L73" s="16">
        <f t="shared" si="10"/>
        <v>96</v>
      </c>
      <c r="M73" s="230">
        <f t="shared" si="11"/>
        <v>83</v>
      </c>
      <c r="N73" s="159">
        <f t="shared" si="12"/>
        <v>70</v>
      </c>
      <c r="O73" s="159">
        <f t="shared" si="13"/>
        <v>46</v>
      </c>
      <c r="P73" s="15">
        <v>0</v>
      </c>
      <c r="Q73" s="15">
        <v>0.2</v>
      </c>
      <c r="R73">
        <v>-75</v>
      </c>
      <c r="S73" t="e" vm="1">
        <f t="shared" si="14"/>
        <v>#VALUE!</v>
      </c>
      <c r="T73" s="14">
        <f>Table230[[#This Row],[BDG]]/Table230[[#This Row],[Odds]]</f>
        <v>75.007815505456875</v>
      </c>
      <c r="U73" s="14" cm="1">
        <f t="array" ref="U73">MAX(_xlfn._xlws.FILTER(Table22[[B365]:[BFAIREXC]], Table22[PLAYER] = A73))</f>
        <v>3.16</v>
      </c>
    </row>
    <row r="74" spans="1:21">
      <c r="A74" s="159" t="s">
        <v>9</v>
      </c>
      <c r="B74">
        <v>62</v>
      </c>
      <c r="C74">
        <v>99</v>
      </c>
      <c r="D74">
        <v>38</v>
      </c>
      <c r="E74">
        <v>140</v>
      </c>
      <c r="F74">
        <v>106</v>
      </c>
      <c r="G74">
        <v>43</v>
      </c>
      <c r="H74">
        <v>225.29999999999998</v>
      </c>
      <c r="I74" s="14">
        <v>307.28982987589109</v>
      </c>
      <c r="J74" s="259">
        <v>241.40394241247367</v>
      </c>
      <c r="K74" s="260">
        <v>341.71703432257931</v>
      </c>
      <c r="L74" s="16">
        <f t="shared" si="10"/>
        <v>59</v>
      </c>
      <c r="M74" s="230">
        <f t="shared" si="11"/>
        <v>46</v>
      </c>
      <c r="N74" s="159">
        <f t="shared" si="12"/>
        <v>72</v>
      </c>
      <c r="O74" s="159">
        <f t="shared" si="13"/>
        <v>68</v>
      </c>
      <c r="P74" s="15">
        <v>0</v>
      </c>
      <c r="Q74" s="15">
        <v>0.33333333333333331</v>
      </c>
      <c r="R74">
        <v>99</v>
      </c>
      <c r="S74" t="e" vm="1">
        <f t="shared" si="14"/>
        <v>#VALUE!</v>
      </c>
      <c r="T74" s="14" t="e" vm="1">
        <f>Table230[[#This Row],[BDG]]/Table230[[#This Row],[Odds]]</f>
        <v>#VALUE!</v>
      </c>
      <c r="U74" s="14" t="e" cm="1" vm="2">
        <f t="array" ref="U74">MAX(_xlfn._xlws.FILTER(Table22[[B365]:[BFAIREXC]], Table22[PLAYER] = A74))</f>
        <v>#VALUE!</v>
      </c>
    </row>
    <row r="75" spans="1:21">
      <c r="A75" s="159" t="s">
        <v>113</v>
      </c>
      <c r="B75">
        <v>141</v>
      </c>
      <c r="C75">
        <v>130</v>
      </c>
      <c r="D75">
        <v>132</v>
      </c>
      <c r="E75">
        <v>66</v>
      </c>
      <c r="F75">
        <v>81</v>
      </c>
      <c r="G75">
        <v>95</v>
      </c>
      <c r="H75">
        <v>312.69999999999993</v>
      </c>
      <c r="I75" s="14">
        <v>448.50508689270379</v>
      </c>
      <c r="J75" s="259">
        <v>241.96895881580184</v>
      </c>
      <c r="K75" s="260">
        <v>329.85823279422198</v>
      </c>
      <c r="L75" s="16">
        <f t="shared" si="10"/>
        <v>128</v>
      </c>
      <c r="M75" s="230">
        <f t="shared" si="11"/>
        <v>103</v>
      </c>
      <c r="N75" s="159">
        <f t="shared" si="12"/>
        <v>73</v>
      </c>
      <c r="O75" s="159">
        <f t="shared" si="13"/>
        <v>62</v>
      </c>
      <c r="P75" s="15">
        <v>0</v>
      </c>
      <c r="Q75" s="15">
        <v>0.125</v>
      </c>
      <c r="R75">
        <v>-62</v>
      </c>
      <c r="S75" t="e" vm="1">
        <f t="shared" si="14"/>
        <v>#VALUE!</v>
      </c>
      <c r="T75" s="14" t="e" vm="1">
        <f>Table230[[#This Row],[BDG]]/Table230[[#This Row],[Odds]]</f>
        <v>#VALUE!</v>
      </c>
      <c r="U75" s="14" t="e" cm="1" vm="2">
        <f t="array" ref="U75">MAX(_xlfn._xlws.FILTER(Table22[[B365]:[BFAIREXC]], Table22[PLAYER] = A75))</f>
        <v>#VALUE!</v>
      </c>
    </row>
    <row r="76" spans="1:21">
      <c r="A76" s="159" t="s">
        <v>177</v>
      </c>
      <c r="B76">
        <v>176</v>
      </c>
      <c r="C76">
        <v>64</v>
      </c>
      <c r="D76">
        <v>41</v>
      </c>
      <c r="E76">
        <v>18</v>
      </c>
      <c r="F76">
        <v>183</v>
      </c>
      <c r="G76">
        <v>172</v>
      </c>
      <c r="H76">
        <v>241.89999999999998</v>
      </c>
      <c r="I76" s="14">
        <v>462.01180385185825</v>
      </c>
      <c r="J76" s="259">
        <v>243.34152937196058</v>
      </c>
      <c r="K76" s="260">
        <v>455.43404874679771</v>
      </c>
      <c r="L76" s="16">
        <f t="shared" si="10"/>
        <v>73</v>
      </c>
      <c r="M76" s="230">
        <f t="shared" si="11"/>
        <v>111</v>
      </c>
      <c r="N76" s="159">
        <f t="shared" si="12"/>
        <v>74</v>
      </c>
      <c r="O76" s="159">
        <f t="shared" si="13"/>
        <v>121</v>
      </c>
      <c r="P76" s="15">
        <v>0</v>
      </c>
      <c r="Q76" s="15">
        <v>0</v>
      </c>
      <c r="R76">
        <v>-20</v>
      </c>
      <c r="S76" t="e" vm="1">
        <f t="shared" si="14"/>
        <v>#VALUE!</v>
      </c>
      <c r="T76" s="14">
        <f>Table230[[#This Row],[BDG]]/Table230[[#This Row],[Odds]]</f>
        <v>17.762155428610264</v>
      </c>
      <c r="U76" s="14" cm="1">
        <f t="array" ref="U76">MAX(_xlfn._xlws.FILTER(Table22[[B365]:[BFAIREXC]], Table22[PLAYER] = A76))</f>
        <v>13.7</v>
      </c>
    </row>
    <row r="77" spans="1:21">
      <c r="A77" s="159" t="s">
        <v>233</v>
      </c>
      <c r="B77">
        <v>91</v>
      </c>
      <c r="C77">
        <v>84</v>
      </c>
      <c r="D77">
        <v>8</v>
      </c>
      <c r="E77">
        <v>80</v>
      </c>
      <c r="F77">
        <v>79</v>
      </c>
      <c r="G77">
        <v>7</v>
      </c>
      <c r="H77">
        <v>173.49999999999997</v>
      </c>
      <c r="I77" s="14">
        <v>206.43130315495353</v>
      </c>
      <c r="J77" s="259">
        <v>243.35411081625543</v>
      </c>
      <c r="K77" s="260">
        <v>341.52213756885169</v>
      </c>
      <c r="L77" s="16">
        <f t="shared" si="10"/>
        <v>12</v>
      </c>
      <c r="M77" s="230">
        <f t="shared" si="11"/>
        <v>11</v>
      </c>
      <c r="N77" s="159">
        <f t="shared" si="12"/>
        <v>75</v>
      </c>
      <c r="O77" s="159">
        <f t="shared" si="13"/>
        <v>67</v>
      </c>
      <c r="P77" s="15">
        <v>0</v>
      </c>
      <c r="Q77" s="15">
        <v>0.4</v>
      </c>
      <c r="R77">
        <v>103</v>
      </c>
      <c r="S77" t="e" vm="1">
        <f t="shared" si="14"/>
        <v>#VALUE!</v>
      </c>
      <c r="T77" s="14" t="e" vm="1">
        <f>Table230[[#This Row],[BDG]]/Table230[[#This Row],[Odds]]</f>
        <v>#VALUE!</v>
      </c>
      <c r="U77" s="14" t="e" cm="1" vm="2">
        <f t="array" ref="U77">MAX(_xlfn._xlws.FILTER(Table22[[B365]:[BFAIREXC]], Table22[PLAYER] = A77))</f>
        <v>#VALUE!</v>
      </c>
    </row>
    <row r="78" spans="1:21">
      <c r="A78" s="159" t="s">
        <v>165</v>
      </c>
      <c r="B78">
        <v>175</v>
      </c>
      <c r="C78">
        <v>122</v>
      </c>
      <c r="D78">
        <v>37</v>
      </c>
      <c r="E78">
        <v>142</v>
      </c>
      <c r="F78">
        <v>37</v>
      </c>
      <c r="G78">
        <v>66</v>
      </c>
      <c r="H78">
        <v>270.39999999999998</v>
      </c>
      <c r="I78" s="14">
        <v>380.07786804563989</v>
      </c>
      <c r="J78" s="259">
        <v>246.33160780744421</v>
      </c>
      <c r="K78" s="260">
        <v>363.8824903469245</v>
      </c>
      <c r="L78" s="16">
        <f t="shared" si="10"/>
        <v>97</v>
      </c>
      <c r="M78" s="230">
        <f t="shared" si="11"/>
        <v>80</v>
      </c>
      <c r="N78" s="159">
        <f t="shared" si="12"/>
        <v>76</v>
      </c>
      <c r="O78" s="159">
        <f t="shared" si="13"/>
        <v>82</v>
      </c>
      <c r="P78" s="15">
        <v>0</v>
      </c>
      <c r="Q78" s="15">
        <v>0.14285714285714285</v>
      </c>
      <c r="R78">
        <v>-28</v>
      </c>
      <c r="S78" t="e" vm="1">
        <f t="shared" si="14"/>
        <v>#VALUE!</v>
      </c>
      <c r="T78" s="14" t="e" vm="1">
        <f>Table230[[#This Row],[BDG]]/Table230[[#This Row],[Odds]]</f>
        <v>#VALUE!</v>
      </c>
      <c r="U78" s="14" t="e" cm="1" vm="2">
        <f t="array" ref="U78">MAX(_xlfn._xlws.FILTER(Table22[[B365]:[BFAIREXC]], Table22[PLAYER] = A78))</f>
        <v>#VALUE!</v>
      </c>
    </row>
    <row r="79" spans="1:21">
      <c r="A79" s="159" t="s">
        <v>59</v>
      </c>
      <c r="B79">
        <v>123</v>
      </c>
      <c r="C79">
        <v>125</v>
      </c>
      <c r="D79">
        <v>79</v>
      </c>
      <c r="E79">
        <v>30</v>
      </c>
      <c r="F79">
        <v>29</v>
      </c>
      <c r="G79">
        <v>21</v>
      </c>
      <c r="H79">
        <v>227.9</v>
      </c>
      <c r="I79" s="14">
        <v>265.83528764970288</v>
      </c>
      <c r="J79" s="259">
        <v>248.08827563302862</v>
      </c>
      <c r="K79" s="260">
        <v>312.28298538743365</v>
      </c>
      <c r="L79" s="16">
        <f t="shared" si="10"/>
        <v>60</v>
      </c>
      <c r="M79" s="230">
        <f t="shared" si="11"/>
        <v>30</v>
      </c>
      <c r="N79" s="159">
        <f t="shared" si="12"/>
        <v>77</v>
      </c>
      <c r="O79" s="159">
        <f t="shared" si="13"/>
        <v>49</v>
      </c>
      <c r="P79" s="15">
        <v>0</v>
      </c>
      <c r="Q79" s="15">
        <v>0.16666666666666666</v>
      </c>
      <c r="R79">
        <v>-13</v>
      </c>
      <c r="S79" t="e" vm="1">
        <f t="shared" si="14"/>
        <v>#VALUE!</v>
      </c>
      <c r="T79" s="14" t="e" vm="1">
        <f>Table230[[#This Row],[BDG]]/Table230[[#This Row],[Odds]]</f>
        <v>#VALUE!</v>
      </c>
      <c r="U79" s="14" t="e" cm="1" vm="2">
        <f t="array" ref="U79">MAX(_xlfn._xlws.FILTER(Table22[[B365]:[BFAIREXC]], Table22[PLAYER] = A79))</f>
        <v>#VALUE!</v>
      </c>
    </row>
    <row r="80" spans="1:21">
      <c r="A80" s="159" t="s">
        <v>488</v>
      </c>
      <c r="B80">
        <v>36</v>
      </c>
      <c r="C80">
        <v>54</v>
      </c>
      <c r="D80">
        <v>57</v>
      </c>
      <c r="E80">
        <v>176</v>
      </c>
      <c r="F80">
        <v>69</v>
      </c>
      <c r="G80">
        <v>84</v>
      </c>
      <c r="H80">
        <v>193.7</v>
      </c>
      <c r="I80" s="14">
        <v>326.95360979721306</v>
      </c>
      <c r="J80" s="259">
        <v>250.04835348610115</v>
      </c>
      <c r="K80" s="260">
        <v>420.68678577463947</v>
      </c>
      <c r="L80" s="16">
        <f t="shared" si="10"/>
        <v>24</v>
      </c>
      <c r="M80" s="230">
        <f t="shared" si="11"/>
        <v>55</v>
      </c>
      <c r="N80" s="159">
        <f t="shared" si="12"/>
        <v>78</v>
      </c>
      <c r="O80" s="159">
        <f t="shared" si="13"/>
        <v>106</v>
      </c>
      <c r="P80" s="15">
        <v>0</v>
      </c>
      <c r="Q80" s="15">
        <v>0.14285714285714285</v>
      </c>
      <c r="R80">
        <v>49</v>
      </c>
      <c r="S80" t="e" vm="1">
        <f t="shared" si="14"/>
        <v>#VALUE!</v>
      </c>
      <c r="T80" s="14" t="e" vm="1">
        <f>Table230[[#This Row],[BDG]]/Table230[[#This Row],[Odds]]</f>
        <v>#VALUE!</v>
      </c>
      <c r="U80" s="14" t="e" cm="1" vm="2">
        <f t="array" ref="U80">MAX(_xlfn._xlws.FILTER(Table22[[B365]:[BFAIREXC]], Table22[PLAYER] = A80))</f>
        <v>#VALUE!</v>
      </c>
    </row>
    <row r="81" spans="1:21">
      <c r="A81" s="159" t="s">
        <v>434</v>
      </c>
      <c r="B81">
        <v>75</v>
      </c>
      <c r="C81">
        <v>135</v>
      </c>
      <c r="D81">
        <v>35</v>
      </c>
      <c r="E81">
        <v>73</v>
      </c>
      <c r="F81">
        <v>169</v>
      </c>
      <c r="G81">
        <v>94</v>
      </c>
      <c r="H81">
        <v>253.3</v>
      </c>
      <c r="I81" s="14">
        <v>374.94502735074525</v>
      </c>
      <c r="J81" s="259">
        <v>250.52505595897594</v>
      </c>
      <c r="K81" s="260">
        <v>326.25273425275043</v>
      </c>
      <c r="L81" s="16">
        <f t="shared" si="10"/>
        <v>81</v>
      </c>
      <c r="M81" s="230">
        <f t="shared" si="11"/>
        <v>79</v>
      </c>
      <c r="N81" s="159">
        <f t="shared" si="12"/>
        <v>79</v>
      </c>
      <c r="O81" s="159">
        <f t="shared" si="13"/>
        <v>57</v>
      </c>
      <c r="P81" s="15">
        <v>0</v>
      </c>
      <c r="Q81" s="15">
        <v>0.14285714285714285</v>
      </c>
      <c r="R81">
        <v>44</v>
      </c>
      <c r="S81" t="e" vm="1">
        <f t="shared" si="14"/>
        <v>#VALUE!</v>
      </c>
      <c r="T81" s="14" t="e" vm="1">
        <f>Table230[[#This Row],[BDG]]/Table230[[#This Row],[Odds]]</f>
        <v>#VALUE!</v>
      </c>
      <c r="U81" s="14" t="e" cm="1" vm="2">
        <f t="array" ref="U81">MAX(_xlfn._xlws.FILTER(Table22[[B365]:[BFAIREXC]], Table22[PLAYER] = A81))</f>
        <v>#VALUE!</v>
      </c>
    </row>
    <row r="82" spans="1:21">
      <c r="A82" s="159" t="s">
        <v>112</v>
      </c>
      <c r="B82">
        <v>167</v>
      </c>
      <c r="C82">
        <v>120</v>
      </c>
      <c r="D82">
        <v>92</v>
      </c>
      <c r="E82">
        <v>63</v>
      </c>
      <c r="F82">
        <v>181</v>
      </c>
      <c r="G82">
        <v>167</v>
      </c>
      <c r="H82">
        <v>329.5</v>
      </c>
      <c r="I82" s="14">
        <v>549.27651382156068</v>
      </c>
      <c r="J82" s="259">
        <v>250.61402122585355</v>
      </c>
      <c r="K82" s="260">
        <v>397.68358882323844</v>
      </c>
      <c r="L82" s="16">
        <f t="shared" si="10"/>
        <v>133</v>
      </c>
      <c r="M82" s="230">
        <f t="shared" si="11"/>
        <v>131</v>
      </c>
      <c r="N82" s="159">
        <f t="shared" si="12"/>
        <v>80</v>
      </c>
      <c r="O82" s="159">
        <f t="shared" si="13"/>
        <v>99</v>
      </c>
      <c r="P82" s="15">
        <v>0</v>
      </c>
      <c r="Q82" s="15">
        <v>0</v>
      </c>
      <c r="R82">
        <v>-12</v>
      </c>
      <c r="S82" t="e" vm="1">
        <f t="shared" si="14"/>
        <v>#VALUE!</v>
      </c>
      <c r="T82" s="14" t="e" vm="1">
        <f>Table230[[#This Row],[BDG]]/Table230[[#This Row],[Odds]]</f>
        <v>#VALUE!</v>
      </c>
      <c r="U82" s="14" t="e" cm="1" vm="2">
        <f t="array" ref="U82">MAX(_xlfn._xlws.FILTER(Table22[[B365]:[BFAIREXC]], Table22[PLAYER] = A82))</f>
        <v>#VALUE!</v>
      </c>
    </row>
    <row r="83" spans="1:21">
      <c r="A83" s="159" t="s">
        <v>149</v>
      </c>
      <c r="B83">
        <v>148</v>
      </c>
      <c r="C83">
        <v>54</v>
      </c>
      <c r="D83">
        <v>98</v>
      </c>
      <c r="E83">
        <v>54</v>
      </c>
      <c r="F83">
        <v>66</v>
      </c>
      <c r="G83">
        <v>109</v>
      </c>
      <c r="H83">
        <v>228.39999999999998</v>
      </c>
      <c r="I83" s="14">
        <v>384.34645070192488</v>
      </c>
      <c r="J83" s="259">
        <v>251.15557080023456</v>
      </c>
      <c r="K83" s="260">
        <v>404.76208827405941</v>
      </c>
      <c r="L83" s="16">
        <f t="shared" si="10"/>
        <v>61</v>
      </c>
      <c r="M83" s="230">
        <f t="shared" si="11"/>
        <v>85</v>
      </c>
      <c r="N83" s="159">
        <f t="shared" si="12"/>
        <v>81</v>
      </c>
      <c r="O83" s="159">
        <f t="shared" si="13"/>
        <v>102</v>
      </c>
      <c r="P83" s="15">
        <v>0</v>
      </c>
      <c r="Q83" s="15">
        <v>0</v>
      </c>
      <c r="R83">
        <v>-58</v>
      </c>
      <c r="S83" t="e" vm="1">
        <f t="shared" si="14"/>
        <v>#VALUE!</v>
      </c>
      <c r="T83" s="14" t="e" vm="1">
        <f>Table230[[#This Row],[BDG]]/Table230[[#This Row],[Odds]]</f>
        <v>#VALUE!</v>
      </c>
      <c r="U83" s="14" t="e" cm="1" vm="2">
        <f t="array" ref="U83">MAX(_xlfn._xlws.FILTER(Table22[[B365]:[BFAIREXC]], Table22[PLAYER] = A83))</f>
        <v>#VALUE!</v>
      </c>
    </row>
    <row r="84" spans="1:21">
      <c r="A84" s="159" t="s">
        <v>19</v>
      </c>
      <c r="B84">
        <v>96</v>
      </c>
      <c r="C84">
        <v>149</v>
      </c>
      <c r="D84">
        <v>6</v>
      </c>
      <c r="E84">
        <v>150</v>
      </c>
      <c r="F84">
        <v>92</v>
      </c>
      <c r="G84">
        <v>32</v>
      </c>
      <c r="H84">
        <v>253.3</v>
      </c>
      <c r="I84" s="14">
        <v>315.51684132695192</v>
      </c>
      <c r="J84" s="259">
        <v>251.26126560251291</v>
      </c>
      <c r="K84" s="260">
        <v>288.41563980929277</v>
      </c>
      <c r="L84" s="16">
        <f t="shared" si="10"/>
        <v>81</v>
      </c>
      <c r="M84" s="230">
        <f t="shared" si="11"/>
        <v>47</v>
      </c>
      <c r="N84" s="159">
        <f t="shared" si="12"/>
        <v>82</v>
      </c>
      <c r="O84" s="159">
        <f t="shared" si="13"/>
        <v>38</v>
      </c>
      <c r="P84" s="15">
        <v>0</v>
      </c>
      <c r="Q84" s="15">
        <v>0.25</v>
      </c>
      <c r="R84" t="e">
        <v>#N/A</v>
      </c>
      <c r="S84" t="e" vm="1">
        <f t="shared" si="14"/>
        <v>#VALUE!</v>
      </c>
      <c r="T84" s="14" t="e" vm="1">
        <f>Table230[[#This Row],[BDG]]/Table230[[#This Row],[Odds]]</f>
        <v>#VALUE!</v>
      </c>
      <c r="U84" s="14" t="e" cm="1" vm="2">
        <f t="array" ref="U84">MAX(_xlfn._xlws.FILTER(Table22[[B365]:[BFAIREXC]], Table22[PLAYER] = A84))</f>
        <v>#VALUE!</v>
      </c>
    </row>
    <row r="85" spans="1:21">
      <c r="A85" s="159" t="s">
        <v>20</v>
      </c>
      <c r="B85">
        <v>33</v>
      </c>
      <c r="C85">
        <v>143</v>
      </c>
      <c r="D85">
        <v>93</v>
      </c>
      <c r="E85">
        <v>152</v>
      </c>
      <c r="F85">
        <v>37</v>
      </c>
      <c r="G85">
        <v>60</v>
      </c>
      <c r="H85">
        <v>257.3</v>
      </c>
      <c r="I85" s="14">
        <v>345.3883550257483</v>
      </c>
      <c r="J85" s="259">
        <v>251.40689063891361</v>
      </c>
      <c r="K85" s="260">
        <v>327.29722330936966</v>
      </c>
      <c r="L85" s="16">
        <f t="shared" si="10"/>
        <v>85</v>
      </c>
      <c r="M85" s="230">
        <f t="shared" si="11"/>
        <v>67</v>
      </c>
      <c r="N85" s="159">
        <f t="shared" si="12"/>
        <v>83</v>
      </c>
      <c r="O85" s="159">
        <f t="shared" si="13"/>
        <v>60</v>
      </c>
      <c r="P85" s="15">
        <v>0</v>
      </c>
      <c r="Q85" s="15">
        <v>0</v>
      </c>
      <c r="R85">
        <v>-25</v>
      </c>
      <c r="S85" t="e" vm="1">
        <f t="shared" si="14"/>
        <v>#VALUE!</v>
      </c>
      <c r="T85" s="14">
        <f>Table230[[#This Row],[BDG]]/Table230[[#This Row],[Odds]]</f>
        <v>35.915270091273371</v>
      </c>
      <c r="U85" s="14" cm="1">
        <f t="array" ref="U85">MAX(_xlfn._xlws.FILTER(Table22[[B365]:[BFAIREXC]], Table22[PLAYER] = A85))</f>
        <v>7</v>
      </c>
    </row>
    <row r="86" spans="1:21">
      <c r="A86" s="159" t="s">
        <v>239</v>
      </c>
      <c r="B86">
        <v>173</v>
      </c>
      <c r="C86">
        <v>2</v>
      </c>
      <c r="D86">
        <v>82</v>
      </c>
      <c r="E86">
        <v>99</v>
      </c>
      <c r="F86">
        <v>168</v>
      </c>
      <c r="G86">
        <v>144</v>
      </c>
      <c r="H86">
        <v>252.10000000000002</v>
      </c>
      <c r="I86" s="14">
        <v>476.773618293894</v>
      </c>
      <c r="J86" s="259">
        <v>252.10000000000002</v>
      </c>
      <c r="K86" s="260">
        <v>476.773618293894</v>
      </c>
      <c r="L86" s="16">
        <f t="shared" si="10"/>
        <v>79</v>
      </c>
      <c r="M86" s="230">
        <f t="shared" si="11"/>
        <v>116</v>
      </c>
      <c r="N86" s="159">
        <f t="shared" si="12"/>
        <v>84</v>
      </c>
      <c r="O86" s="159">
        <f t="shared" si="13"/>
        <v>130</v>
      </c>
      <c r="P86" s="15">
        <v>0</v>
      </c>
      <c r="Q86" s="15">
        <v>0</v>
      </c>
      <c r="R86" t="e">
        <v>#N/A</v>
      </c>
      <c r="S86" t="e" vm="1">
        <f t="shared" si="14"/>
        <v>#VALUE!</v>
      </c>
      <c r="T86" s="14">
        <f>Table230[[#This Row],[BDG]]/Table230[[#This Row],[Odds]]</f>
        <v>16.057324840764334</v>
      </c>
      <c r="U86" s="14" cm="1">
        <f t="array" ref="U86">MAX(_xlfn._xlws.FILTER(Table22[[B365]:[BFAIREXC]], Table22[PLAYER] = A86))</f>
        <v>15.7</v>
      </c>
    </row>
    <row r="87" spans="1:21">
      <c r="A87" s="159" t="s">
        <v>133</v>
      </c>
      <c r="B87">
        <v>106</v>
      </c>
      <c r="C87">
        <v>40</v>
      </c>
      <c r="D87">
        <v>104</v>
      </c>
      <c r="E87">
        <v>111</v>
      </c>
      <c r="F87">
        <v>54</v>
      </c>
      <c r="G87">
        <v>87</v>
      </c>
      <c r="H87">
        <v>219.8</v>
      </c>
      <c r="I87" s="14">
        <v>361.18521182911593</v>
      </c>
      <c r="J87" s="259">
        <v>252.24985582666932</v>
      </c>
      <c r="K87" s="260">
        <v>404.28375631782603</v>
      </c>
      <c r="L87" s="16">
        <f t="shared" si="10"/>
        <v>50</v>
      </c>
      <c r="M87" s="230">
        <f t="shared" si="11"/>
        <v>74</v>
      </c>
      <c r="N87" s="159">
        <f t="shared" si="12"/>
        <v>85</v>
      </c>
      <c r="O87" s="159">
        <f t="shared" si="13"/>
        <v>101</v>
      </c>
      <c r="P87" s="15">
        <v>0</v>
      </c>
      <c r="Q87" s="15">
        <v>0</v>
      </c>
      <c r="R87">
        <v>-39</v>
      </c>
      <c r="S87" t="e" vm="1">
        <f t="shared" si="14"/>
        <v>#VALUE!</v>
      </c>
      <c r="T87" s="14">
        <f>Table230[[#This Row],[BDG]]/Table230[[#This Row],[Odds]]</f>
        <v>20.508118359891814</v>
      </c>
      <c r="U87" s="14" cm="1">
        <f t="array" ref="U87">MAX(_xlfn._xlws.FILTER(Table22[[B365]:[BFAIREXC]], Table22[PLAYER] = A87))</f>
        <v>12.3</v>
      </c>
    </row>
    <row r="88" spans="1:21">
      <c r="A88" s="159" t="s">
        <v>156</v>
      </c>
      <c r="B88">
        <v>154</v>
      </c>
      <c r="C88">
        <v>12</v>
      </c>
      <c r="D88">
        <v>124</v>
      </c>
      <c r="E88">
        <v>20</v>
      </c>
      <c r="F88">
        <v>134</v>
      </c>
      <c r="G88">
        <v>119</v>
      </c>
      <c r="H88">
        <v>233.79999999999998</v>
      </c>
      <c r="I88" s="14">
        <v>414.11637306215772</v>
      </c>
      <c r="J88" s="259">
        <v>252.2618725994663</v>
      </c>
      <c r="K88" s="260">
        <v>452.15925886643464</v>
      </c>
      <c r="L88" s="16">
        <f t="shared" si="10"/>
        <v>65</v>
      </c>
      <c r="M88" s="230">
        <f t="shared" si="11"/>
        <v>94</v>
      </c>
      <c r="N88" s="159">
        <f t="shared" si="12"/>
        <v>86</v>
      </c>
      <c r="O88" s="159">
        <f t="shared" si="13"/>
        <v>117</v>
      </c>
      <c r="P88" s="15">
        <v>0</v>
      </c>
      <c r="Q88" s="15">
        <v>0</v>
      </c>
      <c r="R88">
        <v>-30</v>
      </c>
      <c r="S88" t="e" vm="1">
        <f t="shared" si="14"/>
        <v>#VALUE!</v>
      </c>
      <c r="T88" s="14">
        <f>Table230[[#This Row],[BDG]]/Table230[[#This Row],[Odds]]</f>
        <v>20.509095333289942</v>
      </c>
      <c r="U88" s="14" cm="1">
        <f t="array" ref="U88">MAX(_xlfn._xlws.FILTER(Table22[[B365]:[BFAIREXC]], Table22[PLAYER] = A88))</f>
        <v>12.3</v>
      </c>
    </row>
    <row r="89" spans="1:21">
      <c r="A89" s="159" t="s">
        <v>62</v>
      </c>
      <c r="B89">
        <v>99</v>
      </c>
      <c r="C89">
        <v>163</v>
      </c>
      <c r="D89">
        <v>72</v>
      </c>
      <c r="E89">
        <v>124</v>
      </c>
      <c r="F89">
        <v>87</v>
      </c>
      <c r="G89">
        <v>141</v>
      </c>
      <c r="H89">
        <v>298.40000000000003</v>
      </c>
      <c r="I89" s="14">
        <v>471.23599890636939</v>
      </c>
      <c r="J89" s="259">
        <v>252.35858152341683</v>
      </c>
      <c r="K89" s="260">
        <v>382.06485855712464</v>
      </c>
      <c r="L89" s="16">
        <f t="shared" si="10"/>
        <v>116</v>
      </c>
      <c r="M89" s="230">
        <f t="shared" si="11"/>
        <v>114</v>
      </c>
      <c r="N89" s="159">
        <f t="shared" si="12"/>
        <v>87</v>
      </c>
      <c r="O89" s="159">
        <f t="shared" si="13"/>
        <v>91</v>
      </c>
      <c r="P89" s="15">
        <v>0</v>
      </c>
      <c r="Q89" s="15">
        <v>0.14285714285714285</v>
      </c>
      <c r="R89">
        <v>-80</v>
      </c>
      <c r="S89" t="e" vm="1">
        <f t="shared" si="14"/>
        <v>#VALUE!</v>
      </c>
      <c r="T89" s="14">
        <f>Table230[[#This Row],[BDG]]/Table230[[#This Row],[Odds]]</f>
        <v>23.366535326242296</v>
      </c>
      <c r="U89" s="14" cm="1">
        <f t="array" ref="U89">MAX(_xlfn._xlws.FILTER(Table22[[B365]:[BFAIREXC]], Table22[PLAYER] = A89))</f>
        <v>10.8</v>
      </c>
    </row>
    <row r="90" spans="1:21">
      <c r="A90" s="159" t="s">
        <v>544</v>
      </c>
      <c r="B90">
        <v>6</v>
      </c>
      <c r="C90">
        <v>145</v>
      </c>
      <c r="D90">
        <v>73</v>
      </c>
      <c r="E90">
        <v>116</v>
      </c>
      <c r="F90">
        <v>128</v>
      </c>
      <c r="G90">
        <v>78</v>
      </c>
      <c r="H90">
        <v>253.2</v>
      </c>
      <c r="I90" s="14">
        <v>355.70428928145361</v>
      </c>
      <c r="J90" s="259">
        <v>255.78274012476265</v>
      </c>
      <c r="K90" s="260">
        <v>311.24754256766676</v>
      </c>
      <c r="L90" s="16">
        <f t="shared" si="10"/>
        <v>80</v>
      </c>
      <c r="M90" s="230">
        <f t="shared" si="11"/>
        <v>73</v>
      </c>
      <c r="N90" s="159">
        <f t="shared" si="12"/>
        <v>88</v>
      </c>
      <c r="O90" s="159">
        <f t="shared" si="13"/>
        <v>48</v>
      </c>
      <c r="P90" s="15">
        <v>0</v>
      </c>
      <c r="Q90" s="15">
        <v>0.2</v>
      </c>
      <c r="R90">
        <v>5</v>
      </c>
      <c r="S90" t="e" vm="1">
        <f t="shared" si="14"/>
        <v>#VALUE!</v>
      </c>
      <c r="T90" s="14" t="e" vm="1">
        <f>Table230[[#This Row],[BDG]]/Table230[[#This Row],[Odds]]</f>
        <v>#VALUE!</v>
      </c>
      <c r="U90" s="14" t="e" cm="1" vm="2">
        <f t="array" ref="U90">MAX(_xlfn._xlws.FILTER(Table22[[B365]:[BFAIREXC]], Table22[PLAYER] = A90))</f>
        <v>#VALUE!</v>
      </c>
    </row>
    <row r="91" spans="1:21">
      <c r="A91" s="159" t="s">
        <v>29</v>
      </c>
      <c r="B91">
        <v>95</v>
      </c>
      <c r="C91">
        <v>117</v>
      </c>
      <c r="D91">
        <v>91</v>
      </c>
      <c r="E91">
        <v>165</v>
      </c>
      <c r="F91">
        <v>58</v>
      </c>
      <c r="G91">
        <v>124</v>
      </c>
      <c r="H91">
        <v>282.29999999999995</v>
      </c>
      <c r="I91" s="14">
        <v>454.06239246424195</v>
      </c>
      <c r="J91" s="259">
        <v>256.91878641512301</v>
      </c>
      <c r="K91" s="260">
        <v>355.6039019845191</v>
      </c>
      <c r="L91" s="16">
        <f t="shared" si="10"/>
        <v>107</v>
      </c>
      <c r="M91" s="230">
        <f t="shared" si="11"/>
        <v>106</v>
      </c>
      <c r="N91" s="159">
        <f t="shared" si="12"/>
        <v>89</v>
      </c>
      <c r="O91" s="159">
        <f t="shared" si="13"/>
        <v>75</v>
      </c>
      <c r="P91" s="15">
        <v>0</v>
      </c>
      <c r="Q91" s="15">
        <v>0</v>
      </c>
      <c r="R91">
        <v>-15</v>
      </c>
      <c r="S91" t="e" vm="1">
        <f t="shared" si="14"/>
        <v>#VALUE!</v>
      </c>
      <c r="T91" s="14" t="e" vm="1">
        <f>Table230[[#This Row],[BDG]]/Table230[[#This Row],[Odds]]</f>
        <v>#VALUE!</v>
      </c>
      <c r="U91" s="14" t="e" cm="1" vm="2">
        <f t="array" ref="U91">MAX(_xlfn._xlws.FILTER(Table22[[B365]:[BFAIREXC]], Table22[PLAYER] = A91))</f>
        <v>#VALUE!</v>
      </c>
    </row>
    <row r="92" spans="1:21">
      <c r="A92" s="159" t="s">
        <v>65</v>
      </c>
      <c r="B92">
        <v>53</v>
      </c>
      <c r="C92">
        <v>108</v>
      </c>
      <c r="D92">
        <v>46</v>
      </c>
      <c r="E92">
        <v>126</v>
      </c>
      <c r="F92">
        <v>30</v>
      </c>
      <c r="G92">
        <v>18</v>
      </c>
      <c r="H92">
        <v>196.7</v>
      </c>
      <c r="I92" s="14">
        <v>239.23859176739251</v>
      </c>
      <c r="J92" s="259">
        <v>257.93067618041999</v>
      </c>
      <c r="K92" s="260">
        <v>392.89802752542147</v>
      </c>
      <c r="L92" s="16">
        <f t="shared" si="10"/>
        <v>29</v>
      </c>
      <c r="M92" s="230">
        <f t="shared" si="11"/>
        <v>19</v>
      </c>
      <c r="N92" s="159">
        <f t="shared" si="12"/>
        <v>90</v>
      </c>
      <c r="O92" s="159">
        <f t="shared" si="13"/>
        <v>97</v>
      </c>
      <c r="P92" s="15">
        <v>0</v>
      </c>
      <c r="Q92" s="15">
        <v>0.25</v>
      </c>
      <c r="R92">
        <v>34</v>
      </c>
      <c r="S92" t="e" vm="1">
        <f t="shared" si="14"/>
        <v>#VALUE!</v>
      </c>
      <c r="T92" s="14" t="e" vm="1">
        <f>Table230[[#This Row],[BDG]]/Table230[[#This Row],[Odds]]</f>
        <v>#VALUE!</v>
      </c>
      <c r="U92" s="14" t="e" cm="1" vm="2">
        <f t="array" ref="U92">MAX(_xlfn._xlws.FILTER(Table22[[B365]:[BFAIREXC]], Table22[PLAYER] = A92))</f>
        <v>#VALUE!</v>
      </c>
    </row>
    <row r="93" spans="1:21">
      <c r="A93" s="159" t="s">
        <v>147</v>
      </c>
      <c r="B93">
        <v>108</v>
      </c>
      <c r="C93">
        <v>96</v>
      </c>
      <c r="D93">
        <v>34</v>
      </c>
      <c r="E93">
        <v>87</v>
      </c>
      <c r="F93">
        <v>100</v>
      </c>
      <c r="G93">
        <v>74</v>
      </c>
      <c r="H93">
        <v>219.8</v>
      </c>
      <c r="I93" s="14">
        <v>328.08644919730278</v>
      </c>
      <c r="J93" s="259">
        <v>258.70584808537842</v>
      </c>
      <c r="K93" s="260">
        <v>397.65601847960113</v>
      </c>
      <c r="L93" s="16">
        <f t="shared" si="10"/>
        <v>50</v>
      </c>
      <c r="M93" s="230">
        <f t="shared" si="11"/>
        <v>58</v>
      </c>
      <c r="N93" s="159">
        <f t="shared" si="12"/>
        <v>91</v>
      </c>
      <c r="O93" s="159">
        <f t="shared" si="13"/>
        <v>98</v>
      </c>
      <c r="P93" s="15">
        <v>0</v>
      </c>
      <c r="Q93" s="15">
        <v>0.14285714285714285</v>
      </c>
      <c r="R93">
        <v>29</v>
      </c>
      <c r="S93" t="e" vm="1">
        <f t="shared" si="14"/>
        <v>#VALUE!</v>
      </c>
      <c r="T93" s="14">
        <f>Table230[[#This Row],[BDG]]/Table230[[#This Row],[Odds]]</f>
        <v>35.58539863622812</v>
      </c>
      <c r="U93" s="14" cm="1">
        <f t="array" ref="U93">MAX(_xlfn._xlws.FILTER(Table22[[B365]:[BFAIREXC]], Table22[PLAYER] = A93))</f>
        <v>7.27</v>
      </c>
    </row>
    <row r="94" spans="1:21">
      <c r="A94" s="159" t="s">
        <v>38</v>
      </c>
      <c r="B94">
        <v>24</v>
      </c>
      <c r="C94">
        <v>151</v>
      </c>
      <c r="D94">
        <v>109</v>
      </c>
      <c r="E94">
        <v>45</v>
      </c>
      <c r="F94">
        <v>110</v>
      </c>
      <c r="G94">
        <v>54</v>
      </c>
      <c r="H94">
        <v>256</v>
      </c>
      <c r="I94" s="14">
        <v>324.45142463469102</v>
      </c>
      <c r="J94" s="259">
        <v>259.34125915143716</v>
      </c>
      <c r="K94" s="260">
        <v>326.57482334217798</v>
      </c>
      <c r="L94" s="16">
        <f t="shared" si="10"/>
        <v>83</v>
      </c>
      <c r="M94" s="230">
        <f t="shared" si="11"/>
        <v>53</v>
      </c>
      <c r="N94" s="159">
        <f t="shared" si="12"/>
        <v>92</v>
      </c>
      <c r="O94" s="159">
        <f t="shared" si="13"/>
        <v>58</v>
      </c>
      <c r="P94" s="15">
        <v>0</v>
      </c>
      <c r="Q94" s="15">
        <v>0.2857142857142857</v>
      </c>
      <c r="R94">
        <v>20</v>
      </c>
      <c r="S94" t="e" vm="1">
        <f t="shared" si="14"/>
        <v>#VALUE!</v>
      </c>
      <c r="T94" s="14" t="e" vm="1">
        <f>Table230[[#This Row],[BDG]]/Table230[[#This Row],[Odds]]</f>
        <v>#VALUE!</v>
      </c>
      <c r="U94" s="14" t="e" cm="1" vm="2">
        <f t="array" ref="U94">MAX(_xlfn._xlws.FILTER(Table22[[B365]:[BFAIREXC]], Table22[PLAYER] = A94))</f>
        <v>#VALUE!</v>
      </c>
    </row>
    <row r="95" spans="1:21">
      <c r="A95" s="159" t="s">
        <v>106</v>
      </c>
      <c r="B95">
        <v>106</v>
      </c>
      <c r="C95">
        <v>153</v>
      </c>
      <c r="D95">
        <v>114</v>
      </c>
      <c r="E95">
        <v>67</v>
      </c>
      <c r="F95">
        <v>15</v>
      </c>
      <c r="G95">
        <v>42</v>
      </c>
      <c r="H95">
        <v>272.7</v>
      </c>
      <c r="I95" s="14">
        <v>334.83381955468985</v>
      </c>
      <c r="J95" s="259">
        <v>260.74731895749369</v>
      </c>
      <c r="K95" s="260">
        <v>363.62761031606101</v>
      </c>
      <c r="L95" s="16">
        <f t="shared" si="10"/>
        <v>99</v>
      </c>
      <c r="M95" s="230">
        <f t="shared" si="11"/>
        <v>61</v>
      </c>
      <c r="N95" s="159">
        <f t="shared" si="12"/>
        <v>94</v>
      </c>
      <c r="O95" s="159">
        <f t="shared" si="13"/>
        <v>81</v>
      </c>
      <c r="P95" s="15">
        <v>0</v>
      </c>
      <c r="Q95" s="15">
        <v>0</v>
      </c>
      <c r="R95">
        <v>2</v>
      </c>
      <c r="S95" t="e" vm="1">
        <f t="shared" si="14"/>
        <v>#VALUE!</v>
      </c>
      <c r="T95" s="14" t="e" vm="1">
        <f>Table230[[#This Row],[BDG]]/Table230[[#This Row],[Odds]]</f>
        <v>#VALUE!</v>
      </c>
      <c r="U95" s="14" t="e" cm="1" vm="2">
        <f t="array" ref="U95">MAX(_xlfn._xlws.FILTER(Table22[[B365]:[BFAIREXC]], Table22[PLAYER] = A95))</f>
        <v>#VALUE!</v>
      </c>
    </row>
    <row r="96" spans="1:21">
      <c r="A96" s="159" t="s">
        <v>60</v>
      </c>
      <c r="B96">
        <v>129</v>
      </c>
      <c r="C96">
        <v>38</v>
      </c>
      <c r="D96">
        <v>174</v>
      </c>
      <c r="E96">
        <v>60</v>
      </c>
      <c r="F96">
        <v>83</v>
      </c>
      <c r="G96">
        <v>151</v>
      </c>
      <c r="H96">
        <v>270.09999999999997</v>
      </c>
      <c r="I96" s="14">
        <v>482.9528889098446</v>
      </c>
      <c r="J96" s="259">
        <v>261.05611929734266</v>
      </c>
      <c r="K96" s="260">
        <v>453.43645182832273</v>
      </c>
      <c r="L96" s="16">
        <f t="shared" si="10"/>
        <v>95</v>
      </c>
      <c r="M96" s="230">
        <f t="shared" si="11"/>
        <v>117</v>
      </c>
      <c r="N96" s="159">
        <f t="shared" si="12"/>
        <v>95</v>
      </c>
      <c r="O96" s="159">
        <f t="shared" si="13"/>
        <v>119</v>
      </c>
      <c r="P96" s="15">
        <v>0</v>
      </c>
      <c r="Q96" s="15">
        <v>0</v>
      </c>
      <c r="R96">
        <v>17</v>
      </c>
      <c r="S96" t="e" vm="1">
        <f t="shared" si="14"/>
        <v>#VALUE!</v>
      </c>
      <c r="T96" s="14">
        <f>Table230[[#This Row],[BDG]]/Table230[[#This Row],[Odds]]</f>
        <v>15.177681354496666</v>
      </c>
      <c r="U96" s="14" cm="1">
        <f t="array" ref="U96">MAX(_xlfn._xlws.FILTER(Table22[[B365]:[BFAIREXC]], Table22[PLAYER] = A96))</f>
        <v>17.2</v>
      </c>
    </row>
    <row r="97" spans="1:21">
      <c r="A97" s="159" t="s">
        <v>101</v>
      </c>
      <c r="B97">
        <v>143</v>
      </c>
      <c r="C97">
        <v>56</v>
      </c>
      <c r="D97">
        <v>59</v>
      </c>
      <c r="E97">
        <v>174</v>
      </c>
      <c r="F97">
        <v>142</v>
      </c>
      <c r="G97">
        <v>156</v>
      </c>
      <c r="H97">
        <v>278.40000000000003</v>
      </c>
      <c r="I97" s="14">
        <v>508.99626150612653</v>
      </c>
      <c r="J97" s="259">
        <v>261.98029401081112</v>
      </c>
      <c r="K97" s="260">
        <v>428.21217663688446</v>
      </c>
      <c r="L97" s="16">
        <f t="shared" si="10"/>
        <v>104</v>
      </c>
      <c r="M97" s="230">
        <f t="shared" si="11"/>
        <v>121</v>
      </c>
      <c r="N97" s="159">
        <f t="shared" si="12"/>
        <v>96</v>
      </c>
      <c r="O97" s="159">
        <f t="shared" si="13"/>
        <v>110</v>
      </c>
      <c r="P97" s="15">
        <v>0</v>
      </c>
      <c r="Q97" s="15">
        <v>0</v>
      </c>
      <c r="R97">
        <v>18</v>
      </c>
      <c r="S97" t="e" vm="1">
        <f t="shared" si="14"/>
        <v>#VALUE!</v>
      </c>
      <c r="T97" s="14" t="e" vm="1">
        <f>Table230[[#This Row],[BDG]]/Table230[[#This Row],[Odds]]</f>
        <v>#VALUE!</v>
      </c>
      <c r="U97" s="14" t="e" cm="1" vm="2">
        <f t="array" ref="U97">MAX(_xlfn._xlws.FILTER(Table22[[B365]:[BFAIREXC]], Table22[PLAYER] = A97))</f>
        <v>#VALUE!</v>
      </c>
    </row>
    <row r="98" spans="1:21">
      <c r="A98" s="159" t="s">
        <v>549</v>
      </c>
      <c r="B98">
        <v>26</v>
      </c>
      <c r="C98">
        <v>179</v>
      </c>
      <c r="D98">
        <v>49</v>
      </c>
      <c r="E98">
        <v>138</v>
      </c>
      <c r="F98">
        <v>53</v>
      </c>
      <c r="G98">
        <v>93</v>
      </c>
      <c r="H98">
        <v>249</v>
      </c>
      <c r="I98" s="14">
        <v>354.61357586036684</v>
      </c>
      <c r="J98" s="259">
        <v>262.28266349877947</v>
      </c>
      <c r="K98" s="260">
        <v>343.3777969401367</v>
      </c>
      <c r="L98" s="16">
        <f t="shared" ref="L98:L129" si="15">RANK(H98,$H$2:$H$143,1)</f>
        <v>78</v>
      </c>
      <c r="M98" s="230">
        <f t="shared" ref="M98:M129" si="16">RANK(I98,$I$2:$I$143,1)</f>
        <v>72</v>
      </c>
      <c r="N98" s="159">
        <f t="shared" ref="N98:N129" si="17">RANK(J98,$J$2:$J$143,1)</f>
        <v>97</v>
      </c>
      <c r="O98" s="159">
        <f t="shared" ref="O98:O129" si="18">RANK(K98,$K$2:$K$143,1)</f>
        <v>70</v>
      </c>
      <c r="P98" s="15">
        <v>0</v>
      </c>
      <c r="Q98" s="15">
        <v>0</v>
      </c>
      <c r="R98" t="e">
        <v>#N/A</v>
      </c>
      <c r="S98" t="e" vm="1">
        <f t="shared" ref="S98:S129" si="19">RANK(U98,$U$2:$U$143,0)</f>
        <v>#VALUE!</v>
      </c>
      <c r="T98" s="14" t="e" vm="1">
        <f>Table230[[#This Row],[BDG]]/Table230[[#This Row],[Odds]]</f>
        <v>#VALUE!</v>
      </c>
      <c r="U98" s="14" t="e" cm="1" vm="2">
        <f t="array" ref="U98">MAX(_xlfn._xlws.FILTER(Table22[[B365]:[BFAIREXC]], Table22[PLAYER] = A98))</f>
        <v>#VALUE!</v>
      </c>
    </row>
    <row r="99" spans="1:21">
      <c r="A99" s="159" t="s">
        <v>161</v>
      </c>
      <c r="B99">
        <v>170</v>
      </c>
      <c r="C99">
        <v>68</v>
      </c>
      <c r="D99">
        <v>135</v>
      </c>
      <c r="E99">
        <v>11</v>
      </c>
      <c r="F99">
        <v>102</v>
      </c>
      <c r="G99">
        <v>118</v>
      </c>
      <c r="H99">
        <v>272.3</v>
      </c>
      <c r="I99" s="14">
        <v>439.10359309547601</v>
      </c>
      <c r="J99" s="259">
        <v>262.84768597528722</v>
      </c>
      <c r="K99" s="260">
        <v>453.05886264071023</v>
      </c>
      <c r="L99" s="16">
        <f t="shared" si="15"/>
        <v>98</v>
      </c>
      <c r="M99" s="230">
        <f t="shared" si="16"/>
        <v>100</v>
      </c>
      <c r="N99" s="159">
        <f t="shared" si="17"/>
        <v>98</v>
      </c>
      <c r="O99" s="159">
        <f t="shared" si="18"/>
        <v>118</v>
      </c>
      <c r="P99" s="15">
        <v>0</v>
      </c>
      <c r="Q99" s="15">
        <v>0.33333333333333331</v>
      </c>
      <c r="R99">
        <v>65</v>
      </c>
      <c r="S99" t="e" vm="1">
        <f t="shared" si="19"/>
        <v>#VALUE!</v>
      </c>
      <c r="T99" s="14" t="e" vm="1">
        <f>Table230[[#This Row],[BDG]]/Table230[[#This Row],[Odds]]</f>
        <v>#VALUE!</v>
      </c>
      <c r="U99" s="14" t="e" cm="1" vm="2">
        <f t="array" ref="U99">MAX(_xlfn._xlws.FILTER(Table22[[B365]:[BFAIREXC]], Table22[PLAYER] = A99))</f>
        <v>#VALUE!</v>
      </c>
    </row>
    <row r="100" spans="1:21">
      <c r="A100" s="159" t="s">
        <v>54</v>
      </c>
      <c r="B100">
        <v>46</v>
      </c>
      <c r="C100">
        <v>154</v>
      </c>
      <c r="D100">
        <v>49</v>
      </c>
      <c r="E100">
        <v>120</v>
      </c>
      <c r="F100">
        <v>111</v>
      </c>
      <c r="G100">
        <v>62</v>
      </c>
      <c r="H100">
        <v>257.5</v>
      </c>
      <c r="I100" s="14">
        <v>343.58077802305417</v>
      </c>
      <c r="J100" s="259">
        <v>263.6848474482689</v>
      </c>
      <c r="K100" s="260">
        <v>362.16905556884183</v>
      </c>
      <c r="L100" s="16">
        <f t="shared" si="15"/>
        <v>86</v>
      </c>
      <c r="M100" s="230">
        <f t="shared" si="16"/>
        <v>64</v>
      </c>
      <c r="N100" s="159">
        <f t="shared" si="17"/>
        <v>99</v>
      </c>
      <c r="O100" s="159">
        <f t="shared" si="18"/>
        <v>79</v>
      </c>
      <c r="P100" s="15">
        <v>0</v>
      </c>
      <c r="Q100" s="15">
        <v>0.16666666666666666</v>
      </c>
      <c r="R100">
        <v>-20</v>
      </c>
      <c r="S100" t="e" vm="1">
        <f t="shared" si="19"/>
        <v>#VALUE!</v>
      </c>
      <c r="T100" s="14" t="e" vm="1">
        <f>Table230[[#This Row],[BDG]]/Table230[[#This Row],[Odds]]</f>
        <v>#VALUE!</v>
      </c>
      <c r="U100" s="14" t="e" cm="1" vm="2">
        <f t="array" ref="U100">MAX(_xlfn._xlws.FILTER(Table22[[B365]:[BFAIREXC]], Table22[PLAYER] = A100))</f>
        <v>#VALUE!</v>
      </c>
    </row>
    <row r="101" spans="1:21">
      <c r="A101" s="159" t="s">
        <v>50</v>
      </c>
      <c r="B101">
        <v>71</v>
      </c>
      <c r="C101">
        <v>163</v>
      </c>
      <c r="D101">
        <v>86</v>
      </c>
      <c r="E101">
        <v>74</v>
      </c>
      <c r="F101">
        <v>47</v>
      </c>
      <c r="G101">
        <v>55</v>
      </c>
      <c r="H101">
        <v>258.2</v>
      </c>
      <c r="I101" s="14">
        <v>327.29360398970215</v>
      </c>
      <c r="J101" s="259">
        <v>264.55989030057839</v>
      </c>
      <c r="K101" s="260">
        <v>380.95768783408869</v>
      </c>
      <c r="L101" s="16">
        <f t="shared" si="15"/>
        <v>88</v>
      </c>
      <c r="M101" s="230">
        <f t="shared" si="16"/>
        <v>56</v>
      </c>
      <c r="N101" s="159">
        <f t="shared" si="17"/>
        <v>100</v>
      </c>
      <c r="O101" s="159">
        <f t="shared" si="18"/>
        <v>90</v>
      </c>
      <c r="P101" s="15">
        <v>0</v>
      </c>
      <c r="Q101" s="15">
        <v>0.16666666666666666</v>
      </c>
      <c r="R101">
        <v>32</v>
      </c>
      <c r="S101" t="e" vm="1">
        <f t="shared" si="19"/>
        <v>#VALUE!</v>
      </c>
      <c r="T101" s="14">
        <f>Table230[[#This Row],[BDG]]/Table230[[#This Row],[Odds]]</f>
        <v>25.6854262427746</v>
      </c>
      <c r="U101" s="14" cm="1">
        <f t="array" ref="U101">MAX(_xlfn._xlws.FILTER(Table22[[B365]:[BFAIREXC]], Table22[PLAYER] = A101))</f>
        <v>10.3</v>
      </c>
    </row>
    <row r="102" spans="1:21">
      <c r="A102" s="159" t="s">
        <v>79</v>
      </c>
      <c r="B102">
        <v>45</v>
      </c>
      <c r="C102">
        <v>74</v>
      </c>
      <c r="D102">
        <v>141</v>
      </c>
      <c r="E102">
        <v>115</v>
      </c>
      <c r="F102">
        <v>184</v>
      </c>
      <c r="G102">
        <v>169</v>
      </c>
      <c r="H102">
        <v>292.60000000000002</v>
      </c>
      <c r="I102" s="14">
        <v>522.81774955405058</v>
      </c>
      <c r="J102" s="259">
        <v>265.36024318913098</v>
      </c>
      <c r="K102" s="260">
        <v>424.95761374360785</v>
      </c>
      <c r="L102" s="16">
        <f t="shared" si="15"/>
        <v>113</v>
      </c>
      <c r="M102" s="230">
        <f t="shared" si="16"/>
        <v>126</v>
      </c>
      <c r="N102" s="159">
        <f t="shared" si="17"/>
        <v>101</v>
      </c>
      <c r="O102" s="159">
        <f t="shared" si="18"/>
        <v>108</v>
      </c>
      <c r="P102" s="15">
        <v>0</v>
      </c>
      <c r="Q102" s="15">
        <v>0</v>
      </c>
      <c r="R102">
        <v>4</v>
      </c>
      <c r="S102" t="e" vm="1">
        <f t="shared" si="19"/>
        <v>#VALUE!</v>
      </c>
      <c r="T102" s="14">
        <f>Table230[[#This Row],[BDG]]/Table230[[#This Row],[Odds]]</f>
        <v>25.763130406711745</v>
      </c>
      <c r="U102" s="14" cm="1">
        <f t="array" ref="U102">MAX(_xlfn._xlws.FILTER(Table22[[B365]:[BFAIREXC]], Table22[PLAYER] = A102))</f>
        <v>10.3</v>
      </c>
    </row>
    <row r="103" spans="1:21">
      <c r="A103" s="159" t="s">
        <v>82</v>
      </c>
      <c r="B103">
        <v>69</v>
      </c>
      <c r="C103">
        <v>170</v>
      </c>
      <c r="D103">
        <v>100</v>
      </c>
      <c r="E103">
        <v>83</v>
      </c>
      <c r="F103">
        <v>57</v>
      </c>
      <c r="G103">
        <v>113</v>
      </c>
      <c r="H103">
        <v>279.5</v>
      </c>
      <c r="I103" s="14">
        <v>410.18395356874055</v>
      </c>
      <c r="J103" s="259">
        <v>265.62527979487959</v>
      </c>
      <c r="K103" s="260">
        <v>391.52872923619611</v>
      </c>
      <c r="L103" s="16">
        <f t="shared" si="15"/>
        <v>105</v>
      </c>
      <c r="M103" s="230">
        <f t="shared" si="16"/>
        <v>92</v>
      </c>
      <c r="N103" s="159">
        <f t="shared" si="17"/>
        <v>102</v>
      </c>
      <c r="O103" s="159">
        <f t="shared" si="18"/>
        <v>96</v>
      </c>
      <c r="P103" s="15">
        <v>0</v>
      </c>
      <c r="Q103" s="15">
        <v>0</v>
      </c>
      <c r="R103">
        <v>-6</v>
      </c>
      <c r="S103" t="e" vm="1">
        <f t="shared" si="19"/>
        <v>#VALUE!</v>
      </c>
      <c r="T103" s="14" t="e" vm="1">
        <f>Table230[[#This Row],[BDG]]/Table230[[#This Row],[Odds]]</f>
        <v>#VALUE!</v>
      </c>
      <c r="U103" s="14" t="e" cm="1" vm="2">
        <f t="array" ref="U103">MAX(_xlfn._xlws.FILTER(Table22[[B365]:[BFAIREXC]], Table22[PLAYER] = A103))</f>
        <v>#VALUE!</v>
      </c>
    </row>
    <row r="104" spans="1:21">
      <c r="A104" s="159" t="s">
        <v>182</v>
      </c>
      <c r="B104">
        <v>182</v>
      </c>
      <c r="C104">
        <v>72</v>
      </c>
      <c r="D104">
        <v>145</v>
      </c>
      <c r="E104">
        <v>5</v>
      </c>
      <c r="F104">
        <v>1</v>
      </c>
      <c r="G104">
        <v>33</v>
      </c>
      <c r="H104">
        <v>245.3</v>
      </c>
      <c r="I104" s="14">
        <v>315.67990636100552</v>
      </c>
      <c r="J104" s="259">
        <v>266.36348989457605</v>
      </c>
      <c r="K104" s="260">
        <v>358.66104691195818</v>
      </c>
      <c r="L104" s="16">
        <f t="shared" si="15"/>
        <v>76</v>
      </c>
      <c r="M104" s="230">
        <f t="shared" si="16"/>
        <v>48</v>
      </c>
      <c r="N104" s="159">
        <f t="shared" si="17"/>
        <v>103</v>
      </c>
      <c r="O104" s="159">
        <f t="shared" si="18"/>
        <v>77</v>
      </c>
      <c r="P104" s="15">
        <v>0</v>
      </c>
      <c r="Q104" s="15">
        <v>0</v>
      </c>
      <c r="R104">
        <v>11</v>
      </c>
      <c r="S104" t="e" vm="1">
        <f t="shared" si="19"/>
        <v>#VALUE!</v>
      </c>
      <c r="T104" s="14" t="e" vm="1">
        <f>Table230[[#This Row],[BDG]]/Table230[[#This Row],[Odds]]</f>
        <v>#VALUE!</v>
      </c>
      <c r="U104" s="14" t="e" cm="1" vm="2">
        <f t="array" ref="U104">MAX(_xlfn._xlws.FILTER(Table22[[B365]:[BFAIREXC]], Table22[PLAYER] = A104))</f>
        <v>#VALUE!</v>
      </c>
    </row>
    <row r="105" spans="1:21">
      <c r="A105" s="159" t="s">
        <v>102</v>
      </c>
      <c r="B105">
        <v>101</v>
      </c>
      <c r="C105">
        <v>66</v>
      </c>
      <c r="D105">
        <v>97</v>
      </c>
      <c r="E105">
        <v>128</v>
      </c>
      <c r="F105">
        <v>156</v>
      </c>
      <c r="G105">
        <v>125</v>
      </c>
      <c r="H105">
        <v>278.19999999999993</v>
      </c>
      <c r="I105" s="14">
        <v>467.22389179092318</v>
      </c>
      <c r="J105" s="259">
        <v>267.65967452073596</v>
      </c>
      <c r="K105" s="260">
        <v>467.1931509734373</v>
      </c>
      <c r="L105" s="16">
        <f t="shared" si="15"/>
        <v>102</v>
      </c>
      <c r="M105" s="230">
        <f t="shared" si="16"/>
        <v>113</v>
      </c>
      <c r="N105" s="159">
        <f t="shared" si="17"/>
        <v>104</v>
      </c>
      <c r="O105" s="159">
        <f t="shared" si="18"/>
        <v>125</v>
      </c>
      <c r="P105" s="15">
        <v>0</v>
      </c>
      <c r="Q105" s="15">
        <v>0</v>
      </c>
      <c r="R105">
        <v>-1</v>
      </c>
      <c r="S105" t="e" vm="1">
        <f t="shared" si="19"/>
        <v>#VALUE!</v>
      </c>
      <c r="T105" s="14" t="e" vm="1">
        <f>Table230[[#This Row],[BDG]]/Table230[[#This Row],[Odds]]</f>
        <v>#VALUE!</v>
      </c>
      <c r="U105" s="14" t="e" cm="1" vm="2">
        <f t="array" ref="U105">MAX(_xlfn._xlws.FILTER(Table22[[B365]:[BFAIREXC]], Table22[PLAYER] = A105))</f>
        <v>#VALUE!</v>
      </c>
    </row>
    <row r="106" spans="1:21">
      <c r="A106" s="159" t="s">
        <v>144</v>
      </c>
      <c r="B106">
        <v>166</v>
      </c>
      <c r="C106">
        <v>107</v>
      </c>
      <c r="D106">
        <v>162</v>
      </c>
      <c r="E106">
        <v>39</v>
      </c>
      <c r="F106">
        <v>165</v>
      </c>
      <c r="G106">
        <v>170</v>
      </c>
      <c r="H106">
        <v>352.9</v>
      </c>
      <c r="I106" s="14">
        <v>581.47071856386265</v>
      </c>
      <c r="J106" s="259">
        <v>268.70438803913214</v>
      </c>
      <c r="K106" s="260">
        <v>417.53583520183668</v>
      </c>
      <c r="L106" s="16">
        <f t="shared" si="15"/>
        <v>138</v>
      </c>
      <c r="M106" s="230">
        <f t="shared" si="16"/>
        <v>139</v>
      </c>
      <c r="N106" s="159">
        <f t="shared" si="17"/>
        <v>105</v>
      </c>
      <c r="O106" s="159">
        <f t="shared" si="18"/>
        <v>104</v>
      </c>
      <c r="P106" s="15">
        <v>0</v>
      </c>
      <c r="Q106" s="15">
        <v>0</v>
      </c>
      <c r="R106">
        <v>-41</v>
      </c>
      <c r="S106" t="e" vm="1">
        <f t="shared" si="19"/>
        <v>#VALUE!</v>
      </c>
      <c r="T106" s="14" t="e" vm="1">
        <f>Table230[[#This Row],[BDG]]/Table230[[#This Row],[Odds]]</f>
        <v>#VALUE!</v>
      </c>
      <c r="U106" s="14" t="e" cm="1" vm="2">
        <f t="array" ref="U106">MAX(_xlfn._xlws.FILTER(Table22[[B365]:[BFAIREXC]], Table22[PLAYER] = A106))</f>
        <v>#VALUE!</v>
      </c>
    </row>
    <row r="107" spans="1:21">
      <c r="A107" s="159" t="s">
        <v>33</v>
      </c>
      <c r="B107">
        <v>9</v>
      </c>
      <c r="C107">
        <v>179</v>
      </c>
      <c r="D107">
        <v>118</v>
      </c>
      <c r="E107">
        <v>47</v>
      </c>
      <c r="F107">
        <v>23</v>
      </c>
      <c r="G107">
        <v>36</v>
      </c>
      <c r="H107">
        <v>240.4</v>
      </c>
      <c r="I107" s="14">
        <v>273.92959588138683</v>
      </c>
      <c r="J107" s="259">
        <v>270.07147957285486</v>
      </c>
      <c r="K107" s="260">
        <v>356.4511730109557</v>
      </c>
      <c r="L107" s="16">
        <f t="shared" si="15"/>
        <v>71</v>
      </c>
      <c r="M107" s="230">
        <f t="shared" si="16"/>
        <v>31</v>
      </c>
      <c r="N107" s="159">
        <f t="shared" si="17"/>
        <v>106</v>
      </c>
      <c r="O107" s="159">
        <f t="shared" si="18"/>
        <v>76</v>
      </c>
      <c r="P107" s="15">
        <v>0</v>
      </c>
      <c r="Q107" s="15">
        <v>0.4</v>
      </c>
      <c r="R107">
        <v>-23</v>
      </c>
      <c r="S107" t="e" vm="1">
        <f t="shared" si="19"/>
        <v>#VALUE!</v>
      </c>
      <c r="T107" s="14">
        <f>Table230[[#This Row],[BDG]]/Table230[[#This Row],[Odds]]</f>
        <v>38.145689205205485</v>
      </c>
      <c r="U107" s="14" cm="1">
        <f t="array" ref="U107">MAX(_xlfn._xlws.FILTER(Table22[[B365]:[BFAIREXC]], Table22[PLAYER] = A107))</f>
        <v>7.08</v>
      </c>
    </row>
    <row r="108" spans="1:21">
      <c r="A108" s="159" t="s">
        <v>46</v>
      </c>
      <c r="B108">
        <v>56</v>
      </c>
      <c r="C108">
        <v>86</v>
      </c>
      <c r="D108">
        <v>160</v>
      </c>
      <c r="E108">
        <v>167</v>
      </c>
      <c r="F108">
        <v>105</v>
      </c>
      <c r="G108">
        <v>153</v>
      </c>
      <c r="H108">
        <v>309</v>
      </c>
      <c r="I108" s="14">
        <v>526.34347857957619</v>
      </c>
      <c r="J108" s="259">
        <v>271.59917722320421</v>
      </c>
      <c r="K108" s="260">
        <v>418.99227977242231</v>
      </c>
      <c r="L108" s="16">
        <f t="shared" si="15"/>
        <v>123</v>
      </c>
      <c r="M108" s="230">
        <f t="shared" si="16"/>
        <v>127</v>
      </c>
      <c r="N108" s="159">
        <f t="shared" si="17"/>
        <v>107</v>
      </c>
      <c r="O108" s="159">
        <f t="shared" si="18"/>
        <v>105</v>
      </c>
      <c r="P108" s="15">
        <v>0</v>
      </c>
      <c r="Q108" s="15">
        <v>0.16666666666666666</v>
      </c>
      <c r="R108">
        <v>-87</v>
      </c>
      <c r="S108" t="e" vm="1">
        <f t="shared" si="19"/>
        <v>#VALUE!</v>
      </c>
      <c r="T108" s="14" t="e" vm="1">
        <f>Table230[[#This Row],[BDG]]/Table230[[#This Row],[Odds]]</f>
        <v>#VALUE!</v>
      </c>
      <c r="U108" s="14" t="e" cm="1" vm="2">
        <f t="array" ref="U108">MAX(_xlfn._xlws.FILTER(Table22[[B365]:[BFAIREXC]], Table22[PLAYER] = A108))</f>
        <v>#VALUE!</v>
      </c>
    </row>
    <row r="109" spans="1:21">
      <c r="A109" s="159" t="s">
        <v>151</v>
      </c>
      <c r="B109">
        <v>157</v>
      </c>
      <c r="C109">
        <v>118</v>
      </c>
      <c r="D109">
        <v>55</v>
      </c>
      <c r="E109">
        <v>151</v>
      </c>
      <c r="F109">
        <v>90</v>
      </c>
      <c r="G109">
        <v>123</v>
      </c>
      <c r="H109">
        <v>296</v>
      </c>
      <c r="I109" s="14">
        <v>471.92522440409988</v>
      </c>
      <c r="J109" s="259">
        <v>271.72739114641649</v>
      </c>
      <c r="K109" s="260">
        <v>442.77597274760956</v>
      </c>
      <c r="L109" s="16">
        <f t="shared" si="15"/>
        <v>114</v>
      </c>
      <c r="M109" s="230">
        <f t="shared" si="16"/>
        <v>115</v>
      </c>
      <c r="N109" s="159">
        <f t="shared" si="17"/>
        <v>108</v>
      </c>
      <c r="O109" s="159">
        <f t="shared" si="18"/>
        <v>115</v>
      </c>
      <c r="P109" s="15">
        <v>0</v>
      </c>
      <c r="Q109" s="15">
        <v>0</v>
      </c>
      <c r="R109">
        <v>-23</v>
      </c>
      <c r="S109" t="e" vm="1">
        <f t="shared" si="19"/>
        <v>#VALUE!</v>
      </c>
      <c r="T109" s="14">
        <f>Table230[[#This Row],[BDG]]/Table230[[#This Row],[Odds]]</f>
        <v>52.154969509868806</v>
      </c>
      <c r="U109" s="14" cm="1">
        <f t="array" ref="U109">MAX(_xlfn._xlws.FILTER(Table22[[B365]:[BFAIREXC]], Table22[PLAYER] = A109))</f>
        <v>5.21</v>
      </c>
    </row>
    <row r="110" spans="1:21">
      <c r="A110" s="159" t="s">
        <v>97</v>
      </c>
      <c r="B110">
        <v>126</v>
      </c>
      <c r="C110">
        <v>167</v>
      </c>
      <c r="D110">
        <v>149</v>
      </c>
      <c r="E110">
        <v>17</v>
      </c>
      <c r="F110">
        <v>75</v>
      </c>
      <c r="G110">
        <v>117</v>
      </c>
      <c r="H110">
        <v>321</v>
      </c>
      <c r="I110" s="14">
        <v>460.9534216239341</v>
      </c>
      <c r="J110" s="259">
        <v>272.12528986495624</v>
      </c>
      <c r="K110" s="260">
        <v>362.82648475726</v>
      </c>
      <c r="L110" s="16">
        <f t="shared" si="15"/>
        <v>130</v>
      </c>
      <c r="M110" s="230">
        <f t="shared" si="16"/>
        <v>110</v>
      </c>
      <c r="N110" s="159">
        <f t="shared" si="17"/>
        <v>109</v>
      </c>
      <c r="O110" s="159">
        <f t="shared" si="18"/>
        <v>80</v>
      </c>
      <c r="P110" s="15">
        <v>0</v>
      </c>
      <c r="Q110" s="15">
        <v>0.125</v>
      </c>
      <c r="R110">
        <v>-5</v>
      </c>
      <c r="S110" t="e" vm="1">
        <f t="shared" si="19"/>
        <v>#VALUE!</v>
      </c>
      <c r="T110" s="14">
        <f>Table230[[#This Row],[BDG]]/Table230[[#This Row],[Odds]]</f>
        <v>49.387529921044695</v>
      </c>
      <c r="U110" s="14" cm="1">
        <f t="array" ref="U110">MAX(_xlfn._xlws.FILTER(Table22[[B365]:[BFAIREXC]], Table22[PLAYER] = A110))</f>
        <v>5.51</v>
      </c>
    </row>
    <row r="111" spans="1:21">
      <c r="A111" s="159" t="s">
        <v>163</v>
      </c>
      <c r="B111">
        <v>170</v>
      </c>
      <c r="C111">
        <v>23</v>
      </c>
      <c r="D111">
        <v>112</v>
      </c>
      <c r="E111">
        <v>152</v>
      </c>
      <c r="F111">
        <v>155</v>
      </c>
      <c r="G111">
        <v>161</v>
      </c>
      <c r="H111">
        <v>302.3</v>
      </c>
      <c r="I111" s="14">
        <v>553.40300337733993</v>
      </c>
      <c r="J111" s="259">
        <v>273.24288651662357</v>
      </c>
      <c r="K111" s="260">
        <v>489.75271380713906</v>
      </c>
      <c r="L111" s="16">
        <f t="shared" si="15"/>
        <v>118</v>
      </c>
      <c r="M111" s="230">
        <f t="shared" si="16"/>
        <v>132</v>
      </c>
      <c r="N111" s="159">
        <f t="shared" si="17"/>
        <v>110</v>
      </c>
      <c r="O111" s="159">
        <f t="shared" si="18"/>
        <v>133</v>
      </c>
      <c r="P111" s="15">
        <v>0</v>
      </c>
      <c r="Q111" s="15">
        <v>0</v>
      </c>
      <c r="R111">
        <v>22</v>
      </c>
      <c r="S111" t="e" vm="1">
        <f t="shared" si="19"/>
        <v>#VALUE!</v>
      </c>
      <c r="T111" s="14">
        <f>Table230[[#This Row],[BDG]]/Table230[[#This Row],[Odds]]</f>
        <v>16.361849492013388</v>
      </c>
      <c r="U111" s="14" cm="1">
        <f t="array" ref="U111">MAX(_xlfn._xlws.FILTER(Table22[[B365]:[BFAIREXC]], Table22[PLAYER] = A111))</f>
        <v>16.7</v>
      </c>
    </row>
    <row r="112" spans="1:21">
      <c r="A112" s="159" t="s">
        <v>137</v>
      </c>
      <c r="B112">
        <v>168</v>
      </c>
      <c r="C112">
        <v>38</v>
      </c>
      <c r="D112">
        <v>88</v>
      </c>
      <c r="E112">
        <v>112</v>
      </c>
      <c r="F112">
        <v>179</v>
      </c>
      <c r="G112">
        <v>145</v>
      </c>
      <c r="H112">
        <v>288.60000000000002</v>
      </c>
      <c r="I112" s="14">
        <v>511.60768689505272</v>
      </c>
      <c r="J112" s="259">
        <v>273.66300993625629</v>
      </c>
      <c r="K112" s="260">
        <v>476.31895590843988</v>
      </c>
      <c r="L112" s="16">
        <f t="shared" si="15"/>
        <v>111</v>
      </c>
      <c r="M112" s="230">
        <f t="shared" si="16"/>
        <v>123</v>
      </c>
      <c r="N112" s="159">
        <f t="shared" si="17"/>
        <v>111</v>
      </c>
      <c r="O112" s="159">
        <f t="shared" si="18"/>
        <v>129</v>
      </c>
      <c r="P112" s="15">
        <v>0</v>
      </c>
      <c r="Q112" s="15">
        <v>0</v>
      </c>
      <c r="R112">
        <v>12</v>
      </c>
      <c r="S112" t="e" vm="1">
        <f t="shared" si="19"/>
        <v>#VALUE!</v>
      </c>
      <c r="T112" s="14">
        <f>Table230[[#This Row],[BDG]]/Table230[[#This Row],[Odds]]</f>
        <v>39.7766002814326</v>
      </c>
      <c r="U112" s="14" cm="1">
        <f t="array" ref="U112">MAX(_xlfn._xlws.FILTER(Table22[[B365]:[BFAIREXC]], Table22[PLAYER] = A112))</f>
        <v>6.88</v>
      </c>
    </row>
    <row r="113" spans="1:21">
      <c r="A113" s="159" t="s">
        <v>175</v>
      </c>
      <c r="B113">
        <v>177</v>
      </c>
      <c r="C113">
        <v>32</v>
      </c>
      <c r="D113">
        <v>137</v>
      </c>
      <c r="E113">
        <v>71</v>
      </c>
      <c r="F113">
        <v>69</v>
      </c>
      <c r="G113">
        <v>105</v>
      </c>
      <c r="H113">
        <v>302.7</v>
      </c>
      <c r="I113" s="14">
        <v>436.04495997249046</v>
      </c>
      <c r="J113" s="259">
        <v>275.99566838443064</v>
      </c>
      <c r="K113" s="260">
        <v>434.16458452818608</v>
      </c>
      <c r="L113" s="16">
        <f t="shared" si="15"/>
        <v>119</v>
      </c>
      <c r="M113" s="230">
        <f t="shared" si="16"/>
        <v>99</v>
      </c>
      <c r="N113" s="159">
        <f t="shared" si="17"/>
        <v>112</v>
      </c>
      <c r="O113" s="159">
        <f t="shared" si="18"/>
        <v>112</v>
      </c>
      <c r="P113" s="15">
        <v>1</v>
      </c>
      <c r="Q113" s="15">
        <v>1</v>
      </c>
      <c r="R113" t="e">
        <v>#N/A</v>
      </c>
      <c r="S113" t="e" vm="1">
        <f t="shared" si="19"/>
        <v>#VALUE!</v>
      </c>
      <c r="T113" s="14" t="e" vm="1">
        <f>Table230[[#This Row],[BDG]]/Table230[[#This Row],[Odds]]</f>
        <v>#VALUE!</v>
      </c>
      <c r="U113" s="14" t="e" cm="1" vm="2">
        <f t="array" ref="U113">MAX(_xlfn._xlws.FILTER(Table22[[B365]:[BFAIREXC]], Table22[PLAYER] = A113))</f>
        <v>#VALUE!</v>
      </c>
    </row>
    <row r="114" spans="1:21">
      <c r="A114" s="159" t="s">
        <v>55</v>
      </c>
      <c r="B114">
        <v>59</v>
      </c>
      <c r="C114">
        <v>82</v>
      </c>
      <c r="D114">
        <v>168</v>
      </c>
      <c r="E114">
        <v>145</v>
      </c>
      <c r="F114">
        <v>123</v>
      </c>
      <c r="G114">
        <v>179</v>
      </c>
      <c r="H114">
        <v>311.7</v>
      </c>
      <c r="I114" s="14">
        <v>555.15772712126272</v>
      </c>
      <c r="J114" s="259">
        <v>276.07877955501743</v>
      </c>
      <c r="K114" s="260">
        <v>474.14396147723824</v>
      </c>
      <c r="L114" s="16">
        <f t="shared" si="15"/>
        <v>126</v>
      </c>
      <c r="M114" s="230">
        <f t="shared" si="16"/>
        <v>135</v>
      </c>
      <c r="N114" s="159">
        <f t="shared" si="17"/>
        <v>113</v>
      </c>
      <c r="O114" s="159">
        <f t="shared" si="18"/>
        <v>127</v>
      </c>
      <c r="P114" s="15">
        <v>0</v>
      </c>
      <c r="Q114" s="15">
        <v>0</v>
      </c>
      <c r="R114">
        <v>6</v>
      </c>
      <c r="S114" t="e" vm="1">
        <f t="shared" si="19"/>
        <v>#VALUE!</v>
      </c>
      <c r="T114" s="14" t="e" vm="1">
        <f>Table230[[#This Row],[BDG]]/Table230[[#This Row],[Odds]]</f>
        <v>#VALUE!</v>
      </c>
      <c r="U114" s="14" t="e" cm="1" vm="2">
        <f t="array" ref="U114">MAX(_xlfn._xlws.FILTER(Table22[[B365]:[BFAIREXC]], Table22[PLAYER] = A114))</f>
        <v>#VALUE!</v>
      </c>
    </row>
    <row r="115" spans="1:21">
      <c r="A115" s="159" t="s">
        <v>109</v>
      </c>
      <c r="B115">
        <v>92</v>
      </c>
      <c r="C115">
        <v>87</v>
      </c>
      <c r="D115">
        <v>177</v>
      </c>
      <c r="E115">
        <v>184</v>
      </c>
      <c r="F115">
        <v>16</v>
      </c>
      <c r="G115">
        <v>159</v>
      </c>
      <c r="H115">
        <v>310.8</v>
      </c>
      <c r="I115" s="14">
        <v>534.38794778646479</v>
      </c>
      <c r="J115" s="259">
        <v>277.27414546354589</v>
      </c>
      <c r="K115" s="260">
        <v>466.53300835477012</v>
      </c>
      <c r="L115" s="16">
        <f t="shared" si="15"/>
        <v>125</v>
      </c>
      <c r="M115" s="230">
        <f t="shared" si="16"/>
        <v>128</v>
      </c>
      <c r="N115" s="159">
        <f t="shared" si="17"/>
        <v>114</v>
      </c>
      <c r="O115" s="159">
        <f t="shared" si="18"/>
        <v>124</v>
      </c>
      <c r="P115" s="15">
        <v>0</v>
      </c>
      <c r="Q115" s="15">
        <v>0</v>
      </c>
      <c r="R115">
        <v>10</v>
      </c>
      <c r="S115" t="e" vm="1">
        <f t="shared" si="19"/>
        <v>#VALUE!</v>
      </c>
      <c r="T115" s="14">
        <f>Table230[[#This Row],[BDG]]/Table230[[#This Row],[Odds]]</f>
        <v>32.813508338881171</v>
      </c>
      <c r="U115" s="14" cm="1">
        <f t="array" ref="U115">MAX(_xlfn._xlws.FILTER(Table22[[B365]:[BFAIREXC]], Table22[PLAYER] = A115))</f>
        <v>8.4499999999999993</v>
      </c>
    </row>
    <row r="116" spans="1:21">
      <c r="A116" s="159" t="s">
        <v>49</v>
      </c>
      <c r="B116">
        <v>87</v>
      </c>
      <c r="C116">
        <v>165</v>
      </c>
      <c r="D116">
        <v>90</v>
      </c>
      <c r="E116">
        <v>93</v>
      </c>
      <c r="F116">
        <v>120</v>
      </c>
      <c r="G116">
        <v>110</v>
      </c>
      <c r="H116">
        <v>307.2</v>
      </c>
      <c r="I116" s="14">
        <v>447.18876737264566</v>
      </c>
      <c r="J116" s="259">
        <v>277.85114842944108</v>
      </c>
      <c r="K116" s="260">
        <v>391.1748562532855</v>
      </c>
      <c r="L116" s="16">
        <f t="shared" si="15"/>
        <v>121</v>
      </c>
      <c r="M116" s="230">
        <f t="shared" si="16"/>
        <v>102</v>
      </c>
      <c r="N116" s="159">
        <f t="shared" si="17"/>
        <v>115</v>
      </c>
      <c r="O116" s="159">
        <f t="shared" si="18"/>
        <v>95</v>
      </c>
      <c r="P116" s="15">
        <v>0</v>
      </c>
      <c r="Q116" s="15">
        <v>0</v>
      </c>
      <c r="R116">
        <v>-4</v>
      </c>
      <c r="S116" t="e" vm="1">
        <f t="shared" si="19"/>
        <v>#VALUE!</v>
      </c>
      <c r="T116" s="14" t="e" vm="1">
        <f>Table230[[#This Row],[BDG]]/Table230[[#This Row],[Odds]]</f>
        <v>#VALUE!</v>
      </c>
      <c r="U116" s="14" t="e" cm="1" vm="2">
        <f t="array" ref="U116">MAX(_xlfn._xlws.FILTER(Table22[[B365]:[BFAIREXC]], Table22[PLAYER] = A116))</f>
        <v>#VALUE!</v>
      </c>
    </row>
    <row r="117" spans="1:21">
      <c r="A117" s="159" t="s">
        <v>36</v>
      </c>
      <c r="B117">
        <v>73</v>
      </c>
      <c r="C117">
        <v>127</v>
      </c>
      <c r="D117">
        <v>122</v>
      </c>
      <c r="E117">
        <v>162</v>
      </c>
      <c r="F117">
        <v>92</v>
      </c>
      <c r="G117">
        <v>130</v>
      </c>
      <c r="H117">
        <v>312.39999999999998</v>
      </c>
      <c r="I117" s="14">
        <v>493.1500447969986</v>
      </c>
      <c r="J117" s="259">
        <v>278.47772488625662</v>
      </c>
      <c r="K117" s="260">
        <v>430.13537213624164</v>
      </c>
      <c r="L117" s="16">
        <f t="shared" si="15"/>
        <v>127</v>
      </c>
      <c r="M117" s="230">
        <f t="shared" si="16"/>
        <v>119</v>
      </c>
      <c r="N117" s="159">
        <f t="shared" si="17"/>
        <v>116</v>
      </c>
      <c r="O117" s="159">
        <f t="shared" si="18"/>
        <v>111</v>
      </c>
      <c r="P117" s="15">
        <v>0</v>
      </c>
      <c r="Q117" s="15">
        <v>0</v>
      </c>
      <c r="R117">
        <v>-56</v>
      </c>
      <c r="S117" t="e" vm="1">
        <f t="shared" si="19"/>
        <v>#VALUE!</v>
      </c>
      <c r="T117" s="14">
        <f>Table230[[#This Row],[BDG]]/Table230[[#This Row],[Odds]]</f>
        <v>44.273088217210912</v>
      </c>
      <c r="U117" s="14" cm="1">
        <f t="array" ref="U117">MAX(_xlfn._xlws.FILTER(Table22[[B365]:[BFAIREXC]], Table22[PLAYER] = A117))</f>
        <v>6.29</v>
      </c>
    </row>
    <row r="118" spans="1:21">
      <c r="A118" s="159" t="s">
        <v>30</v>
      </c>
      <c r="B118">
        <v>30</v>
      </c>
      <c r="C118">
        <v>171</v>
      </c>
      <c r="D118">
        <v>88</v>
      </c>
      <c r="E118">
        <v>78</v>
      </c>
      <c r="F118">
        <v>99</v>
      </c>
      <c r="G118">
        <v>65</v>
      </c>
      <c r="H118">
        <v>267.10000000000002</v>
      </c>
      <c r="I118" s="14">
        <v>346.00350252513698</v>
      </c>
      <c r="J118" s="259">
        <v>280.18187905054208</v>
      </c>
      <c r="K118" s="260">
        <v>383.03867013773061</v>
      </c>
      <c r="L118" s="16">
        <f t="shared" si="15"/>
        <v>94</v>
      </c>
      <c r="M118" s="230">
        <f t="shared" si="16"/>
        <v>69</v>
      </c>
      <c r="N118" s="159">
        <f t="shared" si="17"/>
        <v>117</v>
      </c>
      <c r="O118" s="159">
        <f t="shared" si="18"/>
        <v>92</v>
      </c>
      <c r="P118" s="15">
        <v>0</v>
      </c>
      <c r="Q118" s="15">
        <v>0</v>
      </c>
      <c r="R118">
        <v>-38</v>
      </c>
      <c r="S118" t="e" vm="1">
        <f t="shared" si="19"/>
        <v>#VALUE!</v>
      </c>
      <c r="T118" s="14">
        <f>Table230[[#This Row],[BDG]]/Table230[[#This Row],[Odds]]</f>
        <v>55.813123316841057</v>
      </c>
      <c r="U118" s="14" cm="1">
        <f t="array" ref="U118">MAX(_xlfn._xlws.FILTER(Table22[[B365]:[BFAIREXC]], Table22[PLAYER] = A118))</f>
        <v>5.0199999999999996</v>
      </c>
    </row>
    <row r="119" spans="1:21">
      <c r="A119" s="159" t="s">
        <v>63</v>
      </c>
      <c r="B119">
        <v>121</v>
      </c>
      <c r="C119">
        <v>177</v>
      </c>
      <c r="D119">
        <v>70</v>
      </c>
      <c r="E119">
        <v>104</v>
      </c>
      <c r="F119">
        <v>7</v>
      </c>
      <c r="G119">
        <v>53</v>
      </c>
      <c r="H119">
        <v>277.8</v>
      </c>
      <c r="I119" s="14">
        <v>348.78417151773323</v>
      </c>
      <c r="J119" s="259">
        <v>280.68820706310669</v>
      </c>
      <c r="K119" s="260">
        <v>351.30695591366452</v>
      </c>
      <c r="L119" s="16">
        <f t="shared" si="15"/>
        <v>101</v>
      </c>
      <c r="M119" s="230">
        <f t="shared" si="16"/>
        <v>70</v>
      </c>
      <c r="N119" s="159">
        <f t="shared" si="17"/>
        <v>118</v>
      </c>
      <c r="O119" s="159">
        <f t="shared" si="18"/>
        <v>73</v>
      </c>
      <c r="P119" s="15">
        <v>0</v>
      </c>
      <c r="Q119" s="15">
        <v>0</v>
      </c>
      <c r="R119">
        <v>-35</v>
      </c>
      <c r="S119" t="e" vm="1">
        <f t="shared" si="19"/>
        <v>#VALUE!</v>
      </c>
      <c r="T119" s="14" t="e" vm="1">
        <f>Table230[[#This Row],[BDG]]/Table230[[#This Row],[Odds]]</f>
        <v>#VALUE!</v>
      </c>
      <c r="U119" s="14" t="e" cm="1" vm="2">
        <f t="array" ref="U119">MAX(_xlfn._xlws.FILTER(Table22[[B365]:[BFAIREXC]], Table22[PLAYER] = A119))</f>
        <v>#VALUE!</v>
      </c>
    </row>
    <row r="120" spans="1:21">
      <c r="A120" s="159" t="s">
        <v>17</v>
      </c>
      <c r="B120">
        <v>7</v>
      </c>
      <c r="C120">
        <v>182</v>
      </c>
      <c r="D120">
        <v>126</v>
      </c>
      <c r="E120">
        <v>169</v>
      </c>
      <c r="F120">
        <v>138</v>
      </c>
      <c r="G120">
        <v>163</v>
      </c>
      <c r="H120">
        <v>341.9</v>
      </c>
      <c r="I120" s="14">
        <v>542.74632270027837</v>
      </c>
      <c r="J120" s="259">
        <v>281.29570265382478</v>
      </c>
      <c r="K120" s="260">
        <v>427.22612364481796</v>
      </c>
      <c r="L120" s="16">
        <f t="shared" si="15"/>
        <v>135</v>
      </c>
      <c r="M120" s="230">
        <f t="shared" si="16"/>
        <v>129</v>
      </c>
      <c r="N120" s="159">
        <f t="shared" si="17"/>
        <v>119</v>
      </c>
      <c r="O120" s="159">
        <f t="shared" si="18"/>
        <v>109</v>
      </c>
      <c r="P120" s="15">
        <v>0</v>
      </c>
      <c r="Q120" s="15">
        <v>0</v>
      </c>
      <c r="R120">
        <v>-24</v>
      </c>
      <c r="S120" t="e" vm="1">
        <f t="shared" si="19"/>
        <v>#VALUE!</v>
      </c>
      <c r="T120" s="14" t="e" vm="1">
        <f>Table230[[#This Row],[BDG]]/Table230[[#This Row],[Odds]]</f>
        <v>#VALUE!</v>
      </c>
      <c r="U120" s="14" t="e" cm="1" vm="2">
        <f t="array" ref="U120">MAX(_xlfn._xlws.FILTER(Table22[[B365]:[BFAIREXC]], Table22[PLAYER] = A120))</f>
        <v>#VALUE!</v>
      </c>
    </row>
    <row r="121" spans="1:21">
      <c r="A121" s="159" t="s">
        <v>39</v>
      </c>
      <c r="B121">
        <v>84</v>
      </c>
      <c r="C121">
        <v>156</v>
      </c>
      <c r="D121">
        <v>161</v>
      </c>
      <c r="E121">
        <v>3</v>
      </c>
      <c r="F121">
        <v>68</v>
      </c>
      <c r="G121">
        <v>98</v>
      </c>
      <c r="H121">
        <v>292.29999999999995</v>
      </c>
      <c r="I121" s="14">
        <v>406.82937988377694</v>
      </c>
      <c r="J121" s="259">
        <v>281.48166528471506</v>
      </c>
      <c r="K121" s="260">
        <v>377.04453572372563</v>
      </c>
      <c r="L121" s="16">
        <f t="shared" si="15"/>
        <v>112</v>
      </c>
      <c r="M121" s="230">
        <f t="shared" si="16"/>
        <v>91</v>
      </c>
      <c r="N121" s="159">
        <f t="shared" si="17"/>
        <v>120</v>
      </c>
      <c r="O121" s="159">
        <f t="shared" si="18"/>
        <v>88</v>
      </c>
      <c r="P121" s="15">
        <v>0</v>
      </c>
      <c r="Q121" s="15">
        <v>0</v>
      </c>
      <c r="R121">
        <v>-34</v>
      </c>
      <c r="S121" t="e" vm="1">
        <f t="shared" si="19"/>
        <v>#VALUE!</v>
      </c>
      <c r="T121" s="14">
        <f>Table230[[#This Row],[BDG]]/Table230[[#This Row],[Odds]]</f>
        <v>36.746953692521551</v>
      </c>
      <c r="U121" s="14" cm="1">
        <f t="array" ref="U121">MAX(_xlfn._xlws.FILTER(Table22[[B365]:[BFAIREXC]], Table22[PLAYER] = A121))</f>
        <v>7.66</v>
      </c>
    </row>
    <row r="122" spans="1:21">
      <c r="A122" s="159" t="s">
        <v>116</v>
      </c>
      <c r="B122">
        <v>133</v>
      </c>
      <c r="C122">
        <v>15</v>
      </c>
      <c r="D122">
        <v>154</v>
      </c>
      <c r="E122">
        <v>102</v>
      </c>
      <c r="F122">
        <v>157</v>
      </c>
      <c r="G122">
        <v>149</v>
      </c>
      <c r="H122">
        <v>288.40000000000003</v>
      </c>
      <c r="I122" s="14">
        <v>519.40119184467096</v>
      </c>
      <c r="J122" s="259">
        <v>281.60421867504306</v>
      </c>
      <c r="K122" s="260">
        <v>496.00250840778415</v>
      </c>
      <c r="L122" s="16">
        <f t="shared" si="15"/>
        <v>110</v>
      </c>
      <c r="M122" s="230">
        <f t="shared" si="16"/>
        <v>125</v>
      </c>
      <c r="N122" s="159">
        <f t="shared" si="17"/>
        <v>121</v>
      </c>
      <c r="O122" s="159">
        <f t="shared" si="18"/>
        <v>135</v>
      </c>
      <c r="P122" s="15">
        <v>0</v>
      </c>
      <c r="Q122" s="15">
        <v>0</v>
      </c>
      <c r="R122">
        <v>-19</v>
      </c>
      <c r="S122" t="e" vm="1">
        <f t="shared" si="19"/>
        <v>#VALUE!</v>
      </c>
      <c r="T122" s="14">
        <f>Table230[[#This Row],[BDG]]/Table230[[#This Row],[Odds]]</f>
        <v>34.938488669360176</v>
      </c>
      <c r="U122" s="14" cm="1">
        <f t="array" ref="U122">MAX(_xlfn._xlws.FILTER(Table22[[B365]:[BFAIREXC]], Table22[PLAYER] = A122))</f>
        <v>8.06</v>
      </c>
    </row>
    <row r="123" spans="1:21">
      <c r="A123" s="159" t="s">
        <v>108</v>
      </c>
      <c r="B123">
        <v>116</v>
      </c>
      <c r="C123">
        <v>157</v>
      </c>
      <c r="D123">
        <v>44</v>
      </c>
      <c r="E123">
        <v>37</v>
      </c>
      <c r="F123">
        <v>113</v>
      </c>
      <c r="G123">
        <v>70</v>
      </c>
      <c r="H123">
        <v>258.7</v>
      </c>
      <c r="I123" s="14">
        <v>345.25484814090225</v>
      </c>
      <c r="J123" s="259">
        <v>283.73112788025804</v>
      </c>
      <c r="K123" s="260">
        <v>385.8805482216211</v>
      </c>
      <c r="L123" s="16">
        <f t="shared" si="15"/>
        <v>89</v>
      </c>
      <c r="M123" s="230">
        <f t="shared" si="16"/>
        <v>66</v>
      </c>
      <c r="N123" s="159">
        <f t="shared" si="17"/>
        <v>122</v>
      </c>
      <c r="O123" s="159">
        <f t="shared" si="18"/>
        <v>93</v>
      </c>
      <c r="P123" s="15">
        <v>0</v>
      </c>
      <c r="Q123" s="15">
        <v>0</v>
      </c>
      <c r="R123">
        <v>28</v>
      </c>
      <c r="S123" t="e" vm="1">
        <f t="shared" si="19"/>
        <v>#VALUE!</v>
      </c>
      <c r="T123" s="14" t="e" vm="1">
        <f>Table230[[#This Row],[BDG]]/Table230[[#This Row],[Odds]]</f>
        <v>#VALUE!</v>
      </c>
      <c r="U123" s="14" t="e" cm="1" vm="2">
        <f t="array" ref="U123">MAX(_xlfn._xlws.FILTER(Table22[[B365]:[BFAIREXC]], Table22[PLAYER] = A123))</f>
        <v>#VALUE!</v>
      </c>
    </row>
    <row r="124" spans="1:21">
      <c r="A124" s="159" t="s">
        <v>105</v>
      </c>
      <c r="B124">
        <v>113</v>
      </c>
      <c r="C124">
        <v>77</v>
      </c>
      <c r="D124">
        <v>127</v>
      </c>
      <c r="E124">
        <v>48</v>
      </c>
      <c r="F124">
        <v>153</v>
      </c>
      <c r="G124">
        <v>134</v>
      </c>
      <c r="H124">
        <v>279.7</v>
      </c>
      <c r="I124" s="14">
        <v>464.90026206192357</v>
      </c>
      <c r="J124" s="259">
        <v>287.51514852370047</v>
      </c>
      <c r="K124" s="260">
        <v>451.63452706330702</v>
      </c>
      <c r="L124" s="16">
        <f t="shared" si="15"/>
        <v>106</v>
      </c>
      <c r="M124" s="230">
        <f t="shared" si="16"/>
        <v>112</v>
      </c>
      <c r="N124" s="159">
        <f t="shared" si="17"/>
        <v>123</v>
      </c>
      <c r="O124" s="159">
        <f t="shared" si="18"/>
        <v>116</v>
      </c>
      <c r="P124" s="15">
        <v>0</v>
      </c>
      <c r="Q124" s="15">
        <v>0</v>
      </c>
      <c r="R124">
        <v>15</v>
      </c>
      <c r="S124" t="e" vm="1">
        <f t="shared" si="19"/>
        <v>#VALUE!</v>
      </c>
      <c r="T124" s="14" t="e" vm="1">
        <f>Table230[[#This Row],[BDG]]/Table230[[#This Row],[Odds]]</f>
        <v>#VALUE!</v>
      </c>
      <c r="U124" s="14" t="e" cm="1" vm="2">
        <f t="array" ref="U124">MAX(_xlfn._xlws.FILTER(Table22[[B365]:[BFAIREXC]], Table22[PLAYER] = A124))</f>
        <v>#VALUE!</v>
      </c>
    </row>
    <row r="125" spans="1:21">
      <c r="A125" s="159" t="s">
        <v>123</v>
      </c>
      <c r="B125">
        <v>142</v>
      </c>
      <c r="C125">
        <v>83</v>
      </c>
      <c r="D125">
        <v>169</v>
      </c>
      <c r="E125">
        <v>70</v>
      </c>
      <c r="F125">
        <v>160</v>
      </c>
      <c r="G125">
        <v>149</v>
      </c>
      <c r="H125">
        <v>339.4</v>
      </c>
      <c r="I125" s="14">
        <v>554.72705230062445</v>
      </c>
      <c r="J125" s="259">
        <v>289.66723666736061</v>
      </c>
      <c r="K125" s="260">
        <v>453.85090540707881</v>
      </c>
      <c r="L125" s="16">
        <f t="shared" si="15"/>
        <v>134</v>
      </c>
      <c r="M125" s="230">
        <f t="shared" si="16"/>
        <v>134</v>
      </c>
      <c r="N125" s="159">
        <f t="shared" si="17"/>
        <v>124</v>
      </c>
      <c r="O125" s="159">
        <f t="shared" si="18"/>
        <v>120</v>
      </c>
      <c r="P125" s="15">
        <v>0</v>
      </c>
      <c r="Q125" s="15">
        <v>0</v>
      </c>
      <c r="R125">
        <v>-13</v>
      </c>
      <c r="S125" t="e" vm="1">
        <f t="shared" si="19"/>
        <v>#VALUE!</v>
      </c>
      <c r="T125" s="14" t="e" vm="1">
        <f>Table230[[#This Row],[BDG]]/Table230[[#This Row],[Odds]]</f>
        <v>#VALUE!</v>
      </c>
      <c r="U125" s="14" t="e" cm="1" vm="2">
        <f t="array" ref="U125">MAX(_xlfn._xlws.FILTER(Table22[[B365]:[BFAIREXC]], Table22[PLAYER] = A125))</f>
        <v>#VALUE!</v>
      </c>
    </row>
    <row r="126" spans="1:21">
      <c r="A126" s="159" t="s">
        <v>13</v>
      </c>
      <c r="B126">
        <v>15</v>
      </c>
      <c r="C126">
        <v>104</v>
      </c>
      <c r="D126">
        <v>148</v>
      </c>
      <c r="E126">
        <v>164</v>
      </c>
      <c r="F126">
        <v>180</v>
      </c>
      <c r="G126">
        <v>171</v>
      </c>
      <c r="H126">
        <v>321.5</v>
      </c>
      <c r="I126" s="14">
        <v>554.08657250433521</v>
      </c>
      <c r="J126" s="259">
        <v>290.75080561096513</v>
      </c>
      <c r="K126" s="260">
        <v>455.48727902263744</v>
      </c>
      <c r="L126" s="16">
        <f t="shared" si="15"/>
        <v>131</v>
      </c>
      <c r="M126" s="230">
        <f t="shared" si="16"/>
        <v>133</v>
      </c>
      <c r="N126" s="159">
        <f t="shared" si="17"/>
        <v>125</v>
      </c>
      <c r="O126" s="159">
        <f t="shared" si="18"/>
        <v>122</v>
      </c>
      <c r="P126" s="15">
        <v>0</v>
      </c>
      <c r="Q126" s="15">
        <v>0</v>
      </c>
      <c r="R126">
        <v>8</v>
      </c>
      <c r="S126" t="e" vm="1">
        <f t="shared" si="19"/>
        <v>#VALUE!</v>
      </c>
      <c r="T126" s="14" t="e" vm="1">
        <f>Table230[[#This Row],[BDG]]/Table230[[#This Row],[Odds]]</f>
        <v>#VALUE!</v>
      </c>
      <c r="U126" s="14" t="e" cm="1" vm="2">
        <f t="array" ref="U126">MAX(_xlfn._xlws.FILTER(Table22[[B365]:[BFAIREXC]], Table22[PLAYER] = A126))</f>
        <v>#VALUE!</v>
      </c>
    </row>
    <row r="127" spans="1:21">
      <c r="A127" s="159" t="s">
        <v>23</v>
      </c>
      <c r="B127">
        <v>92</v>
      </c>
      <c r="C127">
        <v>152</v>
      </c>
      <c r="D127">
        <v>42</v>
      </c>
      <c r="E127">
        <v>147</v>
      </c>
      <c r="F127">
        <v>118</v>
      </c>
      <c r="G127">
        <v>102</v>
      </c>
      <c r="H127">
        <v>287.8</v>
      </c>
      <c r="I127" s="14">
        <v>426.87800549918563</v>
      </c>
      <c r="J127" s="259">
        <v>291.36950130199762</v>
      </c>
      <c r="K127" s="260">
        <v>423.43376431645538</v>
      </c>
      <c r="L127" s="16">
        <f t="shared" si="15"/>
        <v>109</v>
      </c>
      <c r="M127" s="230">
        <f t="shared" si="16"/>
        <v>98</v>
      </c>
      <c r="N127" s="159">
        <f t="shared" si="17"/>
        <v>126</v>
      </c>
      <c r="O127" s="159">
        <f t="shared" si="18"/>
        <v>107</v>
      </c>
      <c r="P127" s="15">
        <v>0</v>
      </c>
      <c r="Q127" s="15">
        <v>0.125</v>
      </c>
      <c r="R127">
        <v>-10</v>
      </c>
      <c r="S127" t="e" vm="1">
        <f t="shared" si="19"/>
        <v>#VALUE!</v>
      </c>
      <c r="T127" s="14" t="e" vm="1">
        <f>Table230[[#This Row],[BDG]]/Table230[[#This Row],[Odds]]</f>
        <v>#VALUE!</v>
      </c>
      <c r="U127" s="14" t="e" cm="1" vm="2">
        <f t="array" ref="U127">MAX(_xlfn._xlws.FILTER(Table22[[B365]:[BFAIREXC]], Table22[PLAYER] = A127))</f>
        <v>#VALUE!</v>
      </c>
    </row>
    <row r="128" spans="1:21">
      <c r="A128" s="159" t="s">
        <v>443</v>
      </c>
      <c r="B128">
        <v>160</v>
      </c>
      <c r="C128">
        <v>70</v>
      </c>
      <c r="D128">
        <v>157</v>
      </c>
      <c r="E128">
        <v>157</v>
      </c>
      <c r="F128">
        <v>141</v>
      </c>
      <c r="G128">
        <v>166</v>
      </c>
      <c r="H128">
        <v>358.1</v>
      </c>
      <c r="I128" s="14">
        <v>609.67015226455976</v>
      </c>
      <c r="J128" s="259">
        <v>291.75875897470075</v>
      </c>
      <c r="K128" s="260">
        <v>488.34760288651955</v>
      </c>
      <c r="L128" s="16">
        <f t="shared" si="15"/>
        <v>139</v>
      </c>
      <c r="M128" s="230">
        <f t="shared" si="16"/>
        <v>140</v>
      </c>
      <c r="N128" s="159">
        <f t="shared" si="17"/>
        <v>127</v>
      </c>
      <c r="O128" s="159">
        <f t="shared" si="18"/>
        <v>132</v>
      </c>
      <c r="P128" s="15">
        <v>0</v>
      </c>
      <c r="Q128" s="15">
        <v>0</v>
      </c>
      <c r="R128">
        <v>10</v>
      </c>
      <c r="S128" t="e" vm="1">
        <f t="shared" si="19"/>
        <v>#VALUE!</v>
      </c>
      <c r="T128" s="14">
        <f>Table230[[#This Row],[BDG]]/Table230[[#This Row],[Odds]]</f>
        <v>19.194655195703998</v>
      </c>
      <c r="U128" s="14" cm="1">
        <f t="array" ref="U128">MAX(_xlfn._xlws.FILTER(Table22[[B365]:[BFAIREXC]], Table22[PLAYER] = A128))</f>
        <v>15.2</v>
      </c>
    </row>
    <row r="129" spans="1:21">
      <c r="A129" s="159" t="s">
        <v>142</v>
      </c>
      <c r="B129">
        <v>139</v>
      </c>
      <c r="C129">
        <v>149</v>
      </c>
      <c r="D129">
        <v>51</v>
      </c>
      <c r="E129">
        <v>34</v>
      </c>
      <c r="F129">
        <v>27</v>
      </c>
      <c r="G129">
        <v>72</v>
      </c>
      <c r="H129">
        <v>233.9</v>
      </c>
      <c r="I129" s="14">
        <v>317.10960304255383</v>
      </c>
      <c r="J129" s="259">
        <v>291.89753173187984</v>
      </c>
      <c r="K129" s="260">
        <v>411.71677173897734</v>
      </c>
      <c r="L129" s="16">
        <f t="shared" si="15"/>
        <v>66</v>
      </c>
      <c r="M129" s="230">
        <f t="shared" si="16"/>
        <v>50</v>
      </c>
      <c r="N129" s="159">
        <f t="shared" si="17"/>
        <v>128</v>
      </c>
      <c r="O129" s="159">
        <f t="shared" si="18"/>
        <v>103</v>
      </c>
      <c r="P129" s="15">
        <v>0</v>
      </c>
      <c r="Q129" s="15">
        <v>0.16666666666666666</v>
      </c>
      <c r="R129">
        <v>41</v>
      </c>
      <c r="S129" t="e" vm="1">
        <f t="shared" si="19"/>
        <v>#VALUE!</v>
      </c>
      <c r="T129" s="14" t="e" vm="1">
        <f>Table230[[#This Row],[BDG]]/Table230[[#This Row],[Odds]]</f>
        <v>#VALUE!</v>
      </c>
      <c r="U129" s="14" t="e" cm="1" vm="2">
        <f t="array" ref="U129">MAX(_xlfn._xlws.FILTER(Table22[[B365]:[BFAIREXC]], Table22[PLAYER] = A129))</f>
        <v>#VALUE!</v>
      </c>
    </row>
    <row r="130" spans="1:21">
      <c r="A130" s="159" t="s">
        <v>48</v>
      </c>
      <c r="B130">
        <v>5</v>
      </c>
      <c r="C130">
        <v>65</v>
      </c>
      <c r="D130">
        <v>66</v>
      </c>
      <c r="E130">
        <v>108</v>
      </c>
      <c r="F130">
        <v>174</v>
      </c>
      <c r="G130">
        <v>122</v>
      </c>
      <c r="H130">
        <v>207</v>
      </c>
      <c r="I130" s="14">
        <v>371.76251552260544</v>
      </c>
      <c r="J130" s="259">
        <v>292.47925954447078</v>
      </c>
      <c r="K130" s="260">
        <v>475.96810819218956</v>
      </c>
      <c r="L130" s="16">
        <f t="shared" ref="L130:L143" si="20">RANK(H130,$H$2:$H$143,1)</f>
        <v>35</v>
      </c>
      <c r="M130" s="230">
        <f t="shared" ref="M130:M143" si="21">RANK(I130,$I$2:$I$143,1)</f>
        <v>76</v>
      </c>
      <c r="N130" s="159">
        <f t="shared" ref="N130:N143" si="22">RANK(J130,$J$2:$J$143,1)</f>
        <v>129</v>
      </c>
      <c r="O130" s="159">
        <f t="shared" ref="O130:O143" si="23">RANK(K130,$K$2:$K$143,1)</f>
        <v>128</v>
      </c>
      <c r="P130" s="15">
        <v>0</v>
      </c>
      <c r="Q130" s="15">
        <v>0.16666666666666666</v>
      </c>
      <c r="R130">
        <v>-118</v>
      </c>
      <c r="S130" t="e" vm="1">
        <f t="shared" ref="S130:S143" si="24">RANK(U130,$U$2:$U$143,0)</f>
        <v>#VALUE!</v>
      </c>
      <c r="T130" s="14">
        <f>Table230[[#This Row],[BDG]]/Table230[[#This Row],[Odds]]</f>
        <v>36.28774932313533</v>
      </c>
      <c r="U130" s="14" cm="1">
        <f t="array" ref="U130">MAX(_xlfn._xlws.FILTER(Table22[[B365]:[BFAIREXC]], Table22[PLAYER] = A130))</f>
        <v>8.06</v>
      </c>
    </row>
    <row r="131" spans="1:21">
      <c r="A131" s="159" t="s">
        <v>148</v>
      </c>
      <c r="B131">
        <v>165</v>
      </c>
      <c r="C131">
        <v>80</v>
      </c>
      <c r="D131">
        <v>181</v>
      </c>
      <c r="E131">
        <v>25</v>
      </c>
      <c r="F131">
        <v>8</v>
      </c>
      <c r="G131">
        <v>129</v>
      </c>
      <c r="H131">
        <v>278.39999999999998</v>
      </c>
      <c r="I131" s="14">
        <v>451.06399890471442</v>
      </c>
      <c r="J131" s="259">
        <v>299.69688036432211</v>
      </c>
      <c r="K131" s="260">
        <v>471.34091975653189</v>
      </c>
      <c r="L131" s="16">
        <f t="shared" si="20"/>
        <v>103</v>
      </c>
      <c r="M131" s="230">
        <f t="shared" si="21"/>
        <v>105</v>
      </c>
      <c r="N131" s="159">
        <f t="shared" si="22"/>
        <v>130</v>
      </c>
      <c r="O131" s="159">
        <f t="shared" si="23"/>
        <v>126</v>
      </c>
      <c r="P131" s="15">
        <v>0</v>
      </c>
      <c r="Q131" s="15">
        <v>0</v>
      </c>
      <c r="R131">
        <v>42</v>
      </c>
      <c r="S131" t="e" vm="1">
        <f t="shared" si="24"/>
        <v>#VALUE!</v>
      </c>
      <c r="T131" s="14">
        <f>Table230[[#This Row],[BDG]]/Table230[[#This Row],[Odds]]</f>
        <v>37.183235777211181</v>
      </c>
      <c r="U131" s="14" cm="1">
        <f t="array" ref="U131">MAX(_xlfn._xlws.FILTER(Table22[[B365]:[BFAIREXC]], Table22[PLAYER] = A131))</f>
        <v>8.06</v>
      </c>
    </row>
    <row r="132" spans="1:21">
      <c r="A132" s="159" t="s">
        <v>89</v>
      </c>
      <c r="B132">
        <v>97</v>
      </c>
      <c r="C132">
        <v>168</v>
      </c>
      <c r="D132">
        <v>14</v>
      </c>
      <c r="E132">
        <v>74</v>
      </c>
      <c r="F132">
        <v>133</v>
      </c>
      <c r="G132">
        <v>97</v>
      </c>
      <c r="H132">
        <v>258.7</v>
      </c>
      <c r="I132" s="14">
        <v>372.95281401147156</v>
      </c>
      <c r="J132" s="259">
        <v>302.57740831224714</v>
      </c>
      <c r="K132" s="260">
        <v>457.53152482971416</v>
      </c>
      <c r="L132" s="16">
        <f t="shared" si="20"/>
        <v>89</v>
      </c>
      <c r="M132" s="230">
        <f t="shared" si="21"/>
        <v>78</v>
      </c>
      <c r="N132" s="159">
        <f t="shared" si="22"/>
        <v>131</v>
      </c>
      <c r="O132" s="159">
        <f t="shared" si="23"/>
        <v>123</v>
      </c>
      <c r="P132" s="15">
        <v>0</v>
      </c>
      <c r="Q132" s="15">
        <v>0</v>
      </c>
      <c r="R132">
        <v>-60</v>
      </c>
      <c r="S132" t="e" vm="1">
        <f t="shared" si="24"/>
        <v>#VALUE!</v>
      </c>
      <c r="T132" s="14" t="e" vm="1">
        <f>Table230[[#This Row],[BDG]]/Table230[[#This Row],[Odds]]</f>
        <v>#VALUE!</v>
      </c>
      <c r="U132" s="14" t="e" cm="1" vm="2">
        <f t="array" ref="U132">MAX(_xlfn._xlws.FILTER(Table22[[B365]:[BFAIREXC]], Table22[PLAYER] = A132))</f>
        <v>#VALUE!</v>
      </c>
    </row>
    <row r="133" spans="1:21">
      <c r="A133" s="159" t="s">
        <v>32</v>
      </c>
      <c r="B133">
        <v>19</v>
      </c>
      <c r="C133">
        <v>173</v>
      </c>
      <c r="D133">
        <v>138</v>
      </c>
      <c r="E133">
        <v>136</v>
      </c>
      <c r="F133">
        <v>40</v>
      </c>
      <c r="G133">
        <v>127</v>
      </c>
      <c r="H133">
        <v>297.60000000000002</v>
      </c>
      <c r="I133" s="14">
        <v>448.55506467783755</v>
      </c>
      <c r="J133" s="259">
        <v>303.09325657100692</v>
      </c>
      <c r="K133" s="260">
        <v>439.5999122898703</v>
      </c>
      <c r="L133" s="16">
        <f t="shared" si="20"/>
        <v>115</v>
      </c>
      <c r="M133" s="230">
        <f t="shared" si="21"/>
        <v>104</v>
      </c>
      <c r="N133" s="159">
        <f t="shared" si="22"/>
        <v>132</v>
      </c>
      <c r="O133" s="159">
        <f t="shared" si="23"/>
        <v>114</v>
      </c>
      <c r="P133" s="15">
        <v>0</v>
      </c>
      <c r="Q133" s="15">
        <v>0</v>
      </c>
      <c r="R133">
        <v>34</v>
      </c>
      <c r="S133" t="e" vm="1">
        <f t="shared" si="24"/>
        <v>#VALUE!</v>
      </c>
      <c r="T133" s="14">
        <f>Table230[[#This Row],[BDG]]/Table230[[#This Row],[Odds]]</f>
        <v>46.629731780154913</v>
      </c>
      <c r="U133" s="14" cm="1">
        <f t="array" ref="U133">MAX(_xlfn._xlws.FILTER(Table22[[B365]:[BFAIREXC]], Table22[PLAYER] = A133))</f>
        <v>6.5</v>
      </c>
    </row>
    <row r="134" spans="1:21">
      <c r="A134" s="159" t="s">
        <v>11</v>
      </c>
      <c r="B134">
        <v>61</v>
      </c>
      <c r="C134">
        <v>132</v>
      </c>
      <c r="D134">
        <v>163</v>
      </c>
      <c r="E134">
        <v>172</v>
      </c>
      <c r="F134">
        <v>159</v>
      </c>
      <c r="G134">
        <v>179</v>
      </c>
      <c r="H134">
        <v>369.40000000000003</v>
      </c>
      <c r="I134" s="14">
        <v>613.03191218003633</v>
      </c>
      <c r="J134" s="259">
        <v>304.44365683562006</v>
      </c>
      <c r="K134" s="260">
        <v>508.61363202467021</v>
      </c>
      <c r="L134" s="16">
        <f t="shared" si="20"/>
        <v>141</v>
      </c>
      <c r="M134" s="230">
        <f t="shared" si="21"/>
        <v>141</v>
      </c>
      <c r="N134" s="159">
        <f t="shared" si="22"/>
        <v>133</v>
      </c>
      <c r="O134" s="159">
        <f t="shared" si="23"/>
        <v>137</v>
      </c>
      <c r="P134" s="15">
        <v>0</v>
      </c>
      <c r="Q134" s="15">
        <v>0.14285714285714285</v>
      </c>
      <c r="R134">
        <v>-20</v>
      </c>
      <c r="S134" t="e" vm="1">
        <f t="shared" si="24"/>
        <v>#VALUE!</v>
      </c>
      <c r="T134" s="14">
        <f>Table230[[#This Row],[BDG]]/Table230[[#This Row],[Odds]]</f>
        <v>44.250531516805239</v>
      </c>
      <c r="U134" s="14" cm="1">
        <f t="array" ref="U134">MAX(_xlfn._xlws.FILTER(Table22[[B365]:[BFAIREXC]], Table22[PLAYER] = A134))</f>
        <v>6.88</v>
      </c>
    </row>
    <row r="135" spans="1:21">
      <c r="A135" s="159" t="s">
        <v>104</v>
      </c>
      <c r="B135">
        <v>136</v>
      </c>
      <c r="C135">
        <v>172</v>
      </c>
      <c r="D135">
        <v>156</v>
      </c>
      <c r="E135">
        <v>12</v>
      </c>
      <c r="F135">
        <v>117</v>
      </c>
      <c r="G135">
        <v>132</v>
      </c>
      <c r="H135">
        <v>349.2</v>
      </c>
      <c r="I135" s="14">
        <v>510.0638414190567</v>
      </c>
      <c r="J135" s="259">
        <v>310.86561534422026</v>
      </c>
      <c r="K135" s="260">
        <v>437.53114531065268</v>
      </c>
      <c r="L135" s="16">
        <f t="shared" si="20"/>
        <v>136</v>
      </c>
      <c r="M135" s="230">
        <f t="shared" si="21"/>
        <v>122</v>
      </c>
      <c r="N135" s="159">
        <f t="shared" si="22"/>
        <v>134</v>
      </c>
      <c r="O135" s="159">
        <f t="shared" si="23"/>
        <v>113</v>
      </c>
      <c r="P135" s="15">
        <v>0</v>
      </c>
      <c r="Q135" s="15">
        <v>0</v>
      </c>
      <c r="R135">
        <v>-36</v>
      </c>
      <c r="S135" t="e" vm="1">
        <f t="shared" si="24"/>
        <v>#VALUE!</v>
      </c>
      <c r="T135" s="14" t="e" vm="1">
        <f>Table230[[#This Row],[BDG]]/Table230[[#This Row],[Odds]]</f>
        <v>#VALUE!</v>
      </c>
      <c r="U135" s="14" t="e" cm="1" vm="2">
        <f t="array" ref="U135">MAX(_xlfn._xlws.FILTER(Table22[[B365]:[BFAIREXC]], Table22[PLAYER] = A135))</f>
        <v>#VALUE!</v>
      </c>
    </row>
    <row r="136" spans="1:21">
      <c r="A136" s="159" t="s">
        <v>103</v>
      </c>
      <c r="B136">
        <v>159</v>
      </c>
      <c r="C136">
        <v>44</v>
      </c>
      <c r="D136">
        <v>119</v>
      </c>
      <c r="E136">
        <v>91</v>
      </c>
      <c r="F136">
        <v>41</v>
      </c>
      <c r="G136">
        <v>77</v>
      </c>
      <c r="H136">
        <v>246.4</v>
      </c>
      <c r="I136" s="14">
        <v>381.67966833886567</v>
      </c>
      <c r="J136" s="259">
        <v>311.09034667312528</v>
      </c>
      <c r="K136" s="260">
        <v>509.78413225890949</v>
      </c>
      <c r="L136" s="16">
        <f t="shared" si="20"/>
        <v>77</v>
      </c>
      <c r="M136" s="230">
        <f t="shared" si="21"/>
        <v>82</v>
      </c>
      <c r="N136" s="159">
        <f t="shared" si="22"/>
        <v>135</v>
      </c>
      <c r="O136" s="159">
        <f t="shared" si="23"/>
        <v>139</v>
      </c>
      <c r="P136" s="15">
        <v>0</v>
      </c>
      <c r="Q136" s="15">
        <v>0</v>
      </c>
      <c r="R136">
        <v>24</v>
      </c>
      <c r="S136" t="e" vm="1">
        <f t="shared" si="24"/>
        <v>#VALUE!</v>
      </c>
      <c r="T136" s="14">
        <f>Table230[[#This Row],[BDG]]/Table230[[#This Row],[Odds]]</f>
        <v>18.628164471444627</v>
      </c>
      <c r="U136" s="14" cm="1">
        <f t="array" ref="U136">MAX(_xlfn._xlws.FILTER(Table22[[B365]:[BFAIREXC]], Table22[PLAYER] = A136))</f>
        <v>16.7</v>
      </c>
    </row>
    <row r="137" spans="1:21">
      <c r="A137" s="159" t="s">
        <v>419</v>
      </c>
      <c r="B137">
        <v>178</v>
      </c>
      <c r="C137">
        <v>34</v>
      </c>
      <c r="D137">
        <v>150</v>
      </c>
      <c r="E137">
        <v>177</v>
      </c>
      <c r="F137">
        <v>148</v>
      </c>
      <c r="G137">
        <v>176</v>
      </c>
      <c r="H137">
        <v>315.10000000000002</v>
      </c>
      <c r="I137" s="14">
        <v>623.06836944757629</v>
      </c>
      <c r="J137" s="259">
        <v>315.10000000000002</v>
      </c>
      <c r="K137" s="260">
        <v>623.06836944757629</v>
      </c>
      <c r="L137" s="16">
        <f t="shared" si="20"/>
        <v>129</v>
      </c>
      <c r="M137" s="230">
        <f t="shared" si="21"/>
        <v>142</v>
      </c>
      <c r="N137" s="159">
        <f t="shared" si="22"/>
        <v>136</v>
      </c>
      <c r="O137" s="159">
        <f t="shared" si="23"/>
        <v>142</v>
      </c>
      <c r="P137" s="15">
        <v>0</v>
      </c>
      <c r="Q137" s="15">
        <v>0.14285714285714285</v>
      </c>
      <c r="R137">
        <v>-48</v>
      </c>
      <c r="S137" t="e" vm="1">
        <f t="shared" si="24"/>
        <v>#VALUE!</v>
      </c>
      <c r="T137" s="14">
        <f>Table230[[#This Row],[BDG]]/Table230[[#This Row],[Odds]]</f>
        <v>20.070063694267517</v>
      </c>
      <c r="U137" s="14" cm="1">
        <f t="array" ref="U137">MAX(_xlfn._xlws.FILTER(Table22[[B365]:[BFAIREXC]], Table22[PLAYER] = A137))</f>
        <v>15.7</v>
      </c>
    </row>
    <row r="138" spans="1:21">
      <c r="A138" s="159" t="s">
        <v>539</v>
      </c>
      <c r="B138">
        <v>43</v>
      </c>
      <c r="C138">
        <v>178</v>
      </c>
      <c r="D138">
        <v>155</v>
      </c>
      <c r="E138">
        <v>114</v>
      </c>
      <c r="F138">
        <v>55</v>
      </c>
      <c r="G138">
        <v>160</v>
      </c>
      <c r="H138">
        <v>322.2</v>
      </c>
      <c r="I138" s="14">
        <v>508.77678888713149</v>
      </c>
      <c r="J138" s="259">
        <v>322.2</v>
      </c>
      <c r="K138" s="260">
        <v>508.77678888713149</v>
      </c>
      <c r="L138" s="16">
        <f t="shared" si="20"/>
        <v>132</v>
      </c>
      <c r="M138" s="230">
        <f t="shared" si="21"/>
        <v>120</v>
      </c>
      <c r="N138" s="159">
        <f t="shared" si="22"/>
        <v>137</v>
      </c>
      <c r="O138" s="159">
        <f t="shared" si="23"/>
        <v>138</v>
      </c>
      <c r="P138" s="15">
        <v>1</v>
      </c>
      <c r="Q138" s="15">
        <v>1</v>
      </c>
      <c r="R138">
        <v>30</v>
      </c>
      <c r="S138" t="e" vm="1">
        <f t="shared" si="24"/>
        <v>#VALUE!</v>
      </c>
      <c r="T138" s="14" t="e" vm="1">
        <f>Table230[[#This Row],[BDG]]/Table230[[#This Row],[Odds]]</f>
        <v>#VALUE!</v>
      </c>
      <c r="U138" s="14" t="e" cm="1" vm="2">
        <f t="array" ref="U138">MAX(_xlfn._xlws.FILTER(Table22[[B365]:[BFAIREXC]], Table22[PLAYER] = A138))</f>
        <v>#VALUE!</v>
      </c>
    </row>
    <row r="139" spans="1:21">
      <c r="A139" s="159" t="s">
        <v>21</v>
      </c>
      <c r="B139">
        <v>30</v>
      </c>
      <c r="C139">
        <v>186</v>
      </c>
      <c r="D139">
        <v>130</v>
      </c>
      <c r="E139">
        <v>120</v>
      </c>
      <c r="F139">
        <v>163</v>
      </c>
      <c r="G139">
        <v>178</v>
      </c>
      <c r="H139">
        <v>349.4</v>
      </c>
      <c r="I139" s="14">
        <v>561.58405449292479</v>
      </c>
      <c r="J139" s="259">
        <v>324.07026960697874</v>
      </c>
      <c r="K139" s="260">
        <v>487.89529014342207</v>
      </c>
      <c r="L139" s="16">
        <f t="shared" si="20"/>
        <v>137</v>
      </c>
      <c r="M139" s="230">
        <f t="shared" si="21"/>
        <v>136</v>
      </c>
      <c r="N139" s="159">
        <f t="shared" si="22"/>
        <v>138</v>
      </c>
      <c r="O139" s="159">
        <f t="shared" si="23"/>
        <v>131</v>
      </c>
      <c r="P139" s="15" t="e">
        <v>#N/A</v>
      </c>
      <c r="Q139" s="15" t="e">
        <v>#N/A</v>
      </c>
      <c r="R139">
        <v>-30</v>
      </c>
      <c r="S139" t="e" vm="1">
        <f t="shared" si="24"/>
        <v>#VALUE!</v>
      </c>
      <c r="T139" s="14">
        <f>Table230[[#This Row],[BDG]]/Table230[[#This Row],[Odds]]</f>
        <v>16.967029822354906</v>
      </c>
      <c r="U139" s="14" cm="1">
        <f t="array" ref="U139">MAX(_xlfn._xlws.FILTER(Table22[[B365]:[BFAIREXC]], Table22[PLAYER] = A139))</f>
        <v>19.100000000000001</v>
      </c>
    </row>
    <row r="140" spans="1:21">
      <c r="A140" s="159" t="s">
        <v>107</v>
      </c>
      <c r="B140">
        <v>67</v>
      </c>
      <c r="C140">
        <v>147</v>
      </c>
      <c r="D140">
        <v>75</v>
      </c>
      <c r="E140">
        <v>89</v>
      </c>
      <c r="F140">
        <v>45</v>
      </c>
      <c r="G140">
        <v>75</v>
      </c>
      <c r="H140">
        <v>242.49999999999997</v>
      </c>
      <c r="I140" s="14">
        <v>335.2652952036259</v>
      </c>
      <c r="J140" s="259">
        <v>324.3033596459714</v>
      </c>
      <c r="K140" s="260">
        <v>492.91486843654843</v>
      </c>
      <c r="L140" s="16">
        <f t="shared" si="20"/>
        <v>74</v>
      </c>
      <c r="M140" s="230">
        <f t="shared" si="21"/>
        <v>62</v>
      </c>
      <c r="N140" s="159">
        <f t="shared" si="22"/>
        <v>139</v>
      </c>
      <c r="O140" s="159">
        <f t="shared" si="23"/>
        <v>134</v>
      </c>
      <c r="P140" s="15">
        <v>0</v>
      </c>
      <c r="Q140" s="15">
        <v>0</v>
      </c>
      <c r="R140">
        <v>27</v>
      </c>
      <c r="S140" t="e" vm="1">
        <f t="shared" si="24"/>
        <v>#VALUE!</v>
      </c>
      <c r="T140" s="14">
        <f>Table230[[#This Row],[BDG]]/Table230[[#This Row],[Odds]]</f>
        <v>20.018725904072308</v>
      </c>
      <c r="U140" s="14" cm="1">
        <f t="array" ref="U140">MAX(_xlfn._xlws.FILTER(Table22[[B365]:[BFAIREXC]], Table22[PLAYER] = A140))</f>
        <v>16.2</v>
      </c>
    </row>
    <row r="141" spans="1:21">
      <c r="A141" s="159" t="s">
        <v>372</v>
      </c>
      <c r="B141">
        <v>76</v>
      </c>
      <c r="C141">
        <v>28</v>
      </c>
      <c r="D141">
        <v>134</v>
      </c>
      <c r="E141">
        <v>67</v>
      </c>
      <c r="F141">
        <v>146</v>
      </c>
      <c r="G141">
        <v>120</v>
      </c>
      <c r="H141">
        <v>236.6</v>
      </c>
      <c r="I141" s="14">
        <v>415.56710106707862</v>
      </c>
      <c r="J141" s="259">
        <v>325.05498803373223</v>
      </c>
      <c r="K141" s="260">
        <v>546.09183620956992</v>
      </c>
      <c r="L141" s="16">
        <f t="shared" si="20"/>
        <v>69</v>
      </c>
      <c r="M141" s="230">
        <f t="shared" si="21"/>
        <v>95</v>
      </c>
      <c r="N141" s="159">
        <f t="shared" si="22"/>
        <v>140</v>
      </c>
      <c r="O141" s="159">
        <f t="shared" si="23"/>
        <v>140</v>
      </c>
      <c r="P141" s="15">
        <v>0.16666666666666666</v>
      </c>
      <c r="Q141" s="15">
        <v>0.16666666666666666</v>
      </c>
      <c r="R141">
        <v>-103</v>
      </c>
      <c r="S141" t="e" vm="1">
        <f t="shared" si="24"/>
        <v>#VALUE!</v>
      </c>
      <c r="T141" s="14" t="e" vm="1">
        <f>Table230[[#This Row],[BDG]]/Table230[[#This Row],[Odds]]</f>
        <v>#VALUE!</v>
      </c>
      <c r="U141" s="14" t="e" cm="1" vm="2">
        <f t="array" ref="U141">MAX(_xlfn._xlws.FILTER(Table22[[B365]:[BFAIREXC]], Table22[PLAYER] = A141))</f>
        <v>#VALUE!</v>
      </c>
    </row>
    <row r="142" spans="1:21">
      <c r="A142" s="159" t="s">
        <v>71</v>
      </c>
      <c r="B142">
        <v>103</v>
      </c>
      <c r="C142">
        <v>185</v>
      </c>
      <c r="D142">
        <v>153</v>
      </c>
      <c r="E142">
        <v>129</v>
      </c>
      <c r="F142">
        <v>72</v>
      </c>
      <c r="G142">
        <v>168</v>
      </c>
      <c r="H142">
        <v>368.50000000000006</v>
      </c>
      <c r="I142" s="14">
        <v>576.03356494989782</v>
      </c>
      <c r="J142" s="259">
        <v>332.2077819544977</v>
      </c>
      <c r="K142" s="260">
        <v>499.81728430863569</v>
      </c>
      <c r="L142" s="16">
        <f t="shared" si="20"/>
        <v>140</v>
      </c>
      <c r="M142" s="230">
        <f t="shared" si="21"/>
        <v>137</v>
      </c>
      <c r="N142" s="159">
        <f t="shared" si="22"/>
        <v>141</v>
      </c>
      <c r="O142" s="159">
        <f t="shared" si="23"/>
        <v>136</v>
      </c>
      <c r="P142" s="15">
        <v>0</v>
      </c>
      <c r="Q142" s="15">
        <v>0</v>
      </c>
      <c r="R142">
        <v>-27</v>
      </c>
      <c r="S142" t="e" vm="1">
        <f t="shared" si="24"/>
        <v>#VALUE!</v>
      </c>
      <c r="T142" s="14">
        <f>Table230[[#This Row],[BDG]]/Table230[[#This Row],[Odds]]</f>
        <v>7.2219083033586458</v>
      </c>
      <c r="U142" s="14" cm="1">
        <f t="array" ref="U142">MAX(_xlfn._xlws.FILTER(Table22[[B365]:[BFAIREXC]], Table22[PLAYER] = A142))</f>
        <v>46</v>
      </c>
    </row>
    <row r="143" spans="1:21">
      <c r="A143" s="159" t="s">
        <v>222</v>
      </c>
      <c r="B143">
        <v>174</v>
      </c>
      <c r="C143">
        <v>174</v>
      </c>
      <c r="D143">
        <v>144</v>
      </c>
      <c r="E143">
        <v>85</v>
      </c>
      <c r="F143">
        <v>74</v>
      </c>
      <c r="G143">
        <v>165</v>
      </c>
      <c r="H143">
        <v>373.20000000000005</v>
      </c>
      <c r="I143" s="14">
        <v>580.58438557193381</v>
      </c>
      <c r="J143" s="259">
        <v>373.20000000000005</v>
      </c>
      <c r="K143" s="260">
        <v>580.58438557193381</v>
      </c>
      <c r="L143" s="16">
        <f t="shared" si="20"/>
        <v>142</v>
      </c>
      <c r="M143" s="230">
        <f t="shared" si="21"/>
        <v>138</v>
      </c>
      <c r="N143" s="159">
        <f t="shared" si="22"/>
        <v>142</v>
      </c>
      <c r="O143" s="159">
        <f t="shared" si="23"/>
        <v>141</v>
      </c>
      <c r="P143" s="15">
        <v>0</v>
      </c>
      <c r="Q143" s="15">
        <v>0</v>
      </c>
      <c r="R143">
        <v>-3</v>
      </c>
      <c r="S143" t="e" vm="1">
        <f t="shared" si="24"/>
        <v>#VALUE!</v>
      </c>
      <c r="T143" s="14" t="e" vm="1">
        <f>Table230[[#This Row],[BDG]]/Table230[[#This Row],[Odds]]</f>
        <v>#VALUE!</v>
      </c>
      <c r="U143" s="14" t="e" cm="1" vm="2">
        <f t="array" ref="U143">MAX(_xlfn._xlws.FILTER(Table22[[B365]:[BFAIREXC]], Table22[PLAYER] = A143))</f>
        <v>#VALUE!</v>
      </c>
    </row>
  </sheetData>
  <conditionalFormatting sqref="Q144:R1048576 P2:Q143">
    <cfRule type="cellIs" dxfId="382" priority="7" operator="between">
      <formula>0.01%</formula>
      <formula>10%</formula>
    </cfRule>
  </conditionalFormatting>
  <conditionalFormatting sqref="J1:K1048576 N1:O1048576 S1:S1048576">
    <cfRule type="containsErrors" dxfId="381" priority="12">
      <formula>ISERROR(J1)</formula>
    </cfRule>
  </conditionalFormatting>
  <conditionalFormatting sqref="Q144:R1048576 P2:Q143">
    <cfRule type="cellIs" dxfId="380" priority="5" operator="greaterThanOrEqual">
      <formula>20%</formula>
    </cfRule>
  </conditionalFormatting>
  <conditionalFormatting sqref="Q144:R1048576 P2:Q143">
    <cfRule type="cellIs" dxfId="379" priority="6" operator="between">
      <formula>10%</formula>
      <formula>20%</formula>
    </cfRule>
  </conditionalFormatting>
  <conditionalFormatting sqref="R1:R1048576">
    <cfRule type="cellIs" dxfId="378" priority="1" operator="between">
      <formula>-5</formula>
      <formula>-9</formula>
    </cfRule>
    <cfRule type="cellIs" dxfId="377" priority="2" operator="lessThanOrEqual">
      <formula>-10</formula>
    </cfRule>
    <cfRule type="cellIs" dxfId="376" priority="3" operator="between">
      <formula>5</formula>
      <formula>9</formula>
    </cfRule>
    <cfRule type="cellIs" dxfId="375" priority="4" operator="greaterThanOrEqual">
      <formula>10</formula>
    </cfRule>
  </conditionalFormatting>
  <conditionalFormatting sqref="B1:G1048576 L2:O1048576 S1:S1048576">
    <cfRule type="cellIs" dxfId="374" priority="8" operator="between">
      <formula>101</formula>
      <formula>250</formula>
    </cfRule>
    <cfRule type="cellIs" dxfId="373" priority="9" operator="between">
      <formula>51</formula>
      <formula>100.5</formula>
    </cfRule>
    <cfRule type="cellIs" dxfId="372" priority="10" operator="between">
      <formula>21</formula>
      <formula>50.5</formula>
    </cfRule>
    <cfRule type="cellIs" dxfId="371" priority="11" operator="lessThanOrEqual">
      <formula>20.5</formula>
    </cfRule>
  </conditionalFormatting>
  <conditionalFormatting sqref="A1:A1048576">
    <cfRule type="expression" dxfId="370" priority="13">
      <formula>$T1=MIN($T$2:$T$9)</formula>
    </cfRule>
    <cfRule type="expression" dxfId="369" priority="14">
      <formula>$T1=MIN($T$10:$T$21)</formula>
    </cfRule>
    <cfRule type="expression" dxfId="368" priority="15">
      <formula>$T1=MIN($T$22:$T$34)</formula>
    </cfRule>
    <cfRule type="expression" dxfId="367" priority="16">
      <formula>$T1=MIN($T$35:$T$75)</formula>
    </cfRule>
    <cfRule type="expression" dxfId="366" priority="17">
      <formula>AND($L1&lt;=3, $M1&gt;3)</formula>
    </cfRule>
    <cfRule type="expression" dxfId="365" priority="18">
      <formula>AND($L1&gt;3, $M1&lt;=3)</formula>
    </cfRule>
    <cfRule type="expression" dxfId="364" priority="19">
      <formula>AND($N1&lt;=3, $O1&gt;3)</formula>
    </cfRule>
    <cfRule type="expression" dxfId="363" priority="20">
      <formula>AND($N1&gt;3, $O1&lt;=3)</formula>
    </cfRule>
    <cfRule type="expression" dxfId="362" priority="21">
      <formula>AND($L1&lt;=3, $M1&lt;=3)</formula>
    </cfRule>
    <cfRule type="expression" dxfId="361"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 r:id="rId2"/>
  <legacyDrawingHF r:id="rId3"/>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8B655-1159-43D4-9979-CBB83C90545E}">
  <sheetPr codeName="Sheet80">
    <tabColor rgb="FF00B050"/>
  </sheetPr>
  <dimension ref="A1:W104"/>
  <sheetViews>
    <sheetView zoomScale="90" zoomScaleNormal="90" workbookViewId="0">
      <selection activeCell="L13" sqref="L2:L13"/>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6" max="16" width="14.42578125" bestFit="1" customWidth="1"/>
    <col min="17" max="17" width="9.28515625" customWidth="1"/>
    <col min="20" max="20"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241" t="s">
        <v>566</v>
      </c>
      <c r="Q1" s="122" t="s">
        <v>537</v>
      </c>
      <c r="R1" s="122" t="s">
        <v>536</v>
      </c>
      <c r="S1" s="344" t="s">
        <v>535</v>
      </c>
      <c r="T1" s="241" t="s">
        <v>565</v>
      </c>
      <c r="U1" s="241" t="s">
        <v>472</v>
      </c>
      <c r="V1" s="331" t="s">
        <v>210</v>
      </c>
      <c r="W1" s="1"/>
    </row>
    <row r="2" spans="1:23">
      <c r="A2" s="159" t="s">
        <v>175</v>
      </c>
      <c r="B2">
        <v>177</v>
      </c>
      <c r="C2">
        <v>32</v>
      </c>
      <c r="D2">
        <v>137</v>
      </c>
      <c r="E2">
        <v>71</v>
      </c>
      <c r="F2">
        <v>69</v>
      </c>
      <c r="G2">
        <v>105</v>
      </c>
      <c r="H2">
        <v>302.7</v>
      </c>
      <c r="I2" s="14">
        <v>436.04495997249046</v>
      </c>
      <c r="J2" s="259">
        <v>302.7</v>
      </c>
      <c r="K2" s="260">
        <v>436.04495997249046</v>
      </c>
      <c r="L2" s="16">
        <f t="shared" ref="L2:L33" si="0">RANK(H2,$H$2:$H$104,1)</f>
        <v>49</v>
      </c>
      <c r="M2" s="230">
        <f t="shared" ref="M2:M33" si="1">RANK(I2,$I$2:$I$104,1)</f>
        <v>37</v>
      </c>
      <c r="N2" s="159">
        <f t="shared" ref="N2:N33" si="2">RANK(J2,$J$2:$J$104,1)</f>
        <v>54</v>
      </c>
      <c r="O2" s="159">
        <f t="shared" ref="O2:O33" si="3">RANK(K2,$K$2:$K$104,1)</f>
        <v>37</v>
      </c>
      <c r="P2" t="e" vm="1">
        <f t="shared" ref="P2:P33" si="4">RANK(U2,$U$2:$U$104,0)</f>
        <v>#VALUE!</v>
      </c>
      <c r="Q2" s="15"/>
      <c r="R2" s="15"/>
      <c r="T2" s="14" t="e" vm="1">
        <f>Table237[[#This Row],[BDG]]/Table237[[#This Row],[Odds]]</f>
        <v>#VALUE!</v>
      </c>
      <c r="U2" s="14" t="e" cm="1" vm="2">
        <f t="array" ref="U2">MAX(_xlfn._xlws.FILTER(Table22[[B365]:[BFAIREXC]], Table22[PLAYER] = A2))</f>
        <v>#VALUE!</v>
      </c>
      <c r="V2">
        <v>1</v>
      </c>
    </row>
    <row r="3" spans="1:23">
      <c r="A3" s="159" t="s">
        <v>235</v>
      </c>
      <c r="B3">
        <v>128</v>
      </c>
      <c r="C3">
        <v>80</v>
      </c>
      <c r="D3">
        <v>64</v>
      </c>
      <c r="E3">
        <v>17</v>
      </c>
      <c r="F3">
        <v>142</v>
      </c>
      <c r="G3">
        <v>107</v>
      </c>
      <c r="H3">
        <v>258.60000000000002</v>
      </c>
      <c r="I3" s="14">
        <v>373.06126699689037</v>
      </c>
      <c r="J3" s="259">
        <v>258.60000000000002</v>
      </c>
      <c r="K3" s="260">
        <v>373.06126699689037</v>
      </c>
      <c r="L3" s="16">
        <f t="shared" si="0"/>
        <v>28</v>
      </c>
      <c r="M3" s="230">
        <f t="shared" si="1"/>
        <v>22</v>
      </c>
      <c r="N3" s="159">
        <f t="shared" si="2"/>
        <v>22</v>
      </c>
      <c r="O3" s="159">
        <f t="shared" si="3"/>
        <v>19</v>
      </c>
      <c r="P3" t="e" vm="1">
        <f t="shared" si="4"/>
        <v>#VALUE!</v>
      </c>
      <c r="Q3" s="15">
        <v>0</v>
      </c>
      <c r="R3" s="15">
        <v>0</v>
      </c>
      <c r="S3">
        <v>-40</v>
      </c>
      <c r="T3" s="14" t="e" vm="1">
        <f>Table237[[#This Row],[BDG]]/Table237[[#This Row],[Odds]]</f>
        <v>#VALUE!</v>
      </c>
      <c r="U3" s="14" t="e" cm="1" vm="2">
        <f t="array" ref="U3">MAX(_xlfn._xlws.FILTER(Table22[[B365]:[BFAIREXC]], Table22[PLAYER] = A3))</f>
        <v>#VALUE!</v>
      </c>
      <c r="V3">
        <v>2</v>
      </c>
    </row>
    <row r="4" spans="1:23">
      <c r="A4" s="159" t="s">
        <v>557</v>
      </c>
      <c r="B4">
        <v>12</v>
      </c>
      <c r="C4">
        <v>67</v>
      </c>
      <c r="D4">
        <v>99</v>
      </c>
      <c r="E4">
        <v>162</v>
      </c>
      <c r="F4">
        <v>5</v>
      </c>
      <c r="G4">
        <v>7</v>
      </c>
      <c r="H4">
        <v>169.8</v>
      </c>
      <c r="I4" s="14">
        <v>232.86941159309421</v>
      </c>
      <c r="J4" s="259">
        <v>169.8</v>
      </c>
      <c r="K4" s="260">
        <v>232.86941159309421</v>
      </c>
      <c r="L4" s="16">
        <f t="shared" si="0"/>
        <v>2</v>
      </c>
      <c r="M4" s="230">
        <f t="shared" si="1"/>
        <v>3</v>
      </c>
      <c r="N4" s="159">
        <f t="shared" si="2"/>
        <v>2</v>
      </c>
      <c r="O4" s="159">
        <f t="shared" si="3"/>
        <v>3</v>
      </c>
      <c r="P4" t="e" vm="1">
        <f t="shared" si="4"/>
        <v>#VALUE!</v>
      </c>
      <c r="Q4" s="15">
        <v>0</v>
      </c>
      <c r="R4" s="15">
        <v>0</v>
      </c>
      <c r="S4">
        <v>-4</v>
      </c>
      <c r="T4" s="14">
        <f>Table237[[#This Row],[BDG]]/Table237[[#This Row],[Odds]]</f>
        <v>19.976470588235294</v>
      </c>
      <c r="U4" s="14" cm="1">
        <f t="array" ref="U4">MAX(_xlfn._xlws.FILTER(Table22[[B365]:[BFAIREXC]], Table22[PLAYER] = A4))</f>
        <v>8.5</v>
      </c>
      <c r="V4">
        <v>3</v>
      </c>
    </row>
    <row r="5" spans="1:23">
      <c r="A5" s="159" t="s">
        <v>495</v>
      </c>
      <c r="B5">
        <v>10</v>
      </c>
      <c r="C5">
        <v>60</v>
      </c>
      <c r="D5">
        <v>138</v>
      </c>
      <c r="E5">
        <v>109</v>
      </c>
      <c r="F5">
        <v>121</v>
      </c>
      <c r="G5">
        <v>95</v>
      </c>
      <c r="H5">
        <v>224.9</v>
      </c>
      <c r="I5" s="14">
        <v>378.6549093608221</v>
      </c>
      <c r="J5" s="259">
        <v>224.9</v>
      </c>
      <c r="K5" s="260">
        <v>378.6549093608221</v>
      </c>
      <c r="L5" s="16">
        <f t="shared" si="0"/>
        <v>14</v>
      </c>
      <c r="M5" s="230">
        <f t="shared" si="1"/>
        <v>24</v>
      </c>
      <c r="N5" s="159">
        <f t="shared" si="2"/>
        <v>11</v>
      </c>
      <c r="O5" s="159">
        <f t="shared" si="3"/>
        <v>23</v>
      </c>
      <c r="P5" t="e" vm="1">
        <f t="shared" si="4"/>
        <v>#VALUE!</v>
      </c>
      <c r="Q5" s="15">
        <v>0</v>
      </c>
      <c r="R5" s="15">
        <v>0</v>
      </c>
      <c r="S5">
        <v>62</v>
      </c>
      <c r="T5" s="14">
        <f>Table237[[#This Row],[BDG]]/Table237[[#This Row],[Odds]]</f>
        <v>27.260606060606062</v>
      </c>
      <c r="U5" s="14" cm="1">
        <f t="array" ref="U5">MAX(_xlfn._xlws.FILTER(Table22[[B365]:[BFAIREXC]], Table22[PLAYER] = A5))</f>
        <v>8.25</v>
      </c>
      <c r="V5">
        <v>3</v>
      </c>
    </row>
    <row r="6" spans="1:23">
      <c r="A6" s="159" t="s">
        <v>632</v>
      </c>
      <c r="B6">
        <v>59</v>
      </c>
      <c r="C6">
        <v>49</v>
      </c>
      <c r="D6">
        <v>21</v>
      </c>
      <c r="E6">
        <v>107</v>
      </c>
      <c r="F6">
        <v>159</v>
      </c>
      <c r="G6">
        <v>82</v>
      </c>
      <c r="H6">
        <v>206.6</v>
      </c>
      <c r="I6" s="14">
        <v>312.22365202828394</v>
      </c>
      <c r="J6" s="259">
        <v>248.36316523337166</v>
      </c>
      <c r="K6" s="260">
        <v>375.00727901144506</v>
      </c>
      <c r="L6" s="16">
        <f t="shared" si="0"/>
        <v>10</v>
      </c>
      <c r="M6" s="230">
        <f t="shared" si="1"/>
        <v>10</v>
      </c>
      <c r="N6" s="159">
        <f t="shared" si="2"/>
        <v>20</v>
      </c>
      <c r="O6" s="159">
        <f t="shared" si="3"/>
        <v>20</v>
      </c>
      <c r="P6" t="e" vm="1">
        <f t="shared" si="4"/>
        <v>#VALUE!</v>
      </c>
      <c r="Q6" s="15">
        <v>0</v>
      </c>
      <c r="R6" s="15">
        <v>0</v>
      </c>
      <c r="T6" s="14">
        <f>Table237[[#This Row],[BDG]]/Table237[[#This Row],[Odds]]</f>
        <v>52.61931466808722</v>
      </c>
      <c r="U6" s="14" cm="1">
        <f t="array" ref="U6">MAX(_xlfn._xlws.FILTER(Table22[[B365]:[BFAIREXC]], Table22[PLAYER] = A6))</f>
        <v>4.72</v>
      </c>
      <c r="V6">
        <v>3</v>
      </c>
    </row>
    <row r="7" spans="1:23">
      <c r="A7" s="159" t="s">
        <v>486</v>
      </c>
      <c r="B7">
        <v>58</v>
      </c>
      <c r="C7">
        <v>104</v>
      </c>
      <c r="D7">
        <v>153</v>
      </c>
      <c r="E7">
        <v>186</v>
      </c>
      <c r="F7">
        <v>176</v>
      </c>
      <c r="G7">
        <v>185</v>
      </c>
      <c r="H7">
        <v>352.6</v>
      </c>
      <c r="I7" s="14">
        <v>611.03217697333957</v>
      </c>
      <c r="J7" s="259">
        <v>352.6</v>
      </c>
      <c r="K7" s="260">
        <v>611.03217697333957</v>
      </c>
      <c r="L7" s="16">
        <f t="shared" si="0"/>
        <v>81</v>
      </c>
      <c r="M7" s="230">
        <f t="shared" si="1"/>
        <v>90</v>
      </c>
      <c r="N7" s="159">
        <f t="shared" si="2"/>
        <v>82</v>
      </c>
      <c r="O7" s="159">
        <f t="shared" si="3"/>
        <v>90</v>
      </c>
      <c r="P7" t="e" vm="1">
        <f t="shared" si="4"/>
        <v>#VALUE!</v>
      </c>
      <c r="Q7" s="15">
        <v>0</v>
      </c>
      <c r="R7" s="15">
        <v>0</v>
      </c>
      <c r="S7">
        <v>1</v>
      </c>
      <c r="T7" s="14">
        <f>Table237[[#This Row],[BDG]]/Table237[[#This Row],[Odds]]</f>
        <v>23.197368421052634</v>
      </c>
      <c r="U7" s="14" cm="1">
        <f t="array" ref="U7">MAX(_xlfn._xlws.FILTER(Table22[[B365]:[BFAIREXC]], Table22[PLAYER] = A7))</f>
        <v>15.2</v>
      </c>
      <c r="V7">
        <v>6</v>
      </c>
    </row>
    <row r="8" spans="1:23">
      <c r="A8" s="159" t="s">
        <v>522</v>
      </c>
      <c r="B8">
        <v>118</v>
      </c>
      <c r="C8">
        <v>182</v>
      </c>
      <c r="D8">
        <v>182</v>
      </c>
      <c r="E8">
        <v>16</v>
      </c>
      <c r="F8">
        <v>125</v>
      </c>
      <c r="G8">
        <v>182</v>
      </c>
      <c r="H8">
        <v>363.5</v>
      </c>
      <c r="I8" s="14">
        <v>583.6381125788464</v>
      </c>
      <c r="J8" s="259">
        <v>363.5</v>
      </c>
      <c r="K8" s="260">
        <v>583.6381125788464</v>
      </c>
      <c r="L8" s="16">
        <f t="shared" si="0"/>
        <v>86</v>
      </c>
      <c r="M8" s="230">
        <f t="shared" si="1"/>
        <v>83</v>
      </c>
      <c r="N8" s="159">
        <f t="shared" si="2"/>
        <v>86</v>
      </c>
      <c r="O8" s="159">
        <f t="shared" si="3"/>
        <v>85</v>
      </c>
      <c r="P8" t="e" vm="1">
        <f t="shared" si="4"/>
        <v>#VALUE!</v>
      </c>
      <c r="Q8" s="15">
        <v>0</v>
      </c>
      <c r="R8" s="15">
        <v>0</v>
      </c>
      <c r="S8">
        <v>-7</v>
      </c>
      <c r="T8" s="14">
        <f>Table237[[#This Row],[BDG]]/Table237[[#This Row],[Odds]]</f>
        <v>40.210176991150448</v>
      </c>
      <c r="U8" s="14" cm="1">
        <f t="array" ref="U8">MAX(_xlfn._xlws.FILTER(Table22[[B365]:[BFAIREXC]], Table22[PLAYER] = A8))</f>
        <v>9.0399999999999991</v>
      </c>
      <c r="V8">
        <v>6</v>
      </c>
    </row>
    <row r="9" spans="1:23">
      <c r="A9" s="159" t="s">
        <v>419</v>
      </c>
      <c r="B9">
        <v>175</v>
      </c>
      <c r="C9">
        <v>43</v>
      </c>
      <c r="D9">
        <v>151</v>
      </c>
      <c r="E9">
        <v>175</v>
      </c>
      <c r="F9">
        <v>146</v>
      </c>
      <c r="G9">
        <v>176</v>
      </c>
      <c r="H9">
        <v>395.1</v>
      </c>
      <c r="I9" s="14">
        <v>626.07394380807045</v>
      </c>
      <c r="J9" s="259">
        <v>395.1</v>
      </c>
      <c r="K9" s="260">
        <v>626.07394380807045</v>
      </c>
      <c r="L9" s="16">
        <f t="shared" si="0"/>
        <v>94</v>
      </c>
      <c r="M9" s="230">
        <f t="shared" si="1"/>
        <v>93</v>
      </c>
      <c r="N9" s="159">
        <f t="shared" si="2"/>
        <v>94</v>
      </c>
      <c r="O9" s="159">
        <f t="shared" si="3"/>
        <v>93</v>
      </c>
      <c r="P9" t="e" vm="1">
        <f t="shared" si="4"/>
        <v>#VALUE!</v>
      </c>
      <c r="Q9" s="15">
        <v>0</v>
      </c>
      <c r="R9" s="15">
        <v>0</v>
      </c>
      <c r="S9">
        <v>-48</v>
      </c>
      <c r="T9" s="14">
        <f>Table237[[#This Row],[BDG]]/Table237[[#This Row],[Odds]]</f>
        <v>25.165605095541405</v>
      </c>
      <c r="U9" s="14" cm="1">
        <f t="array" ref="U9">MAX(_xlfn._xlws.FILTER(Table22[[B365]:[BFAIREXC]], Table22[PLAYER] = A9))</f>
        <v>15.7</v>
      </c>
      <c r="V9">
        <v>6</v>
      </c>
    </row>
    <row r="10" spans="1:23">
      <c r="A10" s="159" t="s">
        <v>494</v>
      </c>
      <c r="B10">
        <v>48</v>
      </c>
      <c r="C10">
        <v>113</v>
      </c>
      <c r="D10">
        <v>177</v>
      </c>
      <c r="E10">
        <v>160</v>
      </c>
      <c r="F10">
        <v>117</v>
      </c>
      <c r="G10">
        <v>161</v>
      </c>
      <c r="H10">
        <v>323.60000000000002</v>
      </c>
      <c r="I10" s="14">
        <v>558.59568817292666</v>
      </c>
      <c r="J10" s="259">
        <v>323.60000000000002</v>
      </c>
      <c r="K10" s="260">
        <v>558.59568817292666</v>
      </c>
      <c r="L10" s="16">
        <f t="shared" si="0"/>
        <v>65</v>
      </c>
      <c r="M10" s="230">
        <f t="shared" si="1"/>
        <v>76</v>
      </c>
      <c r="N10" s="159">
        <f t="shared" si="2"/>
        <v>67</v>
      </c>
      <c r="O10" s="159">
        <f t="shared" si="3"/>
        <v>77</v>
      </c>
      <c r="P10" t="e" vm="1">
        <f t="shared" si="4"/>
        <v>#VALUE!</v>
      </c>
      <c r="Q10" s="15">
        <v>0</v>
      </c>
      <c r="R10" s="15">
        <v>0</v>
      </c>
      <c r="S10">
        <v>-19</v>
      </c>
      <c r="T10" s="14" t="e" vm="1">
        <f>Table237[[#This Row],[BDG]]/Table237[[#This Row],[Odds]]</f>
        <v>#VALUE!</v>
      </c>
      <c r="U10" s="14" t="e" cm="1" vm="2">
        <f t="array" ref="U10">MAX(_xlfn._xlws.FILTER(Table22[[B365]:[BFAIREXC]], Table22[PLAYER] = A10))</f>
        <v>#VALUE!</v>
      </c>
      <c r="V10">
        <v>9</v>
      </c>
    </row>
    <row r="11" spans="1:23">
      <c r="A11" s="159" t="s">
        <v>11</v>
      </c>
      <c r="B11">
        <v>40</v>
      </c>
      <c r="C11">
        <v>153</v>
      </c>
      <c r="D11">
        <v>165</v>
      </c>
      <c r="E11">
        <v>172</v>
      </c>
      <c r="F11">
        <v>157</v>
      </c>
      <c r="G11">
        <v>179</v>
      </c>
      <c r="H11">
        <v>354.8</v>
      </c>
      <c r="I11" s="14">
        <v>609.36307994229605</v>
      </c>
      <c r="J11" s="259">
        <v>273.31926835632453</v>
      </c>
      <c r="K11" s="260">
        <v>484.07606816311034</v>
      </c>
      <c r="L11" s="16">
        <f t="shared" si="0"/>
        <v>83</v>
      </c>
      <c r="M11" s="230">
        <f t="shared" si="1"/>
        <v>89</v>
      </c>
      <c r="N11" s="159">
        <f t="shared" si="2"/>
        <v>33</v>
      </c>
      <c r="O11" s="159">
        <f t="shared" si="3"/>
        <v>53</v>
      </c>
      <c r="P11" t="e" vm="1">
        <f t="shared" si="4"/>
        <v>#VALUE!</v>
      </c>
      <c r="Q11" s="15"/>
      <c r="R11" s="15"/>
      <c r="S11">
        <v>-21</v>
      </c>
      <c r="T11" s="14">
        <f>Table237[[#This Row],[BDG]]/Table237[[#This Row],[Odds]]</f>
        <v>39.726637842489033</v>
      </c>
      <c r="U11" s="14" cm="1">
        <f t="array" ref="U11">MAX(_xlfn._xlws.FILTER(Table22[[B365]:[BFAIREXC]], Table22[PLAYER] = A11))</f>
        <v>6.88</v>
      </c>
      <c r="V11">
        <v>10</v>
      </c>
    </row>
    <row r="12" spans="1:23">
      <c r="A12" s="159" t="s">
        <v>161</v>
      </c>
      <c r="B12">
        <v>157</v>
      </c>
      <c r="C12">
        <v>54</v>
      </c>
      <c r="D12">
        <v>130</v>
      </c>
      <c r="E12">
        <v>13</v>
      </c>
      <c r="F12">
        <v>106</v>
      </c>
      <c r="G12">
        <v>123</v>
      </c>
      <c r="H12">
        <v>288.8</v>
      </c>
      <c r="I12" s="14">
        <v>430.41849295758482</v>
      </c>
      <c r="J12" s="259">
        <v>295.70732824064436</v>
      </c>
      <c r="K12" s="260">
        <v>451.43967567378036</v>
      </c>
      <c r="L12" s="16">
        <f t="shared" si="0"/>
        <v>42</v>
      </c>
      <c r="M12" s="230">
        <f t="shared" si="1"/>
        <v>35</v>
      </c>
      <c r="N12" s="159">
        <f t="shared" si="2"/>
        <v>46</v>
      </c>
      <c r="O12" s="159">
        <f t="shared" si="3"/>
        <v>42</v>
      </c>
      <c r="P12" t="e" vm="1">
        <f t="shared" si="4"/>
        <v>#VALUE!</v>
      </c>
      <c r="Q12" s="15">
        <v>0</v>
      </c>
      <c r="R12" s="15">
        <v>0.2</v>
      </c>
      <c r="S12">
        <v>60</v>
      </c>
      <c r="T12" s="14" t="e" vm="1">
        <f>Table237[[#This Row],[BDG]]/Table237[[#This Row],[Odds]]</f>
        <v>#VALUE!</v>
      </c>
      <c r="U12" s="14" t="e" cm="1" vm="2">
        <f t="array" ref="U12">MAX(_xlfn._xlws.FILTER(Table22[[B365]:[BFAIREXC]], Table22[PLAYER] = A12))</f>
        <v>#VALUE!</v>
      </c>
      <c r="V12">
        <v>10</v>
      </c>
    </row>
    <row r="13" spans="1:23">
      <c r="A13" s="159" t="s">
        <v>186</v>
      </c>
      <c r="B13">
        <v>188</v>
      </c>
      <c r="C13">
        <v>28</v>
      </c>
      <c r="D13">
        <v>166</v>
      </c>
      <c r="E13">
        <v>24</v>
      </c>
      <c r="F13">
        <v>127</v>
      </c>
      <c r="G13">
        <v>171</v>
      </c>
      <c r="H13">
        <v>337.1</v>
      </c>
      <c r="I13" s="14">
        <v>534.58647984477216</v>
      </c>
      <c r="J13" s="259">
        <v>337.1</v>
      </c>
      <c r="K13" s="260">
        <v>534.58647984477216</v>
      </c>
      <c r="L13" s="16">
        <f t="shared" si="0"/>
        <v>74</v>
      </c>
      <c r="M13" s="230">
        <f t="shared" si="1"/>
        <v>65</v>
      </c>
      <c r="N13" s="159">
        <f t="shared" si="2"/>
        <v>75</v>
      </c>
      <c r="O13" s="159">
        <f t="shared" si="3"/>
        <v>67</v>
      </c>
      <c r="P13" t="e" vm="1">
        <f t="shared" si="4"/>
        <v>#VALUE!</v>
      </c>
      <c r="Q13" s="15"/>
      <c r="R13" s="15"/>
      <c r="T13" s="14">
        <f>Table237[[#This Row],[BDG]]/Table237[[#This Row],[Odds]]</f>
        <v>19.598837209302328</v>
      </c>
      <c r="U13" s="14" cm="1">
        <f t="array" ref="U13">MAX(_xlfn._xlws.FILTER(Table22[[B365]:[BFAIREXC]], Table22[PLAYER] = A13))</f>
        <v>17.2</v>
      </c>
      <c r="V13">
        <v>10</v>
      </c>
    </row>
    <row r="14" spans="1:23">
      <c r="A14" s="159" t="s">
        <v>558</v>
      </c>
      <c r="B14">
        <v>21</v>
      </c>
      <c r="C14">
        <v>57</v>
      </c>
      <c r="D14">
        <v>37</v>
      </c>
      <c r="E14">
        <v>100</v>
      </c>
      <c r="F14">
        <v>120</v>
      </c>
      <c r="G14">
        <v>19</v>
      </c>
      <c r="H14">
        <v>167.5</v>
      </c>
      <c r="I14" s="14">
        <v>216.53029824552846</v>
      </c>
      <c r="J14" s="259">
        <v>167.5</v>
      </c>
      <c r="K14" s="260">
        <v>216.53029824552846</v>
      </c>
      <c r="L14" s="16">
        <f t="shared" si="0"/>
        <v>1</v>
      </c>
      <c r="M14" s="230">
        <f t="shared" si="1"/>
        <v>1</v>
      </c>
      <c r="N14" s="159">
        <f t="shared" si="2"/>
        <v>1</v>
      </c>
      <c r="O14" s="159">
        <f t="shared" si="3"/>
        <v>1</v>
      </c>
      <c r="P14" t="e" vm="1">
        <f t="shared" si="4"/>
        <v>#VALUE!</v>
      </c>
      <c r="Q14" s="15">
        <v>0</v>
      </c>
      <c r="R14" s="15">
        <v>0</v>
      </c>
      <c r="S14">
        <v>-7</v>
      </c>
      <c r="T14" s="14">
        <f>Table237[[#This Row],[BDG]]/Table237[[#This Row],[Odds]]</f>
        <v>10.668789808917198</v>
      </c>
      <c r="U14" s="14" cm="1">
        <f t="array" ref="U14">MAX(_xlfn._xlws.FILTER(Table22[[B365]:[BFAIREXC]], Table22[PLAYER] = A14))</f>
        <v>15.7</v>
      </c>
    </row>
    <row r="15" spans="1:23">
      <c r="A15" s="159" t="s">
        <v>424</v>
      </c>
      <c r="B15">
        <v>94</v>
      </c>
      <c r="C15">
        <v>40</v>
      </c>
      <c r="D15">
        <v>78</v>
      </c>
      <c r="E15">
        <v>60</v>
      </c>
      <c r="F15">
        <v>35</v>
      </c>
      <c r="G15">
        <v>45</v>
      </c>
      <c r="H15">
        <v>183.5</v>
      </c>
      <c r="I15" s="14">
        <v>249.3350307166252</v>
      </c>
      <c r="J15" s="259">
        <v>183.5</v>
      </c>
      <c r="K15" s="260">
        <v>249.3350307166252</v>
      </c>
      <c r="L15" s="16">
        <f t="shared" si="0"/>
        <v>3</v>
      </c>
      <c r="M15" s="230">
        <f t="shared" si="1"/>
        <v>5</v>
      </c>
      <c r="N15" s="159">
        <f t="shared" si="2"/>
        <v>3</v>
      </c>
      <c r="O15" s="159">
        <f t="shared" si="3"/>
        <v>5</v>
      </c>
      <c r="P15" t="e" vm="1">
        <f t="shared" si="4"/>
        <v>#VALUE!</v>
      </c>
      <c r="Q15" s="15">
        <v>0</v>
      </c>
      <c r="R15" s="15">
        <v>0.2</v>
      </c>
      <c r="S15">
        <v>113</v>
      </c>
      <c r="T15" s="14">
        <f>Table237[[#This Row],[BDG]]/Table237[[#This Row],[Odds]]</f>
        <v>30.081967213114755</v>
      </c>
      <c r="U15" s="14" cm="1">
        <f t="array" ref="U15">MAX(_xlfn._xlws.FILTER(Table22[[B365]:[BFAIREXC]], Table22[PLAYER] = A15))</f>
        <v>6.1</v>
      </c>
    </row>
    <row r="16" spans="1:23">
      <c r="A16" s="159" t="s">
        <v>693</v>
      </c>
      <c r="B16">
        <v>77</v>
      </c>
      <c r="C16">
        <v>80</v>
      </c>
      <c r="D16">
        <v>121</v>
      </c>
      <c r="E16">
        <v>3</v>
      </c>
      <c r="F16">
        <v>24</v>
      </c>
      <c r="G16">
        <v>37</v>
      </c>
      <c r="H16">
        <v>187.39999999999998</v>
      </c>
      <c r="I16" s="14">
        <v>246.69752009192649</v>
      </c>
      <c r="J16" s="259">
        <v>187.39999999999998</v>
      </c>
      <c r="K16" s="260">
        <v>246.69752009192649</v>
      </c>
      <c r="L16" s="16">
        <f t="shared" si="0"/>
        <v>4</v>
      </c>
      <c r="M16" s="230">
        <f t="shared" si="1"/>
        <v>4</v>
      </c>
      <c r="N16" s="159">
        <f t="shared" si="2"/>
        <v>4</v>
      </c>
      <c r="O16" s="159">
        <f t="shared" si="3"/>
        <v>4</v>
      </c>
      <c r="P16" t="e" vm="1">
        <f t="shared" si="4"/>
        <v>#VALUE!</v>
      </c>
      <c r="Q16" s="15">
        <v>0</v>
      </c>
      <c r="R16" s="15">
        <v>0</v>
      </c>
      <c r="S16" t="e">
        <v>#N/A</v>
      </c>
      <c r="T16" s="14">
        <f>Table237[[#This Row],[BDG]]/Table237[[#This Row],[Odds]]</f>
        <v>14.415384615384614</v>
      </c>
      <c r="U16" s="14" cm="1">
        <f t="array" ref="U16">MAX(_xlfn._xlws.FILTER(Table22[[B365]:[BFAIREXC]], Table22[PLAYER] = A16))</f>
        <v>13</v>
      </c>
    </row>
    <row r="17" spans="1:21">
      <c r="A17" s="159" t="s">
        <v>410</v>
      </c>
      <c r="B17">
        <v>52</v>
      </c>
      <c r="C17">
        <v>90</v>
      </c>
      <c r="D17">
        <v>73</v>
      </c>
      <c r="E17">
        <v>124</v>
      </c>
      <c r="F17">
        <v>34</v>
      </c>
      <c r="G17">
        <v>54</v>
      </c>
      <c r="H17">
        <v>196.99999999999997</v>
      </c>
      <c r="I17" s="14">
        <v>288.73312297802136</v>
      </c>
      <c r="J17" s="259">
        <v>196.99999999999997</v>
      </c>
      <c r="K17" s="260">
        <v>288.73312297802136</v>
      </c>
      <c r="L17" s="16">
        <f t="shared" si="0"/>
        <v>5</v>
      </c>
      <c r="M17" s="230">
        <f t="shared" si="1"/>
        <v>9</v>
      </c>
      <c r="N17" s="159">
        <f t="shared" si="2"/>
        <v>5</v>
      </c>
      <c r="O17" s="159">
        <f t="shared" si="3"/>
        <v>7</v>
      </c>
      <c r="P17" t="e" vm="1">
        <f t="shared" si="4"/>
        <v>#VALUE!</v>
      </c>
      <c r="Q17" s="15">
        <v>0</v>
      </c>
      <c r="R17" s="15">
        <v>0.2</v>
      </c>
      <c r="S17">
        <v>94</v>
      </c>
      <c r="T17" s="14" t="e" vm="1">
        <f>Table237[[#This Row],[BDG]]/Table237[[#This Row],[Odds]]</f>
        <v>#VALUE!</v>
      </c>
      <c r="U17" s="14" t="e" cm="1" vm="2">
        <f t="array" ref="U17">MAX(_xlfn._xlws.FILTER(Table22[[B365]:[BFAIREXC]], Table22[PLAYER] = A17))</f>
        <v>#VALUE!</v>
      </c>
    </row>
    <row r="18" spans="1:21">
      <c r="A18" s="159" t="s">
        <v>497</v>
      </c>
      <c r="B18">
        <v>38</v>
      </c>
      <c r="C18">
        <v>140</v>
      </c>
      <c r="D18">
        <v>24</v>
      </c>
      <c r="E18">
        <v>45</v>
      </c>
      <c r="F18">
        <v>138</v>
      </c>
      <c r="G18">
        <v>52</v>
      </c>
      <c r="H18">
        <v>201.8</v>
      </c>
      <c r="I18" s="14">
        <v>268.15911815362369</v>
      </c>
      <c r="J18" s="259">
        <v>201.8</v>
      </c>
      <c r="K18" s="260">
        <v>268.15911815362369</v>
      </c>
      <c r="L18" s="16">
        <f t="shared" si="0"/>
        <v>7</v>
      </c>
      <c r="M18" s="230">
        <f t="shared" si="1"/>
        <v>7</v>
      </c>
      <c r="N18" s="159">
        <f t="shared" si="2"/>
        <v>6</v>
      </c>
      <c r="O18" s="159">
        <f t="shared" si="3"/>
        <v>6</v>
      </c>
      <c r="P18" t="e" vm="1">
        <f t="shared" si="4"/>
        <v>#VALUE!</v>
      </c>
      <c r="Q18" s="15">
        <v>0</v>
      </c>
      <c r="R18" s="15">
        <v>0</v>
      </c>
      <c r="S18">
        <v>20</v>
      </c>
      <c r="T18" s="14">
        <f>Table237[[#This Row],[BDG]]/Table237[[#This Row],[Odds]]</f>
        <v>18.345454545454547</v>
      </c>
      <c r="U18" s="14" cm="1">
        <f t="array" ref="U18">MAX(_xlfn._xlws.FILTER(Table22[[B365]:[BFAIREXC]], Table22[PLAYER] = A18))</f>
        <v>11</v>
      </c>
    </row>
    <row r="19" spans="1:21">
      <c r="A19" s="159" t="s">
        <v>433</v>
      </c>
      <c r="B19">
        <v>149</v>
      </c>
      <c r="C19">
        <v>7</v>
      </c>
      <c r="D19">
        <v>98</v>
      </c>
      <c r="E19">
        <v>27</v>
      </c>
      <c r="F19">
        <v>27</v>
      </c>
      <c r="G19">
        <v>13</v>
      </c>
      <c r="H19">
        <v>205.8</v>
      </c>
      <c r="I19" s="14">
        <v>230.85806563153099</v>
      </c>
      <c r="J19" s="259">
        <v>205.8</v>
      </c>
      <c r="K19" s="260">
        <v>230.85806563153099</v>
      </c>
      <c r="L19" s="16">
        <f t="shared" si="0"/>
        <v>9</v>
      </c>
      <c r="M19" s="230">
        <f t="shared" si="1"/>
        <v>2</v>
      </c>
      <c r="N19" s="159">
        <f t="shared" si="2"/>
        <v>7</v>
      </c>
      <c r="O19" s="159">
        <f t="shared" si="3"/>
        <v>2</v>
      </c>
      <c r="P19" t="e" vm="1">
        <f t="shared" si="4"/>
        <v>#VALUE!</v>
      </c>
      <c r="Q19" s="15">
        <v>0</v>
      </c>
      <c r="R19" s="15">
        <v>0</v>
      </c>
      <c r="S19">
        <v>33</v>
      </c>
      <c r="T19" s="14">
        <f>Table237[[#This Row],[BDG]]/Table237[[#This Row],[Odds]]</f>
        <v>19.980582524271846</v>
      </c>
      <c r="U19" s="14" cm="1">
        <f t="array" ref="U19">MAX(_xlfn._xlws.FILTER(Table22[[B365]:[BFAIREXC]], Table22[PLAYER] = A19))</f>
        <v>10.3</v>
      </c>
    </row>
    <row r="20" spans="1:21">
      <c r="A20" s="159" t="s">
        <v>493</v>
      </c>
      <c r="B20">
        <v>31</v>
      </c>
      <c r="C20">
        <v>161</v>
      </c>
      <c r="D20">
        <v>28</v>
      </c>
      <c r="E20">
        <v>32</v>
      </c>
      <c r="F20">
        <v>149</v>
      </c>
      <c r="G20">
        <v>110</v>
      </c>
      <c r="H20">
        <v>209.4</v>
      </c>
      <c r="I20" s="14">
        <v>333.42054868545574</v>
      </c>
      <c r="J20" s="259">
        <v>209.4</v>
      </c>
      <c r="K20" s="260">
        <v>333.42054868545574</v>
      </c>
      <c r="L20" s="16">
        <f t="shared" si="0"/>
        <v>11</v>
      </c>
      <c r="M20" s="230">
        <f t="shared" si="1"/>
        <v>14</v>
      </c>
      <c r="N20" s="159">
        <f t="shared" si="2"/>
        <v>8</v>
      </c>
      <c r="O20" s="159">
        <f t="shared" si="3"/>
        <v>11</v>
      </c>
      <c r="P20" t="e" vm="1">
        <f t="shared" si="4"/>
        <v>#VALUE!</v>
      </c>
      <c r="Q20" s="15">
        <v>0</v>
      </c>
      <c r="R20" s="15">
        <v>0</v>
      </c>
      <c r="S20">
        <v>23</v>
      </c>
      <c r="T20" s="14">
        <f>Table237[[#This Row],[BDG]]/Table237[[#This Row],[Odds]]</f>
        <v>29.914285714285715</v>
      </c>
      <c r="U20" s="14" cm="1">
        <f t="array" ref="U20">MAX(_xlfn._xlws.FILTER(Table22[[B365]:[BFAIREXC]], Table22[PLAYER] = A20))</f>
        <v>7</v>
      </c>
    </row>
    <row r="21" spans="1:21">
      <c r="A21" s="159" t="s">
        <v>596</v>
      </c>
      <c r="B21">
        <v>2</v>
      </c>
      <c r="C21">
        <v>183</v>
      </c>
      <c r="D21">
        <v>35</v>
      </c>
      <c r="E21">
        <v>132</v>
      </c>
      <c r="F21">
        <v>101</v>
      </c>
      <c r="G21">
        <v>90</v>
      </c>
      <c r="H21">
        <v>217.4</v>
      </c>
      <c r="I21" s="14">
        <v>345.52178801939061</v>
      </c>
      <c r="J21" s="259">
        <v>217.4</v>
      </c>
      <c r="K21" s="260">
        <v>345.52178801939061</v>
      </c>
      <c r="L21" s="16">
        <f t="shared" si="0"/>
        <v>12</v>
      </c>
      <c r="M21" s="230">
        <f t="shared" si="1"/>
        <v>16</v>
      </c>
      <c r="N21" s="159">
        <f t="shared" si="2"/>
        <v>9</v>
      </c>
      <c r="O21" s="159">
        <f t="shared" si="3"/>
        <v>13</v>
      </c>
      <c r="P21" t="e" vm="1">
        <f t="shared" si="4"/>
        <v>#VALUE!</v>
      </c>
      <c r="Q21" s="15">
        <v>0</v>
      </c>
      <c r="R21" s="15">
        <v>0</v>
      </c>
      <c r="S21">
        <v>16</v>
      </c>
      <c r="T21" s="14">
        <f>Table237[[#This Row],[BDG]]/Table237[[#This Row],[Odds]]</f>
        <v>25.576470588235296</v>
      </c>
      <c r="U21" s="14" cm="1">
        <f t="array" ref="U21">MAX(_xlfn._xlws.FILTER(Table22[[B365]:[BFAIREXC]], Table22[PLAYER] = A21))</f>
        <v>8.5</v>
      </c>
    </row>
    <row r="22" spans="1:21">
      <c r="A22" s="159" t="s">
        <v>692</v>
      </c>
      <c r="B22">
        <v>25</v>
      </c>
      <c r="C22">
        <v>163</v>
      </c>
      <c r="D22">
        <v>185</v>
      </c>
      <c r="E22">
        <v>1</v>
      </c>
      <c r="F22">
        <v>10</v>
      </c>
      <c r="G22">
        <v>110</v>
      </c>
      <c r="H22">
        <v>217.9</v>
      </c>
      <c r="I22" s="14">
        <v>372.37403313261501</v>
      </c>
      <c r="J22" s="259">
        <v>217.9</v>
      </c>
      <c r="K22" s="260">
        <v>372.37403313261501</v>
      </c>
      <c r="L22" s="16">
        <f t="shared" si="0"/>
        <v>13</v>
      </c>
      <c r="M22" s="230">
        <f t="shared" si="1"/>
        <v>21</v>
      </c>
      <c r="N22" s="159">
        <f t="shared" si="2"/>
        <v>10</v>
      </c>
      <c r="O22" s="159">
        <f t="shared" si="3"/>
        <v>18</v>
      </c>
      <c r="P22" t="e" vm="1">
        <f t="shared" si="4"/>
        <v>#VALUE!</v>
      </c>
      <c r="Q22" s="15">
        <v>0</v>
      </c>
      <c r="R22" s="15">
        <v>0</v>
      </c>
      <c r="S22">
        <v>71</v>
      </c>
      <c r="T22" s="14">
        <f>Table237[[#This Row],[BDG]]/Table237[[#This Row],[Odds]]</f>
        <v>13.967948717948719</v>
      </c>
      <c r="U22" s="14" cm="1">
        <f t="array" ref="U22">MAX(_xlfn._xlws.FILTER(Table22[[B365]:[BFAIREXC]], Table22[PLAYER] = A22))</f>
        <v>15.6</v>
      </c>
    </row>
    <row r="23" spans="1:21">
      <c r="A23" s="159" t="s">
        <v>489</v>
      </c>
      <c r="B23">
        <v>92</v>
      </c>
      <c r="C23">
        <v>99</v>
      </c>
      <c r="D23">
        <v>45</v>
      </c>
      <c r="E23">
        <v>56</v>
      </c>
      <c r="F23">
        <v>107</v>
      </c>
      <c r="G23">
        <v>88</v>
      </c>
      <c r="H23">
        <v>226.00000000000003</v>
      </c>
      <c r="I23" s="14">
        <v>328.07684695076432</v>
      </c>
      <c r="J23" s="259">
        <v>226.00000000000003</v>
      </c>
      <c r="K23" s="260">
        <v>328.07684695076432</v>
      </c>
      <c r="L23" s="16">
        <f t="shared" si="0"/>
        <v>16</v>
      </c>
      <c r="M23" s="230">
        <f t="shared" si="1"/>
        <v>12</v>
      </c>
      <c r="N23" s="159">
        <f t="shared" si="2"/>
        <v>12</v>
      </c>
      <c r="O23" s="159">
        <f t="shared" si="3"/>
        <v>10</v>
      </c>
      <c r="P23" t="e" vm="1">
        <f t="shared" si="4"/>
        <v>#VALUE!</v>
      </c>
      <c r="Q23" s="15">
        <v>0</v>
      </c>
      <c r="R23" s="15">
        <v>0</v>
      </c>
      <c r="S23">
        <v>43</v>
      </c>
      <c r="T23" s="14" t="e" vm="1">
        <f>Table237[[#This Row],[BDG]]/Table237[[#This Row],[Odds]]</f>
        <v>#VALUE!</v>
      </c>
      <c r="U23" s="14" t="e" cm="1" vm="2">
        <f t="array" ref="U23">MAX(_xlfn._xlws.FILTER(Table22[[B365]:[BFAIREXC]], Table22[PLAYER] = A23))</f>
        <v>#VALUE!</v>
      </c>
    </row>
    <row r="24" spans="1:21">
      <c r="A24" s="159" t="s">
        <v>361</v>
      </c>
      <c r="B24">
        <v>45</v>
      </c>
      <c r="C24">
        <v>41</v>
      </c>
      <c r="D24">
        <v>173</v>
      </c>
      <c r="E24">
        <v>58</v>
      </c>
      <c r="F24">
        <v>86</v>
      </c>
      <c r="G24">
        <v>104</v>
      </c>
      <c r="H24">
        <v>226.5</v>
      </c>
      <c r="I24" s="14">
        <v>382.51013170569462</v>
      </c>
      <c r="J24" s="259">
        <v>226.5</v>
      </c>
      <c r="K24" s="260">
        <v>382.51013170569462</v>
      </c>
      <c r="L24" s="16">
        <f t="shared" si="0"/>
        <v>17</v>
      </c>
      <c r="M24" s="230">
        <f t="shared" si="1"/>
        <v>26</v>
      </c>
      <c r="N24" s="159">
        <f t="shared" si="2"/>
        <v>13</v>
      </c>
      <c r="O24" s="159">
        <f t="shared" si="3"/>
        <v>24</v>
      </c>
      <c r="P24" t="e" vm="1">
        <f t="shared" si="4"/>
        <v>#VALUE!</v>
      </c>
      <c r="Q24" s="15" t="e">
        <v>#N/A</v>
      </c>
      <c r="R24" s="15" t="e">
        <v>#N/A</v>
      </c>
      <c r="S24">
        <v>-13</v>
      </c>
      <c r="T24" s="14" t="e" vm="1">
        <f>Table237[[#This Row],[BDG]]/Table237[[#This Row],[Odds]]</f>
        <v>#VALUE!</v>
      </c>
      <c r="U24" s="14" t="e" cm="1" vm="2">
        <f t="array" ref="U24">MAX(_xlfn._xlws.FILTER(Table22[[B365]:[BFAIREXC]], Table22[PLAYER] = A24))</f>
        <v>#VALUE!</v>
      </c>
    </row>
    <row r="25" spans="1:21">
      <c r="A25" s="159" t="s">
        <v>152</v>
      </c>
      <c r="B25">
        <v>102</v>
      </c>
      <c r="C25">
        <v>1</v>
      </c>
      <c r="D25">
        <v>33</v>
      </c>
      <c r="E25">
        <v>94</v>
      </c>
      <c r="F25">
        <v>132</v>
      </c>
      <c r="G25">
        <v>59</v>
      </c>
      <c r="H25">
        <v>205.5</v>
      </c>
      <c r="I25" s="14">
        <v>282.26792861312686</v>
      </c>
      <c r="J25" s="259">
        <v>228.14402388454715</v>
      </c>
      <c r="K25" s="260">
        <v>290.6794609186324</v>
      </c>
      <c r="L25" s="16">
        <f t="shared" si="0"/>
        <v>8</v>
      </c>
      <c r="M25" s="230">
        <f t="shared" si="1"/>
        <v>8</v>
      </c>
      <c r="N25" s="159">
        <f t="shared" si="2"/>
        <v>14</v>
      </c>
      <c r="O25" s="159">
        <f t="shared" si="3"/>
        <v>8</v>
      </c>
      <c r="P25" t="e" vm="1">
        <f t="shared" si="4"/>
        <v>#VALUE!</v>
      </c>
      <c r="Q25" s="15">
        <v>0</v>
      </c>
      <c r="R25" s="15">
        <v>0</v>
      </c>
      <c r="S25">
        <v>18</v>
      </c>
      <c r="T25" s="14">
        <f>Table237[[#This Row],[BDG]]/Table237[[#This Row],[Odds]]</f>
        <v>51.499779657911326</v>
      </c>
      <c r="U25" s="14" cm="1">
        <f t="array" ref="U25">MAX(_xlfn._xlws.FILTER(Table22[[B365]:[BFAIREXC]], Table22[PLAYER] = A25))</f>
        <v>4.43</v>
      </c>
    </row>
    <row r="26" spans="1:21">
      <c r="A26" s="159" t="s">
        <v>799</v>
      </c>
      <c r="B26">
        <v>21</v>
      </c>
      <c r="C26">
        <v>176</v>
      </c>
      <c r="D26">
        <v>107</v>
      </c>
      <c r="E26">
        <v>93</v>
      </c>
      <c r="F26">
        <v>4</v>
      </c>
      <c r="G26">
        <v>6</v>
      </c>
      <c r="H26">
        <v>227.2</v>
      </c>
      <c r="I26" s="14">
        <v>257.67666094359214</v>
      </c>
      <c r="J26" s="259">
        <v>228.29830809292235</v>
      </c>
      <c r="K26" s="260">
        <v>340.2494869441669</v>
      </c>
      <c r="L26" s="16">
        <f t="shared" si="0"/>
        <v>18</v>
      </c>
      <c r="M26" s="230">
        <f t="shared" si="1"/>
        <v>6</v>
      </c>
      <c r="N26" s="159">
        <f t="shared" si="2"/>
        <v>15</v>
      </c>
      <c r="O26" s="159">
        <f t="shared" si="3"/>
        <v>12</v>
      </c>
      <c r="P26" t="e" vm="1">
        <f t="shared" si="4"/>
        <v>#VALUE!</v>
      </c>
      <c r="Q26" s="15" t="e">
        <v>#N/A</v>
      </c>
      <c r="R26" s="15" t="e">
        <v>#N/A</v>
      </c>
      <c r="S26" t="e">
        <v>#N/A</v>
      </c>
      <c r="T26" s="14" t="e" vm="1">
        <f>Table237[[#This Row],[BDG]]/Table237[[#This Row],[Odds]]</f>
        <v>#VALUE!</v>
      </c>
      <c r="U26" s="14" t="e" cm="1" vm="2">
        <f t="array" ref="U26">MAX(_xlfn._xlws.FILTER(Table22[[B365]:[BFAIREXC]], Table22[PLAYER] = A26))</f>
        <v>#VALUE!</v>
      </c>
    </row>
    <row r="27" spans="1:21">
      <c r="A27" s="159" t="s">
        <v>485</v>
      </c>
      <c r="B27">
        <v>11</v>
      </c>
      <c r="C27">
        <v>100</v>
      </c>
      <c r="D27">
        <v>23</v>
      </c>
      <c r="E27">
        <v>158</v>
      </c>
      <c r="F27">
        <v>186</v>
      </c>
      <c r="G27">
        <v>155</v>
      </c>
      <c r="H27">
        <v>228.8</v>
      </c>
      <c r="I27" s="14">
        <v>425.02342175563325</v>
      </c>
      <c r="J27" s="259">
        <v>228.8</v>
      </c>
      <c r="K27" s="260">
        <v>425.02342175563325</v>
      </c>
      <c r="L27" s="16">
        <f t="shared" si="0"/>
        <v>19</v>
      </c>
      <c r="M27" s="230">
        <f t="shared" si="1"/>
        <v>34</v>
      </c>
      <c r="N27" s="159">
        <f t="shared" si="2"/>
        <v>16</v>
      </c>
      <c r="O27" s="159">
        <f t="shared" si="3"/>
        <v>33</v>
      </c>
      <c r="P27" t="e" vm="1">
        <f t="shared" si="4"/>
        <v>#VALUE!</v>
      </c>
      <c r="Q27" s="15">
        <v>0</v>
      </c>
      <c r="R27" s="15">
        <v>0</v>
      </c>
      <c r="S27">
        <v>30</v>
      </c>
      <c r="T27" s="14">
        <f>Table237[[#This Row],[BDG]]/Table237[[#This Row],[Odds]]</f>
        <v>25.309734513274339</v>
      </c>
      <c r="U27" s="14" cm="1">
        <f t="array" ref="U27">MAX(_xlfn._xlws.FILTER(Table22[[B365]:[BFAIREXC]], Table22[PLAYER] = A27))</f>
        <v>9.0399999999999991</v>
      </c>
    </row>
    <row r="28" spans="1:21">
      <c r="A28" s="159" t="s">
        <v>434</v>
      </c>
      <c r="B28">
        <v>68</v>
      </c>
      <c r="C28">
        <v>131</v>
      </c>
      <c r="D28">
        <v>38</v>
      </c>
      <c r="E28">
        <v>75</v>
      </c>
      <c r="F28">
        <v>168</v>
      </c>
      <c r="G28">
        <v>100</v>
      </c>
      <c r="H28">
        <v>256.70000000000005</v>
      </c>
      <c r="I28" s="14">
        <v>377.57273087573424</v>
      </c>
      <c r="J28" s="259">
        <v>236.92015768902692</v>
      </c>
      <c r="K28" s="260">
        <v>325.55841089293108</v>
      </c>
      <c r="L28" s="16">
        <f t="shared" si="0"/>
        <v>27</v>
      </c>
      <c r="M28" s="230">
        <f t="shared" si="1"/>
        <v>23</v>
      </c>
      <c r="N28" s="159">
        <f t="shared" si="2"/>
        <v>17</v>
      </c>
      <c r="O28" s="159">
        <f t="shared" si="3"/>
        <v>9</v>
      </c>
      <c r="P28" t="e" vm="1">
        <f t="shared" si="4"/>
        <v>#VALUE!</v>
      </c>
      <c r="Q28" s="15">
        <v>0</v>
      </c>
      <c r="R28" s="15">
        <v>0.16666666666666666</v>
      </c>
      <c r="S28">
        <v>37</v>
      </c>
      <c r="T28" s="14" t="e" vm="1">
        <f>Table237[[#This Row],[BDG]]/Table237[[#This Row],[Odds]]</f>
        <v>#VALUE!</v>
      </c>
      <c r="U28" s="14" t="e" cm="1" vm="2">
        <f t="array" ref="U28">MAX(_xlfn._xlws.FILTER(Table22[[B365]:[BFAIREXC]], Table22[PLAYER] = A28))</f>
        <v>#VALUE!</v>
      </c>
    </row>
    <row r="29" spans="1:21">
      <c r="A29" s="159" t="s">
        <v>62</v>
      </c>
      <c r="B29">
        <v>81</v>
      </c>
      <c r="C29">
        <v>165</v>
      </c>
      <c r="D29">
        <v>76</v>
      </c>
      <c r="E29">
        <v>126</v>
      </c>
      <c r="F29">
        <v>91</v>
      </c>
      <c r="G29">
        <v>143</v>
      </c>
      <c r="H29">
        <v>288.8</v>
      </c>
      <c r="I29" s="14">
        <v>468.7801028496263</v>
      </c>
      <c r="J29" s="259">
        <v>245.15598215749884</v>
      </c>
      <c r="K29" s="260">
        <v>378.19104846453894</v>
      </c>
      <c r="L29" s="16">
        <f t="shared" si="0"/>
        <v>42</v>
      </c>
      <c r="M29" s="230">
        <f t="shared" si="1"/>
        <v>50</v>
      </c>
      <c r="N29" s="159">
        <f t="shared" si="2"/>
        <v>18</v>
      </c>
      <c r="O29" s="159">
        <f t="shared" si="3"/>
        <v>21</v>
      </c>
      <c r="P29" t="e" vm="1">
        <f t="shared" si="4"/>
        <v>#VALUE!</v>
      </c>
      <c r="Q29" s="15">
        <v>0</v>
      </c>
      <c r="R29" s="15">
        <v>0.16666666666666666</v>
      </c>
      <c r="S29">
        <v>-79</v>
      </c>
      <c r="T29" s="14">
        <f>Table237[[#This Row],[BDG]]/Table237[[#This Row],[Odds]]</f>
        <v>22.699627977546186</v>
      </c>
      <c r="U29" s="14" cm="1">
        <f t="array" ref="U29">MAX(_xlfn._xlws.FILTER(Table22[[B365]:[BFAIREXC]], Table22[PLAYER] = A29))</f>
        <v>10.8</v>
      </c>
    </row>
    <row r="30" spans="1:21">
      <c r="A30" s="159" t="s">
        <v>122</v>
      </c>
      <c r="B30">
        <v>124</v>
      </c>
      <c r="C30">
        <v>6</v>
      </c>
      <c r="D30">
        <v>147</v>
      </c>
      <c r="E30">
        <v>52</v>
      </c>
      <c r="F30">
        <v>78</v>
      </c>
      <c r="G30">
        <v>119</v>
      </c>
      <c r="H30">
        <v>250.20000000000002</v>
      </c>
      <c r="I30" s="14">
        <v>403.15649257358587</v>
      </c>
      <c r="J30" s="259">
        <v>245.88227630969908</v>
      </c>
      <c r="K30" s="260">
        <v>359.1092394387818</v>
      </c>
      <c r="L30" s="16">
        <f t="shared" si="0"/>
        <v>25</v>
      </c>
      <c r="M30" s="230">
        <f t="shared" si="1"/>
        <v>28</v>
      </c>
      <c r="N30" s="159">
        <f t="shared" si="2"/>
        <v>19</v>
      </c>
      <c r="O30" s="159">
        <f t="shared" si="3"/>
        <v>15</v>
      </c>
      <c r="P30" t="e" vm="1">
        <f t="shared" si="4"/>
        <v>#VALUE!</v>
      </c>
      <c r="Q30" s="15">
        <v>0</v>
      </c>
      <c r="R30" s="15">
        <v>0.16666666666666666</v>
      </c>
      <c r="S30">
        <v>-81</v>
      </c>
      <c r="T30" s="14">
        <f>Table237[[#This Row],[BDG]]/Table237[[#This Row],[Odds]]</f>
        <v>53.106323177040842</v>
      </c>
      <c r="U30" s="14" cm="1">
        <f t="array" ref="U30">MAX(_xlfn._xlws.FILTER(Table22[[B365]:[BFAIREXC]], Table22[PLAYER] = A30))</f>
        <v>4.63</v>
      </c>
    </row>
    <row r="31" spans="1:21">
      <c r="A31" s="159" t="s">
        <v>39</v>
      </c>
      <c r="B31">
        <v>82</v>
      </c>
      <c r="C31">
        <v>149</v>
      </c>
      <c r="D31">
        <v>161</v>
      </c>
      <c r="E31">
        <v>4</v>
      </c>
      <c r="F31">
        <v>70</v>
      </c>
      <c r="G31">
        <v>106</v>
      </c>
      <c r="H31">
        <v>273.3</v>
      </c>
      <c r="I31" s="14">
        <v>412.70569659665006</v>
      </c>
      <c r="J31" s="259">
        <v>256.08402064344244</v>
      </c>
      <c r="K31" s="260">
        <v>378.65323276684842</v>
      </c>
      <c r="L31" s="16">
        <f t="shared" si="0"/>
        <v>37</v>
      </c>
      <c r="M31" s="230">
        <f t="shared" si="1"/>
        <v>30</v>
      </c>
      <c r="N31" s="159">
        <f t="shared" si="2"/>
        <v>21</v>
      </c>
      <c r="O31" s="159">
        <f t="shared" si="3"/>
        <v>22</v>
      </c>
      <c r="P31" t="e" vm="1">
        <f t="shared" si="4"/>
        <v>#VALUE!</v>
      </c>
      <c r="Q31" s="15">
        <v>0</v>
      </c>
      <c r="R31" s="15">
        <v>0</v>
      </c>
      <c r="S31">
        <v>-38</v>
      </c>
      <c r="T31" s="14">
        <f>Table237[[#This Row],[BDG]]/Table237[[#This Row],[Odds]]</f>
        <v>33.431334287655673</v>
      </c>
      <c r="U31" s="14" cm="1">
        <f t="array" ref="U31">MAX(_xlfn._xlws.FILTER(Table22[[B365]:[BFAIREXC]], Table22[PLAYER] = A31))</f>
        <v>7.66</v>
      </c>
    </row>
    <row r="32" spans="1:21">
      <c r="A32" s="159" t="s">
        <v>30</v>
      </c>
      <c r="B32">
        <v>22</v>
      </c>
      <c r="C32">
        <v>170</v>
      </c>
      <c r="D32">
        <v>94</v>
      </c>
      <c r="E32">
        <v>79</v>
      </c>
      <c r="F32">
        <v>104</v>
      </c>
      <c r="G32">
        <v>72</v>
      </c>
      <c r="H32">
        <v>242.6</v>
      </c>
      <c r="I32" s="14">
        <v>354.58566144041993</v>
      </c>
      <c r="J32" s="259">
        <v>261.09619472737018</v>
      </c>
      <c r="K32" s="260">
        <v>387.42510887430808</v>
      </c>
      <c r="L32" s="16">
        <f t="shared" si="0"/>
        <v>21</v>
      </c>
      <c r="M32" s="230">
        <f t="shared" si="1"/>
        <v>18</v>
      </c>
      <c r="N32" s="159">
        <f t="shared" si="2"/>
        <v>23</v>
      </c>
      <c r="O32" s="159">
        <f t="shared" si="3"/>
        <v>25</v>
      </c>
      <c r="P32" t="e" vm="1">
        <f t="shared" si="4"/>
        <v>#VALUE!</v>
      </c>
      <c r="Q32" s="15">
        <v>0</v>
      </c>
      <c r="R32" s="15">
        <v>0</v>
      </c>
      <c r="S32">
        <v>-45</v>
      </c>
      <c r="T32" s="14">
        <f>Table237[[#This Row],[BDG]]/Table237[[#This Row],[Odds]]</f>
        <v>52.011194168798845</v>
      </c>
      <c r="U32" s="14" cm="1">
        <f t="array" ref="U32">MAX(_xlfn._xlws.FILTER(Table22[[B365]:[BFAIREXC]], Table22[PLAYER] = A32))</f>
        <v>5.0199999999999996</v>
      </c>
    </row>
    <row r="33" spans="1:21">
      <c r="A33" s="159" t="s">
        <v>427</v>
      </c>
      <c r="B33">
        <v>107</v>
      </c>
      <c r="C33">
        <v>76</v>
      </c>
      <c r="D33">
        <v>61</v>
      </c>
      <c r="E33">
        <v>20</v>
      </c>
      <c r="F33">
        <v>124</v>
      </c>
      <c r="G33">
        <v>89</v>
      </c>
      <c r="H33">
        <v>230.20000000000002</v>
      </c>
      <c r="I33" s="14">
        <v>328.65314687844955</v>
      </c>
      <c r="J33" s="259">
        <v>262.60008874120882</v>
      </c>
      <c r="K33" s="260">
        <v>392.11636153789448</v>
      </c>
      <c r="L33" s="16">
        <f t="shared" si="0"/>
        <v>20</v>
      </c>
      <c r="M33" s="230">
        <f t="shared" si="1"/>
        <v>13</v>
      </c>
      <c r="N33" s="159">
        <f t="shared" si="2"/>
        <v>24</v>
      </c>
      <c r="O33" s="159">
        <f t="shared" si="3"/>
        <v>28</v>
      </c>
      <c r="P33" t="e" vm="1">
        <f t="shared" si="4"/>
        <v>#VALUE!</v>
      </c>
      <c r="Q33" s="15">
        <v>0</v>
      </c>
      <c r="R33" s="15">
        <v>0</v>
      </c>
      <c r="S33">
        <v>-25</v>
      </c>
      <c r="T33" s="14" t="e" vm="1">
        <f>Table237[[#This Row],[BDG]]/Table237[[#This Row],[Odds]]</f>
        <v>#VALUE!</v>
      </c>
      <c r="U33" s="14" t="e" cm="1" vm="2">
        <f t="array" ref="U33">MAX(_xlfn._xlws.FILTER(Table22[[B365]:[BFAIREXC]], Table22[PLAYER] = A33))</f>
        <v>#VALUE!</v>
      </c>
    </row>
    <row r="34" spans="1:21">
      <c r="A34" s="159" t="s">
        <v>562</v>
      </c>
      <c r="B34">
        <v>3</v>
      </c>
      <c r="C34">
        <v>132</v>
      </c>
      <c r="D34">
        <v>111</v>
      </c>
      <c r="E34">
        <v>182</v>
      </c>
      <c r="F34">
        <v>111</v>
      </c>
      <c r="G34">
        <v>109</v>
      </c>
      <c r="H34">
        <v>263.3</v>
      </c>
      <c r="I34" s="14">
        <v>439.58232303188288</v>
      </c>
      <c r="J34" s="259">
        <v>263.3</v>
      </c>
      <c r="K34" s="260">
        <v>439.58232303188288</v>
      </c>
      <c r="L34" s="16">
        <f t="shared" ref="L34:L65" si="5">RANK(H34,$H$2:$H$104,1)</f>
        <v>29</v>
      </c>
      <c r="M34" s="230">
        <f t="shared" ref="M34:M65" si="6">RANK(I34,$I$2:$I$104,1)</f>
        <v>38</v>
      </c>
      <c r="N34" s="159">
        <f t="shared" ref="N34:N65" si="7">RANK(J34,$J$2:$J$104,1)</f>
        <v>25</v>
      </c>
      <c r="O34" s="159">
        <f t="shared" ref="O34:O65" si="8">RANK(K34,$K$2:$K$104,1)</f>
        <v>38</v>
      </c>
      <c r="P34" t="e" vm="1">
        <f t="shared" ref="P34:P65" si="9">RANK(U34,$U$2:$U$104,0)</f>
        <v>#VALUE!</v>
      </c>
      <c r="Q34" s="15">
        <v>0</v>
      </c>
      <c r="R34" s="15">
        <v>0</v>
      </c>
      <c r="S34">
        <v>4</v>
      </c>
      <c r="T34" s="14">
        <f>Table237[[#This Row],[BDG]]/Table237[[#This Row],[Odds]]</f>
        <v>22.3135593220339</v>
      </c>
      <c r="U34" s="14" cm="1">
        <f t="array" ref="U34">MAX(_xlfn._xlws.FILTER(Table22[[B365]:[BFAIREXC]], Table22[PLAYER] = A34))</f>
        <v>11.8</v>
      </c>
    </row>
    <row r="35" spans="1:21">
      <c r="A35" s="159" t="s">
        <v>97</v>
      </c>
      <c r="B35">
        <v>126</v>
      </c>
      <c r="C35">
        <v>156</v>
      </c>
      <c r="D35">
        <v>150</v>
      </c>
      <c r="E35">
        <v>21</v>
      </c>
      <c r="F35">
        <v>77</v>
      </c>
      <c r="G35">
        <v>122</v>
      </c>
      <c r="H35">
        <v>315.7</v>
      </c>
      <c r="I35" s="14">
        <v>466.36465124510283</v>
      </c>
      <c r="J35" s="259">
        <v>265.63774423948399</v>
      </c>
      <c r="K35" s="260">
        <v>362.72818633394616</v>
      </c>
      <c r="L35" s="16">
        <f t="shared" si="5"/>
        <v>57</v>
      </c>
      <c r="M35" s="230">
        <f t="shared" si="6"/>
        <v>48</v>
      </c>
      <c r="N35" s="159">
        <f t="shared" si="7"/>
        <v>26</v>
      </c>
      <c r="O35" s="159">
        <f t="shared" si="8"/>
        <v>16</v>
      </c>
      <c r="P35" t="e" vm="1">
        <f t="shared" si="9"/>
        <v>#VALUE!</v>
      </c>
      <c r="Q35" s="15">
        <v>0</v>
      </c>
      <c r="R35" s="15">
        <v>0.14285714285714285</v>
      </c>
      <c r="S35">
        <v>-75</v>
      </c>
      <c r="T35" s="14">
        <f>Table237[[#This Row],[BDG]]/Table237[[#This Row],[Odds]]</f>
        <v>48.210116921866423</v>
      </c>
      <c r="U35" s="14" cm="1">
        <f t="array" ref="U35">MAX(_xlfn._xlws.FILTER(Table22[[B365]:[BFAIREXC]], Table22[PLAYER] = A35))</f>
        <v>5.51</v>
      </c>
    </row>
    <row r="36" spans="1:21">
      <c r="A36" s="159" t="s">
        <v>560</v>
      </c>
      <c r="B36">
        <v>40</v>
      </c>
      <c r="C36">
        <v>178</v>
      </c>
      <c r="D36">
        <v>89</v>
      </c>
      <c r="E36">
        <v>40</v>
      </c>
      <c r="F36">
        <v>151</v>
      </c>
      <c r="G36">
        <v>149</v>
      </c>
      <c r="H36">
        <v>265.89999999999998</v>
      </c>
      <c r="I36" s="14">
        <v>444.88258336718275</v>
      </c>
      <c r="J36" s="259">
        <v>265.89999999999998</v>
      </c>
      <c r="K36" s="260">
        <v>444.88258336718275</v>
      </c>
      <c r="L36" s="16">
        <f t="shared" si="5"/>
        <v>31</v>
      </c>
      <c r="M36" s="230">
        <f t="shared" si="6"/>
        <v>40</v>
      </c>
      <c r="N36" s="159">
        <f t="shared" si="7"/>
        <v>27</v>
      </c>
      <c r="O36" s="159">
        <f t="shared" si="8"/>
        <v>40</v>
      </c>
      <c r="P36" t="e" vm="1">
        <f t="shared" si="9"/>
        <v>#VALUE!</v>
      </c>
      <c r="Q36" s="15">
        <v>0</v>
      </c>
      <c r="R36" s="15">
        <v>0</v>
      </c>
      <c r="S36">
        <v>20</v>
      </c>
      <c r="T36" s="14">
        <f>Table237[[#This Row],[BDG]]/Table237[[#This Row],[Odds]]</f>
        <v>34.712793733681458</v>
      </c>
      <c r="U36" s="14" cm="1">
        <f t="array" ref="U36">MAX(_xlfn._xlws.FILTER(Table22[[B365]:[BFAIREXC]], Table22[PLAYER] = A36))</f>
        <v>7.66</v>
      </c>
    </row>
    <row r="37" spans="1:21">
      <c r="A37" s="159" t="s">
        <v>496</v>
      </c>
      <c r="B37">
        <v>131</v>
      </c>
      <c r="C37">
        <v>98</v>
      </c>
      <c r="D37">
        <v>60</v>
      </c>
      <c r="E37">
        <v>134</v>
      </c>
      <c r="F37">
        <v>45</v>
      </c>
      <c r="G37">
        <v>97</v>
      </c>
      <c r="H37">
        <v>265.89999999999998</v>
      </c>
      <c r="I37" s="14">
        <v>389.68281816982244</v>
      </c>
      <c r="J37" s="259">
        <v>265.89999999999998</v>
      </c>
      <c r="K37" s="260">
        <v>389.68281816982244</v>
      </c>
      <c r="L37" s="16">
        <f t="shared" si="5"/>
        <v>31</v>
      </c>
      <c r="M37" s="230">
        <f t="shared" si="6"/>
        <v>27</v>
      </c>
      <c r="N37" s="159">
        <f t="shared" si="7"/>
        <v>27</v>
      </c>
      <c r="O37" s="159">
        <f t="shared" si="8"/>
        <v>26</v>
      </c>
      <c r="P37" t="e" vm="1">
        <f t="shared" si="9"/>
        <v>#VALUE!</v>
      </c>
      <c r="Q37" s="15">
        <v>0</v>
      </c>
      <c r="R37" s="15">
        <v>0</v>
      </c>
      <c r="S37">
        <v>23</v>
      </c>
      <c r="T37" s="14">
        <f>Table237[[#This Row],[BDG]]/Table237[[#This Row],[Odds]]</f>
        <v>33.829516539440199</v>
      </c>
      <c r="U37" s="14" cm="1">
        <f t="array" ref="U37">MAX(_xlfn._xlws.FILTER(Table22[[B365]:[BFAIREXC]], Table22[PLAYER] = A37))</f>
        <v>7.86</v>
      </c>
    </row>
    <row r="38" spans="1:21">
      <c r="A38" s="159" t="s">
        <v>8</v>
      </c>
      <c r="B38">
        <v>1</v>
      </c>
      <c r="C38">
        <v>96</v>
      </c>
      <c r="D38">
        <v>184</v>
      </c>
      <c r="E38">
        <v>130</v>
      </c>
      <c r="F38">
        <v>69</v>
      </c>
      <c r="G38">
        <v>135</v>
      </c>
      <c r="H38">
        <v>245.7</v>
      </c>
      <c r="I38" s="14">
        <v>455.07281583479948</v>
      </c>
      <c r="J38" s="259">
        <v>267.58035653868706</v>
      </c>
      <c r="K38" s="260">
        <v>491.49545366744195</v>
      </c>
      <c r="L38" s="16">
        <f t="shared" si="5"/>
        <v>23</v>
      </c>
      <c r="M38" s="230">
        <f t="shared" si="6"/>
        <v>44</v>
      </c>
      <c r="N38" s="159">
        <f t="shared" si="7"/>
        <v>29</v>
      </c>
      <c r="O38" s="159">
        <f t="shared" si="8"/>
        <v>54</v>
      </c>
      <c r="P38" t="e" vm="1">
        <f t="shared" si="9"/>
        <v>#VALUE!</v>
      </c>
      <c r="Q38" s="15">
        <v>0</v>
      </c>
      <c r="R38" s="15">
        <v>0</v>
      </c>
      <c r="S38">
        <v>13</v>
      </c>
      <c r="T38" s="14" t="e" vm="1">
        <f>Table237[[#This Row],[BDG]]/Table237[[#This Row],[Odds]]</f>
        <v>#VALUE!</v>
      </c>
      <c r="U38" s="14" t="e" cm="1" vm="2">
        <f t="array" ref="U38">MAX(_xlfn._xlws.FILTER(Table22[[B365]:[BFAIREXC]], Table22[PLAYER] = A38))</f>
        <v>#VALUE!</v>
      </c>
    </row>
    <row r="39" spans="1:21">
      <c r="A39" s="159" t="s">
        <v>32</v>
      </c>
      <c r="B39">
        <v>15</v>
      </c>
      <c r="C39">
        <v>168</v>
      </c>
      <c r="D39">
        <v>137</v>
      </c>
      <c r="E39">
        <v>133</v>
      </c>
      <c r="F39">
        <v>37</v>
      </c>
      <c r="G39">
        <v>131</v>
      </c>
      <c r="H39">
        <v>249.89999999999998</v>
      </c>
      <c r="I39" s="14">
        <v>441.55503598668429</v>
      </c>
      <c r="J39" s="259">
        <v>267.69602331813212</v>
      </c>
      <c r="K39" s="260">
        <v>435.73873397595708</v>
      </c>
      <c r="L39" s="16">
        <f t="shared" si="5"/>
        <v>24</v>
      </c>
      <c r="M39" s="230">
        <f t="shared" si="6"/>
        <v>39</v>
      </c>
      <c r="N39" s="159">
        <f t="shared" si="7"/>
        <v>30</v>
      </c>
      <c r="O39" s="159">
        <f t="shared" si="8"/>
        <v>36</v>
      </c>
      <c r="P39" t="e" vm="1">
        <f t="shared" si="9"/>
        <v>#VALUE!</v>
      </c>
      <c r="Q39" s="15">
        <v>0</v>
      </c>
      <c r="R39" s="15">
        <v>0</v>
      </c>
      <c r="S39">
        <v>30</v>
      </c>
      <c r="T39" s="14">
        <f>Table237[[#This Row],[BDG]]/Table237[[#This Row],[Odds]]</f>
        <v>41.184003587404945</v>
      </c>
      <c r="U39" s="14" cm="1">
        <f t="array" ref="U39">MAX(_xlfn._xlws.FILTER(Table22[[B365]:[BFAIREXC]], Table22[PLAYER] = A39))</f>
        <v>6.5</v>
      </c>
    </row>
    <row r="40" spans="1:21">
      <c r="A40" s="159" t="s">
        <v>561</v>
      </c>
      <c r="B40">
        <v>50</v>
      </c>
      <c r="C40">
        <v>169</v>
      </c>
      <c r="D40">
        <v>143</v>
      </c>
      <c r="E40">
        <v>148</v>
      </c>
      <c r="F40">
        <v>6</v>
      </c>
      <c r="G40">
        <v>73</v>
      </c>
      <c r="H40">
        <v>272.5</v>
      </c>
      <c r="I40" s="14">
        <v>405.39492267287068</v>
      </c>
      <c r="J40" s="259">
        <v>272.5</v>
      </c>
      <c r="K40" s="260">
        <v>405.39492267287068</v>
      </c>
      <c r="L40" s="16">
        <f t="shared" si="5"/>
        <v>35</v>
      </c>
      <c r="M40" s="230">
        <f t="shared" si="6"/>
        <v>29</v>
      </c>
      <c r="N40" s="159">
        <f t="shared" si="7"/>
        <v>31</v>
      </c>
      <c r="O40" s="159">
        <f t="shared" si="8"/>
        <v>29</v>
      </c>
      <c r="P40" t="e" vm="1">
        <f t="shared" si="9"/>
        <v>#VALUE!</v>
      </c>
      <c r="Q40" s="15">
        <v>0</v>
      </c>
      <c r="R40" s="15">
        <v>0</v>
      </c>
      <c r="S40">
        <v>68</v>
      </c>
      <c r="T40" s="14">
        <f>Table237[[#This Row],[BDG]]/Table237[[#This Row],[Odds]]</f>
        <v>10.48076923076923</v>
      </c>
      <c r="U40" s="14" cm="1">
        <f t="array" ref="U40">MAX(_xlfn._xlws.FILTER(Table22[[B365]:[BFAIREXC]], Table22[PLAYER] = A40))</f>
        <v>26</v>
      </c>
    </row>
    <row r="41" spans="1:21">
      <c r="A41" s="159" t="s">
        <v>563</v>
      </c>
      <c r="B41">
        <v>145</v>
      </c>
      <c r="C41">
        <v>39</v>
      </c>
      <c r="D41">
        <v>22</v>
      </c>
      <c r="E41">
        <v>170</v>
      </c>
      <c r="F41">
        <v>113</v>
      </c>
      <c r="G41">
        <v>120</v>
      </c>
      <c r="H41">
        <v>273.2</v>
      </c>
      <c r="I41" s="14">
        <v>417.48023144742302</v>
      </c>
      <c r="J41" s="259">
        <v>273.2</v>
      </c>
      <c r="K41" s="260">
        <v>417.48023144742302</v>
      </c>
      <c r="L41" s="16">
        <f t="shared" si="5"/>
        <v>36</v>
      </c>
      <c r="M41" s="230">
        <f t="shared" si="6"/>
        <v>31</v>
      </c>
      <c r="N41" s="159">
        <f t="shared" si="7"/>
        <v>32</v>
      </c>
      <c r="O41" s="159">
        <f t="shared" si="8"/>
        <v>31</v>
      </c>
      <c r="P41" t="e" vm="1">
        <f t="shared" si="9"/>
        <v>#VALUE!</v>
      </c>
      <c r="Q41" s="15">
        <v>0</v>
      </c>
      <c r="R41" s="15">
        <v>0</v>
      </c>
      <c r="S41">
        <v>-99</v>
      </c>
      <c r="T41" s="14">
        <f>Table237[[#This Row],[BDG]]/Table237[[#This Row],[Odds]]</f>
        <v>13.009523809523809</v>
      </c>
      <c r="U41" s="14" cm="1">
        <f t="array" ref="U41">MAX(_xlfn._xlws.FILTER(Table22[[B365]:[BFAIREXC]], Table22[PLAYER] = A41))</f>
        <v>21</v>
      </c>
    </row>
    <row r="42" spans="1:21">
      <c r="A42" s="159" t="s">
        <v>133</v>
      </c>
      <c r="B42">
        <v>88</v>
      </c>
      <c r="C42">
        <v>37</v>
      </c>
      <c r="D42">
        <v>107</v>
      </c>
      <c r="E42">
        <v>115</v>
      </c>
      <c r="F42">
        <v>53</v>
      </c>
      <c r="G42">
        <v>93</v>
      </c>
      <c r="H42">
        <v>225.60000000000002</v>
      </c>
      <c r="I42" s="14">
        <v>358.9535257260199</v>
      </c>
      <c r="J42" s="259">
        <v>275.07877958615103</v>
      </c>
      <c r="K42" s="260">
        <v>405.48082826692303</v>
      </c>
      <c r="L42" s="16">
        <f t="shared" si="5"/>
        <v>15</v>
      </c>
      <c r="M42" s="230">
        <f t="shared" si="6"/>
        <v>20</v>
      </c>
      <c r="N42" s="159">
        <f t="shared" si="7"/>
        <v>34</v>
      </c>
      <c r="O42" s="159">
        <f t="shared" si="8"/>
        <v>30</v>
      </c>
      <c r="P42" t="e" vm="1">
        <f t="shared" si="9"/>
        <v>#VALUE!</v>
      </c>
      <c r="Q42" s="15">
        <v>0</v>
      </c>
      <c r="R42" s="15">
        <v>0</v>
      </c>
      <c r="S42">
        <v>-69</v>
      </c>
      <c r="T42" s="14">
        <f>Table237[[#This Row],[BDG]]/Table237[[#This Row],[Odds]]</f>
        <v>22.364128421638295</v>
      </c>
      <c r="U42" s="14" cm="1">
        <f t="array" ref="U42">MAX(_xlfn._xlws.FILTER(Table22[[B365]:[BFAIREXC]], Table22[PLAYER] = A42))</f>
        <v>12.3</v>
      </c>
    </row>
    <row r="43" spans="1:21">
      <c r="A43" s="159" t="s">
        <v>108</v>
      </c>
      <c r="B43">
        <v>95</v>
      </c>
      <c r="C43">
        <v>172</v>
      </c>
      <c r="D43">
        <v>51</v>
      </c>
      <c r="E43">
        <v>38</v>
      </c>
      <c r="F43">
        <v>114</v>
      </c>
      <c r="G43">
        <v>75</v>
      </c>
      <c r="H43">
        <v>264.79999999999995</v>
      </c>
      <c r="I43" s="14">
        <v>351.81561290342717</v>
      </c>
      <c r="J43" s="259">
        <v>276.17778540011727</v>
      </c>
      <c r="K43" s="260">
        <v>390.32530230975811</v>
      </c>
      <c r="L43" s="16">
        <f t="shared" si="5"/>
        <v>30</v>
      </c>
      <c r="M43" s="230">
        <f t="shared" si="6"/>
        <v>17</v>
      </c>
      <c r="N43" s="159">
        <f t="shared" si="7"/>
        <v>35</v>
      </c>
      <c r="O43" s="159">
        <f t="shared" si="8"/>
        <v>27</v>
      </c>
      <c r="P43" t="e" vm="1">
        <f t="shared" si="9"/>
        <v>#VALUE!</v>
      </c>
      <c r="Q43" s="15">
        <v>0</v>
      </c>
      <c r="R43" s="15">
        <v>0</v>
      </c>
      <c r="S43">
        <v>25</v>
      </c>
      <c r="T43" s="14" t="e" vm="1">
        <f>Table237[[#This Row],[BDG]]/Table237[[#This Row],[Odds]]</f>
        <v>#VALUE!</v>
      </c>
      <c r="U43" s="14" t="e" cm="1" vm="2">
        <f t="array" ref="U43">MAX(_xlfn._xlws.FILTER(Table22[[B365]:[BFAIREXC]], Table22[PLAYER] = A43))</f>
        <v>#VALUE!</v>
      </c>
    </row>
    <row r="44" spans="1:21">
      <c r="A44" s="159" t="s">
        <v>231</v>
      </c>
      <c r="B44">
        <v>75</v>
      </c>
      <c r="C44">
        <v>147</v>
      </c>
      <c r="D44">
        <v>192</v>
      </c>
      <c r="E44">
        <v>45</v>
      </c>
      <c r="F44">
        <v>19</v>
      </c>
      <c r="G44">
        <v>128</v>
      </c>
      <c r="H44">
        <v>276.2</v>
      </c>
      <c r="I44" s="14">
        <v>453.09093925827449</v>
      </c>
      <c r="J44" s="259">
        <v>276.2</v>
      </c>
      <c r="K44" s="260">
        <v>453.09093925827449</v>
      </c>
      <c r="L44" s="16">
        <f t="shared" si="5"/>
        <v>38</v>
      </c>
      <c r="M44" s="230">
        <f t="shared" si="6"/>
        <v>43</v>
      </c>
      <c r="N44" s="159">
        <f t="shared" si="7"/>
        <v>36</v>
      </c>
      <c r="O44" s="159">
        <f t="shared" si="8"/>
        <v>43</v>
      </c>
      <c r="P44" t="e" vm="1">
        <f t="shared" si="9"/>
        <v>#VALUE!</v>
      </c>
      <c r="Q44" s="15" t="e">
        <v>#N/A</v>
      </c>
      <c r="R44" s="15" t="e">
        <v>#N/A</v>
      </c>
      <c r="S44" t="e">
        <v>#N/A</v>
      </c>
      <c r="T44" s="14" t="e" vm="1">
        <f>Table237[[#This Row],[BDG]]/Table237[[#This Row],[Odds]]</f>
        <v>#VALUE!</v>
      </c>
      <c r="U44" s="14" t="e" cm="1" vm="2">
        <f t="array" ref="U44">MAX(_xlfn._xlws.FILTER(Table22[[B365]:[BFAIREXC]], Table22[PLAYER] = A44))</f>
        <v>#VALUE!</v>
      </c>
    </row>
    <row r="45" spans="1:21">
      <c r="A45" s="159" t="s">
        <v>91</v>
      </c>
      <c r="B45">
        <v>24</v>
      </c>
      <c r="C45">
        <v>74</v>
      </c>
      <c r="D45">
        <v>108</v>
      </c>
      <c r="E45">
        <v>179</v>
      </c>
      <c r="F45">
        <v>103</v>
      </c>
      <c r="G45">
        <v>141</v>
      </c>
      <c r="H45">
        <v>244.10000000000002</v>
      </c>
      <c r="I45" s="14">
        <v>447.9998355874497</v>
      </c>
      <c r="J45" s="259">
        <v>278.15613141256824</v>
      </c>
      <c r="K45" s="260">
        <v>475.93029733681021</v>
      </c>
      <c r="L45" s="16">
        <f t="shared" si="5"/>
        <v>22</v>
      </c>
      <c r="M45" s="230">
        <f t="shared" si="6"/>
        <v>41</v>
      </c>
      <c r="N45" s="159">
        <f t="shared" si="7"/>
        <v>37</v>
      </c>
      <c r="O45" s="159">
        <f t="shared" si="8"/>
        <v>51</v>
      </c>
      <c r="P45" t="e" vm="1">
        <f t="shared" si="9"/>
        <v>#VALUE!</v>
      </c>
      <c r="Q45" s="15">
        <v>0</v>
      </c>
      <c r="R45" s="15">
        <v>0</v>
      </c>
      <c r="S45">
        <v>-124</v>
      </c>
      <c r="T45" s="14">
        <f>Table237[[#This Row],[BDG]]/Table237[[#This Row],[Odds]]</f>
        <v>14.191639357784092</v>
      </c>
      <c r="U45" s="14" cm="1">
        <f t="array" ref="U45">MAX(_xlfn._xlws.FILTER(Table22[[B365]:[BFAIREXC]], Table22[PLAYER] = A45))</f>
        <v>19.600000000000001</v>
      </c>
    </row>
    <row r="46" spans="1:21">
      <c r="A46" s="159" t="s">
        <v>109</v>
      </c>
      <c r="B46">
        <v>87</v>
      </c>
      <c r="C46">
        <v>95</v>
      </c>
      <c r="D46">
        <v>178</v>
      </c>
      <c r="E46">
        <v>184</v>
      </c>
      <c r="F46">
        <v>16</v>
      </c>
      <c r="G46">
        <v>158</v>
      </c>
      <c r="H46">
        <v>305.5</v>
      </c>
      <c r="I46" s="14">
        <v>534.80267643085949</v>
      </c>
      <c r="J46" s="259">
        <v>280.76061020692453</v>
      </c>
      <c r="K46" s="260">
        <v>464.82640906845779</v>
      </c>
      <c r="L46" s="16">
        <f t="shared" si="5"/>
        <v>50</v>
      </c>
      <c r="M46" s="230">
        <f t="shared" si="6"/>
        <v>66</v>
      </c>
      <c r="N46" s="159">
        <f t="shared" si="7"/>
        <v>38</v>
      </c>
      <c r="O46" s="159">
        <f t="shared" si="8"/>
        <v>46</v>
      </c>
      <c r="P46" t="e" vm="1">
        <f t="shared" si="9"/>
        <v>#VALUE!</v>
      </c>
      <c r="Q46" s="15">
        <v>0</v>
      </c>
      <c r="R46" s="15">
        <v>0</v>
      </c>
      <c r="S46">
        <v>10</v>
      </c>
      <c r="T46" s="14">
        <f>Table237[[#This Row],[BDG]]/Table237[[#This Row],[Odds]]</f>
        <v>33.226107716795802</v>
      </c>
      <c r="U46" s="14" cm="1">
        <f t="array" ref="U46">MAX(_xlfn._xlws.FILTER(Table22[[B365]:[BFAIREXC]], Table22[PLAYER] = A46))</f>
        <v>8.4499999999999993</v>
      </c>
    </row>
    <row r="47" spans="1:21">
      <c r="A47" s="159" t="s">
        <v>167</v>
      </c>
      <c r="B47">
        <v>168</v>
      </c>
      <c r="C47">
        <v>14</v>
      </c>
      <c r="D47">
        <v>178</v>
      </c>
      <c r="E47">
        <v>39</v>
      </c>
      <c r="F47">
        <v>43</v>
      </c>
      <c r="G47">
        <v>117</v>
      </c>
      <c r="H47">
        <v>285.3</v>
      </c>
      <c r="I47" s="14">
        <v>435.00609743675193</v>
      </c>
      <c r="J47" s="259">
        <v>285.3</v>
      </c>
      <c r="K47" s="260">
        <v>435.00609743675193</v>
      </c>
      <c r="L47" s="16">
        <f t="shared" si="5"/>
        <v>40</v>
      </c>
      <c r="M47" s="230">
        <f t="shared" si="6"/>
        <v>36</v>
      </c>
      <c r="N47" s="159">
        <f t="shared" si="7"/>
        <v>39</v>
      </c>
      <c r="O47" s="159">
        <f t="shared" si="8"/>
        <v>35</v>
      </c>
      <c r="P47" t="e" vm="1">
        <f t="shared" si="9"/>
        <v>#VALUE!</v>
      </c>
      <c r="Q47" s="15" t="e">
        <v>#N/A</v>
      </c>
      <c r="R47" s="15" t="e">
        <v>#N/A</v>
      </c>
      <c r="S47" t="e">
        <v>#N/A</v>
      </c>
      <c r="T47" s="14">
        <f>Table237[[#This Row],[BDG]]/Table237[[#This Row],[Odds]]</f>
        <v>12.968181818181819</v>
      </c>
      <c r="U47" s="14" cm="1">
        <f t="array" ref="U47">MAX(_xlfn._xlws.FILTER(Table22[[B365]:[BFAIREXC]], Table22[PLAYER] = A47))</f>
        <v>22</v>
      </c>
    </row>
    <row r="48" spans="1:21">
      <c r="A48" s="159" t="s">
        <v>556</v>
      </c>
      <c r="B48">
        <v>18</v>
      </c>
      <c r="C48">
        <v>84</v>
      </c>
      <c r="D48">
        <v>183</v>
      </c>
      <c r="E48">
        <v>185</v>
      </c>
      <c r="F48">
        <v>95</v>
      </c>
      <c r="G48">
        <v>174</v>
      </c>
      <c r="H48">
        <v>287.7</v>
      </c>
      <c r="I48" s="14">
        <v>545.302908915535</v>
      </c>
      <c r="J48" s="259">
        <v>287.7</v>
      </c>
      <c r="K48" s="260">
        <v>545.302908915535</v>
      </c>
      <c r="L48" s="16">
        <f t="shared" si="5"/>
        <v>41</v>
      </c>
      <c r="M48" s="230">
        <f t="shared" si="6"/>
        <v>70</v>
      </c>
      <c r="N48" s="159">
        <f t="shared" si="7"/>
        <v>40</v>
      </c>
      <c r="O48" s="159">
        <f t="shared" si="8"/>
        <v>71</v>
      </c>
      <c r="P48" t="e" vm="1">
        <f t="shared" si="9"/>
        <v>#VALUE!</v>
      </c>
      <c r="Q48" s="15" t="e">
        <v>#N/A</v>
      </c>
      <c r="R48" s="15" t="e">
        <v>#N/A</v>
      </c>
      <c r="S48">
        <v>-77</v>
      </c>
      <c r="T48" s="14">
        <f>Table237[[#This Row],[BDG]]/Table237[[#This Row],[Odds]]</f>
        <v>15.062827225130889</v>
      </c>
      <c r="U48" s="14" cm="1">
        <f t="array" ref="U48">MAX(_xlfn._xlws.FILTER(Table22[[B365]:[BFAIREXC]], Table22[PLAYER] = A48))</f>
        <v>19.100000000000001</v>
      </c>
    </row>
    <row r="49" spans="1:21">
      <c r="A49" s="159" t="s">
        <v>182</v>
      </c>
      <c r="B49">
        <v>182</v>
      </c>
      <c r="C49">
        <v>68</v>
      </c>
      <c r="D49">
        <v>146</v>
      </c>
      <c r="E49">
        <v>9</v>
      </c>
      <c r="F49">
        <v>1</v>
      </c>
      <c r="G49">
        <v>40</v>
      </c>
      <c r="H49">
        <v>271.3</v>
      </c>
      <c r="I49" s="14">
        <v>327.18282054768525</v>
      </c>
      <c r="J49" s="259">
        <v>289.43924459717039</v>
      </c>
      <c r="K49" s="260">
        <v>366.28311767751723</v>
      </c>
      <c r="L49" s="16">
        <f t="shared" si="5"/>
        <v>33</v>
      </c>
      <c r="M49" s="230">
        <f t="shared" si="6"/>
        <v>11</v>
      </c>
      <c r="N49" s="159">
        <f t="shared" si="7"/>
        <v>41</v>
      </c>
      <c r="O49" s="159">
        <f t="shared" si="8"/>
        <v>17</v>
      </c>
      <c r="P49" t="e" vm="1">
        <f t="shared" si="9"/>
        <v>#VALUE!</v>
      </c>
      <c r="Q49" s="15">
        <v>0</v>
      </c>
      <c r="R49" s="15">
        <v>0</v>
      </c>
      <c r="S49">
        <v>1</v>
      </c>
      <c r="T49" s="14" t="e" vm="1">
        <f>Table237[[#This Row],[BDG]]/Table237[[#This Row],[Odds]]</f>
        <v>#VALUE!</v>
      </c>
      <c r="U49" s="14" t="e" cm="1" vm="2">
        <f t="array" ref="U49">MAX(_xlfn._xlws.FILTER(Table22[[B365]:[BFAIREXC]], Table22[PLAYER] = A49))</f>
        <v>#VALUE!</v>
      </c>
    </row>
    <row r="50" spans="1:21">
      <c r="A50" s="159" t="s">
        <v>189</v>
      </c>
      <c r="B50">
        <v>191</v>
      </c>
      <c r="C50">
        <v>24</v>
      </c>
      <c r="D50">
        <v>118</v>
      </c>
      <c r="E50">
        <v>73</v>
      </c>
      <c r="F50">
        <v>51</v>
      </c>
      <c r="G50">
        <v>109</v>
      </c>
      <c r="H50">
        <v>290.3</v>
      </c>
      <c r="I50" s="14">
        <v>420.96458121879357</v>
      </c>
      <c r="J50" s="259">
        <v>290.3</v>
      </c>
      <c r="K50" s="260">
        <v>420.96458121879357</v>
      </c>
      <c r="L50" s="16">
        <f t="shared" si="5"/>
        <v>44</v>
      </c>
      <c r="M50" s="230">
        <f t="shared" si="6"/>
        <v>32</v>
      </c>
      <c r="N50" s="159">
        <f t="shared" si="7"/>
        <v>42</v>
      </c>
      <c r="O50" s="159">
        <f t="shared" si="8"/>
        <v>32</v>
      </c>
      <c r="P50" t="e" vm="1">
        <f t="shared" si="9"/>
        <v>#VALUE!</v>
      </c>
      <c r="Q50" s="15" t="e">
        <v>#N/A</v>
      </c>
      <c r="R50" s="15" t="e">
        <v>#N/A</v>
      </c>
      <c r="S50" t="e">
        <v>#N/A</v>
      </c>
      <c r="T50" s="14">
        <f>Table237[[#This Row],[BDG]]/Table237[[#This Row],[Odds]]</f>
        <v>5.6921568627450982</v>
      </c>
      <c r="U50" s="14" cm="1">
        <f t="array" ref="U50">MAX(_xlfn._xlws.FILTER(Table22[[B365]:[BFAIREXC]], Table22[PLAYER] = A50))</f>
        <v>51</v>
      </c>
    </row>
    <row r="51" spans="1:21">
      <c r="A51" s="159" t="s">
        <v>796</v>
      </c>
      <c r="B51">
        <v>158</v>
      </c>
      <c r="C51">
        <v>20</v>
      </c>
      <c r="D51">
        <v>43</v>
      </c>
      <c r="E51">
        <v>171</v>
      </c>
      <c r="F51">
        <v>120</v>
      </c>
      <c r="G51">
        <v>38</v>
      </c>
      <c r="H51">
        <v>290.60000000000002</v>
      </c>
      <c r="I51" s="14">
        <v>356.87989604981385</v>
      </c>
      <c r="J51" s="259">
        <v>290.60000000000002</v>
      </c>
      <c r="K51" s="260">
        <v>356.87989604981385</v>
      </c>
      <c r="L51" s="16">
        <f t="shared" si="5"/>
        <v>45</v>
      </c>
      <c r="M51" s="230">
        <f t="shared" si="6"/>
        <v>19</v>
      </c>
      <c r="N51" s="159">
        <f t="shared" si="7"/>
        <v>43</v>
      </c>
      <c r="O51" s="159">
        <f t="shared" si="8"/>
        <v>14</v>
      </c>
      <c r="P51" t="e" vm="1">
        <f t="shared" si="9"/>
        <v>#VALUE!</v>
      </c>
      <c r="Q51" s="15" t="e">
        <v>#N/A</v>
      </c>
      <c r="R51" s="15" t="e">
        <v>#N/A</v>
      </c>
      <c r="S51" t="e">
        <v>#N/A</v>
      </c>
      <c r="T51" s="14" t="e" vm="1">
        <f>Table237[[#This Row],[BDG]]/Table237[[#This Row],[Odds]]</f>
        <v>#VALUE!</v>
      </c>
      <c r="U51" s="14" t="e" cm="1" vm="2">
        <f t="array" ref="U51">MAX(_xlfn._xlws.FILTER(Table22[[B365]:[BFAIREXC]], Table22[PLAYER] = A51))</f>
        <v>#VALUE!</v>
      </c>
    </row>
    <row r="52" spans="1:21">
      <c r="A52" s="159" t="s">
        <v>123</v>
      </c>
      <c r="B52">
        <v>98</v>
      </c>
      <c r="C52">
        <v>58</v>
      </c>
      <c r="D52">
        <v>172</v>
      </c>
      <c r="E52">
        <v>73</v>
      </c>
      <c r="F52">
        <v>158</v>
      </c>
      <c r="G52">
        <v>150</v>
      </c>
      <c r="H52">
        <v>318.8</v>
      </c>
      <c r="I52" s="14">
        <v>518.85619928452059</v>
      </c>
      <c r="J52" s="259">
        <v>291.2736534211341</v>
      </c>
      <c r="K52" s="260">
        <v>429.19015847647978</v>
      </c>
      <c r="L52" s="16">
        <f t="shared" si="5"/>
        <v>60</v>
      </c>
      <c r="M52" s="230">
        <f t="shared" si="6"/>
        <v>60</v>
      </c>
      <c r="N52" s="159">
        <f t="shared" si="7"/>
        <v>44</v>
      </c>
      <c r="O52" s="159">
        <f t="shared" si="8"/>
        <v>34</v>
      </c>
      <c r="P52" t="e" vm="1">
        <f t="shared" si="9"/>
        <v>#VALUE!</v>
      </c>
      <c r="Q52" s="15" t="e">
        <v>#N/A</v>
      </c>
      <c r="R52" s="15" t="e">
        <v>#N/A</v>
      </c>
      <c r="S52">
        <v>-15</v>
      </c>
      <c r="T52" s="14" t="e" vm="1">
        <f>Table237[[#This Row],[BDG]]/Table237[[#This Row],[Odds]]</f>
        <v>#VALUE!</v>
      </c>
      <c r="U52" s="14" t="e" cm="1" vm="2">
        <f t="array" ref="U52">MAX(_xlfn._xlws.FILTER(Table22[[B365]:[BFAIREXC]], Table22[PLAYER] = A52))</f>
        <v>#VALUE!</v>
      </c>
    </row>
    <row r="53" spans="1:21">
      <c r="A53" s="159" t="s">
        <v>99</v>
      </c>
      <c r="B53">
        <v>94</v>
      </c>
      <c r="C53">
        <v>56</v>
      </c>
      <c r="D53">
        <v>124</v>
      </c>
      <c r="E53">
        <v>170</v>
      </c>
      <c r="F53">
        <v>98</v>
      </c>
      <c r="G53">
        <v>147</v>
      </c>
      <c r="H53">
        <v>294.60000000000002</v>
      </c>
      <c r="I53" s="14">
        <v>497.72011968035213</v>
      </c>
      <c r="J53" s="259">
        <v>294.60000000000002</v>
      </c>
      <c r="K53" s="260">
        <v>497.72011968035213</v>
      </c>
      <c r="L53" s="16">
        <f t="shared" si="5"/>
        <v>46</v>
      </c>
      <c r="M53" s="230">
        <f t="shared" si="6"/>
        <v>56</v>
      </c>
      <c r="N53" s="159">
        <f t="shared" si="7"/>
        <v>45</v>
      </c>
      <c r="O53" s="159">
        <f t="shared" si="8"/>
        <v>59</v>
      </c>
      <c r="P53" t="e" vm="1">
        <f t="shared" si="9"/>
        <v>#VALUE!</v>
      </c>
      <c r="Q53" s="15">
        <v>0</v>
      </c>
      <c r="R53" s="15">
        <v>0</v>
      </c>
      <c r="S53" t="e">
        <v>#N/A</v>
      </c>
      <c r="T53" s="14">
        <f>Table237[[#This Row],[BDG]]/Table237[[#This Row],[Odds]]</f>
        <v>24.966101694915256</v>
      </c>
      <c r="U53" s="14" cm="1">
        <f t="array" ref="U53">MAX(_xlfn._xlws.FILTER(Table22[[B365]:[BFAIREXC]], Table22[PLAYER] = A53))</f>
        <v>11.8</v>
      </c>
    </row>
    <row r="54" spans="1:21">
      <c r="A54" s="159" t="s">
        <v>490</v>
      </c>
      <c r="B54">
        <v>30</v>
      </c>
      <c r="C54">
        <v>179</v>
      </c>
      <c r="D54">
        <v>186</v>
      </c>
      <c r="E54">
        <v>165</v>
      </c>
      <c r="F54">
        <v>13</v>
      </c>
      <c r="G54">
        <v>181</v>
      </c>
      <c r="H54">
        <v>297.60000000000002</v>
      </c>
      <c r="I54" s="14">
        <v>555.48456226063922</v>
      </c>
      <c r="J54" s="259">
        <v>297.60000000000002</v>
      </c>
      <c r="K54" s="260">
        <v>555.48456226063922</v>
      </c>
      <c r="L54" s="16">
        <f t="shared" si="5"/>
        <v>47</v>
      </c>
      <c r="M54" s="230">
        <f t="shared" si="6"/>
        <v>75</v>
      </c>
      <c r="N54" s="159">
        <f t="shared" si="7"/>
        <v>47</v>
      </c>
      <c r="O54" s="159">
        <f t="shared" si="8"/>
        <v>76</v>
      </c>
      <c r="P54" t="e" vm="1">
        <f t="shared" si="9"/>
        <v>#VALUE!</v>
      </c>
      <c r="Q54" s="15" t="e">
        <v>#N/A</v>
      </c>
      <c r="R54" s="15" t="e">
        <v>#N/A</v>
      </c>
      <c r="S54">
        <v>-55</v>
      </c>
      <c r="T54" s="14">
        <f>Table237[[#This Row],[BDG]]/Table237[[#This Row],[Odds]]</f>
        <v>15.183673469387756</v>
      </c>
      <c r="U54" s="14" cm="1">
        <f t="array" ref="U54">MAX(_xlfn._xlws.FILTER(Table22[[B365]:[BFAIREXC]], Table22[PLAYER] = A54))</f>
        <v>19.600000000000001</v>
      </c>
    </row>
    <row r="55" spans="1:21">
      <c r="A55" s="159" t="s">
        <v>156</v>
      </c>
      <c r="B55">
        <v>143</v>
      </c>
      <c r="C55">
        <v>26</v>
      </c>
      <c r="D55">
        <v>122</v>
      </c>
      <c r="E55">
        <v>24</v>
      </c>
      <c r="F55">
        <v>134</v>
      </c>
      <c r="G55">
        <v>124</v>
      </c>
      <c r="H55">
        <v>277.20000000000005</v>
      </c>
      <c r="I55" s="14">
        <v>422.44457217099108</v>
      </c>
      <c r="J55" s="259">
        <v>298.90531368637761</v>
      </c>
      <c r="K55" s="260">
        <v>458.45659242835654</v>
      </c>
      <c r="L55" s="16">
        <f t="shared" si="5"/>
        <v>39</v>
      </c>
      <c r="M55" s="230">
        <f t="shared" si="6"/>
        <v>33</v>
      </c>
      <c r="N55" s="159">
        <f t="shared" si="7"/>
        <v>48</v>
      </c>
      <c r="O55" s="159">
        <f t="shared" si="8"/>
        <v>44</v>
      </c>
      <c r="P55" t="e" vm="1">
        <f t="shared" si="9"/>
        <v>#VALUE!</v>
      </c>
      <c r="Q55" s="15">
        <v>0</v>
      </c>
      <c r="R55" s="15">
        <v>0</v>
      </c>
      <c r="S55">
        <v>-30</v>
      </c>
      <c r="T55" s="14">
        <f>Table237[[#This Row],[BDG]]/Table237[[#This Row],[Odds]]</f>
        <v>24.301245015152649</v>
      </c>
      <c r="U55" s="14" cm="1">
        <f t="array" ref="U55">MAX(_xlfn._xlws.FILTER(Table22[[B365]:[BFAIREXC]], Table22[PLAYER] = A55))</f>
        <v>12.3</v>
      </c>
    </row>
    <row r="56" spans="1:21">
      <c r="A56" s="159" t="s">
        <v>83</v>
      </c>
      <c r="B56">
        <v>6</v>
      </c>
      <c r="C56">
        <v>109</v>
      </c>
      <c r="D56">
        <v>168</v>
      </c>
      <c r="E56">
        <v>14</v>
      </c>
      <c r="F56">
        <v>71</v>
      </c>
      <c r="G56">
        <v>94</v>
      </c>
      <c r="H56">
        <v>201.2</v>
      </c>
      <c r="I56" s="14">
        <v>341.88564607695434</v>
      </c>
      <c r="J56" s="259">
        <v>300.51794151529219</v>
      </c>
      <c r="K56" s="260">
        <v>511.28857779002755</v>
      </c>
      <c r="L56" s="16">
        <f t="shared" si="5"/>
        <v>6</v>
      </c>
      <c r="M56" s="230">
        <f t="shared" si="6"/>
        <v>15</v>
      </c>
      <c r="N56" s="159">
        <f t="shared" si="7"/>
        <v>49</v>
      </c>
      <c r="O56" s="159">
        <f t="shared" si="8"/>
        <v>61</v>
      </c>
      <c r="P56" t="e" vm="1">
        <f t="shared" si="9"/>
        <v>#VALUE!</v>
      </c>
      <c r="Q56" s="15">
        <v>0</v>
      </c>
      <c r="R56" s="15">
        <v>0</v>
      </c>
      <c r="S56">
        <v>49</v>
      </c>
      <c r="T56" s="14">
        <f>Table237[[#This Row],[BDG]]/Table237[[#This Row],[Odds]]</f>
        <v>20.443397381992668</v>
      </c>
      <c r="U56" s="14" cm="1">
        <f t="array" ref="U56">MAX(_xlfn._xlws.FILTER(Table22[[B365]:[BFAIREXC]], Table22[PLAYER] = A56))</f>
        <v>14.7</v>
      </c>
    </row>
    <row r="57" spans="1:21">
      <c r="A57" s="159" t="s">
        <v>151</v>
      </c>
      <c r="B57">
        <v>144</v>
      </c>
      <c r="C57">
        <v>101</v>
      </c>
      <c r="D57">
        <v>63</v>
      </c>
      <c r="E57">
        <v>150</v>
      </c>
      <c r="F57">
        <v>96</v>
      </c>
      <c r="G57">
        <v>128</v>
      </c>
      <c r="H57">
        <v>311.5</v>
      </c>
      <c r="I57" s="14">
        <v>469.98182674562861</v>
      </c>
      <c r="J57" s="259">
        <v>300.86872088179086</v>
      </c>
      <c r="K57" s="260">
        <v>441.76159530148317</v>
      </c>
      <c r="L57" s="16">
        <f t="shared" si="5"/>
        <v>54</v>
      </c>
      <c r="M57" s="230">
        <f t="shared" si="6"/>
        <v>51</v>
      </c>
      <c r="N57" s="159">
        <f t="shared" si="7"/>
        <v>50</v>
      </c>
      <c r="O57" s="159">
        <f t="shared" si="8"/>
        <v>39</v>
      </c>
      <c r="P57" t="e" vm="1">
        <f t="shared" si="9"/>
        <v>#VALUE!</v>
      </c>
      <c r="Q57" s="15">
        <v>0</v>
      </c>
      <c r="R57" s="15">
        <v>0</v>
      </c>
      <c r="S57">
        <v>-26</v>
      </c>
      <c r="T57" s="14">
        <f>Table237[[#This Row],[BDG]]/Table237[[#This Row],[Odds]]</f>
        <v>57.748314948520317</v>
      </c>
      <c r="U57" s="14" cm="1">
        <f t="array" ref="U57">MAX(_xlfn._xlws.FILTER(Table22[[B365]:[BFAIREXC]], Table22[PLAYER] = A57))</f>
        <v>5.21</v>
      </c>
    </row>
    <row r="58" spans="1:21">
      <c r="A58" s="159" t="s">
        <v>178</v>
      </c>
      <c r="B58">
        <v>181</v>
      </c>
      <c r="C58">
        <v>3</v>
      </c>
      <c r="D58">
        <v>82</v>
      </c>
      <c r="E58">
        <v>51</v>
      </c>
      <c r="F58">
        <v>171</v>
      </c>
      <c r="G58">
        <v>137</v>
      </c>
      <c r="H58">
        <v>301.39999999999998</v>
      </c>
      <c r="I58" s="14">
        <v>451.06540061590528</v>
      </c>
      <c r="J58" s="259">
        <v>301.39999999999998</v>
      </c>
      <c r="K58" s="260">
        <v>451.06540061590522</v>
      </c>
      <c r="L58" s="16">
        <f t="shared" si="5"/>
        <v>48</v>
      </c>
      <c r="M58" s="230">
        <f t="shared" si="6"/>
        <v>42</v>
      </c>
      <c r="N58" s="159">
        <f t="shared" si="7"/>
        <v>51</v>
      </c>
      <c r="O58" s="159">
        <f t="shared" si="8"/>
        <v>41</v>
      </c>
      <c r="P58" t="e" vm="1">
        <f t="shared" si="9"/>
        <v>#VALUE!</v>
      </c>
      <c r="Q58" s="15" t="e">
        <v>#N/A</v>
      </c>
      <c r="R58" s="15" t="e">
        <v>#N/A</v>
      </c>
      <c r="S58" t="e">
        <v>#N/A</v>
      </c>
      <c r="T58" s="14" t="e" vm="1">
        <f>Table237[[#This Row],[BDG]]/Table237[[#This Row],[Odds]]</f>
        <v>#VALUE!</v>
      </c>
      <c r="U58" s="14" t="e" cm="1" vm="2">
        <f t="array" ref="U58">MAX(_xlfn._xlws.FILTER(Table22[[B365]:[BFAIREXC]], Table22[PLAYER] = A58))</f>
        <v>#VALUE!</v>
      </c>
    </row>
    <row r="59" spans="1:21">
      <c r="A59" s="159" t="s">
        <v>84</v>
      </c>
      <c r="B59">
        <v>84</v>
      </c>
      <c r="C59">
        <v>150</v>
      </c>
      <c r="D59">
        <v>81</v>
      </c>
      <c r="E59">
        <v>137</v>
      </c>
      <c r="F59">
        <v>106</v>
      </c>
      <c r="G59">
        <v>124</v>
      </c>
      <c r="H59">
        <v>308</v>
      </c>
      <c r="I59" s="14">
        <v>463.02274220163974</v>
      </c>
      <c r="J59" s="259">
        <v>301.87006795637728</v>
      </c>
      <c r="K59" s="260">
        <v>463.02274220163974</v>
      </c>
      <c r="L59" s="16">
        <f t="shared" si="5"/>
        <v>51</v>
      </c>
      <c r="M59" s="230">
        <f t="shared" si="6"/>
        <v>46</v>
      </c>
      <c r="N59" s="159">
        <f t="shared" si="7"/>
        <v>52</v>
      </c>
      <c r="O59" s="159">
        <f t="shared" si="8"/>
        <v>45</v>
      </c>
      <c r="P59" t="e" vm="1">
        <f t="shared" si="9"/>
        <v>#VALUE!</v>
      </c>
      <c r="Q59" s="15">
        <v>0</v>
      </c>
      <c r="R59" s="15">
        <v>0</v>
      </c>
      <c r="S59" t="e">
        <v>#N/A</v>
      </c>
      <c r="T59" s="14">
        <f>Table237[[#This Row],[BDG]]/Table237[[#This Row],[Odds]]</f>
        <v>15.401534079407003</v>
      </c>
      <c r="U59" s="14" cm="1">
        <f t="array" ref="U59">MAX(_xlfn._xlws.FILTER(Table22[[B365]:[BFAIREXC]], Table22[PLAYER] = A59))</f>
        <v>19.600000000000001</v>
      </c>
    </row>
    <row r="60" spans="1:21">
      <c r="A60" s="159" t="s">
        <v>160</v>
      </c>
      <c r="B60">
        <v>55</v>
      </c>
      <c r="C60">
        <v>31</v>
      </c>
      <c r="D60">
        <v>69</v>
      </c>
      <c r="E60">
        <v>154</v>
      </c>
      <c r="F60">
        <v>182</v>
      </c>
      <c r="G60">
        <v>163</v>
      </c>
      <c r="H60">
        <v>253.5</v>
      </c>
      <c r="I60" s="14">
        <v>462.69011162944093</v>
      </c>
      <c r="J60" s="259">
        <v>302.07439151588528</v>
      </c>
      <c r="K60" s="260">
        <v>494.70759152962921</v>
      </c>
      <c r="L60" s="16">
        <f t="shared" si="5"/>
        <v>26</v>
      </c>
      <c r="M60" s="230">
        <f t="shared" si="6"/>
        <v>45</v>
      </c>
      <c r="N60" s="159">
        <f t="shared" si="7"/>
        <v>53</v>
      </c>
      <c r="O60" s="159">
        <f t="shared" si="8"/>
        <v>56</v>
      </c>
      <c r="P60" t="e" vm="1">
        <f t="shared" si="9"/>
        <v>#VALUE!</v>
      </c>
      <c r="Q60" s="15">
        <v>0</v>
      </c>
      <c r="R60" s="15">
        <v>0</v>
      </c>
      <c r="S60">
        <v>0</v>
      </c>
      <c r="T60" s="14">
        <f>Table237[[#This Row],[BDG]]/Table237[[#This Row],[Odds]]</f>
        <v>17.562464623016588</v>
      </c>
      <c r="U60" s="14" cm="1">
        <f t="array" ref="U60">MAX(_xlfn._xlws.FILTER(Table22[[B365]:[BFAIREXC]], Table22[PLAYER] = A60))</f>
        <v>17.2</v>
      </c>
    </row>
    <row r="61" spans="1:21">
      <c r="A61" s="159" t="s">
        <v>384</v>
      </c>
      <c r="B61">
        <v>153</v>
      </c>
      <c r="C61">
        <v>18</v>
      </c>
      <c r="D61">
        <v>52</v>
      </c>
      <c r="E61">
        <v>151</v>
      </c>
      <c r="F61">
        <v>172</v>
      </c>
      <c r="G61">
        <v>142</v>
      </c>
      <c r="H61">
        <v>309</v>
      </c>
      <c r="I61" s="14">
        <v>479.61154549900738</v>
      </c>
      <c r="J61" s="259">
        <v>309</v>
      </c>
      <c r="K61" s="260">
        <v>479.61154549900738</v>
      </c>
      <c r="L61" s="16">
        <f t="shared" si="5"/>
        <v>52</v>
      </c>
      <c r="M61" s="230">
        <f t="shared" si="6"/>
        <v>53</v>
      </c>
      <c r="N61" s="159">
        <f t="shared" si="7"/>
        <v>55</v>
      </c>
      <c r="O61" s="159">
        <f t="shared" si="8"/>
        <v>52</v>
      </c>
      <c r="P61" t="e" vm="1">
        <f t="shared" si="9"/>
        <v>#VALUE!</v>
      </c>
      <c r="Q61" s="15">
        <v>0</v>
      </c>
      <c r="R61" s="15">
        <v>0</v>
      </c>
      <c r="S61">
        <v>47</v>
      </c>
      <c r="T61" s="14">
        <f>Table237[[#This Row],[BDG]]/Table237[[#This Row],[Odds]]</f>
        <v>49.125596184419713</v>
      </c>
      <c r="U61" s="14" cm="1">
        <f t="array" ref="U61">MAX(_xlfn._xlws.FILTER(Table22[[B365]:[BFAIREXC]], Table22[PLAYER] = A61))</f>
        <v>6.29</v>
      </c>
    </row>
    <row r="62" spans="1:21">
      <c r="A62" s="159" t="s">
        <v>41</v>
      </c>
      <c r="B62">
        <v>39</v>
      </c>
      <c r="C62">
        <v>176</v>
      </c>
      <c r="D62">
        <v>140</v>
      </c>
      <c r="E62">
        <v>151</v>
      </c>
      <c r="F62">
        <v>95</v>
      </c>
      <c r="G62">
        <v>135</v>
      </c>
      <c r="H62">
        <v>311.10000000000002</v>
      </c>
      <c r="I62" s="14">
        <v>509.66687096566483</v>
      </c>
      <c r="J62" s="259">
        <v>311.10000000000002</v>
      </c>
      <c r="K62" s="260">
        <v>509.66687096566477</v>
      </c>
      <c r="L62" s="16">
        <f t="shared" si="5"/>
        <v>53</v>
      </c>
      <c r="M62" s="230">
        <f t="shared" si="6"/>
        <v>58</v>
      </c>
      <c r="N62" s="159">
        <f t="shared" si="7"/>
        <v>56</v>
      </c>
      <c r="O62" s="159">
        <f t="shared" si="8"/>
        <v>60</v>
      </c>
      <c r="P62" t="e" vm="1">
        <f t="shared" si="9"/>
        <v>#VALUE!</v>
      </c>
      <c r="Q62" s="15" t="e">
        <v>#N/A</v>
      </c>
      <c r="R62" s="15" t="e">
        <v>#N/A</v>
      </c>
      <c r="S62" t="e">
        <v>#N/A</v>
      </c>
      <c r="T62" s="14">
        <f>Table237[[#This Row],[BDG]]/Table237[[#This Row],[Odds]]</f>
        <v>21.163265306122451</v>
      </c>
      <c r="U62" s="14" cm="1">
        <f t="array" ref="U62">MAX(_xlfn._xlws.FILTER(Table22[[B365]:[BFAIREXC]], Table22[PLAYER] = A62))</f>
        <v>14.7</v>
      </c>
    </row>
    <row r="63" spans="1:21">
      <c r="A63" s="159" t="s">
        <v>137</v>
      </c>
      <c r="B63">
        <v>161</v>
      </c>
      <c r="C63">
        <v>11</v>
      </c>
      <c r="D63">
        <v>94</v>
      </c>
      <c r="E63">
        <v>116</v>
      </c>
      <c r="F63">
        <v>178</v>
      </c>
      <c r="G63">
        <v>146</v>
      </c>
      <c r="H63">
        <v>326.10000000000002</v>
      </c>
      <c r="I63" s="14">
        <v>503.48115666267893</v>
      </c>
      <c r="J63" s="259">
        <v>312.88598075702822</v>
      </c>
      <c r="K63" s="260">
        <v>473.21059249754489</v>
      </c>
      <c r="L63" s="16">
        <f t="shared" si="5"/>
        <v>69</v>
      </c>
      <c r="M63" s="230">
        <f t="shared" si="6"/>
        <v>57</v>
      </c>
      <c r="N63" s="159">
        <f t="shared" si="7"/>
        <v>57</v>
      </c>
      <c r="O63" s="159">
        <f t="shared" si="8"/>
        <v>49</v>
      </c>
      <c r="P63" t="e" vm="1">
        <f t="shared" si="9"/>
        <v>#VALUE!</v>
      </c>
      <c r="Q63" s="15">
        <v>0</v>
      </c>
      <c r="R63" s="15">
        <v>0</v>
      </c>
      <c r="S63">
        <v>10</v>
      </c>
      <c r="T63" s="14">
        <f>Table237[[#This Row],[BDG]]/Table237[[#This Row],[Odds]]</f>
        <v>45.477613482126195</v>
      </c>
      <c r="U63" s="14" cm="1">
        <f t="array" ref="U63">MAX(_xlfn._xlws.FILTER(Table22[[B365]:[BFAIREXC]], Table22[PLAYER] = A63))</f>
        <v>6.88</v>
      </c>
    </row>
    <row r="64" spans="1:21">
      <c r="A64" s="159" t="s">
        <v>181</v>
      </c>
      <c r="B64">
        <v>183</v>
      </c>
      <c r="C64">
        <v>53</v>
      </c>
      <c r="D64">
        <v>20</v>
      </c>
      <c r="E64">
        <v>130</v>
      </c>
      <c r="F64">
        <v>154</v>
      </c>
      <c r="G64">
        <v>142</v>
      </c>
      <c r="H64">
        <v>313.89999999999998</v>
      </c>
      <c r="I64" s="14">
        <v>468.06181620254586</v>
      </c>
      <c r="J64" s="259">
        <v>313.89999999999998</v>
      </c>
      <c r="K64" s="260">
        <v>468.06181620254586</v>
      </c>
      <c r="L64" s="16">
        <f t="shared" si="5"/>
        <v>55</v>
      </c>
      <c r="M64" s="230">
        <f t="shared" si="6"/>
        <v>49</v>
      </c>
      <c r="N64" s="159">
        <f t="shared" si="7"/>
        <v>58</v>
      </c>
      <c r="O64" s="159">
        <f t="shared" si="8"/>
        <v>48</v>
      </c>
      <c r="P64" t="e" vm="1">
        <f t="shared" si="9"/>
        <v>#VALUE!</v>
      </c>
      <c r="Q64" s="15" t="e">
        <v>#N/A</v>
      </c>
      <c r="R64" s="15" t="e">
        <v>#N/A</v>
      </c>
      <c r="S64" t="e">
        <v>#N/A</v>
      </c>
      <c r="T64" s="14">
        <f>Table237[[#This Row],[BDG]]/Table237[[#This Row],[Odds]]</f>
        <v>13.079166666666666</v>
      </c>
      <c r="U64" s="14" cm="1">
        <f t="array" ref="U64">MAX(_xlfn._xlws.FILTER(Table22[[B365]:[BFAIREXC]], Table22[PLAYER] = A64))</f>
        <v>24</v>
      </c>
    </row>
    <row r="65" spans="1:21">
      <c r="A65" s="159" t="s">
        <v>116</v>
      </c>
      <c r="B65">
        <v>131</v>
      </c>
      <c r="C65">
        <v>17</v>
      </c>
      <c r="D65">
        <v>155</v>
      </c>
      <c r="E65">
        <v>101</v>
      </c>
      <c r="F65">
        <v>156</v>
      </c>
      <c r="G65">
        <v>150</v>
      </c>
      <c r="H65">
        <v>324.70000000000005</v>
      </c>
      <c r="I65" s="14">
        <v>521.70581717102527</v>
      </c>
      <c r="J65" s="259">
        <v>313.90569077424772</v>
      </c>
      <c r="K65" s="260">
        <v>496.71754434831843</v>
      </c>
      <c r="L65" s="16">
        <f t="shared" si="5"/>
        <v>67</v>
      </c>
      <c r="M65" s="230">
        <f t="shared" si="6"/>
        <v>61</v>
      </c>
      <c r="N65" s="159">
        <f t="shared" si="7"/>
        <v>59</v>
      </c>
      <c r="O65" s="159">
        <f t="shared" si="8"/>
        <v>58</v>
      </c>
      <c r="P65" t="e" vm="1">
        <f t="shared" si="9"/>
        <v>#VALUE!</v>
      </c>
      <c r="Q65" s="15">
        <v>0</v>
      </c>
      <c r="R65" s="15">
        <v>0</v>
      </c>
      <c r="S65">
        <v>-21</v>
      </c>
      <c r="T65" s="14">
        <f>Table237[[#This Row],[BDG]]/Table237[[#This Row],[Odds]]</f>
        <v>38.946115480675893</v>
      </c>
      <c r="U65" s="14" cm="1">
        <f t="array" ref="U65">MAX(_xlfn._xlws.FILTER(Table22[[B365]:[BFAIREXC]], Table22[PLAYER] = A65))</f>
        <v>8.06</v>
      </c>
    </row>
    <row r="66" spans="1:21">
      <c r="A66" s="159" t="s">
        <v>559</v>
      </c>
      <c r="B66">
        <v>116</v>
      </c>
      <c r="C66">
        <v>143</v>
      </c>
      <c r="D66">
        <v>129</v>
      </c>
      <c r="E66">
        <v>181</v>
      </c>
      <c r="F66">
        <v>3</v>
      </c>
      <c r="G66">
        <v>96</v>
      </c>
      <c r="H66">
        <v>315.60000000000002</v>
      </c>
      <c r="I66" s="14">
        <v>466.04240514425999</v>
      </c>
      <c r="J66" s="259">
        <v>315.60000000000002</v>
      </c>
      <c r="K66" s="260">
        <v>466.04240514425999</v>
      </c>
      <c r="L66" s="16">
        <f t="shared" ref="L66:L97" si="10">RANK(H66,$H$2:$H$104,1)</f>
        <v>56</v>
      </c>
      <c r="M66" s="230">
        <f t="shared" ref="M66:M97" si="11">RANK(I66,$I$2:$I$104,1)</f>
        <v>47</v>
      </c>
      <c r="N66" s="159">
        <f t="shared" ref="N66:N97" si="12">RANK(J66,$J$2:$J$104,1)</f>
        <v>60</v>
      </c>
      <c r="O66" s="159">
        <f t="shared" ref="O66:O97" si="13">RANK(K66,$K$2:$K$104,1)</f>
        <v>47</v>
      </c>
      <c r="P66" t="e" vm="1">
        <f t="shared" ref="P66:P97" si="14">RANK(U66,$U$2:$U$104,0)</f>
        <v>#VALUE!</v>
      </c>
      <c r="Q66" s="15">
        <v>0</v>
      </c>
      <c r="R66" s="15">
        <v>0</v>
      </c>
      <c r="S66">
        <v>-75</v>
      </c>
      <c r="T66" s="14">
        <f>Table237[[#This Row],[BDG]]/Table237[[#This Row],[Odds]]</f>
        <v>12.624000000000001</v>
      </c>
      <c r="U66" s="14" cm="1">
        <f t="array" ref="U66">MAX(_xlfn._xlws.FILTER(Table22[[B365]:[BFAIREXC]], Table22[PLAYER] = A66))</f>
        <v>25</v>
      </c>
    </row>
    <row r="67" spans="1:21">
      <c r="A67" s="159" t="s">
        <v>401</v>
      </c>
      <c r="B67">
        <v>15</v>
      </c>
      <c r="C67">
        <v>124</v>
      </c>
      <c r="D67">
        <v>169</v>
      </c>
      <c r="E67">
        <v>145</v>
      </c>
      <c r="F67">
        <v>170</v>
      </c>
      <c r="G67">
        <v>175</v>
      </c>
      <c r="H67">
        <v>318.39999999999998</v>
      </c>
      <c r="I67" s="14">
        <v>568.02951330325095</v>
      </c>
      <c r="J67" s="259">
        <v>318.39999999999998</v>
      </c>
      <c r="K67" s="260">
        <v>568.02951330325095</v>
      </c>
      <c r="L67" s="16">
        <f t="shared" si="10"/>
        <v>58</v>
      </c>
      <c r="M67" s="230">
        <f t="shared" si="11"/>
        <v>79</v>
      </c>
      <c r="N67" s="159">
        <f t="shared" si="12"/>
        <v>61</v>
      </c>
      <c r="O67" s="159">
        <f t="shared" si="13"/>
        <v>80</v>
      </c>
      <c r="P67" t="e" vm="1">
        <f t="shared" si="14"/>
        <v>#VALUE!</v>
      </c>
      <c r="Q67" s="15">
        <v>0</v>
      </c>
      <c r="R67" s="15">
        <v>0</v>
      </c>
      <c r="S67">
        <v>7</v>
      </c>
      <c r="T67" s="14">
        <f>Table237[[#This Row],[BDG]]/Table237[[#This Row],[Odds]]</f>
        <v>11.792592592592591</v>
      </c>
      <c r="U67" s="14" cm="1">
        <f t="array" ref="U67">MAX(_xlfn._xlws.FILTER(Table22[[B365]:[BFAIREXC]], Table22[PLAYER] = A67))</f>
        <v>27</v>
      </c>
    </row>
    <row r="68" spans="1:21">
      <c r="A68" s="159" t="s">
        <v>445</v>
      </c>
      <c r="B68">
        <v>25</v>
      </c>
      <c r="C68">
        <v>154</v>
      </c>
      <c r="D68">
        <v>179</v>
      </c>
      <c r="E68">
        <v>174</v>
      </c>
      <c r="F68">
        <v>89</v>
      </c>
      <c r="G68">
        <v>153</v>
      </c>
      <c r="H68">
        <v>318.5</v>
      </c>
      <c r="I68" s="14">
        <v>551.04303244053358</v>
      </c>
      <c r="J68" s="259">
        <v>318.5</v>
      </c>
      <c r="K68" s="260">
        <v>551.04303244053358</v>
      </c>
      <c r="L68" s="16">
        <f t="shared" si="10"/>
        <v>59</v>
      </c>
      <c r="M68" s="230">
        <f t="shared" si="11"/>
        <v>73</v>
      </c>
      <c r="N68" s="159">
        <f t="shared" si="12"/>
        <v>62</v>
      </c>
      <c r="O68" s="159">
        <f t="shared" si="13"/>
        <v>74</v>
      </c>
      <c r="P68" t="e" vm="1">
        <f t="shared" si="14"/>
        <v>#VALUE!</v>
      </c>
      <c r="Q68" s="15">
        <v>0</v>
      </c>
      <c r="R68" s="15">
        <v>0</v>
      </c>
      <c r="S68">
        <v>-29</v>
      </c>
      <c r="T68" s="14" t="e" vm="1">
        <f>Table237[[#This Row],[BDG]]/Table237[[#This Row],[Odds]]</f>
        <v>#VALUE!</v>
      </c>
      <c r="U68" s="14" t="e" cm="1" vm="2">
        <f t="array" ref="U68">MAX(_xlfn._xlws.FILTER(Table22[[B365]:[BFAIREXC]], Table22[PLAYER] = A68))</f>
        <v>#VALUE!</v>
      </c>
    </row>
    <row r="69" spans="1:21">
      <c r="A69" s="159" t="s">
        <v>172</v>
      </c>
      <c r="B69">
        <v>175</v>
      </c>
      <c r="C69">
        <v>92</v>
      </c>
      <c r="D69">
        <v>58</v>
      </c>
      <c r="E69">
        <v>139</v>
      </c>
      <c r="F69">
        <v>87</v>
      </c>
      <c r="G69">
        <v>133</v>
      </c>
      <c r="H69">
        <v>319.90000000000003</v>
      </c>
      <c r="I69" s="14">
        <v>475.74256263870154</v>
      </c>
      <c r="J69" s="259">
        <v>319.90000000000003</v>
      </c>
      <c r="K69" s="260">
        <v>475.74256263870154</v>
      </c>
      <c r="L69" s="16">
        <f t="shared" si="10"/>
        <v>61</v>
      </c>
      <c r="M69" s="230">
        <f t="shared" si="11"/>
        <v>52</v>
      </c>
      <c r="N69" s="159">
        <f t="shared" si="12"/>
        <v>63</v>
      </c>
      <c r="O69" s="159">
        <f t="shared" si="13"/>
        <v>50</v>
      </c>
      <c r="P69" t="e" vm="1">
        <f t="shared" si="14"/>
        <v>#VALUE!</v>
      </c>
      <c r="Q69" s="15" t="e">
        <v>#N/A</v>
      </c>
      <c r="R69" s="15" t="e">
        <v>#N/A</v>
      </c>
      <c r="S69" t="e">
        <v>#N/A</v>
      </c>
      <c r="T69" s="14" t="e" vm="1">
        <f>Table237[[#This Row],[BDG]]/Table237[[#This Row],[Odds]]</f>
        <v>#VALUE!</v>
      </c>
      <c r="U69" s="14" t="e" cm="1" vm="2">
        <f t="array" ref="U69">MAX(_xlfn._xlws.FILTER(Table22[[B365]:[BFAIREXC]], Table22[PLAYER] = A69))</f>
        <v>#VALUE!</v>
      </c>
    </row>
    <row r="70" spans="1:21">
      <c r="A70" s="159" t="s">
        <v>31</v>
      </c>
      <c r="B70">
        <v>29</v>
      </c>
      <c r="C70">
        <v>116</v>
      </c>
      <c r="D70">
        <v>170</v>
      </c>
      <c r="E70">
        <v>159</v>
      </c>
      <c r="F70">
        <v>148</v>
      </c>
      <c r="G70">
        <v>132</v>
      </c>
      <c r="H70">
        <v>320.79999999999995</v>
      </c>
      <c r="I70" s="14">
        <v>528.08122133184906</v>
      </c>
      <c r="J70" s="259">
        <v>320.79999999999995</v>
      </c>
      <c r="K70" s="260">
        <v>528.08122133184906</v>
      </c>
      <c r="L70" s="16">
        <f t="shared" si="10"/>
        <v>62</v>
      </c>
      <c r="M70" s="230">
        <f t="shared" si="11"/>
        <v>63</v>
      </c>
      <c r="N70" s="159">
        <f t="shared" si="12"/>
        <v>64</v>
      </c>
      <c r="O70" s="159">
        <f t="shared" si="13"/>
        <v>65</v>
      </c>
      <c r="P70" t="e" vm="1">
        <f t="shared" si="14"/>
        <v>#VALUE!</v>
      </c>
      <c r="Q70" s="15">
        <v>0</v>
      </c>
      <c r="R70" s="15">
        <v>0</v>
      </c>
      <c r="S70" t="e">
        <v>#N/A</v>
      </c>
      <c r="T70" s="14">
        <f>Table237[[#This Row],[BDG]]/Table237[[#This Row],[Odds]]</f>
        <v>13.947826086956519</v>
      </c>
      <c r="U70" s="14" cm="1">
        <f t="array" ref="U70">MAX(_xlfn._xlws.FILTER(Table22[[B365]:[BFAIREXC]], Table22[PLAYER] = A70))</f>
        <v>23</v>
      </c>
    </row>
    <row r="71" spans="1:21">
      <c r="A71" s="159" t="s">
        <v>70</v>
      </c>
      <c r="B71">
        <v>73</v>
      </c>
      <c r="C71">
        <v>176</v>
      </c>
      <c r="D71">
        <v>167</v>
      </c>
      <c r="E71">
        <v>117</v>
      </c>
      <c r="F71">
        <v>56</v>
      </c>
      <c r="G71">
        <v>170</v>
      </c>
      <c r="H71">
        <v>321.40000000000003</v>
      </c>
      <c r="I71" s="14">
        <v>549.65640114932148</v>
      </c>
      <c r="J71" s="259">
        <v>321.40000000000003</v>
      </c>
      <c r="K71" s="260">
        <v>549.65640114932148</v>
      </c>
      <c r="L71" s="16">
        <f t="shared" si="10"/>
        <v>63</v>
      </c>
      <c r="M71" s="230">
        <f t="shared" si="11"/>
        <v>72</v>
      </c>
      <c r="N71" s="159">
        <f t="shared" si="12"/>
        <v>65</v>
      </c>
      <c r="O71" s="159">
        <f t="shared" si="13"/>
        <v>73</v>
      </c>
      <c r="P71" t="e" vm="1">
        <f t="shared" si="14"/>
        <v>#VALUE!</v>
      </c>
      <c r="Q71" s="15" t="e">
        <v>#N/A</v>
      </c>
      <c r="R71" s="15" t="e">
        <v>#N/A</v>
      </c>
      <c r="S71" t="e">
        <v>#N/A</v>
      </c>
      <c r="T71" s="14" t="e" vm="1">
        <f>Table237[[#This Row],[BDG]]/Table237[[#This Row],[Odds]]</f>
        <v>#VALUE!</v>
      </c>
      <c r="U71" s="14" t="e" cm="1" vm="2">
        <f t="array" ref="U71">MAX(_xlfn._xlws.FILTER(Table22[[B365]:[BFAIREXC]], Table22[PLAYER] = A71))</f>
        <v>#VALUE!</v>
      </c>
    </row>
    <row r="72" spans="1:21">
      <c r="A72" s="159" t="s">
        <v>96</v>
      </c>
      <c r="B72">
        <v>99</v>
      </c>
      <c r="C72">
        <v>87</v>
      </c>
      <c r="D72">
        <v>120</v>
      </c>
      <c r="E72">
        <v>114</v>
      </c>
      <c r="F72">
        <v>164</v>
      </c>
      <c r="G72">
        <v>129</v>
      </c>
      <c r="H72">
        <v>322.29999999999995</v>
      </c>
      <c r="I72" s="14">
        <v>496.50536063804748</v>
      </c>
      <c r="J72" s="259">
        <v>322.29999999999995</v>
      </c>
      <c r="K72" s="260">
        <v>496.50536063804748</v>
      </c>
      <c r="L72" s="16">
        <f t="shared" si="10"/>
        <v>64</v>
      </c>
      <c r="M72" s="230">
        <f t="shared" si="11"/>
        <v>55</v>
      </c>
      <c r="N72" s="159">
        <f t="shared" si="12"/>
        <v>66</v>
      </c>
      <c r="O72" s="159">
        <f t="shared" si="13"/>
        <v>57</v>
      </c>
      <c r="P72" t="e" vm="1">
        <f t="shared" si="14"/>
        <v>#VALUE!</v>
      </c>
      <c r="Q72" s="15" t="e">
        <v>#N/A</v>
      </c>
      <c r="R72" s="15" t="e">
        <v>#N/A</v>
      </c>
      <c r="S72" t="e">
        <v>#N/A</v>
      </c>
      <c r="T72" s="14">
        <f>Table237[[#This Row],[BDG]]/Table237[[#This Row],[Odds]]</f>
        <v>7.8609756097560961</v>
      </c>
      <c r="U72" s="14" cm="1">
        <f t="array" ref="U72">MAX(_xlfn._xlws.FILTER(Table22[[B365]:[BFAIREXC]], Table22[PLAYER] = A72))</f>
        <v>41</v>
      </c>
    </row>
    <row r="73" spans="1:21">
      <c r="A73" s="159" t="s">
        <v>111</v>
      </c>
      <c r="B73">
        <v>112</v>
      </c>
      <c r="C73">
        <v>124</v>
      </c>
      <c r="D73">
        <v>86</v>
      </c>
      <c r="E73">
        <v>64</v>
      </c>
      <c r="F73">
        <v>190</v>
      </c>
      <c r="G73">
        <v>165</v>
      </c>
      <c r="H73">
        <v>323.8</v>
      </c>
      <c r="I73" s="14">
        <v>514.62561973666266</v>
      </c>
      <c r="J73" s="259">
        <v>323.8</v>
      </c>
      <c r="K73" s="260">
        <v>514.62561973666266</v>
      </c>
      <c r="L73" s="16">
        <f t="shared" si="10"/>
        <v>66</v>
      </c>
      <c r="M73" s="230">
        <f t="shared" si="11"/>
        <v>59</v>
      </c>
      <c r="N73" s="159">
        <f t="shared" si="12"/>
        <v>68</v>
      </c>
      <c r="O73" s="159">
        <f t="shared" si="13"/>
        <v>63</v>
      </c>
      <c r="P73" t="e" vm="1">
        <f t="shared" si="14"/>
        <v>#VALUE!</v>
      </c>
      <c r="Q73" s="15" t="e">
        <v>#N/A</v>
      </c>
      <c r="R73" s="15" t="e">
        <v>#N/A</v>
      </c>
      <c r="S73" t="e">
        <v>#N/A</v>
      </c>
      <c r="T73" s="14">
        <f>Table237[[#This Row],[BDG]]/Table237[[#This Row],[Odds]]</f>
        <v>7.897560975609756</v>
      </c>
      <c r="U73" s="14" cm="1">
        <f t="array" ref="U73">MAX(_xlfn._xlws.FILTER(Table22[[B365]:[BFAIREXC]], Table22[PLAYER] = A73))</f>
        <v>41</v>
      </c>
    </row>
    <row r="74" spans="1:21">
      <c r="A74" s="159" t="s">
        <v>191</v>
      </c>
      <c r="B74">
        <v>193</v>
      </c>
      <c r="C74">
        <v>30</v>
      </c>
      <c r="D74">
        <v>168</v>
      </c>
      <c r="E74">
        <v>69</v>
      </c>
      <c r="F74">
        <v>54</v>
      </c>
      <c r="G74">
        <v>182</v>
      </c>
      <c r="H74">
        <v>324.8</v>
      </c>
      <c r="I74" s="14">
        <v>540.14036796912865</v>
      </c>
      <c r="J74" s="259">
        <v>324.8</v>
      </c>
      <c r="K74" s="260">
        <v>540.14036796912865</v>
      </c>
      <c r="L74" s="16">
        <f t="shared" si="10"/>
        <v>68</v>
      </c>
      <c r="M74" s="230">
        <f t="shared" si="11"/>
        <v>68</v>
      </c>
      <c r="N74" s="159">
        <f t="shared" si="12"/>
        <v>69</v>
      </c>
      <c r="O74" s="159">
        <f t="shared" si="13"/>
        <v>69</v>
      </c>
      <c r="P74" t="e" vm="1">
        <f t="shared" si="14"/>
        <v>#VALUE!</v>
      </c>
      <c r="Q74" s="15" t="e">
        <v>#N/A</v>
      </c>
      <c r="R74" s="15" t="e">
        <v>#N/A</v>
      </c>
      <c r="S74" t="e">
        <v>#N/A</v>
      </c>
      <c r="T74" s="14">
        <f>Table237[[#This Row],[BDG]]/Table237[[#This Row],[Odds]]</f>
        <v>4.8477611940298511</v>
      </c>
      <c r="U74" s="14" cm="1">
        <f t="array" ref="U74">MAX(_xlfn._xlws.FILTER(Table22[[B365]:[BFAIREXC]], Table22[PLAYER] = A74))</f>
        <v>67</v>
      </c>
    </row>
    <row r="75" spans="1:21">
      <c r="A75" s="159" t="s">
        <v>103</v>
      </c>
      <c r="B75">
        <v>157</v>
      </c>
      <c r="C75">
        <v>36</v>
      </c>
      <c r="D75">
        <v>118</v>
      </c>
      <c r="E75">
        <v>93</v>
      </c>
      <c r="F75">
        <v>40</v>
      </c>
      <c r="G75">
        <v>81</v>
      </c>
      <c r="H75">
        <v>271.60000000000002</v>
      </c>
      <c r="I75" s="14">
        <v>382.27617178076588</v>
      </c>
      <c r="J75" s="259">
        <v>329.3075097510926</v>
      </c>
      <c r="K75" s="260">
        <v>514.27071648393905</v>
      </c>
      <c r="L75" s="16">
        <f t="shared" si="10"/>
        <v>34</v>
      </c>
      <c r="M75" s="230">
        <f t="shared" si="11"/>
        <v>25</v>
      </c>
      <c r="N75" s="159">
        <f t="shared" si="12"/>
        <v>70</v>
      </c>
      <c r="O75" s="159">
        <f t="shared" si="13"/>
        <v>62</v>
      </c>
      <c r="P75" t="e" vm="1">
        <f t="shared" si="14"/>
        <v>#VALUE!</v>
      </c>
      <c r="Q75" s="15">
        <v>0</v>
      </c>
      <c r="R75" s="15">
        <v>0</v>
      </c>
      <c r="S75">
        <v>22</v>
      </c>
      <c r="T75" s="14">
        <f>Table237[[#This Row],[BDG]]/Table237[[#This Row],[Odds]]</f>
        <v>19.719012559945664</v>
      </c>
      <c r="U75" s="14" cm="1">
        <f t="array" ref="U75">MAX(_xlfn._xlws.FILTER(Table22[[B365]:[BFAIREXC]], Table22[PLAYER] = A75))</f>
        <v>16.7</v>
      </c>
    </row>
    <row r="76" spans="1:21">
      <c r="A76" s="159" t="s">
        <v>94</v>
      </c>
      <c r="B76">
        <v>93</v>
      </c>
      <c r="C76">
        <v>118</v>
      </c>
      <c r="D76">
        <v>191</v>
      </c>
      <c r="E76">
        <v>153</v>
      </c>
      <c r="F76">
        <v>44</v>
      </c>
      <c r="G76">
        <v>172</v>
      </c>
      <c r="H76">
        <v>331.2</v>
      </c>
      <c r="I76" s="14">
        <v>571.67788248324882</v>
      </c>
      <c r="J76" s="259">
        <v>331.2</v>
      </c>
      <c r="K76" s="260">
        <v>571.67788248324882</v>
      </c>
      <c r="L76" s="16">
        <f t="shared" si="10"/>
        <v>70</v>
      </c>
      <c r="M76" s="230">
        <f t="shared" si="11"/>
        <v>80</v>
      </c>
      <c r="N76" s="159">
        <f t="shared" si="12"/>
        <v>71</v>
      </c>
      <c r="O76" s="159">
        <f t="shared" si="13"/>
        <v>82</v>
      </c>
      <c r="P76" t="e" vm="1">
        <f t="shared" si="14"/>
        <v>#VALUE!</v>
      </c>
      <c r="Q76" s="15" t="e">
        <v>#N/A</v>
      </c>
      <c r="R76" s="15" t="e">
        <v>#N/A</v>
      </c>
      <c r="S76" t="e">
        <v>#N/A</v>
      </c>
      <c r="T76" s="14">
        <f>Table237[[#This Row],[BDG]]/Table237[[#This Row],[Odds]]</f>
        <v>13.247999999999999</v>
      </c>
      <c r="U76" s="14" cm="1">
        <f t="array" ref="U76">MAX(_xlfn._xlws.FILTER(Table22[[B365]:[BFAIREXC]], Table22[PLAYER] = A76))</f>
        <v>25</v>
      </c>
    </row>
    <row r="77" spans="1:21">
      <c r="A77" s="159" t="s">
        <v>117</v>
      </c>
      <c r="B77">
        <v>114</v>
      </c>
      <c r="C77">
        <v>31</v>
      </c>
      <c r="D77">
        <v>141</v>
      </c>
      <c r="E77">
        <v>169</v>
      </c>
      <c r="F77">
        <v>146</v>
      </c>
      <c r="G77">
        <v>146</v>
      </c>
      <c r="H77">
        <v>331.90000000000003</v>
      </c>
      <c r="I77" s="14">
        <v>536.82720389184556</v>
      </c>
      <c r="J77" s="259">
        <v>331.90000000000003</v>
      </c>
      <c r="K77" s="260">
        <v>536.82720389184556</v>
      </c>
      <c r="L77" s="16">
        <f t="shared" si="10"/>
        <v>71</v>
      </c>
      <c r="M77" s="230">
        <f t="shared" si="11"/>
        <v>67</v>
      </c>
      <c r="N77" s="159">
        <f t="shared" si="12"/>
        <v>72</v>
      </c>
      <c r="O77" s="159">
        <f t="shared" si="13"/>
        <v>68</v>
      </c>
      <c r="P77" t="e" vm="1">
        <f t="shared" si="14"/>
        <v>#VALUE!</v>
      </c>
      <c r="Q77" s="15">
        <v>0</v>
      </c>
      <c r="R77" s="15">
        <v>0</v>
      </c>
      <c r="S77" t="e">
        <v>#N/A</v>
      </c>
      <c r="T77" s="14">
        <f>Table237[[#This Row],[BDG]]/Table237[[#This Row],[Odds]]</f>
        <v>15.086363636363638</v>
      </c>
      <c r="U77" s="14" cm="1">
        <f t="array" ref="U77">MAX(_xlfn._xlws.FILTER(Table22[[B365]:[BFAIREXC]], Table22[PLAYER] = A77))</f>
        <v>22</v>
      </c>
    </row>
    <row r="78" spans="1:21">
      <c r="A78" s="159" t="s">
        <v>444</v>
      </c>
      <c r="B78">
        <v>104</v>
      </c>
      <c r="C78">
        <v>130</v>
      </c>
      <c r="D78">
        <v>159</v>
      </c>
      <c r="E78">
        <v>12</v>
      </c>
      <c r="F78">
        <v>171</v>
      </c>
      <c r="G78">
        <v>157</v>
      </c>
      <c r="H78">
        <v>333.9</v>
      </c>
      <c r="I78" s="14">
        <v>525.31375867754059</v>
      </c>
      <c r="J78" s="259">
        <v>333.9</v>
      </c>
      <c r="K78" s="260">
        <v>525.31375867754059</v>
      </c>
      <c r="L78" s="16">
        <f t="shared" si="10"/>
        <v>72</v>
      </c>
      <c r="M78" s="230">
        <f t="shared" si="11"/>
        <v>62</v>
      </c>
      <c r="N78" s="159">
        <f t="shared" si="12"/>
        <v>73</v>
      </c>
      <c r="O78" s="159">
        <f t="shared" si="13"/>
        <v>64</v>
      </c>
      <c r="P78" t="e" vm="1">
        <f t="shared" si="14"/>
        <v>#VALUE!</v>
      </c>
      <c r="Q78" s="15" t="e">
        <v>#N/A</v>
      </c>
      <c r="R78" s="15" t="e">
        <v>#N/A</v>
      </c>
      <c r="S78">
        <v>-19</v>
      </c>
      <c r="T78" s="14">
        <f>Table237[[#This Row],[BDG]]/Table237[[#This Row],[Odds]]</f>
        <v>11.924999999999999</v>
      </c>
      <c r="U78" s="14" cm="1">
        <f t="array" ref="U78">MAX(_xlfn._xlws.FILTER(Table22[[B365]:[BFAIREXC]], Table22[PLAYER] = A78))</f>
        <v>28</v>
      </c>
    </row>
    <row r="79" spans="1:21">
      <c r="A79" s="159" t="s">
        <v>155</v>
      </c>
      <c r="B79">
        <v>159</v>
      </c>
      <c r="C79">
        <v>91</v>
      </c>
      <c r="D79">
        <v>109</v>
      </c>
      <c r="E79">
        <v>120</v>
      </c>
      <c r="F79">
        <v>100</v>
      </c>
      <c r="G79">
        <v>122</v>
      </c>
      <c r="H79">
        <v>336.09999999999997</v>
      </c>
      <c r="I79" s="14">
        <v>492.41062475230649</v>
      </c>
      <c r="J79" s="259">
        <v>336.09999999999997</v>
      </c>
      <c r="K79" s="260">
        <v>492.41062475230649</v>
      </c>
      <c r="L79" s="16">
        <f t="shared" si="10"/>
        <v>73</v>
      </c>
      <c r="M79" s="230">
        <f t="shared" si="11"/>
        <v>54</v>
      </c>
      <c r="N79" s="159">
        <f t="shared" si="12"/>
        <v>74</v>
      </c>
      <c r="O79" s="159">
        <f t="shared" si="13"/>
        <v>55</v>
      </c>
      <c r="P79" t="e" vm="1">
        <f t="shared" si="14"/>
        <v>#VALUE!</v>
      </c>
      <c r="Q79" s="15" t="e">
        <v>#N/A</v>
      </c>
      <c r="R79" s="15" t="e">
        <v>#N/A</v>
      </c>
      <c r="S79" t="e">
        <v>#N/A</v>
      </c>
      <c r="T79" s="14">
        <f>Table237[[#This Row],[BDG]]/Table237[[#This Row],[Odds]]</f>
        <v>17.147959183673468</v>
      </c>
      <c r="U79" s="14" cm="1">
        <f t="array" ref="U79">MAX(_xlfn._xlws.FILTER(Table22[[B365]:[BFAIREXC]], Table22[PLAYER] = A79))</f>
        <v>19.600000000000001</v>
      </c>
    </row>
    <row r="80" spans="1:21">
      <c r="A80" s="159" t="s">
        <v>180</v>
      </c>
      <c r="B80">
        <v>180</v>
      </c>
      <c r="C80">
        <v>17</v>
      </c>
      <c r="D80">
        <v>156</v>
      </c>
      <c r="E80">
        <v>171</v>
      </c>
      <c r="F80">
        <v>46</v>
      </c>
      <c r="G80">
        <v>158</v>
      </c>
      <c r="H80">
        <v>337.5</v>
      </c>
      <c r="I80" s="14">
        <v>547.51507432487642</v>
      </c>
      <c r="J80" s="259">
        <v>337.5</v>
      </c>
      <c r="K80" s="260">
        <v>547.51507432487642</v>
      </c>
      <c r="L80" s="16">
        <f t="shared" si="10"/>
        <v>75</v>
      </c>
      <c r="M80" s="230">
        <f t="shared" si="11"/>
        <v>71</v>
      </c>
      <c r="N80" s="159">
        <f t="shared" si="12"/>
        <v>76</v>
      </c>
      <c r="O80" s="159">
        <f t="shared" si="13"/>
        <v>72</v>
      </c>
      <c r="P80" t="e" vm="1">
        <f t="shared" si="14"/>
        <v>#VALUE!</v>
      </c>
      <c r="Q80" s="15" t="e">
        <v>#N/A</v>
      </c>
      <c r="R80" s="15" t="e">
        <v>#N/A</v>
      </c>
      <c r="S80" t="e">
        <v>#N/A</v>
      </c>
      <c r="T80" s="14" t="e" vm="1">
        <f>Table237[[#This Row],[BDG]]/Table237[[#This Row],[Odds]]</f>
        <v>#VALUE!</v>
      </c>
      <c r="U80" s="14" t="e" cm="1" vm="2">
        <f t="array" ref="U80">MAX(_xlfn._xlws.FILTER(Table22[[B365]:[BFAIREXC]], Table22[PLAYER] = A80))</f>
        <v>#VALUE!</v>
      </c>
    </row>
    <row r="81" spans="1:21">
      <c r="A81" s="159" t="s">
        <v>37</v>
      </c>
      <c r="B81">
        <v>85</v>
      </c>
      <c r="C81">
        <v>184</v>
      </c>
      <c r="D81">
        <v>176</v>
      </c>
      <c r="E81">
        <v>147</v>
      </c>
      <c r="F81">
        <v>42</v>
      </c>
      <c r="G81">
        <v>177</v>
      </c>
      <c r="H81">
        <v>345.40000000000003</v>
      </c>
      <c r="I81" s="14">
        <v>587.02896733847876</v>
      </c>
      <c r="J81" s="259">
        <v>342.54096674561157</v>
      </c>
      <c r="K81" s="260">
        <v>597.66432452787114</v>
      </c>
      <c r="L81" s="16">
        <f t="shared" si="10"/>
        <v>77</v>
      </c>
      <c r="M81" s="230">
        <f t="shared" si="11"/>
        <v>85</v>
      </c>
      <c r="N81" s="159">
        <f t="shared" si="12"/>
        <v>77</v>
      </c>
      <c r="O81" s="159">
        <f t="shared" si="13"/>
        <v>87</v>
      </c>
      <c r="P81" t="e" vm="1">
        <f t="shared" si="14"/>
        <v>#VALUE!</v>
      </c>
      <c r="Q81" s="15">
        <v>0</v>
      </c>
      <c r="R81" s="15">
        <v>0</v>
      </c>
      <c r="S81">
        <v>-57</v>
      </c>
      <c r="T81" s="14">
        <f>Table237[[#This Row],[BDG]]/Table237[[#This Row],[Odds]]</f>
        <v>8.7831017114259371</v>
      </c>
      <c r="U81" s="14" cm="1">
        <f t="array" ref="U81">MAX(_xlfn._xlws.FILTER(Table22[[B365]:[BFAIREXC]], Table22[PLAYER] = A81))</f>
        <v>39</v>
      </c>
    </row>
    <row r="82" spans="1:21">
      <c r="A82" s="159" t="s">
        <v>157</v>
      </c>
      <c r="B82">
        <v>165</v>
      </c>
      <c r="C82">
        <v>63</v>
      </c>
      <c r="D82">
        <v>106</v>
      </c>
      <c r="E82">
        <v>98</v>
      </c>
      <c r="F82">
        <v>155</v>
      </c>
      <c r="G82">
        <v>157</v>
      </c>
      <c r="H82">
        <v>343.8</v>
      </c>
      <c r="I82" s="14">
        <v>530.63526420044082</v>
      </c>
      <c r="J82" s="259">
        <v>343.8</v>
      </c>
      <c r="K82" s="260">
        <v>530.63526420044082</v>
      </c>
      <c r="L82" s="16">
        <f t="shared" si="10"/>
        <v>76</v>
      </c>
      <c r="M82" s="230">
        <f t="shared" si="11"/>
        <v>64</v>
      </c>
      <c r="N82" s="159">
        <f t="shared" si="12"/>
        <v>78</v>
      </c>
      <c r="O82" s="159">
        <f t="shared" si="13"/>
        <v>66</v>
      </c>
      <c r="P82" t="e" vm="1">
        <f t="shared" si="14"/>
        <v>#VALUE!</v>
      </c>
      <c r="Q82" s="15">
        <v>0</v>
      </c>
      <c r="R82" s="15">
        <v>0</v>
      </c>
      <c r="S82" t="e">
        <v>#N/A</v>
      </c>
      <c r="T82" s="14">
        <f>Table237[[#This Row],[BDG]]/Table237[[#This Row],[Odds]]</f>
        <v>25.094890510948908</v>
      </c>
      <c r="U82" s="14" cm="1">
        <f t="array" ref="U82">MAX(_xlfn._xlws.FILTER(Table22[[B365]:[BFAIREXC]], Table22[PLAYER] = A82))</f>
        <v>13.7</v>
      </c>
    </row>
    <row r="83" spans="1:21">
      <c r="A83" s="159" t="s">
        <v>223</v>
      </c>
      <c r="B83">
        <v>53</v>
      </c>
      <c r="C83">
        <v>152</v>
      </c>
      <c r="D83">
        <v>166</v>
      </c>
      <c r="E83">
        <v>95</v>
      </c>
      <c r="F83">
        <v>185</v>
      </c>
      <c r="G83">
        <v>184</v>
      </c>
      <c r="H83">
        <v>348.5</v>
      </c>
      <c r="I83" s="14">
        <v>592.09658745374054</v>
      </c>
      <c r="J83" s="259">
        <v>345.977323599069</v>
      </c>
      <c r="K83" s="260">
        <v>569.59081207453278</v>
      </c>
      <c r="L83" s="16">
        <f t="shared" si="10"/>
        <v>79</v>
      </c>
      <c r="M83" s="230">
        <f t="shared" si="11"/>
        <v>86</v>
      </c>
      <c r="N83" s="159">
        <f t="shared" si="12"/>
        <v>79</v>
      </c>
      <c r="O83" s="159">
        <f t="shared" si="13"/>
        <v>81</v>
      </c>
      <c r="P83" t="e" vm="1">
        <f t="shared" si="14"/>
        <v>#VALUE!</v>
      </c>
      <c r="Q83" s="15">
        <v>0</v>
      </c>
      <c r="R83" s="15">
        <v>0</v>
      </c>
      <c r="S83">
        <v>-17</v>
      </c>
      <c r="T83" s="14">
        <f>Table237[[#This Row],[BDG]]/Table237[[#This Row],[Odds]]</f>
        <v>33.59003141738534</v>
      </c>
      <c r="U83" s="14" cm="1">
        <f t="array" ref="U83">MAX(_xlfn._xlws.FILTER(Table22[[B365]:[BFAIREXC]], Table22[PLAYER] = A83))</f>
        <v>10.3</v>
      </c>
    </row>
    <row r="84" spans="1:21">
      <c r="A84" s="159" t="s">
        <v>81</v>
      </c>
      <c r="B84">
        <v>80</v>
      </c>
      <c r="C84">
        <v>159</v>
      </c>
      <c r="D84">
        <v>139</v>
      </c>
      <c r="E84">
        <v>81</v>
      </c>
      <c r="F84">
        <v>174</v>
      </c>
      <c r="G84">
        <v>152</v>
      </c>
      <c r="H84">
        <v>346.29999999999995</v>
      </c>
      <c r="I84" s="14">
        <v>544.59784578707399</v>
      </c>
      <c r="J84" s="259">
        <v>346.29999999999995</v>
      </c>
      <c r="K84" s="260">
        <v>544.59784578707399</v>
      </c>
      <c r="L84" s="16">
        <f t="shared" si="10"/>
        <v>78</v>
      </c>
      <c r="M84" s="230">
        <f t="shared" si="11"/>
        <v>69</v>
      </c>
      <c r="N84" s="159">
        <f t="shared" si="12"/>
        <v>80</v>
      </c>
      <c r="O84" s="159">
        <f t="shared" si="13"/>
        <v>70</v>
      </c>
      <c r="P84" t="e" vm="1">
        <f t="shared" si="14"/>
        <v>#VALUE!</v>
      </c>
      <c r="Q84" s="15" t="e">
        <v>#N/A</v>
      </c>
      <c r="R84" s="15" t="e">
        <v>#N/A</v>
      </c>
      <c r="S84" t="e">
        <v>#N/A</v>
      </c>
      <c r="T84" s="14">
        <f>Table237[[#This Row],[BDG]]/Table237[[#This Row],[Odds]]</f>
        <v>18.226315789473681</v>
      </c>
      <c r="U84" s="14" cm="1">
        <f t="array" ref="U84">MAX(_xlfn._xlws.FILTER(Table22[[B365]:[BFAIREXC]], Table22[PLAYER] = A84))</f>
        <v>19</v>
      </c>
    </row>
    <row r="85" spans="1:21">
      <c r="A85" s="159" t="s">
        <v>185</v>
      </c>
      <c r="B85">
        <v>187</v>
      </c>
      <c r="C85">
        <v>2</v>
      </c>
      <c r="D85">
        <v>114</v>
      </c>
      <c r="E85">
        <v>148</v>
      </c>
      <c r="F85">
        <v>147</v>
      </c>
      <c r="G85">
        <v>162</v>
      </c>
      <c r="H85">
        <v>351.7</v>
      </c>
      <c r="I85" s="14">
        <v>552.35264147384135</v>
      </c>
      <c r="J85" s="259">
        <v>351.7</v>
      </c>
      <c r="K85" s="260">
        <v>552.35264147384135</v>
      </c>
      <c r="L85" s="16">
        <f t="shared" si="10"/>
        <v>80</v>
      </c>
      <c r="M85" s="230">
        <f t="shared" si="11"/>
        <v>74</v>
      </c>
      <c r="N85" s="159">
        <f t="shared" si="12"/>
        <v>81</v>
      </c>
      <c r="O85" s="159">
        <f t="shared" si="13"/>
        <v>75</v>
      </c>
      <c r="P85" t="e" vm="1">
        <f t="shared" si="14"/>
        <v>#VALUE!</v>
      </c>
      <c r="Q85" s="15" t="e">
        <v>#N/A</v>
      </c>
      <c r="R85" s="15" t="e">
        <v>#N/A</v>
      </c>
      <c r="S85" t="e">
        <v>#N/A</v>
      </c>
      <c r="T85" s="14">
        <f>Table237[[#This Row],[BDG]]/Table237[[#This Row],[Odds]]</f>
        <v>8.5780487804878049</v>
      </c>
      <c r="U85" s="14" cm="1">
        <f t="array" ref="U85">MAX(_xlfn._xlws.FILTER(Table22[[B365]:[BFAIREXC]], Table22[PLAYER] = A85))</f>
        <v>41</v>
      </c>
    </row>
    <row r="86" spans="1:21">
      <c r="A86" s="159" t="s">
        <v>86</v>
      </c>
      <c r="B86">
        <v>85</v>
      </c>
      <c r="C86">
        <v>167</v>
      </c>
      <c r="D86">
        <v>192</v>
      </c>
      <c r="E86">
        <v>144</v>
      </c>
      <c r="F86">
        <v>58</v>
      </c>
      <c r="G86">
        <v>185</v>
      </c>
      <c r="H86">
        <v>353.3</v>
      </c>
      <c r="I86" s="14">
        <v>606.76197323480858</v>
      </c>
      <c r="J86" s="259">
        <v>353.3</v>
      </c>
      <c r="K86" s="260">
        <v>606.76197323480858</v>
      </c>
      <c r="L86" s="16">
        <f t="shared" si="10"/>
        <v>82</v>
      </c>
      <c r="M86" s="230">
        <f t="shared" si="11"/>
        <v>88</v>
      </c>
      <c r="N86" s="159">
        <f t="shared" si="12"/>
        <v>83</v>
      </c>
      <c r="O86" s="159">
        <f t="shared" si="13"/>
        <v>89</v>
      </c>
      <c r="P86" t="e" vm="1">
        <f t="shared" si="14"/>
        <v>#VALUE!</v>
      </c>
      <c r="Q86" s="15" t="e">
        <v>#N/A</v>
      </c>
      <c r="R86" s="15" t="e">
        <v>#N/A</v>
      </c>
      <c r="S86" t="e">
        <v>#N/A</v>
      </c>
      <c r="T86" s="14">
        <f>Table237[[#This Row],[BDG]]/Table237[[#This Row],[Odds]]</f>
        <v>10.391176470588235</v>
      </c>
      <c r="U86" s="14" cm="1">
        <f t="array" ref="U86">MAX(_xlfn._xlws.FILTER(Table22[[B365]:[BFAIREXC]], Table22[PLAYER] = A86))</f>
        <v>34</v>
      </c>
    </row>
    <row r="87" spans="1:21">
      <c r="A87" s="159" t="s">
        <v>393</v>
      </c>
      <c r="B87">
        <v>173</v>
      </c>
      <c r="C87">
        <v>106</v>
      </c>
      <c r="D87">
        <v>187</v>
      </c>
      <c r="E87">
        <v>82</v>
      </c>
      <c r="F87">
        <v>40</v>
      </c>
      <c r="G87">
        <v>162</v>
      </c>
      <c r="H87">
        <v>356.40000000000003</v>
      </c>
      <c r="I87" s="14">
        <v>561.47850983498574</v>
      </c>
      <c r="J87" s="259">
        <v>356.40000000000003</v>
      </c>
      <c r="K87" s="260">
        <v>561.47850983498574</v>
      </c>
      <c r="L87" s="16">
        <f t="shared" si="10"/>
        <v>84</v>
      </c>
      <c r="M87" s="230">
        <f t="shared" si="11"/>
        <v>78</v>
      </c>
      <c r="N87" s="159">
        <f t="shared" si="12"/>
        <v>84</v>
      </c>
      <c r="O87" s="159">
        <f t="shared" si="13"/>
        <v>79</v>
      </c>
      <c r="P87" t="e" vm="1">
        <f t="shared" si="14"/>
        <v>#VALUE!</v>
      </c>
      <c r="Q87" s="15" t="e">
        <v>#N/A</v>
      </c>
      <c r="R87" s="15" t="e">
        <v>#N/A</v>
      </c>
      <c r="S87" t="e">
        <v>#N/A</v>
      </c>
      <c r="T87" s="14">
        <f>Table237[[#This Row],[BDG]]/Table237[[#This Row],[Odds]]</f>
        <v>20.135593220338986</v>
      </c>
      <c r="U87" s="14" cm="1">
        <f t="array" ref="U87">MAX(_xlfn._xlws.FILTER(Table22[[B365]:[BFAIREXC]], Table22[PLAYER] = A87))</f>
        <v>17.7</v>
      </c>
    </row>
    <row r="88" spans="1:21">
      <c r="A88" s="159" t="s">
        <v>159</v>
      </c>
      <c r="B88">
        <v>159</v>
      </c>
      <c r="C88">
        <v>58</v>
      </c>
      <c r="D88">
        <v>147</v>
      </c>
      <c r="E88">
        <v>129</v>
      </c>
      <c r="F88">
        <v>130</v>
      </c>
      <c r="G88">
        <v>154</v>
      </c>
      <c r="H88">
        <v>361</v>
      </c>
      <c r="I88" s="14">
        <v>561.42777618215439</v>
      </c>
      <c r="J88" s="259">
        <v>361</v>
      </c>
      <c r="K88" s="260">
        <v>561.42777618215439</v>
      </c>
      <c r="L88" s="16">
        <f t="shared" si="10"/>
        <v>85</v>
      </c>
      <c r="M88" s="230">
        <f t="shared" si="11"/>
        <v>77</v>
      </c>
      <c r="N88" s="159">
        <f t="shared" si="12"/>
        <v>85</v>
      </c>
      <c r="O88" s="159">
        <f t="shared" si="13"/>
        <v>78</v>
      </c>
      <c r="P88" t="e" vm="1">
        <f t="shared" si="14"/>
        <v>#VALUE!</v>
      </c>
      <c r="Q88" s="15" t="e">
        <v>#N/A</v>
      </c>
      <c r="R88" s="15" t="e">
        <v>#N/A</v>
      </c>
      <c r="S88" t="e">
        <v>#N/A</v>
      </c>
      <c r="T88" s="14">
        <f>Table237[[#This Row],[BDG]]/Table237[[#This Row],[Odds]]</f>
        <v>12.892857142857142</v>
      </c>
      <c r="U88" s="14" cm="1">
        <f t="array" ref="U88">MAX(_xlfn._xlws.FILTER(Table22[[B365]:[BFAIREXC]], Table22[PLAYER] = A88))</f>
        <v>28</v>
      </c>
    </row>
    <row r="89" spans="1:21">
      <c r="A89" s="159" t="s">
        <v>373</v>
      </c>
      <c r="B89">
        <v>103</v>
      </c>
      <c r="C89">
        <v>166</v>
      </c>
      <c r="D89">
        <v>173</v>
      </c>
      <c r="E89">
        <v>18</v>
      </c>
      <c r="F89">
        <v>180</v>
      </c>
      <c r="G89">
        <v>181</v>
      </c>
      <c r="H89">
        <v>366.4</v>
      </c>
      <c r="I89" s="14">
        <v>587.01301513642136</v>
      </c>
      <c r="J89" s="259">
        <v>366.4</v>
      </c>
      <c r="K89" s="260">
        <v>587.01301513642136</v>
      </c>
      <c r="L89" s="16">
        <f t="shared" si="10"/>
        <v>87</v>
      </c>
      <c r="M89" s="230">
        <f t="shared" si="11"/>
        <v>84</v>
      </c>
      <c r="N89" s="159">
        <f t="shared" si="12"/>
        <v>87</v>
      </c>
      <c r="O89" s="159">
        <f t="shared" si="13"/>
        <v>86</v>
      </c>
      <c r="P89" t="e" vm="1">
        <f t="shared" si="14"/>
        <v>#VALUE!</v>
      </c>
      <c r="Q89" s="15" t="e">
        <v>#N/A</v>
      </c>
      <c r="R89" s="15" t="e">
        <v>#N/A</v>
      </c>
      <c r="S89" t="e">
        <v>#N/A</v>
      </c>
      <c r="T89" s="14">
        <f>Table237[[#This Row],[BDG]]/Table237[[#This Row],[Odds]]</f>
        <v>12.634482758620688</v>
      </c>
      <c r="U89" s="14" cm="1">
        <f t="array" ref="U89">MAX(_xlfn._xlws.FILTER(Table22[[B365]:[BFAIREXC]], Table22[PLAYER] = A89))</f>
        <v>29</v>
      </c>
    </row>
    <row r="90" spans="1:21">
      <c r="A90" s="159" t="s">
        <v>173</v>
      </c>
      <c r="B90">
        <v>173</v>
      </c>
      <c r="C90">
        <v>81</v>
      </c>
      <c r="D90">
        <v>181</v>
      </c>
      <c r="E90">
        <v>1</v>
      </c>
      <c r="F90">
        <v>178</v>
      </c>
      <c r="G90">
        <v>169</v>
      </c>
      <c r="H90">
        <v>376.9</v>
      </c>
      <c r="I90" s="14">
        <v>575.02039303957861</v>
      </c>
      <c r="J90" s="259">
        <v>376.9</v>
      </c>
      <c r="K90" s="260">
        <v>575.02039303957861</v>
      </c>
      <c r="L90" s="16">
        <f t="shared" si="10"/>
        <v>88</v>
      </c>
      <c r="M90" s="230">
        <f t="shared" si="11"/>
        <v>81</v>
      </c>
      <c r="N90" s="159">
        <f t="shared" si="12"/>
        <v>88</v>
      </c>
      <c r="O90" s="159">
        <f t="shared" si="13"/>
        <v>83</v>
      </c>
      <c r="P90" t="e" vm="1">
        <f t="shared" si="14"/>
        <v>#VALUE!</v>
      </c>
      <c r="Q90" s="15" t="e">
        <v>#N/A</v>
      </c>
      <c r="R90" s="15" t="e">
        <v>#N/A</v>
      </c>
      <c r="S90" t="e">
        <v>#N/A</v>
      </c>
      <c r="T90" s="14">
        <f>Table237[[#This Row],[BDG]]/Table237[[#This Row],[Odds]]</f>
        <v>9.1926829268292671</v>
      </c>
      <c r="U90" s="14" cm="1">
        <f t="array" ref="U90">MAX(_xlfn._xlws.FILTER(Table22[[B365]:[BFAIREXC]], Table22[PLAYER] = A90))</f>
        <v>41</v>
      </c>
    </row>
    <row r="91" spans="1:21">
      <c r="A91" s="159" t="s">
        <v>222</v>
      </c>
      <c r="B91">
        <v>173</v>
      </c>
      <c r="C91">
        <v>160</v>
      </c>
      <c r="D91">
        <v>145</v>
      </c>
      <c r="E91">
        <v>86</v>
      </c>
      <c r="F91">
        <v>76</v>
      </c>
      <c r="G91">
        <v>164</v>
      </c>
      <c r="H91">
        <v>377.79999999999995</v>
      </c>
      <c r="I91" s="14">
        <v>576.19436128787606</v>
      </c>
      <c r="J91" s="259">
        <v>377.79999999999995</v>
      </c>
      <c r="K91" s="260">
        <v>576.19436128787606</v>
      </c>
      <c r="L91" s="16">
        <f t="shared" si="10"/>
        <v>89</v>
      </c>
      <c r="M91" s="230">
        <f t="shared" si="11"/>
        <v>82</v>
      </c>
      <c r="N91" s="159">
        <f t="shared" si="12"/>
        <v>89</v>
      </c>
      <c r="O91" s="159">
        <f t="shared" si="13"/>
        <v>84</v>
      </c>
      <c r="P91" t="e" vm="1">
        <f t="shared" si="14"/>
        <v>#VALUE!</v>
      </c>
      <c r="Q91" s="15">
        <v>0</v>
      </c>
      <c r="R91" s="15">
        <v>0</v>
      </c>
      <c r="S91">
        <v>-2</v>
      </c>
      <c r="T91" s="14" t="e" vm="1">
        <f>Table237[[#This Row],[BDG]]/Table237[[#This Row],[Odds]]</f>
        <v>#VALUE!</v>
      </c>
      <c r="U91" s="14" t="e" cm="1" vm="2">
        <f t="array" ref="U91">MAX(_xlfn._xlws.FILTER(Table22[[B365]:[BFAIREXC]], Table22[PLAYER] = A91))</f>
        <v>#VALUE!</v>
      </c>
    </row>
    <row r="92" spans="1:21">
      <c r="A92" s="159" t="s">
        <v>176</v>
      </c>
      <c r="B92">
        <v>178</v>
      </c>
      <c r="C92">
        <v>36</v>
      </c>
      <c r="D92">
        <v>193</v>
      </c>
      <c r="E92">
        <v>168</v>
      </c>
      <c r="F92">
        <v>80</v>
      </c>
      <c r="G92">
        <v>187</v>
      </c>
      <c r="H92">
        <v>383.4</v>
      </c>
      <c r="I92" s="14">
        <v>632.39150782724062</v>
      </c>
      <c r="J92" s="259">
        <v>383.4</v>
      </c>
      <c r="K92" s="260">
        <v>632.39150782724062</v>
      </c>
      <c r="L92" s="16">
        <f t="shared" si="10"/>
        <v>90</v>
      </c>
      <c r="M92" s="230">
        <f t="shared" si="11"/>
        <v>95</v>
      </c>
      <c r="N92" s="159">
        <f t="shared" si="12"/>
        <v>90</v>
      </c>
      <c r="O92" s="159">
        <f t="shared" si="13"/>
        <v>95</v>
      </c>
      <c r="P92" t="e" vm="1">
        <f t="shared" si="14"/>
        <v>#VALUE!</v>
      </c>
      <c r="Q92" s="15" t="e">
        <v>#N/A</v>
      </c>
      <c r="R92" s="15" t="e">
        <v>#N/A</v>
      </c>
      <c r="S92" t="e">
        <v>#N/A</v>
      </c>
      <c r="T92" s="14" t="e">
        <f>Table237[[#This Row],[BDG]]/Table237[[#This Row],[Odds]]</f>
        <v>#DIV/0!</v>
      </c>
      <c r="U92" s="14" cm="1">
        <f t="array" ref="U92">MAX(_xlfn._xlws.FILTER(Table22[[B365]:[BFAIREXC]], Table22[PLAYER] = A92))</f>
        <v>0</v>
      </c>
    </row>
    <row r="93" spans="1:21">
      <c r="A93" s="159" t="s">
        <v>119</v>
      </c>
      <c r="B93">
        <v>121</v>
      </c>
      <c r="C93">
        <v>136</v>
      </c>
      <c r="D93">
        <v>153</v>
      </c>
      <c r="E93">
        <v>105</v>
      </c>
      <c r="F93">
        <v>175</v>
      </c>
      <c r="G93">
        <v>168</v>
      </c>
      <c r="H93">
        <v>386.1</v>
      </c>
      <c r="I93" s="14">
        <v>603.4992963260072</v>
      </c>
      <c r="J93" s="259">
        <v>386.1</v>
      </c>
      <c r="K93" s="260">
        <v>603.4992963260072</v>
      </c>
      <c r="L93" s="16">
        <f t="shared" si="10"/>
        <v>91</v>
      </c>
      <c r="M93" s="230">
        <f t="shared" si="11"/>
        <v>87</v>
      </c>
      <c r="N93" s="159">
        <f t="shared" si="12"/>
        <v>91</v>
      </c>
      <c r="O93" s="159">
        <f t="shared" si="13"/>
        <v>88</v>
      </c>
      <c r="P93" t="e" vm="1">
        <f t="shared" si="14"/>
        <v>#VALUE!</v>
      </c>
      <c r="Q93" s="15" t="e">
        <v>#N/A</v>
      </c>
      <c r="R93" s="15" t="e">
        <v>#N/A</v>
      </c>
      <c r="S93" t="e">
        <v>#N/A</v>
      </c>
      <c r="T93" s="14">
        <f>Table237[[#This Row],[BDG]]/Table237[[#This Row],[Odds]]</f>
        <v>7.5705882352941183</v>
      </c>
      <c r="U93" s="14" cm="1">
        <f t="array" ref="U93">MAX(_xlfn._xlws.FILTER(Table22[[B365]:[BFAIREXC]], Table22[PLAYER] = A93))</f>
        <v>51</v>
      </c>
    </row>
    <row r="94" spans="1:21">
      <c r="A94" s="159" t="s">
        <v>880</v>
      </c>
      <c r="B94">
        <v>124</v>
      </c>
      <c r="C94">
        <v>174</v>
      </c>
      <c r="D94">
        <v>186</v>
      </c>
      <c r="E94">
        <v>155</v>
      </c>
      <c r="F94">
        <v>53</v>
      </c>
      <c r="G94">
        <v>181</v>
      </c>
      <c r="H94">
        <v>386.29999999999995</v>
      </c>
      <c r="I94" s="14">
        <v>631.39348566562728</v>
      </c>
      <c r="J94" s="259">
        <v>386.29999999999995</v>
      </c>
      <c r="K94" s="260">
        <v>631.39348566562728</v>
      </c>
      <c r="L94" s="16">
        <f t="shared" si="10"/>
        <v>92</v>
      </c>
      <c r="M94" s="230">
        <f t="shared" si="11"/>
        <v>94</v>
      </c>
      <c r="N94" s="159">
        <f t="shared" si="12"/>
        <v>92</v>
      </c>
      <c r="O94" s="159">
        <f t="shared" si="13"/>
        <v>94</v>
      </c>
      <c r="P94" t="e" vm="1">
        <f t="shared" si="14"/>
        <v>#VALUE!</v>
      </c>
      <c r="Q94" s="15" t="e">
        <v>#N/A</v>
      </c>
      <c r="R94" s="15" t="e">
        <v>#N/A</v>
      </c>
      <c r="S94" t="e">
        <v>#N/A</v>
      </c>
      <c r="T94" s="14">
        <f>Table237[[#This Row],[BDG]]/Table237[[#This Row],[Odds]]</f>
        <v>9.4219512195121933</v>
      </c>
      <c r="U94" s="14" cm="1">
        <f t="array" ref="U94">MAX(_xlfn._xlws.FILTER(Table22[[B365]:[BFAIREXC]], Table22[PLAYER] = A94))</f>
        <v>41</v>
      </c>
    </row>
    <row r="95" spans="1:21">
      <c r="A95" s="159" t="s">
        <v>184</v>
      </c>
      <c r="B95">
        <v>186</v>
      </c>
      <c r="C95">
        <v>23</v>
      </c>
      <c r="D95">
        <v>175</v>
      </c>
      <c r="E95">
        <v>118</v>
      </c>
      <c r="F95">
        <v>151</v>
      </c>
      <c r="G95">
        <v>180</v>
      </c>
      <c r="H95">
        <v>388</v>
      </c>
      <c r="I95" s="14">
        <v>616.37457347367103</v>
      </c>
      <c r="J95" s="259">
        <v>388</v>
      </c>
      <c r="K95" s="260">
        <v>616.37457347367103</v>
      </c>
      <c r="L95" s="16">
        <f t="shared" si="10"/>
        <v>93</v>
      </c>
      <c r="M95" s="230">
        <f t="shared" si="11"/>
        <v>91</v>
      </c>
      <c r="N95" s="159">
        <f t="shared" si="12"/>
        <v>93</v>
      </c>
      <c r="O95" s="159">
        <f t="shared" si="13"/>
        <v>91</v>
      </c>
      <c r="P95" t="e" vm="1">
        <f t="shared" si="14"/>
        <v>#VALUE!</v>
      </c>
      <c r="Q95" s="15" t="e">
        <v>#N/A</v>
      </c>
      <c r="R95" s="15" t="e">
        <v>#N/A</v>
      </c>
      <c r="S95" t="e">
        <v>#N/A</v>
      </c>
      <c r="T95" s="14">
        <f>Table237[[#This Row],[BDG]]/Table237[[#This Row],[Odds]]</f>
        <v>7.6078431372549016</v>
      </c>
      <c r="U95" s="14" cm="1">
        <f t="array" ref="U95">MAX(_xlfn._xlws.FILTER(Table22[[B365]:[BFAIREXC]], Table22[PLAYER] = A95))</f>
        <v>51</v>
      </c>
    </row>
    <row r="96" spans="1:21">
      <c r="A96" s="159" t="s">
        <v>61</v>
      </c>
      <c r="B96">
        <v>63</v>
      </c>
      <c r="C96">
        <v>175</v>
      </c>
      <c r="D96">
        <v>183</v>
      </c>
      <c r="E96">
        <v>190</v>
      </c>
      <c r="F96">
        <v>156</v>
      </c>
      <c r="G96">
        <v>188</v>
      </c>
      <c r="H96">
        <v>401.7</v>
      </c>
      <c r="I96" s="14">
        <v>670.52059989908344</v>
      </c>
      <c r="J96" s="259">
        <v>401.69999999999993</v>
      </c>
      <c r="K96" s="260">
        <v>670.52059989908344</v>
      </c>
      <c r="L96" s="16">
        <f t="shared" si="10"/>
        <v>95</v>
      </c>
      <c r="M96" s="230">
        <f t="shared" si="11"/>
        <v>97</v>
      </c>
      <c r="N96" s="159">
        <f t="shared" si="12"/>
        <v>95</v>
      </c>
      <c r="O96" s="159">
        <f t="shared" si="13"/>
        <v>97</v>
      </c>
      <c r="P96" t="e" vm="1">
        <f t="shared" si="14"/>
        <v>#VALUE!</v>
      </c>
      <c r="Q96" s="15" t="e">
        <v>#N/A</v>
      </c>
      <c r="R96" s="15" t="e">
        <v>#N/A</v>
      </c>
      <c r="S96" t="e">
        <v>#N/A</v>
      </c>
      <c r="T96" s="14" t="e" vm="1">
        <f>Table237[[#This Row],[BDG]]/Table237[[#This Row],[Odds]]</f>
        <v>#VALUE!</v>
      </c>
      <c r="U96" s="14" t="e" cm="1" vm="2">
        <f t="array" ref="U96">MAX(_xlfn._xlws.FILTER(Table22[[B365]:[BFAIREXC]], Table22[PLAYER] = A96))</f>
        <v>#VALUE!</v>
      </c>
    </row>
    <row r="97" spans="1:21">
      <c r="A97" s="159" t="s">
        <v>174</v>
      </c>
      <c r="B97">
        <v>176</v>
      </c>
      <c r="C97">
        <v>180</v>
      </c>
      <c r="D97">
        <v>104</v>
      </c>
      <c r="E97">
        <v>157</v>
      </c>
      <c r="F97">
        <v>112</v>
      </c>
      <c r="G97">
        <v>173</v>
      </c>
      <c r="H97">
        <v>412</v>
      </c>
      <c r="I97" s="14">
        <v>623.83675009753506</v>
      </c>
      <c r="J97" s="259">
        <v>412</v>
      </c>
      <c r="K97" s="260">
        <v>623.83675009753506</v>
      </c>
      <c r="L97" s="16">
        <f t="shared" si="10"/>
        <v>96</v>
      </c>
      <c r="M97" s="230">
        <f t="shared" si="11"/>
        <v>92</v>
      </c>
      <c r="N97" s="159">
        <f t="shared" si="12"/>
        <v>96</v>
      </c>
      <c r="O97" s="159">
        <f t="shared" si="13"/>
        <v>92</v>
      </c>
      <c r="P97" t="e" vm="1">
        <f t="shared" si="14"/>
        <v>#VALUE!</v>
      </c>
      <c r="Q97" s="15" t="e">
        <v>#N/A</v>
      </c>
      <c r="R97" s="15" t="e">
        <v>#N/A</v>
      </c>
      <c r="S97" t="e">
        <v>#N/A</v>
      </c>
      <c r="T97" s="14">
        <f>Table237[[#This Row],[BDG]]/Table237[[#This Row],[Odds]]</f>
        <v>8.0784313725490193</v>
      </c>
      <c r="U97" s="14" cm="1">
        <f t="array" ref="U97">MAX(_xlfn._xlws.FILTER(Table22[[B365]:[BFAIREXC]], Table22[PLAYER] = A97))</f>
        <v>51</v>
      </c>
    </row>
    <row r="98" spans="1:21">
      <c r="A98" s="159" t="s">
        <v>168</v>
      </c>
      <c r="B98">
        <v>172</v>
      </c>
      <c r="C98">
        <v>18</v>
      </c>
      <c r="D98">
        <v>185</v>
      </c>
      <c r="E98">
        <v>172</v>
      </c>
      <c r="F98">
        <v>182</v>
      </c>
      <c r="G98">
        <v>189</v>
      </c>
      <c r="H98">
        <v>417.40000000000003</v>
      </c>
      <c r="I98" s="14">
        <v>670.65477710223877</v>
      </c>
      <c r="J98" s="259">
        <v>417.40000000000003</v>
      </c>
      <c r="K98" s="260">
        <v>670.65477710223877</v>
      </c>
      <c r="L98" s="16">
        <f t="shared" ref="L98:L104" si="15">RANK(H98,$H$2:$H$104,1)</f>
        <v>97</v>
      </c>
      <c r="M98" s="230">
        <f t="shared" ref="M98:M104" si="16">RANK(I98,$I$2:$I$104,1)</f>
        <v>98</v>
      </c>
      <c r="N98" s="159">
        <f t="shared" ref="N98:N104" si="17">RANK(J98,$J$2:$J$104,1)</f>
        <v>97</v>
      </c>
      <c r="O98" s="159">
        <f t="shared" ref="O98:O104" si="18">RANK(K98,$K$2:$K$104,1)</f>
        <v>98</v>
      </c>
      <c r="P98" t="e" vm="1">
        <f t="shared" ref="P98:P104" si="19">RANK(U98,$U$2:$U$104,0)</f>
        <v>#VALUE!</v>
      </c>
      <c r="Q98" s="15" t="e">
        <v>#N/A</v>
      </c>
      <c r="R98" s="15" t="e">
        <v>#N/A</v>
      </c>
      <c r="S98" t="e">
        <v>#N/A</v>
      </c>
      <c r="T98" s="14">
        <f>Table237[[#This Row],[BDG]]/Table237[[#This Row],[Odds]]</f>
        <v>8.1843137254901972</v>
      </c>
      <c r="U98" s="14" cm="1">
        <f t="array" ref="U98">MAX(_xlfn._xlws.FILTER(Table22[[B365]:[BFAIREXC]], Table22[PLAYER] = A98))</f>
        <v>51</v>
      </c>
    </row>
    <row r="99" spans="1:21">
      <c r="A99" s="159" t="s">
        <v>861</v>
      </c>
      <c r="B99">
        <v>186</v>
      </c>
      <c r="C99">
        <v>106</v>
      </c>
      <c r="D99">
        <v>167</v>
      </c>
      <c r="E99">
        <v>192</v>
      </c>
      <c r="F99">
        <v>90</v>
      </c>
      <c r="G99">
        <v>194</v>
      </c>
      <c r="H99">
        <v>423.8</v>
      </c>
      <c r="I99" s="14">
        <v>677.45613396944373</v>
      </c>
      <c r="J99" s="259">
        <v>423.79999999999995</v>
      </c>
      <c r="K99" s="260">
        <v>677.45613396944373</v>
      </c>
      <c r="L99" s="16">
        <f t="shared" si="15"/>
        <v>98</v>
      </c>
      <c r="M99" s="230">
        <f t="shared" si="16"/>
        <v>100</v>
      </c>
      <c r="N99" s="159">
        <f t="shared" si="17"/>
        <v>98</v>
      </c>
      <c r="O99" s="159">
        <f t="shared" si="18"/>
        <v>100</v>
      </c>
      <c r="P99" t="e" vm="1">
        <f t="shared" si="19"/>
        <v>#VALUE!</v>
      </c>
      <c r="Q99" s="15" t="e">
        <v>#N/A</v>
      </c>
      <c r="R99" s="15" t="e">
        <v>#N/A</v>
      </c>
      <c r="S99" t="e">
        <v>#N/A</v>
      </c>
      <c r="T99" s="14">
        <f>Table237[[#This Row],[BDG]]/Table237[[#This Row],[Odds]]</f>
        <v>10.866666666666665</v>
      </c>
      <c r="U99" s="14" cm="1">
        <f t="array" ref="U99">MAX(_xlfn._xlws.FILTER(Table22[[B365]:[BFAIREXC]], Table22[PLAYER] = A99))</f>
        <v>39</v>
      </c>
    </row>
    <row r="100" spans="1:21">
      <c r="A100" s="159" t="s">
        <v>138</v>
      </c>
      <c r="B100">
        <v>138</v>
      </c>
      <c r="C100">
        <v>190</v>
      </c>
      <c r="D100">
        <v>146</v>
      </c>
      <c r="E100">
        <v>156</v>
      </c>
      <c r="F100">
        <v>143</v>
      </c>
      <c r="G100">
        <v>192</v>
      </c>
      <c r="H100">
        <v>426.9</v>
      </c>
      <c r="I100" s="14">
        <v>673.81617103772885</v>
      </c>
      <c r="J100" s="259">
        <v>426.9</v>
      </c>
      <c r="K100" s="260">
        <v>673.81617103772885</v>
      </c>
      <c r="L100" s="16">
        <f t="shared" si="15"/>
        <v>99</v>
      </c>
      <c r="M100" s="230">
        <f t="shared" si="16"/>
        <v>99</v>
      </c>
      <c r="N100" s="159">
        <f t="shared" si="17"/>
        <v>99</v>
      </c>
      <c r="O100" s="159">
        <f t="shared" si="18"/>
        <v>99</v>
      </c>
      <c r="P100" t="e" vm="1">
        <f t="shared" si="19"/>
        <v>#VALUE!</v>
      </c>
      <c r="Q100" s="15" t="e">
        <v>#N/A</v>
      </c>
      <c r="R100" s="15" t="e">
        <v>#N/A</v>
      </c>
      <c r="S100" t="e">
        <v>#N/A</v>
      </c>
      <c r="T100" s="14">
        <f>Table237[[#This Row],[BDG]]/Table237[[#This Row],[Odds]]</f>
        <v>3.388095238095238</v>
      </c>
      <c r="U100" s="14" cm="1">
        <f t="array" ref="U100">MAX(_xlfn._xlws.FILTER(Table22[[B365]:[BFAIREXC]], Table22[PLAYER] = A100))</f>
        <v>126</v>
      </c>
    </row>
    <row r="101" spans="1:21">
      <c r="A101" s="159" t="s">
        <v>242</v>
      </c>
      <c r="B101">
        <v>190</v>
      </c>
      <c r="C101">
        <v>144</v>
      </c>
      <c r="D101">
        <v>189</v>
      </c>
      <c r="E101">
        <v>104</v>
      </c>
      <c r="F101">
        <v>106</v>
      </c>
      <c r="G101">
        <v>190</v>
      </c>
      <c r="H101">
        <v>432</v>
      </c>
      <c r="I101" s="14">
        <v>669.71762922526136</v>
      </c>
      <c r="J101" s="259">
        <v>432</v>
      </c>
      <c r="K101" s="260">
        <v>669.71762922526136</v>
      </c>
      <c r="L101" s="16">
        <f t="shared" si="15"/>
        <v>100</v>
      </c>
      <c r="M101" s="230">
        <f t="shared" si="16"/>
        <v>96</v>
      </c>
      <c r="N101" s="159">
        <f t="shared" si="17"/>
        <v>100</v>
      </c>
      <c r="O101" s="159">
        <f t="shared" si="18"/>
        <v>96</v>
      </c>
      <c r="P101" t="e" vm="1">
        <f t="shared" si="19"/>
        <v>#VALUE!</v>
      </c>
      <c r="Q101" s="15" t="e">
        <v>#N/A</v>
      </c>
      <c r="R101" s="15" t="e">
        <v>#N/A</v>
      </c>
      <c r="S101" t="e">
        <v>#N/A</v>
      </c>
      <c r="T101" s="14">
        <f>Table237[[#This Row],[BDG]]/Table237[[#This Row],[Odds]]</f>
        <v>22.736842105263158</v>
      </c>
      <c r="U101" s="14" cm="1">
        <f t="array" ref="U101">MAX(_xlfn._xlws.FILTER(Table22[[B365]:[BFAIREXC]], Table22[PLAYER] = A101))</f>
        <v>19</v>
      </c>
    </row>
    <row r="102" spans="1:21">
      <c r="A102" s="159" t="s">
        <v>221</v>
      </c>
      <c r="B102">
        <v>183</v>
      </c>
      <c r="C102">
        <v>72</v>
      </c>
      <c r="D102">
        <v>161</v>
      </c>
      <c r="E102">
        <v>180</v>
      </c>
      <c r="F102">
        <v>194</v>
      </c>
      <c r="G102">
        <v>194</v>
      </c>
      <c r="H102">
        <v>448</v>
      </c>
      <c r="I102" s="14">
        <v>700.86997411842583</v>
      </c>
      <c r="J102" s="259">
        <v>448</v>
      </c>
      <c r="K102" s="260">
        <v>700.86997411842583</v>
      </c>
      <c r="L102" s="16">
        <f t="shared" si="15"/>
        <v>101</v>
      </c>
      <c r="M102" s="230">
        <f t="shared" si="16"/>
        <v>101</v>
      </c>
      <c r="N102" s="159">
        <f t="shared" si="17"/>
        <v>101</v>
      </c>
      <c r="O102" s="159">
        <f t="shared" si="18"/>
        <v>101</v>
      </c>
      <c r="P102" t="e" vm="1">
        <f t="shared" si="19"/>
        <v>#VALUE!</v>
      </c>
      <c r="Q102" s="15" t="e">
        <v>#N/A</v>
      </c>
      <c r="R102" s="15" t="e">
        <v>#N/A</v>
      </c>
      <c r="S102" t="e">
        <v>#N/A</v>
      </c>
      <c r="T102" s="14">
        <f>Table237[[#This Row],[BDG]]/Table237[[#This Row],[Odds]]</f>
        <v>4.435643564356436</v>
      </c>
      <c r="U102" s="14" cm="1">
        <f t="array" ref="U102">MAX(_xlfn._xlws.FILTER(Table22[[B365]:[BFAIREXC]], Table22[PLAYER] = A102))</f>
        <v>101</v>
      </c>
    </row>
    <row r="103" spans="1:21">
      <c r="A103" s="159" t="s">
        <v>219</v>
      </c>
      <c r="B103">
        <v>183</v>
      </c>
      <c r="C103">
        <v>91</v>
      </c>
      <c r="D103">
        <v>194</v>
      </c>
      <c r="E103">
        <v>141</v>
      </c>
      <c r="F103">
        <v>183</v>
      </c>
      <c r="G103">
        <v>192</v>
      </c>
      <c r="H103">
        <v>456.20000000000005</v>
      </c>
      <c r="I103" s="14">
        <v>707.38787199871103</v>
      </c>
      <c r="J103" s="259">
        <v>456.20000000000005</v>
      </c>
      <c r="K103" s="260">
        <v>707.38787199871103</v>
      </c>
      <c r="L103" s="16">
        <f t="shared" si="15"/>
        <v>102</v>
      </c>
      <c r="M103" s="230">
        <f t="shared" si="16"/>
        <v>102</v>
      </c>
      <c r="N103" s="159">
        <f t="shared" si="17"/>
        <v>102</v>
      </c>
      <c r="O103" s="159">
        <f t="shared" si="18"/>
        <v>102</v>
      </c>
      <c r="P103" t="e" vm="1">
        <f t="shared" si="19"/>
        <v>#VALUE!</v>
      </c>
      <c r="Q103" s="15" t="e">
        <v>#N/A</v>
      </c>
      <c r="R103" s="15" t="e">
        <v>#N/A</v>
      </c>
      <c r="S103" t="e">
        <v>#N/A</v>
      </c>
      <c r="T103" s="14" t="e" vm="1">
        <f>Table237[[#This Row],[BDG]]/Table237[[#This Row],[Odds]]</f>
        <v>#VALUE!</v>
      </c>
      <c r="U103" s="14" t="e" cm="1" vm="2">
        <f t="array" ref="U103">MAX(_xlfn._xlws.FILTER(Table22[[B365]:[BFAIREXC]], Table22[PLAYER] = A103))</f>
        <v>#VALUE!</v>
      </c>
    </row>
    <row r="104" spans="1:21">
      <c r="A104" s="159" t="s">
        <v>247</v>
      </c>
      <c r="B104">
        <v>181</v>
      </c>
      <c r="C104">
        <v>117</v>
      </c>
      <c r="D104">
        <v>180</v>
      </c>
      <c r="E104">
        <v>180</v>
      </c>
      <c r="F104">
        <v>174</v>
      </c>
      <c r="G104">
        <v>186</v>
      </c>
      <c r="H104">
        <v>470.3</v>
      </c>
      <c r="I104" s="14">
        <v>719.79783627785889</v>
      </c>
      <c r="J104" s="259">
        <v>470.3</v>
      </c>
      <c r="K104" s="260">
        <v>719.79783627785889</v>
      </c>
      <c r="L104" s="16">
        <f t="shared" si="15"/>
        <v>103</v>
      </c>
      <c r="M104" s="230">
        <f t="shared" si="16"/>
        <v>103</v>
      </c>
      <c r="N104" s="159">
        <f t="shared" si="17"/>
        <v>103</v>
      </c>
      <c r="O104" s="159">
        <f t="shared" si="18"/>
        <v>103</v>
      </c>
      <c r="P104" t="e" vm="1">
        <f t="shared" si="19"/>
        <v>#VALUE!</v>
      </c>
      <c r="Q104" s="15">
        <v>0</v>
      </c>
      <c r="R104" s="15">
        <v>0</v>
      </c>
      <c r="S104">
        <v>-11</v>
      </c>
      <c r="T104" s="14" t="e" vm="1">
        <f>Table237[[#This Row],[BDG]]/Table237[[#This Row],[Odds]]</f>
        <v>#VALUE!</v>
      </c>
      <c r="U104" s="14" t="e" cm="1" vm="2">
        <f t="array" ref="U104">MAX(_xlfn._xlws.FILTER(Table22[[B365]:[BFAIREXC]], Table22[PLAYER] = A104))</f>
        <v>#VALUE!</v>
      </c>
    </row>
  </sheetData>
  <conditionalFormatting sqref="S2:S1048576">
    <cfRule type="cellIs" dxfId="360" priority="1" operator="between">
      <formula>-5</formula>
      <formula>-9</formula>
    </cfRule>
    <cfRule type="cellIs" dxfId="359" priority="2" operator="lessThanOrEqual">
      <formula>-10</formula>
    </cfRule>
    <cfRule type="cellIs" dxfId="358" priority="3" operator="between">
      <formula>5</formula>
      <formula>9</formula>
    </cfRule>
    <cfRule type="cellIs" dxfId="357" priority="4" operator="greaterThanOrEqual">
      <formula>10</formula>
    </cfRule>
  </conditionalFormatting>
  <conditionalFormatting sqref="Q2:R1048576">
    <cfRule type="cellIs" dxfId="356" priority="7" operator="between">
      <formula>0.01%</formula>
      <formula>10%</formula>
    </cfRule>
  </conditionalFormatting>
  <conditionalFormatting sqref="B2:G1048576 L2:P1048576">
    <cfRule type="cellIs" dxfId="355" priority="8" operator="between">
      <formula>101</formula>
      <formula>250</formula>
    </cfRule>
    <cfRule type="cellIs" dxfId="354" priority="9" operator="between">
      <formula>51</formula>
      <formula>100.5</formula>
    </cfRule>
    <cfRule type="cellIs" dxfId="353" priority="10" operator="between">
      <formula>21</formula>
      <formula>50.5</formula>
    </cfRule>
    <cfRule type="cellIs" dxfId="352" priority="11" operator="lessThanOrEqual">
      <formula>20.5</formula>
    </cfRule>
  </conditionalFormatting>
  <conditionalFormatting sqref="J1:K1048576 N1:P1048576">
    <cfRule type="containsErrors" dxfId="351" priority="12">
      <formula>ISERROR(J1)</formula>
    </cfRule>
  </conditionalFormatting>
  <conditionalFormatting sqref="Q2:R1048576">
    <cfRule type="cellIs" dxfId="350" priority="5" operator="greaterThanOrEqual">
      <formula>20%</formula>
    </cfRule>
  </conditionalFormatting>
  <conditionalFormatting sqref="Q2:R1048576">
    <cfRule type="cellIs" dxfId="349" priority="6" operator="between">
      <formula>10%</formula>
      <formula>20%</formula>
    </cfRule>
  </conditionalFormatting>
  <conditionalFormatting sqref="A1:A1048576">
    <cfRule type="expression" dxfId="348" priority="13">
      <formula>$T1=MIN($T$2:$T$9)</formula>
    </cfRule>
    <cfRule type="expression" dxfId="347" priority="14">
      <formula>$T1=MIN($T$10:$T$21)</formula>
    </cfRule>
    <cfRule type="expression" dxfId="346" priority="15">
      <formula>$T1=MIN($T$22:$T$34)</formula>
    </cfRule>
    <cfRule type="expression" dxfId="345" priority="16">
      <formula>$T1=MIN($T$35:$T$76)</formula>
    </cfRule>
    <cfRule type="expression" dxfId="344" priority="17">
      <formula>AND($L1&lt;=3, $M1&gt;3)</formula>
    </cfRule>
    <cfRule type="expression" dxfId="343" priority="18">
      <formula>AND($L1&gt;3, $M1&lt;=3)</formula>
    </cfRule>
    <cfRule type="expression" dxfId="342" priority="19">
      <formula>AND($N1&lt;=3, $O1&gt;3)</formula>
    </cfRule>
    <cfRule type="expression" dxfId="341" priority="20">
      <formula>AND($N1&gt;3, $O1&lt;=3)</formula>
    </cfRule>
    <cfRule type="expression" dxfId="340" priority="21">
      <formula>AND($L1&lt;=3, $M1&lt;=3)</formula>
    </cfRule>
    <cfRule type="expression" dxfId="339" priority="22">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91C8C2-514B-4B1B-9BAC-FB27471ECE93}">
  <sheetPr codeName="Sheet79">
    <tabColor rgb="FF00B050"/>
  </sheetPr>
  <dimension ref="A1:W69"/>
  <sheetViews>
    <sheetView zoomScale="90" zoomScaleNormal="90" workbookViewId="0">
      <selection activeCell="L2" sqref="L2:L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42578125" bestFit="1" customWidth="1"/>
    <col min="15" max="15" width="13.85546875" bestFit="1" customWidth="1"/>
    <col min="16" max="16" width="14.42578125" bestFit="1" customWidth="1"/>
    <col min="17" max="17" width="9.28515625" customWidth="1"/>
    <col min="20" max="20"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241" t="s">
        <v>566</v>
      </c>
      <c r="Q1" s="122" t="s">
        <v>537</v>
      </c>
      <c r="R1" s="122" t="s">
        <v>536</v>
      </c>
      <c r="S1" s="344" t="s">
        <v>535</v>
      </c>
      <c r="T1" s="241" t="s">
        <v>565</v>
      </c>
      <c r="U1" s="241" t="s">
        <v>472</v>
      </c>
      <c r="V1" s="331" t="s">
        <v>210</v>
      </c>
      <c r="W1" s="1"/>
    </row>
    <row r="2" spans="1:23">
      <c r="A2" s="159" t="s">
        <v>35</v>
      </c>
      <c r="B2">
        <v>124</v>
      </c>
      <c r="C2">
        <v>103</v>
      </c>
      <c r="D2">
        <v>1</v>
      </c>
      <c r="E2">
        <v>19</v>
      </c>
      <c r="F2">
        <v>144</v>
      </c>
      <c r="G2">
        <v>2</v>
      </c>
      <c r="H2">
        <v>239.39999999999998</v>
      </c>
      <c r="I2" s="14">
        <v>225.47112645441084</v>
      </c>
      <c r="J2" s="259">
        <v>175.56084209888948</v>
      </c>
      <c r="K2" s="260">
        <v>169.0765485789945</v>
      </c>
      <c r="L2" s="16">
        <f t="shared" ref="L2:L33" si="0">RANK(H2,$H$2:$H$69,1)</f>
        <v>22</v>
      </c>
      <c r="M2" s="230">
        <f t="shared" ref="M2:M33" si="1">RANK(I2,$I$2:$I$69,1)</f>
        <v>8</v>
      </c>
      <c r="N2">
        <f t="shared" ref="N2:N33" si="2">RANK(J2,$J$2:$J$69,1)</f>
        <v>5</v>
      </c>
      <c r="O2">
        <f t="shared" ref="O2:O33" si="3">RANK(K2,$K$2:$K$69,1)</f>
        <v>2</v>
      </c>
      <c r="P2">
        <f t="shared" ref="P2:P33" si="4">RANK(U2,$U$2:$U$69,0)</f>
        <v>68</v>
      </c>
      <c r="Q2" s="15">
        <v>0</v>
      </c>
      <c r="R2" s="15">
        <v>0.8</v>
      </c>
      <c r="S2">
        <v>16</v>
      </c>
      <c r="T2" s="14">
        <f>Table233[[#This Row],[BDG]]/Table233[[#This Row],[Odds]]</f>
        <v>63.151382049960247</v>
      </c>
      <c r="U2" s="14">
        <v>2.78</v>
      </c>
      <c r="V2">
        <v>1</v>
      </c>
      <c r="W2" s="1"/>
    </row>
    <row r="3" spans="1:23">
      <c r="A3" s="159" t="s">
        <v>18</v>
      </c>
      <c r="B3">
        <v>23</v>
      </c>
      <c r="C3">
        <v>174</v>
      </c>
      <c r="D3">
        <v>53</v>
      </c>
      <c r="E3">
        <v>90</v>
      </c>
      <c r="F3">
        <v>67</v>
      </c>
      <c r="G3">
        <v>32</v>
      </c>
      <c r="H3">
        <v>220.39999999999998</v>
      </c>
      <c r="I3" s="14">
        <v>269.39916523430531</v>
      </c>
      <c r="J3" s="259">
        <v>178.41545704164866</v>
      </c>
      <c r="K3" s="260">
        <v>203.58559133642927</v>
      </c>
      <c r="L3" s="16">
        <f t="shared" si="0"/>
        <v>17</v>
      </c>
      <c r="M3" s="230">
        <f t="shared" si="1"/>
        <v>20</v>
      </c>
      <c r="N3">
        <f t="shared" si="2"/>
        <v>7</v>
      </c>
      <c r="O3">
        <f t="shared" si="3"/>
        <v>6</v>
      </c>
      <c r="P3">
        <f t="shared" si="4"/>
        <v>45</v>
      </c>
      <c r="Q3" s="15">
        <v>0.2</v>
      </c>
      <c r="R3" s="15">
        <v>0.2</v>
      </c>
      <c r="S3">
        <v>55</v>
      </c>
      <c r="T3" s="14">
        <f>Table233[[#This Row],[BDG]]/Table233[[#This Row],[Odds]]</f>
        <v>13.02302606143421</v>
      </c>
      <c r="U3" s="14">
        <v>13.7</v>
      </c>
      <c r="V3">
        <v>2</v>
      </c>
    </row>
    <row r="4" spans="1:23">
      <c r="A4" s="159" t="s">
        <v>74</v>
      </c>
      <c r="B4">
        <v>122</v>
      </c>
      <c r="C4">
        <v>9</v>
      </c>
      <c r="D4">
        <v>10</v>
      </c>
      <c r="E4">
        <v>78</v>
      </c>
      <c r="F4">
        <v>90</v>
      </c>
      <c r="G4">
        <v>38</v>
      </c>
      <c r="H4">
        <v>178.4</v>
      </c>
      <c r="I4" s="14">
        <v>227.42387769635502</v>
      </c>
      <c r="J4" s="259">
        <v>180.12983524635268</v>
      </c>
      <c r="K4" s="260">
        <v>228.76384212460647</v>
      </c>
      <c r="L4" s="16">
        <f t="shared" si="0"/>
        <v>9</v>
      </c>
      <c r="M4" s="230">
        <f t="shared" si="1"/>
        <v>9</v>
      </c>
      <c r="N4">
        <f t="shared" si="2"/>
        <v>8</v>
      </c>
      <c r="O4">
        <f t="shared" si="3"/>
        <v>10</v>
      </c>
      <c r="P4">
        <f t="shared" si="4"/>
        <v>38</v>
      </c>
      <c r="Q4" s="15">
        <v>0</v>
      </c>
      <c r="R4" s="15">
        <v>0.25</v>
      </c>
      <c r="S4">
        <v>22</v>
      </c>
      <c r="T4" s="14">
        <f>Table233[[#This Row],[BDG]]/Table233[[#This Row],[Odds]]</f>
        <v>11.850647055681097</v>
      </c>
      <c r="U4" s="14">
        <v>15.2</v>
      </c>
      <c r="V4">
        <v>3</v>
      </c>
    </row>
    <row r="5" spans="1:23">
      <c r="A5" s="159" t="s">
        <v>166</v>
      </c>
      <c r="B5">
        <v>166</v>
      </c>
      <c r="C5">
        <v>45</v>
      </c>
      <c r="D5">
        <v>117</v>
      </c>
      <c r="E5">
        <v>36</v>
      </c>
      <c r="F5">
        <v>61</v>
      </c>
      <c r="G5">
        <v>67</v>
      </c>
      <c r="H5">
        <v>283</v>
      </c>
      <c r="I5" s="14">
        <v>354.92979280694334</v>
      </c>
      <c r="J5" s="259">
        <v>242.93749620426274</v>
      </c>
      <c r="K5" s="260">
        <v>282.69654908478429</v>
      </c>
      <c r="L5" s="16">
        <f t="shared" si="0"/>
        <v>51</v>
      </c>
      <c r="M5" s="230">
        <f t="shared" si="1"/>
        <v>41</v>
      </c>
      <c r="N5">
        <f t="shared" si="2"/>
        <v>37</v>
      </c>
      <c r="O5">
        <f t="shared" si="3"/>
        <v>30</v>
      </c>
      <c r="P5">
        <f t="shared" si="4"/>
        <v>40</v>
      </c>
      <c r="Q5" s="15">
        <v>0</v>
      </c>
      <c r="R5" s="15">
        <v>0.2</v>
      </c>
      <c r="S5">
        <v>3</v>
      </c>
      <c r="T5" s="14">
        <f>Table233[[#This Row],[BDG]]/Table233[[#This Row],[Odds]]</f>
        <v>16.52636028600427</v>
      </c>
      <c r="U5" s="14">
        <v>14.7</v>
      </c>
      <c r="V5">
        <v>4</v>
      </c>
    </row>
    <row r="6" spans="1:23">
      <c r="A6" s="159" t="s">
        <v>233</v>
      </c>
      <c r="B6">
        <v>112</v>
      </c>
      <c r="C6">
        <v>135</v>
      </c>
      <c r="D6">
        <v>15</v>
      </c>
      <c r="E6">
        <v>56</v>
      </c>
      <c r="F6">
        <v>99</v>
      </c>
      <c r="G6">
        <v>23</v>
      </c>
      <c r="H6">
        <v>247.40000000000003</v>
      </c>
      <c r="I6" s="14">
        <v>264.85320039543257</v>
      </c>
      <c r="J6" s="259">
        <v>268.89938091895471</v>
      </c>
      <c r="K6" s="260">
        <v>366.64703302814286</v>
      </c>
      <c r="L6" s="16">
        <f t="shared" si="0"/>
        <v>31</v>
      </c>
      <c r="M6" s="230">
        <f t="shared" si="1"/>
        <v>18</v>
      </c>
      <c r="N6">
        <f t="shared" si="2"/>
        <v>57</v>
      </c>
      <c r="O6">
        <f t="shared" si="3"/>
        <v>56</v>
      </c>
      <c r="P6">
        <f t="shared" si="4"/>
        <v>53</v>
      </c>
      <c r="Q6" s="15">
        <v>0</v>
      </c>
      <c r="R6" s="15">
        <v>0.25</v>
      </c>
      <c r="S6">
        <v>91</v>
      </c>
      <c r="T6" s="14">
        <f>Table233[[#This Row],[BDG]]/Table233[[#This Row],[Odds]]</f>
        <v>29.133194032389458</v>
      </c>
      <c r="U6" s="14">
        <v>9.23</v>
      </c>
      <c r="V6">
        <v>4</v>
      </c>
    </row>
    <row r="7" spans="1:23">
      <c r="A7" s="159" t="s">
        <v>188</v>
      </c>
      <c r="B7">
        <v>184</v>
      </c>
      <c r="C7">
        <v>16</v>
      </c>
      <c r="D7">
        <v>93</v>
      </c>
      <c r="E7">
        <v>49</v>
      </c>
      <c r="F7">
        <v>20</v>
      </c>
      <c r="G7">
        <v>78</v>
      </c>
      <c r="H7">
        <v>246.6</v>
      </c>
      <c r="I7" s="14">
        <v>329.18931046200794</v>
      </c>
      <c r="J7" s="259">
        <v>228.39554335981239</v>
      </c>
      <c r="K7" s="260">
        <v>276.19547962699266</v>
      </c>
      <c r="L7" s="16">
        <f t="shared" si="0"/>
        <v>30</v>
      </c>
      <c r="M7" s="230">
        <f t="shared" si="1"/>
        <v>36</v>
      </c>
      <c r="N7">
        <f t="shared" si="2"/>
        <v>25</v>
      </c>
      <c r="O7">
        <f t="shared" si="3"/>
        <v>28</v>
      </c>
      <c r="P7">
        <f t="shared" si="4"/>
        <v>10</v>
      </c>
      <c r="Q7" s="15">
        <v>0</v>
      </c>
      <c r="R7" s="15">
        <v>0</v>
      </c>
      <c r="S7">
        <v>-8</v>
      </c>
      <c r="T7" s="14">
        <f>Table233[[#This Row],[BDG]]/Table233[[#This Row],[Odds]]</f>
        <v>5.311524264181684</v>
      </c>
      <c r="U7" s="14">
        <v>43</v>
      </c>
      <c r="V7">
        <v>6</v>
      </c>
    </row>
    <row r="8" spans="1:23">
      <c r="A8" s="159" t="s">
        <v>64</v>
      </c>
      <c r="B8">
        <v>97</v>
      </c>
      <c r="C8">
        <v>139</v>
      </c>
      <c r="D8">
        <v>72</v>
      </c>
      <c r="E8">
        <v>106</v>
      </c>
      <c r="F8">
        <v>18</v>
      </c>
      <c r="G8">
        <v>17</v>
      </c>
      <c r="H8">
        <v>252.2</v>
      </c>
      <c r="I8" s="14">
        <v>286.60711455306318</v>
      </c>
      <c r="J8" s="259">
        <v>229.79451490438441</v>
      </c>
      <c r="K8" s="260">
        <v>258.93518774026506</v>
      </c>
      <c r="L8" s="16">
        <f t="shared" si="0"/>
        <v>36</v>
      </c>
      <c r="M8" s="230">
        <f t="shared" si="1"/>
        <v>26</v>
      </c>
      <c r="N8">
        <f t="shared" si="2"/>
        <v>27</v>
      </c>
      <c r="O8">
        <f t="shared" si="3"/>
        <v>18</v>
      </c>
      <c r="P8">
        <f t="shared" si="4"/>
        <v>41</v>
      </c>
      <c r="Q8" s="15">
        <v>0</v>
      </c>
      <c r="R8" s="15">
        <v>0.33333333333333331</v>
      </c>
      <c r="S8">
        <v>12</v>
      </c>
      <c r="T8" s="14">
        <f>Table233[[#This Row],[BDG]]/Table233[[#This Row],[Odds]]</f>
        <v>16.182712317210171</v>
      </c>
      <c r="U8" s="14">
        <v>14.2</v>
      </c>
      <c r="V8">
        <v>6</v>
      </c>
    </row>
    <row r="9" spans="1:23">
      <c r="A9" s="159" t="s">
        <v>66</v>
      </c>
      <c r="B9">
        <v>78</v>
      </c>
      <c r="C9">
        <v>119</v>
      </c>
      <c r="D9">
        <v>70</v>
      </c>
      <c r="E9">
        <v>30</v>
      </c>
      <c r="F9">
        <v>109</v>
      </c>
      <c r="G9">
        <v>39</v>
      </c>
      <c r="H9">
        <v>246.3</v>
      </c>
      <c r="I9" s="14">
        <v>286.48898563815294</v>
      </c>
      <c r="J9" s="259">
        <v>180.35003123280438</v>
      </c>
      <c r="K9" s="260">
        <v>200.07643912476485</v>
      </c>
      <c r="L9" s="16">
        <f t="shared" si="0"/>
        <v>29</v>
      </c>
      <c r="M9" s="230">
        <f t="shared" si="1"/>
        <v>25</v>
      </c>
      <c r="N9">
        <f t="shared" si="2"/>
        <v>9</v>
      </c>
      <c r="O9">
        <f t="shared" si="3"/>
        <v>5</v>
      </c>
      <c r="P9">
        <f t="shared" si="4"/>
        <v>55</v>
      </c>
      <c r="Q9" s="15">
        <v>0</v>
      </c>
      <c r="R9" s="15">
        <v>0</v>
      </c>
      <c r="S9">
        <v>-20</v>
      </c>
      <c r="T9" s="14">
        <f>Table233[[#This Row],[BDG]]/Table233[[#This Row],[Odds]]</f>
        <v>22.375934396129576</v>
      </c>
      <c r="U9" s="14">
        <v>8.06</v>
      </c>
      <c r="V9">
        <v>8</v>
      </c>
    </row>
    <row r="10" spans="1:23">
      <c r="A10" s="159" t="s">
        <v>10</v>
      </c>
      <c r="B10">
        <v>17</v>
      </c>
      <c r="C10">
        <v>159</v>
      </c>
      <c r="D10">
        <v>59</v>
      </c>
      <c r="E10">
        <v>42</v>
      </c>
      <c r="F10">
        <v>85</v>
      </c>
      <c r="G10">
        <v>20</v>
      </c>
      <c r="H10">
        <v>205.4</v>
      </c>
      <c r="I10" s="14">
        <v>231.66166881822068</v>
      </c>
      <c r="J10" s="259">
        <v>235.04058965774141</v>
      </c>
      <c r="K10" s="260">
        <v>270.62417475564018</v>
      </c>
      <c r="L10" s="16">
        <f t="shared" si="0"/>
        <v>11</v>
      </c>
      <c r="M10" s="230">
        <f t="shared" si="1"/>
        <v>11</v>
      </c>
      <c r="N10">
        <f t="shared" si="2"/>
        <v>33</v>
      </c>
      <c r="O10">
        <f t="shared" si="3"/>
        <v>22</v>
      </c>
      <c r="P10">
        <f t="shared" si="4"/>
        <v>50</v>
      </c>
      <c r="Q10" s="15">
        <v>0</v>
      </c>
      <c r="R10" s="15">
        <v>0.33333333333333331</v>
      </c>
      <c r="S10">
        <v>-14</v>
      </c>
      <c r="T10" s="14">
        <f>Table233[[#This Row],[BDG]]/Table233[[#This Row],[Odds]]</f>
        <v>20.800052182101009</v>
      </c>
      <c r="U10" s="14">
        <v>11.3</v>
      </c>
      <c r="V10">
        <v>8</v>
      </c>
    </row>
    <row r="11" spans="1:23">
      <c r="A11" s="159" t="s">
        <v>183</v>
      </c>
      <c r="B11">
        <v>180</v>
      </c>
      <c r="C11">
        <v>24</v>
      </c>
      <c r="D11">
        <v>139</v>
      </c>
      <c r="E11">
        <v>119</v>
      </c>
      <c r="F11">
        <v>12</v>
      </c>
      <c r="G11">
        <v>101</v>
      </c>
      <c r="H11">
        <v>297.39999999999998</v>
      </c>
      <c r="I11" s="14">
        <v>430.45773583161161</v>
      </c>
      <c r="J11" s="259">
        <v>248.15461088359496</v>
      </c>
      <c r="K11" s="260">
        <v>328.33157571217203</v>
      </c>
      <c r="L11" s="16">
        <f t="shared" si="0"/>
        <v>54</v>
      </c>
      <c r="M11" s="230">
        <f t="shared" si="1"/>
        <v>55</v>
      </c>
      <c r="N11">
        <f t="shared" si="2"/>
        <v>43</v>
      </c>
      <c r="O11">
        <f t="shared" si="3"/>
        <v>45</v>
      </c>
      <c r="P11">
        <f t="shared" si="4"/>
        <v>10</v>
      </c>
      <c r="Q11" s="15">
        <v>0</v>
      </c>
      <c r="R11" s="15">
        <v>0.16666666666666666</v>
      </c>
      <c r="S11">
        <v>-48</v>
      </c>
      <c r="T11" s="14">
        <f>Table233[[#This Row],[BDG]]/Table233[[#This Row],[Odds]]</f>
        <v>5.7710374624091854</v>
      </c>
      <c r="U11" s="14">
        <v>43</v>
      </c>
      <c r="V11">
        <v>8</v>
      </c>
    </row>
    <row r="12" spans="1:23">
      <c r="A12" s="159" t="s">
        <v>90</v>
      </c>
      <c r="B12">
        <v>151</v>
      </c>
      <c r="C12">
        <v>31</v>
      </c>
      <c r="D12">
        <v>77</v>
      </c>
      <c r="E12">
        <v>171</v>
      </c>
      <c r="F12">
        <v>19</v>
      </c>
      <c r="G12">
        <v>63</v>
      </c>
      <c r="H12">
        <v>254.10000000000002</v>
      </c>
      <c r="I12" s="14">
        <v>358.43013746073211</v>
      </c>
      <c r="J12" s="259">
        <v>250.59914295381009</v>
      </c>
      <c r="K12" s="260">
        <v>364.63115915099996</v>
      </c>
      <c r="L12" s="16">
        <f t="shared" si="0"/>
        <v>38</v>
      </c>
      <c r="M12" s="230">
        <f t="shared" si="1"/>
        <v>42</v>
      </c>
      <c r="N12">
        <f t="shared" si="2"/>
        <v>44</v>
      </c>
      <c r="O12">
        <f t="shared" si="3"/>
        <v>54</v>
      </c>
      <c r="P12">
        <f t="shared" si="4"/>
        <v>27</v>
      </c>
      <c r="Q12" s="15">
        <v>0</v>
      </c>
      <c r="R12" s="15">
        <v>0.14285714285714285</v>
      </c>
      <c r="S12">
        <v>-19</v>
      </c>
      <c r="T12" s="14">
        <f>Table233[[#This Row],[BDG]]/Table233[[#This Row],[Odds]]</f>
        <v>12.78567055886786</v>
      </c>
      <c r="U12" s="14">
        <v>19.600000000000001</v>
      </c>
      <c r="V12">
        <v>8</v>
      </c>
    </row>
    <row r="13" spans="1:23">
      <c r="A13" s="159" t="s">
        <v>492</v>
      </c>
      <c r="B13">
        <v>7</v>
      </c>
      <c r="C13">
        <v>129</v>
      </c>
      <c r="D13">
        <v>9</v>
      </c>
      <c r="E13">
        <v>54</v>
      </c>
      <c r="F13">
        <v>38</v>
      </c>
      <c r="G13">
        <v>4</v>
      </c>
      <c r="H13">
        <v>124.49999999999999</v>
      </c>
      <c r="I13" s="14">
        <v>133.62700181424856</v>
      </c>
      <c r="J13" s="259">
        <v>124.49999999999999</v>
      </c>
      <c r="K13" s="260">
        <v>133.62700181424856</v>
      </c>
      <c r="L13" s="16">
        <f t="shared" si="0"/>
        <v>1</v>
      </c>
      <c r="M13" s="230">
        <f t="shared" si="1"/>
        <v>1</v>
      </c>
      <c r="N13">
        <f t="shared" si="2"/>
        <v>1</v>
      </c>
      <c r="O13">
        <f t="shared" si="3"/>
        <v>1</v>
      </c>
      <c r="P13">
        <f t="shared" si="4"/>
        <v>47</v>
      </c>
      <c r="Q13" s="15">
        <v>0.16666666666666666</v>
      </c>
      <c r="R13" s="15">
        <v>0.5</v>
      </c>
      <c r="S13">
        <v>27</v>
      </c>
      <c r="T13" s="14">
        <f>Table233[[#This Row],[BDG]]/Table233[[#This Row],[Odds]]</f>
        <v>9.5769230769230766</v>
      </c>
      <c r="U13" s="14">
        <v>13</v>
      </c>
    </row>
    <row r="14" spans="1:23">
      <c r="A14" s="159" t="s">
        <v>439</v>
      </c>
      <c r="B14">
        <v>38</v>
      </c>
      <c r="C14">
        <v>125</v>
      </c>
      <c r="D14">
        <v>36</v>
      </c>
      <c r="E14">
        <v>104</v>
      </c>
      <c r="F14">
        <v>63</v>
      </c>
      <c r="G14">
        <v>34</v>
      </c>
      <c r="H14">
        <v>193.29999999999998</v>
      </c>
      <c r="I14" s="14">
        <v>248.65822138573731</v>
      </c>
      <c r="J14" s="259">
        <v>154.43877068089657</v>
      </c>
      <c r="K14" s="260">
        <v>198.01882011858709</v>
      </c>
      <c r="L14" s="16">
        <f t="shared" si="0"/>
        <v>10</v>
      </c>
      <c r="M14" s="230">
        <f t="shared" si="1"/>
        <v>13</v>
      </c>
      <c r="N14">
        <f t="shared" si="2"/>
        <v>2</v>
      </c>
      <c r="O14">
        <f t="shared" si="3"/>
        <v>4</v>
      </c>
      <c r="P14">
        <f t="shared" si="4"/>
        <v>63</v>
      </c>
      <c r="Q14" s="15">
        <v>0</v>
      </c>
      <c r="R14" s="15">
        <v>0.4</v>
      </c>
      <c r="S14">
        <v>35</v>
      </c>
      <c r="T14" s="14">
        <f>Table233[[#This Row],[BDG]]/Table233[[#This Row],[Odds]]</f>
        <v>27.094521172087116</v>
      </c>
      <c r="U14" s="14">
        <v>5.7</v>
      </c>
    </row>
    <row r="15" spans="1:23">
      <c r="A15" s="159" t="s">
        <v>73</v>
      </c>
      <c r="B15">
        <v>56</v>
      </c>
      <c r="C15">
        <v>94</v>
      </c>
      <c r="D15">
        <v>12</v>
      </c>
      <c r="E15">
        <v>15</v>
      </c>
      <c r="F15">
        <v>126</v>
      </c>
      <c r="G15">
        <v>5</v>
      </c>
      <c r="H15">
        <v>177.1</v>
      </c>
      <c r="I15" s="14">
        <v>175.62844501378743</v>
      </c>
      <c r="J15" s="259">
        <v>168.51946802404427</v>
      </c>
      <c r="K15" s="260">
        <v>174.36143055936191</v>
      </c>
      <c r="L15" s="16">
        <f t="shared" si="0"/>
        <v>8</v>
      </c>
      <c r="M15" s="230">
        <f t="shared" si="1"/>
        <v>2</v>
      </c>
      <c r="N15">
        <f t="shared" si="2"/>
        <v>3</v>
      </c>
      <c r="O15">
        <f t="shared" si="3"/>
        <v>3</v>
      </c>
      <c r="P15">
        <f t="shared" si="4"/>
        <v>65</v>
      </c>
      <c r="Q15" s="15">
        <v>0</v>
      </c>
      <c r="R15" s="15">
        <v>0.8</v>
      </c>
      <c r="S15">
        <v>10</v>
      </c>
      <c r="T15" s="14">
        <f>Table233[[#This Row],[BDG]]/Table233[[#This Row],[Odds]]</f>
        <v>33.569615144231932</v>
      </c>
      <c r="U15" s="14">
        <v>5.0199999999999996</v>
      </c>
    </row>
    <row r="16" spans="1:23">
      <c r="A16" s="159" t="s">
        <v>6</v>
      </c>
      <c r="B16">
        <v>4</v>
      </c>
      <c r="C16">
        <v>14</v>
      </c>
      <c r="D16">
        <v>133</v>
      </c>
      <c r="E16">
        <v>139</v>
      </c>
      <c r="F16">
        <v>150</v>
      </c>
      <c r="G16">
        <v>84</v>
      </c>
      <c r="H16">
        <v>221.39999999999998</v>
      </c>
      <c r="I16" s="14">
        <v>369.49096186454568</v>
      </c>
      <c r="J16" s="259">
        <v>173.33357597709124</v>
      </c>
      <c r="K16" s="260">
        <v>222.57599971160923</v>
      </c>
      <c r="L16" s="16">
        <f t="shared" si="0"/>
        <v>18</v>
      </c>
      <c r="M16" s="230">
        <f t="shared" si="1"/>
        <v>47</v>
      </c>
      <c r="N16">
        <f t="shared" si="2"/>
        <v>4</v>
      </c>
      <c r="O16">
        <f t="shared" si="3"/>
        <v>8</v>
      </c>
      <c r="P16">
        <f t="shared" si="4"/>
        <v>67</v>
      </c>
      <c r="Q16" s="15">
        <v>0</v>
      </c>
      <c r="R16" s="15">
        <v>0</v>
      </c>
      <c r="S16" t="e">
        <v>#N/A</v>
      </c>
      <c r="T16" s="14">
        <f>Table233[[#This Row],[BDG]]/Table233[[#This Row],[Odds]]</f>
        <v>53.333407992951152</v>
      </c>
      <c r="U16" s="14">
        <v>3.25</v>
      </c>
    </row>
    <row r="17" spans="1:21">
      <c r="A17" s="159" t="s">
        <v>47</v>
      </c>
      <c r="B17">
        <v>46</v>
      </c>
      <c r="C17">
        <v>144</v>
      </c>
      <c r="D17">
        <v>144</v>
      </c>
      <c r="E17">
        <v>168</v>
      </c>
      <c r="F17">
        <v>60</v>
      </c>
      <c r="G17">
        <v>115</v>
      </c>
      <c r="H17">
        <v>304.39999999999998</v>
      </c>
      <c r="I17" s="14">
        <v>473.43927850430572</v>
      </c>
      <c r="J17" s="259">
        <v>177.61405952327834</v>
      </c>
      <c r="K17" s="260">
        <v>249.44461562223847</v>
      </c>
      <c r="L17" s="16">
        <f t="shared" si="0"/>
        <v>60</v>
      </c>
      <c r="M17" s="230">
        <f t="shared" si="1"/>
        <v>60</v>
      </c>
      <c r="N17">
        <f t="shared" si="2"/>
        <v>6</v>
      </c>
      <c r="O17">
        <f t="shared" si="3"/>
        <v>15</v>
      </c>
      <c r="P17">
        <f t="shared" si="4"/>
        <v>66</v>
      </c>
      <c r="Q17" s="15">
        <v>0</v>
      </c>
      <c r="R17" s="15">
        <v>0</v>
      </c>
      <c r="S17">
        <v>-60</v>
      </c>
      <c r="T17" s="14">
        <f>Table233[[#This Row],[BDG]]/Table233[[#This Row],[Odds]]</f>
        <v>37.63009735662677</v>
      </c>
      <c r="U17" s="14">
        <v>4.72</v>
      </c>
    </row>
    <row r="18" spans="1:21">
      <c r="A18" s="159" t="s">
        <v>40</v>
      </c>
      <c r="B18">
        <v>140</v>
      </c>
      <c r="C18">
        <v>158</v>
      </c>
      <c r="D18">
        <v>74</v>
      </c>
      <c r="E18">
        <v>103</v>
      </c>
      <c r="F18">
        <v>57</v>
      </c>
      <c r="G18">
        <v>55</v>
      </c>
      <c r="H18">
        <v>318</v>
      </c>
      <c r="I18" s="14">
        <v>383.5957505694488</v>
      </c>
      <c r="J18" s="259">
        <v>185.25917033196512</v>
      </c>
      <c r="K18" s="260">
        <v>221.40793647385519</v>
      </c>
      <c r="L18" s="16">
        <f t="shared" si="0"/>
        <v>63</v>
      </c>
      <c r="M18" s="230">
        <f t="shared" si="1"/>
        <v>50</v>
      </c>
      <c r="N18">
        <f t="shared" si="2"/>
        <v>10</v>
      </c>
      <c r="O18">
        <f t="shared" si="3"/>
        <v>7</v>
      </c>
      <c r="P18">
        <f t="shared" si="4"/>
        <v>64</v>
      </c>
      <c r="Q18" s="15">
        <v>0</v>
      </c>
      <c r="R18" s="15">
        <v>0.2</v>
      </c>
      <c r="S18">
        <v>38</v>
      </c>
      <c r="T18" s="14">
        <f>Table233[[#This Row],[BDG]]/Table233[[#This Row],[Odds]]</f>
        <v>34.888732642554636</v>
      </c>
      <c r="U18" s="14">
        <v>5.31</v>
      </c>
    </row>
    <row r="19" spans="1:21">
      <c r="A19" s="159" t="s">
        <v>85</v>
      </c>
      <c r="B19">
        <v>127</v>
      </c>
      <c r="C19">
        <v>61</v>
      </c>
      <c r="D19">
        <v>152</v>
      </c>
      <c r="E19">
        <v>41</v>
      </c>
      <c r="F19">
        <v>84</v>
      </c>
      <c r="G19">
        <v>130</v>
      </c>
      <c r="H19">
        <v>298.90000000000003</v>
      </c>
      <c r="I19" s="14">
        <v>444.66112805801083</v>
      </c>
      <c r="J19" s="259">
        <v>194.13170457358075</v>
      </c>
      <c r="K19" s="260">
        <v>244.63537130072882</v>
      </c>
      <c r="L19" s="16">
        <f t="shared" si="0"/>
        <v>56</v>
      </c>
      <c r="M19" s="230">
        <f t="shared" si="1"/>
        <v>56</v>
      </c>
      <c r="N19">
        <f t="shared" si="2"/>
        <v>11</v>
      </c>
      <c r="O19">
        <f t="shared" si="3"/>
        <v>14</v>
      </c>
      <c r="P19">
        <f t="shared" si="4"/>
        <v>60</v>
      </c>
      <c r="Q19" s="15">
        <v>0</v>
      </c>
      <c r="R19" s="15">
        <v>0.33333333333333331</v>
      </c>
      <c r="S19">
        <v>24</v>
      </c>
      <c r="T19" s="14">
        <f>Table233[[#This Row],[BDG]]/Table233[[#This Row],[Odds]]</f>
        <v>27.733100653368677</v>
      </c>
      <c r="U19" s="14">
        <v>7</v>
      </c>
    </row>
    <row r="20" spans="1:21">
      <c r="A20" s="159" t="s">
        <v>52</v>
      </c>
      <c r="B20">
        <v>7</v>
      </c>
      <c r="C20">
        <v>93</v>
      </c>
      <c r="D20">
        <v>84</v>
      </c>
      <c r="E20">
        <v>37</v>
      </c>
      <c r="F20">
        <v>73</v>
      </c>
      <c r="G20">
        <v>22</v>
      </c>
      <c r="H20">
        <v>167.79999999999998</v>
      </c>
      <c r="I20" s="14">
        <v>205.73782472688484</v>
      </c>
      <c r="J20" s="259">
        <v>195.98189922182894</v>
      </c>
      <c r="K20" s="260">
        <v>225.77039373631516</v>
      </c>
      <c r="L20" s="16">
        <f t="shared" si="0"/>
        <v>5</v>
      </c>
      <c r="M20" s="230">
        <f t="shared" si="1"/>
        <v>5</v>
      </c>
      <c r="N20">
        <f t="shared" si="2"/>
        <v>12</v>
      </c>
      <c r="O20">
        <f t="shared" si="3"/>
        <v>9</v>
      </c>
      <c r="P20">
        <f t="shared" si="4"/>
        <v>31</v>
      </c>
      <c r="Q20" s="15">
        <v>0</v>
      </c>
      <c r="R20" s="15">
        <v>0.33333333333333331</v>
      </c>
      <c r="S20">
        <v>1</v>
      </c>
      <c r="T20" s="14">
        <f>Table233[[#This Row],[BDG]]/Table233[[#This Row],[Odds]]</f>
        <v>10.314836801148891</v>
      </c>
      <c r="U20" s="14">
        <v>19</v>
      </c>
    </row>
    <row r="21" spans="1:21">
      <c r="A21" s="159" t="s">
        <v>27</v>
      </c>
      <c r="B21">
        <v>27</v>
      </c>
      <c r="C21">
        <v>79</v>
      </c>
      <c r="D21">
        <v>50</v>
      </c>
      <c r="E21">
        <v>157</v>
      </c>
      <c r="F21">
        <v>14</v>
      </c>
      <c r="G21">
        <v>10</v>
      </c>
      <c r="H21">
        <v>158.1</v>
      </c>
      <c r="I21" s="14">
        <v>211.98132572154236</v>
      </c>
      <c r="J21" s="259">
        <v>197.08135676676682</v>
      </c>
      <c r="K21" s="260">
        <v>256.94166156357267</v>
      </c>
      <c r="L21" s="16">
        <f t="shared" si="0"/>
        <v>3</v>
      </c>
      <c r="M21" s="230">
        <f t="shared" si="1"/>
        <v>6</v>
      </c>
      <c r="N21">
        <f t="shared" si="2"/>
        <v>13</v>
      </c>
      <c r="O21">
        <f t="shared" si="3"/>
        <v>17</v>
      </c>
      <c r="P21">
        <f t="shared" si="4"/>
        <v>58</v>
      </c>
      <c r="Q21" s="15">
        <v>0</v>
      </c>
      <c r="R21" s="15">
        <v>0.8</v>
      </c>
      <c r="S21">
        <v>98</v>
      </c>
      <c r="T21" s="14">
        <f>Table233[[#This Row],[BDG]]/Table233[[#This Row],[Odds]]</f>
        <v>27.108852375071091</v>
      </c>
      <c r="U21" s="14">
        <v>7.27</v>
      </c>
    </row>
    <row r="22" spans="1:21">
      <c r="A22" s="159" t="s">
        <v>487</v>
      </c>
      <c r="B22">
        <v>72</v>
      </c>
      <c r="C22">
        <v>112</v>
      </c>
      <c r="D22">
        <v>2</v>
      </c>
      <c r="E22">
        <v>127</v>
      </c>
      <c r="F22">
        <v>2</v>
      </c>
      <c r="G22">
        <v>1</v>
      </c>
      <c r="H22">
        <v>165.3</v>
      </c>
      <c r="I22" s="14">
        <v>184.66132449406913</v>
      </c>
      <c r="J22" s="259">
        <v>201.03791567985553</v>
      </c>
      <c r="K22" s="260">
        <v>285.38461226101322</v>
      </c>
      <c r="L22" s="16">
        <f t="shared" si="0"/>
        <v>4</v>
      </c>
      <c r="M22" s="230">
        <f t="shared" si="1"/>
        <v>4</v>
      </c>
      <c r="N22">
        <f t="shared" si="2"/>
        <v>14</v>
      </c>
      <c r="O22">
        <f t="shared" si="3"/>
        <v>31</v>
      </c>
      <c r="P22">
        <f t="shared" si="4"/>
        <v>35</v>
      </c>
      <c r="Q22" s="15">
        <v>0.2</v>
      </c>
      <c r="R22" s="15">
        <v>0.6</v>
      </c>
      <c r="S22">
        <v>1</v>
      </c>
      <c r="T22" s="14">
        <f>Table233[[#This Row],[BDG]]/Table233[[#This Row],[Odds]]</f>
        <v>11.688250911619509</v>
      </c>
      <c r="U22" s="14">
        <v>17.2</v>
      </c>
    </row>
    <row r="23" spans="1:21">
      <c r="A23" s="159" t="s">
        <v>88</v>
      </c>
      <c r="B23">
        <v>91</v>
      </c>
      <c r="C23">
        <v>10</v>
      </c>
      <c r="D23">
        <v>42</v>
      </c>
      <c r="E23">
        <v>22</v>
      </c>
      <c r="F23">
        <v>81</v>
      </c>
      <c r="G23">
        <v>18</v>
      </c>
      <c r="H23">
        <v>155.29999999999998</v>
      </c>
      <c r="I23" s="14">
        <v>176.02537006445118</v>
      </c>
      <c r="J23" s="259">
        <v>204.77877958615102</v>
      </c>
      <c r="K23" s="260">
        <v>276.01751587289277</v>
      </c>
      <c r="L23" s="16">
        <f t="shared" si="0"/>
        <v>2</v>
      </c>
      <c r="M23" s="230">
        <f t="shared" si="1"/>
        <v>3</v>
      </c>
      <c r="N23">
        <f t="shared" si="2"/>
        <v>15</v>
      </c>
      <c r="O23">
        <f t="shared" si="3"/>
        <v>27</v>
      </c>
      <c r="P23">
        <f t="shared" si="4"/>
        <v>24</v>
      </c>
      <c r="Q23" s="15">
        <v>0.16666666666666666</v>
      </c>
      <c r="R23" s="15">
        <v>0.16666666666666666</v>
      </c>
      <c r="S23">
        <v>10</v>
      </c>
      <c r="T23" s="14">
        <f>Table233[[#This Row],[BDG]]/Table233[[#This Row],[Odds]]</f>
        <v>8.5324491494229591</v>
      </c>
      <c r="U23" s="14">
        <v>24</v>
      </c>
    </row>
    <row r="24" spans="1:21">
      <c r="A24" s="159" t="s">
        <v>595</v>
      </c>
      <c r="B24">
        <v>40</v>
      </c>
      <c r="C24">
        <v>133</v>
      </c>
      <c r="D24">
        <v>67</v>
      </c>
      <c r="E24">
        <v>140</v>
      </c>
      <c r="F24">
        <v>82</v>
      </c>
      <c r="G24">
        <v>48</v>
      </c>
      <c r="H24">
        <v>241.7</v>
      </c>
      <c r="I24" s="14">
        <v>326.04375172749405</v>
      </c>
      <c r="J24" s="259">
        <v>205.73040995679364</v>
      </c>
      <c r="K24" s="260">
        <v>271.5732589101417</v>
      </c>
      <c r="L24" s="16">
        <f t="shared" si="0"/>
        <v>24</v>
      </c>
      <c r="M24" s="230">
        <f t="shared" si="1"/>
        <v>34</v>
      </c>
      <c r="N24">
        <f t="shared" si="2"/>
        <v>16</v>
      </c>
      <c r="O24">
        <f t="shared" si="3"/>
        <v>23</v>
      </c>
      <c r="P24">
        <f t="shared" si="4"/>
        <v>32</v>
      </c>
      <c r="Q24" s="15">
        <v>0</v>
      </c>
      <c r="R24" s="15">
        <v>0.25</v>
      </c>
      <c r="S24">
        <v>-43</v>
      </c>
      <c r="T24" s="14">
        <f>Table233[[#This Row],[BDG]]/Table233[[#This Row],[Odds]]</f>
        <v>11.366320992088045</v>
      </c>
      <c r="U24" s="14">
        <v>18.100000000000001</v>
      </c>
    </row>
    <row r="25" spans="1:21">
      <c r="A25" s="159" t="s">
        <v>68</v>
      </c>
      <c r="B25">
        <v>63</v>
      </c>
      <c r="C25">
        <v>147</v>
      </c>
      <c r="D25">
        <v>47</v>
      </c>
      <c r="E25">
        <v>6</v>
      </c>
      <c r="F25">
        <v>92</v>
      </c>
      <c r="G25">
        <v>15</v>
      </c>
      <c r="H25">
        <v>219.30000000000004</v>
      </c>
      <c r="I25" s="14">
        <v>223.50784211065644</v>
      </c>
      <c r="J25" s="259">
        <v>209.26935812010777</v>
      </c>
      <c r="K25" s="260">
        <v>236.35444577807471</v>
      </c>
      <c r="L25" s="16">
        <f t="shared" si="0"/>
        <v>16</v>
      </c>
      <c r="M25" s="230">
        <f t="shared" si="1"/>
        <v>7</v>
      </c>
      <c r="N25">
        <f t="shared" si="2"/>
        <v>17</v>
      </c>
      <c r="O25">
        <f t="shared" si="3"/>
        <v>11</v>
      </c>
      <c r="P25">
        <f t="shared" si="4"/>
        <v>54</v>
      </c>
      <c r="Q25" s="15">
        <v>0</v>
      </c>
      <c r="R25" s="15">
        <v>0.6</v>
      </c>
      <c r="S25">
        <v>37</v>
      </c>
      <c r="T25" s="14">
        <f>Table233[[#This Row],[BDG]]/Table233[[#This Row],[Odds]]</f>
        <v>23.252150902234195</v>
      </c>
      <c r="U25" s="14">
        <v>9</v>
      </c>
    </row>
    <row r="26" spans="1:21">
      <c r="A26" s="159" t="s">
        <v>143</v>
      </c>
      <c r="B26">
        <v>86</v>
      </c>
      <c r="C26">
        <v>75</v>
      </c>
      <c r="D26">
        <v>164</v>
      </c>
      <c r="E26">
        <v>82</v>
      </c>
      <c r="F26">
        <v>21</v>
      </c>
      <c r="G26">
        <v>127</v>
      </c>
      <c r="H26">
        <v>263.7</v>
      </c>
      <c r="I26" s="14">
        <v>422.65965944737582</v>
      </c>
      <c r="J26" s="259">
        <v>212.52570729540011</v>
      </c>
      <c r="K26" s="260">
        <v>275.9115412198754</v>
      </c>
      <c r="L26" s="16">
        <f t="shared" si="0"/>
        <v>44</v>
      </c>
      <c r="M26" s="230">
        <f t="shared" si="1"/>
        <v>54</v>
      </c>
      <c r="N26">
        <f t="shared" si="2"/>
        <v>18</v>
      </c>
      <c r="O26">
        <f t="shared" si="3"/>
        <v>26</v>
      </c>
      <c r="P26">
        <f t="shared" si="4"/>
        <v>20</v>
      </c>
      <c r="Q26" s="15">
        <v>0</v>
      </c>
      <c r="R26" s="15">
        <v>0</v>
      </c>
      <c r="S26">
        <v>-17</v>
      </c>
      <c r="T26" s="14">
        <f>Table233[[#This Row],[BDG]]/Table233[[#This Row],[Odds]]</f>
        <v>8.1740656652076957</v>
      </c>
      <c r="U26" s="14">
        <v>26</v>
      </c>
    </row>
    <row r="27" spans="1:21">
      <c r="A27" s="159" t="s">
        <v>135</v>
      </c>
      <c r="B27">
        <v>171</v>
      </c>
      <c r="C27">
        <v>44</v>
      </c>
      <c r="D27">
        <v>8</v>
      </c>
      <c r="E27">
        <v>50</v>
      </c>
      <c r="F27">
        <v>119</v>
      </c>
      <c r="G27">
        <v>26</v>
      </c>
      <c r="H27">
        <v>243.3</v>
      </c>
      <c r="I27" s="14">
        <v>262.83584357141387</v>
      </c>
      <c r="J27" s="259">
        <v>216.05509486994541</v>
      </c>
      <c r="K27" s="260">
        <v>239.2283504339253</v>
      </c>
      <c r="L27" s="16">
        <f t="shared" si="0"/>
        <v>26</v>
      </c>
      <c r="M27" s="230">
        <f t="shared" si="1"/>
        <v>16</v>
      </c>
      <c r="N27">
        <f t="shared" si="2"/>
        <v>19</v>
      </c>
      <c r="O27">
        <f t="shared" si="3"/>
        <v>12</v>
      </c>
      <c r="P27">
        <f t="shared" si="4"/>
        <v>61</v>
      </c>
      <c r="Q27" s="15">
        <v>0</v>
      </c>
      <c r="R27" s="15">
        <v>0.25</v>
      </c>
      <c r="S27">
        <v>22</v>
      </c>
      <c r="T27" s="14">
        <f>Table233[[#This Row],[BDG]]/Table233[[#This Row],[Odds]]</f>
        <v>32.343577076339137</v>
      </c>
      <c r="U27" s="14">
        <v>6.68</v>
      </c>
    </row>
    <row r="28" spans="1:21">
      <c r="A28" s="159" t="s">
        <v>125</v>
      </c>
      <c r="B28">
        <v>89</v>
      </c>
      <c r="C28">
        <v>46</v>
      </c>
      <c r="D28">
        <v>132</v>
      </c>
      <c r="E28">
        <v>46</v>
      </c>
      <c r="F28">
        <v>25</v>
      </c>
      <c r="G28">
        <v>28</v>
      </c>
      <c r="H28">
        <v>217.5</v>
      </c>
      <c r="I28" s="14">
        <v>264.35955860439765</v>
      </c>
      <c r="J28" s="259">
        <v>217.20826191281751</v>
      </c>
      <c r="K28" s="260">
        <v>271.75274953279865</v>
      </c>
      <c r="L28" s="16">
        <f t="shared" si="0"/>
        <v>13</v>
      </c>
      <c r="M28" s="230">
        <f t="shared" si="1"/>
        <v>17</v>
      </c>
      <c r="N28">
        <f t="shared" si="2"/>
        <v>20</v>
      </c>
      <c r="O28">
        <f t="shared" si="3"/>
        <v>24</v>
      </c>
      <c r="P28">
        <f t="shared" si="4"/>
        <v>41</v>
      </c>
      <c r="Q28" s="15">
        <v>0</v>
      </c>
      <c r="R28" s="15">
        <v>0.33333333333333331</v>
      </c>
      <c r="S28">
        <v>16</v>
      </c>
      <c r="T28" s="14">
        <f>Table233[[#This Row],[BDG]]/Table233[[#This Row],[Odds]]</f>
        <v>15.296356472733628</v>
      </c>
      <c r="U28" s="14">
        <v>14.2</v>
      </c>
    </row>
    <row r="29" spans="1:21">
      <c r="A29" s="159" t="s">
        <v>132</v>
      </c>
      <c r="B29">
        <v>107</v>
      </c>
      <c r="C29">
        <v>59</v>
      </c>
      <c r="D29">
        <v>11</v>
      </c>
      <c r="E29">
        <v>83</v>
      </c>
      <c r="F29">
        <v>129</v>
      </c>
      <c r="G29">
        <v>21</v>
      </c>
      <c r="H29">
        <v>218.1</v>
      </c>
      <c r="I29" s="14">
        <v>249.8642022531734</v>
      </c>
      <c r="J29" s="259">
        <v>217.51652382563503</v>
      </c>
      <c r="K29" s="260">
        <v>240.7196113490017</v>
      </c>
      <c r="L29" s="16">
        <f t="shared" si="0"/>
        <v>15</v>
      </c>
      <c r="M29" s="230">
        <f t="shared" si="1"/>
        <v>14</v>
      </c>
      <c r="N29">
        <f t="shared" si="2"/>
        <v>21</v>
      </c>
      <c r="O29">
        <f t="shared" si="3"/>
        <v>13</v>
      </c>
      <c r="P29">
        <f t="shared" si="4"/>
        <v>41</v>
      </c>
      <c r="Q29" s="15">
        <v>0.16666666666666666</v>
      </c>
      <c r="R29" s="15">
        <v>0.16666666666666666</v>
      </c>
      <c r="S29">
        <v>-11</v>
      </c>
      <c r="T29" s="14">
        <f>Table233[[#This Row],[BDG]]/Table233[[#This Row],[Odds]]</f>
        <v>15.318065058143313</v>
      </c>
      <c r="U29" s="14">
        <v>14.2</v>
      </c>
    </row>
    <row r="30" spans="1:21">
      <c r="A30" s="159" t="s">
        <v>58</v>
      </c>
      <c r="B30">
        <v>80</v>
      </c>
      <c r="C30">
        <v>134</v>
      </c>
      <c r="D30">
        <v>34</v>
      </c>
      <c r="E30">
        <v>70</v>
      </c>
      <c r="F30">
        <v>137</v>
      </c>
      <c r="G30">
        <v>56</v>
      </c>
      <c r="H30">
        <v>257.7</v>
      </c>
      <c r="I30" s="14">
        <v>320.41465435222437</v>
      </c>
      <c r="J30" s="259">
        <v>220.28030005285714</v>
      </c>
      <c r="K30" s="260">
        <v>274.83692001392092</v>
      </c>
      <c r="L30" s="16">
        <f t="shared" si="0"/>
        <v>40</v>
      </c>
      <c r="M30" s="230">
        <f t="shared" si="1"/>
        <v>32</v>
      </c>
      <c r="N30">
        <f t="shared" si="2"/>
        <v>22</v>
      </c>
      <c r="O30">
        <f t="shared" si="3"/>
        <v>25</v>
      </c>
      <c r="P30">
        <f t="shared" si="4"/>
        <v>41</v>
      </c>
      <c r="Q30" s="15">
        <v>0</v>
      </c>
      <c r="R30" s="15">
        <v>0.2</v>
      </c>
      <c r="S30">
        <v>-6</v>
      </c>
      <c r="T30" s="14">
        <f>Table233[[#This Row],[BDG]]/Table233[[#This Row],[Odds]]</f>
        <v>15.512697186820926</v>
      </c>
      <c r="U30" s="14">
        <v>14.2</v>
      </c>
    </row>
    <row r="31" spans="1:21">
      <c r="A31" s="159" t="s">
        <v>44</v>
      </c>
      <c r="B31">
        <v>96</v>
      </c>
      <c r="C31">
        <v>127</v>
      </c>
      <c r="D31">
        <v>135</v>
      </c>
      <c r="E31">
        <v>117</v>
      </c>
      <c r="F31">
        <v>135</v>
      </c>
      <c r="G31">
        <v>159</v>
      </c>
      <c r="H31">
        <v>350.1</v>
      </c>
      <c r="I31" s="14">
        <v>543.88832706270125</v>
      </c>
      <c r="J31" s="259">
        <v>224.12749395459898</v>
      </c>
      <c r="K31" s="260">
        <v>307.60810287386039</v>
      </c>
      <c r="L31" s="16">
        <f t="shared" si="0"/>
        <v>65</v>
      </c>
      <c r="M31" s="230">
        <f t="shared" si="1"/>
        <v>67</v>
      </c>
      <c r="N31">
        <f t="shared" si="2"/>
        <v>23</v>
      </c>
      <c r="O31">
        <f t="shared" si="3"/>
        <v>36</v>
      </c>
      <c r="P31">
        <f t="shared" si="4"/>
        <v>18</v>
      </c>
      <c r="Q31" s="15">
        <v>0</v>
      </c>
      <c r="R31" s="15">
        <v>0</v>
      </c>
      <c r="S31">
        <v>13</v>
      </c>
      <c r="T31" s="14">
        <f>Table233[[#This Row],[BDG]]/Table233[[#This Row],[Odds]]</f>
        <v>8.3010182946147761</v>
      </c>
      <c r="U31" s="14">
        <v>27</v>
      </c>
    </row>
    <row r="32" spans="1:21">
      <c r="A32" s="159" t="s">
        <v>124</v>
      </c>
      <c r="B32">
        <v>136</v>
      </c>
      <c r="C32">
        <v>48</v>
      </c>
      <c r="D32">
        <v>86</v>
      </c>
      <c r="E32">
        <v>113</v>
      </c>
      <c r="F32">
        <v>140</v>
      </c>
      <c r="G32">
        <v>120</v>
      </c>
      <c r="H32">
        <v>301.70000000000005</v>
      </c>
      <c r="I32" s="14">
        <v>450.58662507349595</v>
      </c>
      <c r="J32" s="259">
        <v>228.00695917770196</v>
      </c>
      <c r="K32" s="260">
        <v>309.79171717763347</v>
      </c>
      <c r="L32" s="16">
        <f t="shared" si="0"/>
        <v>58</v>
      </c>
      <c r="M32" s="230">
        <f t="shared" si="1"/>
        <v>58</v>
      </c>
      <c r="N32">
        <f t="shared" si="2"/>
        <v>24</v>
      </c>
      <c r="O32">
        <f t="shared" si="3"/>
        <v>39</v>
      </c>
      <c r="P32">
        <f t="shared" si="4"/>
        <v>45</v>
      </c>
      <c r="Q32" s="15">
        <v>0</v>
      </c>
      <c r="R32" s="15">
        <v>0</v>
      </c>
      <c r="S32">
        <v>25</v>
      </c>
      <c r="T32" s="14">
        <f>Table233[[#This Row],[BDG]]/Table233[[#This Row],[Odds]]</f>
        <v>16.642843735598685</v>
      </c>
      <c r="U32" s="14">
        <v>13.7</v>
      </c>
    </row>
    <row r="33" spans="1:21">
      <c r="A33" s="159" t="s">
        <v>114</v>
      </c>
      <c r="B33">
        <v>138</v>
      </c>
      <c r="C33">
        <v>51</v>
      </c>
      <c r="D33">
        <v>66</v>
      </c>
      <c r="E33">
        <v>142</v>
      </c>
      <c r="F33">
        <v>39</v>
      </c>
      <c r="G33">
        <v>59</v>
      </c>
      <c r="H33">
        <v>249.29999999999998</v>
      </c>
      <c r="I33" s="14">
        <v>339.5169427081679</v>
      </c>
      <c r="J33" s="259">
        <v>229.25587730416746</v>
      </c>
      <c r="K33" s="260">
        <v>266.5820514098931</v>
      </c>
      <c r="L33" s="16">
        <f t="shared" si="0"/>
        <v>33</v>
      </c>
      <c r="M33" s="230">
        <f t="shared" si="1"/>
        <v>39</v>
      </c>
      <c r="N33">
        <f t="shared" si="2"/>
        <v>26</v>
      </c>
      <c r="O33">
        <f t="shared" si="3"/>
        <v>21</v>
      </c>
      <c r="P33">
        <f t="shared" si="4"/>
        <v>30</v>
      </c>
      <c r="Q33" s="15">
        <v>0</v>
      </c>
      <c r="R33" s="15">
        <v>0.125</v>
      </c>
      <c r="S33">
        <v>-20</v>
      </c>
      <c r="T33" s="14">
        <f>Table233[[#This Row],[BDG]]/Table233[[#This Row],[Odds]]</f>
        <v>12.002925513307195</v>
      </c>
      <c r="U33" s="14">
        <v>19.100000000000001</v>
      </c>
    </row>
    <row r="34" spans="1:21">
      <c r="A34" s="159" t="s">
        <v>42</v>
      </c>
      <c r="B34">
        <v>69</v>
      </c>
      <c r="C34">
        <v>150</v>
      </c>
      <c r="D34">
        <v>39</v>
      </c>
      <c r="E34">
        <v>11</v>
      </c>
      <c r="F34">
        <v>152</v>
      </c>
      <c r="G34">
        <v>35</v>
      </c>
      <c r="H34">
        <v>251.8</v>
      </c>
      <c r="I34" s="14">
        <v>276.86731262987416</v>
      </c>
      <c r="J34" s="259">
        <v>231.41265602512922</v>
      </c>
      <c r="K34" s="260">
        <v>252.13677769712228</v>
      </c>
      <c r="L34" s="16">
        <f t="shared" ref="L34:L69" si="5">RANK(H34,$H$2:$H$69,1)</f>
        <v>35</v>
      </c>
      <c r="M34" s="230">
        <f t="shared" ref="M34:M69" si="6">RANK(I34,$I$2:$I$69,1)</f>
        <v>22</v>
      </c>
      <c r="N34">
        <f t="shared" ref="N34:N69" si="7">RANK(J34,$J$2:$J$69,1)</f>
        <v>28</v>
      </c>
      <c r="O34">
        <f t="shared" ref="O34:O69" si="8">RANK(K34,$K$2:$K$69,1)</f>
        <v>16</v>
      </c>
      <c r="P34">
        <f t="shared" ref="P34:P69" si="9">RANK(U34,$U$2:$U$69,0)</f>
        <v>59</v>
      </c>
      <c r="Q34" s="15">
        <v>0</v>
      </c>
      <c r="R34" s="15">
        <v>0.5</v>
      </c>
      <c r="S34" t="e">
        <v>#N/A</v>
      </c>
      <c r="T34" s="14">
        <f>Table233[[#This Row],[BDG]]/Table233[[#This Row],[Odds]]</f>
        <v>32.685403393379836</v>
      </c>
      <c r="U34" s="14">
        <v>7.08</v>
      </c>
    </row>
    <row r="35" spans="1:21">
      <c r="A35" s="159" t="s">
        <v>56</v>
      </c>
      <c r="B35">
        <v>72</v>
      </c>
      <c r="C35">
        <v>55</v>
      </c>
      <c r="D35">
        <v>163</v>
      </c>
      <c r="E35">
        <v>47</v>
      </c>
      <c r="F35">
        <v>55</v>
      </c>
      <c r="G35">
        <v>91</v>
      </c>
      <c r="H35">
        <v>246.29999999999998</v>
      </c>
      <c r="I35" s="14">
        <v>363.27646487043887</v>
      </c>
      <c r="J35" s="259">
        <v>231.51917561821867</v>
      </c>
      <c r="K35" s="260">
        <v>316.85264787714613</v>
      </c>
      <c r="L35" s="16">
        <f t="shared" si="5"/>
        <v>28</v>
      </c>
      <c r="M35" s="230">
        <f t="shared" si="6"/>
        <v>44</v>
      </c>
      <c r="N35">
        <f t="shared" si="7"/>
        <v>29</v>
      </c>
      <c r="O35">
        <f t="shared" si="8"/>
        <v>42</v>
      </c>
      <c r="P35">
        <f t="shared" si="9"/>
        <v>15</v>
      </c>
      <c r="Q35" s="15">
        <v>0</v>
      </c>
      <c r="R35" s="15">
        <v>0</v>
      </c>
      <c r="S35">
        <v>-33</v>
      </c>
      <c r="T35" s="14">
        <f>Table233[[#This Row],[BDG]]/Table233[[#This Row],[Odds]]</f>
        <v>7.9834198489040924</v>
      </c>
      <c r="U35" s="14">
        <v>29</v>
      </c>
    </row>
    <row r="36" spans="1:21">
      <c r="A36" s="159" t="s">
        <v>19</v>
      </c>
      <c r="B36">
        <v>101</v>
      </c>
      <c r="C36">
        <v>122</v>
      </c>
      <c r="D36">
        <v>6</v>
      </c>
      <c r="E36">
        <v>138</v>
      </c>
      <c r="F36">
        <v>50</v>
      </c>
      <c r="G36">
        <v>9</v>
      </c>
      <c r="H36">
        <v>224.6</v>
      </c>
      <c r="I36" s="14">
        <v>252.5329164836422</v>
      </c>
      <c r="J36" s="259">
        <v>232.02902458478246</v>
      </c>
      <c r="K36" s="260">
        <v>264.26642020435088</v>
      </c>
      <c r="L36" s="16">
        <f t="shared" si="5"/>
        <v>19</v>
      </c>
      <c r="M36" s="230">
        <f t="shared" si="6"/>
        <v>15</v>
      </c>
      <c r="N36">
        <f t="shared" si="7"/>
        <v>30</v>
      </c>
      <c r="O36">
        <f t="shared" si="8"/>
        <v>20</v>
      </c>
      <c r="P36">
        <f t="shared" si="9"/>
        <v>48</v>
      </c>
      <c r="Q36" s="15">
        <v>0</v>
      </c>
      <c r="R36" s="15">
        <v>0.33333333333333331</v>
      </c>
      <c r="S36" t="e">
        <v>#N/A</v>
      </c>
      <c r="T36" s="14">
        <f>Table233[[#This Row],[BDG]]/Table233[[#This Row],[Odds]]</f>
        <v>18.127267545686127</v>
      </c>
      <c r="U36" s="14">
        <v>12.8</v>
      </c>
    </row>
    <row r="37" spans="1:21">
      <c r="A37" s="159" t="s">
        <v>9</v>
      </c>
      <c r="B37">
        <v>63</v>
      </c>
      <c r="C37">
        <v>70</v>
      </c>
      <c r="D37">
        <v>54</v>
      </c>
      <c r="E37">
        <v>144</v>
      </c>
      <c r="F37">
        <v>72</v>
      </c>
      <c r="G37">
        <v>36</v>
      </c>
      <c r="H37">
        <v>209.39999999999998</v>
      </c>
      <c r="I37" s="14">
        <v>283.90942211477358</v>
      </c>
      <c r="J37" s="259">
        <v>232.76478857052737</v>
      </c>
      <c r="K37" s="260">
        <v>332.63962557065383</v>
      </c>
      <c r="L37" s="16">
        <f t="shared" si="5"/>
        <v>12</v>
      </c>
      <c r="M37" s="230">
        <f t="shared" si="6"/>
        <v>24</v>
      </c>
      <c r="N37">
        <f t="shared" si="7"/>
        <v>31</v>
      </c>
      <c r="O37">
        <f t="shared" si="8"/>
        <v>47</v>
      </c>
      <c r="P37">
        <f t="shared" si="9"/>
        <v>57</v>
      </c>
      <c r="Q37" s="15">
        <v>0</v>
      </c>
      <c r="R37" s="15">
        <v>0.4</v>
      </c>
      <c r="S37">
        <v>72</v>
      </c>
      <c r="T37" s="14">
        <f>Table233[[#This Row],[BDG]]/Table233[[#This Row],[Odds]]</f>
        <v>31.035305142736984</v>
      </c>
      <c r="U37" s="14">
        <v>7.5</v>
      </c>
    </row>
    <row r="38" spans="1:21">
      <c r="A38" s="159" t="s">
        <v>130</v>
      </c>
      <c r="B38">
        <v>99</v>
      </c>
      <c r="C38">
        <v>55</v>
      </c>
      <c r="D38">
        <v>46</v>
      </c>
      <c r="E38">
        <v>122</v>
      </c>
      <c r="F38">
        <v>143</v>
      </c>
      <c r="G38">
        <v>99</v>
      </c>
      <c r="H38">
        <v>252.5</v>
      </c>
      <c r="I38" s="14">
        <v>381.05220200355325</v>
      </c>
      <c r="J38" s="259">
        <v>233.88711003775686</v>
      </c>
      <c r="K38" s="260">
        <v>315.40446207427465</v>
      </c>
      <c r="L38" s="16">
        <f t="shared" si="5"/>
        <v>37</v>
      </c>
      <c r="M38" s="230">
        <f t="shared" si="6"/>
        <v>49</v>
      </c>
      <c r="N38">
        <f t="shared" si="7"/>
        <v>32</v>
      </c>
      <c r="O38">
        <f t="shared" si="8"/>
        <v>41</v>
      </c>
      <c r="P38">
        <f t="shared" si="9"/>
        <v>16</v>
      </c>
      <c r="Q38" s="15">
        <v>0</v>
      </c>
      <c r="R38" s="15">
        <v>0.16666666666666666</v>
      </c>
      <c r="S38">
        <v>-9</v>
      </c>
      <c r="T38" s="14">
        <f>Table233[[#This Row],[BDG]]/Table233[[#This Row],[Odds]]</f>
        <v>8.3531110727770308</v>
      </c>
      <c r="U38" s="14">
        <v>28</v>
      </c>
    </row>
    <row r="39" spans="1:21">
      <c r="A39" s="159" t="s">
        <v>93</v>
      </c>
      <c r="B39">
        <v>104</v>
      </c>
      <c r="C39">
        <v>23</v>
      </c>
      <c r="D39">
        <v>19</v>
      </c>
      <c r="E39">
        <v>134</v>
      </c>
      <c r="F39">
        <v>162</v>
      </c>
      <c r="G39">
        <v>74</v>
      </c>
      <c r="H39">
        <v>231.5</v>
      </c>
      <c r="I39" s="14">
        <v>337.5229473897686</v>
      </c>
      <c r="J39" s="259">
        <v>236.2261570123564</v>
      </c>
      <c r="K39" s="260">
        <v>309.48273506975056</v>
      </c>
      <c r="L39" s="16">
        <f t="shared" si="5"/>
        <v>20</v>
      </c>
      <c r="M39" s="230">
        <f t="shared" si="6"/>
        <v>38</v>
      </c>
      <c r="N39">
        <f t="shared" si="7"/>
        <v>34</v>
      </c>
      <c r="O39">
        <f t="shared" si="8"/>
        <v>38</v>
      </c>
      <c r="P39">
        <f t="shared" si="9"/>
        <v>49</v>
      </c>
      <c r="Q39" s="15">
        <v>0</v>
      </c>
      <c r="R39" s="15">
        <v>0</v>
      </c>
      <c r="S39">
        <v>15</v>
      </c>
      <c r="T39" s="14">
        <f>Table233[[#This Row],[BDG]]/Table233[[#This Row],[Odds]]</f>
        <v>19.205378618890762</v>
      </c>
      <c r="U39" s="14">
        <v>12.3</v>
      </c>
    </row>
    <row r="40" spans="1:21">
      <c r="A40" s="159" t="s">
        <v>76</v>
      </c>
      <c r="B40">
        <v>119</v>
      </c>
      <c r="C40">
        <v>111</v>
      </c>
      <c r="D40">
        <v>103</v>
      </c>
      <c r="E40">
        <v>7</v>
      </c>
      <c r="F40">
        <v>7</v>
      </c>
      <c r="G40">
        <v>3</v>
      </c>
      <c r="H40">
        <v>239.5</v>
      </c>
      <c r="I40" s="14">
        <v>234.66327865669714</v>
      </c>
      <c r="J40" s="259">
        <v>239.19110084886557</v>
      </c>
      <c r="K40" s="260">
        <v>260.00344031742634</v>
      </c>
      <c r="L40" s="16">
        <f t="shared" si="5"/>
        <v>23</v>
      </c>
      <c r="M40" s="230">
        <f t="shared" si="6"/>
        <v>12</v>
      </c>
      <c r="N40">
        <f t="shared" si="7"/>
        <v>35</v>
      </c>
      <c r="O40">
        <f t="shared" si="8"/>
        <v>19</v>
      </c>
      <c r="P40">
        <f t="shared" si="9"/>
        <v>62</v>
      </c>
      <c r="Q40" s="15">
        <v>0</v>
      </c>
      <c r="R40" s="15">
        <v>0.5</v>
      </c>
      <c r="S40">
        <v>6</v>
      </c>
      <c r="T40" s="14">
        <f>Table233[[#This Row],[BDG]]/Table233[[#This Row],[Odds]]</f>
        <v>39.211655876863212</v>
      </c>
      <c r="U40" s="14">
        <v>6.1</v>
      </c>
    </row>
    <row r="41" spans="1:21">
      <c r="A41" s="159" t="s">
        <v>72</v>
      </c>
      <c r="B41">
        <v>69</v>
      </c>
      <c r="C41">
        <v>80</v>
      </c>
      <c r="D41">
        <v>114</v>
      </c>
      <c r="E41">
        <v>65</v>
      </c>
      <c r="F41">
        <v>93</v>
      </c>
      <c r="G41">
        <v>92</v>
      </c>
      <c r="H41">
        <v>249</v>
      </c>
      <c r="I41" s="14">
        <v>363.8681359861302</v>
      </c>
      <c r="J41" s="259">
        <v>239.78107644503319</v>
      </c>
      <c r="K41" s="260">
        <v>302.94335372308927</v>
      </c>
      <c r="L41" s="16">
        <f t="shared" si="5"/>
        <v>32</v>
      </c>
      <c r="M41" s="230">
        <f t="shared" si="6"/>
        <v>45</v>
      </c>
      <c r="N41">
        <f t="shared" si="7"/>
        <v>36</v>
      </c>
      <c r="O41">
        <f t="shared" si="8"/>
        <v>35</v>
      </c>
      <c r="P41">
        <f t="shared" si="9"/>
        <v>55</v>
      </c>
      <c r="Q41" s="15">
        <v>0</v>
      </c>
      <c r="R41" s="15">
        <v>0</v>
      </c>
      <c r="S41">
        <v>-18</v>
      </c>
      <c r="T41" s="14">
        <f>Table233[[#This Row],[BDG]]/Table233[[#This Row],[Odds]]</f>
        <v>29.749513206579799</v>
      </c>
      <c r="U41" s="14">
        <v>8.06</v>
      </c>
    </row>
    <row r="42" spans="1:21">
      <c r="A42" s="159" t="s">
        <v>141</v>
      </c>
      <c r="B42">
        <v>122</v>
      </c>
      <c r="C42">
        <v>52</v>
      </c>
      <c r="D42">
        <v>124</v>
      </c>
      <c r="E42">
        <v>111</v>
      </c>
      <c r="F42">
        <v>54</v>
      </c>
      <c r="G42">
        <v>83</v>
      </c>
      <c r="H42">
        <v>275.90000000000003</v>
      </c>
      <c r="I42" s="14">
        <v>392.02257663656781</v>
      </c>
      <c r="J42" s="259">
        <v>243.16698661812416</v>
      </c>
      <c r="K42" s="260">
        <v>321.87801678811024</v>
      </c>
      <c r="L42" s="16">
        <f t="shared" si="5"/>
        <v>46</v>
      </c>
      <c r="M42" s="230">
        <f t="shared" si="6"/>
        <v>52</v>
      </c>
      <c r="N42">
        <f t="shared" si="7"/>
        <v>38</v>
      </c>
      <c r="O42">
        <f t="shared" si="8"/>
        <v>43</v>
      </c>
      <c r="P42">
        <f t="shared" si="9"/>
        <v>37</v>
      </c>
      <c r="Q42" s="15">
        <v>0</v>
      </c>
      <c r="R42" s="15">
        <v>0.33333333333333331</v>
      </c>
      <c r="S42">
        <v>-17</v>
      </c>
      <c r="T42" s="14">
        <f>Table233[[#This Row],[BDG]]/Table233[[#This Row],[Odds]]</f>
        <v>15.488343096695807</v>
      </c>
      <c r="U42" s="14">
        <v>15.7</v>
      </c>
    </row>
    <row r="43" spans="1:21">
      <c r="A43" s="159" t="s">
        <v>126</v>
      </c>
      <c r="B43">
        <v>159</v>
      </c>
      <c r="C43">
        <v>42</v>
      </c>
      <c r="D43">
        <v>102</v>
      </c>
      <c r="E43">
        <v>42</v>
      </c>
      <c r="F43">
        <v>44</v>
      </c>
      <c r="G43">
        <v>30</v>
      </c>
      <c r="H43">
        <v>258.39999999999998</v>
      </c>
      <c r="I43" s="14">
        <v>293.5499601218367</v>
      </c>
      <c r="J43" s="259">
        <v>244.07222770654914</v>
      </c>
      <c r="K43" s="260">
        <v>293.13576390372896</v>
      </c>
      <c r="L43" s="16">
        <f t="shared" si="5"/>
        <v>41</v>
      </c>
      <c r="M43" s="230">
        <f t="shared" si="6"/>
        <v>28</v>
      </c>
      <c r="N43">
        <f t="shared" si="7"/>
        <v>39</v>
      </c>
      <c r="O43">
        <f t="shared" si="8"/>
        <v>33</v>
      </c>
      <c r="P43">
        <f t="shared" si="9"/>
        <v>27</v>
      </c>
      <c r="Q43" s="15">
        <v>0</v>
      </c>
      <c r="R43" s="15">
        <v>0.42857142857142855</v>
      </c>
      <c r="S43">
        <v>-20</v>
      </c>
      <c r="T43" s="14">
        <f>Table233[[#This Row],[BDG]]/Table233[[#This Row],[Odds]]</f>
        <v>12.452664678905567</v>
      </c>
      <c r="U43" s="14">
        <v>19.600000000000001</v>
      </c>
    </row>
    <row r="44" spans="1:21">
      <c r="A44" s="159" t="s">
        <v>110</v>
      </c>
      <c r="B44">
        <v>160</v>
      </c>
      <c r="C44">
        <v>27</v>
      </c>
      <c r="D44">
        <v>81</v>
      </c>
      <c r="E44">
        <v>134</v>
      </c>
      <c r="F44">
        <v>147</v>
      </c>
      <c r="G44">
        <v>132</v>
      </c>
      <c r="H44">
        <v>314.59999999999997</v>
      </c>
      <c r="I44" s="14">
        <v>480.20858811420163</v>
      </c>
      <c r="J44" s="259">
        <v>245.76697248888325</v>
      </c>
      <c r="K44" s="260">
        <v>371.14515303260396</v>
      </c>
      <c r="L44" s="16">
        <f t="shared" si="5"/>
        <v>61</v>
      </c>
      <c r="M44" s="230">
        <f t="shared" si="6"/>
        <v>61</v>
      </c>
      <c r="N44">
        <f t="shared" si="7"/>
        <v>40</v>
      </c>
      <c r="O44">
        <f t="shared" si="8"/>
        <v>57</v>
      </c>
      <c r="P44">
        <f t="shared" si="9"/>
        <v>16</v>
      </c>
      <c r="Q44" s="15">
        <v>0</v>
      </c>
      <c r="R44" s="15">
        <v>0</v>
      </c>
      <c r="S44">
        <v>-59</v>
      </c>
      <c r="T44" s="14">
        <f>Table233[[#This Row],[BDG]]/Table233[[#This Row],[Odds]]</f>
        <v>8.7773918746029729</v>
      </c>
      <c r="U44" s="14">
        <v>28</v>
      </c>
    </row>
    <row r="45" spans="1:21">
      <c r="A45" s="159" t="s">
        <v>128</v>
      </c>
      <c r="B45">
        <v>162</v>
      </c>
      <c r="C45">
        <v>19</v>
      </c>
      <c r="D45">
        <v>49</v>
      </c>
      <c r="E45">
        <v>66</v>
      </c>
      <c r="F45">
        <v>129</v>
      </c>
      <c r="G45">
        <v>43</v>
      </c>
      <c r="H45">
        <v>259.60000000000002</v>
      </c>
      <c r="I45" s="14">
        <v>311.01881006167116</v>
      </c>
      <c r="J45" s="259">
        <v>245.88830990242275</v>
      </c>
      <c r="K45" s="260">
        <v>297.54181679165464</v>
      </c>
      <c r="L45" s="16">
        <f t="shared" si="5"/>
        <v>42</v>
      </c>
      <c r="M45" s="230">
        <f t="shared" si="6"/>
        <v>30</v>
      </c>
      <c r="N45">
        <f t="shared" si="7"/>
        <v>41</v>
      </c>
      <c r="O45">
        <f t="shared" si="8"/>
        <v>34</v>
      </c>
      <c r="P45">
        <f t="shared" si="9"/>
        <v>35</v>
      </c>
      <c r="Q45" s="15">
        <v>0</v>
      </c>
      <c r="R45" s="15">
        <v>0</v>
      </c>
      <c r="S45">
        <v>19</v>
      </c>
      <c r="T45" s="14">
        <f>Table233[[#This Row],[BDG]]/Table233[[#This Row],[Odds]]</f>
        <v>14.29583197107109</v>
      </c>
      <c r="U45" s="14">
        <v>17.2</v>
      </c>
    </row>
    <row r="46" spans="1:21">
      <c r="A46" s="159" t="s">
        <v>544</v>
      </c>
      <c r="B46">
        <v>13</v>
      </c>
      <c r="C46">
        <v>155</v>
      </c>
      <c r="D46">
        <v>106</v>
      </c>
      <c r="E46">
        <v>110</v>
      </c>
      <c r="F46">
        <v>100</v>
      </c>
      <c r="G46">
        <v>58</v>
      </c>
      <c r="H46">
        <v>260.60000000000002</v>
      </c>
      <c r="I46" s="14">
        <v>353.67820638711754</v>
      </c>
      <c r="J46" s="259">
        <v>247.56445582212808</v>
      </c>
      <c r="K46" s="260">
        <v>308.7781461870216</v>
      </c>
      <c r="L46" s="16">
        <f t="shared" si="5"/>
        <v>43</v>
      </c>
      <c r="M46" s="230">
        <f t="shared" si="6"/>
        <v>40</v>
      </c>
      <c r="N46">
        <f t="shared" si="7"/>
        <v>42</v>
      </c>
      <c r="O46">
        <f t="shared" si="8"/>
        <v>37</v>
      </c>
      <c r="P46">
        <f t="shared" si="9"/>
        <v>52</v>
      </c>
      <c r="Q46" s="15">
        <v>0</v>
      </c>
      <c r="R46" s="15">
        <v>0.25</v>
      </c>
      <c r="S46">
        <v>27</v>
      </c>
      <c r="T46" s="14">
        <f>Table233[[#This Row],[BDG]]/Table233[[#This Row],[Odds]]</f>
        <v>22.922634798345193</v>
      </c>
      <c r="U46" s="14">
        <v>10.8</v>
      </c>
    </row>
    <row r="47" spans="1:21">
      <c r="A47" s="159" t="s">
        <v>131</v>
      </c>
      <c r="B47">
        <v>119</v>
      </c>
      <c r="C47">
        <v>21</v>
      </c>
      <c r="D47">
        <v>128</v>
      </c>
      <c r="E47">
        <v>31</v>
      </c>
      <c r="F47">
        <v>22</v>
      </c>
      <c r="G47">
        <v>46</v>
      </c>
      <c r="H47">
        <v>217.7</v>
      </c>
      <c r="I47" s="14">
        <v>276.02266871157508</v>
      </c>
      <c r="J47" s="259">
        <v>250.87576883183519</v>
      </c>
      <c r="K47" s="260">
        <v>346.46061439366497</v>
      </c>
      <c r="L47" s="16">
        <f t="shared" si="5"/>
        <v>14</v>
      </c>
      <c r="M47" s="230">
        <f t="shared" si="6"/>
        <v>21</v>
      </c>
      <c r="N47">
        <f t="shared" si="7"/>
        <v>45</v>
      </c>
      <c r="O47">
        <f t="shared" si="8"/>
        <v>51</v>
      </c>
      <c r="P47">
        <f t="shared" si="9"/>
        <v>6</v>
      </c>
      <c r="Q47" s="15">
        <v>0</v>
      </c>
      <c r="R47" s="15">
        <v>0.25</v>
      </c>
      <c r="S47" t="e">
        <v>#N/A</v>
      </c>
      <c r="T47" s="14">
        <f>Table233[[#This Row],[BDG]]/Table233[[#This Row],[Odds]]</f>
        <v>4.6458475709599112</v>
      </c>
      <c r="U47" s="14">
        <v>54</v>
      </c>
    </row>
    <row r="48" spans="1:21">
      <c r="A48" s="159" t="s">
        <v>65</v>
      </c>
      <c r="B48">
        <v>44</v>
      </c>
      <c r="C48">
        <v>86</v>
      </c>
      <c r="D48">
        <v>48</v>
      </c>
      <c r="E48">
        <v>149</v>
      </c>
      <c r="F48">
        <v>23</v>
      </c>
      <c r="G48">
        <v>16</v>
      </c>
      <c r="H48">
        <v>176.6</v>
      </c>
      <c r="I48" s="14">
        <v>231.19918509667468</v>
      </c>
      <c r="J48" s="259">
        <v>251.91990968493928</v>
      </c>
      <c r="K48" s="260">
        <v>393.66288535613512</v>
      </c>
      <c r="L48" s="16">
        <f t="shared" si="5"/>
        <v>7</v>
      </c>
      <c r="M48" s="230">
        <f t="shared" si="6"/>
        <v>10</v>
      </c>
      <c r="N48">
        <f t="shared" si="7"/>
        <v>46</v>
      </c>
      <c r="O48">
        <f t="shared" si="8"/>
        <v>59</v>
      </c>
      <c r="P48">
        <f t="shared" si="9"/>
        <v>33</v>
      </c>
      <c r="Q48" s="15">
        <v>0</v>
      </c>
      <c r="R48" s="15">
        <v>0.2857142857142857</v>
      </c>
      <c r="S48">
        <v>46</v>
      </c>
      <c r="T48" s="14">
        <f>Table233[[#This Row],[BDG]]/Table233[[#This Row],[Odds]]</f>
        <v>14.232763259036119</v>
      </c>
      <c r="U48" s="14">
        <v>17.7</v>
      </c>
    </row>
    <row r="49" spans="1:21">
      <c r="A49" s="159" t="s">
        <v>129</v>
      </c>
      <c r="B49">
        <v>89</v>
      </c>
      <c r="C49">
        <v>123</v>
      </c>
      <c r="D49">
        <v>87</v>
      </c>
      <c r="E49">
        <v>2</v>
      </c>
      <c r="F49">
        <v>148</v>
      </c>
      <c r="G49">
        <v>53</v>
      </c>
      <c r="H49">
        <v>280.5</v>
      </c>
      <c r="I49" s="14">
        <v>328.18850337600924</v>
      </c>
      <c r="J49" s="259">
        <v>253.01827218740908</v>
      </c>
      <c r="K49" s="260">
        <v>276.49118021411721</v>
      </c>
      <c r="L49" s="16">
        <f t="shared" si="5"/>
        <v>48</v>
      </c>
      <c r="M49" s="230">
        <f t="shared" si="6"/>
        <v>35</v>
      </c>
      <c r="N49">
        <f t="shared" si="7"/>
        <v>47</v>
      </c>
      <c r="O49">
        <f t="shared" si="8"/>
        <v>29</v>
      </c>
      <c r="P49">
        <f t="shared" si="9"/>
        <v>50</v>
      </c>
      <c r="Q49" s="15">
        <v>0.16666666666666666</v>
      </c>
      <c r="R49" s="15">
        <v>0.16666666666666666</v>
      </c>
      <c r="S49">
        <v>62</v>
      </c>
      <c r="T49" s="14">
        <f>Table233[[#This Row],[BDG]]/Table233[[#This Row],[Odds]]</f>
        <v>22.390997538708767</v>
      </c>
      <c r="U49" s="14">
        <v>11.3</v>
      </c>
    </row>
    <row r="50" spans="1:21">
      <c r="A50" s="159" t="s">
        <v>145</v>
      </c>
      <c r="B50">
        <v>173</v>
      </c>
      <c r="C50">
        <v>24</v>
      </c>
      <c r="D50">
        <v>14</v>
      </c>
      <c r="E50">
        <v>18</v>
      </c>
      <c r="F50">
        <v>166</v>
      </c>
      <c r="G50">
        <v>84</v>
      </c>
      <c r="H50">
        <v>251.00000000000003</v>
      </c>
      <c r="I50" s="14">
        <v>322.85070476837871</v>
      </c>
      <c r="J50" s="259">
        <v>253.22235778177253</v>
      </c>
      <c r="K50" s="260">
        <v>337.02516888970626</v>
      </c>
      <c r="L50" s="16">
        <f t="shared" si="5"/>
        <v>34</v>
      </c>
      <c r="M50" s="230">
        <f t="shared" si="6"/>
        <v>33</v>
      </c>
      <c r="N50">
        <f t="shared" si="7"/>
        <v>48</v>
      </c>
      <c r="O50">
        <f t="shared" si="8"/>
        <v>48</v>
      </c>
      <c r="P50">
        <f t="shared" si="9"/>
        <v>18</v>
      </c>
      <c r="Q50" s="15">
        <v>0</v>
      </c>
      <c r="R50" s="15">
        <v>0</v>
      </c>
      <c r="S50">
        <v>12</v>
      </c>
      <c r="T50" s="14">
        <f>Table233[[#This Row],[BDG]]/Table233[[#This Row],[Odds]]</f>
        <v>9.3786058437693534</v>
      </c>
      <c r="U50" s="14">
        <v>27</v>
      </c>
    </row>
    <row r="51" spans="1:21">
      <c r="A51" s="159" t="s">
        <v>158</v>
      </c>
      <c r="B51">
        <v>148</v>
      </c>
      <c r="C51">
        <v>115</v>
      </c>
      <c r="D51">
        <v>18</v>
      </c>
      <c r="E51">
        <v>123</v>
      </c>
      <c r="F51">
        <v>17</v>
      </c>
      <c r="G51">
        <v>28</v>
      </c>
      <c r="H51">
        <v>245.4</v>
      </c>
      <c r="I51" s="14">
        <v>283.52079590533936</v>
      </c>
      <c r="J51" s="259">
        <v>254.04917623176334</v>
      </c>
      <c r="K51" s="260">
        <v>291.12227178371285</v>
      </c>
      <c r="L51" s="16">
        <f t="shared" si="5"/>
        <v>27</v>
      </c>
      <c r="M51" s="230">
        <f t="shared" si="6"/>
        <v>23</v>
      </c>
      <c r="N51">
        <f t="shared" si="7"/>
        <v>49</v>
      </c>
      <c r="O51">
        <f t="shared" si="8"/>
        <v>32</v>
      </c>
      <c r="P51">
        <f t="shared" si="9"/>
        <v>14</v>
      </c>
      <c r="Q51" s="15">
        <v>0.16666666666666666</v>
      </c>
      <c r="R51" s="15">
        <v>0.33333333333333331</v>
      </c>
      <c r="S51">
        <v>54</v>
      </c>
      <c r="T51" s="14">
        <f>Table233[[#This Row],[BDG]]/Table233[[#This Row],[Odds]]</f>
        <v>8.1951347171536568</v>
      </c>
      <c r="U51" s="14">
        <v>31</v>
      </c>
    </row>
    <row r="52" spans="1:21">
      <c r="A52" s="159" t="s">
        <v>38</v>
      </c>
      <c r="B52">
        <v>27</v>
      </c>
      <c r="C52">
        <v>137</v>
      </c>
      <c r="D52">
        <v>113</v>
      </c>
      <c r="E52">
        <v>44</v>
      </c>
      <c r="F52">
        <v>122</v>
      </c>
      <c r="G52">
        <v>62</v>
      </c>
      <c r="H52">
        <v>257.10000000000002</v>
      </c>
      <c r="I52" s="14">
        <v>336.08231690009808</v>
      </c>
      <c r="J52" s="259">
        <v>257.62512855692853</v>
      </c>
      <c r="K52" s="260">
        <v>331.25690208122955</v>
      </c>
      <c r="L52" s="16">
        <f t="shared" si="5"/>
        <v>39</v>
      </c>
      <c r="M52" s="230">
        <f t="shared" si="6"/>
        <v>37</v>
      </c>
      <c r="N52">
        <f t="shared" si="7"/>
        <v>50</v>
      </c>
      <c r="O52">
        <f t="shared" si="8"/>
        <v>46</v>
      </c>
      <c r="P52">
        <f t="shared" si="9"/>
        <v>22</v>
      </c>
      <c r="Q52" s="15">
        <v>0</v>
      </c>
      <c r="R52" s="15">
        <v>0.33333333333333331</v>
      </c>
      <c r="S52">
        <v>-26</v>
      </c>
      <c r="T52" s="14">
        <f>Table233[[#This Row],[BDG]]/Table233[[#This Row],[Odds]]</f>
        <v>10.305005142277141</v>
      </c>
      <c r="U52" s="14">
        <v>25</v>
      </c>
    </row>
    <row r="53" spans="1:21">
      <c r="A53" s="159" t="s">
        <v>54</v>
      </c>
      <c r="B53">
        <v>51</v>
      </c>
      <c r="C53">
        <v>157</v>
      </c>
      <c r="D53">
        <v>20</v>
      </c>
      <c r="E53">
        <v>114</v>
      </c>
      <c r="F53">
        <v>118</v>
      </c>
      <c r="G53">
        <v>31</v>
      </c>
      <c r="H53">
        <v>242.2</v>
      </c>
      <c r="I53" s="14">
        <v>291.85101173538595</v>
      </c>
      <c r="J53" s="259">
        <v>259.37822501586334</v>
      </c>
      <c r="K53" s="260">
        <v>341.6987319767365</v>
      </c>
      <c r="L53" s="16">
        <f t="shared" si="5"/>
        <v>25</v>
      </c>
      <c r="M53" s="230">
        <f t="shared" si="6"/>
        <v>27</v>
      </c>
      <c r="N53">
        <f t="shared" si="7"/>
        <v>51</v>
      </c>
      <c r="O53">
        <f t="shared" si="8"/>
        <v>49</v>
      </c>
      <c r="P53">
        <f t="shared" si="9"/>
        <v>33</v>
      </c>
      <c r="Q53" s="15">
        <v>0</v>
      </c>
      <c r="R53" s="15">
        <v>0.2</v>
      </c>
      <c r="S53">
        <v>22</v>
      </c>
      <c r="T53" s="14">
        <f>Table233[[#This Row],[BDG]]/Table233[[#This Row],[Odds]]</f>
        <v>14.654137006545952</v>
      </c>
      <c r="U53" s="14">
        <v>17.7</v>
      </c>
    </row>
    <row r="54" spans="1:21">
      <c r="A54" s="159" t="s">
        <v>139</v>
      </c>
      <c r="B54">
        <v>156</v>
      </c>
      <c r="C54">
        <v>104</v>
      </c>
      <c r="D54">
        <v>4</v>
      </c>
      <c r="E54">
        <v>164</v>
      </c>
      <c r="F54">
        <v>51</v>
      </c>
      <c r="G54">
        <v>25</v>
      </c>
      <c r="H54">
        <v>264.70000000000005</v>
      </c>
      <c r="I54" s="14">
        <v>310.93686339457736</v>
      </c>
      <c r="J54" s="259">
        <v>259.92235979578788</v>
      </c>
      <c r="K54" s="260">
        <v>324.1602099845345</v>
      </c>
      <c r="L54" s="16">
        <f t="shared" si="5"/>
        <v>45</v>
      </c>
      <c r="M54" s="230">
        <f t="shared" si="6"/>
        <v>29</v>
      </c>
      <c r="N54">
        <f t="shared" si="7"/>
        <v>52</v>
      </c>
      <c r="O54">
        <f t="shared" si="8"/>
        <v>44</v>
      </c>
      <c r="P54">
        <f t="shared" si="9"/>
        <v>26</v>
      </c>
      <c r="Q54" s="15">
        <v>0</v>
      </c>
      <c r="R54" s="15">
        <v>0.25</v>
      </c>
      <c r="S54">
        <v>87</v>
      </c>
      <c r="T54" s="14">
        <f>Table233[[#This Row],[BDG]]/Table233[[#This Row],[Odds]]</f>
        <v>12.377255228370851</v>
      </c>
      <c r="U54" s="14">
        <v>21</v>
      </c>
    </row>
    <row r="55" spans="1:21">
      <c r="A55" s="159" t="s">
        <v>488</v>
      </c>
      <c r="B55">
        <v>35</v>
      </c>
      <c r="C55">
        <v>64</v>
      </c>
      <c r="D55">
        <v>26</v>
      </c>
      <c r="E55">
        <v>159</v>
      </c>
      <c r="F55">
        <v>83</v>
      </c>
      <c r="G55">
        <v>49</v>
      </c>
      <c r="H55">
        <v>173.8</v>
      </c>
      <c r="I55" s="14">
        <v>265.94637935520916</v>
      </c>
      <c r="J55" s="259">
        <v>262.14515722444003</v>
      </c>
      <c r="K55" s="260">
        <v>421.27185154971369</v>
      </c>
      <c r="L55" s="16">
        <f t="shared" si="5"/>
        <v>6</v>
      </c>
      <c r="M55" s="230">
        <f t="shared" si="6"/>
        <v>19</v>
      </c>
      <c r="N55">
        <f t="shared" si="7"/>
        <v>53</v>
      </c>
      <c r="O55">
        <f t="shared" si="8"/>
        <v>62</v>
      </c>
      <c r="P55">
        <f t="shared" si="9"/>
        <v>9</v>
      </c>
      <c r="Q55" s="15">
        <v>0</v>
      </c>
      <c r="R55" s="15">
        <v>0.2</v>
      </c>
      <c r="S55">
        <v>83</v>
      </c>
      <c r="T55" s="14">
        <f>Table233[[#This Row],[BDG]]/Table233[[#This Row],[Odds]]</f>
        <v>5.3499011678457151</v>
      </c>
      <c r="U55" s="14">
        <v>49</v>
      </c>
    </row>
    <row r="56" spans="1:21">
      <c r="A56" s="159" t="s">
        <v>140</v>
      </c>
      <c r="B56">
        <v>170</v>
      </c>
      <c r="C56">
        <v>85</v>
      </c>
      <c r="D56">
        <v>104</v>
      </c>
      <c r="E56">
        <v>61</v>
      </c>
      <c r="F56">
        <v>41</v>
      </c>
      <c r="G56">
        <v>84</v>
      </c>
      <c r="H56">
        <v>298.60000000000002</v>
      </c>
      <c r="I56" s="14">
        <v>388.08411354116146</v>
      </c>
      <c r="J56" s="259">
        <v>262.42447718937069</v>
      </c>
      <c r="K56" s="260">
        <v>313.25205728523719</v>
      </c>
      <c r="L56" s="16">
        <f t="shared" si="5"/>
        <v>55</v>
      </c>
      <c r="M56" s="230">
        <f t="shared" si="6"/>
        <v>51</v>
      </c>
      <c r="N56">
        <f t="shared" si="7"/>
        <v>54</v>
      </c>
      <c r="O56">
        <f t="shared" si="8"/>
        <v>40</v>
      </c>
      <c r="P56">
        <f t="shared" si="9"/>
        <v>22</v>
      </c>
      <c r="Q56" s="15">
        <v>0</v>
      </c>
      <c r="R56" s="15">
        <v>0</v>
      </c>
      <c r="S56">
        <v>-2</v>
      </c>
      <c r="T56" s="14">
        <f>Table233[[#This Row],[BDG]]/Table233[[#This Row],[Odds]]</f>
        <v>10.496979087574827</v>
      </c>
      <c r="U56" s="14">
        <v>25</v>
      </c>
    </row>
    <row r="57" spans="1:21">
      <c r="A57" s="159" t="s">
        <v>29</v>
      </c>
      <c r="B57">
        <v>61</v>
      </c>
      <c r="C57">
        <v>141</v>
      </c>
      <c r="D57">
        <v>124</v>
      </c>
      <c r="E57">
        <v>173</v>
      </c>
      <c r="F57">
        <v>59</v>
      </c>
      <c r="G57">
        <v>137</v>
      </c>
      <c r="H57">
        <v>301.59999999999997</v>
      </c>
      <c r="I57" s="14">
        <v>489.45396684581704</v>
      </c>
      <c r="J57" s="259">
        <v>264.12023632902543</v>
      </c>
      <c r="K57" s="260">
        <v>366.51633461760309</v>
      </c>
      <c r="L57" s="16">
        <f t="shared" si="5"/>
        <v>57</v>
      </c>
      <c r="M57" s="230">
        <f t="shared" si="6"/>
        <v>62</v>
      </c>
      <c r="N57">
        <f t="shared" si="7"/>
        <v>55</v>
      </c>
      <c r="O57">
        <f t="shared" si="8"/>
        <v>55</v>
      </c>
      <c r="P57">
        <f t="shared" si="9"/>
        <v>20</v>
      </c>
      <c r="Q57" s="15">
        <v>0</v>
      </c>
      <c r="R57" s="15">
        <v>0</v>
      </c>
      <c r="S57">
        <v>-15</v>
      </c>
      <c r="T57" s="14">
        <f>Table233[[#This Row],[BDG]]/Table233[[#This Row],[Odds]]</f>
        <v>10.15847062803944</v>
      </c>
      <c r="U57" s="14">
        <v>26</v>
      </c>
    </row>
    <row r="58" spans="1:21">
      <c r="A58" s="159" t="s">
        <v>154</v>
      </c>
      <c r="B58">
        <v>152</v>
      </c>
      <c r="C58">
        <v>65</v>
      </c>
      <c r="D58">
        <v>131</v>
      </c>
      <c r="E58">
        <v>55</v>
      </c>
      <c r="F58">
        <v>28</v>
      </c>
      <c r="G58">
        <v>76</v>
      </c>
      <c r="H58">
        <v>282.8</v>
      </c>
      <c r="I58" s="14">
        <v>370.47375110542072</v>
      </c>
      <c r="J58" s="259">
        <v>265.20132891731481</v>
      </c>
      <c r="K58" s="260">
        <v>343.16045671535596</v>
      </c>
      <c r="L58" s="16">
        <f t="shared" si="5"/>
        <v>50</v>
      </c>
      <c r="M58" s="230">
        <f t="shared" si="6"/>
        <v>48</v>
      </c>
      <c r="N58">
        <f t="shared" si="7"/>
        <v>56</v>
      </c>
      <c r="O58">
        <f t="shared" si="8"/>
        <v>50</v>
      </c>
      <c r="P58">
        <f t="shared" si="9"/>
        <v>12</v>
      </c>
      <c r="Q58" s="15">
        <v>0</v>
      </c>
      <c r="R58" s="15">
        <v>0.2</v>
      </c>
      <c r="S58">
        <v>-56</v>
      </c>
      <c r="T58" s="14">
        <f>Table233[[#This Row],[BDG]]/Table233[[#This Row],[Odds]]</f>
        <v>7.5771808262089948</v>
      </c>
      <c r="U58" s="14">
        <v>35</v>
      </c>
    </row>
    <row r="59" spans="1:21">
      <c r="A59" s="159" t="s">
        <v>49</v>
      </c>
      <c r="B59">
        <v>92</v>
      </c>
      <c r="C59">
        <v>164</v>
      </c>
      <c r="D59">
        <v>55</v>
      </c>
      <c r="E59">
        <v>95</v>
      </c>
      <c r="F59">
        <v>128</v>
      </c>
      <c r="G59">
        <v>102</v>
      </c>
      <c r="H59">
        <v>303</v>
      </c>
      <c r="I59" s="14">
        <v>417.71741832021576</v>
      </c>
      <c r="J59" s="259">
        <v>269.78476072107543</v>
      </c>
      <c r="K59" s="260">
        <v>377.31727587350861</v>
      </c>
      <c r="L59" s="16">
        <f t="shared" si="5"/>
        <v>59</v>
      </c>
      <c r="M59" s="230">
        <f t="shared" si="6"/>
        <v>53</v>
      </c>
      <c r="N59">
        <f t="shared" si="7"/>
        <v>58</v>
      </c>
      <c r="O59">
        <f t="shared" si="8"/>
        <v>58</v>
      </c>
      <c r="P59">
        <f t="shared" si="9"/>
        <v>12</v>
      </c>
      <c r="Q59" s="15">
        <v>0</v>
      </c>
      <c r="R59" s="15">
        <v>0</v>
      </c>
      <c r="S59">
        <v>-16</v>
      </c>
      <c r="T59" s="14">
        <f>Table233[[#This Row],[BDG]]/Table233[[#This Row],[Odds]]</f>
        <v>7.7081360206021552</v>
      </c>
      <c r="U59" s="14">
        <v>35</v>
      </c>
    </row>
    <row r="60" spans="1:21">
      <c r="A60" s="159" t="s">
        <v>113</v>
      </c>
      <c r="B60">
        <v>150</v>
      </c>
      <c r="C60">
        <v>116</v>
      </c>
      <c r="D60">
        <v>148</v>
      </c>
      <c r="E60">
        <v>81</v>
      </c>
      <c r="F60">
        <v>79</v>
      </c>
      <c r="G60">
        <v>118</v>
      </c>
      <c r="H60">
        <v>357</v>
      </c>
      <c r="I60" s="14">
        <v>493.72465474611681</v>
      </c>
      <c r="J60" s="259">
        <v>277.26283245383877</v>
      </c>
      <c r="K60" s="260">
        <v>346.80273550145711</v>
      </c>
      <c r="L60" s="16">
        <f t="shared" si="5"/>
        <v>67</v>
      </c>
      <c r="M60" s="230">
        <f t="shared" si="6"/>
        <v>63</v>
      </c>
      <c r="N60">
        <f t="shared" si="7"/>
        <v>59</v>
      </c>
      <c r="O60">
        <f t="shared" si="8"/>
        <v>52</v>
      </c>
      <c r="P60">
        <f t="shared" si="9"/>
        <v>39</v>
      </c>
      <c r="Q60" s="15">
        <v>0</v>
      </c>
      <c r="R60" s="15">
        <v>0.14285714285714285</v>
      </c>
      <c r="S60">
        <v>-88</v>
      </c>
      <c r="T60" s="14">
        <f>Table233[[#This Row],[BDG]]/Table233[[#This Row],[Odds]]</f>
        <v>18.484188830255917</v>
      </c>
      <c r="U60" s="14">
        <v>15</v>
      </c>
    </row>
    <row r="61" spans="1:21">
      <c r="A61" s="159" t="s">
        <v>165</v>
      </c>
      <c r="B61">
        <v>177</v>
      </c>
      <c r="C61">
        <v>128</v>
      </c>
      <c r="D61">
        <v>3</v>
      </c>
      <c r="E61">
        <v>177</v>
      </c>
      <c r="F61">
        <v>29</v>
      </c>
      <c r="G61">
        <v>51</v>
      </c>
      <c r="H61">
        <v>286.20000000000005</v>
      </c>
      <c r="I61" s="14">
        <v>358.48636104654804</v>
      </c>
      <c r="J61" s="259">
        <v>277.68124785427119</v>
      </c>
      <c r="K61" s="260">
        <v>355.84523742304441</v>
      </c>
      <c r="L61" s="16">
        <f t="shared" si="5"/>
        <v>53</v>
      </c>
      <c r="M61" s="230">
        <f t="shared" si="6"/>
        <v>43</v>
      </c>
      <c r="N61">
        <f t="shared" si="7"/>
        <v>60</v>
      </c>
      <c r="O61">
        <f t="shared" si="8"/>
        <v>53</v>
      </c>
      <c r="P61">
        <f t="shared" si="9"/>
        <v>24</v>
      </c>
      <c r="Q61" s="15">
        <v>0</v>
      </c>
      <c r="R61" s="15">
        <v>0.16666666666666666</v>
      </c>
      <c r="S61">
        <v>46</v>
      </c>
      <c r="T61" s="14">
        <f>Table233[[#This Row],[BDG]]/Table233[[#This Row],[Odds]]</f>
        <v>11.570051993927967</v>
      </c>
      <c r="U61" s="14">
        <v>24</v>
      </c>
    </row>
    <row r="62" spans="1:21">
      <c r="A62" s="159" t="s">
        <v>147</v>
      </c>
      <c r="B62">
        <v>107</v>
      </c>
      <c r="C62">
        <v>73</v>
      </c>
      <c r="D62">
        <v>39</v>
      </c>
      <c r="E62">
        <v>89</v>
      </c>
      <c r="F62">
        <v>101</v>
      </c>
      <c r="G62">
        <v>70</v>
      </c>
      <c r="H62">
        <v>233.89999999999998</v>
      </c>
      <c r="I62" s="14">
        <v>318.60584857057609</v>
      </c>
      <c r="J62" s="259">
        <v>278.71097019123113</v>
      </c>
      <c r="K62" s="260">
        <v>396.33760612859828</v>
      </c>
      <c r="L62" s="16">
        <f t="shared" si="5"/>
        <v>21</v>
      </c>
      <c r="M62" s="230">
        <f t="shared" si="6"/>
        <v>31</v>
      </c>
      <c r="N62">
        <f t="shared" si="7"/>
        <v>61</v>
      </c>
      <c r="O62">
        <f t="shared" si="8"/>
        <v>61</v>
      </c>
      <c r="P62">
        <f t="shared" si="9"/>
        <v>6</v>
      </c>
      <c r="Q62" s="15">
        <v>0</v>
      </c>
      <c r="R62" s="15">
        <v>0.16666666666666666</v>
      </c>
      <c r="S62">
        <v>35</v>
      </c>
      <c r="T62" s="14">
        <f>Table233[[#This Row],[BDG]]/Table233[[#This Row],[Odds]]</f>
        <v>5.1613142628005768</v>
      </c>
      <c r="U62" s="14">
        <v>54</v>
      </c>
    </row>
    <row r="63" spans="1:21">
      <c r="A63" s="159" t="s">
        <v>23</v>
      </c>
      <c r="B63">
        <v>103</v>
      </c>
      <c r="C63">
        <v>151</v>
      </c>
      <c r="D63">
        <v>25</v>
      </c>
      <c r="E63">
        <v>141</v>
      </c>
      <c r="F63">
        <v>88</v>
      </c>
      <c r="G63">
        <v>69</v>
      </c>
      <c r="H63">
        <v>276.8</v>
      </c>
      <c r="I63" s="14">
        <v>366.48917880324882</v>
      </c>
      <c r="J63" s="259">
        <v>283.93557039120481</v>
      </c>
      <c r="K63" s="260">
        <v>396.21777398384427</v>
      </c>
      <c r="L63" s="16">
        <f t="shared" si="5"/>
        <v>47</v>
      </c>
      <c r="M63" s="230">
        <f t="shared" si="6"/>
        <v>46</v>
      </c>
      <c r="N63">
        <f t="shared" si="7"/>
        <v>63</v>
      </c>
      <c r="O63">
        <f t="shared" si="8"/>
        <v>60</v>
      </c>
      <c r="P63">
        <f t="shared" si="9"/>
        <v>27</v>
      </c>
      <c r="Q63" s="15">
        <v>0</v>
      </c>
      <c r="R63" s="15">
        <v>0.14285714285714285</v>
      </c>
      <c r="S63">
        <v>19</v>
      </c>
      <c r="T63" s="14">
        <f>Table233[[#This Row],[BDG]]/Table233[[#This Row],[Odds]]</f>
        <v>14.486508693428815</v>
      </c>
      <c r="U63" s="14">
        <v>19.600000000000001</v>
      </c>
    </row>
    <row r="64" spans="1:21">
      <c r="A64" s="159" t="s">
        <v>101</v>
      </c>
      <c r="B64">
        <v>142</v>
      </c>
      <c r="C64">
        <v>68</v>
      </c>
      <c r="D64">
        <v>90</v>
      </c>
      <c r="E64">
        <v>178</v>
      </c>
      <c r="F64">
        <v>163</v>
      </c>
      <c r="G64">
        <v>173</v>
      </c>
      <c r="H64">
        <v>352.3</v>
      </c>
      <c r="I64" s="14">
        <v>572.16550828500772</v>
      </c>
      <c r="J64" s="259">
        <v>299.17964264325337</v>
      </c>
      <c r="K64" s="260">
        <v>453.05518927830781</v>
      </c>
      <c r="L64" s="16">
        <f t="shared" si="5"/>
        <v>66</v>
      </c>
      <c r="M64" s="230">
        <f t="shared" si="6"/>
        <v>68</v>
      </c>
      <c r="N64">
        <f t="shared" si="7"/>
        <v>64</v>
      </c>
      <c r="O64">
        <f t="shared" si="8"/>
        <v>64</v>
      </c>
      <c r="P64">
        <f t="shared" si="9"/>
        <v>3</v>
      </c>
      <c r="Q64" s="15">
        <v>0</v>
      </c>
      <c r="R64" s="15">
        <v>0</v>
      </c>
      <c r="S64">
        <v>0</v>
      </c>
      <c r="T64" s="14">
        <f>Table233[[#This Row],[BDG]]/Table233[[#This Row],[Odds]]</f>
        <v>4.0429681438277481</v>
      </c>
      <c r="U64" s="14">
        <v>74</v>
      </c>
    </row>
    <row r="65" spans="1:21">
      <c r="A65" s="159" t="s">
        <v>539</v>
      </c>
      <c r="B65">
        <v>56</v>
      </c>
      <c r="C65">
        <v>172</v>
      </c>
      <c r="D65">
        <v>156</v>
      </c>
      <c r="E65">
        <v>92</v>
      </c>
      <c r="F65">
        <v>64</v>
      </c>
      <c r="G65">
        <v>172</v>
      </c>
      <c r="H65">
        <v>316.8</v>
      </c>
      <c r="I65" s="14">
        <v>518.0536850551706</v>
      </c>
      <c r="J65" s="259">
        <v>316.8</v>
      </c>
      <c r="K65" s="260">
        <v>518.0536850551706</v>
      </c>
      <c r="L65" s="16">
        <f t="shared" si="5"/>
        <v>62</v>
      </c>
      <c r="M65" s="230">
        <f t="shared" si="6"/>
        <v>65</v>
      </c>
      <c r="N65">
        <f t="shared" si="7"/>
        <v>65</v>
      </c>
      <c r="O65">
        <f t="shared" si="8"/>
        <v>67</v>
      </c>
      <c r="P65">
        <f t="shared" si="9"/>
        <v>8</v>
      </c>
      <c r="Q65" s="15">
        <v>1</v>
      </c>
      <c r="R65" s="15">
        <v>1</v>
      </c>
      <c r="S65" t="e">
        <v>#N/A</v>
      </c>
      <c r="T65" s="14">
        <f>Table233[[#This Row],[BDG]]/Table233[[#This Row],[Odds]]</f>
        <v>6.2117647058823531</v>
      </c>
      <c r="U65" s="14">
        <v>51</v>
      </c>
    </row>
    <row r="66" spans="1:21">
      <c r="A66" s="159" t="s">
        <v>105</v>
      </c>
      <c r="B66">
        <v>116</v>
      </c>
      <c r="C66">
        <v>92</v>
      </c>
      <c r="D66">
        <v>134</v>
      </c>
      <c r="E66">
        <v>69</v>
      </c>
      <c r="F66">
        <v>155</v>
      </c>
      <c r="G66">
        <v>147</v>
      </c>
      <c r="H66">
        <v>340</v>
      </c>
      <c r="I66" s="14">
        <v>508.69890537301086</v>
      </c>
      <c r="J66" s="259">
        <v>323.77936235265332</v>
      </c>
      <c r="K66" s="260">
        <v>470.11001523791845</v>
      </c>
      <c r="L66" s="16">
        <f t="shared" si="5"/>
        <v>64</v>
      </c>
      <c r="M66" s="230">
        <f t="shared" si="6"/>
        <v>64</v>
      </c>
      <c r="N66">
        <f t="shared" si="7"/>
        <v>66</v>
      </c>
      <c r="O66">
        <f t="shared" si="8"/>
        <v>66</v>
      </c>
      <c r="P66">
        <f t="shared" si="9"/>
        <v>2</v>
      </c>
      <c r="Q66" s="15">
        <v>0</v>
      </c>
      <c r="R66" s="15">
        <v>0</v>
      </c>
      <c r="S66">
        <v>8</v>
      </c>
      <c r="T66" s="14">
        <f>Table233[[#This Row],[BDG]]/Table233[[#This Row],[Odds]]</f>
        <v>3.9972760784278187</v>
      </c>
      <c r="U66" s="14">
        <v>81</v>
      </c>
    </row>
    <row r="67" spans="1:21">
      <c r="A67" s="159" t="s">
        <v>104</v>
      </c>
      <c r="B67">
        <v>153</v>
      </c>
      <c r="C67">
        <v>177</v>
      </c>
      <c r="D67">
        <v>171</v>
      </c>
      <c r="E67">
        <v>8</v>
      </c>
      <c r="F67">
        <v>112</v>
      </c>
      <c r="G67">
        <v>138</v>
      </c>
      <c r="H67">
        <v>406.7</v>
      </c>
      <c r="I67" s="14">
        <v>539.67765479872878</v>
      </c>
      <c r="J67" s="259">
        <v>344.0535360435473</v>
      </c>
      <c r="K67" s="260">
        <v>448.06793478773966</v>
      </c>
      <c r="L67" s="16">
        <f t="shared" si="5"/>
        <v>68</v>
      </c>
      <c r="M67" s="230">
        <f t="shared" si="6"/>
        <v>66</v>
      </c>
      <c r="N67">
        <f t="shared" si="7"/>
        <v>67</v>
      </c>
      <c r="O67">
        <f t="shared" si="8"/>
        <v>63</v>
      </c>
      <c r="P67">
        <f t="shared" si="9"/>
        <v>5</v>
      </c>
      <c r="Q67" s="15">
        <v>0</v>
      </c>
      <c r="R67" s="15">
        <v>0</v>
      </c>
      <c r="S67">
        <v>-57</v>
      </c>
      <c r="T67" s="14">
        <f>Table233[[#This Row],[BDG]]/Table233[[#This Row],[Odds]]</f>
        <v>4.9862831310659033</v>
      </c>
      <c r="U67" s="14">
        <v>69</v>
      </c>
    </row>
    <row r="68" spans="1:21">
      <c r="A68" s="159" t="s">
        <v>372</v>
      </c>
      <c r="B68">
        <v>74</v>
      </c>
      <c r="C68">
        <v>38</v>
      </c>
      <c r="D68">
        <v>167</v>
      </c>
      <c r="E68">
        <v>29</v>
      </c>
      <c r="F68">
        <v>153</v>
      </c>
      <c r="G68">
        <v>136</v>
      </c>
      <c r="H68">
        <v>284.09999999999997</v>
      </c>
      <c r="I68" s="14">
        <v>445.37155250608322</v>
      </c>
      <c r="J68" s="259">
        <v>345.12474341299702</v>
      </c>
      <c r="K68" s="260">
        <v>561.073774912403</v>
      </c>
      <c r="L68" s="16">
        <f t="shared" si="5"/>
        <v>52</v>
      </c>
      <c r="M68" s="230">
        <f t="shared" si="6"/>
        <v>57</v>
      </c>
      <c r="N68">
        <f t="shared" si="7"/>
        <v>68</v>
      </c>
      <c r="O68">
        <f t="shared" si="8"/>
        <v>68</v>
      </c>
      <c r="P68">
        <f t="shared" si="9"/>
        <v>1</v>
      </c>
      <c r="Q68" s="15">
        <v>0.2</v>
      </c>
      <c r="R68" s="15">
        <v>0.2</v>
      </c>
      <c r="S68">
        <v>-135</v>
      </c>
      <c r="T68" s="14">
        <f>Table233[[#This Row],[BDG]]/Table233[[#This Row],[Odds]]</f>
        <v>3.1955994760462687</v>
      </c>
      <c r="U68" s="14">
        <v>108</v>
      </c>
    </row>
    <row r="69" spans="1:21">
      <c r="A69" s="159" t="s">
        <v>102</v>
      </c>
      <c r="B69">
        <v>103</v>
      </c>
      <c r="C69">
        <v>62</v>
      </c>
      <c r="D69">
        <v>97</v>
      </c>
      <c r="E69">
        <v>142</v>
      </c>
      <c r="F69">
        <v>105</v>
      </c>
      <c r="G69">
        <v>144</v>
      </c>
      <c r="H69">
        <v>282.60000000000002</v>
      </c>
      <c r="I69" s="14">
        <v>467.69432297399118</v>
      </c>
      <c r="J69" s="259">
        <v>282.60000000000002</v>
      </c>
      <c r="K69" s="260">
        <v>467.69432297399118</v>
      </c>
      <c r="L69" s="16">
        <f t="shared" si="5"/>
        <v>49</v>
      </c>
      <c r="M69" s="230">
        <f t="shared" si="6"/>
        <v>59</v>
      </c>
      <c r="N69" s="159">
        <f t="shared" si="7"/>
        <v>62</v>
      </c>
      <c r="O69" s="159">
        <f t="shared" si="8"/>
        <v>65</v>
      </c>
      <c r="P69">
        <f t="shared" si="9"/>
        <v>4</v>
      </c>
      <c r="Q69" t="e">
        <v>#N/A</v>
      </c>
      <c r="R69" t="e">
        <v>#N/A</v>
      </c>
      <c r="S69" t="e">
        <v>#N/A</v>
      </c>
      <c r="T69" s="14">
        <f>Table233[[#This Row],[BDG]]/Table233[[#This Row],[Odds]]</f>
        <v>3.9802816901408455</v>
      </c>
      <c r="U69" s="14">
        <v>71</v>
      </c>
    </row>
  </sheetData>
  <conditionalFormatting sqref="S2:S1048576">
    <cfRule type="cellIs" dxfId="338" priority="1" operator="between">
      <formula>-5</formula>
      <formula>-9</formula>
    </cfRule>
    <cfRule type="cellIs" dxfId="337" priority="2" operator="lessThanOrEqual">
      <formula>-10</formula>
    </cfRule>
    <cfRule type="cellIs" dxfId="336" priority="3" operator="between">
      <formula>5</formula>
      <formula>9</formula>
    </cfRule>
    <cfRule type="cellIs" dxfId="335" priority="4" operator="greaterThanOrEqual">
      <formula>10</formula>
    </cfRule>
  </conditionalFormatting>
  <conditionalFormatting sqref="Q2:R1048576">
    <cfRule type="cellIs" dxfId="334" priority="7" operator="between">
      <formula>0.01%</formula>
      <formula>10%</formula>
    </cfRule>
  </conditionalFormatting>
  <conditionalFormatting sqref="B2:G1048576 L2:P1048576">
    <cfRule type="cellIs" dxfId="333" priority="8" operator="between">
      <formula>101</formula>
      <formula>250</formula>
    </cfRule>
    <cfRule type="cellIs" dxfId="332" priority="9" operator="between">
      <formula>51</formula>
      <formula>100.5</formula>
    </cfRule>
    <cfRule type="cellIs" dxfId="331" priority="10" operator="between">
      <formula>21</formula>
      <formula>50.5</formula>
    </cfRule>
    <cfRule type="cellIs" dxfId="330" priority="11" operator="lessThanOrEqual">
      <formula>20.5</formula>
    </cfRule>
  </conditionalFormatting>
  <conditionalFormatting sqref="J1:K1048576 N1:P1048576">
    <cfRule type="containsErrors" dxfId="329" priority="12">
      <formula>ISERROR(J1)</formula>
    </cfRule>
  </conditionalFormatting>
  <conditionalFormatting sqref="A1:A1048576">
    <cfRule type="expression" dxfId="328" priority="13">
      <formula>$T1=MIN($T$2:$T$5)</formula>
    </cfRule>
    <cfRule type="expression" dxfId="327" priority="14">
      <formula>$T1=MIN($T$6:$T$11)</formula>
    </cfRule>
    <cfRule type="expression" dxfId="326" priority="15">
      <formula>$T1=MIN($T$12:$T$18)</formula>
    </cfRule>
    <cfRule type="expression" dxfId="325" priority="16">
      <formula>$T1=MIN($T$18:$T$39)</formula>
    </cfRule>
    <cfRule type="expression" dxfId="324" priority="17">
      <formula>AND($L1&lt;=3, $M1&gt;3)</formula>
    </cfRule>
    <cfRule type="expression" dxfId="323" priority="18">
      <formula>AND($L1&gt;3, $M1&lt;=3)</formula>
    </cfRule>
    <cfRule type="expression" dxfId="322" priority="19">
      <formula>AND($N1&lt;=3, $O1&gt;3)</formula>
    </cfRule>
    <cfRule type="expression" dxfId="321" priority="20">
      <formula>AND($N1&gt;3, $O1&lt;=3)</formula>
    </cfRule>
    <cfRule type="expression" dxfId="320" priority="21">
      <formula>AND($L1&lt;=3, $M1&lt;=3)</formula>
    </cfRule>
    <cfRule type="expression" dxfId="319" priority="22">
      <formula>AND($N1&lt;=3, $O1&lt;=3)</formula>
    </cfRule>
  </conditionalFormatting>
  <conditionalFormatting sqref="Q2:R1048576">
    <cfRule type="cellIs" dxfId="318" priority="5" operator="greaterThanOrEqual">
      <formula>20%</formula>
    </cfRule>
  </conditionalFormatting>
  <conditionalFormatting sqref="Q2:R1048576">
    <cfRule type="cellIs" dxfId="317" priority="6" operator="between">
      <formula>10%</formula>
      <formula>20%</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63376-E6CC-455D-A348-72681CF05A16}">
  <sheetPr codeName="Sheet78">
    <tabColor rgb="FFFF0000"/>
  </sheetPr>
  <dimension ref="A1:W129"/>
  <sheetViews>
    <sheetView zoomScale="90" zoomScaleNormal="90" workbookViewId="0">
      <selection activeCell="A5" sqref="A5:V5"/>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9.28515625" bestFit="1" customWidth="1"/>
    <col min="13" max="13" width="12.28515625" style="120" bestFit="1" customWidth="1"/>
    <col min="14" max="14" width="10.28515625" bestFit="1" customWidth="1"/>
    <col min="15" max="15" width="12.85546875" customWidth="1"/>
    <col min="16" max="16" width="14.42578125" bestFit="1" customWidth="1"/>
    <col min="17" max="17" width="9.28515625" customWidth="1"/>
    <col min="20" max="20" width="10.28515625" bestFit="1" customWidth="1"/>
    <col min="22" max="22" width="10.5703125" bestFit="1" customWidth="1"/>
  </cols>
  <sheetData>
    <row r="1" spans="1:23" ht="15.75" thickBot="1">
      <c r="A1" s="237" t="s">
        <v>0</v>
      </c>
      <c r="B1" s="7" t="s">
        <v>263</v>
      </c>
      <c r="C1" s="7" t="s">
        <v>264</v>
      </c>
      <c r="D1" s="7" t="s">
        <v>265</v>
      </c>
      <c r="E1" s="7" t="s">
        <v>266</v>
      </c>
      <c r="F1" s="7" t="s">
        <v>267</v>
      </c>
      <c r="G1" s="7" t="s">
        <v>200</v>
      </c>
      <c r="H1" s="123" t="s">
        <v>201</v>
      </c>
      <c r="I1" s="124" t="s">
        <v>202</v>
      </c>
      <c r="J1" s="228" t="s">
        <v>532</v>
      </c>
      <c r="K1" s="229" t="s">
        <v>533</v>
      </c>
      <c r="L1" s="121" t="s">
        <v>324</v>
      </c>
      <c r="M1" s="124" t="s">
        <v>323</v>
      </c>
      <c r="N1" s="228" t="s">
        <v>528</v>
      </c>
      <c r="O1" s="229" t="s">
        <v>529</v>
      </c>
      <c r="P1" s="241" t="s">
        <v>566</v>
      </c>
      <c r="Q1" s="122" t="s">
        <v>537</v>
      </c>
      <c r="R1" s="122" t="s">
        <v>536</v>
      </c>
      <c r="S1" s="344" t="s">
        <v>535</v>
      </c>
      <c r="T1" s="241" t="s">
        <v>565</v>
      </c>
      <c r="U1" s="241" t="s">
        <v>472</v>
      </c>
      <c r="V1" s="331" t="s">
        <v>210</v>
      </c>
      <c r="W1" s="1"/>
    </row>
    <row r="2" spans="1:23">
      <c r="A2" s="159" t="s">
        <v>88</v>
      </c>
      <c r="B2">
        <v>81</v>
      </c>
      <c r="C2">
        <v>27</v>
      </c>
      <c r="D2">
        <v>86</v>
      </c>
      <c r="E2">
        <v>10</v>
      </c>
      <c r="F2">
        <v>107</v>
      </c>
      <c r="G2">
        <v>55</v>
      </c>
      <c r="H2">
        <v>185.2</v>
      </c>
      <c r="I2" s="14">
        <v>259.03644836815511</v>
      </c>
      <c r="J2" s="259">
        <v>211.98842082893373</v>
      </c>
      <c r="K2" s="260">
        <v>311.57079807898248</v>
      </c>
      <c r="L2" s="16">
        <f t="shared" ref="L2:L33" si="0">RANK(H2,$H$2:$H$129,1)</f>
        <v>13</v>
      </c>
      <c r="M2" s="230">
        <f t="shared" ref="M2:M33" si="1">RANK(I2,$I$2:$I$129,1)</f>
        <v>17</v>
      </c>
      <c r="N2" s="159">
        <f t="shared" ref="N2:N33" si="2">RANK(J2,$J$2:$J$129,1)</f>
        <v>25</v>
      </c>
      <c r="O2" s="159">
        <f t="shared" ref="O2:O33" si="3">RANK(K2,$K$2:$K$129,1)</f>
        <v>25</v>
      </c>
      <c r="P2" t="e" vm="1">
        <f t="shared" ref="P2:P33" si="4">RANK(T2,$T$2:$T$129,1)</f>
        <v>#VALUE!</v>
      </c>
      <c r="Q2" s="15">
        <v>0</v>
      </c>
      <c r="R2" s="15">
        <v>0</v>
      </c>
      <c r="S2">
        <v>-14</v>
      </c>
      <c r="T2" s="14" t="e" vm="1">
        <f>Table231[[#This Row],[BDG]]/Table231[[#This Row],[Odds]]</f>
        <v>#VALUE!</v>
      </c>
      <c r="U2" s="14" t="e" cm="1" vm="2">
        <f t="array" ref="U2">MAX(_xlfn._xlws.FILTER(Table22[[B365]:[BFAIREXC]], Table22[PLAYER] = A2))</f>
        <v>#VALUE!</v>
      </c>
      <c r="V2">
        <v>1</v>
      </c>
      <c r="W2" s="1"/>
    </row>
    <row r="3" spans="1:23">
      <c r="A3" s="159" t="s">
        <v>544</v>
      </c>
      <c r="B3">
        <v>10</v>
      </c>
      <c r="C3">
        <v>177</v>
      </c>
      <c r="D3">
        <v>176</v>
      </c>
      <c r="E3">
        <v>137</v>
      </c>
      <c r="F3">
        <v>110</v>
      </c>
      <c r="G3">
        <v>139</v>
      </c>
      <c r="H3">
        <v>310.8</v>
      </c>
      <c r="I3" s="14">
        <v>523.36721024607436</v>
      </c>
      <c r="J3" s="259">
        <v>242.2243884481619</v>
      </c>
      <c r="K3" s="260">
        <v>369.16746315491014</v>
      </c>
      <c r="L3" s="16">
        <f t="shared" si="0"/>
        <v>102</v>
      </c>
      <c r="M3" s="230">
        <f t="shared" si="1"/>
        <v>104</v>
      </c>
      <c r="N3" s="159">
        <f t="shared" si="2"/>
        <v>59</v>
      </c>
      <c r="O3" s="159">
        <f t="shared" si="3"/>
        <v>57</v>
      </c>
      <c r="P3" t="e" vm="1">
        <f t="shared" si="4"/>
        <v>#VALUE!</v>
      </c>
      <c r="Q3" s="15">
        <v>0</v>
      </c>
      <c r="R3" s="15">
        <v>0</v>
      </c>
      <c r="T3" s="14" t="e" vm="1">
        <f>Table231[[#This Row],[BDG]]/Table231[[#This Row],[Odds]]</f>
        <v>#VALUE!</v>
      </c>
      <c r="U3" s="14" t="e" cm="1" vm="2">
        <f t="array" ref="U3">MAX(_xlfn._xlws.FILTER(Table22[[B365]:[BFAIREXC]], Table22[PLAYER] = A3))</f>
        <v>#VALUE!</v>
      </c>
      <c r="V3">
        <v>2</v>
      </c>
    </row>
    <row r="4" spans="1:23">
      <c r="A4" s="159" t="s">
        <v>65</v>
      </c>
      <c r="B4">
        <v>42</v>
      </c>
      <c r="C4">
        <v>82</v>
      </c>
      <c r="D4">
        <v>48</v>
      </c>
      <c r="E4">
        <v>156</v>
      </c>
      <c r="F4">
        <v>56</v>
      </c>
      <c r="G4">
        <v>32</v>
      </c>
      <c r="H4">
        <v>186.2</v>
      </c>
      <c r="I4" s="14">
        <v>263.75261670608768</v>
      </c>
      <c r="J4" s="259">
        <v>242.91388414827685</v>
      </c>
      <c r="K4" s="260">
        <v>411.03852843880787</v>
      </c>
      <c r="L4" s="16">
        <f t="shared" si="0"/>
        <v>14</v>
      </c>
      <c r="M4" s="230">
        <f t="shared" si="1"/>
        <v>19</v>
      </c>
      <c r="N4" s="159">
        <f t="shared" si="2"/>
        <v>60</v>
      </c>
      <c r="O4" s="159">
        <f t="shared" si="3"/>
        <v>75</v>
      </c>
      <c r="P4" t="e" vm="1">
        <f t="shared" si="4"/>
        <v>#VALUE!</v>
      </c>
      <c r="Q4" s="15">
        <v>0</v>
      </c>
      <c r="R4" s="15">
        <v>0.16666666666666666</v>
      </c>
      <c r="S4">
        <v>21</v>
      </c>
      <c r="T4" s="14" t="e" vm="1">
        <f>Table231[[#This Row],[BDG]]/Table231[[#This Row],[Odds]]</f>
        <v>#VALUE!</v>
      </c>
      <c r="U4" s="14" t="e" cm="1" vm="2">
        <f t="array" ref="U4">MAX(_xlfn._xlws.FILTER(Table22[[B365]:[BFAIREXC]], Table22[PLAYER] = A4))</f>
        <v>#VALUE!</v>
      </c>
      <c r="V4">
        <v>2</v>
      </c>
    </row>
    <row r="5" spans="1:23">
      <c r="A5" s="159" t="s">
        <v>492</v>
      </c>
      <c r="B5">
        <v>11</v>
      </c>
      <c r="C5">
        <v>161</v>
      </c>
      <c r="D5">
        <v>13</v>
      </c>
      <c r="E5">
        <v>47</v>
      </c>
      <c r="F5">
        <v>39</v>
      </c>
      <c r="G5">
        <v>4</v>
      </c>
      <c r="H5">
        <v>119.5</v>
      </c>
      <c r="I5" s="14">
        <v>150.78076080046009</v>
      </c>
      <c r="J5" s="259">
        <v>119.5</v>
      </c>
      <c r="K5" s="260">
        <v>150.78076080046009</v>
      </c>
      <c r="L5" s="16">
        <f t="shared" si="0"/>
        <v>1</v>
      </c>
      <c r="M5" s="230">
        <f t="shared" si="1"/>
        <v>1</v>
      </c>
      <c r="N5" s="159">
        <f t="shared" si="2"/>
        <v>1</v>
      </c>
      <c r="O5" s="159">
        <f t="shared" si="3"/>
        <v>1</v>
      </c>
      <c r="P5" t="e" vm="1">
        <f t="shared" si="4"/>
        <v>#VALUE!</v>
      </c>
      <c r="Q5" s="15">
        <v>0.2</v>
      </c>
      <c r="R5" s="15">
        <v>0.4</v>
      </c>
      <c r="S5">
        <v>100</v>
      </c>
      <c r="T5" s="14" t="e" vm="1">
        <f>Table231[[#This Row],[BDG]]/Table231[[#This Row],[Odds]]</f>
        <v>#VALUE!</v>
      </c>
      <c r="U5" s="14" t="e" cm="1" vm="2">
        <f t="array" ref="U5">MAX(_xlfn._xlws.FILTER(Table22[[B365]:[BFAIREXC]], Table22[PLAYER] = A5))</f>
        <v>#VALUE!</v>
      </c>
      <c r="V5">
        <v>4</v>
      </c>
    </row>
    <row r="6" spans="1:23">
      <c r="A6" s="159" t="s">
        <v>74</v>
      </c>
      <c r="B6">
        <v>128</v>
      </c>
      <c r="C6">
        <v>15</v>
      </c>
      <c r="D6">
        <v>65</v>
      </c>
      <c r="E6">
        <v>38</v>
      </c>
      <c r="F6">
        <v>141</v>
      </c>
      <c r="G6">
        <v>103</v>
      </c>
      <c r="H6">
        <v>226.79999999999998</v>
      </c>
      <c r="I6" s="14">
        <v>349.19194323960352</v>
      </c>
      <c r="J6" s="259">
        <v>186.48008024498409</v>
      </c>
      <c r="K6" s="260">
        <v>272.73303826021828</v>
      </c>
      <c r="L6" s="16">
        <f t="shared" si="0"/>
        <v>40</v>
      </c>
      <c r="M6" s="230">
        <f t="shared" si="1"/>
        <v>44</v>
      </c>
      <c r="N6" s="159">
        <f t="shared" si="2"/>
        <v>6</v>
      </c>
      <c r="O6" s="159">
        <f t="shared" si="3"/>
        <v>12</v>
      </c>
      <c r="P6" t="e" vm="1">
        <f t="shared" si="4"/>
        <v>#VALUE!</v>
      </c>
      <c r="Q6" s="15">
        <v>0</v>
      </c>
      <c r="R6" s="15">
        <v>0</v>
      </c>
      <c r="T6" s="14" t="e" vm="1">
        <f>Table231[[#This Row],[BDG]]/Table231[[#This Row],[Odds]]</f>
        <v>#VALUE!</v>
      </c>
      <c r="U6" s="14" t="e" cm="1" vm="2">
        <f t="array" ref="U6">MAX(_xlfn._xlws.FILTER(Table22[[B365]:[BFAIREXC]], Table22[PLAYER] = A6))</f>
        <v>#VALUE!</v>
      </c>
      <c r="V6">
        <v>4</v>
      </c>
    </row>
    <row r="7" spans="1:23">
      <c r="A7" s="159" t="s">
        <v>92</v>
      </c>
      <c r="B7">
        <v>76</v>
      </c>
      <c r="C7">
        <v>81</v>
      </c>
      <c r="D7">
        <v>123</v>
      </c>
      <c r="E7">
        <v>36</v>
      </c>
      <c r="F7">
        <v>100</v>
      </c>
      <c r="G7">
        <v>123</v>
      </c>
      <c r="H7">
        <v>236.1</v>
      </c>
      <c r="I7" s="14">
        <v>393.84806974806628</v>
      </c>
      <c r="J7" s="259">
        <v>226.3696767392662</v>
      </c>
      <c r="K7" s="260">
        <v>357.08918477690833</v>
      </c>
      <c r="L7" s="16">
        <f t="shared" si="0"/>
        <v>47</v>
      </c>
      <c r="M7" s="230">
        <f t="shared" si="1"/>
        <v>63</v>
      </c>
      <c r="N7" s="159">
        <f t="shared" si="2"/>
        <v>39</v>
      </c>
      <c r="O7" s="159">
        <f t="shared" si="3"/>
        <v>50</v>
      </c>
      <c r="P7" t="e" vm="1">
        <f t="shared" si="4"/>
        <v>#VALUE!</v>
      </c>
      <c r="Q7" s="15">
        <v>0</v>
      </c>
      <c r="R7" s="15">
        <v>0</v>
      </c>
      <c r="S7">
        <v>-91</v>
      </c>
      <c r="T7" s="14">
        <f>Table231[[#This Row],[BDG]]/Table231[[#This Row],[Odds]]</f>
        <v>38.367741820214604</v>
      </c>
      <c r="U7" s="14" cm="1">
        <f t="array" ref="U7">MAX(_xlfn._xlws.FILTER(Table22[[B365]:[BFAIREXC]], Table22[PLAYER] = A7))</f>
        <v>5.9</v>
      </c>
      <c r="V7">
        <v>4</v>
      </c>
    </row>
    <row r="8" spans="1:23">
      <c r="A8" s="159" t="s">
        <v>9</v>
      </c>
      <c r="B8">
        <v>78</v>
      </c>
      <c r="C8">
        <v>77</v>
      </c>
      <c r="D8">
        <v>57</v>
      </c>
      <c r="E8">
        <v>164</v>
      </c>
      <c r="F8">
        <v>104</v>
      </c>
      <c r="G8">
        <v>67</v>
      </c>
      <c r="H8">
        <v>242.89999999999998</v>
      </c>
      <c r="I8" s="14">
        <v>358.27552117053767</v>
      </c>
      <c r="J8" s="259">
        <v>230.29691463371626</v>
      </c>
      <c r="K8" s="260">
        <v>361.67567759925777</v>
      </c>
      <c r="L8" s="16">
        <f t="shared" si="0"/>
        <v>52</v>
      </c>
      <c r="M8" s="230">
        <f t="shared" si="1"/>
        <v>48</v>
      </c>
      <c r="N8" s="159">
        <f t="shared" si="2"/>
        <v>44</v>
      </c>
      <c r="O8" s="159">
        <f t="shared" si="3"/>
        <v>54</v>
      </c>
      <c r="P8" t="e" vm="1">
        <f t="shared" si="4"/>
        <v>#VALUE!</v>
      </c>
      <c r="Q8" s="15">
        <v>0</v>
      </c>
      <c r="R8" s="15">
        <v>0.25</v>
      </c>
      <c r="S8">
        <v>14</v>
      </c>
      <c r="T8" s="14" t="e" vm="1">
        <f>Table231[[#This Row],[BDG]]/Table231[[#This Row],[Odds]]</f>
        <v>#VALUE!</v>
      </c>
      <c r="U8" s="14" t="e" cm="1" vm="2">
        <f t="array" ref="U8">MAX(_xlfn._xlws.FILTER(Table22[[B365]:[BFAIREXC]], Table22[PLAYER] = A8))</f>
        <v>#VALUE!</v>
      </c>
      <c r="V8">
        <v>4</v>
      </c>
    </row>
    <row r="9" spans="1:23">
      <c r="A9" s="159" t="s">
        <v>410</v>
      </c>
      <c r="B9">
        <v>42</v>
      </c>
      <c r="C9">
        <v>132</v>
      </c>
      <c r="D9">
        <v>56</v>
      </c>
      <c r="E9">
        <v>110</v>
      </c>
      <c r="F9">
        <v>159</v>
      </c>
      <c r="G9">
        <v>147</v>
      </c>
      <c r="H9">
        <v>244.9</v>
      </c>
      <c r="I9" s="14">
        <v>437.61051079054289</v>
      </c>
      <c r="J9" s="259">
        <v>244.9</v>
      </c>
      <c r="K9" s="260">
        <v>437.61051079054289</v>
      </c>
      <c r="L9" s="16">
        <f t="shared" si="0"/>
        <v>55</v>
      </c>
      <c r="M9" s="230">
        <f t="shared" si="1"/>
        <v>75</v>
      </c>
      <c r="N9" s="159">
        <f t="shared" si="2"/>
        <v>63</v>
      </c>
      <c r="O9" s="159">
        <f t="shared" si="3"/>
        <v>84</v>
      </c>
      <c r="P9" t="e" vm="1">
        <f t="shared" si="4"/>
        <v>#VALUE!</v>
      </c>
      <c r="Q9" s="15"/>
      <c r="R9" s="15"/>
      <c r="S9">
        <v>-20</v>
      </c>
      <c r="T9" s="14" t="e" vm="1">
        <f>Table231[[#This Row],[BDG]]/Table231[[#This Row],[Odds]]</f>
        <v>#VALUE!</v>
      </c>
      <c r="U9" s="14" t="e" cm="1" vm="2">
        <f t="array" ref="U9">MAX(_xlfn._xlws.FILTER(Table22[[B365]:[BFAIREXC]], Table22[PLAYER] = A9))</f>
        <v>#VALUE!</v>
      </c>
      <c r="V9">
        <v>4</v>
      </c>
    </row>
    <row r="10" spans="1:23">
      <c r="A10" s="159" t="s">
        <v>14</v>
      </c>
      <c r="B10">
        <v>45</v>
      </c>
      <c r="C10">
        <v>74</v>
      </c>
      <c r="D10">
        <v>31</v>
      </c>
      <c r="E10">
        <v>96</v>
      </c>
      <c r="F10">
        <v>116</v>
      </c>
      <c r="G10">
        <v>18</v>
      </c>
      <c r="H10">
        <v>179.2</v>
      </c>
      <c r="I10" s="14">
        <v>229.46388610879035</v>
      </c>
      <c r="J10" s="259">
        <v>204.98964690693248</v>
      </c>
      <c r="K10" s="260">
        <v>296.10739961498263</v>
      </c>
      <c r="L10" s="16">
        <f t="shared" si="0"/>
        <v>10</v>
      </c>
      <c r="M10" s="230">
        <f t="shared" si="1"/>
        <v>9</v>
      </c>
      <c r="N10" s="159">
        <f t="shared" si="2"/>
        <v>14</v>
      </c>
      <c r="O10" s="159">
        <f t="shared" si="3"/>
        <v>22</v>
      </c>
      <c r="P10" t="e" vm="1">
        <f t="shared" si="4"/>
        <v>#VALUE!</v>
      </c>
      <c r="Q10" s="15">
        <v>0</v>
      </c>
      <c r="R10" s="15">
        <v>0.16666666666666666</v>
      </c>
      <c r="S10">
        <v>14</v>
      </c>
      <c r="T10" s="14" t="e" vm="1">
        <f>Table231[[#This Row],[BDG]]/Table231[[#This Row],[Odds]]</f>
        <v>#VALUE!</v>
      </c>
      <c r="U10" s="14" t="e" cm="1" vm="2">
        <f t="array" ref="U10">MAX(_xlfn._xlws.FILTER(Table22[[B365]:[BFAIREXC]], Table22[PLAYER] = A10))</f>
        <v>#VALUE!</v>
      </c>
      <c r="V10">
        <v>9</v>
      </c>
    </row>
    <row r="11" spans="1:23">
      <c r="A11" s="159" t="s">
        <v>100</v>
      </c>
      <c r="B11">
        <v>93</v>
      </c>
      <c r="C11">
        <v>113</v>
      </c>
      <c r="D11">
        <v>7</v>
      </c>
      <c r="E11">
        <v>6</v>
      </c>
      <c r="F11">
        <v>115</v>
      </c>
      <c r="G11">
        <v>12</v>
      </c>
      <c r="H11">
        <v>175.10000000000002</v>
      </c>
      <c r="I11" s="14">
        <v>200.93378109408252</v>
      </c>
      <c r="J11" s="259">
        <v>212.09925388032104</v>
      </c>
      <c r="K11" s="260">
        <v>293.91457480876022</v>
      </c>
      <c r="L11" s="16">
        <f t="shared" si="0"/>
        <v>9</v>
      </c>
      <c r="M11" s="230">
        <f t="shared" si="1"/>
        <v>6</v>
      </c>
      <c r="N11" s="159">
        <f t="shared" si="2"/>
        <v>26</v>
      </c>
      <c r="O11" s="159">
        <f t="shared" si="3"/>
        <v>20</v>
      </c>
      <c r="P11" t="e" vm="1">
        <f t="shared" si="4"/>
        <v>#VALUE!</v>
      </c>
      <c r="Q11" s="15">
        <v>0</v>
      </c>
      <c r="R11" s="15">
        <v>0.4</v>
      </c>
      <c r="S11">
        <v>127</v>
      </c>
      <c r="T11" s="14" t="e" vm="1">
        <f>Table231[[#This Row],[BDG]]/Table231[[#This Row],[Odds]]</f>
        <v>#VALUE!</v>
      </c>
      <c r="U11" s="14" t="e" cm="1" vm="2">
        <f t="array" ref="U11">MAX(_xlfn._xlws.FILTER(Table22[[B365]:[BFAIREXC]], Table22[PLAYER] = A11))</f>
        <v>#VALUE!</v>
      </c>
      <c r="V11">
        <v>9</v>
      </c>
    </row>
    <row r="12" spans="1:23">
      <c r="A12" s="159" t="s">
        <v>95</v>
      </c>
      <c r="B12">
        <v>150</v>
      </c>
      <c r="C12">
        <v>8</v>
      </c>
      <c r="D12">
        <v>146</v>
      </c>
      <c r="E12">
        <v>58</v>
      </c>
      <c r="F12">
        <v>96</v>
      </c>
      <c r="G12">
        <v>88</v>
      </c>
      <c r="H12">
        <v>281.59999999999997</v>
      </c>
      <c r="I12" s="14">
        <v>403.0514370261904</v>
      </c>
      <c r="J12" s="259">
        <v>226.61595109807575</v>
      </c>
      <c r="K12" s="260">
        <v>321.49110739273885</v>
      </c>
      <c r="L12" s="16">
        <f t="shared" si="0"/>
        <v>81</v>
      </c>
      <c r="M12" s="230">
        <f t="shared" si="1"/>
        <v>66</v>
      </c>
      <c r="N12" s="159">
        <f t="shared" si="2"/>
        <v>40</v>
      </c>
      <c r="O12" s="159">
        <f t="shared" si="3"/>
        <v>31</v>
      </c>
      <c r="P12" t="e" vm="1">
        <f t="shared" si="4"/>
        <v>#VALUE!</v>
      </c>
      <c r="Q12" s="15">
        <v>0</v>
      </c>
      <c r="R12" s="15">
        <v>0</v>
      </c>
      <c r="S12">
        <v>-47</v>
      </c>
      <c r="T12" s="14">
        <f>Table231[[#This Row],[BDG]]/Table231[[#This Row],[Odds]]</f>
        <v>77.080255475535978</v>
      </c>
      <c r="U12" s="14" cm="1">
        <f t="array" ref="U12">MAX(_xlfn._xlws.FILTER(Table22[[B365]:[BFAIREXC]], Table22[PLAYER] = A12))</f>
        <v>2.94</v>
      </c>
      <c r="V12">
        <v>9</v>
      </c>
    </row>
    <row r="13" spans="1:23">
      <c r="A13" s="159" t="s">
        <v>115</v>
      </c>
      <c r="B13">
        <v>120</v>
      </c>
      <c r="C13">
        <v>15</v>
      </c>
      <c r="D13">
        <v>95</v>
      </c>
      <c r="E13">
        <v>147</v>
      </c>
      <c r="F13">
        <v>5</v>
      </c>
      <c r="G13">
        <v>26</v>
      </c>
      <c r="H13">
        <v>217.8</v>
      </c>
      <c r="I13" s="14">
        <v>285.11943902045329</v>
      </c>
      <c r="J13" s="259">
        <v>238.55802295623207</v>
      </c>
      <c r="K13" s="260">
        <v>355.98944122388309</v>
      </c>
      <c r="L13" s="16">
        <f t="shared" si="0"/>
        <v>30</v>
      </c>
      <c r="M13" s="230">
        <f t="shared" si="1"/>
        <v>25</v>
      </c>
      <c r="N13" s="159">
        <f t="shared" si="2"/>
        <v>55</v>
      </c>
      <c r="O13" s="159">
        <f t="shared" si="3"/>
        <v>49</v>
      </c>
      <c r="P13" t="e" vm="1">
        <f t="shared" si="4"/>
        <v>#VALUE!</v>
      </c>
      <c r="Q13" s="15">
        <v>0</v>
      </c>
      <c r="R13" s="15">
        <v>0</v>
      </c>
      <c r="S13">
        <v>-10</v>
      </c>
      <c r="T13" s="14">
        <f>Table231[[#This Row],[BDG]]/Table231[[#This Row],[Odds]]</f>
        <v>62.944069381591575</v>
      </c>
      <c r="U13" s="14" cm="1">
        <f t="array" ref="U13">MAX(_xlfn._xlws.FILTER(Table22[[B365]:[BFAIREXC]], Table22[PLAYER] = A13))</f>
        <v>3.79</v>
      </c>
      <c r="V13">
        <v>9</v>
      </c>
    </row>
    <row r="14" spans="1:23">
      <c r="A14" s="159" t="s">
        <v>26</v>
      </c>
      <c r="B14">
        <v>47</v>
      </c>
      <c r="C14">
        <v>99</v>
      </c>
      <c r="D14">
        <v>106</v>
      </c>
      <c r="E14">
        <v>184</v>
      </c>
      <c r="F14">
        <v>148</v>
      </c>
      <c r="G14">
        <v>152</v>
      </c>
      <c r="H14">
        <v>294.3</v>
      </c>
      <c r="I14" s="14">
        <v>510.33801433782247</v>
      </c>
      <c r="J14" s="259">
        <v>244.121049004611</v>
      </c>
      <c r="K14" s="260">
        <v>416.59049377618715</v>
      </c>
      <c r="L14" s="16">
        <f t="shared" si="0"/>
        <v>91</v>
      </c>
      <c r="M14" s="230">
        <f t="shared" si="1"/>
        <v>101</v>
      </c>
      <c r="N14" s="159">
        <f t="shared" si="2"/>
        <v>62</v>
      </c>
      <c r="O14" s="159">
        <f t="shared" si="3"/>
        <v>80</v>
      </c>
      <c r="P14" t="e" vm="1">
        <f t="shared" si="4"/>
        <v>#VALUE!</v>
      </c>
      <c r="Q14" s="15">
        <v>0</v>
      </c>
      <c r="R14" s="15">
        <v>0.33333333333333331</v>
      </c>
      <c r="S14">
        <v>-65</v>
      </c>
      <c r="T14" s="14">
        <f>Table231[[#This Row],[BDG]]/Table231[[#This Row],[Odds]]</f>
        <v>52.725928510715121</v>
      </c>
      <c r="U14" s="14" cm="1">
        <f t="array" ref="U14">MAX(_xlfn._xlws.FILTER(Table22[[B365]:[BFAIREXC]], Table22[PLAYER] = A14))</f>
        <v>4.63</v>
      </c>
      <c r="V14">
        <v>9</v>
      </c>
    </row>
    <row r="15" spans="1:23">
      <c r="A15" s="159" t="s">
        <v>161</v>
      </c>
      <c r="B15">
        <v>137</v>
      </c>
      <c r="C15">
        <v>53</v>
      </c>
      <c r="D15">
        <v>159</v>
      </c>
      <c r="E15">
        <v>87</v>
      </c>
      <c r="F15">
        <v>152</v>
      </c>
      <c r="G15">
        <v>158</v>
      </c>
      <c r="H15">
        <v>339.2</v>
      </c>
      <c r="I15" s="14">
        <v>544.43053729244571</v>
      </c>
      <c r="J15" s="259">
        <v>304.04727660090464</v>
      </c>
      <c r="K15" s="260">
        <v>495.36187244917335</v>
      </c>
      <c r="L15" s="16">
        <f t="shared" si="0"/>
        <v>114</v>
      </c>
      <c r="M15" s="230">
        <f t="shared" si="1"/>
        <v>108</v>
      </c>
      <c r="N15" s="159">
        <f t="shared" si="2"/>
        <v>109</v>
      </c>
      <c r="O15" s="159">
        <f t="shared" si="3"/>
        <v>111</v>
      </c>
      <c r="P15" t="e" vm="1">
        <f t="shared" si="4"/>
        <v>#VALUE!</v>
      </c>
      <c r="Q15" s="15">
        <v>0</v>
      </c>
      <c r="R15" s="15">
        <v>0</v>
      </c>
      <c r="S15">
        <v>-14</v>
      </c>
      <c r="T15" s="14" t="e" vm="1">
        <f>Table231[[#This Row],[BDG]]/Table231[[#This Row],[Odds]]</f>
        <v>#VALUE!</v>
      </c>
      <c r="U15" s="14" t="e" cm="1" vm="2">
        <f t="array" ref="U15">MAX(_xlfn._xlws.FILTER(Table22[[B365]:[BFAIREXC]], Table22[PLAYER] = A15))</f>
        <v>#VALUE!</v>
      </c>
      <c r="V15">
        <v>9</v>
      </c>
    </row>
    <row r="16" spans="1:23">
      <c r="A16" s="159" t="s">
        <v>142</v>
      </c>
      <c r="B16">
        <v>164</v>
      </c>
      <c r="C16">
        <v>167</v>
      </c>
      <c r="D16">
        <v>119</v>
      </c>
      <c r="E16">
        <v>52</v>
      </c>
      <c r="F16">
        <v>34</v>
      </c>
      <c r="G16">
        <v>141</v>
      </c>
      <c r="H16">
        <v>302.7</v>
      </c>
      <c r="I16" s="14">
        <v>485.0122304786201</v>
      </c>
      <c r="J16" s="259">
        <v>305.58305874392107</v>
      </c>
      <c r="K16" s="260">
        <v>482.30702011271023</v>
      </c>
      <c r="L16" s="16">
        <f t="shared" si="0"/>
        <v>94</v>
      </c>
      <c r="M16" s="230">
        <f t="shared" si="1"/>
        <v>91</v>
      </c>
      <c r="N16" s="159">
        <f t="shared" si="2"/>
        <v>111</v>
      </c>
      <c r="O16" s="159">
        <f t="shared" si="3"/>
        <v>104</v>
      </c>
      <c r="P16" t="e" vm="1">
        <f t="shared" si="4"/>
        <v>#VALUE!</v>
      </c>
      <c r="Q16" s="15">
        <v>0</v>
      </c>
      <c r="R16" s="15">
        <v>0</v>
      </c>
      <c r="S16">
        <v>-14</v>
      </c>
      <c r="T16" s="14" t="e" vm="1">
        <f>Table231[[#This Row],[BDG]]/Table231[[#This Row],[Odds]]</f>
        <v>#VALUE!</v>
      </c>
      <c r="U16" s="14" t="e" cm="1" vm="2">
        <f t="array" ref="U16">MAX(_xlfn._xlws.FILTER(Table22[[B365]:[BFAIREXC]], Table22[PLAYER] = A16))</f>
        <v>#VALUE!</v>
      </c>
      <c r="V16">
        <v>9</v>
      </c>
    </row>
    <row r="17" spans="1:21">
      <c r="A17" s="159" t="s">
        <v>52</v>
      </c>
      <c r="B17">
        <v>5</v>
      </c>
      <c r="C17">
        <v>112</v>
      </c>
      <c r="D17">
        <v>72</v>
      </c>
      <c r="E17">
        <v>40</v>
      </c>
      <c r="F17">
        <v>42</v>
      </c>
      <c r="G17">
        <v>15</v>
      </c>
      <c r="H17">
        <v>135.69999999999999</v>
      </c>
      <c r="I17" s="14">
        <v>181.45331026856672</v>
      </c>
      <c r="J17" s="259">
        <v>159.66542580884433</v>
      </c>
      <c r="K17" s="260">
        <v>216.33710403700087</v>
      </c>
      <c r="L17" s="16">
        <f t="shared" si="0"/>
        <v>2</v>
      </c>
      <c r="M17" s="230">
        <f t="shared" si="1"/>
        <v>5</v>
      </c>
      <c r="N17" s="159">
        <f t="shared" si="2"/>
        <v>2</v>
      </c>
      <c r="O17" s="159">
        <f t="shared" si="3"/>
        <v>2</v>
      </c>
      <c r="P17" t="e" vm="1">
        <f t="shared" si="4"/>
        <v>#VALUE!</v>
      </c>
      <c r="Q17" s="15">
        <v>0</v>
      </c>
      <c r="R17" s="15">
        <v>0.4</v>
      </c>
      <c r="S17">
        <v>1</v>
      </c>
      <c r="T17" s="14" t="e" vm="1">
        <f>Table231[[#This Row],[BDG]]/Table231[[#This Row],[Odds]]</f>
        <v>#VALUE!</v>
      </c>
      <c r="U17" s="14" t="e" cm="1" vm="2">
        <f t="array" ref="U17">MAX(_xlfn._xlws.FILTER(Table22[[B365]:[BFAIREXC]], Table22[PLAYER] = A17))</f>
        <v>#VALUE!</v>
      </c>
    </row>
    <row r="18" spans="1:21">
      <c r="A18" s="159" t="s">
        <v>6</v>
      </c>
      <c r="B18">
        <v>6</v>
      </c>
      <c r="C18">
        <v>35</v>
      </c>
      <c r="D18">
        <v>173</v>
      </c>
      <c r="E18">
        <v>173</v>
      </c>
      <c r="F18">
        <v>120</v>
      </c>
      <c r="G18">
        <v>132</v>
      </c>
      <c r="H18">
        <v>268.5</v>
      </c>
      <c r="I18" s="14">
        <v>467.13669650858787</v>
      </c>
      <c r="J18" s="259">
        <v>162.72606622599869</v>
      </c>
      <c r="K18" s="260">
        <v>251.82166318067308</v>
      </c>
      <c r="L18" s="16">
        <f t="shared" si="0"/>
        <v>74</v>
      </c>
      <c r="M18" s="230">
        <f t="shared" si="1"/>
        <v>82</v>
      </c>
      <c r="N18" s="159">
        <f t="shared" si="2"/>
        <v>3</v>
      </c>
      <c r="O18" s="159">
        <f t="shared" si="3"/>
        <v>5</v>
      </c>
      <c r="P18" t="e" vm="1">
        <f t="shared" si="4"/>
        <v>#VALUE!</v>
      </c>
      <c r="Q18" s="15">
        <v>0</v>
      </c>
      <c r="R18" s="15">
        <v>0</v>
      </c>
      <c r="S18" t="e">
        <v>#N/A</v>
      </c>
      <c r="T18" s="14" t="e" vm="1">
        <f>Table231[[#This Row],[BDG]]/Table231[[#This Row],[Odds]]</f>
        <v>#VALUE!</v>
      </c>
      <c r="U18" s="14" t="e" cm="1" vm="2">
        <f t="array" ref="U18">MAX(_xlfn._xlws.FILTER(Table22[[B365]:[BFAIREXC]], Table22[PLAYER] = A18))</f>
        <v>#VALUE!</v>
      </c>
    </row>
    <row r="19" spans="1:21">
      <c r="A19" s="159" t="s">
        <v>487</v>
      </c>
      <c r="B19">
        <v>66</v>
      </c>
      <c r="C19">
        <v>109</v>
      </c>
      <c r="D19">
        <v>1</v>
      </c>
      <c r="E19">
        <v>123</v>
      </c>
      <c r="F19">
        <v>3</v>
      </c>
      <c r="G19">
        <v>1</v>
      </c>
      <c r="H19">
        <v>141.19999999999999</v>
      </c>
      <c r="I19" s="14">
        <v>174.59267617995459</v>
      </c>
      <c r="J19" s="259">
        <v>183.14850472405229</v>
      </c>
      <c r="K19" s="260">
        <v>283.82177472220081</v>
      </c>
      <c r="L19" s="16">
        <f t="shared" si="0"/>
        <v>3</v>
      </c>
      <c r="M19" s="230">
        <f t="shared" si="1"/>
        <v>4</v>
      </c>
      <c r="N19" s="159">
        <f t="shared" si="2"/>
        <v>4</v>
      </c>
      <c r="O19" s="159">
        <f t="shared" si="3"/>
        <v>16</v>
      </c>
      <c r="P19" t="e" vm="1">
        <f t="shared" si="4"/>
        <v>#VALUE!</v>
      </c>
      <c r="Q19" s="15">
        <v>0.25</v>
      </c>
      <c r="R19" s="15">
        <v>0.75</v>
      </c>
      <c r="S19">
        <v>3</v>
      </c>
      <c r="T19" s="14" t="e" vm="1">
        <f>Table231[[#This Row],[BDG]]/Table231[[#This Row],[Odds]]</f>
        <v>#VALUE!</v>
      </c>
      <c r="U19" s="14" t="e" cm="1" vm="2">
        <f t="array" ref="U19">MAX(_xlfn._xlws.FILTER(Table22[[B365]:[BFAIREXC]], Table22[PLAYER] = A19))</f>
        <v>#VALUE!</v>
      </c>
    </row>
    <row r="20" spans="1:21">
      <c r="A20" s="159" t="s">
        <v>114</v>
      </c>
      <c r="B20">
        <v>141</v>
      </c>
      <c r="C20">
        <v>47</v>
      </c>
      <c r="D20">
        <v>29</v>
      </c>
      <c r="E20">
        <v>135</v>
      </c>
      <c r="F20">
        <v>31</v>
      </c>
      <c r="G20">
        <v>25</v>
      </c>
      <c r="H20">
        <v>207.29999999999998</v>
      </c>
      <c r="I20" s="14">
        <v>264.1935580020031</v>
      </c>
      <c r="J20" s="259">
        <v>185.72339429326178</v>
      </c>
      <c r="K20" s="260">
        <v>231.01875307253496</v>
      </c>
      <c r="L20" s="16">
        <f t="shared" si="0"/>
        <v>26</v>
      </c>
      <c r="M20" s="230">
        <f t="shared" si="1"/>
        <v>20</v>
      </c>
      <c r="N20" s="159">
        <f t="shared" si="2"/>
        <v>5</v>
      </c>
      <c r="O20" s="159">
        <f t="shared" si="3"/>
        <v>3</v>
      </c>
      <c r="P20" t="e" vm="1">
        <f t="shared" si="4"/>
        <v>#VALUE!</v>
      </c>
      <c r="Q20" s="15">
        <v>0</v>
      </c>
      <c r="R20" s="15">
        <v>0.14285714285714285</v>
      </c>
      <c r="S20">
        <v>-2</v>
      </c>
      <c r="T20" s="14" t="e" vm="1">
        <f>Table231[[#This Row],[BDG]]/Table231[[#This Row],[Odds]]</f>
        <v>#VALUE!</v>
      </c>
      <c r="U20" s="14" t="e" cm="1" vm="2">
        <f t="array" ref="U20">MAX(_xlfn._xlws.FILTER(Table22[[B365]:[BFAIREXC]], Table22[PLAYER] = A20))</f>
        <v>#VALUE!</v>
      </c>
    </row>
    <row r="21" spans="1:21">
      <c r="A21" s="159" t="s">
        <v>143</v>
      </c>
      <c r="B21">
        <v>95</v>
      </c>
      <c r="C21">
        <v>70</v>
      </c>
      <c r="D21">
        <v>155</v>
      </c>
      <c r="E21">
        <v>84</v>
      </c>
      <c r="F21">
        <v>19</v>
      </c>
      <c r="G21">
        <v>108</v>
      </c>
      <c r="H21">
        <v>246.1</v>
      </c>
      <c r="I21" s="14">
        <v>399.22630681377086</v>
      </c>
      <c r="J21" s="259">
        <v>188.39763856809304</v>
      </c>
      <c r="K21" s="260">
        <v>262.48673074034264</v>
      </c>
      <c r="L21" s="16">
        <f t="shared" si="0"/>
        <v>57</v>
      </c>
      <c r="M21" s="230">
        <f t="shared" si="1"/>
        <v>64</v>
      </c>
      <c r="N21" s="159">
        <f t="shared" si="2"/>
        <v>7</v>
      </c>
      <c r="O21" s="159">
        <f t="shared" si="3"/>
        <v>7</v>
      </c>
      <c r="P21" t="e" vm="1">
        <f t="shared" si="4"/>
        <v>#VALUE!</v>
      </c>
      <c r="Q21" s="15">
        <v>0</v>
      </c>
      <c r="R21" s="15">
        <v>0</v>
      </c>
      <c r="S21">
        <v>-25</v>
      </c>
      <c r="T21" s="14" t="e" vm="1">
        <f>Table231[[#This Row],[BDG]]/Table231[[#This Row],[Odds]]</f>
        <v>#VALUE!</v>
      </c>
      <c r="U21" s="14" t="e" cm="1" vm="2">
        <f t="array" ref="U21">MAX(_xlfn._xlws.FILTER(Table22[[B365]:[BFAIREXC]], Table22[PLAYER] = A21))</f>
        <v>#VALUE!</v>
      </c>
    </row>
    <row r="22" spans="1:21">
      <c r="A22" s="159" t="s">
        <v>132</v>
      </c>
      <c r="B22">
        <v>113</v>
      </c>
      <c r="C22">
        <v>61</v>
      </c>
      <c r="D22">
        <v>21</v>
      </c>
      <c r="E22">
        <v>67</v>
      </c>
      <c r="F22">
        <v>126</v>
      </c>
      <c r="G22">
        <v>20</v>
      </c>
      <c r="H22">
        <v>208</v>
      </c>
      <c r="I22" s="14">
        <v>250.4001367107613</v>
      </c>
      <c r="J22" s="259">
        <v>192.68375042291905</v>
      </c>
      <c r="K22" s="260">
        <v>240.38463032669185</v>
      </c>
      <c r="L22" s="16">
        <f t="shared" si="0"/>
        <v>27</v>
      </c>
      <c r="M22" s="230">
        <f t="shared" si="1"/>
        <v>14</v>
      </c>
      <c r="N22" s="159">
        <f t="shared" si="2"/>
        <v>8</v>
      </c>
      <c r="O22" s="159">
        <f t="shared" si="3"/>
        <v>4</v>
      </c>
      <c r="P22" t="e" vm="1">
        <f t="shared" si="4"/>
        <v>#VALUE!</v>
      </c>
      <c r="Q22" s="15">
        <v>0.2</v>
      </c>
      <c r="R22" s="15">
        <v>0.2</v>
      </c>
      <c r="S22">
        <v>-14</v>
      </c>
      <c r="T22" s="14" t="e" vm="1">
        <f>Table231[[#This Row],[BDG]]/Table231[[#This Row],[Odds]]</f>
        <v>#VALUE!</v>
      </c>
      <c r="U22" s="14" t="e" cm="1" vm="2">
        <f t="array" ref="U22">MAX(_xlfn._xlws.FILTER(Table22[[B365]:[BFAIREXC]], Table22[PLAYER] = A22))</f>
        <v>#VALUE!</v>
      </c>
    </row>
    <row r="23" spans="1:21">
      <c r="A23" s="159" t="s">
        <v>795</v>
      </c>
      <c r="B23">
        <v>94</v>
      </c>
      <c r="C23">
        <v>121</v>
      </c>
      <c r="D23">
        <v>32</v>
      </c>
      <c r="E23">
        <v>16</v>
      </c>
      <c r="F23">
        <v>10</v>
      </c>
      <c r="G23">
        <v>5</v>
      </c>
      <c r="H23">
        <v>148</v>
      </c>
      <c r="I23" s="14">
        <v>170.53123796424222</v>
      </c>
      <c r="J23" s="259">
        <v>194.31427939341856</v>
      </c>
      <c r="K23" s="260">
        <v>268.99748558055455</v>
      </c>
      <c r="L23" s="16">
        <f t="shared" si="0"/>
        <v>4</v>
      </c>
      <c r="M23" s="230">
        <f t="shared" si="1"/>
        <v>2</v>
      </c>
      <c r="N23" s="159">
        <f t="shared" si="2"/>
        <v>9</v>
      </c>
      <c r="O23" s="159">
        <f t="shared" si="3"/>
        <v>10</v>
      </c>
      <c r="P23" t="e" vm="1">
        <f t="shared" si="4"/>
        <v>#VALUE!</v>
      </c>
      <c r="Q23" s="15">
        <v>0</v>
      </c>
      <c r="R23" s="15">
        <v>0</v>
      </c>
      <c r="S23" t="e">
        <v>#N/A</v>
      </c>
      <c r="T23" s="14" t="e" vm="1">
        <f>Table231[[#This Row],[BDG]]/Table231[[#This Row],[Odds]]</f>
        <v>#VALUE!</v>
      </c>
      <c r="U23" s="14" t="e" cm="1" vm="2">
        <f t="array" ref="U23">MAX(_xlfn._xlws.FILTER(Table22[[B365]:[BFAIREXC]], Table22[PLAYER] = A23))</f>
        <v>#VALUE!</v>
      </c>
    </row>
    <row r="24" spans="1:21">
      <c r="A24" s="159" t="s">
        <v>10</v>
      </c>
      <c r="B24">
        <v>19</v>
      </c>
      <c r="C24">
        <v>159</v>
      </c>
      <c r="D24">
        <v>73</v>
      </c>
      <c r="E24">
        <v>28</v>
      </c>
      <c r="F24">
        <v>88</v>
      </c>
      <c r="G24">
        <v>19</v>
      </c>
      <c r="H24">
        <v>183.2</v>
      </c>
      <c r="I24" s="14">
        <v>236.25139874465856</v>
      </c>
      <c r="J24" s="259">
        <v>196.77440158596193</v>
      </c>
      <c r="K24" s="260">
        <v>273.1944042848603</v>
      </c>
      <c r="L24" s="16">
        <f t="shared" si="0"/>
        <v>12</v>
      </c>
      <c r="M24" s="230">
        <f t="shared" si="1"/>
        <v>10</v>
      </c>
      <c r="N24" s="159">
        <f t="shared" si="2"/>
        <v>10</v>
      </c>
      <c r="O24" s="159">
        <f t="shared" si="3"/>
        <v>13</v>
      </c>
      <c r="P24" t="e" vm="1">
        <f t="shared" si="4"/>
        <v>#VALUE!</v>
      </c>
      <c r="Q24" s="15">
        <v>0</v>
      </c>
      <c r="R24" s="15">
        <v>0.4</v>
      </c>
      <c r="S24">
        <v>-16</v>
      </c>
      <c r="T24" s="14" t="e" vm="1">
        <f>Table231[[#This Row],[BDG]]/Table231[[#This Row],[Odds]]</f>
        <v>#VALUE!</v>
      </c>
      <c r="U24" s="14" t="e" cm="1" vm="2">
        <f t="array" ref="U24">MAX(_xlfn._xlws.FILTER(Table22[[B365]:[BFAIREXC]], Table22[PLAYER] = A24))</f>
        <v>#VALUE!</v>
      </c>
    </row>
    <row r="25" spans="1:21">
      <c r="A25" s="255" t="s">
        <v>497</v>
      </c>
      <c r="B25">
        <v>31</v>
      </c>
      <c r="C25">
        <v>164</v>
      </c>
      <c r="D25">
        <v>30</v>
      </c>
      <c r="E25">
        <v>59</v>
      </c>
      <c r="F25">
        <v>130</v>
      </c>
      <c r="G25">
        <v>50</v>
      </c>
      <c r="H25">
        <v>196.9</v>
      </c>
      <c r="I25" s="14">
        <v>281.39788186467348</v>
      </c>
      <c r="J25" s="259">
        <v>196.9</v>
      </c>
      <c r="K25" s="260">
        <v>281.39788186467348</v>
      </c>
      <c r="L25" s="16">
        <f t="shared" si="0"/>
        <v>19</v>
      </c>
      <c r="M25" s="230">
        <f t="shared" si="1"/>
        <v>24</v>
      </c>
      <c r="N25" s="159">
        <f t="shared" si="2"/>
        <v>11</v>
      </c>
      <c r="O25" s="159">
        <f t="shared" si="3"/>
        <v>15</v>
      </c>
      <c r="P25" t="e" vm="1">
        <f t="shared" si="4"/>
        <v>#VALUE!</v>
      </c>
      <c r="Q25" s="15">
        <v>0</v>
      </c>
      <c r="R25" s="15">
        <v>0</v>
      </c>
      <c r="S25">
        <v>71</v>
      </c>
      <c r="T25" s="14">
        <f>Table231[[#This Row],[BDG]]/Table231[[#This Row],[Odds]]</f>
        <v>17.900000000000002</v>
      </c>
      <c r="U25" s="14" cm="1">
        <f t="array" ref="U25">MAX(_xlfn._xlws.FILTER(Table22[[B365]:[BFAIREXC]], Table22[PLAYER] = A25))</f>
        <v>11</v>
      </c>
    </row>
    <row r="26" spans="1:21">
      <c r="A26" s="159" t="s">
        <v>121</v>
      </c>
      <c r="B26">
        <v>110</v>
      </c>
      <c r="C26">
        <v>19</v>
      </c>
      <c r="D26">
        <v>18</v>
      </c>
      <c r="E26">
        <v>38</v>
      </c>
      <c r="F26">
        <v>83</v>
      </c>
      <c r="G26">
        <v>6</v>
      </c>
      <c r="H26">
        <v>153.89999999999998</v>
      </c>
      <c r="I26" s="14">
        <v>171.16362343537173</v>
      </c>
      <c r="J26" s="259">
        <v>198.3471556354506</v>
      </c>
      <c r="K26" s="260">
        <v>277.30556601026825</v>
      </c>
      <c r="L26" s="16">
        <f t="shared" si="0"/>
        <v>5</v>
      </c>
      <c r="M26" s="230">
        <f t="shared" si="1"/>
        <v>3</v>
      </c>
      <c r="N26" s="159">
        <f t="shared" si="2"/>
        <v>12</v>
      </c>
      <c r="O26" s="159">
        <f t="shared" si="3"/>
        <v>14</v>
      </c>
      <c r="P26" t="e" vm="1">
        <f t="shared" si="4"/>
        <v>#VALUE!</v>
      </c>
      <c r="Q26" s="15">
        <v>0</v>
      </c>
      <c r="R26" s="15">
        <v>0.2</v>
      </c>
      <c r="S26">
        <v>102</v>
      </c>
      <c r="T26" s="14">
        <f>Table231[[#This Row],[BDG]]/Table231[[#This Row],[Odds]]</f>
        <v>43.785244069635894</v>
      </c>
      <c r="U26" s="14" cm="1">
        <f t="array" ref="U26">MAX(_xlfn._xlws.FILTER(Table22[[B365]:[BFAIREXC]], Table22[PLAYER] = A26))</f>
        <v>4.53</v>
      </c>
    </row>
    <row r="27" spans="1:21">
      <c r="A27" s="159" t="s">
        <v>162</v>
      </c>
      <c r="B27">
        <v>133</v>
      </c>
      <c r="C27">
        <v>48</v>
      </c>
      <c r="D27">
        <v>43</v>
      </c>
      <c r="E27">
        <v>54</v>
      </c>
      <c r="F27">
        <v>45</v>
      </c>
      <c r="G27">
        <v>44</v>
      </c>
      <c r="H27">
        <v>186.5</v>
      </c>
      <c r="I27" s="14">
        <v>249.8845800964657</v>
      </c>
      <c r="J27" s="259">
        <v>201.08690435912473</v>
      </c>
      <c r="K27" s="260">
        <v>271.20636757199406</v>
      </c>
      <c r="L27" s="16">
        <f t="shared" si="0"/>
        <v>15</v>
      </c>
      <c r="M27" s="230">
        <f t="shared" si="1"/>
        <v>13</v>
      </c>
      <c r="N27" s="159">
        <f t="shared" si="2"/>
        <v>13</v>
      </c>
      <c r="O27" s="159">
        <f t="shared" si="3"/>
        <v>11</v>
      </c>
      <c r="P27" t="e" vm="1">
        <f t="shared" si="4"/>
        <v>#VALUE!</v>
      </c>
      <c r="Q27" s="15">
        <v>0</v>
      </c>
      <c r="R27" s="15">
        <v>0.16666666666666666</v>
      </c>
      <c r="S27">
        <v>21</v>
      </c>
      <c r="T27" s="14">
        <f>Table231[[#This Row],[BDG]]/Table231[[#This Row],[Odds]]</f>
        <v>40.871322024212347</v>
      </c>
      <c r="U27" s="14" cm="1">
        <f t="array" ref="U27">MAX(_xlfn._xlws.FILTER(Table22[[B365]:[BFAIREXC]], Table22[PLAYER] = A27))</f>
        <v>4.92</v>
      </c>
    </row>
    <row r="28" spans="1:21">
      <c r="A28" s="159" t="s">
        <v>188</v>
      </c>
      <c r="B28">
        <v>185</v>
      </c>
      <c r="C28">
        <v>12</v>
      </c>
      <c r="D28">
        <v>97</v>
      </c>
      <c r="E28">
        <v>34</v>
      </c>
      <c r="F28">
        <v>17</v>
      </c>
      <c r="G28">
        <v>65</v>
      </c>
      <c r="H28">
        <v>224.29999999999998</v>
      </c>
      <c r="I28" s="14">
        <v>307.76716780733705</v>
      </c>
      <c r="J28" s="259">
        <v>205.37992699301765</v>
      </c>
      <c r="K28" s="260">
        <v>266.21849863831568</v>
      </c>
      <c r="L28" s="16">
        <f t="shared" si="0"/>
        <v>37</v>
      </c>
      <c r="M28" s="230">
        <f t="shared" si="1"/>
        <v>32</v>
      </c>
      <c r="N28" s="159">
        <f t="shared" si="2"/>
        <v>15</v>
      </c>
      <c r="O28" s="159">
        <f t="shared" si="3"/>
        <v>9</v>
      </c>
      <c r="P28" t="e" vm="1">
        <f t="shared" si="4"/>
        <v>#VALUE!</v>
      </c>
      <c r="Q28" s="15">
        <v>0</v>
      </c>
      <c r="R28" s="15">
        <v>0</v>
      </c>
      <c r="S28">
        <v>-6</v>
      </c>
      <c r="T28" s="14" t="e" vm="1">
        <f>Table231[[#This Row],[BDG]]/Table231[[#This Row],[Odds]]</f>
        <v>#VALUE!</v>
      </c>
      <c r="U28" s="14" t="e" cm="1" vm="2">
        <f t="array" ref="U28">MAX(_xlfn._xlws.FILTER(Table22[[B365]:[BFAIREXC]], Table22[PLAYER] = A28))</f>
        <v>#VALUE!</v>
      </c>
    </row>
    <row r="29" spans="1:21">
      <c r="A29" s="159" t="s">
        <v>126</v>
      </c>
      <c r="B29">
        <v>152</v>
      </c>
      <c r="C29">
        <v>43</v>
      </c>
      <c r="D29">
        <v>77</v>
      </c>
      <c r="E29">
        <v>9</v>
      </c>
      <c r="F29">
        <v>40</v>
      </c>
      <c r="G29">
        <v>10</v>
      </c>
      <c r="H29">
        <v>201.1</v>
      </c>
      <c r="I29" s="14">
        <v>226.15621665463684</v>
      </c>
      <c r="J29" s="259">
        <v>206.0595474821024</v>
      </c>
      <c r="K29" s="260">
        <v>264.3372358145495</v>
      </c>
      <c r="L29" s="16">
        <f t="shared" si="0"/>
        <v>22</v>
      </c>
      <c r="M29" s="230">
        <f t="shared" si="1"/>
        <v>7</v>
      </c>
      <c r="N29" s="159">
        <f t="shared" si="2"/>
        <v>16</v>
      </c>
      <c r="O29" s="159">
        <f t="shared" si="3"/>
        <v>8</v>
      </c>
      <c r="P29" t="e" vm="1">
        <f t="shared" si="4"/>
        <v>#VALUE!</v>
      </c>
      <c r="Q29" s="15">
        <v>0</v>
      </c>
      <c r="R29" s="15">
        <v>0.5</v>
      </c>
      <c r="S29">
        <v>-4</v>
      </c>
      <c r="T29" s="14" t="e" vm="1">
        <f>Table231[[#This Row],[BDG]]/Table231[[#This Row],[Odds]]</f>
        <v>#VALUE!</v>
      </c>
      <c r="U29" s="14" t="e" cm="1" vm="2">
        <f t="array" ref="U29">MAX(_xlfn._xlws.FILTER(Table22[[B365]:[BFAIREXC]], Table22[PLAYER] = A29))</f>
        <v>#VALUE!</v>
      </c>
    </row>
    <row r="30" spans="1:21">
      <c r="A30" s="159" t="s">
        <v>424</v>
      </c>
      <c r="B30">
        <v>86</v>
      </c>
      <c r="C30">
        <v>27</v>
      </c>
      <c r="D30">
        <v>60</v>
      </c>
      <c r="E30">
        <v>121</v>
      </c>
      <c r="F30">
        <v>91</v>
      </c>
      <c r="G30">
        <v>66</v>
      </c>
      <c r="H30">
        <v>206.9</v>
      </c>
      <c r="I30" s="14">
        <v>308.18296454210684</v>
      </c>
      <c r="J30" s="259">
        <v>206.9</v>
      </c>
      <c r="K30" s="260">
        <v>308.18296454210684</v>
      </c>
      <c r="L30" s="16">
        <f t="shared" si="0"/>
        <v>25</v>
      </c>
      <c r="M30" s="230">
        <f t="shared" si="1"/>
        <v>33</v>
      </c>
      <c r="N30" s="159">
        <f t="shared" si="2"/>
        <v>17</v>
      </c>
      <c r="O30" s="159">
        <f t="shared" si="3"/>
        <v>24</v>
      </c>
      <c r="P30" t="e" vm="1">
        <f t="shared" si="4"/>
        <v>#VALUE!</v>
      </c>
      <c r="Q30" s="15">
        <v>0</v>
      </c>
      <c r="R30" s="15">
        <v>0.25</v>
      </c>
      <c r="S30">
        <v>21</v>
      </c>
      <c r="T30" s="14">
        <f>Table231[[#This Row],[BDG]]/Table231[[#This Row],[Odds]]</f>
        <v>33.918032786885249</v>
      </c>
      <c r="U30" s="14" cm="1">
        <f t="array" ref="U30">MAX(_xlfn._xlws.FILTER(Table22[[B365]:[BFAIREXC]], Table22[PLAYER] = A30))</f>
        <v>6.1</v>
      </c>
    </row>
    <row r="31" spans="1:21">
      <c r="A31" s="159" t="s">
        <v>20</v>
      </c>
      <c r="B31">
        <v>44</v>
      </c>
      <c r="C31">
        <v>151</v>
      </c>
      <c r="D31">
        <v>67</v>
      </c>
      <c r="E31">
        <v>160</v>
      </c>
      <c r="F31">
        <v>52</v>
      </c>
      <c r="G31">
        <v>74</v>
      </c>
      <c r="H31">
        <v>228.1</v>
      </c>
      <c r="I31" s="14">
        <v>357.89059117346835</v>
      </c>
      <c r="J31" s="259">
        <v>209.11986326918594</v>
      </c>
      <c r="K31" s="260">
        <v>330.29950967031556</v>
      </c>
      <c r="L31" s="16">
        <f t="shared" si="0"/>
        <v>42</v>
      </c>
      <c r="M31" s="230">
        <f t="shared" si="1"/>
        <v>47</v>
      </c>
      <c r="N31" s="159">
        <f t="shared" si="2"/>
        <v>18</v>
      </c>
      <c r="O31" s="159">
        <f t="shared" si="3"/>
        <v>35</v>
      </c>
      <c r="P31" t="e" vm="1">
        <f t="shared" si="4"/>
        <v>#VALUE!</v>
      </c>
      <c r="Q31" s="15">
        <v>0</v>
      </c>
      <c r="R31" s="15">
        <v>0</v>
      </c>
      <c r="S31">
        <v>-18</v>
      </c>
      <c r="T31" s="14">
        <f>Table231[[#This Row],[BDG]]/Table231[[#This Row],[Odds]]</f>
        <v>29.874266181312276</v>
      </c>
      <c r="U31" s="14" cm="1">
        <f t="array" ref="U31">MAX(_xlfn._xlws.FILTER(Table22[[B365]:[BFAIREXC]], Table22[PLAYER] = A31))</f>
        <v>7</v>
      </c>
    </row>
    <row r="32" spans="1:21">
      <c r="A32" s="159" t="s">
        <v>118</v>
      </c>
      <c r="B32">
        <v>114</v>
      </c>
      <c r="C32">
        <v>11</v>
      </c>
      <c r="D32">
        <v>75</v>
      </c>
      <c r="E32">
        <v>89</v>
      </c>
      <c r="F32">
        <v>55</v>
      </c>
      <c r="G32">
        <v>51</v>
      </c>
      <c r="H32">
        <v>199.79999999999998</v>
      </c>
      <c r="I32" s="14">
        <v>279.08761017316192</v>
      </c>
      <c r="J32" s="259">
        <v>209.35013208923868</v>
      </c>
      <c r="K32" s="260">
        <v>295.67793666916663</v>
      </c>
      <c r="L32" s="16">
        <f t="shared" si="0"/>
        <v>21</v>
      </c>
      <c r="M32" s="230">
        <f t="shared" si="1"/>
        <v>23</v>
      </c>
      <c r="N32" s="159">
        <f t="shared" si="2"/>
        <v>19</v>
      </c>
      <c r="O32" s="159">
        <f t="shared" si="3"/>
        <v>21</v>
      </c>
      <c r="P32" t="e" vm="1">
        <f t="shared" si="4"/>
        <v>#VALUE!</v>
      </c>
      <c r="Q32" s="15">
        <v>0</v>
      </c>
      <c r="R32" s="15">
        <v>0</v>
      </c>
      <c r="S32">
        <v>-10</v>
      </c>
      <c r="T32" s="14" t="e" vm="1">
        <f>Table231[[#This Row],[BDG]]/Table231[[#This Row],[Odds]]</f>
        <v>#VALUE!</v>
      </c>
      <c r="U32" s="14" t="e" cm="1" vm="2">
        <f t="array" ref="U32">MAX(_xlfn._xlws.FILTER(Table22[[B365]:[BFAIREXC]], Table22[PLAYER] = A32))</f>
        <v>#VALUE!</v>
      </c>
    </row>
    <row r="33" spans="1:21">
      <c r="A33" s="159" t="s">
        <v>124</v>
      </c>
      <c r="B33">
        <v>145</v>
      </c>
      <c r="C33">
        <v>86</v>
      </c>
      <c r="D33">
        <v>42</v>
      </c>
      <c r="E33">
        <v>94</v>
      </c>
      <c r="F33">
        <v>155</v>
      </c>
      <c r="G33">
        <v>99</v>
      </c>
      <c r="H33">
        <v>280.39999999999998</v>
      </c>
      <c r="I33" s="14">
        <v>412.60009397715345</v>
      </c>
      <c r="J33" s="259">
        <v>209.82512449776425</v>
      </c>
      <c r="K33" s="260">
        <v>289.96466986133373</v>
      </c>
      <c r="L33" s="16">
        <f t="shared" si="0"/>
        <v>80</v>
      </c>
      <c r="M33" s="230">
        <f t="shared" si="1"/>
        <v>70</v>
      </c>
      <c r="N33" s="159">
        <f t="shared" si="2"/>
        <v>20</v>
      </c>
      <c r="O33" s="159">
        <f t="shared" si="3"/>
        <v>18</v>
      </c>
      <c r="P33" t="e" vm="1">
        <f t="shared" si="4"/>
        <v>#VALUE!</v>
      </c>
      <c r="Q33" s="15">
        <v>0</v>
      </c>
      <c r="R33" s="15">
        <v>0</v>
      </c>
      <c r="S33">
        <v>26</v>
      </c>
      <c r="T33" s="14" t="e" vm="1">
        <f>Table231[[#This Row],[BDG]]/Table231[[#This Row],[Odds]]</f>
        <v>#VALUE!</v>
      </c>
      <c r="U33" s="14" t="e" cm="1" vm="2">
        <f t="array" ref="U33">MAX(_xlfn._xlws.FILTER(Table22[[B365]:[BFAIREXC]], Table22[PLAYER] = A33))</f>
        <v>#VALUE!</v>
      </c>
    </row>
    <row r="34" spans="1:21">
      <c r="A34" s="159" t="s">
        <v>130</v>
      </c>
      <c r="B34">
        <v>93</v>
      </c>
      <c r="C34">
        <v>42</v>
      </c>
      <c r="D34">
        <v>37</v>
      </c>
      <c r="E34">
        <v>120</v>
      </c>
      <c r="F34">
        <v>134</v>
      </c>
      <c r="G34">
        <v>72</v>
      </c>
      <c r="H34">
        <v>222.79999999999998</v>
      </c>
      <c r="I34" s="14">
        <v>328.71457655326594</v>
      </c>
      <c r="J34" s="259">
        <v>210.66369557320826</v>
      </c>
      <c r="K34" s="260">
        <v>293.15626371484109</v>
      </c>
      <c r="L34" s="16">
        <f t="shared" ref="L34:L65" si="5">RANK(H34,$H$2:$H$129,1)</f>
        <v>35</v>
      </c>
      <c r="M34" s="230">
        <f t="shared" ref="M34:M65" si="6">RANK(I34,$I$2:$I$129,1)</f>
        <v>38</v>
      </c>
      <c r="N34" s="159">
        <f t="shared" ref="N34:N65" si="7">RANK(J34,$J$2:$J$129,1)</f>
        <v>21</v>
      </c>
      <c r="O34" s="159">
        <f t="shared" ref="O34:O65" si="8">RANK(K34,$K$2:$K$129,1)</f>
        <v>19</v>
      </c>
      <c r="P34" t="e" vm="1">
        <f t="shared" ref="P34:P65" si="9">RANK(T34,$T$2:$T$129,1)</f>
        <v>#VALUE!</v>
      </c>
      <c r="Q34" s="15">
        <v>0</v>
      </c>
      <c r="R34" s="15">
        <v>0.16666666666666666</v>
      </c>
      <c r="S34">
        <v>-13</v>
      </c>
      <c r="T34" s="14" t="e" vm="1">
        <f>Table231[[#This Row],[BDG]]/Table231[[#This Row],[Odds]]</f>
        <v>#VALUE!</v>
      </c>
      <c r="U34" s="14" t="e" cm="1" vm="2">
        <f t="array" ref="U34">MAX(_xlfn._xlws.FILTER(Table22[[B365]:[BFAIREXC]], Table22[PLAYER] = A34))</f>
        <v>#VALUE!</v>
      </c>
    </row>
    <row r="35" spans="1:21">
      <c r="A35" s="159" t="s">
        <v>62</v>
      </c>
      <c r="B35">
        <v>84</v>
      </c>
      <c r="C35">
        <v>162</v>
      </c>
      <c r="D35">
        <v>50</v>
      </c>
      <c r="E35">
        <v>108</v>
      </c>
      <c r="F35">
        <v>66</v>
      </c>
      <c r="G35">
        <v>108</v>
      </c>
      <c r="H35">
        <v>234.8</v>
      </c>
      <c r="I35" s="14">
        <v>386.41368303884826</v>
      </c>
      <c r="J35" s="259">
        <v>210.95470163881907</v>
      </c>
      <c r="K35" s="260">
        <v>341.88332126992998</v>
      </c>
      <c r="L35" s="16">
        <f t="shared" si="5"/>
        <v>46</v>
      </c>
      <c r="M35" s="230">
        <f t="shared" si="6"/>
        <v>61</v>
      </c>
      <c r="N35" s="159">
        <f t="shared" si="7"/>
        <v>22</v>
      </c>
      <c r="O35" s="159">
        <f t="shared" si="8"/>
        <v>42</v>
      </c>
      <c r="P35" t="e" vm="1">
        <f t="shared" si="9"/>
        <v>#VALUE!</v>
      </c>
      <c r="Q35" s="15">
        <v>0</v>
      </c>
      <c r="R35" s="15">
        <v>0.2</v>
      </c>
      <c r="S35">
        <v>-67</v>
      </c>
      <c r="T35" s="14">
        <f>Table231[[#This Row],[BDG]]/Table231[[#This Row],[Odds]]</f>
        <v>19.532842744335099</v>
      </c>
      <c r="U35" s="14" cm="1">
        <f t="array" ref="U35">MAX(_xlfn._xlws.FILTER(Table22[[B365]:[BFAIREXC]], Table22[PLAYER] = A35))</f>
        <v>10.8</v>
      </c>
    </row>
    <row r="36" spans="1:21">
      <c r="A36" s="159" t="s">
        <v>799</v>
      </c>
      <c r="B36">
        <v>21</v>
      </c>
      <c r="C36">
        <v>176</v>
      </c>
      <c r="D36">
        <v>107</v>
      </c>
      <c r="E36">
        <v>93</v>
      </c>
      <c r="F36">
        <v>4</v>
      </c>
      <c r="G36">
        <v>6</v>
      </c>
      <c r="H36">
        <v>199.2</v>
      </c>
      <c r="I36" s="14">
        <v>256.24264178243709</v>
      </c>
      <c r="J36" s="259">
        <v>211.00681199891505</v>
      </c>
      <c r="K36" s="260">
        <v>338.50291483430021</v>
      </c>
      <c r="L36" s="16">
        <f t="shared" si="5"/>
        <v>20</v>
      </c>
      <c r="M36" s="230">
        <f t="shared" si="6"/>
        <v>16</v>
      </c>
      <c r="N36" s="159">
        <f t="shared" si="7"/>
        <v>23</v>
      </c>
      <c r="O36" s="159">
        <f t="shared" si="8"/>
        <v>40</v>
      </c>
      <c r="P36" t="e" vm="1">
        <f t="shared" si="9"/>
        <v>#VALUE!</v>
      </c>
      <c r="Q36" s="15" t="e">
        <v>#N/A</v>
      </c>
      <c r="R36" s="15" t="e">
        <v>#N/A</v>
      </c>
      <c r="S36" t="e">
        <v>#N/A</v>
      </c>
      <c r="T36" s="14" t="e" vm="1">
        <f>Table231[[#This Row],[BDG]]/Table231[[#This Row],[Odds]]</f>
        <v>#VALUE!</v>
      </c>
      <c r="U36" s="14" t="e" cm="1" vm="2">
        <f t="array" ref="U36">MAX(_xlfn._xlws.FILTER(Table22[[B365]:[BFAIREXC]], Table22[PLAYER] = A36))</f>
        <v>#VALUE!</v>
      </c>
    </row>
    <row r="37" spans="1:21">
      <c r="A37" s="159" t="s">
        <v>44</v>
      </c>
      <c r="B37">
        <v>123</v>
      </c>
      <c r="C37">
        <v>150</v>
      </c>
      <c r="D37">
        <v>142</v>
      </c>
      <c r="E37">
        <v>112</v>
      </c>
      <c r="F37">
        <v>164</v>
      </c>
      <c r="G37">
        <v>174</v>
      </c>
      <c r="H37">
        <v>372.3</v>
      </c>
      <c r="I37" s="14">
        <v>605.65724595812162</v>
      </c>
      <c r="J37" s="259">
        <v>211.74966619789262</v>
      </c>
      <c r="K37" s="260">
        <v>324.80892257119052</v>
      </c>
      <c r="L37" s="16">
        <f t="shared" si="5"/>
        <v>126</v>
      </c>
      <c r="M37" s="230">
        <f t="shared" si="6"/>
        <v>124</v>
      </c>
      <c r="N37" s="159">
        <f t="shared" si="7"/>
        <v>24</v>
      </c>
      <c r="O37" s="159">
        <f t="shared" si="8"/>
        <v>32</v>
      </c>
      <c r="P37" t="e" vm="1">
        <f t="shared" si="9"/>
        <v>#VALUE!</v>
      </c>
      <c r="Q37" s="15">
        <v>0</v>
      </c>
      <c r="R37" s="15">
        <v>0</v>
      </c>
      <c r="S37">
        <v>-31</v>
      </c>
      <c r="T37" s="14" t="e" vm="1">
        <f>Table231[[#This Row],[BDG]]/Table231[[#This Row],[Odds]]</f>
        <v>#VALUE!</v>
      </c>
      <c r="U37" s="14" t="e" cm="1" vm="2">
        <f t="array" ref="U37">MAX(_xlfn._xlws.FILTER(Table22[[B365]:[BFAIREXC]], Table22[PLAYER] = A37))</f>
        <v>#VALUE!</v>
      </c>
    </row>
    <row r="38" spans="1:21">
      <c r="A38" s="159" t="s">
        <v>370</v>
      </c>
      <c r="B38">
        <v>119</v>
      </c>
      <c r="C38">
        <v>40</v>
      </c>
      <c r="D38">
        <v>88</v>
      </c>
      <c r="E38">
        <v>129</v>
      </c>
      <c r="F38">
        <v>27</v>
      </c>
      <c r="G38">
        <v>22</v>
      </c>
      <c r="H38">
        <v>225.99999999999997</v>
      </c>
      <c r="I38" s="14">
        <v>287.83448413156464</v>
      </c>
      <c r="J38" s="259">
        <v>212.7859807570282</v>
      </c>
      <c r="K38" s="260">
        <v>317.94463292580724</v>
      </c>
      <c r="L38" s="16">
        <f t="shared" si="5"/>
        <v>39</v>
      </c>
      <c r="M38" s="230">
        <f t="shared" si="6"/>
        <v>26</v>
      </c>
      <c r="N38" s="159">
        <f t="shared" si="7"/>
        <v>27</v>
      </c>
      <c r="O38" s="159">
        <f t="shared" si="8"/>
        <v>29</v>
      </c>
      <c r="P38" t="e" vm="1">
        <f t="shared" si="9"/>
        <v>#VALUE!</v>
      </c>
      <c r="Q38" s="15">
        <v>0</v>
      </c>
      <c r="R38" s="15">
        <v>0</v>
      </c>
      <c r="S38">
        <v>1</v>
      </c>
      <c r="T38" s="14" t="e" vm="1">
        <f>Table231[[#This Row],[BDG]]/Table231[[#This Row],[Odds]]</f>
        <v>#VALUE!</v>
      </c>
      <c r="U38" s="14" t="e" cm="1" vm="2">
        <f t="array" ref="U38">MAX(_xlfn._xlws.FILTER(Table22[[B365]:[BFAIREXC]], Table22[PLAYER] = A38))</f>
        <v>#VALUE!</v>
      </c>
    </row>
    <row r="39" spans="1:21">
      <c r="A39" s="159" t="s">
        <v>56</v>
      </c>
      <c r="B39">
        <v>95</v>
      </c>
      <c r="C39">
        <v>73</v>
      </c>
      <c r="D39">
        <v>133</v>
      </c>
      <c r="E39">
        <v>55</v>
      </c>
      <c r="F39">
        <v>65</v>
      </c>
      <c r="G39">
        <v>79</v>
      </c>
      <c r="H39">
        <v>243.3</v>
      </c>
      <c r="I39" s="14">
        <v>360.00114477756608</v>
      </c>
      <c r="J39" s="259">
        <v>213.25097702020309</v>
      </c>
      <c r="K39" s="260">
        <v>313.06628249207597</v>
      </c>
      <c r="L39" s="16">
        <f t="shared" si="5"/>
        <v>53</v>
      </c>
      <c r="M39" s="230">
        <f t="shared" si="6"/>
        <v>49</v>
      </c>
      <c r="N39" s="159">
        <f t="shared" si="7"/>
        <v>28</v>
      </c>
      <c r="O39" s="159">
        <f t="shared" si="8"/>
        <v>26</v>
      </c>
      <c r="P39" t="e" vm="1">
        <f t="shared" si="9"/>
        <v>#VALUE!</v>
      </c>
      <c r="Q39" s="15">
        <v>0</v>
      </c>
      <c r="R39" s="15">
        <v>0</v>
      </c>
      <c r="S39">
        <v>-5</v>
      </c>
      <c r="T39" s="14" t="e" vm="1">
        <f>Table231[[#This Row],[BDG]]/Table231[[#This Row],[Odds]]</f>
        <v>#VALUE!</v>
      </c>
      <c r="U39" s="14" t="e" cm="1" vm="2">
        <f t="array" ref="U39">MAX(_xlfn._xlws.FILTER(Table22[[B365]:[BFAIREXC]], Table22[PLAYER] = A39))</f>
        <v>#VALUE!</v>
      </c>
    </row>
    <row r="40" spans="1:21">
      <c r="A40" s="159" t="s">
        <v>434</v>
      </c>
      <c r="B40">
        <v>69</v>
      </c>
      <c r="C40">
        <v>120</v>
      </c>
      <c r="D40">
        <v>26</v>
      </c>
      <c r="E40">
        <v>93</v>
      </c>
      <c r="F40">
        <v>162</v>
      </c>
      <c r="G40">
        <v>86</v>
      </c>
      <c r="H40">
        <v>232.7</v>
      </c>
      <c r="I40" s="14">
        <v>354.66874429722537</v>
      </c>
      <c r="J40" s="259">
        <v>213.59973582152259</v>
      </c>
      <c r="K40" s="260">
        <v>314.14972421344481</v>
      </c>
      <c r="L40" s="16">
        <f t="shared" si="5"/>
        <v>44</v>
      </c>
      <c r="M40" s="230">
        <f t="shared" si="6"/>
        <v>46</v>
      </c>
      <c r="N40" s="159">
        <f t="shared" si="7"/>
        <v>29</v>
      </c>
      <c r="O40" s="159">
        <f t="shared" si="8"/>
        <v>27</v>
      </c>
      <c r="P40" t="e" vm="1">
        <f t="shared" si="9"/>
        <v>#VALUE!</v>
      </c>
      <c r="Q40" s="15">
        <v>0</v>
      </c>
      <c r="R40" s="15">
        <v>0.2</v>
      </c>
      <c r="S40">
        <v>-30</v>
      </c>
      <c r="T40" s="14" t="e" vm="1">
        <f>Table231[[#This Row],[BDG]]/Table231[[#This Row],[Odds]]</f>
        <v>#VALUE!</v>
      </c>
      <c r="U40" s="14" t="e" cm="1" vm="2">
        <f t="array" ref="U40">MAX(_xlfn._xlws.FILTER(Table22[[B365]:[BFAIREXC]], Table22[PLAYER] = A40))</f>
        <v>#VALUE!</v>
      </c>
    </row>
    <row r="41" spans="1:21">
      <c r="A41" s="159" t="s">
        <v>493</v>
      </c>
      <c r="B41">
        <v>23</v>
      </c>
      <c r="C41">
        <v>168</v>
      </c>
      <c r="D41">
        <v>10</v>
      </c>
      <c r="E41">
        <v>80</v>
      </c>
      <c r="F41">
        <v>185</v>
      </c>
      <c r="G41">
        <v>128</v>
      </c>
      <c r="H41">
        <v>214.8</v>
      </c>
      <c r="I41" s="14">
        <v>380.25125022810062</v>
      </c>
      <c r="J41" s="259">
        <v>214.8</v>
      </c>
      <c r="K41" s="260">
        <v>380.25125022810062</v>
      </c>
      <c r="L41" s="16">
        <f t="shared" si="5"/>
        <v>28</v>
      </c>
      <c r="M41" s="230">
        <f t="shared" si="6"/>
        <v>60</v>
      </c>
      <c r="N41" s="159">
        <f t="shared" si="7"/>
        <v>30</v>
      </c>
      <c r="O41" s="159">
        <f t="shared" si="8"/>
        <v>65</v>
      </c>
      <c r="P41" t="e" vm="1">
        <f t="shared" si="9"/>
        <v>#VALUE!</v>
      </c>
      <c r="Q41" s="15">
        <v>0</v>
      </c>
      <c r="R41" s="15">
        <v>0</v>
      </c>
      <c r="S41">
        <v>-20</v>
      </c>
      <c r="T41" s="14">
        <f>Table231[[#This Row],[BDG]]/Table231[[#This Row],[Odds]]</f>
        <v>30.685714285714287</v>
      </c>
      <c r="U41" s="14" cm="1">
        <f t="array" ref="U41">MAX(_xlfn._xlws.FILTER(Table22[[B365]:[BFAIREXC]], Table22[PLAYER] = A41))</f>
        <v>7</v>
      </c>
    </row>
    <row r="42" spans="1:21">
      <c r="A42" s="159" t="s">
        <v>28</v>
      </c>
      <c r="B42">
        <v>62</v>
      </c>
      <c r="C42">
        <v>135</v>
      </c>
      <c r="D42">
        <v>24</v>
      </c>
      <c r="E42">
        <v>111</v>
      </c>
      <c r="F42">
        <v>16</v>
      </c>
      <c r="G42">
        <v>37</v>
      </c>
      <c r="H42">
        <v>166.60000000000002</v>
      </c>
      <c r="I42" s="14">
        <v>240.29857643280798</v>
      </c>
      <c r="J42" s="259">
        <v>217.17365546628298</v>
      </c>
      <c r="K42" s="260">
        <v>340.97765897320198</v>
      </c>
      <c r="L42" s="16">
        <f t="shared" si="5"/>
        <v>8</v>
      </c>
      <c r="M42" s="230">
        <f t="shared" si="6"/>
        <v>11</v>
      </c>
      <c r="N42" s="159">
        <f t="shared" si="7"/>
        <v>31</v>
      </c>
      <c r="O42" s="159">
        <f t="shared" si="8"/>
        <v>41</v>
      </c>
      <c r="P42" t="e" vm="1">
        <f t="shared" si="9"/>
        <v>#VALUE!</v>
      </c>
      <c r="Q42" s="15">
        <v>0</v>
      </c>
      <c r="R42" s="15">
        <v>0</v>
      </c>
      <c r="S42">
        <v>28</v>
      </c>
      <c r="T42" s="14">
        <f>Table231[[#This Row],[BDG]]/Table231[[#This Row],[Odds]]</f>
        <v>46.905757120147513</v>
      </c>
      <c r="U42" s="14" cm="1">
        <f t="array" ref="U42">MAX(_xlfn._xlws.FILTER(Table22[[B365]:[BFAIREXC]], Table22[PLAYER] = A42))</f>
        <v>4.63</v>
      </c>
    </row>
    <row r="43" spans="1:21">
      <c r="A43" s="159" t="s">
        <v>491</v>
      </c>
      <c r="B43">
        <v>188</v>
      </c>
      <c r="C43">
        <v>5</v>
      </c>
      <c r="D43">
        <v>68</v>
      </c>
      <c r="E43">
        <v>188</v>
      </c>
      <c r="F43">
        <v>57</v>
      </c>
      <c r="G43">
        <v>163</v>
      </c>
      <c r="H43">
        <v>284.89999999999998</v>
      </c>
      <c r="I43" s="14">
        <v>491.43519756304914</v>
      </c>
      <c r="J43" s="259">
        <v>218.52958516598252</v>
      </c>
      <c r="K43" s="260">
        <v>330.96795045444503</v>
      </c>
      <c r="L43" s="16">
        <f t="shared" si="5"/>
        <v>84</v>
      </c>
      <c r="M43" s="230">
        <f t="shared" si="6"/>
        <v>94</v>
      </c>
      <c r="N43" s="159">
        <f t="shared" si="7"/>
        <v>32</v>
      </c>
      <c r="O43" s="159">
        <f t="shared" si="8"/>
        <v>36</v>
      </c>
      <c r="P43" t="e" vm="1">
        <f t="shared" si="9"/>
        <v>#VALUE!</v>
      </c>
      <c r="Q43" s="15">
        <v>0</v>
      </c>
      <c r="R43" s="15">
        <v>0</v>
      </c>
      <c r="S43">
        <v>-19</v>
      </c>
      <c r="T43" s="14" t="e" vm="1">
        <f>Table231[[#This Row],[BDG]]/Table231[[#This Row],[Odds]]</f>
        <v>#VALUE!</v>
      </c>
      <c r="U43" s="14" t="e" cm="1" vm="2">
        <f t="array" ref="U43">MAX(_xlfn._xlws.FILTER(Table22[[B365]:[BFAIREXC]], Table22[PLAYER] = A43))</f>
        <v>#VALUE!</v>
      </c>
    </row>
    <row r="44" spans="1:21">
      <c r="A44" s="159" t="s">
        <v>433</v>
      </c>
      <c r="B44">
        <v>143</v>
      </c>
      <c r="C44">
        <v>6</v>
      </c>
      <c r="D44">
        <v>134</v>
      </c>
      <c r="E44">
        <v>41</v>
      </c>
      <c r="F44">
        <v>12</v>
      </c>
      <c r="G44">
        <v>17</v>
      </c>
      <c r="H44">
        <v>218.70000000000002</v>
      </c>
      <c r="I44" s="14">
        <v>261.71544146511673</v>
      </c>
      <c r="J44" s="259">
        <v>218.70000000000002</v>
      </c>
      <c r="K44" s="260">
        <v>261.71544146511673</v>
      </c>
      <c r="L44" s="16">
        <f t="shared" si="5"/>
        <v>31</v>
      </c>
      <c r="M44" s="230">
        <f t="shared" si="6"/>
        <v>18</v>
      </c>
      <c r="N44" s="159">
        <f t="shared" si="7"/>
        <v>33</v>
      </c>
      <c r="O44" s="159">
        <f t="shared" si="8"/>
        <v>6</v>
      </c>
      <c r="P44" t="e" vm="1">
        <f t="shared" si="9"/>
        <v>#VALUE!</v>
      </c>
      <c r="Q44" s="15">
        <v>0</v>
      </c>
      <c r="R44" s="15">
        <v>0</v>
      </c>
      <c r="S44">
        <v>-1</v>
      </c>
      <c r="T44" s="14">
        <f>Table231[[#This Row],[BDG]]/Table231[[#This Row],[Odds]]</f>
        <v>21.233009708737864</v>
      </c>
      <c r="U44" s="14" cm="1">
        <f t="array" ref="U44">MAX(_xlfn._xlws.FILTER(Table22[[B365]:[BFAIREXC]], Table22[PLAYER] = A44))</f>
        <v>10.3</v>
      </c>
    </row>
    <row r="45" spans="1:21">
      <c r="A45" s="159" t="s">
        <v>122</v>
      </c>
      <c r="B45">
        <v>118</v>
      </c>
      <c r="C45">
        <v>10</v>
      </c>
      <c r="D45">
        <v>136</v>
      </c>
      <c r="E45">
        <v>31</v>
      </c>
      <c r="F45">
        <v>59</v>
      </c>
      <c r="G45">
        <v>89</v>
      </c>
      <c r="H45">
        <v>223.7</v>
      </c>
      <c r="I45" s="14">
        <v>339.46503202907672</v>
      </c>
      <c r="J45" s="259">
        <v>220.45655891308871</v>
      </c>
      <c r="K45" s="260">
        <v>331.7359204837561</v>
      </c>
      <c r="L45" s="16">
        <f t="shared" si="5"/>
        <v>36</v>
      </c>
      <c r="M45" s="230">
        <f t="shared" si="6"/>
        <v>39</v>
      </c>
      <c r="N45" s="159">
        <f t="shared" si="7"/>
        <v>34</v>
      </c>
      <c r="O45" s="159">
        <f t="shared" si="8"/>
        <v>37</v>
      </c>
      <c r="P45" t="e" vm="1">
        <f t="shared" si="9"/>
        <v>#VALUE!</v>
      </c>
      <c r="Q45" s="15">
        <v>0</v>
      </c>
      <c r="R45" s="15">
        <v>0.2</v>
      </c>
      <c r="S45">
        <v>38</v>
      </c>
      <c r="T45" s="14">
        <f>Table231[[#This Row],[BDG]]/Table231[[#This Row],[Odds]]</f>
        <v>47.614807540623914</v>
      </c>
      <c r="U45" s="14" cm="1">
        <f t="array" ref="U45">MAX(_xlfn._xlws.FILTER(Table22[[B365]:[BFAIREXC]], Table22[PLAYER] = A45))</f>
        <v>4.63</v>
      </c>
    </row>
    <row r="46" spans="1:21">
      <c r="A46" s="159" t="s">
        <v>166</v>
      </c>
      <c r="B46">
        <v>164</v>
      </c>
      <c r="C46">
        <v>70</v>
      </c>
      <c r="D46">
        <v>91</v>
      </c>
      <c r="E46">
        <v>17</v>
      </c>
      <c r="F46">
        <v>118</v>
      </c>
      <c r="G46">
        <v>73</v>
      </c>
      <c r="H46">
        <v>272.3</v>
      </c>
      <c r="I46" s="14">
        <v>368.50784630759517</v>
      </c>
      <c r="J46" s="259">
        <v>221.57875938373058</v>
      </c>
      <c r="K46" s="260">
        <v>285.71861482012815</v>
      </c>
      <c r="L46" s="16">
        <f t="shared" si="5"/>
        <v>76</v>
      </c>
      <c r="M46" s="230">
        <f t="shared" si="6"/>
        <v>52</v>
      </c>
      <c r="N46" s="159">
        <f t="shared" si="7"/>
        <v>35</v>
      </c>
      <c r="O46" s="159">
        <f t="shared" si="8"/>
        <v>17</v>
      </c>
      <c r="P46" t="e" vm="1">
        <f t="shared" si="9"/>
        <v>#VALUE!</v>
      </c>
      <c r="Q46" s="15">
        <v>0</v>
      </c>
      <c r="R46" s="15">
        <v>0.25</v>
      </c>
      <c r="S46">
        <v>-14</v>
      </c>
      <c r="T46" s="14" t="e" vm="1">
        <f>Table231[[#This Row],[BDG]]/Table231[[#This Row],[Odds]]</f>
        <v>#VALUE!</v>
      </c>
      <c r="U46" s="14" t="e" cm="1" vm="2">
        <f t="array" ref="U46">MAX(_xlfn._xlws.FILTER(Table22[[B365]:[BFAIREXC]], Table22[PLAYER] = A46))</f>
        <v>#VALUE!</v>
      </c>
    </row>
    <row r="47" spans="1:21">
      <c r="A47" s="159" t="s">
        <v>241</v>
      </c>
      <c r="B47">
        <v>29</v>
      </c>
      <c r="C47">
        <v>57</v>
      </c>
      <c r="D47">
        <v>34</v>
      </c>
      <c r="E47">
        <v>168</v>
      </c>
      <c r="F47">
        <v>175</v>
      </c>
      <c r="G47">
        <v>137</v>
      </c>
      <c r="H47">
        <v>221.6</v>
      </c>
      <c r="I47" s="14">
        <v>405.43334510087982</v>
      </c>
      <c r="J47" s="259">
        <v>221.6</v>
      </c>
      <c r="K47" s="260">
        <v>405.43334510087982</v>
      </c>
      <c r="L47" s="16">
        <f t="shared" si="5"/>
        <v>33</v>
      </c>
      <c r="M47" s="230">
        <f t="shared" si="6"/>
        <v>67</v>
      </c>
      <c r="N47" s="159">
        <f t="shared" si="7"/>
        <v>36</v>
      </c>
      <c r="O47" s="159">
        <f t="shared" si="8"/>
        <v>74</v>
      </c>
      <c r="P47" t="e" vm="1">
        <f t="shared" si="9"/>
        <v>#VALUE!</v>
      </c>
      <c r="Q47" s="15">
        <v>0</v>
      </c>
      <c r="R47" s="15">
        <v>0</v>
      </c>
      <c r="S47">
        <v>-29</v>
      </c>
      <c r="T47" s="14">
        <f>Table231[[#This Row],[BDG]]/Table231[[#This Row],[Odds]]</f>
        <v>29.546666666666667</v>
      </c>
      <c r="U47" s="14" cm="1">
        <f t="array" ref="U47">MAX(_xlfn._xlws.FILTER(Table22[[B365]:[BFAIREXC]], Table22[PLAYER] = A47))</f>
        <v>7.5</v>
      </c>
    </row>
    <row r="48" spans="1:21">
      <c r="A48" s="159" t="s">
        <v>72</v>
      </c>
      <c r="B48">
        <v>83</v>
      </c>
      <c r="C48">
        <v>77</v>
      </c>
      <c r="D48">
        <v>111</v>
      </c>
      <c r="E48">
        <v>80</v>
      </c>
      <c r="F48">
        <v>116</v>
      </c>
      <c r="G48">
        <v>114</v>
      </c>
      <c r="H48">
        <v>256.59999999999997</v>
      </c>
      <c r="I48" s="14">
        <v>411.69631246349491</v>
      </c>
      <c r="J48" s="259">
        <v>223.08444210191698</v>
      </c>
      <c r="K48" s="260">
        <v>319.8948886321383</v>
      </c>
      <c r="L48" s="16">
        <f t="shared" si="5"/>
        <v>66</v>
      </c>
      <c r="M48" s="230">
        <f t="shared" si="6"/>
        <v>69</v>
      </c>
      <c r="N48" s="159">
        <f t="shared" si="7"/>
        <v>37</v>
      </c>
      <c r="O48" s="159">
        <f t="shared" si="8"/>
        <v>30</v>
      </c>
      <c r="P48" t="e" vm="1">
        <f t="shared" si="9"/>
        <v>#VALUE!</v>
      </c>
      <c r="Q48" s="15">
        <v>0</v>
      </c>
      <c r="R48" s="15">
        <v>0</v>
      </c>
      <c r="S48">
        <v>-50</v>
      </c>
      <c r="T48" s="14" t="e" vm="1">
        <f>Table231[[#This Row],[BDG]]/Table231[[#This Row],[Odds]]</f>
        <v>#VALUE!</v>
      </c>
      <c r="U48" s="14" t="e" cm="1" vm="2">
        <f t="array" ref="U48">MAX(_xlfn._xlws.FILTER(Table22[[B365]:[BFAIREXC]], Table22[PLAYER] = A48))</f>
        <v>#VALUE!</v>
      </c>
    </row>
    <row r="49" spans="1:21">
      <c r="A49" s="159" t="s">
        <v>93</v>
      </c>
      <c r="B49">
        <v>101</v>
      </c>
      <c r="C49">
        <v>24</v>
      </c>
      <c r="D49">
        <v>28</v>
      </c>
      <c r="E49">
        <v>143</v>
      </c>
      <c r="F49">
        <v>165</v>
      </c>
      <c r="G49">
        <v>85</v>
      </c>
      <c r="H49">
        <v>239.59999999999997</v>
      </c>
      <c r="I49" s="14">
        <v>360.37745723957619</v>
      </c>
      <c r="J49" s="259">
        <v>225.12464255656269</v>
      </c>
      <c r="K49" s="260">
        <v>316.83298883024202</v>
      </c>
      <c r="L49" s="16">
        <f t="shared" si="5"/>
        <v>48</v>
      </c>
      <c r="M49" s="230">
        <f t="shared" si="6"/>
        <v>50</v>
      </c>
      <c r="N49" s="159">
        <f t="shared" si="7"/>
        <v>38</v>
      </c>
      <c r="O49" s="159">
        <f t="shared" si="8"/>
        <v>28</v>
      </c>
      <c r="P49" t="e" vm="1">
        <f t="shared" si="9"/>
        <v>#VALUE!</v>
      </c>
      <c r="Q49" s="15">
        <v>0</v>
      </c>
      <c r="R49" s="15">
        <v>0</v>
      </c>
      <c r="S49">
        <v>-9</v>
      </c>
      <c r="T49" s="14" t="e" vm="1">
        <f>Table231[[#This Row],[BDG]]/Table231[[#This Row],[Odds]]</f>
        <v>#VALUE!</v>
      </c>
      <c r="U49" s="14" t="e" cm="1" vm="2">
        <f t="array" ref="U49">MAX(_xlfn._xlws.FILTER(Table22[[B365]:[BFAIREXC]], Table22[PLAYER] = A49))</f>
        <v>#VALUE!</v>
      </c>
    </row>
    <row r="50" spans="1:21">
      <c r="A50" s="159" t="s">
        <v>489</v>
      </c>
      <c r="B50">
        <v>90</v>
      </c>
      <c r="C50">
        <v>88</v>
      </c>
      <c r="D50">
        <v>77</v>
      </c>
      <c r="E50">
        <v>66</v>
      </c>
      <c r="F50">
        <v>97</v>
      </c>
      <c r="G50">
        <v>113</v>
      </c>
      <c r="H50">
        <v>227</v>
      </c>
      <c r="I50" s="14">
        <v>373.43645081783905</v>
      </c>
      <c r="J50" s="259">
        <v>227</v>
      </c>
      <c r="K50" s="260">
        <v>373.43645081783905</v>
      </c>
      <c r="L50" s="16">
        <f t="shared" si="5"/>
        <v>41</v>
      </c>
      <c r="M50" s="230">
        <f t="shared" si="6"/>
        <v>55</v>
      </c>
      <c r="N50" s="159">
        <f t="shared" si="7"/>
        <v>41</v>
      </c>
      <c r="O50" s="159">
        <f t="shared" si="8"/>
        <v>60</v>
      </c>
      <c r="P50" t="e" vm="1">
        <f t="shared" si="9"/>
        <v>#VALUE!</v>
      </c>
      <c r="Q50" s="15">
        <v>0</v>
      </c>
      <c r="R50" s="15">
        <v>0</v>
      </c>
      <c r="S50">
        <v>-48</v>
      </c>
      <c r="T50" s="14" t="e" vm="1">
        <f>Table231[[#This Row],[BDG]]/Table231[[#This Row],[Odds]]</f>
        <v>#VALUE!</v>
      </c>
      <c r="U50" s="14" t="e" cm="1" vm="2">
        <f t="array" ref="U50">MAX(_xlfn._xlws.FILTER(Table22[[B365]:[BFAIREXC]], Table22[PLAYER] = A50))</f>
        <v>#VALUE!</v>
      </c>
    </row>
    <row r="51" spans="1:21">
      <c r="A51" s="159" t="s">
        <v>82</v>
      </c>
      <c r="B51">
        <v>72</v>
      </c>
      <c r="C51">
        <v>165</v>
      </c>
      <c r="D51">
        <v>99</v>
      </c>
      <c r="E51">
        <v>76</v>
      </c>
      <c r="F51">
        <v>36</v>
      </c>
      <c r="G51">
        <v>93</v>
      </c>
      <c r="H51">
        <v>234.1</v>
      </c>
      <c r="I51" s="14">
        <v>372.12179123874353</v>
      </c>
      <c r="J51" s="259">
        <v>228.03184778660412</v>
      </c>
      <c r="K51" s="260">
        <v>374.84937329912736</v>
      </c>
      <c r="L51" s="16">
        <f t="shared" si="5"/>
        <v>45</v>
      </c>
      <c r="M51" s="230">
        <f t="shared" si="6"/>
        <v>54</v>
      </c>
      <c r="N51" s="159">
        <f t="shared" si="7"/>
        <v>42</v>
      </c>
      <c r="O51" s="159">
        <f t="shared" si="8"/>
        <v>62</v>
      </c>
      <c r="P51" t="e" vm="1">
        <f t="shared" si="9"/>
        <v>#VALUE!</v>
      </c>
      <c r="Q51" s="15">
        <v>0</v>
      </c>
      <c r="R51" s="15">
        <v>0</v>
      </c>
      <c r="S51">
        <v>-13</v>
      </c>
      <c r="T51" s="14" t="e" vm="1">
        <f>Table231[[#This Row],[BDG]]/Table231[[#This Row],[Odds]]</f>
        <v>#VALUE!</v>
      </c>
      <c r="U51" s="14" t="e" cm="1" vm="2">
        <f t="array" ref="U51">MAX(_xlfn._xlws.FILTER(Table22[[B365]:[BFAIREXC]], Table22[PLAYER] = A51))</f>
        <v>#VALUE!</v>
      </c>
    </row>
    <row r="52" spans="1:21">
      <c r="A52" s="159" t="s">
        <v>131</v>
      </c>
      <c r="B52">
        <v>73</v>
      </c>
      <c r="C52">
        <v>44</v>
      </c>
      <c r="D52">
        <v>150</v>
      </c>
      <c r="E52">
        <v>21</v>
      </c>
      <c r="F52">
        <v>48</v>
      </c>
      <c r="G52">
        <v>68</v>
      </c>
      <c r="H52">
        <v>206.1</v>
      </c>
      <c r="I52" s="14">
        <v>305.33007105210299</v>
      </c>
      <c r="J52" s="259">
        <v>228.45056969096942</v>
      </c>
      <c r="K52" s="260">
        <v>358.47174399125339</v>
      </c>
      <c r="L52" s="16">
        <f t="shared" si="5"/>
        <v>24</v>
      </c>
      <c r="M52" s="230">
        <f t="shared" si="6"/>
        <v>30</v>
      </c>
      <c r="N52" s="159">
        <f t="shared" si="7"/>
        <v>43</v>
      </c>
      <c r="O52" s="159">
        <f t="shared" si="8"/>
        <v>52</v>
      </c>
      <c r="P52" t="e" vm="1">
        <f t="shared" si="9"/>
        <v>#VALUE!</v>
      </c>
      <c r="Q52" s="15">
        <v>0</v>
      </c>
      <c r="R52" s="15">
        <v>0.33333333333333331</v>
      </c>
      <c r="S52">
        <v>19</v>
      </c>
      <c r="T52" s="14" t="e" vm="1">
        <f>Table231[[#This Row],[BDG]]/Table231[[#This Row],[Odds]]</f>
        <v>#VALUE!</v>
      </c>
      <c r="U52" s="14" t="e" cm="1" vm="2">
        <f t="array" ref="U52">MAX(_xlfn._xlws.FILTER(Table22[[B365]:[BFAIREXC]], Table22[PLAYER] = A52))</f>
        <v>#VALUE!</v>
      </c>
    </row>
    <row r="53" spans="1:21">
      <c r="A53" s="159" t="s">
        <v>46</v>
      </c>
      <c r="B53">
        <v>60</v>
      </c>
      <c r="C53">
        <v>67</v>
      </c>
      <c r="D53">
        <v>139</v>
      </c>
      <c r="E53">
        <v>166</v>
      </c>
      <c r="F53">
        <v>43</v>
      </c>
      <c r="G53">
        <v>111</v>
      </c>
      <c r="H53">
        <v>254</v>
      </c>
      <c r="I53" s="14">
        <v>424.49750584318332</v>
      </c>
      <c r="J53" s="259">
        <v>230.63521142947258</v>
      </c>
      <c r="K53" s="260">
        <v>374.39209894131989</v>
      </c>
      <c r="L53" s="16">
        <f t="shared" si="5"/>
        <v>62</v>
      </c>
      <c r="M53" s="230">
        <f t="shared" si="6"/>
        <v>71</v>
      </c>
      <c r="N53" s="159">
        <f t="shared" si="7"/>
        <v>45</v>
      </c>
      <c r="O53" s="159">
        <f t="shared" si="8"/>
        <v>61</v>
      </c>
      <c r="P53" t="e" vm="1">
        <f t="shared" si="9"/>
        <v>#VALUE!</v>
      </c>
      <c r="Q53" s="15">
        <v>0</v>
      </c>
      <c r="R53" s="15">
        <v>0.2</v>
      </c>
      <c r="S53" t="e">
        <v>#N/A</v>
      </c>
      <c r="T53" s="14" t="e" vm="1">
        <f>Table231[[#This Row],[BDG]]/Table231[[#This Row],[Odds]]</f>
        <v>#VALUE!</v>
      </c>
      <c r="U53" s="14" t="e" cm="1" vm="2">
        <f t="array" ref="U53">MAX(_xlfn._xlws.FILTER(Table22[[B365]:[BFAIREXC]], Table22[PLAYER] = A53))</f>
        <v>#VALUE!</v>
      </c>
    </row>
    <row r="54" spans="1:21">
      <c r="A54" s="159" t="s">
        <v>549</v>
      </c>
      <c r="B54">
        <v>38</v>
      </c>
      <c r="C54">
        <v>175</v>
      </c>
      <c r="D54">
        <v>109</v>
      </c>
      <c r="E54">
        <v>153</v>
      </c>
      <c r="F54">
        <v>41</v>
      </c>
      <c r="G54">
        <v>124</v>
      </c>
      <c r="H54">
        <v>254.59999999999997</v>
      </c>
      <c r="I54" s="14">
        <v>441.83858557273874</v>
      </c>
      <c r="J54" s="259">
        <v>230.91601563996701</v>
      </c>
      <c r="K54" s="260">
        <v>372.89100213555037</v>
      </c>
      <c r="L54" s="16">
        <f t="shared" si="5"/>
        <v>63</v>
      </c>
      <c r="M54" s="230">
        <f t="shared" si="6"/>
        <v>76</v>
      </c>
      <c r="N54" s="159">
        <f t="shared" si="7"/>
        <v>46</v>
      </c>
      <c r="O54" s="159">
        <f t="shared" si="8"/>
        <v>59</v>
      </c>
      <c r="P54" t="e" vm="1">
        <f t="shared" si="9"/>
        <v>#VALUE!</v>
      </c>
      <c r="Q54" s="15">
        <v>0</v>
      </c>
      <c r="R54" s="15">
        <v>0</v>
      </c>
      <c r="S54" t="e">
        <v>#N/A</v>
      </c>
      <c r="T54" s="14" t="e" vm="1">
        <f>Table231[[#This Row],[BDG]]/Table231[[#This Row],[Odds]]</f>
        <v>#VALUE!</v>
      </c>
      <c r="U54" s="14" t="e" cm="1" vm="2">
        <f t="array" ref="U54">MAX(_xlfn._xlws.FILTER(Table22[[B365]:[BFAIREXC]], Table22[PLAYER] = A54))</f>
        <v>#VALUE!</v>
      </c>
    </row>
    <row r="55" spans="1:21">
      <c r="A55" s="159" t="s">
        <v>30</v>
      </c>
      <c r="B55">
        <v>21</v>
      </c>
      <c r="C55">
        <v>170</v>
      </c>
      <c r="D55">
        <v>80</v>
      </c>
      <c r="E55">
        <v>56</v>
      </c>
      <c r="F55">
        <v>89</v>
      </c>
      <c r="G55">
        <v>49</v>
      </c>
      <c r="H55">
        <v>205.6</v>
      </c>
      <c r="I55" s="14">
        <v>296.11275096034728</v>
      </c>
      <c r="J55" s="259">
        <v>233.28937668640907</v>
      </c>
      <c r="K55" s="260">
        <v>364.4789889149539</v>
      </c>
      <c r="L55" s="16">
        <f t="shared" si="5"/>
        <v>23</v>
      </c>
      <c r="M55" s="230">
        <f t="shared" si="6"/>
        <v>28</v>
      </c>
      <c r="N55" s="159">
        <f t="shared" si="7"/>
        <v>47</v>
      </c>
      <c r="O55" s="159">
        <f t="shared" si="8"/>
        <v>55</v>
      </c>
      <c r="P55" t="e" vm="1">
        <f t="shared" si="9"/>
        <v>#VALUE!</v>
      </c>
      <c r="Q55" s="15">
        <v>0</v>
      </c>
      <c r="R55" s="15">
        <v>0</v>
      </c>
      <c r="S55">
        <v>-23</v>
      </c>
      <c r="T55" s="14">
        <f>Table231[[#This Row],[BDG]]/Table231[[#This Row],[Odds]]</f>
        <v>46.471987387730891</v>
      </c>
      <c r="U55" s="14" cm="1">
        <f t="array" ref="U55">MAX(_xlfn._xlws.FILTER(Table22[[B365]:[BFAIREXC]], Table22[PLAYER] = A55))</f>
        <v>5.0199999999999996</v>
      </c>
    </row>
    <row r="56" spans="1:21">
      <c r="A56" s="159" t="s">
        <v>140</v>
      </c>
      <c r="B56">
        <v>171</v>
      </c>
      <c r="C56">
        <v>91</v>
      </c>
      <c r="D56">
        <v>91</v>
      </c>
      <c r="E56">
        <v>70</v>
      </c>
      <c r="F56">
        <v>37</v>
      </c>
      <c r="G56">
        <v>81</v>
      </c>
      <c r="H56">
        <v>266.29999999999995</v>
      </c>
      <c r="I56" s="14">
        <v>380.2019285511725</v>
      </c>
      <c r="J56" s="259">
        <v>234.40616264537258</v>
      </c>
      <c r="K56" s="260">
        <v>307.55184915762356</v>
      </c>
      <c r="L56" s="16">
        <f t="shared" si="5"/>
        <v>73</v>
      </c>
      <c r="M56" s="230">
        <f t="shared" si="6"/>
        <v>59</v>
      </c>
      <c r="N56" s="159">
        <f t="shared" si="7"/>
        <v>48</v>
      </c>
      <c r="O56" s="159">
        <f t="shared" si="8"/>
        <v>23</v>
      </c>
      <c r="P56" t="e" vm="1">
        <f t="shared" si="9"/>
        <v>#VALUE!</v>
      </c>
      <c r="Q56" s="15">
        <v>0</v>
      </c>
      <c r="R56" s="15">
        <v>0</v>
      </c>
      <c r="S56">
        <v>-10</v>
      </c>
      <c r="T56" s="14" t="e" vm="1">
        <f>Table231[[#This Row],[BDG]]/Table231[[#This Row],[Odds]]</f>
        <v>#VALUE!</v>
      </c>
      <c r="U56" s="14" t="e" cm="1" vm="2">
        <f t="array" ref="U56">MAX(_xlfn._xlws.FILTER(Table22[[B365]:[BFAIREXC]], Table22[PLAYER] = A56))</f>
        <v>#VALUE!</v>
      </c>
    </row>
    <row r="57" spans="1:21">
      <c r="A57" s="159" t="s">
        <v>133</v>
      </c>
      <c r="B57">
        <v>85</v>
      </c>
      <c r="C57">
        <v>26</v>
      </c>
      <c r="D57">
        <v>38</v>
      </c>
      <c r="E57">
        <v>116</v>
      </c>
      <c r="F57">
        <v>35</v>
      </c>
      <c r="G57">
        <v>39</v>
      </c>
      <c r="H57">
        <v>160.39999999999998</v>
      </c>
      <c r="I57" s="14">
        <v>228.66207611162977</v>
      </c>
      <c r="J57" s="259">
        <v>234.87901755129556</v>
      </c>
      <c r="K57" s="260">
        <v>354.18691784334106</v>
      </c>
      <c r="L57" s="16">
        <f t="shared" si="5"/>
        <v>6</v>
      </c>
      <c r="M57" s="230">
        <f t="shared" si="6"/>
        <v>8</v>
      </c>
      <c r="N57" s="159">
        <f t="shared" si="7"/>
        <v>49</v>
      </c>
      <c r="O57" s="159">
        <f t="shared" si="8"/>
        <v>47</v>
      </c>
      <c r="P57" t="e" vm="1">
        <f t="shared" si="9"/>
        <v>#VALUE!</v>
      </c>
      <c r="Q57" s="15">
        <v>0</v>
      </c>
      <c r="R57" s="15">
        <v>0</v>
      </c>
      <c r="S57">
        <v>-23</v>
      </c>
      <c r="T57" s="14">
        <f>Table231[[#This Row],[BDG]]/Table231[[#This Row],[Odds]]</f>
        <v>19.095855085471182</v>
      </c>
      <c r="U57" s="14" cm="1">
        <f t="array" ref="U57">MAX(_xlfn._xlws.FILTER(Table22[[B365]:[BFAIREXC]], Table22[PLAYER] = A57))</f>
        <v>12.3</v>
      </c>
    </row>
    <row r="58" spans="1:21">
      <c r="A58" s="159" t="s">
        <v>110</v>
      </c>
      <c r="B58">
        <v>167</v>
      </c>
      <c r="C58">
        <v>23</v>
      </c>
      <c r="D58">
        <v>81</v>
      </c>
      <c r="E58">
        <v>114</v>
      </c>
      <c r="F58">
        <v>147</v>
      </c>
      <c r="G58">
        <v>117</v>
      </c>
      <c r="H58">
        <v>301.89999999999998</v>
      </c>
      <c r="I58" s="14">
        <v>455.16886779717299</v>
      </c>
      <c r="J58" s="259">
        <v>234.99244386428771</v>
      </c>
      <c r="K58" s="260">
        <v>357.47293755971259</v>
      </c>
      <c r="L58" s="16">
        <f t="shared" si="5"/>
        <v>93</v>
      </c>
      <c r="M58" s="230">
        <f t="shared" si="6"/>
        <v>79</v>
      </c>
      <c r="N58" s="159">
        <f t="shared" si="7"/>
        <v>50</v>
      </c>
      <c r="O58" s="159">
        <f t="shared" si="8"/>
        <v>51</v>
      </c>
      <c r="P58" t="e" vm="1">
        <f t="shared" si="9"/>
        <v>#VALUE!</v>
      </c>
      <c r="Q58" s="15">
        <v>0</v>
      </c>
      <c r="R58" s="15">
        <v>0</v>
      </c>
      <c r="S58">
        <v>-88</v>
      </c>
      <c r="T58" s="14" t="e" vm="1">
        <f>Table231[[#This Row],[BDG]]/Table231[[#This Row],[Odds]]</f>
        <v>#VALUE!</v>
      </c>
      <c r="U58" s="14" t="e" cm="1" vm="2">
        <f t="array" ref="U58">MAX(_xlfn._xlws.FILTER(Table22[[B365]:[BFAIREXC]], Table22[PLAYER] = A58))</f>
        <v>#VALUE!</v>
      </c>
    </row>
    <row r="59" spans="1:21">
      <c r="A59" s="159" t="s">
        <v>488</v>
      </c>
      <c r="B59">
        <v>30</v>
      </c>
      <c r="C59">
        <v>68</v>
      </c>
      <c r="D59">
        <v>32</v>
      </c>
      <c r="E59">
        <v>142</v>
      </c>
      <c r="F59">
        <v>73</v>
      </c>
      <c r="G59">
        <v>43</v>
      </c>
      <c r="H59">
        <v>163.9</v>
      </c>
      <c r="I59" s="14">
        <v>246.70672927171785</v>
      </c>
      <c r="J59" s="259">
        <v>235.37583135971107</v>
      </c>
      <c r="K59" s="260">
        <v>393.22060228875176</v>
      </c>
      <c r="L59" s="16">
        <f t="shared" si="5"/>
        <v>7</v>
      </c>
      <c r="M59" s="230">
        <f t="shared" si="6"/>
        <v>12</v>
      </c>
      <c r="N59" s="159">
        <f t="shared" si="7"/>
        <v>51</v>
      </c>
      <c r="O59" s="159">
        <f t="shared" si="8"/>
        <v>70</v>
      </c>
      <c r="P59" t="e" vm="1">
        <f t="shared" si="9"/>
        <v>#VALUE!</v>
      </c>
      <c r="Q59" s="15">
        <v>0</v>
      </c>
      <c r="R59" s="15">
        <v>0.2</v>
      </c>
      <c r="S59">
        <v>112</v>
      </c>
      <c r="T59" s="14" t="e" vm="1">
        <f>Table231[[#This Row],[BDG]]/Table231[[#This Row],[Odds]]</f>
        <v>#VALUE!</v>
      </c>
      <c r="U59" s="14" t="e" cm="1" vm="2">
        <f t="array" ref="U59">MAX(_xlfn._xlws.FILTER(Table22[[B365]:[BFAIREXC]], Table22[PLAYER] = A59))</f>
        <v>#VALUE!</v>
      </c>
    </row>
    <row r="60" spans="1:21">
      <c r="A60" s="159" t="s">
        <v>98</v>
      </c>
      <c r="B60">
        <v>36</v>
      </c>
      <c r="C60">
        <v>119</v>
      </c>
      <c r="D60">
        <v>121</v>
      </c>
      <c r="E60">
        <v>50</v>
      </c>
      <c r="F60">
        <v>26</v>
      </c>
      <c r="G60">
        <v>23</v>
      </c>
      <c r="H60">
        <v>190.5</v>
      </c>
      <c r="I60" s="14">
        <v>253.28277102381068</v>
      </c>
      <c r="J60" s="259">
        <v>235.60270827841362</v>
      </c>
      <c r="K60" s="260">
        <v>338.1782747513455</v>
      </c>
      <c r="L60" s="16">
        <f t="shared" si="5"/>
        <v>16</v>
      </c>
      <c r="M60" s="230">
        <f t="shared" si="6"/>
        <v>15</v>
      </c>
      <c r="N60" s="159">
        <f t="shared" si="7"/>
        <v>52</v>
      </c>
      <c r="O60" s="159">
        <f t="shared" si="8"/>
        <v>39</v>
      </c>
      <c r="P60" t="e" vm="1">
        <f t="shared" si="9"/>
        <v>#VALUE!</v>
      </c>
      <c r="Q60" s="15">
        <v>0</v>
      </c>
      <c r="R60" s="15">
        <v>0.16666666666666666</v>
      </c>
      <c r="S60">
        <v>42</v>
      </c>
      <c r="T60" s="14" t="e" vm="1">
        <f>Table231[[#This Row],[BDG]]/Table231[[#This Row],[Odds]]</f>
        <v>#VALUE!</v>
      </c>
      <c r="U60" s="14" t="e" cm="1" vm="2">
        <f t="array" ref="U60">MAX(_xlfn._xlws.FILTER(Table22[[B365]:[BFAIREXC]], Table22[PLAYER] = A60))</f>
        <v>#VALUE!</v>
      </c>
    </row>
    <row r="61" spans="1:21">
      <c r="A61" s="159" t="s">
        <v>145</v>
      </c>
      <c r="B61">
        <v>173</v>
      </c>
      <c r="C61">
        <v>21</v>
      </c>
      <c r="D61">
        <v>25</v>
      </c>
      <c r="E61">
        <v>13</v>
      </c>
      <c r="F61">
        <v>176</v>
      </c>
      <c r="G61">
        <v>97</v>
      </c>
      <c r="H61">
        <v>240.2</v>
      </c>
      <c r="I61" s="14">
        <v>345.89287646192145</v>
      </c>
      <c r="J61" s="259">
        <v>237.29634797933659</v>
      </c>
      <c r="K61" s="260">
        <v>345.53871938591681</v>
      </c>
      <c r="L61" s="16">
        <f t="shared" si="5"/>
        <v>50</v>
      </c>
      <c r="M61" s="230">
        <f t="shared" si="6"/>
        <v>43</v>
      </c>
      <c r="N61" s="159">
        <f t="shared" si="7"/>
        <v>53</v>
      </c>
      <c r="O61" s="159">
        <f t="shared" si="8"/>
        <v>44</v>
      </c>
      <c r="P61" t="e" vm="1">
        <f t="shared" si="9"/>
        <v>#VALUE!</v>
      </c>
      <c r="Q61" s="15">
        <v>0</v>
      </c>
      <c r="R61" s="15">
        <v>0</v>
      </c>
      <c r="S61">
        <v>-19</v>
      </c>
      <c r="T61" s="14" t="e" vm="1">
        <f>Table231[[#This Row],[BDG]]/Table231[[#This Row],[Odds]]</f>
        <v>#VALUE!</v>
      </c>
      <c r="U61" s="14" t="e" cm="1" vm="2">
        <f t="array" ref="U61">MAX(_xlfn._xlws.FILTER(Table22[[B365]:[BFAIREXC]], Table22[PLAYER] = A61))</f>
        <v>#VALUE!</v>
      </c>
    </row>
    <row r="62" spans="1:21">
      <c r="A62" s="159" t="s">
        <v>59</v>
      </c>
      <c r="B62">
        <v>126</v>
      </c>
      <c r="C62">
        <v>144</v>
      </c>
      <c r="D62">
        <v>103</v>
      </c>
      <c r="E62">
        <v>37</v>
      </c>
      <c r="F62">
        <v>20</v>
      </c>
      <c r="G62">
        <v>30</v>
      </c>
      <c r="H62">
        <v>242.7</v>
      </c>
      <c r="I62" s="14">
        <v>307.04446063361138</v>
      </c>
      <c r="J62" s="259">
        <v>238.01502954112817</v>
      </c>
      <c r="K62" s="260">
        <v>330.25060850795205</v>
      </c>
      <c r="L62" s="16">
        <f t="shared" si="5"/>
        <v>51</v>
      </c>
      <c r="M62" s="230">
        <f t="shared" si="6"/>
        <v>31</v>
      </c>
      <c r="N62" s="159">
        <f t="shared" si="7"/>
        <v>54</v>
      </c>
      <c r="O62" s="159">
        <f t="shared" si="8"/>
        <v>34</v>
      </c>
      <c r="P62" t="e" vm="1">
        <f t="shared" si="9"/>
        <v>#VALUE!</v>
      </c>
      <c r="Q62" s="15">
        <v>0</v>
      </c>
      <c r="R62" s="15">
        <v>0.2</v>
      </c>
      <c r="S62" t="e">
        <v>#N/A</v>
      </c>
      <c r="T62" s="14" t="e" vm="1">
        <f>Table231[[#This Row],[BDG]]/Table231[[#This Row],[Odds]]</f>
        <v>#VALUE!</v>
      </c>
      <c r="U62" s="14" t="e" cm="1" vm="2">
        <f t="array" ref="U62">MAX(_xlfn._xlws.FILTER(Table22[[B365]:[BFAIREXC]], Table22[PLAYER] = A62))</f>
        <v>#VALUE!</v>
      </c>
    </row>
    <row r="63" spans="1:21">
      <c r="A63" s="159" t="s">
        <v>17</v>
      </c>
      <c r="B63">
        <v>16</v>
      </c>
      <c r="C63">
        <v>181</v>
      </c>
      <c r="D63">
        <v>125</v>
      </c>
      <c r="E63">
        <v>165</v>
      </c>
      <c r="F63">
        <v>107</v>
      </c>
      <c r="G63">
        <v>156</v>
      </c>
      <c r="H63">
        <v>290.60000000000002</v>
      </c>
      <c r="I63" s="14">
        <v>517.61059198582825</v>
      </c>
      <c r="J63" s="259">
        <v>239.13740142100801</v>
      </c>
      <c r="K63" s="260">
        <v>411.66479090259736</v>
      </c>
      <c r="L63" s="16">
        <f t="shared" si="5"/>
        <v>87</v>
      </c>
      <c r="M63" s="230">
        <f t="shared" si="6"/>
        <v>102</v>
      </c>
      <c r="N63" s="159">
        <f t="shared" si="7"/>
        <v>56</v>
      </c>
      <c r="O63" s="159">
        <f t="shared" si="8"/>
        <v>76</v>
      </c>
      <c r="P63" t="e" vm="1">
        <f t="shared" si="9"/>
        <v>#VALUE!</v>
      </c>
      <c r="Q63" s="15">
        <v>0</v>
      </c>
      <c r="R63" s="15">
        <v>0</v>
      </c>
      <c r="S63">
        <v>-17</v>
      </c>
      <c r="T63" s="14" t="e" vm="1">
        <f>Table231[[#This Row],[BDG]]/Table231[[#This Row],[Odds]]</f>
        <v>#VALUE!</v>
      </c>
      <c r="U63" s="14" t="e" cm="1" vm="2">
        <f t="array" ref="U63">MAX(_xlfn._xlws.FILTER(Table22[[B365]:[BFAIREXC]], Table22[PLAYER] = A63))</f>
        <v>#VALUE!</v>
      </c>
    </row>
    <row r="64" spans="1:21">
      <c r="A64" s="159" t="s">
        <v>106</v>
      </c>
      <c r="B64">
        <v>90</v>
      </c>
      <c r="C64">
        <v>153</v>
      </c>
      <c r="D64">
        <v>89</v>
      </c>
      <c r="E64">
        <v>99</v>
      </c>
      <c r="F64">
        <v>28</v>
      </c>
      <c r="G64">
        <v>58</v>
      </c>
      <c r="H64">
        <v>240.1</v>
      </c>
      <c r="I64" s="14">
        <v>344.07039586435627</v>
      </c>
      <c r="J64" s="259">
        <v>239.29686220705054</v>
      </c>
      <c r="K64" s="260">
        <v>366.46193497898241</v>
      </c>
      <c r="L64" s="16">
        <f t="shared" si="5"/>
        <v>49</v>
      </c>
      <c r="M64" s="230">
        <f t="shared" si="6"/>
        <v>41</v>
      </c>
      <c r="N64" s="159">
        <f t="shared" si="7"/>
        <v>57</v>
      </c>
      <c r="O64" s="159">
        <f t="shared" si="8"/>
        <v>56</v>
      </c>
      <c r="P64" t="e" vm="1">
        <f t="shared" si="9"/>
        <v>#VALUE!</v>
      </c>
      <c r="Q64" s="15">
        <v>0</v>
      </c>
      <c r="R64" s="15">
        <v>0</v>
      </c>
      <c r="S64" t="e">
        <v>#N/A</v>
      </c>
      <c r="T64" s="14" t="e" vm="1">
        <f>Table231[[#This Row],[BDG]]/Table231[[#This Row],[Odds]]</f>
        <v>#VALUE!</v>
      </c>
      <c r="U64" s="14" t="e" cm="1" vm="2">
        <f t="array" ref="U64">MAX(_xlfn._xlws.FILTER(Table22[[B365]:[BFAIREXC]], Table22[PLAYER] = A64))</f>
        <v>#VALUE!</v>
      </c>
    </row>
    <row r="65" spans="1:21">
      <c r="A65" s="159" t="s">
        <v>139</v>
      </c>
      <c r="B65">
        <v>163</v>
      </c>
      <c r="C65">
        <v>128</v>
      </c>
      <c r="D65">
        <v>4</v>
      </c>
      <c r="E65">
        <v>155</v>
      </c>
      <c r="F65">
        <v>51</v>
      </c>
      <c r="G65">
        <v>28</v>
      </c>
      <c r="H65">
        <v>255.60000000000002</v>
      </c>
      <c r="I65" s="14">
        <v>323.13694346407868</v>
      </c>
      <c r="J65" s="259">
        <v>241.21559619550786</v>
      </c>
      <c r="K65" s="260">
        <v>328.75232446676205</v>
      </c>
      <c r="L65" s="16">
        <f t="shared" si="5"/>
        <v>65</v>
      </c>
      <c r="M65" s="230">
        <f t="shared" si="6"/>
        <v>34</v>
      </c>
      <c r="N65" s="159">
        <f t="shared" si="7"/>
        <v>58</v>
      </c>
      <c r="O65" s="159">
        <f t="shared" si="8"/>
        <v>33</v>
      </c>
      <c r="P65" t="e" vm="1">
        <f t="shared" si="9"/>
        <v>#VALUE!</v>
      </c>
      <c r="Q65" s="15">
        <v>0</v>
      </c>
      <c r="R65" s="15">
        <v>0.2857142857142857</v>
      </c>
      <c r="S65">
        <v>72</v>
      </c>
      <c r="T65" s="14" t="e" vm="1">
        <f>Table231[[#This Row],[BDG]]/Table231[[#This Row],[Odds]]</f>
        <v>#VALUE!</v>
      </c>
      <c r="U65" s="14" t="e" cm="1" vm="2">
        <f t="array" ref="U65">MAX(_xlfn._xlws.FILTER(Table22[[B365]:[BFAIREXC]], Table22[PLAYER] = A65))</f>
        <v>#VALUE!</v>
      </c>
    </row>
    <row r="66" spans="1:21">
      <c r="A66" s="159" t="s">
        <v>97</v>
      </c>
      <c r="B66">
        <v>129</v>
      </c>
      <c r="C66">
        <v>153</v>
      </c>
      <c r="D66">
        <v>132</v>
      </c>
      <c r="E66">
        <v>31</v>
      </c>
      <c r="F66">
        <v>71</v>
      </c>
      <c r="G66">
        <v>105</v>
      </c>
      <c r="H66">
        <v>291.79999999999995</v>
      </c>
      <c r="I66" s="14">
        <v>436.75587534833022</v>
      </c>
      <c r="J66" s="259">
        <v>243.02139182308696</v>
      </c>
      <c r="K66" s="260">
        <v>346.91150545245841</v>
      </c>
      <c r="L66" s="16">
        <f t="shared" ref="L66:L97" si="10">RANK(H66,$H$2:$H$129,1)</f>
        <v>90</v>
      </c>
      <c r="M66" s="230">
        <f t="shared" ref="M66:M97" si="11">RANK(I66,$I$2:$I$129,1)</f>
        <v>74</v>
      </c>
      <c r="N66" s="159">
        <f t="shared" ref="N66:N97" si="12">RANK(J66,$J$2:$J$129,1)</f>
        <v>61</v>
      </c>
      <c r="O66" s="159">
        <f t="shared" ref="O66:O97" si="13">RANK(K66,$K$2:$K$129,1)</f>
        <v>45</v>
      </c>
      <c r="P66" t="e" vm="1">
        <f t="shared" ref="P66:P97" si="14">RANK(T66,$T$2:$T$129,1)</f>
        <v>#VALUE!</v>
      </c>
      <c r="Q66" s="15">
        <v>0</v>
      </c>
      <c r="R66" s="15">
        <v>0.16666666666666666</v>
      </c>
      <c r="S66">
        <v>-73</v>
      </c>
      <c r="T66" s="14">
        <f>Table231[[#This Row],[BDG]]/Table231[[#This Row],[Odds]]</f>
        <v>44.105515757366057</v>
      </c>
      <c r="U66" s="14" cm="1">
        <f t="array" ref="U66">MAX(_xlfn._xlws.FILTER(Table22[[B365]:[BFAIREXC]], Table22[PLAYER] = A66))</f>
        <v>5.51</v>
      </c>
    </row>
    <row r="67" spans="1:21">
      <c r="A67" s="159" t="s">
        <v>91</v>
      </c>
      <c r="B67">
        <v>9</v>
      </c>
      <c r="C67">
        <v>62</v>
      </c>
      <c r="D67">
        <v>104</v>
      </c>
      <c r="E67">
        <v>132</v>
      </c>
      <c r="F67">
        <v>68</v>
      </c>
      <c r="G67">
        <v>87</v>
      </c>
      <c r="H67">
        <v>190.70000000000002</v>
      </c>
      <c r="I67" s="14">
        <v>326.77533061419052</v>
      </c>
      <c r="J67" s="259">
        <v>245.0662505996554</v>
      </c>
      <c r="K67" s="260">
        <v>429.67800155619744</v>
      </c>
      <c r="L67" s="16">
        <f t="shared" si="10"/>
        <v>17</v>
      </c>
      <c r="M67" s="230">
        <f t="shared" si="11"/>
        <v>36</v>
      </c>
      <c r="N67" s="159">
        <f t="shared" si="12"/>
        <v>64</v>
      </c>
      <c r="O67" s="159">
        <f t="shared" si="13"/>
        <v>82</v>
      </c>
      <c r="P67" t="e" vm="1">
        <f t="shared" si="14"/>
        <v>#VALUE!</v>
      </c>
      <c r="Q67" s="15">
        <v>0</v>
      </c>
      <c r="R67" s="15">
        <v>0</v>
      </c>
      <c r="S67">
        <v>-78</v>
      </c>
      <c r="T67" s="14">
        <f>Table231[[#This Row],[BDG]]/Table231[[#This Row],[Odds]]</f>
        <v>12.503380132635479</v>
      </c>
      <c r="U67" s="14" cm="1">
        <f t="array" ref="U67">MAX(_xlfn._xlws.FILTER(Table22[[B365]:[BFAIREXC]], Table22[PLAYER] = A67))</f>
        <v>19.600000000000001</v>
      </c>
    </row>
    <row r="68" spans="1:21">
      <c r="A68" s="159" t="s">
        <v>632</v>
      </c>
      <c r="B68">
        <v>70</v>
      </c>
      <c r="C68">
        <v>32</v>
      </c>
      <c r="D68">
        <v>15</v>
      </c>
      <c r="E68">
        <v>151</v>
      </c>
      <c r="F68">
        <v>178</v>
      </c>
      <c r="G68">
        <v>134</v>
      </c>
      <c r="H68">
        <v>221.7</v>
      </c>
      <c r="I68" s="14">
        <v>392.89997993961981</v>
      </c>
      <c r="J68" s="259">
        <v>245.25699248678882</v>
      </c>
      <c r="K68" s="260">
        <v>404.95278919021848</v>
      </c>
      <c r="L68" s="16">
        <f t="shared" si="10"/>
        <v>34</v>
      </c>
      <c r="M68" s="230">
        <f t="shared" si="11"/>
        <v>62</v>
      </c>
      <c r="N68" s="159">
        <f t="shared" si="12"/>
        <v>65</v>
      </c>
      <c r="O68" s="159">
        <f t="shared" si="13"/>
        <v>73</v>
      </c>
      <c r="P68" t="e" vm="1">
        <f t="shared" si="14"/>
        <v>#VALUE!</v>
      </c>
      <c r="Q68" s="15">
        <v>0</v>
      </c>
      <c r="R68" s="15">
        <v>0</v>
      </c>
      <c r="S68" t="e">
        <v>#N/A</v>
      </c>
      <c r="T68" s="14">
        <f>Table231[[#This Row],[BDG]]/Table231[[#This Row],[Odds]]</f>
        <v>51.961227221777293</v>
      </c>
      <c r="U68" s="14" cm="1">
        <f t="array" ref="U68">MAX(_xlfn._xlws.FILTER(Table22[[B365]:[BFAIREXC]], Table22[PLAYER] = A68))</f>
        <v>4.72</v>
      </c>
    </row>
    <row r="69" spans="1:21">
      <c r="A69" s="159" t="s">
        <v>87</v>
      </c>
      <c r="B69">
        <v>57</v>
      </c>
      <c r="C69">
        <v>3</v>
      </c>
      <c r="D69">
        <v>112</v>
      </c>
      <c r="E69">
        <v>83</v>
      </c>
      <c r="F69">
        <v>146</v>
      </c>
      <c r="G69">
        <v>115</v>
      </c>
      <c r="H69">
        <v>225.7</v>
      </c>
      <c r="I69" s="14">
        <v>376.90328662275641</v>
      </c>
      <c r="J69" s="259">
        <v>246.27268346555144</v>
      </c>
      <c r="K69" s="260">
        <v>413.35130954882351</v>
      </c>
      <c r="L69" s="16">
        <f t="shared" si="10"/>
        <v>38</v>
      </c>
      <c r="M69" s="230">
        <f t="shared" si="11"/>
        <v>57</v>
      </c>
      <c r="N69" s="159">
        <f t="shared" si="12"/>
        <v>66</v>
      </c>
      <c r="O69" s="159">
        <f t="shared" si="13"/>
        <v>78</v>
      </c>
      <c r="P69" t="e" vm="1">
        <f t="shared" si="14"/>
        <v>#VALUE!</v>
      </c>
      <c r="Q69" s="15">
        <v>0</v>
      </c>
      <c r="R69" s="15">
        <v>0</v>
      </c>
      <c r="S69">
        <v>-28</v>
      </c>
      <c r="T69" s="14">
        <f>Table231[[#This Row],[BDG]]/Table231[[#This Row],[Odds]]</f>
        <v>17.976108282157039</v>
      </c>
      <c r="U69" s="14" cm="1">
        <f t="array" ref="U69">MAX(_xlfn._xlws.FILTER(Table22[[B365]:[BFAIREXC]], Table22[PLAYER] = A69))</f>
        <v>13.7</v>
      </c>
    </row>
    <row r="70" spans="1:21">
      <c r="A70" s="159" t="s">
        <v>63</v>
      </c>
      <c r="B70">
        <v>145</v>
      </c>
      <c r="C70">
        <v>169</v>
      </c>
      <c r="D70">
        <v>49</v>
      </c>
      <c r="E70">
        <v>85</v>
      </c>
      <c r="F70">
        <v>14</v>
      </c>
      <c r="G70">
        <v>47</v>
      </c>
      <c r="H70">
        <v>244.40000000000003</v>
      </c>
      <c r="I70" s="14">
        <v>328.11728273594196</v>
      </c>
      <c r="J70" s="259">
        <v>246.96729516720598</v>
      </c>
      <c r="K70" s="260">
        <v>342.98795068715651</v>
      </c>
      <c r="L70" s="16">
        <f t="shared" si="10"/>
        <v>54</v>
      </c>
      <c r="M70" s="230">
        <f t="shared" si="11"/>
        <v>37</v>
      </c>
      <c r="N70" s="159">
        <f t="shared" si="12"/>
        <v>67</v>
      </c>
      <c r="O70" s="159">
        <f t="shared" si="13"/>
        <v>43</v>
      </c>
      <c r="P70" t="e" vm="1">
        <f t="shared" si="14"/>
        <v>#VALUE!</v>
      </c>
      <c r="Q70" s="15">
        <v>0</v>
      </c>
      <c r="R70" s="15">
        <v>0</v>
      </c>
      <c r="S70">
        <v>-38</v>
      </c>
      <c r="T70" s="14" t="e" vm="1">
        <f>Table231[[#This Row],[BDG]]/Table231[[#This Row],[Odds]]</f>
        <v>#VALUE!</v>
      </c>
      <c r="U70" s="14" t="e" cm="1" vm="2">
        <f t="array" ref="U70">MAX(_xlfn._xlws.FILTER(Table22[[B365]:[BFAIREXC]], Table22[PLAYER] = A70))</f>
        <v>#VALUE!</v>
      </c>
    </row>
    <row r="71" spans="1:21">
      <c r="A71" s="159" t="s">
        <v>36</v>
      </c>
      <c r="B71">
        <v>78</v>
      </c>
      <c r="C71">
        <v>116</v>
      </c>
      <c r="D71">
        <v>126</v>
      </c>
      <c r="E71">
        <v>156</v>
      </c>
      <c r="F71">
        <v>69</v>
      </c>
      <c r="G71">
        <v>121</v>
      </c>
      <c r="H71">
        <v>286.10000000000002</v>
      </c>
      <c r="I71" s="14">
        <v>467.61054666337452</v>
      </c>
      <c r="J71" s="259">
        <v>247.35718202216475</v>
      </c>
      <c r="K71" s="260">
        <v>415.55904471723574</v>
      </c>
      <c r="L71" s="16">
        <f t="shared" si="10"/>
        <v>85</v>
      </c>
      <c r="M71" s="230">
        <f t="shared" si="11"/>
        <v>83</v>
      </c>
      <c r="N71" s="159">
        <f t="shared" si="12"/>
        <v>68</v>
      </c>
      <c r="O71" s="159">
        <f t="shared" si="13"/>
        <v>79</v>
      </c>
      <c r="P71" t="e" vm="1">
        <f t="shared" si="14"/>
        <v>#VALUE!</v>
      </c>
      <c r="Q71" s="15">
        <v>0</v>
      </c>
      <c r="R71" s="15">
        <v>0</v>
      </c>
      <c r="S71">
        <v>-22</v>
      </c>
      <c r="T71" s="14">
        <f>Table231[[#This Row],[BDG]]/Table231[[#This Row],[Odds]]</f>
        <v>39.325466140248764</v>
      </c>
      <c r="U71" s="14" cm="1">
        <f t="array" ref="U71">MAX(_xlfn._xlws.FILTER(Table22[[B365]:[BFAIREXC]], Table22[PLAYER] = A71))</f>
        <v>6.29</v>
      </c>
    </row>
    <row r="72" spans="1:21">
      <c r="A72" s="159" t="s">
        <v>165</v>
      </c>
      <c r="B72">
        <v>179</v>
      </c>
      <c r="C72">
        <v>104</v>
      </c>
      <c r="D72">
        <v>3</v>
      </c>
      <c r="E72">
        <v>168</v>
      </c>
      <c r="F72">
        <v>49</v>
      </c>
      <c r="G72">
        <v>46</v>
      </c>
      <c r="H72">
        <v>260.7</v>
      </c>
      <c r="I72" s="14">
        <v>345.76127061785672</v>
      </c>
      <c r="J72" s="259">
        <v>247.5460444808599</v>
      </c>
      <c r="K72" s="260">
        <v>350.39546479290084</v>
      </c>
      <c r="L72" s="16">
        <f t="shared" si="10"/>
        <v>68</v>
      </c>
      <c r="M72" s="230">
        <f t="shared" si="11"/>
        <v>42</v>
      </c>
      <c r="N72" s="159">
        <f t="shared" si="12"/>
        <v>69</v>
      </c>
      <c r="O72" s="159">
        <f t="shared" si="13"/>
        <v>46</v>
      </c>
      <c r="P72" t="e" vm="1">
        <f t="shared" si="14"/>
        <v>#VALUE!</v>
      </c>
      <c r="Q72" s="15">
        <v>0</v>
      </c>
      <c r="R72" s="15">
        <v>0.2</v>
      </c>
      <c r="S72" t="e">
        <v>#N/A</v>
      </c>
      <c r="T72" s="14" t="e" vm="1">
        <f>Table231[[#This Row],[BDG]]/Table231[[#This Row],[Odds]]</f>
        <v>#VALUE!</v>
      </c>
      <c r="U72" s="14" t="e" cm="1" vm="2">
        <f t="array" ref="U72">MAX(_xlfn._xlws.FILTER(Table22[[B365]:[BFAIREXC]], Table22[PLAYER] = A72))</f>
        <v>#VALUE!</v>
      </c>
    </row>
    <row r="73" spans="1:21">
      <c r="A73" s="159" t="s">
        <v>113</v>
      </c>
      <c r="B73">
        <v>161</v>
      </c>
      <c r="C73">
        <v>110</v>
      </c>
      <c r="D73">
        <v>145</v>
      </c>
      <c r="E73">
        <v>82</v>
      </c>
      <c r="F73">
        <v>74</v>
      </c>
      <c r="G73">
        <v>100</v>
      </c>
      <c r="H73">
        <v>328</v>
      </c>
      <c r="I73" s="14">
        <v>474.79371699016463</v>
      </c>
      <c r="J73" s="259">
        <v>247.6553307899411</v>
      </c>
      <c r="K73" s="260">
        <v>334.43199718357533</v>
      </c>
      <c r="L73" s="16">
        <f t="shared" si="10"/>
        <v>110</v>
      </c>
      <c r="M73" s="230">
        <f t="shared" si="11"/>
        <v>85</v>
      </c>
      <c r="N73" s="159">
        <f t="shared" si="12"/>
        <v>70</v>
      </c>
      <c r="O73" s="159">
        <f t="shared" si="13"/>
        <v>38</v>
      </c>
      <c r="P73" t="e" vm="1">
        <f t="shared" si="14"/>
        <v>#VALUE!</v>
      </c>
      <c r="Q73" s="15">
        <v>0</v>
      </c>
      <c r="R73" s="15">
        <v>0.16666666666666666</v>
      </c>
      <c r="S73">
        <v>-89</v>
      </c>
      <c r="T73" s="14" t="e" vm="1">
        <f>Table231[[#This Row],[BDG]]/Table231[[#This Row],[Odds]]</f>
        <v>#VALUE!</v>
      </c>
      <c r="U73" s="14" t="e" cm="1" vm="2">
        <f t="array" ref="U73">MAX(_xlfn._xlws.FILTER(Table22[[B365]:[BFAIREXC]], Table22[PLAYER] = A73))</f>
        <v>#VALUE!</v>
      </c>
    </row>
    <row r="74" spans="1:21">
      <c r="A74" s="159" t="s">
        <v>39</v>
      </c>
      <c r="B74">
        <v>99</v>
      </c>
      <c r="C74">
        <v>152</v>
      </c>
      <c r="D74">
        <v>140</v>
      </c>
      <c r="E74">
        <v>14</v>
      </c>
      <c r="F74">
        <v>60</v>
      </c>
      <c r="G74">
        <v>70</v>
      </c>
      <c r="H74">
        <v>263.7</v>
      </c>
      <c r="I74" s="14">
        <v>372.07602677928139</v>
      </c>
      <c r="J74" s="259">
        <v>248.58796708394678</v>
      </c>
      <c r="K74" s="260">
        <v>360.47709765527031</v>
      </c>
      <c r="L74" s="16">
        <f t="shared" si="10"/>
        <v>69</v>
      </c>
      <c r="M74" s="230">
        <f t="shared" si="11"/>
        <v>53</v>
      </c>
      <c r="N74" s="159">
        <f t="shared" si="12"/>
        <v>71</v>
      </c>
      <c r="O74" s="159">
        <f t="shared" si="13"/>
        <v>53</v>
      </c>
      <c r="P74" t="e" vm="1">
        <f t="shared" si="14"/>
        <v>#VALUE!</v>
      </c>
      <c r="Q74" s="15">
        <v>0</v>
      </c>
      <c r="R74" s="15">
        <v>0</v>
      </c>
      <c r="S74">
        <v>-38</v>
      </c>
      <c r="T74" s="14">
        <f>Table231[[#This Row],[BDG]]/Table231[[#This Row],[Odds]]</f>
        <v>32.452737217225426</v>
      </c>
      <c r="U74" s="14" cm="1">
        <f t="array" ref="U74">MAX(_xlfn._xlws.FILTER(Table22[[B365]:[BFAIREXC]], Table22[PLAYER] = A74))</f>
        <v>7.66</v>
      </c>
    </row>
    <row r="75" spans="1:21">
      <c r="A75" s="159" t="s">
        <v>427</v>
      </c>
      <c r="B75">
        <v>97</v>
      </c>
      <c r="C75">
        <v>84</v>
      </c>
      <c r="D75">
        <v>94</v>
      </c>
      <c r="E75">
        <v>18</v>
      </c>
      <c r="F75">
        <v>85</v>
      </c>
      <c r="G75">
        <v>82</v>
      </c>
      <c r="H75">
        <v>217</v>
      </c>
      <c r="I75" s="14">
        <v>325.08334756396857</v>
      </c>
      <c r="J75" s="259">
        <v>249.01396480229079</v>
      </c>
      <c r="K75" s="260">
        <v>382.76551173546704</v>
      </c>
      <c r="L75" s="16">
        <f t="shared" si="10"/>
        <v>29</v>
      </c>
      <c r="M75" s="230">
        <f t="shared" si="11"/>
        <v>35</v>
      </c>
      <c r="N75" s="159">
        <f t="shared" si="12"/>
        <v>72</v>
      </c>
      <c r="O75" s="159">
        <f t="shared" si="13"/>
        <v>66</v>
      </c>
      <c r="P75" t="e" vm="1">
        <f t="shared" si="14"/>
        <v>#VALUE!</v>
      </c>
      <c r="Q75" s="15">
        <v>0</v>
      </c>
      <c r="R75" s="15">
        <v>0</v>
      </c>
      <c r="S75">
        <v>-50</v>
      </c>
      <c r="T75" s="14" t="e" vm="1">
        <f>Table231[[#This Row],[BDG]]/Table231[[#This Row],[Odds]]</f>
        <v>#VALUE!</v>
      </c>
      <c r="U75" s="14" t="e" cm="1" vm="2">
        <f t="array" ref="U75">MAX(_xlfn._xlws.FILTER(Table22[[B365]:[BFAIREXC]], Table22[PLAYER] = A75))</f>
        <v>#VALUE!</v>
      </c>
    </row>
    <row r="76" spans="1:21">
      <c r="A76" s="159" t="s">
        <v>485</v>
      </c>
      <c r="B76">
        <v>11</v>
      </c>
      <c r="C76">
        <v>96</v>
      </c>
      <c r="D76">
        <v>63</v>
      </c>
      <c r="E76">
        <v>163</v>
      </c>
      <c r="F76">
        <v>188</v>
      </c>
      <c r="G76">
        <v>176</v>
      </c>
      <c r="H76">
        <v>249.4</v>
      </c>
      <c r="I76" s="14">
        <v>480.43748998845462</v>
      </c>
      <c r="J76" s="259">
        <v>249.4</v>
      </c>
      <c r="K76" s="260">
        <v>480.43748998845462</v>
      </c>
      <c r="L76" s="16">
        <f t="shared" si="10"/>
        <v>59</v>
      </c>
      <c r="M76" s="230">
        <f t="shared" si="11"/>
        <v>88</v>
      </c>
      <c r="N76" s="159">
        <f t="shared" si="12"/>
        <v>73</v>
      </c>
      <c r="O76" s="159">
        <f t="shared" si="13"/>
        <v>102</v>
      </c>
      <c r="P76" t="e" vm="1">
        <f t="shared" si="14"/>
        <v>#VALUE!</v>
      </c>
      <c r="Q76" s="15" t="e">
        <v>#N/A</v>
      </c>
      <c r="R76" s="15" t="e">
        <v>#N/A</v>
      </c>
      <c r="S76">
        <v>-32</v>
      </c>
      <c r="T76" s="14">
        <f>Table231[[#This Row],[BDG]]/Table231[[#This Row],[Odds]]</f>
        <v>27.588495575221241</v>
      </c>
      <c r="U76" s="14" cm="1">
        <f t="array" ref="U76">MAX(_xlfn._xlws.FILTER(Table22[[B365]:[BFAIREXC]], Table22[PLAYER] = A76))</f>
        <v>9.0399999999999991</v>
      </c>
    </row>
    <row r="77" spans="1:21">
      <c r="A77" s="159" t="s">
        <v>187</v>
      </c>
      <c r="B77">
        <v>187</v>
      </c>
      <c r="C77">
        <v>4</v>
      </c>
      <c r="D77">
        <v>62</v>
      </c>
      <c r="E77">
        <v>16</v>
      </c>
      <c r="F77">
        <v>139</v>
      </c>
      <c r="G77">
        <v>110</v>
      </c>
      <c r="H77">
        <v>251.8</v>
      </c>
      <c r="I77" s="14">
        <v>373.86208269882894</v>
      </c>
      <c r="J77" s="259">
        <v>251.05864203727745</v>
      </c>
      <c r="K77" s="260">
        <v>377.84804812370152</v>
      </c>
      <c r="L77" s="16">
        <f t="shared" si="10"/>
        <v>61</v>
      </c>
      <c r="M77" s="230">
        <f t="shared" si="11"/>
        <v>56</v>
      </c>
      <c r="N77" s="159">
        <f t="shared" si="12"/>
        <v>74</v>
      </c>
      <c r="O77" s="159">
        <f t="shared" si="13"/>
        <v>63</v>
      </c>
      <c r="P77" t="e" vm="1">
        <f t="shared" si="14"/>
        <v>#VALUE!</v>
      </c>
      <c r="Q77" s="15">
        <v>0</v>
      </c>
      <c r="R77" s="15">
        <v>0</v>
      </c>
      <c r="S77">
        <v>-78</v>
      </c>
      <c r="T77" s="14" t="e" vm="1">
        <f>Table231[[#This Row],[BDG]]/Table231[[#This Row],[Odds]]</f>
        <v>#VALUE!</v>
      </c>
      <c r="U77" s="14" t="e" cm="1" vm="2">
        <f t="array" ref="U77">MAX(_xlfn._xlws.FILTER(Table22[[B365]:[BFAIREXC]], Table22[PLAYER] = A77))</f>
        <v>#VALUE!</v>
      </c>
    </row>
    <row r="78" spans="1:21">
      <c r="A78" s="159" t="s">
        <v>147</v>
      </c>
      <c r="B78">
        <v>104</v>
      </c>
      <c r="C78">
        <v>62</v>
      </c>
      <c r="D78">
        <v>17</v>
      </c>
      <c r="E78">
        <v>53</v>
      </c>
      <c r="F78">
        <v>130</v>
      </c>
      <c r="G78">
        <v>54</v>
      </c>
      <c r="H78">
        <v>195.7</v>
      </c>
      <c r="I78" s="14">
        <v>269.25213240771842</v>
      </c>
      <c r="J78" s="259">
        <v>251.07875337281814</v>
      </c>
      <c r="K78" s="260">
        <v>377.91702610519098</v>
      </c>
      <c r="L78" s="16">
        <f t="shared" si="10"/>
        <v>18</v>
      </c>
      <c r="M78" s="230">
        <f t="shared" si="11"/>
        <v>21</v>
      </c>
      <c r="N78" s="159">
        <f t="shared" si="12"/>
        <v>75</v>
      </c>
      <c r="O78" s="159">
        <f t="shared" si="13"/>
        <v>64</v>
      </c>
      <c r="P78" t="e" vm="1">
        <f t="shared" si="14"/>
        <v>#VALUE!</v>
      </c>
      <c r="Q78" s="15">
        <v>0</v>
      </c>
      <c r="R78" s="15">
        <v>0.2</v>
      </c>
      <c r="S78">
        <v>67</v>
      </c>
      <c r="T78" s="14">
        <f>Table231[[#This Row],[BDG]]/Table231[[#This Row],[Odds]]</f>
        <v>34.536279693647614</v>
      </c>
      <c r="U78" s="14" cm="1">
        <f t="array" ref="U78">MAX(_xlfn._xlws.FILTER(Table22[[B365]:[BFAIREXC]], Table22[PLAYER] = A78))</f>
        <v>7.27</v>
      </c>
    </row>
    <row r="79" spans="1:21">
      <c r="A79" s="159" t="s">
        <v>134</v>
      </c>
      <c r="B79">
        <v>154</v>
      </c>
      <c r="C79">
        <v>9</v>
      </c>
      <c r="D79">
        <v>32</v>
      </c>
      <c r="E79">
        <v>130</v>
      </c>
      <c r="F79">
        <v>158</v>
      </c>
      <c r="G79">
        <v>106</v>
      </c>
      <c r="H79">
        <v>264.79999999999995</v>
      </c>
      <c r="I79" s="14">
        <v>401.69655927286487</v>
      </c>
      <c r="J79" s="259">
        <v>251.16553469020636</v>
      </c>
      <c r="K79" s="260">
        <v>370.63616583373971</v>
      </c>
      <c r="L79" s="16">
        <f t="shared" si="10"/>
        <v>70</v>
      </c>
      <c r="M79" s="230">
        <f t="shared" si="11"/>
        <v>65</v>
      </c>
      <c r="N79" s="159">
        <f t="shared" si="12"/>
        <v>76</v>
      </c>
      <c r="O79" s="159">
        <f t="shared" si="13"/>
        <v>58</v>
      </c>
      <c r="P79" t="e" vm="1">
        <f t="shared" si="14"/>
        <v>#VALUE!</v>
      </c>
      <c r="Q79" s="15">
        <v>0</v>
      </c>
      <c r="R79" s="15">
        <v>0</v>
      </c>
      <c r="S79">
        <v>-21</v>
      </c>
      <c r="T79" s="14">
        <f>Table231[[#This Row],[BDG]]/Table231[[#This Row],[Odds]]</f>
        <v>34.5482166011288</v>
      </c>
      <c r="U79" s="14" cm="1">
        <f t="array" ref="U79">MAX(_xlfn._xlws.FILTER(Table22[[B365]:[BFAIREXC]], Table22[PLAYER] = A79))</f>
        <v>7.27</v>
      </c>
    </row>
    <row r="80" spans="1:21">
      <c r="A80" s="159" t="s">
        <v>23</v>
      </c>
      <c r="B80">
        <v>117</v>
      </c>
      <c r="C80">
        <v>145</v>
      </c>
      <c r="D80">
        <v>22</v>
      </c>
      <c r="E80">
        <v>158</v>
      </c>
      <c r="F80">
        <v>78</v>
      </c>
      <c r="G80">
        <v>59</v>
      </c>
      <c r="H80">
        <v>257.5</v>
      </c>
      <c r="I80" s="14">
        <v>363.0353507981381</v>
      </c>
      <c r="J80" s="259">
        <v>253.64905724919109</v>
      </c>
      <c r="K80" s="260">
        <v>394.48850343496622</v>
      </c>
      <c r="L80" s="16">
        <f t="shared" si="10"/>
        <v>67</v>
      </c>
      <c r="M80" s="230">
        <f t="shared" si="11"/>
        <v>51</v>
      </c>
      <c r="N80" s="159">
        <f t="shared" si="12"/>
        <v>77</v>
      </c>
      <c r="O80" s="159">
        <f t="shared" si="13"/>
        <v>71</v>
      </c>
      <c r="P80" t="e" vm="1">
        <f t="shared" si="14"/>
        <v>#VALUE!</v>
      </c>
      <c r="Q80" s="15">
        <v>0</v>
      </c>
      <c r="R80" s="15">
        <v>0.16666666666666666</v>
      </c>
      <c r="S80">
        <v>12</v>
      </c>
      <c r="T80" s="14" t="e" vm="1">
        <f>Table231[[#This Row],[BDG]]/Table231[[#This Row],[Odds]]</f>
        <v>#VALUE!</v>
      </c>
      <c r="U80" s="14" t="e" cm="1" vm="2">
        <f t="array" ref="U80">MAX(_xlfn._xlws.FILTER(Table22[[B365]:[BFAIREXC]], Table22[PLAYER] = A80))</f>
        <v>#VALUE!</v>
      </c>
    </row>
    <row r="81" spans="1:21">
      <c r="A81" s="159" t="s">
        <v>136</v>
      </c>
      <c r="B81">
        <v>135</v>
      </c>
      <c r="C81">
        <v>33</v>
      </c>
      <c r="D81">
        <v>14</v>
      </c>
      <c r="E81">
        <v>106</v>
      </c>
      <c r="F81">
        <v>119</v>
      </c>
      <c r="G81">
        <v>48</v>
      </c>
      <c r="H81">
        <v>219.4</v>
      </c>
      <c r="I81" s="14">
        <v>292.64351921389675</v>
      </c>
      <c r="J81" s="259">
        <v>253.93664120322171</v>
      </c>
      <c r="K81" s="260">
        <v>391.6182009989538</v>
      </c>
      <c r="L81" s="16">
        <f t="shared" si="10"/>
        <v>32</v>
      </c>
      <c r="M81" s="230">
        <f t="shared" si="11"/>
        <v>27</v>
      </c>
      <c r="N81" s="159">
        <f t="shared" si="12"/>
        <v>78</v>
      </c>
      <c r="O81" s="159">
        <f t="shared" si="13"/>
        <v>69</v>
      </c>
      <c r="P81" t="e" vm="1">
        <f t="shared" si="14"/>
        <v>#VALUE!</v>
      </c>
      <c r="Q81" s="15">
        <v>0</v>
      </c>
      <c r="R81" s="15">
        <v>0.2</v>
      </c>
      <c r="S81">
        <v>39</v>
      </c>
      <c r="T81" s="14">
        <f>Table231[[#This Row],[BDG]]/Table231[[#This Row],[Odds]]</f>
        <v>22.472269133028469</v>
      </c>
      <c r="U81" s="14" cm="1">
        <f t="array" ref="U81">MAX(_xlfn._xlws.FILTER(Table22[[B365]:[BFAIREXC]], Table22[PLAYER] = A81))</f>
        <v>11.3</v>
      </c>
    </row>
    <row r="82" spans="1:21">
      <c r="A82" s="159" t="s">
        <v>8</v>
      </c>
      <c r="B82">
        <v>2</v>
      </c>
      <c r="C82">
        <v>92</v>
      </c>
      <c r="D82">
        <v>181</v>
      </c>
      <c r="E82">
        <v>133</v>
      </c>
      <c r="F82">
        <v>54</v>
      </c>
      <c r="G82">
        <v>98</v>
      </c>
      <c r="H82">
        <v>245.09999999999997</v>
      </c>
      <c r="I82" s="14">
        <v>407.17520754295043</v>
      </c>
      <c r="J82" s="259">
        <v>259.45522999577389</v>
      </c>
      <c r="K82" s="260">
        <v>472.41620922270135</v>
      </c>
      <c r="L82" s="16">
        <f t="shared" si="10"/>
        <v>56</v>
      </c>
      <c r="M82" s="230">
        <f t="shared" si="11"/>
        <v>68</v>
      </c>
      <c r="N82" s="159">
        <f t="shared" si="12"/>
        <v>79</v>
      </c>
      <c r="O82" s="159">
        <f t="shared" si="13"/>
        <v>97</v>
      </c>
      <c r="P82" t="e" vm="1">
        <f t="shared" si="14"/>
        <v>#VALUE!</v>
      </c>
      <c r="Q82" s="15">
        <v>0</v>
      </c>
      <c r="R82" s="15">
        <v>0</v>
      </c>
      <c r="S82">
        <v>-11</v>
      </c>
      <c r="T82" s="14" t="e" vm="1">
        <f>Table231[[#This Row],[BDG]]/Table231[[#This Row],[Odds]]</f>
        <v>#VALUE!</v>
      </c>
      <c r="U82" s="14" t="e" cm="1" vm="2">
        <f t="array" ref="U82">MAX(_xlfn._xlws.FILTER(Table22[[B365]:[BFAIREXC]], Table22[PLAYER] = A82))</f>
        <v>#VALUE!</v>
      </c>
    </row>
    <row r="83" spans="1:21">
      <c r="A83" s="159" t="s">
        <v>149</v>
      </c>
      <c r="B83">
        <v>154</v>
      </c>
      <c r="C83">
        <v>50</v>
      </c>
      <c r="D83">
        <v>93</v>
      </c>
      <c r="E83">
        <v>43</v>
      </c>
      <c r="F83">
        <v>81</v>
      </c>
      <c r="G83">
        <v>101</v>
      </c>
      <c r="H83">
        <v>250.59999999999997</v>
      </c>
      <c r="I83" s="14">
        <v>377.38793203189431</v>
      </c>
      <c r="J83" s="259">
        <v>259.90987719391194</v>
      </c>
      <c r="K83" s="260">
        <v>403.52219947164519</v>
      </c>
      <c r="L83" s="16">
        <f t="shared" si="10"/>
        <v>60</v>
      </c>
      <c r="M83" s="230">
        <f t="shared" si="11"/>
        <v>58</v>
      </c>
      <c r="N83" s="159">
        <f t="shared" si="12"/>
        <v>80</v>
      </c>
      <c r="O83" s="159">
        <f t="shared" si="13"/>
        <v>72</v>
      </c>
      <c r="P83" t="e" vm="1">
        <f t="shared" si="14"/>
        <v>#VALUE!</v>
      </c>
      <c r="Q83" s="15">
        <v>0</v>
      </c>
      <c r="R83" s="15">
        <v>0</v>
      </c>
      <c r="S83">
        <v>-36</v>
      </c>
      <c r="T83" s="14" t="e" vm="1">
        <f>Table231[[#This Row],[BDG]]/Table231[[#This Row],[Odds]]</f>
        <v>#VALUE!</v>
      </c>
      <c r="U83" s="14" t="e" cm="1" vm="2">
        <f t="array" ref="U83">MAX(_xlfn._xlws.FILTER(Table22[[B365]:[BFAIREXC]], Table22[PLAYER] = A83))</f>
        <v>#VALUE!</v>
      </c>
    </row>
    <row r="84" spans="1:21">
      <c r="A84" s="159" t="s">
        <v>48</v>
      </c>
      <c r="B84">
        <v>4</v>
      </c>
      <c r="C84">
        <v>60</v>
      </c>
      <c r="D84">
        <v>71</v>
      </c>
      <c r="E84">
        <v>71</v>
      </c>
      <c r="F84">
        <v>151</v>
      </c>
      <c r="G84">
        <v>63</v>
      </c>
      <c r="H84">
        <v>180.4</v>
      </c>
      <c r="I84" s="14">
        <v>277.89958286705939</v>
      </c>
      <c r="J84" s="259">
        <v>260.82532621063291</v>
      </c>
      <c r="K84" s="260">
        <v>439.80860300805625</v>
      </c>
      <c r="L84" s="16">
        <f t="shared" si="10"/>
        <v>11</v>
      </c>
      <c r="M84" s="230">
        <f t="shared" si="11"/>
        <v>22</v>
      </c>
      <c r="N84" s="159">
        <f t="shared" si="12"/>
        <v>81</v>
      </c>
      <c r="O84" s="159">
        <f t="shared" si="13"/>
        <v>85</v>
      </c>
      <c r="P84" t="e" vm="1">
        <f t="shared" si="14"/>
        <v>#VALUE!</v>
      </c>
      <c r="Q84" s="15">
        <v>0</v>
      </c>
      <c r="R84" s="15">
        <v>0.2</v>
      </c>
      <c r="S84">
        <v>-61</v>
      </c>
      <c r="T84" s="14">
        <f>Table231[[#This Row],[BDG]]/Table231[[#This Row],[Odds]]</f>
        <v>32.360462309011524</v>
      </c>
      <c r="U84" s="14" cm="1">
        <f t="array" ref="U84">MAX(_xlfn._xlws.FILTER(Table22[[B365]:[BFAIREXC]], Table22[PLAYER] = A84))</f>
        <v>8.06</v>
      </c>
    </row>
    <row r="85" spans="1:21">
      <c r="A85" s="159" t="s">
        <v>146</v>
      </c>
      <c r="B85">
        <v>186</v>
      </c>
      <c r="C85">
        <v>27</v>
      </c>
      <c r="D85">
        <v>44</v>
      </c>
      <c r="E85">
        <v>127</v>
      </c>
      <c r="F85">
        <v>167</v>
      </c>
      <c r="G85">
        <v>153</v>
      </c>
      <c r="H85">
        <v>306.10000000000002</v>
      </c>
      <c r="I85" s="14">
        <v>492.45096941848669</v>
      </c>
      <c r="J85" s="259">
        <v>260.87201595473744</v>
      </c>
      <c r="K85" s="260">
        <v>391.0414277622906</v>
      </c>
      <c r="L85" s="16">
        <f t="shared" si="10"/>
        <v>99</v>
      </c>
      <c r="M85" s="230">
        <f t="shared" si="11"/>
        <v>95</v>
      </c>
      <c r="N85" s="159">
        <f t="shared" si="12"/>
        <v>82</v>
      </c>
      <c r="O85" s="159">
        <f t="shared" si="13"/>
        <v>68</v>
      </c>
      <c r="P85" t="e" vm="1">
        <f t="shared" si="14"/>
        <v>#VALUE!</v>
      </c>
      <c r="Q85" s="15">
        <v>0</v>
      </c>
      <c r="R85" s="15">
        <v>0</v>
      </c>
      <c r="S85" t="e">
        <v>#N/A</v>
      </c>
      <c r="T85" s="14">
        <f>Table231[[#This Row],[BDG]]/Table231[[#This Row],[Odds]]</f>
        <v>30.87242792363757</v>
      </c>
      <c r="U85" s="14" cm="1">
        <f t="array" ref="U85">MAX(_xlfn._xlws.FILTER(Table22[[B365]:[BFAIREXC]], Table22[PLAYER] = A85))</f>
        <v>8.4499999999999993</v>
      </c>
    </row>
    <row r="86" spans="1:21">
      <c r="A86" s="159" t="s">
        <v>108</v>
      </c>
      <c r="B86">
        <v>111</v>
      </c>
      <c r="C86">
        <v>176</v>
      </c>
      <c r="D86">
        <v>45</v>
      </c>
      <c r="E86">
        <v>42</v>
      </c>
      <c r="F86">
        <v>101</v>
      </c>
      <c r="G86">
        <v>71</v>
      </c>
      <c r="H86">
        <v>246.9</v>
      </c>
      <c r="I86" s="14">
        <v>349.77204219981422</v>
      </c>
      <c r="J86" s="259">
        <v>262.93701426306126</v>
      </c>
      <c r="K86" s="260">
        <v>390.19663619906288</v>
      </c>
      <c r="L86" s="16">
        <f t="shared" si="10"/>
        <v>58</v>
      </c>
      <c r="M86" s="230">
        <f t="shared" si="11"/>
        <v>45</v>
      </c>
      <c r="N86" s="159">
        <f t="shared" si="12"/>
        <v>83</v>
      </c>
      <c r="O86" s="159">
        <f t="shared" si="13"/>
        <v>67</v>
      </c>
      <c r="P86" t="e" vm="1">
        <f t="shared" si="14"/>
        <v>#VALUE!</v>
      </c>
      <c r="Q86" s="15">
        <v>0</v>
      </c>
      <c r="R86" s="15">
        <v>0</v>
      </c>
      <c r="S86">
        <v>-30</v>
      </c>
      <c r="T86" s="14" t="e" vm="1">
        <f>Table231[[#This Row],[BDG]]/Table231[[#This Row],[Odds]]</f>
        <v>#VALUE!</v>
      </c>
      <c r="U86" s="14" t="e" cm="1" vm="2">
        <f t="array" ref="U86">MAX(_xlfn._xlws.FILTER(Table22[[B365]:[BFAIREXC]], Table22[PLAYER] = A86))</f>
        <v>#VALUE!</v>
      </c>
    </row>
    <row r="87" spans="1:21">
      <c r="A87" s="159" t="s">
        <v>11</v>
      </c>
      <c r="B87">
        <v>41</v>
      </c>
      <c r="C87">
        <v>170</v>
      </c>
      <c r="D87">
        <v>152</v>
      </c>
      <c r="E87">
        <v>179</v>
      </c>
      <c r="F87">
        <v>140</v>
      </c>
      <c r="G87">
        <v>181</v>
      </c>
      <c r="H87">
        <v>344.7</v>
      </c>
      <c r="I87" s="14">
        <v>602.80781791650861</v>
      </c>
      <c r="J87" s="259">
        <v>264.72944198409272</v>
      </c>
      <c r="K87" s="260">
        <v>480.82365761305095</v>
      </c>
      <c r="L87" s="16">
        <f t="shared" si="10"/>
        <v>118</v>
      </c>
      <c r="M87" s="230">
        <f t="shared" si="11"/>
        <v>122</v>
      </c>
      <c r="N87" s="159">
        <f t="shared" si="12"/>
        <v>84</v>
      </c>
      <c r="O87" s="159">
        <f t="shared" si="13"/>
        <v>103</v>
      </c>
      <c r="P87" t="e" vm="1">
        <f t="shared" si="14"/>
        <v>#VALUE!</v>
      </c>
      <c r="Q87" s="15" t="e">
        <v>#N/A</v>
      </c>
      <c r="R87" s="15" t="e">
        <v>#N/A</v>
      </c>
      <c r="S87">
        <v>-73</v>
      </c>
      <c r="T87" s="14">
        <f>Table231[[#This Row],[BDG]]/Table231[[#This Row],[Odds]]</f>
        <v>38.478116567455338</v>
      </c>
      <c r="U87" s="14" cm="1">
        <f t="array" ref="U87">MAX(_xlfn._xlws.FILTER(Table22[[B365]:[BFAIREXC]], Table22[PLAYER] = A87))</f>
        <v>6.88</v>
      </c>
    </row>
    <row r="88" spans="1:21">
      <c r="A88" s="159" t="s">
        <v>55</v>
      </c>
      <c r="B88">
        <v>51</v>
      </c>
      <c r="C88">
        <v>95</v>
      </c>
      <c r="D88">
        <v>179</v>
      </c>
      <c r="E88">
        <v>121</v>
      </c>
      <c r="F88">
        <v>142</v>
      </c>
      <c r="G88">
        <v>186</v>
      </c>
      <c r="H88">
        <v>318.39999999999998</v>
      </c>
      <c r="I88" s="14">
        <v>567.2893414428404</v>
      </c>
      <c r="J88" s="259">
        <v>264.95358242816707</v>
      </c>
      <c r="K88" s="260">
        <v>474.90963101647679</v>
      </c>
      <c r="L88" s="16">
        <f t="shared" si="10"/>
        <v>106</v>
      </c>
      <c r="M88" s="230">
        <f t="shared" si="11"/>
        <v>111</v>
      </c>
      <c r="N88" s="159">
        <f t="shared" si="12"/>
        <v>85</v>
      </c>
      <c r="O88" s="159">
        <f t="shared" si="13"/>
        <v>98</v>
      </c>
      <c r="P88" t="e" vm="1">
        <f t="shared" si="14"/>
        <v>#VALUE!</v>
      </c>
      <c r="Q88" s="15">
        <v>0</v>
      </c>
      <c r="R88" s="15">
        <v>0</v>
      </c>
      <c r="S88">
        <v>-35</v>
      </c>
      <c r="T88" s="14" t="e" vm="1">
        <f>Table231[[#This Row],[BDG]]/Table231[[#This Row],[Odds]]</f>
        <v>#VALUE!</v>
      </c>
      <c r="U88" s="14" t="e" cm="1" vm="2">
        <f t="array" ref="U88">MAX(_xlfn._xlws.FILTER(Table22[[B365]:[BFAIREXC]], Table22[PLAYER] = A88))</f>
        <v>#VALUE!</v>
      </c>
    </row>
    <row r="89" spans="1:21">
      <c r="A89" s="159" t="s">
        <v>495</v>
      </c>
      <c r="B89">
        <v>13</v>
      </c>
      <c r="C89">
        <v>58</v>
      </c>
      <c r="D89">
        <v>171</v>
      </c>
      <c r="E89">
        <v>148</v>
      </c>
      <c r="F89">
        <v>109</v>
      </c>
      <c r="G89">
        <v>118</v>
      </c>
      <c r="H89">
        <v>265.7</v>
      </c>
      <c r="I89" s="14">
        <v>446.99708801157811</v>
      </c>
      <c r="J89" s="259">
        <v>265.7</v>
      </c>
      <c r="K89" s="260">
        <v>446.99708801157811</v>
      </c>
      <c r="L89" s="16">
        <f t="shared" si="10"/>
        <v>72</v>
      </c>
      <c r="M89" s="230">
        <f t="shared" si="11"/>
        <v>78</v>
      </c>
      <c r="N89" s="159">
        <f t="shared" si="12"/>
        <v>86</v>
      </c>
      <c r="O89" s="159">
        <f t="shared" si="13"/>
        <v>88</v>
      </c>
      <c r="P89" t="e" vm="1">
        <f t="shared" si="14"/>
        <v>#VALUE!</v>
      </c>
      <c r="Q89" s="15">
        <v>0</v>
      </c>
      <c r="R89" s="15">
        <v>0</v>
      </c>
      <c r="S89">
        <v>-10</v>
      </c>
      <c r="T89" s="14">
        <f>Table231[[#This Row],[BDG]]/Table231[[#This Row],[Odds]]</f>
        <v>32.206060606060603</v>
      </c>
      <c r="U89" s="14" cm="1">
        <f t="array" ref="U89">MAX(_xlfn._xlws.FILTER(Table22[[B365]:[BFAIREXC]], Table22[PLAYER] = A89))</f>
        <v>8.25</v>
      </c>
    </row>
    <row r="90" spans="1:21">
      <c r="A90" s="159" t="s">
        <v>109</v>
      </c>
      <c r="B90">
        <v>73</v>
      </c>
      <c r="C90">
        <v>80</v>
      </c>
      <c r="D90">
        <v>183</v>
      </c>
      <c r="E90">
        <v>187</v>
      </c>
      <c r="F90">
        <v>10</v>
      </c>
      <c r="G90">
        <v>162</v>
      </c>
      <c r="H90">
        <v>291</v>
      </c>
      <c r="I90" s="14">
        <v>523.41902556590753</v>
      </c>
      <c r="J90" s="259">
        <v>271.83967209769088</v>
      </c>
      <c r="K90" s="260">
        <v>457.41284811575156</v>
      </c>
      <c r="L90" s="16">
        <f t="shared" si="10"/>
        <v>88</v>
      </c>
      <c r="M90" s="230">
        <f t="shared" si="11"/>
        <v>105</v>
      </c>
      <c r="N90" s="159">
        <f t="shared" si="12"/>
        <v>87</v>
      </c>
      <c r="O90" s="159">
        <f t="shared" si="13"/>
        <v>93</v>
      </c>
      <c r="P90" t="e" vm="1">
        <f t="shared" si="14"/>
        <v>#VALUE!</v>
      </c>
      <c r="Q90" s="15">
        <v>0</v>
      </c>
      <c r="R90" s="15">
        <v>0</v>
      </c>
      <c r="S90">
        <v>-54</v>
      </c>
      <c r="T90" s="14">
        <f>Table231[[#This Row],[BDG]]/Table231[[#This Row],[Odds]]</f>
        <v>32.170375396176439</v>
      </c>
      <c r="U90" s="14" cm="1">
        <f t="array" ref="U90">MAX(_xlfn._xlws.FILTER(Table22[[B365]:[BFAIREXC]], Table22[PLAYER] = A90))</f>
        <v>8.4499999999999993</v>
      </c>
    </row>
    <row r="91" spans="1:21">
      <c r="A91" s="159" t="s">
        <v>596</v>
      </c>
      <c r="B91">
        <v>1</v>
      </c>
      <c r="C91">
        <v>178</v>
      </c>
      <c r="D91">
        <v>141</v>
      </c>
      <c r="E91">
        <v>125</v>
      </c>
      <c r="F91">
        <v>103</v>
      </c>
      <c r="G91">
        <v>119</v>
      </c>
      <c r="H91">
        <v>272.10000000000002</v>
      </c>
      <c r="I91" s="14">
        <v>457.01883178451629</v>
      </c>
      <c r="J91" s="259">
        <v>272.10000000000002</v>
      </c>
      <c r="K91" s="260">
        <v>457.01883178451629</v>
      </c>
      <c r="L91" s="16">
        <f t="shared" si="10"/>
        <v>75</v>
      </c>
      <c r="M91" s="230">
        <f t="shared" si="11"/>
        <v>81</v>
      </c>
      <c r="N91" s="159">
        <f t="shared" si="12"/>
        <v>88</v>
      </c>
      <c r="O91" s="159">
        <f t="shared" si="13"/>
        <v>92</v>
      </c>
      <c r="P91" t="e" vm="1">
        <f t="shared" si="14"/>
        <v>#VALUE!</v>
      </c>
      <c r="Q91" s="15">
        <v>0</v>
      </c>
      <c r="R91" s="15">
        <v>0</v>
      </c>
      <c r="S91" t="e">
        <v>#N/A</v>
      </c>
      <c r="T91" s="14">
        <f>Table231[[#This Row],[BDG]]/Table231[[#This Row],[Odds]]</f>
        <v>32.011764705882356</v>
      </c>
      <c r="U91" s="14" cm="1">
        <f t="array" ref="U91">MAX(_xlfn._xlws.FILTER(Table22[[B365]:[BFAIREXC]], Table22[PLAYER] = A91))</f>
        <v>8.5</v>
      </c>
    </row>
    <row r="92" spans="1:21">
      <c r="A92" s="159" t="s">
        <v>80</v>
      </c>
      <c r="B92">
        <v>16</v>
      </c>
      <c r="C92">
        <v>102</v>
      </c>
      <c r="D92">
        <v>136</v>
      </c>
      <c r="E92">
        <v>152</v>
      </c>
      <c r="F92">
        <v>94</v>
      </c>
      <c r="G92">
        <v>138</v>
      </c>
      <c r="H92">
        <v>255</v>
      </c>
      <c r="I92" s="14">
        <v>455.29890972618756</v>
      </c>
      <c r="J92" s="259">
        <v>273.13924459717038</v>
      </c>
      <c r="K92" s="260">
        <v>479.25183503026238</v>
      </c>
      <c r="L92" s="16">
        <f t="shared" si="10"/>
        <v>64</v>
      </c>
      <c r="M92" s="230">
        <f t="shared" si="11"/>
        <v>80</v>
      </c>
      <c r="N92" s="159">
        <f t="shared" si="12"/>
        <v>89</v>
      </c>
      <c r="O92" s="159">
        <f t="shared" si="13"/>
        <v>100</v>
      </c>
      <c r="P92" t="e" vm="1">
        <f t="shared" si="14"/>
        <v>#VALUE!</v>
      </c>
      <c r="Q92" s="15">
        <v>0</v>
      </c>
      <c r="R92" s="15">
        <v>0</v>
      </c>
      <c r="S92">
        <v>-32</v>
      </c>
      <c r="T92" s="14">
        <f>Table231[[#This Row],[BDG]]/Table231[[#This Row],[Odds]]</f>
        <v>29.592550877266561</v>
      </c>
      <c r="U92" s="14" cm="1">
        <f t="array" ref="U92">MAX(_xlfn._xlws.FILTER(Table22[[B365]:[BFAIREXC]], Table22[PLAYER] = A92))</f>
        <v>9.23</v>
      </c>
    </row>
    <row r="93" spans="1:21">
      <c r="A93" s="159" t="s">
        <v>32</v>
      </c>
      <c r="B93">
        <v>28</v>
      </c>
      <c r="C93">
        <v>156</v>
      </c>
      <c r="D93">
        <v>170</v>
      </c>
      <c r="E93">
        <v>88</v>
      </c>
      <c r="F93">
        <v>75</v>
      </c>
      <c r="G93">
        <v>151</v>
      </c>
      <c r="H93">
        <v>273.7</v>
      </c>
      <c r="I93" s="14">
        <v>484.54371513201005</v>
      </c>
      <c r="J93" s="259">
        <v>273.15942648551481</v>
      </c>
      <c r="K93" s="260">
        <v>451.93400753699245</v>
      </c>
      <c r="L93" s="16">
        <f t="shared" si="10"/>
        <v>77</v>
      </c>
      <c r="M93" s="230">
        <f t="shared" si="11"/>
        <v>90</v>
      </c>
      <c r="N93" s="159">
        <f t="shared" si="12"/>
        <v>90</v>
      </c>
      <c r="O93" s="159">
        <f t="shared" si="13"/>
        <v>91</v>
      </c>
      <c r="P93" t="e" vm="1">
        <f t="shared" si="14"/>
        <v>#VALUE!</v>
      </c>
      <c r="Q93" s="15">
        <v>0</v>
      </c>
      <c r="R93" s="15">
        <v>0</v>
      </c>
      <c r="S93">
        <v>-14</v>
      </c>
      <c r="T93" s="14">
        <f>Table231[[#This Row],[BDG]]/Table231[[#This Row],[Odds]]</f>
        <v>42.024527151617662</v>
      </c>
      <c r="U93" s="14" cm="1">
        <f t="array" ref="U93">MAX(_xlfn._xlws.FILTER(Table22[[B365]:[BFAIREXC]], Table22[PLAYER] = A93))</f>
        <v>6.5</v>
      </c>
    </row>
    <row r="94" spans="1:21">
      <c r="A94" s="159" t="s">
        <v>60</v>
      </c>
      <c r="B94">
        <v>147</v>
      </c>
      <c r="C94">
        <v>55</v>
      </c>
      <c r="D94">
        <v>166</v>
      </c>
      <c r="E94">
        <v>35</v>
      </c>
      <c r="F94">
        <v>80</v>
      </c>
      <c r="G94">
        <v>144</v>
      </c>
      <c r="H94">
        <v>295.09999999999997</v>
      </c>
      <c r="I94" s="14">
        <v>475.49433703144786</v>
      </c>
      <c r="J94" s="259">
        <v>273.35693197292818</v>
      </c>
      <c r="K94" s="260">
        <v>448.60243296632711</v>
      </c>
      <c r="L94" s="16">
        <f t="shared" si="10"/>
        <v>92</v>
      </c>
      <c r="M94" s="230">
        <f t="shared" si="11"/>
        <v>86</v>
      </c>
      <c r="N94" s="159">
        <f t="shared" si="12"/>
        <v>91</v>
      </c>
      <c r="O94" s="159">
        <f t="shared" si="13"/>
        <v>90</v>
      </c>
      <c r="P94" t="e" vm="1">
        <f t="shared" si="14"/>
        <v>#VALUE!</v>
      </c>
      <c r="Q94" s="15">
        <v>0</v>
      </c>
      <c r="R94" s="15">
        <v>0</v>
      </c>
      <c r="S94">
        <v>-5</v>
      </c>
      <c r="T94" s="14">
        <f>Table231[[#This Row],[BDG]]/Table231[[#This Row],[Odds]]</f>
        <v>15.892844882146989</v>
      </c>
      <c r="U94" s="14" cm="1">
        <f t="array" ref="U94">MAX(_xlfn._xlws.FILTER(Table22[[B365]:[BFAIREXC]], Table22[PLAYER] = A94))</f>
        <v>17.2</v>
      </c>
    </row>
    <row r="95" spans="1:21">
      <c r="A95" s="159" t="s">
        <v>79</v>
      </c>
      <c r="B95">
        <v>65</v>
      </c>
      <c r="C95">
        <v>106</v>
      </c>
      <c r="D95">
        <v>151</v>
      </c>
      <c r="E95">
        <v>141</v>
      </c>
      <c r="F95">
        <v>180</v>
      </c>
      <c r="G95">
        <v>171</v>
      </c>
      <c r="H95">
        <v>340</v>
      </c>
      <c r="I95" s="14">
        <v>575.02007490741039</v>
      </c>
      <c r="J95" s="259">
        <v>274.30058276650232</v>
      </c>
      <c r="K95" s="260">
        <v>442.88599684539673</v>
      </c>
      <c r="L95" s="16">
        <f t="shared" si="10"/>
        <v>115</v>
      </c>
      <c r="M95" s="230">
        <f t="shared" si="11"/>
        <v>116</v>
      </c>
      <c r="N95" s="159">
        <f t="shared" si="12"/>
        <v>92</v>
      </c>
      <c r="O95" s="159">
        <f t="shared" si="13"/>
        <v>87</v>
      </c>
      <c r="P95" t="e" vm="1">
        <f t="shared" si="14"/>
        <v>#VALUE!</v>
      </c>
      <c r="Q95" s="15">
        <v>0</v>
      </c>
      <c r="R95" s="15">
        <v>0</v>
      </c>
      <c r="S95">
        <v>-84</v>
      </c>
      <c r="T95" s="14">
        <f>Table231[[#This Row],[BDG]]/Table231[[#This Row],[Odds]]</f>
        <v>26.631124540437117</v>
      </c>
      <c r="U95" s="14" cm="1">
        <f t="array" ref="U95">MAX(_xlfn._xlws.FILTER(Table22[[B365]:[BFAIREXC]], Table22[PLAYER] = A95))</f>
        <v>10.3</v>
      </c>
    </row>
    <row r="96" spans="1:21">
      <c r="A96" s="159" t="s">
        <v>21</v>
      </c>
      <c r="B96">
        <v>35</v>
      </c>
      <c r="C96">
        <v>187</v>
      </c>
      <c r="D96">
        <v>102</v>
      </c>
      <c r="E96">
        <v>101</v>
      </c>
      <c r="F96">
        <v>186</v>
      </c>
      <c r="G96">
        <v>175</v>
      </c>
      <c r="H96">
        <v>304.10000000000002</v>
      </c>
      <c r="I96" s="14">
        <v>536.5651435115318</v>
      </c>
      <c r="J96" s="259">
        <v>274.37703723528938</v>
      </c>
      <c r="K96" s="260">
        <v>477.12041922103094</v>
      </c>
      <c r="L96" s="16">
        <f t="shared" si="10"/>
        <v>97</v>
      </c>
      <c r="M96" s="230">
        <f t="shared" si="11"/>
        <v>106</v>
      </c>
      <c r="N96" s="159">
        <f t="shared" si="12"/>
        <v>93</v>
      </c>
      <c r="O96" s="159">
        <f t="shared" si="13"/>
        <v>99</v>
      </c>
      <c r="P96" t="e" vm="1">
        <f t="shared" si="14"/>
        <v>#VALUE!</v>
      </c>
      <c r="Q96" s="15" t="e">
        <v>#N/A</v>
      </c>
      <c r="R96" s="15" t="e">
        <v>#N/A</v>
      </c>
      <c r="S96">
        <v>-48</v>
      </c>
      <c r="T96" s="14">
        <f>Table231[[#This Row],[BDG]]/Table231[[#This Row],[Odds]]</f>
        <v>14.365289907606773</v>
      </c>
      <c r="U96" s="14" cm="1">
        <f t="array" ref="U96">MAX(_xlfn._xlws.FILTER(Table22[[B365]:[BFAIREXC]], Table22[PLAYER] = A96))</f>
        <v>19.100000000000001</v>
      </c>
    </row>
    <row r="97" spans="1:21">
      <c r="A97" s="159" t="s">
        <v>101</v>
      </c>
      <c r="B97">
        <v>144</v>
      </c>
      <c r="C97">
        <v>66</v>
      </c>
      <c r="D97">
        <v>76</v>
      </c>
      <c r="E97">
        <v>178</v>
      </c>
      <c r="F97">
        <v>149</v>
      </c>
      <c r="G97">
        <v>160</v>
      </c>
      <c r="H97">
        <v>326.10000000000002</v>
      </c>
      <c r="I97" s="14">
        <v>538.56003449207265</v>
      </c>
      <c r="J97" s="259">
        <v>275.45426806511898</v>
      </c>
      <c r="K97" s="260">
        <v>434.48295999026607</v>
      </c>
      <c r="L97" s="16">
        <f t="shared" si="10"/>
        <v>109</v>
      </c>
      <c r="M97" s="230">
        <f t="shared" si="11"/>
        <v>107</v>
      </c>
      <c r="N97" s="159">
        <f t="shared" si="12"/>
        <v>94</v>
      </c>
      <c r="O97" s="159">
        <f t="shared" si="13"/>
        <v>83</v>
      </c>
      <c r="P97" t="e" vm="1">
        <f t="shared" si="14"/>
        <v>#VALUE!</v>
      </c>
      <c r="Q97" s="15">
        <v>0</v>
      </c>
      <c r="R97" s="15">
        <v>0</v>
      </c>
      <c r="S97">
        <v>-10</v>
      </c>
      <c r="T97" s="14" t="e" vm="1">
        <f>Table231[[#This Row],[BDG]]/Table231[[#This Row],[Odds]]</f>
        <v>#VALUE!</v>
      </c>
      <c r="U97" s="14" t="e" cm="1" vm="2">
        <f t="array" ref="U97">MAX(_xlfn._xlws.FILTER(Table22[[B365]:[BFAIREXC]], Table22[PLAYER] = A97))</f>
        <v>#VALUE!</v>
      </c>
    </row>
    <row r="98" spans="1:21">
      <c r="A98" s="159" t="s">
        <v>179</v>
      </c>
      <c r="B98">
        <v>182</v>
      </c>
      <c r="C98">
        <v>2</v>
      </c>
      <c r="D98">
        <v>108</v>
      </c>
      <c r="E98">
        <v>92</v>
      </c>
      <c r="F98">
        <v>156</v>
      </c>
      <c r="G98">
        <v>140</v>
      </c>
      <c r="H98">
        <v>318.60000000000002</v>
      </c>
      <c r="I98" s="14">
        <v>492.76110514245795</v>
      </c>
      <c r="J98" s="259">
        <v>277.15603055613394</v>
      </c>
      <c r="K98" s="260">
        <v>425.75107108400744</v>
      </c>
      <c r="L98" s="16">
        <f t="shared" ref="L98:L129" si="15">RANK(H98,$H$2:$H$129,1)</f>
        <v>107</v>
      </c>
      <c r="M98" s="230">
        <f t="shared" ref="M98:M129" si="16">RANK(I98,$I$2:$I$129,1)</f>
        <v>96</v>
      </c>
      <c r="N98" s="159">
        <f t="shared" ref="N98:N129" si="17">RANK(J98,$J$2:$J$129,1)</f>
        <v>95</v>
      </c>
      <c r="O98" s="159">
        <f t="shared" ref="O98:O129" si="18">RANK(K98,$K$2:$K$129,1)</f>
        <v>81</v>
      </c>
      <c r="P98" t="e" vm="1">
        <f t="shared" ref="P98:P129" si="19">RANK(T98,$T$2:$T$129,1)</f>
        <v>#VALUE!</v>
      </c>
      <c r="Q98" s="15">
        <v>0</v>
      </c>
      <c r="R98" s="15">
        <v>0</v>
      </c>
      <c r="S98">
        <v>-53</v>
      </c>
      <c r="T98" s="14" t="e" vm="1">
        <f>Table231[[#This Row],[BDG]]/Table231[[#This Row],[Odds]]</f>
        <v>#VALUE!</v>
      </c>
      <c r="U98" s="14" t="e" cm="1" vm="2">
        <f t="array" ref="U98">MAX(_xlfn._xlws.FILTER(Table22[[B365]:[BFAIREXC]], Table22[PLAYER] = A98))</f>
        <v>#VALUE!</v>
      </c>
    </row>
    <row r="99" spans="1:21">
      <c r="A99" s="159" t="s">
        <v>89</v>
      </c>
      <c r="B99">
        <v>101</v>
      </c>
      <c r="C99">
        <v>170</v>
      </c>
      <c r="D99">
        <v>11</v>
      </c>
      <c r="E99">
        <v>73</v>
      </c>
      <c r="F99">
        <v>112</v>
      </c>
      <c r="G99">
        <v>77</v>
      </c>
      <c r="H99">
        <v>231.59999999999997</v>
      </c>
      <c r="I99" s="14">
        <v>341.0047812681189</v>
      </c>
      <c r="J99" s="259">
        <v>277.84906735040124</v>
      </c>
      <c r="K99" s="260">
        <v>447.00841574070444</v>
      </c>
      <c r="L99" s="16">
        <f t="shared" si="15"/>
        <v>43</v>
      </c>
      <c r="M99" s="230">
        <f t="shared" si="16"/>
        <v>40</v>
      </c>
      <c r="N99" s="159">
        <f t="shared" si="17"/>
        <v>96</v>
      </c>
      <c r="O99" s="159">
        <f t="shared" si="18"/>
        <v>89</v>
      </c>
      <c r="P99" t="e" vm="1">
        <f t="shared" si="19"/>
        <v>#VALUE!</v>
      </c>
      <c r="Q99" s="15">
        <v>0</v>
      </c>
      <c r="R99" s="15">
        <v>0</v>
      </c>
      <c r="S99">
        <v>-36</v>
      </c>
      <c r="T99" s="14" t="e" vm="1">
        <f>Table231[[#This Row],[BDG]]/Table231[[#This Row],[Odds]]</f>
        <v>#VALUE!</v>
      </c>
      <c r="U99" s="14" t="e" cm="1" vm="2">
        <f t="array" ref="U99">MAX(_xlfn._xlws.FILTER(Table22[[B365]:[BFAIREXC]], Table22[PLAYER] = A99))</f>
        <v>#VALUE!</v>
      </c>
    </row>
    <row r="100" spans="1:21">
      <c r="A100" s="159" t="s">
        <v>445</v>
      </c>
      <c r="B100">
        <v>24</v>
      </c>
      <c r="C100">
        <v>129</v>
      </c>
      <c r="D100">
        <v>169</v>
      </c>
      <c r="E100">
        <v>175</v>
      </c>
      <c r="F100">
        <v>46</v>
      </c>
      <c r="G100">
        <v>127</v>
      </c>
      <c r="H100">
        <v>279.7</v>
      </c>
      <c r="I100" s="14">
        <v>479.63907694402519</v>
      </c>
      <c r="J100" s="259">
        <v>279.7</v>
      </c>
      <c r="K100" s="260">
        <v>479.63907694402519</v>
      </c>
      <c r="L100" s="16">
        <f t="shared" si="15"/>
        <v>79</v>
      </c>
      <c r="M100" s="230">
        <f t="shared" si="16"/>
        <v>87</v>
      </c>
      <c r="N100" s="159">
        <f t="shared" si="17"/>
        <v>97</v>
      </c>
      <c r="O100" s="159">
        <f t="shared" si="18"/>
        <v>101</v>
      </c>
      <c r="P100" t="e" vm="1">
        <f t="shared" si="19"/>
        <v>#VALUE!</v>
      </c>
      <c r="Q100" s="15">
        <v>0</v>
      </c>
      <c r="R100" s="15">
        <v>0</v>
      </c>
      <c r="S100">
        <v>-23</v>
      </c>
      <c r="T100" s="14" t="e" vm="1">
        <f>Table231[[#This Row],[BDG]]/Table231[[#This Row],[Odds]]</f>
        <v>#VALUE!</v>
      </c>
      <c r="U100" s="14" t="e" cm="1" vm="2">
        <f t="array" ref="U100">MAX(_xlfn._xlws.FILTER(Table22[[B365]:[BFAIREXC]], Table22[PLAYER] = A100))</f>
        <v>#VALUE!</v>
      </c>
    </row>
    <row r="101" spans="1:21">
      <c r="A101" s="159" t="s">
        <v>13</v>
      </c>
      <c r="B101">
        <v>49</v>
      </c>
      <c r="C101">
        <v>101</v>
      </c>
      <c r="D101">
        <v>174</v>
      </c>
      <c r="E101">
        <v>162</v>
      </c>
      <c r="F101">
        <v>184</v>
      </c>
      <c r="G101">
        <v>179</v>
      </c>
      <c r="H101">
        <v>353.3</v>
      </c>
      <c r="I101" s="14">
        <v>603.98416435483239</v>
      </c>
      <c r="J101" s="259">
        <v>280.74302161131851</v>
      </c>
      <c r="K101" s="260">
        <v>470.80769894637473</v>
      </c>
      <c r="L101" s="16">
        <f t="shared" si="15"/>
        <v>120</v>
      </c>
      <c r="M101" s="230">
        <f t="shared" si="16"/>
        <v>123</v>
      </c>
      <c r="N101" s="159">
        <f t="shared" si="17"/>
        <v>98</v>
      </c>
      <c r="O101" s="159">
        <f t="shared" si="18"/>
        <v>96</v>
      </c>
      <c r="P101" t="e" vm="1">
        <f t="shared" si="19"/>
        <v>#VALUE!</v>
      </c>
      <c r="Q101" s="15">
        <v>0</v>
      </c>
      <c r="R101" s="15">
        <v>0</v>
      </c>
      <c r="S101">
        <v>-21</v>
      </c>
      <c r="T101" s="14" t="e" vm="1">
        <f>Table231[[#This Row],[BDG]]/Table231[[#This Row],[Odds]]</f>
        <v>#VALUE!</v>
      </c>
      <c r="U101" s="14" t="e" cm="1" vm="2">
        <f t="array" ref="U101">MAX(_xlfn._xlws.FILTER(Table22[[B365]:[BFAIREXC]], Table22[PLAYER] = A101))</f>
        <v>#VALUE!</v>
      </c>
    </row>
    <row r="102" spans="1:21">
      <c r="A102" s="159" t="s">
        <v>182</v>
      </c>
      <c r="B102">
        <v>177</v>
      </c>
      <c r="C102">
        <v>79</v>
      </c>
      <c r="D102">
        <v>115</v>
      </c>
      <c r="E102">
        <v>25</v>
      </c>
      <c r="F102">
        <v>1</v>
      </c>
      <c r="G102">
        <v>24</v>
      </c>
      <c r="H102">
        <v>286.20000000000005</v>
      </c>
      <c r="I102" s="14">
        <v>296.31738334323092</v>
      </c>
      <c r="J102" s="259">
        <v>281.25761358184951</v>
      </c>
      <c r="K102" s="260">
        <v>355.41204956154013</v>
      </c>
      <c r="L102" s="16">
        <f t="shared" si="15"/>
        <v>86</v>
      </c>
      <c r="M102" s="230">
        <f t="shared" si="16"/>
        <v>29</v>
      </c>
      <c r="N102" s="159">
        <f t="shared" si="17"/>
        <v>99</v>
      </c>
      <c r="O102" s="159">
        <f t="shared" si="18"/>
        <v>48</v>
      </c>
      <c r="P102" t="e" vm="1">
        <f t="shared" si="19"/>
        <v>#VALUE!</v>
      </c>
      <c r="Q102" s="15">
        <v>0</v>
      </c>
      <c r="R102" s="15">
        <v>0</v>
      </c>
      <c r="S102" t="e">
        <v>#N/A</v>
      </c>
      <c r="T102" s="14" t="e" vm="1">
        <f>Table231[[#This Row],[BDG]]/Table231[[#This Row],[Odds]]</f>
        <v>#VALUE!</v>
      </c>
      <c r="U102" s="14" t="e" cm="1" vm="2">
        <f t="array" ref="U102">MAX(_xlfn._xlws.FILTER(Table22[[B365]:[BFAIREXC]], Table22[PLAYER] = A102))</f>
        <v>#VALUE!</v>
      </c>
    </row>
    <row r="103" spans="1:21">
      <c r="A103" s="159" t="s">
        <v>151</v>
      </c>
      <c r="B103">
        <v>137</v>
      </c>
      <c r="C103">
        <v>85</v>
      </c>
      <c r="D103">
        <v>100</v>
      </c>
      <c r="E103">
        <v>136</v>
      </c>
      <c r="F103">
        <v>98</v>
      </c>
      <c r="G103">
        <v>122</v>
      </c>
      <c r="H103">
        <v>303.29999999999995</v>
      </c>
      <c r="I103" s="14">
        <v>474.16517011167684</v>
      </c>
      <c r="J103" s="259">
        <v>281.55349976013781</v>
      </c>
      <c r="K103" s="260">
        <v>441.50293705766069</v>
      </c>
      <c r="L103" s="16">
        <f t="shared" si="15"/>
        <v>95</v>
      </c>
      <c r="M103" s="230">
        <f t="shared" si="16"/>
        <v>84</v>
      </c>
      <c r="N103" s="159">
        <f t="shared" si="17"/>
        <v>100</v>
      </c>
      <c r="O103" s="159">
        <f t="shared" si="18"/>
        <v>86</v>
      </c>
      <c r="P103" t="e" vm="1">
        <f t="shared" si="19"/>
        <v>#VALUE!</v>
      </c>
      <c r="Q103" s="15">
        <v>0</v>
      </c>
      <c r="R103" s="15">
        <v>0</v>
      </c>
      <c r="S103">
        <v>-35</v>
      </c>
      <c r="T103" s="14">
        <f>Table231[[#This Row],[BDG]]/Table231[[#This Row],[Odds]]</f>
        <v>54.040978840717429</v>
      </c>
      <c r="U103" s="14" cm="1">
        <f t="array" ref="U103">MAX(_xlfn._xlws.FILTER(Table22[[B365]:[BFAIREXC]], Table22[PLAYER] = A103))</f>
        <v>5.21</v>
      </c>
    </row>
    <row r="104" spans="1:21">
      <c r="A104" s="159" t="s">
        <v>560</v>
      </c>
      <c r="B104">
        <v>8</v>
      </c>
      <c r="C104">
        <v>186</v>
      </c>
      <c r="D104">
        <v>113</v>
      </c>
      <c r="E104">
        <v>78</v>
      </c>
      <c r="F104">
        <v>183</v>
      </c>
      <c r="G104">
        <v>183</v>
      </c>
      <c r="H104">
        <v>281.8</v>
      </c>
      <c r="I104" s="14">
        <v>520.1567761715537</v>
      </c>
      <c r="J104" s="259">
        <v>281.8</v>
      </c>
      <c r="K104" s="260">
        <v>520.1567761715537</v>
      </c>
      <c r="L104" s="16">
        <f t="shared" si="15"/>
        <v>82</v>
      </c>
      <c r="M104" s="230">
        <f t="shared" si="16"/>
        <v>103</v>
      </c>
      <c r="N104" s="159">
        <f t="shared" si="17"/>
        <v>101</v>
      </c>
      <c r="O104" s="159">
        <f t="shared" si="18"/>
        <v>114</v>
      </c>
      <c r="P104" t="e" vm="1">
        <f t="shared" si="19"/>
        <v>#VALUE!</v>
      </c>
      <c r="Q104" s="15" t="e">
        <v>#N/A</v>
      </c>
      <c r="R104" s="15" t="e">
        <v>#N/A</v>
      </c>
      <c r="S104" t="e">
        <v>#N/A</v>
      </c>
      <c r="T104" s="14">
        <f>Table231[[#This Row],[BDG]]/Table231[[#This Row],[Odds]]</f>
        <v>36.788511749347258</v>
      </c>
      <c r="U104" s="14" cm="1">
        <f t="array" ref="U104">MAX(_xlfn._xlws.FILTER(Table22[[B365]:[BFAIREXC]], Table22[PLAYER] = A104))</f>
        <v>7.66</v>
      </c>
    </row>
    <row r="105" spans="1:21">
      <c r="A105" s="159" t="s">
        <v>556</v>
      </c>
      <c r="B105">
        <v>15</v>
      </c>
      <c r="C105">
        <v>93</v>
      </c>
      <c r="D105">
        <v>153</v>
      </c>
      <c r="E105">
        <v>131</v>
      </c>
      <c r="F105">
        <v>150</v>
      </c>
      <c r="G105">
        <v>145</v>
      </c>
      <c r="H105">
        <v>282.20000000000005</v>
      </c>
      <c r="I105" s="14">
        <v>488.87738876493893</v>
      </c>
      <c r="J105" s="259">
        <v>282.20000000000005</v>
      </c>
      <c r="K105" s="260">
        <v>488.87738876493893</v>
      </c>
      <c r="L105" s="16">
        <f t="shared" si="15"/>
        <v>83</v>
      </c>
      <c r="M105" s="230">
        <f t="shared" si="16"/>
        <v>92</v>
      </c>
      <c r="N105" s="159">
        <f t="shared" si="17"/>
        <v>102</v>
      </c>
      <c r="O105" s="159">
        <f t="shared" si="18"/>
        <v>109</v>
      </c>
      <c r="P105" t="e" vm="1">
        <f t="shared" si="19"/>
        <v>#VALUE!</v>
      </c>
      <c r="Q105" s="15" t="e">
        <v>#N/A</v>
      </c>
      <c r="R105" s="15" t="e">
        <v>#N/A</v>
      </c>
      <c r="S105" t="e">
        <v>#N/A</v>
      </c>
      <c r="T105" s="14">
        <f>Table231[[#This Row],[BDG]]/Table231[[#This Row],[Odds]]</f>
        <v>14.774869109947645</v>
      </c>
      <c r="U105" s="14" cm="1">
        <f t="array" ref="U105">MAX(_xlfn._xlws.FILTER(Table22[[B365]:[BFAIREXC]], Table22[PLAYER] = A105))</f>
        <v>19.100000000000001</v>
      </c>
    </row>
    <row r="106" spans="1:21">
      <c r="A106" s="159" t="s">
        <v>144</v>
      </c>
      <c r="B106">
        <v>166</v>
      </c>
      <c r="C106">
        <v>125</v>
      </c>
      <c r="D106">
        <v>165</v>
      </c>
      <c r="E106">
        <v>24</v>
      </c>
      <c r="F106">
        <v>161</v>
      </c>
      <c r="G106">
        <v>164</v>
      </c>
      <c r="H106">
        <v>371.8</v>
      </c>
      <c r="I106" s="14">
        <v>578.41344881547843</v>
      </c>
      <c r="J106" s="259">
        <v>282.6053701099404</v>
      </c>
      <c r="K106" s="260">
        <v>413.14309747868958</v>
      </c>
      <c r="L106" s="16">
        <f t="shared" si="15"/>
        <v>125</v>
      </c>
      <c r="M106" s="230">
        <f t="shared" si="16"/>
        <v>117</v>
      </c>
      <c r="N106" s="159">
        <f t="shared" si="17"/>
        <v>103</v>
      </c>
      <c r="O106" s="159">
        <f t="shared" si="18"/>
        <v>77</v>
      </c>
      <c r="P106" t="e" vm="1">
        <f t="shared" si="19"/>
        <v>#VALUE!</v>
      </c>
      <c r="Q106" s="15">
        <v>0</v>
      </c>
      <c r="R106" s="15">
        <v>0</v>
      </c>
      <c r="S106">
        <v>-37</v>
      </c>
      <c r="T106" s="14" t="e" vm="1">
        <f>Table231[[#This Row],[BDG]]/Table231[[#This Row],[Odds]]</f>
        <v>#VALUE!</v>
      </c>
      <c r="U106" s="14" t="e" cm="1" vm="2">
        <f t="array" ref="U106">MAX(_xlfn._xlws.FILTER(Table22[[B365]:[BFAIREXC]], Table22[PLAYER] = A106))</f>
        <v>#VALUE!</v>
      </c>
    </row>
    <row r="107" spans="1:21">
      <c r="A107" s="159" t="s">
        <v>163</v>
      </c>
      <c r="B107">
        <v>177</v>
      </c>
      <c r="C107">
        <v>76</v>
      </c>
      <c r="D107">
        <v>118</v>
      </c>
      <c r="E107">
        <v>186</v>
      </c>
      <c r="F107">
        <v>136</v>
      </c>
      <c r="G107">
        <v>181</v>
      </c>
      <c r="H107">
        <v>315.10000000000002</v>
      </c>
      <c r="I107" s="14">
        <v>620.62616538884481</v>
      </c>
      <c r="J107" s="259">
        <v>284.07279637494412</v>
      </c>
      <c r="K107" s="260">
        <v>500.45787671663516</v>
      </c>
      <c r="L107" s="16">
        <f t="shared" si="15"/>
        <v>104</v>
      </c>
      <c r="M107" s="230">
        <f t="shared" si="16"/>
        <v>127</v>
      </c>
      <c r="N107" s="159">
        <f t="shared" si="17"/>
        <v>104</v>
      </c>
      <c r="O107" s="159">
        <f t="shared" si="18"/>
        <v>113</v>
      </c>
      <c r="P107" t="e" vm="1">
        <f t="shared" si="19"/>
        <v>#VALUE!</v>
      </c>
      <c r="Q107" s="15" t="e">
        <v>#N/A</v>
      </c>
      <c r="R107" s="15" t="e">
        <v>#N/A</v>
      </c>
      <c r="S107">
        <v>-22</v>
      </c>
      <c r="T107" s="14">
        <f>Table231[[#This Row],[BDG]]/Table231[[#This Row],[Odds]]</f>
        <v>17.010347088320007</v>
      </c>
      <c r="U107" s="14" cm="1">
        <f t="array" ref="U107">MAX(_xlfn._xlws.FILTER(Table22[[B365]:[BFAIREXC]], Table22[PLAYER] = A107))</f>
        <v>16.7</v>
      </c>
    </row>
    <row r="108" spans="1:21">
      <c r="A108" s="159" t="s">
        <v>156</v>
      </c>
      <c r="B108">
        <v>140</v>
      </c>
      <c r="C108">
        <v>36</v>
      </c>
      <c r="D108">
        <v>158</v>
      </c>
      <c r="E108">
        <v>8</v>
      </c>
      <c r="F108">
        <v>106</v>
      </c>
      <c r="G108">
        <v>125</v>
      </c>
      <c r="H108">
        <v>279.2</v>
      </c>
      <c r="I108" s="14">
        <v>433.26831774823961</v>
      </c>
      <c r="J108" s="259">
        <v>286.88815665045632</v>
      </c>
      <c r="K108" s="260">
        <v>463.92163010354699</v>
      </c>
      <c r="L108" s="16">
        <f t="shared" si="15"/>
        <v>78</v>
      </c>
      <c r="M108" s="230">
        <f t="shared" si="16"/>
        <v>73</v>
      </c>
      <c r="N108" s="159">
        <f t="shared" si="17"/>
        <v>105</v>
      </c>
      <c r="O108" s="159">
        <f t="shared" si="18"/>
        <v>94</v>
      </c>
      <c r="P108" t="e" vm="1">
        <f t="shared" si="19"/>
        <v>#VALUE!</v>
      </c>
      <c r="Q108" s="15">
        <v>0</v>
      </c>
      <c r="R108" s="15">
        <v>0</v>
      </c>
      <c r="S108">
        <v>-99</v>
      </c>
      <c r="T108" s="14">
        <f>Table231[[#This Row],[BDG]]/Table231[[#This Row],[Odds]]</f>
        <v>23.324240378085879</v>
      </c>
      <c r="U108" s="14" cm="1">
        <f t="array" ref="U108">MAX(_xlfn._xlws.FILTER(Table22[[B365]:[BFAIREXC]], Table22[PLAYER] = A108))</f>
        <v>12.3</v>
      </c>
    </row>
    <row r="109" spans="1:21">
      <c r="A109" s="159" t="s">
        <v>137</v>
      </c>
      <c r="B109">
        <v>162</v>
      </c>
      <c r="C109">
        <v>22</v>
      </c>
      <c r="D109">
        <v>83</v>
      </c>
      <c r="E109">
        <v>128</v>
      </c>
      <c r="F109">
        <v>172</v>
      </c>
      <c r="G109">
        <v>142</v>
      </c>
      <c r="H109">
        <v>317.5</v>
      </c>
      <c r="I109" s="14">
        <v>499.46834113092024</v>
      </c>
      <c r="J109" s="259">
        <v>291.18179232334865</v>
      </c>
      <c r="K109" s="260">
        <v>470.51825294485138</v>
      </c>
      <c r="L109" s="16">
        <f t="shared" si="15"/>
        <v>105</v>
      </c>
      <c r="M109" s="230">
        <f t="shared" si="16"/>
        <v>98</v>
      </c>
      <c r="N109" s="159">
        <f t="shared" si="17"/>
        <v>106</v>
      </c>
      <c r="O109" s="159">
        <f t="shared" si="18"/>
        <v>95</v>
      </c>
      <c r="P109" t="e" vm="1">
        <f t="shared" si="19"/>
        <v>#VALUE!</v>
      </c>
      <c r="Q109" s="15">
        <v>0</v>
      </c>
      <c r="R109" s="15">
        <v>0</v>
      </c>
      <c r="S109">
        <v>-36</v>
      </c>
      <c r="T109" s="14">
        <f>Table231[[#This Row],[BDG]]/Table231[[#This Row],[Odds]]</f>
        <v>42.322934930719278</v>
      </c>
      <c r="U109" s="14" cm="1">
        <f t="array" ref="U109">MAX(_xlfn._xlws.FILTER(Table22[[B365]:[BFAIREXC]], Table22[PLAYER] = A109))</f>
        <v>6.88</v>
      </c>
    </row>
    <row r="110" spans="1:21">
      <c r="A110" s="159" t="s">
        <v>71</v>
      </c>
      <c r="B110">
        <v>133</v>
      </c>
      <c r="C110">
        <v>183</v>
      </c>
      <c r="D110">
        <v>131</v>
      </c>
      <c r="E110">
        <v>115</v>
      </c>
      <c r="F110">
        <v>93</v>
      </c>
      <c r="G110">
        <v>154</v>
      </c>
      <c r="H110">
        <v>350.5</v>
      </c>
      <c r="I110" s="14">
        <v>563.66310989563021</v>
      </c>
      <c r="J110" s="259">
        <v>298.60494260941982</v>
      </c>
      <c r="K110" s="260">
        <v>491.49015636880267</v>
      </c>
      <c r="L110" s="16">
        <f t="shared" si="15"/>
        <v>119</v>
      </c>
      <c r="M110" s="230">
        <f t="shared" si="16"/>
        <v>109</v>
      </c>
      <c r="N110" s="159">
        <f t="shared" si="17"/>
        <v>107</v>
      </c>
      <c r="O110" s="159">
        <f t="shared" si="18"/>
        <v>110</v>
      </c>
      <c r="P110" t="e" vm="1">
        <f t="shared" si="19"/>
        <v>#VALUE!</v>
      </c>
      <c r="Q110" s="15">
        <v>0</v>
      </c>
      <c r="R110" s="15">
        <v>0</v>
      </c>
      <c r="S110">
        <v>-10</v>
      </c>
      <c r="T110" s="14">
        <f>Table231[[#This Row],[BDG]]/Table231[[#This Row],[Odds]]</f>
        <v>6.491411795856953</v>
      </c>
      <c r="U110" s="14" cm="1">
        <f t="array" ref="U110">MAX(_xlfn._xlws.FILTER(Table22[[B365]:[BFAIREXC]], Table22[PLAYER] = A110))</f>
        <v>46</v>
      </c>
    </row>
    <row r="111" spans="1:21">
      <c r="A111" s="159" t="s">
        <v>116</v>
      </c>
      <c r="B111">
        <v>123</v>
      </c>
      <c r="C111">
        <v>14</v>
      </c>
      <c r="D111">
        <v>160</v>
      </c>
      <c r="E111">
        <v>75</v>
      </c>
      <c r="F111">
        <v>154</v>
      </c>
      <c r="G111">
        <v>149</v>
      </c>
      <c r="H111">
        <v>310.7</v>
      </c>
      <c r="I111" s="14">
        <v>501.47200067320614</v>
      </c>
      <c r="J111" s="259">
        <v>301.57031397758311</v>
      </c>
      <c r="K111" s="260">
        <v>487.29425850242956</v>
      </c>
      <c r="L111" s="16">
        <f t="shared" si="15"/>
        <v>101</v>
      </c>
      <c r="M111" s="230">
        <f t="shared" si="16"/>
        <v>99</v>
      </c>
      <c r="N111" s="159">
        <f t="shared" si="17"/>
        <v>108</v>
      </c>
      <c r="O111" s="159">
        <f t="shared" si="18"/>
        <v>107</v>
      </c>
      <c r="P111" t="e" vm="1">
        <f t="shared" si="19"/>
        <v>#VALUE!</v>
      </c>
      <c r="Q111" s="15">
        <v>0</v>
      </c>
      <c r="R111" s="15">
        <v>0</v>
      </c>
      <c r="S111">
        <v>-70</v>
      </c>
      <c r="T111" s="14">
        <f>Table231[[#This Row],[BDG]]/Table231[[#This Row],[Odds]]</f>
        <v>37.415671709377555</v>
      </c>
      <c r="U111" s="14" cm="1">
        <f t="array" ref="U111">MAX(_xlfn._xlws.FILTER(Table22[[B365]:[BFAIREXC]], Table22[PLAYER] = A111))</f>
        <v>8.06</v>
      </c>
    </row>
    <row r="112" spans="1:21">
      <c r="A112" s="159" t="s">
        <v>490</v>
      </c>
      <c r="B112">
        <v>40</v>
      </c>
      <c r="C112">
        <v>182</v>
      </c>
      <c r="D112">
        <v>186</v>
      </c>
      <c r="E112">
        <v>176</v>
      </c>
      <c r="F112">
        <v>7</v>
      </c>
      <c r="G112">
        <v>180</v>
      </c>
      <c r="H112">
        <v>304.89999999999998</v>
      </c>
      <c r="I112" s="14">
        <v>564.31880183876649</v>
      </c>
      <c r="J112" s="259">
        <v>304.89999999999998</v>
      </c>
      <c r="K112" s="260">
        <v>564.31880183876649</v>
      </c>
      <c r="L112" s="16">
        <f t="shared" si="15"/>
        <v>98</v>
      </c>
      <c r="M112" s="230">
        <f t="shared" si="16"/>
        <v>110</v>
      </c>
      <c r="N112" s="159">
        <f t="shared" si="17"/>
        <v>110</v>
      </c>
      <c r="O112" s="159">
        <f t="shared" si="18"/>
        <v>118</v>
      </c>
      <c r="P112" t="e" vm="1">
        <f t="shared" si="19"/>
        <v>#VALUE!</v>
      </c>
      <c r="Q112" s="15" t="e">
        <v>#N/A</v>
      </c>
      <c r="R112" s="15" t="e">
        <v>#N/A</v>
      </c>
      <c r="S112">
        <v>-72</v>
      </c>
      <c r="T112" s="14">
        <f>Table231[[#This Row],[BDG]]/Table231[[#This Row],[Odds]]</f>
        <v>15.55612244897959</v>
      </c>
      <c r="U112" s="14" cm="1">
        <f t="array" ref="U112">MAX(_xlfn._xlws.FILTER(Table22[[B365]:[BFAIREXC]], Table22[PLAYER] = A112))</f>
        <v>19.600000000000001</v>
      </c>
    </row>
    <row r="113" spans="1:21">
      <c r="A113" s="159" t="s">
        <v>443</v>
      </c>
      <c r="B113">
        <v>171</v>
      </c>
      <c r="C113">
        <v>52</v>
      </c>
      <c r="D113">
        <v>162</v>
      </c>
      <c r="E113">
        <v>150</v>
      </c>
      <c r="F113">
        <v>145</v>
      </c>
      <c r="G113">
        <v>168</v>
      </c>
      <c r="H113">
        <v>386.4</v>
      </c>
      <c r="I113" s="14">
        <v>612.89700896381601</v>
      </c>
      <c r="J113" s="259">
        <v>305.67435517020863</v>
      </c>
      <c r="K113" s="260">
        <v>485.98467791614263</v>
      </c>
      <c r="L113" s="16">
        <f t="shared" si="15"/>
        <v>127</v>
      </c>
      <c r="M113" s="230">
        <f t="shared" si="16"/>
        <v>126</v>
      </c>
      <c r="N113" s="159">
        <f t="shared" si="17"/>
        <v>112</v>
      </c>
      <c r="O113" s="159">
        <f t="shared" si="18"/>
        <v>106</v>
      </c>
      <c r="P113" t="e" vm="1">
        <f t="shared" si="19"/>
        <v>#VALUE!</v>
      </c>
      <c r="Q113" s="15">
        <v>0</v>
      </c>
      <c r="R113" s="15">
        <v>0</v>
      </c>
      <c r="S113">
        <v>-31</v>
      </c>
      <c r="T113" s="14">
        <f>Table231[[#This Row],[BDG]]/Table231[[#This Row],[Odds]]</f>
        <v>20.110154945408464</v>
      </c>
      <c r="U113" s="14" cm="1">
        <f t="array" ref="U113">MAX(_xlfn._xlws.FILTER(Table22[[B365]:[BFAIREXC]], Table22[PLAYER] = A113))</f>
        <v>15.2</v>
      </c>
    </row>
    <row r="114" spans="1:21">
      <c r="A114" s="159" t="s">
        <v>384</v>
      </c>
      <c r="B114">
        <v>160</v>
      </c>
      <c r="C114">
        <v>15</v>
      </c>
      <c r="D114">
        <v>81</v>
      </c>
      <c r="E114">
        <v>177</v>
      </c>
      <c r="F114">
        <v>123</v>
      </c>
      <c r="G114">
        <v>130</v>
      </c>
      <c r="H114">
        <v>307</v>
      </c>
      <c r="I114" s="14">
        <v>484.0049945765449</v>
      </c>
      <c r="J114" s="259">
        <v>307</v>
      </c>
      <c r="K114" s="260">
        <v>484.0049945765449</v>
      </c>
      <c r="L114" s="16">
        <f t="shared" si="15"/>
        <v>100</v>
      </c>
      <c r="M114" s="230">
        <f t="shared" si="16"/>
        <v>89</v>
      </c>
      <c r="N114" s="159">
        <f t="shared" si="17"/>
        <v>113</v>
      </c>
      <c r="O114" s="159">
        <f t="shared" si="18"/>
        <v>105</v>
      </c>
      <c r="P114" t="e" vm="1">
        <f t="shared" si="19"/>
        <v>#VALUE!</v>
      </c>
      <c r="Q114" s="15">
        <v>0</v>
      </c>
      <c r="R114" s="15">
        <v>0</v>
      </c>
      <c r="S114" t="e">
        <v>#N/A</v>
      </c>
      <c r="T114" s="14">
        <f>Table231[[#This Row],[BDG]]/Table231[[#This Row],[Odds]]</f>
        <v>48.807631160572335</v>
      </c>
      <c r="U114" s="14" cm="1">
        <f t="array" ref="U114">MAX(_xlfn._xlws.FILTER(Table22[[B365]:[BFAIREXC]], Table22[PLAYER] = A114))</f>
        <v>6.29</v>
      </c>
    </row>
    <row r="115" spans="1:21">
      <c r="A115" s="159" t="s">
        <v>539</v>
      </c>
      <c r="B115">
        <v>31</v>
      </c>
      <c r="C115">
        <v>184</v>
      </c>
      <c r="D115">
        <v>185</v>
      </c>
      <c r="E115">
        <v>86</v>
      </c>
      <c r="F115">
        <v>121</v>
      </c>
      <c r="G115">
        <v>187</v>
      </c>
      <c r="H115">
        <v>319.7</v>
      </c>
      <c r="I115" s="14">
        <v>572.40637324783165</v>
      </c>
      <c r="J115" s="259">
        <v>319.7</v>
      </c>
      <c r="K115" s="260">
        <v>572.40637324783165</v>
      </c>
      <c r="L115" s="16">
        <f t="shared" si="15"/>
        <v>108</v>
      </c>
      <c r="M115" s="230">
        <f t="shared" si="16"/>
        <v>114</v>
      </c>
      <c r="N115" s="159">
        <f t="shared" si="17"/>
        <v>117</v>
      </c>
      <c r="O115" s="159">
        <f t="shared" si="18"/>
        <v>121</v>
      </c>
      <c r="P115" t="e" vm="1">
        <f t="shared" si="19"/>
        <v>#VALUE!</v>
      </c>
      <c r="Q115" s="15">
        <v>0.33333333333333331</v>
      </c>
      <c r="R115" s="15">
        <v>0.33333333333333331</v>
      </c>
      <c r="S115" t="e">
        <v>#N/A</v>
      </c>
      <c r="T115" s="14" t="e" vm="1">
        <f>Table231[[#This Row],[BDG]]/Table231[[#This Row],[Odds]]</f>
        <v>#VALUE!</v>
      </c>
      <c r="U115" s="14" t="e" cm="1" vm="2">
        <f t="array" ref="U115">MAX(_xlfn._xlws.FILTER(Table22[[B365]:[BFAIREXC]], Table22[PLAYER] = A115))</f>
        <v>#VALUE!</v>
      </c>
    </row>
    <row r="116" spans="1:21">
      <c r="A116" s="159" t="s">
        <v>148</v>
      </c>
      <c r="B116">
        <v>170</v>
      </c>
      <c r="C116">
        <v>88</v>
      </c>
      <c r="D116">
        <v>182</v>
      </c>
      <c r="E116">
        <v>20</v>
      </c>
      <c r="F116">
        <v>29</v>
      </c>
      <c r="G116">
        <v>148</v>
      </c>
      <c r="H116">
        <v>304.09999999999997</v>
      </c>
      <c r="I116" s="14">
        <v>489.33190029996422</v>
      </c>
      <c r="J116" s="259">
        <v>313.2296860224169</v>
      </c>
      <c r="K116" s="260">
        <v>487.39775812981736</v>
      </c>
      <c r="L116" s="16">
        <f t="shared" si="15"/>
        <v>96</v>
      </c>
      <c r="M116" s="230">
        <f t="shared" si="16"/>
        <v>93</v>
      </c>
      <c r="N116" s="159">
        <f t="shared" si="17"/>
        <v>114</v>
      </c>
      <c r="O116" s="159">
        <f t="shared" si="18"/>
        <v>108</v>
      </c>
      <c r="P116" t="e" vm="1">
        <f t="shared" si="19"/>
        <v>#VALUE!</v>
      </c>
      <c r="Q116" s="15">
        <v>0</v>
      </c>
      <c r="R116" s="15">
        <v>0</v>
      </c>
      <c r="S116">
        <v>-61</v>
      </c>
      <c r="T116" s="14">
        <f>Table231[[#This Row],[BDG]]/Table231[[#This Row],[Odds]]</f>
        <v>38.862243923376781</v>
      </c>
      <c r="U116" s="14" cm="1">
        <f t="array" ref="U116">MAX(_xlfn._xlws.FILTER(Table22[[B365]:[BFAIREXC]], Table22[PLAYER] = A116))</f>
        <v>8.06</v>
      </c>
    </row>
    <row r="117" spans="1:21">
      <c r="A117" s="159" t="s">
        <v>496</v>
      </c>
      <c r="B117">
        <v>131</v>
      </c>
      <c r="C117">
        <v>62</v>
      </c>
      <c r="D117">
        <v>148</v>
      </c>
      <c r="E117">
        <v>139</v>
      </c>
      <c r="F117">
        <v>77</v>
      </c>
      <c r="G117">
        <v>129</v>
      </c>
      <c r="H117">
        <v>314.2</v>
      </c>
      <c r="I117" s="14">
        <v>497.55503616189338</v>
      </c>
      <c r="J117" s="259">
        <v>314.2</v>
      </c>
      <c r="K117" s="260">
        <v>497.55503616189338</v>
      </c>
      <c r="L117" s="16">
        <f t="shared" si="15"/>
        <v>103</v>
      </c>
      <c r="M117" s="230">
        <f t="shared" si="16"/>
        <v>97</v>
      </c>
      <c r="N117" s="159">
        <f t="shared" si="17"/>
        <v>115</v>
      </c>
      <c r="O117" s="159">
        <f t="shared" si="18"/>
        <v>112</v>
      </c>
      <c r="P117" t="e" vm="1">
        <f t="shared" si="19"/>
        <v>#VALUE!</v>
      </c>
      <c r="Q117" s="15">
        <v>0</v>
      </c>
      <c r="R117" s="15">
        <v>0</v>
      </c>
      <c r="S117">
        <v>-42</v>
      </c>
      <c r="T117" s="14">
        <f>Table231[[#This Row],[BDG]]/Table231[[#This Row],[Odds]]</f>
        <v>39.974554707379134</v>
      </c>
      <c r="U117" s="14" cm="1">
        <f t="array" ref="U117">MAX(_xlfn._xlws.FILTER(Table22[[B365]:[BFAIREXC]], Table22[PLAYER] = A117))</f>
        <v>7.86</v>
      </c>
    </row>
    <row r="118" spans="1:21">
      <c r="A118" s="159" t="s">
        <v>107</v>
      </c>
      <c r="B118">
        <v>101</v>
      </c>
      <c r="C118">
        <v>139</v>
      </c>
      <c r="D118">
        <v>107</v>
      </c>
      <c r="E118">
        <v>118</v>
      </c>
      <c r="F118">
        <v>33</v>
      </c>
      <c r="G118">
        <v>116</v>
      </c>
      <c r="H118">
        <v>264.89999999999998</v>
      </c>
      <c r="I118" s="14">
        <v>431.81400202979455</v>
      </c>
      <c r="J118" s="259">
        <v>317.8161406957189</v>
      </c>
      <c r="K118" s="260">
        <v>535.86158781296342</v>
      </c>
      <c r="L118" s="16">
        <f t="shared" si="15"/>
        <v>71</v>
      </c>
      <c r="M118" s="230">
        <f t="shared" si="16"/>
        <v>72</v>
      </c>
      <c r="N118" s="159">
        <f t="shared" si="17"/>
        <v>116</v>
      </c>
      <c r="O118" s="159">
        <f t="shared" si="18"/>
        <v>116</v>
      </c>
      <c r="P118" t="e" vm="1">
        <f t="shared" si="19"/>
        <v>#VALUE!</v>
      </c>
      <c r="Q118" s="15">
        <v>0</v>
      </c>
      <c r="R118" s="15">
        <v>0</v>
      </c>
      <c r="S118">
        <v>-15</v>
      </c>
      <c r="T118" s="14">
        <f>Table231[[#This Row],[BDG]]/Table231[[#This Row],[Odds]]</f>
        <v>19.618280289859193</v>
      </c>
      <c r="U118" s="14" cm="1">
        <f t="array" ref="U118">MAX(_xlfn._xlws.FILTER(Table22[[B365]:[BFAIREXC]], Table22[PLAYER] = A118))</f>
        <v>16.2</v>
      </c>
    </row>
    <row r="119" spans="1:21">
      <c r="A119" s="159" t="s">
        <v>170</v>
      </c>
      <c r="B119">
        <v>176</v>
      </c>
      <c r="C119">
        <v>134</v>
      </c>
      <c r="D119">
        <v>85</v>
      </c>
      <c r="E119">
        <v>79</v>
      </c>
      <c r="F119">
        <v>133</v>
      </c>
      <c r="G119">
        <v>133</v>
      </c>
      <c r="H119">
        <v>334.4</v>
      </c>
      <c r="I119" s="14">
        <v>507.71740881385767</v>
      </c>
      <c r="J119" s="259">
        <v>326.08203230250854</v>
      </c>
      <c r="K119" s="260">
        <v>525.9134442900488</v>
      </c>
      <c r="L119" s="16">
        <f t="shared" si="15"/>
        <v>112</v>
      </c>
      <c r="M119" s="230">
        <f t="shared" si="16"/>
        <v>100</v>
      </c>
      <c r="N119" s="159">
        <f t="shared" si="17"/>
        <v>118</v>
      </c>
      <c r="O119" s="159">
        <f t="shared" si="18"/>
        <v>115</v>
      </c>
      <c r="P119" t="e" vm="1">
        <f t="shared" si="19"/>
        <v>#VALUE!</v>
      </c>
      <c r="Q119" s="15">
        <v>0</v>
      </c>
      <c r="R119" s="15">
        <v>0</v>
      </c>
      <c r="S119">
        <v>-25</v>
      </c>
      <c r="T119" s="14" t="e" vm="1">
        <f>Table231[[#This Row],[BDG]]/Table231[[#This Row],[Odds]]</f>
        <v>#VALUE!</v>
      </c>
      <c r="U119" s="14" t="e" cm="1" vm="2">
        <f t="array" ref="U119">MAX(_xlfn._xlws.FILTER(Table22[[B365]:[BFAIREXC]], Table22[PLAYER] = A119))</f>
        <v>#VALUE!</v>
      </c>
    </row>
    <row r="120" spans="1:21">
      <c r="A120" s="159" t="s">
        <v>103</v>
      </c>
      <c r="B120">
        <v>152</v>
      </c>
      <c r="C120">
        <v>25</v>
      </c>
      <c r="D120">
        <v>138</v>
      </c>
      <c r="E120">
        <v>140</v>
      </c>
      <c r="F120">
        <v>44</v>
      </c>
      <c r="G120">
        <v>107</v>
      </c>
      <c r="H120">
        <v>291</v>
      </c>
      <c r="I120" s="14">
        <v>445.94461794653154</v>
      </c>
      <c r="J120" s="259">
        <v>329.15934180347028</v>
      </c>
      <c r="K120" s="260">
        <v>544.05437451398302</v>
      </c>
      <c r="L120" s="16">
        <f t="shared" si="15"/>
        <v>88</v>
      </c>
      <c r="M120" s="230">
        <f t="shared" si="16"/>
        <v>77</v>
      </c>
      <c r="N120" s="159">
        <f t="shared" si="17"/>
        <v>119</v>
      </c>
      <c r="O120" s="159">
        <f t="shared" si="18"/>
        <v>117</v>
      </c>
      <c r="P120" t="e" vm="1">
        <f t="shared" si="19"/>
        <v>#VALUE!</v>
      </c>
      <c r="Q120" s="15">
        <v>0</v>
      </c>
      <c r="R120" s="15">
        <v>0</v>
      </c>
      <c r="S120">
        <v>-31</v>
      </c>
      <c r="T120" s="14">
        <f>Table231[[#This Row],[BDG]]/Table231[[#This Row],[Odds]]</f>
        <v>19.710140227752714</v>
      </c>
      <c r="U120" s="14" cm="1">
        <f t="array" ref="U120">MAX(_xlfn._xlws.FILTER(Table22[[B365]:[BFAIREXC]], Table22[PLAYER] = A120))</f>
        <v>16.7</v>
      </c>
    </row>
    <row r="121" spans="1:21">
      <c r="A121" s="159" t="s">
        <v>494</v>
      </c>
      <c r="B121">
        <v>66</v>
      </c>
      <c r="C121">
        <v>126</v>
      </c>
      <c r="D121">
        <v>184</v>
      </c>
      <c r="E121">
        <v>159</v>
      </c>
      <c r="F121">
        <v>86</v>
      </c>
      <c r="G121">
        <v>165</v>
      </c>
      <c r="H121">
        <v>332</v>
      </c>
      <c r="I121" s="14">
        <v>568.95651355470045</v>
      </c>
      <c r="J121" s="259">
        <v>332</v>
      </c>
      <c r="K121" s="260">
        <v>568.95651355470045</v>
      </c>
      <c r="L121" s="16">
        <f t="shared" si="15"/>
        <v>111</v>
      </c>
      <c r="M121" s="230">
        <f t="shared" si="16"/>
        <v>113</v>
      </c>
      <c r="N121" s="159">
        <f t="shared" si="17"/>
        <v>120</v>
      </c>
      <c r="O121" s="159">
        <f t="shared" si="18"/>
        <v>120</v>
      </c>
      <c r="P121" t="e" vm="1">
        <f t="shared" si="19"/>
        <v>#VALUE!</v>
      </c>
      <c r="Q121" s="15">
        <v>0</v>
      </c>
      <c r="R121" s="15">
        <v>0</v>
      </c>
      <c r="S121">
        <v>-39</v>
      </c>
      <c r="T121" s="14" t="e" vm="1">
        <f>Table231[[#This Row],[BDG]]/Table231[[#This Row],[Odds]]</f>
        <v>#VALUE!</v>
      </c>
      <c r="U121" s="14" t="e" cm="1" vm="2">
        <f t="array" ref="U121">MAX(_xlfn._xlws.FILTER(Table22[[B365]:[BFAIREXC]], Table22[PLAYER] = A121))</f>
        <v>#VALUE!</v>
      </c>
    </row>
    <row r="122" spans="1:21">
      <c r="A122" s="159" t="s">
        <v>37</v>
      </c>
      <c r="B122">
        <v>87</v>
      </c>
      <c r="C122">
        <v>188</v>
      </c>
      <c r="D122">
        <v>180</v>
      </c>
      <c r="E122">
        <v>145</v>
      </c>
      <c r="F122">
        <v>38</v>
      </c>
      <c r="G122">
        <v>177</v>
      </c>
      <c r="H122">
        <v>339.09999999999997</v>
      </c>
      <c r="I122" s="14">
        <v>588.86678552617786</v>
      </c>
      <c r="J122" s="259">
        <v>333.69426485514782</v>
      </c>
      <c r="K122" s="260">
        <v>597.53190820788859</v>
      </c>
      <c r="L122" s="16">
        <f t="shared" si="15"/>
        <v>113</v>
      </c>
      <c r="M122" s="230">
        <f t="shared" si="16"/>
        <v>120</v>
      </c>
      <c r="N122" s="159">
        <f t="shared" si="17"/>
        <v>121</v>
      </c>
      <c r="O122" s="159">
        <f t="shared" si="18"/>
        <v>126</v>
      </c>
      <c r="P122" t="e" vm="1">
        <f t="shared" si="19"/>
        <v>#VALUE!</v>
      </c>
      <c r="Q122" s="15">
        <v>0</v>
      </c>
      <c r="R122" s="15">
        <v>0</v>
      </c>
      <c r="S122">
        <v>-16</v>
      </c>
      <c r="T122" s="14">
        <f>Table231[[#This Row],[BDG]]/Table231[[#This Row],[Odds]]</f>
        <v>8.5562632014140458</v>
      </c>
      <c r="U122" s="14" cm="1">
        <f t="array" ref="U122">MAX(_xlfn._xlws.FILTER(Table22[[B365]:[BFAIREXC]], Table22[PLAYER] = A122))</f>
        <v>39</v>
      </c>
    </row>
    <row r="123" spans="1:21">
      <c r="A123" s="159" t="s">
        <v>522</v>
      </c>
      <c r="B123">
        <v>139</v>
      </c>
      <c r="C123">
        <v>185</v>
      </c>
      <c r="D123">
        <v>127</v>
      </c>
      <c r="E123">
        <v>49</v>
      </c>
      <c r="F123">
        <v>126</v>
      </c>
      <c r="G123">
        <v>178</v>
      </c>
      <c r="H123">
        <v>342.8</v>
      </c>
      <c r="I123" s="14">
        <v>567.7222610095647</v>
      </c>
      <c r="J123" s="259">
        <v>342.8</v>
      </c>
      <c r="K123" s="260">
        <v>567.7222610095647</v>
      </c>
      <c r="L123" s="16">
        <f t="shared" si="15"/>
        <v>116</v>
      </c>
      <c r="M123" s="230">
        <f t="shared" si="16"/>
        <v>112</v>
      </c>
      <c r="N123" s="159">
        <f t="shared" si="17"/>
        <v>122</v>
      </c>
      <c r="O123" s="159">
        <f t="shared" si="18"/>
        <v>119</v>
      </c>
      <c r="P123" t="e" vm="1">
        <f t="shared" si="19"/>
        <v>#VALUE!</v>
      </c>
      <c r="Q123" s="15">
        <v>0</v>
      </c>
      <c r="R123" s="15">
        <v>0</v>
      </c>
      <c r="S123">
        <v>-14</v>
      </c>
      <c r="T123" s="14">
        <f>Table231[[#This Row],[BDG]]/Table231[[#This Row],[Odds]]</f>
        <v>37.920353982300888</v>
      </c>
      <c r="U123" s="14" cm="1">
        <f t="array" ref="U123">MAX(_xlfn._xlws.FILTER(Table22[[B365]:[BFAIREXC]], Table22[PLAYER] = A123))</f>
        <v>9.0399999999999991</v>
      </c>
    </row>
    <row r="124" spans="1:21">
      <c r="A124" s="159" t="s">
        <v>401</v>
      </c>
      <c r="B124">
        <v>34</v>
      </c>
      <c r="C124">
        <v>132</v>
      </c>
      <c r="D124">
        <v>178</v>
      </c>
      <c r="E124">
        <v>144</v>
      </c>
      <c r="F124">
        <v>169</v>
      </c>
      <c r="G124">
        <v>172</v>
      </c>
      <c r="H124">
        <v>343.3</v>
      </c>
      <c r="I124" s="14">
        <v>587.16245177597807</v>
      </c>
      <c r="J124" s="259">
        <v>343.3</v>
      </c>
      <c r="K124" s="260">
        <v>587.16245177597807</v>
      </c>
      <c r="L124" s="16">
        <f t="shared" si="15"/>
        <v>117</v>
      </c>
      <c r="M124" s="230">
        <f t="shared" si="16"/>
        <v>119</v>
      </c>
      <c r="N124" s="159">
        <f t="shared" si="17"/>
        <v>123</v>
      </c>
      <c r="O124" s="159">
        <f t="shared" si="18"/>
        <v>124</v>
      </c>
      <c r="P124" t="e" vm="1">
        <f t="shared" si="19"/>
        <v>#VALUE!</v>
      </c>
      <c r="Q124" s="15">
        <v>0</v>
      </c>
      <c r="R124" s="15">
        <v>0</v>
      </c>
      <c r="S124">
        <v>-20</v>
      </c>
      <c r="T124" s="14">
        <f>Table231[[#This Row],[BDG]]/Table231[[#This Row],[Odds]]</f>
        <v>12.714814814814815</v>
      </c>
      <c r="U124" s="14" cm="1">
        <f t="array" ref="U124">MAX(_xlfn._xlws.FILTER(Table22[[B365]:[BFAIREXC]], Table22[PLAYER] = A124))</f>
        <v>27</v>
      </c>
    </row>
    <row r="125" spans="1:21">
      <c r="A125" s="159" t="s">
        <v>486</v>
      </c>
      <c r="B125">
        <v>60</v>
      </c>
      <c r="C125">
        <v>107</v>
      </c>
      <c r="D125">
        <v>156</v>
      </c>
      <c r="E125">
        <v>185</v>
      </c>
      <c r="F125">
        <v>173</v>
      </c>
      <c r="G125">
        <v>185</v>
      </c>
      <c r="H125">
        <v>354.5</v>
      </c>
      <c r="I125" s="14">
        <v>612.71104540688452</v>
      </c>
      <c r="J125" s="259">
        <v>354.5</v>
      </c>
      <c r="K125" s="260">
        <v>612.71104540688452</v>
      </c>
      <c r="L125" s="16">
        <f t="shared" si="15"/>
        <v>121</v>
      </c>
      <c r="M125" s="230">
        <f t="shared" si="16"/>
        <v>125</v>
      </c>
      <c r="N125" s="159">
        <f t="shared" si="17"/>
        <v>124</v>
      </c>
      <c r="O125" s="159">
        <f t="shared" si="18"/>
        <v>127</v>
      </c>
      <c r="P125" t="e" vm="1">
        <f t="shared" si="19"/>
        <v>#VALUE!</v>
      </c>
      <c r="Q125" s="15">
        <v>0</v>
      </c>
      <c r="R125" s="15">
        <v>0</v>
      </c>
      <c r="S125">
        <v>-23</v>
      </c>
      <c r="T125" s="14">
        <f>Table231[[#This Row],[BDG]]/Table231[[#This Row],[Odds]]</f>
        <v>23.322368421052634</v>
      </c>
      <c r="U125" s="14" cm="1">
        <f t="array" ref="U125">MAX(_xlfn._xlws.FILTER(Table22[[B365]:[BFAIREXC]], Table22[PLAYER] = A125))</f>
        <v>15.2</v>
      </c>
    </row>
    <row r="126" spans="1:21">
      <c r="A126" s="159" t="s">
        <v>250</v>
      </c>
      <c r="B126">
        <v>123</v>
      </c>
      <c r="C126">
        <v>146</v>
      </c>
      <c r="D126">
        <v>113</v>
      </c>
      <c r="E126">
        <v>119</v>
      </c>
      <c r="F126">
        <v>168</v>
      </c>
      <c r="G126">
        <v>173</v>
      </c>
      <c r="H126">
        <v>355.2</v>
      </c>
      <c r="I126" s="14">
        <v>584.04892061750309</v>
      </c>
      <c r="J126" s="259">
        <v>355.2</v>
      </c>
      <c r="K126" s="260">
        <v>584.04892061750309</v>
      </c>
      <c r="L126" s="16">
        <f t="shared" si="15"/>
        <v>122</v>
      </c>
      <c r="M126" s="230">
        <f t="shared" si="16"/>
        <v>118</v>
      </c>
      <c r="N126" s="159">
        <f t="shared" si="17"/>
        <v>125</v>
      </c>
      <c r="O126" s="159">
        <f t="shared" si="18"/>
        <v>123</v>
      </c>
      <c r="P126" t="e" vm="1">
        <f t="shared" si="19"/>
        <v>#VALUE!</v>
      </c>
      <c r="Q126" s="15" t="e">
        <v>#N/A</v>
      </c>
      <c r="R126" s="15" t="e">
        <v>#N/A</v>
      </c>
      <c r="S126" t="e">
        <v>#N/A</v>
      </c>
      <c r="T126" s="14" t="e" vm="1">
        <f>Table231[[#This Row],[BDG]]/Table231[[#This Row],[Odds]]</f>
        <v>#VALUE!</v>
      </c>
      <c r="U126" s="14" t="e" cm="1" vm="2">
        <f t="array" ref="U126">MAX(_xlfn._xlws.FILTER(Table22[[B365]:[BFAIREXC]], Table22[PLAYER] = A126))</f>
        <v>#VALUE!</v>
      </c>
    </row>
    <row r="127" spans="1:21">
      <c r="A127" s="159" t="s">
        <v>419</v>
      </c>
      <c r="B127">
        <v>175</v>
      </c>
      <c r="C127">
        <v>54</v>
      </c>
      <c r="D127">
        <v>147</v>
      </c>
      <c r="E127">
        <v>182</v>
      </c>
      <c r="F127">
        <v>90</v>
      </c>
      <c r="G127">
        <v>167</v>
      </c>
      <c r="H127">
        <v>364.8</v>
      </c>
      <c r="I127" s="14">
        <v>592.59882501888751</v>
      </c>
      <c r="J127" s="259">
        <v>364.8</v>
      </c>
      <c r="K127" s="260">
        <v>592.59882501888751</v>
      </c>
      <c r="L127" s="16">
        <f t="shared" si="15"/>
        <v>123</v>
      </c>
      <c r="M127" s="230">
        <f t="shared" si="16"/>
        <v>121</v>
      </c>
      <c r="N127" s="159">
        <f t="shared" si="17"/>
        <v>126</v>
      </c>
      <c r="O127" s="159">
        <f t="shared" si="18"/>
        <v>125</v>
      </c>
      <c r="P127" t="e" vm="1">
        <f t="shared" si="19"/>
        <v>#VALUE!</v>
      </c>
      <c r="Q127" s="15">
        <v>0</v>
      </c>
      <c r="R127" s="15">
        <v>0</v>
      </c>
      <c r="S127">
        <v>-111</v>
      </c>
      <c r="T127" s="14">
        <f>Table231[[#This Row],[BDG]]/Table231[[#This Row],[Odds]]</f>
        <v>23.235668789808919</v>
      </c>
      <c r="U127" s="14" cm="1">
        <f t="array" ref="U127">MAX(_xlfn._xlws.FILTER(Table22[[B365]:[BFAIREXC]], Table22[PLAYER] = A127))</f>
        <v>15.7</v>
      </c>
    </row>
    <row r="128" spans="1:21">
      <c r="A128" s="159" t="s">
        <v>222</v>
      </c>
      <c r="B128">
        <v>184</v>
      </c>
      <c r="C128">
        <v>166</v>
      </c>
      <c r="D128">
        <v>172</v>
      </c>
      <c r="E128">
        <v>33</v>
      </c>
      <c r="F128">
        <v>79</v>
      </c>
      <c r="G128">
        <v>159</v>
      </c>
      <c r="H128">
        <v>368.29999999999995</v>
      </c>
      <c r="I128" s="14">
        <v>573.95072642138382</v>
      </c>
      <c r="J128" s="259">
        <v>368.29999999999995</v>
      </c>
      <c r="K128" s="260">
        <v>573.95072642138382</v>
      </c>
      <c r="L128" s="16">
        <f t="shared" si="15"/>
        <v>124</v>
      </c>
      <c r="M128" s="230">
        <f t="shared" si="16"/>
        <v>115</v>
      </c>
      <c r="N128" s="159">
        <f t="shared" si="17"/>
        <v>127</v>
      </c>
      <c r="O128" s="159">
        <f t="shared" si="18"/>
        <v>122</v>
      </c>
      <c r="P128" t="e" vm="1">
        <f t="shared" si="19"/>
        <v>#VALUE!</v>
      </c>
      <c r="Q128" s="15">
        <v>0</v>
      </c>
      <c r="R128" s="15">
        <v>0</v>
      </c>
      <c r="S128">
        <v>-23</v>
      </c>
      <c r="T128" s="14" t="e" vm="1">
        <f>Table231[[#This Row],[BDG]]/Table231[[#This Row],[Odds]]</f>
        <v>#VALUE!</v>
      </c>
      <c r="U128" s="14" t="e" cm="1" vm="2">
        <f t="array" ref="U128">MAX(_xlfn._xlws.FILTER(Table22[[B365]:[BFAIREXC]], Table22[PLAYER] = A128))</f>
        <v>#VALUE!</v>
      </c>
    </row>
    <row r="129" spans="1:21">
      <c r="A129" s="159" t="s">
        <v>247</v>
      </c>
      <c r="B129">
        <v>181</v>
      </c>
      <c r="C129">
        <v>129</v>
      </c>
      <c r="D129">
        <v>168</v>
      </c>
      <c r="E129">
        <v>183</v>
      </c>
      <c r="F129">
        <v>174</v>
      </c>
      <c r="G129">
        <v>188</v>
      </c>
      <c r="H129">
        <v>456.09999999999997</v>
      </c>
      <c r="I129" s="14">
        <v>717.77006479006195</v>
      </c>
      <c r="J129" s="259">
        <v>456.09999999999997</v>
      </c>
      <c r="K129" s="260">
        <v>717.77006479006195</v>
      </c>
      <c r="L129" s="16">
        <f t="shared" si="15"/>
        <v>128</v>
      </c>
      <c r="M129" s="230">
        <f t="shared" si="16"/>
        <v>128</v>
      </c>
      <c r="N129" s="159">
        <f t="shared" si="17"/>
        <v>128</v>
      </c>
      <c r="O129" s="159">
        <f t="shared" si="18"/>
        <v>128</v>
      </c>
      <c r="P129" t="e" vm="1">
        <f t="shared" si="19"/>
        <v>#VALUE!</v>
      </c>
      <c r="Q129" s="15">
        <v>0</v>
      </c>
      <c r="R129" s="15">
        <v>0</v>
      </c>
      <c r="S129">
        <v>-36</v>
      </c>
      <c r="T129" s="14" t="e" vm="1">
        <f>Table231[[#This Row],[BDG]]/Table231[[#This Row],[Odds]]</f>
        <v>#VALUE!</v>
      </c>
      <c r="U129" s="14" t="e" cm="1" vm="2">
        <f t="array" ref="U129">MAX(_xlfn._xlws.FILTER(Table22[[B365]:[BFAIREXC]], Table22[PLAYER] = A129))</f>
        <v>#VALUE!</v>
      </c>
    </row>
  </sheetData>
  <conditionalFormatting sqref="S2:S1048576">
    <cfRule type="cellIs" dxfId="316" priority="1" operator="between">
      <formula>-5</formula>
      <formula>-9</formula>
    </cfRule>
    <cfRule type="cellIs" dxfId="315" priority="2" operator="lessThanOrEqual">
      <formula>-10</formula>
    </cfRule>
    <cfRule type="cellIs" dxfId="314" priority="3" operator="between">
      <formula>5</formula>
      <formula>9</formula>
    </cfRule>
    <cfRule type="cellIs" dxfId="313" priority="4" operator="greaterThanOrEqual">
      <formula>10</formula>
    </cfRule>
  </conditionalFormatting>
  <conditionalFormatting sqref="Q2:R1048576">
    <cfRule type="cellIs" dxfId="312" priority="5" operator="greaterThanOrEqual">
      <formula>20%</formula>
    </cfRule>
    <cfRule type="cellIs" dxfId="311" priority="6" operator="between">
      <formula>10%</formula>
      <formula>20%</formula>
    </cfRule>
    <cfRule type="cellIs" dxfId="310" priority="7" operator="between">
      <formula>0.01%</formula>
      <formula>10%</formula>
    </cfRule>
  </conditionalFormatting>
  <conditionalFormatting sqref="B2:G1048576 L2:P1048576">
    <cfRule type="cellIs" dxfId="309" priority="8" operator="between">
      <formula>101</formula>
      <formula>250</formula>
    </cfRule>
    <cfRule type="cellIs" dxfId="308" priority="9" operator="between">
      <formula>51</formula>
      <formula>100.5</formula>
    </cfRule>
    <cfRule type="cellIs" dxfId="307" priority="10" operator="between">
      <formula>21</formula>
      <formula>50.5</formula>
    </cfRule>
    <cfRule type="cellIs" dxfId="306" priority="11" operator="lessThanOrEqual">
      <formula>20.5</formula>
    </cfRule>
  </conditionalFormatting>
  <conditionalFormatting sqref="J2:K155 N2:P155">
    <cfRule type="containsErrors" dxfId="305" priority="12">
      <formula>ISERROR(J2)</formula>
    </cfRule>
  </conditionalFormatting>
  <conditionalFormatting sqref="A1:A1048576">
    <cfRule type="expression" dxfId="304" priority="52525">
      <formula>$P1=MIN($P$2:$P$9)</formula>
    </cfRule>
    <cfRule type="expression" dxfId="303" priority="52526">
      <formula>$P1=MIN($P$10:$P$21)</formula>
    </cfRule>
    <cfRule type="expression" dxfId="302" priority="52527">
      <formula>$P1=MIN($P$22:$P$34)</formula>
    </cfRule>
    <cfRule type="expression" dxfId="301" priority="52528">
      <formula>$P1=MIN($P$35:$P$77)</formula>
    </cfRule>
    <cfRule type="expression" dxfId="300" priority="52529">
      <formula>AND($L1&lt;=3, $M1&gt;3)</formula>
    </cfRule>
    <cfRule type="expression" dxfId="299" priority="52530">
      <formula>AND($L1&gt;3, $M1&lt;=3)</formula>
    </cfRule>
    <cfRule type="expression" dxfId="298" priority="52531">
      <formula>AND($N1&lt;=3, $O1&gt;3)</formula>
    </cfRule>
    <cfRule type="expression" dxfId="297" priority="52532">
      <formula>AND($N1&gt;3, $O1&lt;=3)</formula>
    </cfRule>
    <cfRule type="expression" dxfId="296" priority="52533">
      <formula>AND($L1&lt;=3, $M1&lt;=3)</formula>
    </cfRule>
    <cfRule type="expression" dxfId="295" priority="52534">
      <formula>AND($N1&lt;=3, $O1&lt;=3)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E0675-1C06-44E4-8C61-1521948C5BCE}">
  <sheetPr codeName="Sheet76">
    <tabColor rgb="FF92D050"/>
  </sheetPr>
  <dimension ref="A1:AC101"/>
  <sheetViews>
    <sheetView zoomScale="90" zoomScaleNormal="90" workbookViewId="0">
      <selection activeCell="W13" sqref="W13"/>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 min="26" max="26" width="10.5703125" bestFit="1" customWidth="1"/>
  </cols>
  <sheetData>
    <row r="1" spans="1:29" ht="15.75" thickBot="1">
      <c r="A1" s="237" t="s">
        <v>0</v>
      </c>
      <c r="B1" s="7" t="s">
        <v>263</v>
      </c>
      <c r="C1" s="7" t="s">
        <v>264</v>
      </c>
      <c r="D1" s="7" t="s">
        <v>265</v>
      </c>
      <c r="E1" s="7" t="s">
        <v>266</v>
      </c>
      <c r="F1" s="7" t="s">
        <v>267</v>
      </c>
      <c r="G1" s="7" t="s">
        <v>200</v>
      </c>
      <c r="H1" s="123" t="s">
        <v>201</v>
      </c>
      <c r="I1" s="124" t="s">
        <v>202</v>
      </c>
      <c r="J1" s="228" t="s">
        <v>532</v>
      </c>
      <c r="K1" s="229" t="s">
        <v>533</v>
      </c>
      <c r="L1" s="121" t="s">
        <v>326</v>
      </c>
      <c r="M1" s="121" t="s">
        <v>324</v>
      </c>
      <c r="N1" s="124" t="s">
        <v>327</v>
      </c>
      <c r="O1" s="124" t="s">
        <v>323</v>
      </c>
      <c r="P1" s="228" t="s">
        <v>531</v>
      </c>
      <c r="Q1" s="228" t="s">
        <v>528</v>
      </c>
      <c r="R1" s="229" t="s">
        <v>530</v>
      </c>
      <c r="S1" s="229" t="s">
        <v>529</v>
      </c>
      <c r="T1" s="241" t="s">
        <v>566</v>
      </c>
      <c r="U1" s="122" t="s">
        <v>537</v>
      </c>
      <c r="V1" s="122" t="s">
        <v>536</v>
      </c>
      <c r="W1" s="227" t="s">
        <v>535</v>
      </c>
      <c r="X1" s="138" t="s">
        <v>472</v>
      </c>
      <c r="Y1" s="241" t="s">
        <v>565</v>
      </c>
      <c r="Z1" s="331" t="s">
        <v>210</v>
      </c>
    </row>
    <row r="2" spans="1:29">
      <c r="A2" s="159" t="s">
        <v>492</v>
      </c>
      <c r="B2">
        <v>22</v>
      </c>
      <c r="C2">
        <v>163</v>
      </c>
      <c r="D2">
        <v>57</v>
      </c>
      <c r="E2">
        <v>29</v>
      </c>
      <c r="F2">
        <v>52</v>
      </c>
      <c r="G2">
        <v>22</v>
      </c>
      <c r="H2">
        <v>162.5</v>
      </c>
      <c r="I2" s="14">
        <v>213.04015940720146</v>
      </c>
      <c r="J2" s="259">
        <v>162.5</v>
      </c>
      <c r="K2" s="260">
        <v>213.04015940720146</v>
      </c>
      <c r="L2" s="16">
        <v>8</v>
      </c>
      <c r="M2" s="16">
        <v>5</v>
      </c>
      <c r="N2" s="16"/>
      <c r="O2" s="230">
        <v>4</v>
      </c>
      <c r="Q2" s="159">
        <v>1</v>
      </c>
      <c r="R2" s="159"/>
      <c r="S2" s="159">
        <v>1</v>
      </c>
      <c r="T2">
        <v>62</v>
      </c>
      <c r="U2" s="15">
        <v>0</v>
      </c>
      <c r="V2" s="15">
        <v>0.25</v>
      </c>
      <c r="X2" t="e" cm="1" vm="2">
        <f t="array" ref="X2">MAX(_xlfn._xlws.FILTER(Table22[[B365]:[BFAIREXC]], Table22[PLAYER] = A2))</f>
        <v>#VALUE!</v>
      </c>
      <c r="Y2" s="14" t="e" vm="1">
        <f>Table229[[#This Row],[BDG]]/Table229[[#This Row],[Odds]]</f>
        <v>#VALUE!</v>
      </c>
      <c r="Z2">
        <v>1</v>
      </c>
      <c r="AB2" s="120" t="e">
        <f>VLOOKUP(Table229[[#This Row],[Player]],'Course Adjusted Result PGA'!$B$2:$S$178,15,FALSE)</f>
        <v>#N/A</v>
      </c>
      <c r="AC2" s="120" t="e">
        <f>VLOOKUP(Table229[[#This Row],[Player]],'Course Adjusted Result PGA'!$B$2:$S$178,16,FALSE)</f>
        <v>#N/A</v>
      </c>
    </row>
    <row r="3" spans="1:29">
      <c r="A3" s="159" t="s">
        <v>488</v>
      </c>
      <c r="B3">
        <v>17</v>
      </c>
      <c r="C3">
        <v>59</v>
      </c>
      <c r="D3">
        <v>52</v>
      </c>
      <c r="E3">
        <v>160</v>
      </c>
      <c r="F3">
        <v>126</v>
      </c>
      <c r="G3">
        <v>109</v>
      </c>
      <c r="H3">
        <v>202.3</v>
      </c>
      <c r="I3" s="14">
        <v>356.05946154363528</v>
      </c>
      <c r="J3" s="259">
        <v>202.3</v>
      </c>
      <c r="K3" s="260">
        <v>356.05946154363528</v>
      </c>
      <c r="L3" s="16">
        <v>38</v>
      </c>
      <c r="M3" s="16">
        <v>22</v>
      </c>
      <c r="N3" s="16"/>
      <c r="O3" s="230">
        <v>42</v>
      </c>
      <c r="Q3" s="159">
        <v>8</v>
      </c>
      <c r="R3" s="159"/>
      <c r="S3" s="159">
        <v>34</v>
      </c>
      <c r="T3">
        <v>36</v>
      </c>
      <c r="U3" s="15">
        <v>0</v>
      </c>
      <c r="V3" s="15">
        <v>0</v>
      </c>
      <c r="X3" t="e" cm="1" vm="2">
        <f t="array" ref="X3">MAX(_xlfn._xlws.FILTER(Table22[[B365]:[BFAIREXC]], Table22[PLAYER] = A3))</f>
        <v>#VALUE!</v>
      </c>
      <c r="Y3" s="14" t="e" vm="1">
        <f>Table229[[#This Row],[BDG]]/Table229[[#This Row],[Odds]]</f>
        <v>#VALUE!</v>
      </c>
      <c r="Z3">
        <v>2</v>
      </c>
      <c r="AB3" s="120" t="e">
        <f>VLOOKUP(Table229[[#This Row],[Player]],'Course Adjusted Result PGA'!$B$2:$S$178,15,FALSE)</f>
        <v>#N/A</v>
      </c>
      <c r="AC3" s="120" t="e">
        <f>VLOOKUP(Table229[[#This Row],[Player]],'Course Adjusted Result PGA'!$B$2:$S$178,16,FALSE)</f>
        <v>#N/A</v>
      </c>
    </row>
    <row r="4" spans="1:29">
      <c r="A4" s="159" t="s">
        <v>52</v>
      </c>
      <c r="B4">
        <v>14</v>
      </c>
      <c r="C4">
        <v>112</v>
      </c>
      <c r="D4">
        <v>78</v>
      </c>
      <c r="E4">
        <v>59</v>
      </c>
      <c r="F4">
        <v>76</v>
      </c>
      <c r="G4">
        <v>46</v>
      </c>
      <c r="H4">
        <v>173.6</v>
      </c>
      <c r="I4" s="14">
        <v>254.39074961391165</v>
      </c>
      <c r="J4" s="259">
        <v>189.41563653808157</v>
      </c>
      <c r="K4" s="260">
        <v>246.21420862349595</v>
      </c>
      <c r="L4" s="16">
        <v>13</v>
      </c>
      <c r="M4" s="16">
        <v>7</v>
      </c>
      <c r="N4" s="16"/>
      <c r="O4" s="230">
        <v>14</v>
      </c>
      <c r="Q4" s="159">
        <v>5</v>
      </c>
      <c r="R4" s="159"/>
      <c r="S4" s="159">
        <v>5</v>
      </c>
      <c r="T4">
        <v>91</v>
      </c>
      <c r="U4" s="15">
        <v>0</v>
      </c>
      <c r="V4" s="15">
        <v>0.25</v>
      </c>
      <c r="X4" t="e" cm="1" vm="2">
        <f t="array" ref="X4">MAX(_xlfn._xlws.FILTER(Table22[[B365]:[BFAIREXC]], Table22[PLAYER] = A4))</f>
        <v>#VALUE!</v>
      </c>
      <c r="Y4" s="14" t="e" vm="1">
        <f>Table229[[#This Row],[BDG]]/Table229[[#This Row],[Odds]]</f>
        <v>#VALUE!</v>
      </c>
      <c r="Z4">
        <v>3</v>
      </c>
      <c r="AB4" s="120" t="e">
        <f>VLOOKUP(Table229[[#This Row],[Player]],'Course Adjusted Result PGA'!$B$2:$S$178,15,FALSE)</f>
        <v>#N/A</v>
      </c>
      <c r="AC4" s="120" t="e">
        <f>VLOOKUP(Table229[[#This Row],[Player]],'Course Adjusted Result PGA'!$B$2:$S$178,16,FALSE)</f>
        <v>#N/A</v>
      </c>
    </row>
    <row r="5" spans="1:29">
      <c r="A5" s="255" t="s">
        <v>696</v>
      </c>
      <c r="B5">
        <v>132</v>
      </c>
      <c r="C5">
        <v>75</v>
      </c>
      <c r="D5">
        <v>55</v>
      </c>
      <c r="E5">
        <v>91</v>
      </c>
      <c r="F5">
        <v>110</v>
      </c>
      <c r="G5">
        <v>104</v>
      </c>
      <c r="H5">
        <v>286.20000000000005</v>
      </c>
      <c r="I5" s="14">
        <v>389.92323277229565</v>
      </c>
      <c r="J5" s="259">
        <v>268.07791646678152</v>
      </c>
      <c r="K5" s="260">
        <v>389.92323277229559</v>
      </c>
      <c r="L5" s="16">
        <v>126</v>
      </c>
      <c r="M5" s="16">
        <v>64</v>
      </c>
      <c r="N5" s="16"/>
      <c r="O5" s="230">
        <v>50</v>
      </c>
      <c r="Q5" s="159">
        <v>51</v>
      </c>
      <c r="R5" s="159"/>
      <c r="S5" s="159">
        <v>45</v>
      </c>
      <c r="T5">
        <v>19</v>
      </c>
      <c r="U5" s="15"/>
      <c r="V5" s="15"/>
      <c r="X5" t="e" cm="1" vm="2">
        <f t="array" ref="X5">MAX(_xlfn._xlws.FILTER(Table22[[B365]:[BFAIREXC]], Table22[PLAYER] = A5))</f>
        <v>#VALUE!</v>
      </c>
      <c r="Y5" s="14" t="e" vm="1">
        <f>Table229[[#This Row],[BDG]]/Table229[[#This Row],[Odds]]</f>
        <v>#VALUE!</v>
      </c>
      <c r="Z5">
        <v>3</v>
      </c>
      <c r="AB5" s="120" t="e">
        <f>VLOOKUP(Table229[[#This Row],[Player]],'Course Adjusted Result PGA'!$B$2:$S$178,15,FALSE)</f>
        <v>#N/A</v>
      </c>
      <c r="AC5" s="120" t="e">
        <f>VLOOKUP(Table229[[#This Row],[Player]],'Course Adjusted Result PGA'!$B$2:$S$178,16,FALSE)</f>
        <v>#N/A</v>
      </c>
    </row>
    <row r="6" spans="1:29">
      <c r="A6" s="159" t="s">
        <v>147</v>
      </c>
      <c r="B6">
        <v>113</v>
      </c>
      <c r="C6">
        <v>67</v>
      </c>
      <c r="D6">
        <v>23</v>
      </c>
      <c r="E6">
        <v>63</v>
      </c>
      <c r="F6">
        <v>145</v>
      </c>
      <c r="G6">
        <v>100</v>
      </c>
      <c r="H6">
        <v>242.3</v>
      </c>
      <c r="I6" s="14">
        <v>343.43676283758464</v>
      </c>
      <c r="J6" s="259">
        <v>278.93543932454054</v>
      </c>
      <c r="K6" s="260">
        <v>410.1457213682919</v>
      </c>
      <c r="L6" s="16">
        <v>76</v>
      </c>
      <c r="M6" s="16">
        <v>40</v>
      </c>
      <c r="N6" s="16"/>
      <c r="O6" s="230">
        <v>38</v>
      </c>
      <c r="Q6" s="159">
        <v>60</v>
      </c>
      <c r="R6" s="159"/>
      <c r="S6" s="159">
        <v>51</v>
      </c>
      <c r="T6">
        <v>42</v>
      </c>
      <c r="U6" s="15">
        <v>0</v>
      </c>
      <c r="V6" s="15">
        <v>0</v>
      </c>
      <c r="X6" cm="1">
        <f t="array" ref="X6">MAX(_xlfn._xlws.FILTER(Table22[[B365]:[BFAIREXC]], Table22[PLAYER] = A6))</f>
        <v>7.27</v>
      </c>
      <c r="Y6" s="14">
        <f>Table229[[#This Row],[BDG]]/Table229[[#This Row],[Odds]]</f>
        <v>38.368010911216032</v>
      </c>
      <c r="Z6">
        <v>3</v>
      </c>
      <c r="AB6" s="120">
        <f>VLOOKUP(Table229[[#This Row],[Player]],'Course Adjusted Result PGA'!$B$2:$S$178,15,FALSE)</f>
        <v>0</v>
      </c>
      <c r="AC6" s="120">
        <f>VLOOKUP(Table229[[#This Row],[Player]],'Course Adjusted Result PGA'!$B$2:$S$178,16,FALSE)</f>
        <v>0</v>
      </c>
    </row>
    <row r="7" spans="1:29">
      <c r="A7" s="159" t="s">
        <v>38</v>
      </c>
      <c r="B7">
        <v>26</v>
      </c>
      <c r="C7">
        <v>136</v>
      </c>
      <c r="D7">
        <v>103</v>
      </c>
      <c r="E7">
        <v>56</v>
      </c>
      <c r="F7">
        <v>121</v>
      </c>
      <c r="G7">
        <v>87</v>
      </c>
      <c r="H7">
        <v>232.8</v>
      </c>
      <c r="I7" s="14">
        <v>359.21242308108481</v>
      </c>
      <c r="J7" s="259">
        <v>238.80637238316902</v>
      </c>
      <c r="K7" s="260">
        <v>341.23504249358894</v>
      </c>
      <c r="L7" s="16">
        <v>66</v>
      </c>
      <c r="M7" s="16">
        <v>34</v>
      </c>
      <c r="N7" s="16"/>
      <c r="O7" s="230">
        <v>44</v>
      </c>
      <c r="Q7" s="159">
        <v>31</v>
      </c>
      <c r="R7" s="159"/>
      <c r="S7" s="159">
        <v>28</v>
      </c>
      <c r="T7">
        <v>92</v>
      </c>
      <c r="U7" s="15">
        <v>0</v>
      </c>
      <c r="V7" s="15">
        <v>0.2</v>
      </c>
      <c r="W7">
        <v>-73</v>
      </c>
      <c r="X7" t="e" cm="1" vm="2">
        <f t="array" ref="X7">MAX(_xlfn._xlws.FILTER(Table22[[B365]:[BFAIREXC]], Table22[PLAYER] = A7))</f>
        <v>#VALUE!</v>
      </c>
      <c r="Y7" s="14" t="e" vm="1">
        <f>Table229[[#This Row],[BDG]]/Table229[[#This Row],[Odds]]</f>
        <v>#VALUE!</v>
      </c>
      <c r="Z7">
        <v>6</v>
      </c>
      <c r="AB7" s="120" t="e">
        <f>VLOOKUP(Table229[[#This Row],[Player]],'Course Adjusted Result PGA'!$B$2:$S$178,15,FALSE)</f>
        <v>#N/A</v>
      </c>
      <c r="AC7" s="120" t="e">
        <f>VLOOKUP(Table229[[#This Row],[Player]],'Course Adjusted Result PGA'!$B$2:$S$178,16,FALSE)</f>
        <v>#N/A</v>
      </c>
    </row>
    <row r="8" spans="1:29">
      <c r="A8" s="159" t="s">
        <v>434</v>
      </c>
      <c r="B8">
        <v>76</v>
      </c>
      <c r="C8">
        <v>146</v>
      </c>
      <c r="D8">
        <v>38</v>
      </c>
      <c r="E8">
        <v>94</v>
      </c>
      <c r="F8">
        <v>162</v>
      </c>
      <c r="G8">
        <v>135</v>
      </c>
      <c r="H8">
        <v>272</v>
      </c>
      <c r="I8" s="14">
        <v>433.72793741955587</v>
      </c>
      <c r="J8" s="259">
        <v>243.76661758631533</v>
      </c>
      <c r="K8" s="260">
        <v>344.5691091576449</v>
      </c>
      <c r="L8" s="16">
        <v>117</v>
      </c>
      <c r="M8" s="16">
        <v>58</v>
      </c>
      <c r="N8" s="16"/>
      <c r="O8" s="230">
        <v>57</v>
      </c>
      <c r="Q8" s="159">
        <v>33</v>
      </c>
      <c r="R8" s="159"/>
      <c r="S8" s="159">
        <v>31</v>
      </c>
      <c r="T8">
        <v>47</v>
      </c>
      <c r="U8" s="15">
        <v>0</v>
      </c>
      <c r="V8" s="15">
        <v>0</v>
      </c>
      <c r="X8" t="e" cm="1" vm="2">
        <f t="array" ref="X8">MAX(_xlfn._xlws.FILTER(Table22[[B365]:[BFAIREXC]], Table22[PLAYER] = A8))</f>
        <v>#VALUE!</v>
      </c>
      <c r="Y8" s="14" t="e" vm="1">
        <f>Table229[[#This Row],[BDG]]/Table229[[#This Row],[Odds]]</f>
        <v>#VALUE!</v>
      </c>
      <c r="Z8">
        <v>6</v>
      </c>
      <c r="AB8" s="120" t="e">
        <f>VLOOKUP(Table229[[#This Row],[Player]],'Course Adjusted Result PGA'!$B$2:$S$178,15,FALSE)</f>
        <v>#N/A</v>
      </c>
      <c r="AC8" s="120" t="e">
        <f>VLOOKUP(Table229[[#This Row],[Player]],'Course Adjusted Result PGA'!$B$2:$S$178,16,FALSE)</f>
        <v>#N/A</v>
      </c>
    </row>
    <row r="9" spans="1:29">
      <c r="A9" s="159" t="s">
        <v>121</v>
      </c>
      <c r="B9">
        <v>103</v>
      </c>
      <c r="C9">
        <v>28</v>
      </c>
      <c r="D9">
        <v>46</v>
      </c>
      <c r="E9">
        <v>30</v>
      </c>
      <c r="F9">
        <v>75</v>
      </c>
      <c r="G9">
        <v>11</v>
      </c>
      <c r="H9">
        <v>185.6</v>
      </c>
      <c r="I9" s="14">
        <v>191.45430983921344</v>
      </c>
      <c r="J9" s="259">
        <v>221.6176410222717</v>
      </c>
      <c r="K9" s="260">
        <v>288.38679652414783</v>
      </c>
      <c r="L9" s="16">
        <v>20.5</v>
      </c>
      <c r="M9" s="16">
        <v>12</v>
      </c>
      <c r="N9" s="16"/>
      <c r="O9" s="230">
        <v>3</v>
      </c>
      <c r="Q9" s="159">
        <v>15</v>
      </c>
      <c r="R9" s="159"/>
      <c r="S9" s="159">
        <v>12</v>
      </c>
      <c r="T9">
        <v>84</v>
      </c>
      <c r="U9" s="15">
        <v>0</v>
      </c>
      <c r="V9" s="15">
        <v>0</v>
      </c>
      <c r="X9" cm="1">
        <f t="array" ref="X9">MAX(_xlfn._xlws.FILTER(Table22[[B365]:[BFAIREXC]], Table22[PLAYER] = A9))</f>
        <v>4.53</v>
      </c>
      <c r="Y9" s="14">
        <f>Table229[[#This Row],[BDG]]/Table229[[#This Row],[Odds]]</f>
        <v>48.922216561207875</v>
      </c>
      <c r="Z9">
        <v>8</v>
      </c>
      <c r="AB9" s="120">
        <f>VLOOKUP(Table229[[#This Row],[Player]],'Course Adjusted Result PGA'!$B$2:$S$178,15,FALSE)</f>
        <v>0</v>
      </c>
      <c r="AC9" s="120">
        <f>VLOOKUP(Table229[[#This Row],[Player]],'Course Adjusted Result PGA'!$B$2:$S$178,16,FALSE)</f>
        <v>0</v>
      </c>
    </row>
    <row r="10" spans="1:29">
      <c r="A10" s="159" t="s">
        <v>136</v>
      </c>
      <c r="B10">
        <v>138</v>
      </c>
      <c r="C10">
        <v>55</v>
      </c>
      <c r="D10">
        <v>8</v>
      </c>
      <c r="E10">
        <v>106</v>
      </c>
      <c r="F10">
        <v>136</v>
      </c>
      <c r="G10">
        <v>80</v>
      </c>
      <c r="H10">
        <v>262.2</v>
      </c>
      <c r="I10" s="14">
        <v>341.78420673307846</v>
      </c>
      <c r="J10" s="259">
        <v>277.21249874513211</v>
      </c>
      <c r="K10" s="260">
        <v>413.58113676010169</v>
      </c>
      <c r="L10" s="16">
        <v>99</v>
      </c>
      <c r="M10" s="16">
        <v>48</v>
      </c>
      <c r="N10" s="16"/>
      <c r="O10" s="230">
        <v>37</v>
      </c>
      <c r="Q10" s="159">
        <v>58</v>
      </c>
      <c r="R10" s="159"/>
      <c r="S10" s="159">
        <v>52</v>
      </c>
      <c r="T10">
        <v>65</v>
      </c>
      <c r="U10" s="15">
        <v>0</v>
      </c>
      <c r="V10" s="15">
        <v>0</v>
      </c>
      <c r="X10" cm="1">
        <f t="array" ref="X10">MAX(_xlfn._xlws.FILTER(Table22[[B365]:[BFAIREXC]], Table22[PLAYER] = A10))</f>
        <v>11.3</v>
      </c>
      <c r="Y10" s="14">
        <f>Table229[[#This Row],[BDG]]/Table229[[#This Row],[Odds]]</f>
        <v>24.532079534967441</v>
      </c>
      <c r="Z10">
        <v>8</v>
      </c>
      <c r="AB10" s="120">
        <f>VLOOKUP(Table229[[#This Row],[Player]],'Course Adjusted Result PGA'!$B$2:$S$178,15,FALSE)</f>
        <v>0</v>
      </c>
      <c r="AC10" s="120">
        <f>VLOOKUP(Table229[[#This Row],[Player]],'Course Adjusted Result PGA'!$B$2:$S$178,16,FALSE)</f>
        <v>0</v>
      </c>
    </row>
    <row r="11" spans="1:29">
      <c r="A11" s="159" t="s">
        <v>100</v>
      </c>
      <c r="B11">
        <v>82</v>
      </c>
      <c r="C11">
        <v>132</v>
      </c>
      <c r="D11">
        <v>10</v>
      </c>
      <c r="E11">
        <v>40</v>
      </c>
      <c r="F11">
        <v>70</v>
      </c>
      <c r="G11">
        <v>33</v>
      </c>
      <c r="H11">
        <v>184.6</v>
      </c>
      <c r="I11" s="14">
        <v>224.04852190004141</v>
      </c>
      <c r="J11" s="259">
        <v>228.4636794610856</v>
      </c>
      <c r="K11" s="260">
        <v>306.42735964124176</v>
      </c>
      <c r="L11" s="16">
        <v>18.5</v>
      </c>
      <c r="M11" s="16">
        <v>11</v>
      </c>
      <c r="N11" s="16"/>
      <c r="O11" s="230">
        <v>7</v>
      </c>
      <c r="Q11" s="159">
        <v>21</v>
      </c>
      <c r="R11" s="159"/>
      <c r="S11" s="159">
        <v>16</v>
      </c>
      <c r="T11">
        <v>28</v>
      </c>
      <c r="U11" s="15">
        <v>0</v>
      </c>
      <c r="V11" s="15">
        <v>0.25</v>
      </c>
      <c r="X11" t="e" cm="1" vm="2">
        <f t="array" ref="X11">MAX(_xlfn._xlws.FILTER(Table22[[B365]:[BFAIREXC]], Table22[PLAYER] = A11))</f>
        <v>#VALUE!</v>
      </c>
      <c r="Y11" s="14" t="e" vm="1">
        <f>Table229[[#This Row],[BDG]]/Table229[[#This Row],[Odds]]</f>
        <v>#VALUE!</v>
      </c>
      <c r="Z11">
        <v>8</v>
      </c>
      <c r="AB11" s="120" t="e">
        <f>VLOOKUP(Table229[[#This Row],[Player]],'Course Adjusted Result PGA'!$B$2:$S$178,15,FALSE)</f>
        <v>#N/A</v>
      </c>
      <c r="AC11" s="120" t="e">
        <f>VLOOKUP(Table229[[#This Row],[Player]],'Course Adjusted Result PGA'!$B$2:$S$178,16,FALSE)</f>
        <v>#N/A</v>
      </c>
    </row>
    <row r="12" spans="1:29">
      <c r="A12" s="159" t="s">
        <v>65</v>
      </c>
      <c r="B12" s="159">
        <v>40</v>
      </c>
      <c r="C12" s="159">
        <v>88</v>
      </c>
      <c r="D12" s="159">
        <v>58</v>
      </c>
      <c r="E12" s="159">
        <v>149</v>
      </c>
      <c r="F12" s="159">
        <v>56</v>
      </c>
      <c r="G12" s="159">
        <v>53</v>
      </c>
      <c r="H12" s="336">
        <v>199.4</v>
      </c>
      <c r="I12" s="336">
        <v>291.90145995747287</v>
      </c>
      <c r="J12" s="259">
        <v>265.47009621485904</v>
      </c>
      <c r="K12" s="260">
        <v>427.61546363788057</v>
      </c>
      <c r="L12" s="238">
        <v>34</v>
      </c>
      <c r="M12" s="16">
        <v>17</v>
      </c>
      <c r="N12" s="16"/>
      <c r="O12" s="230">
        <v>23</v>
      </c>
      <c r="P12" s="335"/>
      <c r="Q12" s="159">
        <v>44</v>
      </c>
      <c r="R12" s="255"/>
      <c r="S12" s="159">
        <v>57</v>
      </c>
      <c r="T12">
        <v>96</v>
      </c>
      <c r="U12" s="15">
        <v>0</v>
      </c>
      <c r="V12" s="15">
        <v>0</v>
      </c>
      <c r="W12">
        <v>-31</v>
      </c>
      <c r="X12" t="e" cm="1" vm="2">
        <f t="array" ref="X12">MAX(_xlfn._xlws.FILTER(Table22[[B365]:[BFAIREXC]], Table22[PLAYER] = A12))</f>
        <v>#VALUE!</v>
      </c>
      <c r="Y12" s="14" t="e" vm="1">
        <f>Table229[[#This Row],[BDG]]/Table229[[#This Row],[Odds]]</f>
        <v>#VALUE!</v>
      </c>
      <c r="Z12">
        <v>8</v>
      </c>
      <c r="AB12" s="120" t="e">
        <f>VLOOKUP(Table229[[#This Row],[Player]],'Course Adjusted Result PGA'!$B$2:$S$178,15,FALSE)</f>
        <v>#N/A</v>
      </c>
      <c r="AC12" s="120" t="e">
        <f>VLOOKUP(Table229[[#This Row],[Player]],'Course Adjusted Result PGA'!$B$2:$S$178,16,FALSE)</f>
        <v>#N/A</v>
      </c>
    </row>
    <row r="13" spans="1:29">
      <c r="A13" s="159" t="s">
        <v>424</v>
      </c>
      <c r="B13">
        <v>124</v>
      </c>
      <c r="C13">
        <v>102</v>
      </c>
      <c r="D13">
        <v>104</v>
      </c>
      <c r="E13">
        <v>148</v>
      </c>
      <c r="F13">
        <v>169</v>
      </c>
      <c r="G13">
        <v>154</v>
      </c>
      <c r="H13">
        <v>368.9</v>
      </c>
      <c r="I13" s="14">
        <v>555.31939111686427</v>
      </c>
      <c r="J13" s="259">
        <v>368.9</v>
      </c>
      <c r="K13" s="260">
        <v>555.31939111686427</v>
      </c>
      <c r="L13" s="16">
        <v>173</v>
      </c>
      <c r="M13" s="16">
        <v>96</v>
      </c>
      <c r="N13" s="230"/>
      <c r="O13" s="230">
        <v>92</v>
      </c>
      <c r="Q13" s="159">
        <v>99</v>
      </c>
      <c r="R13" s="159"/>
      <c r="S13" s="159">
        <v>96</v>
      </c>
      <c r="T13">
        <v>66</v>
      </c>
      <c r="U13" s="15">
        <v>0</v>
      </c>
      <c r="V13" s="15">
        <v>0</v>
      </c>
      <c r="X13" cm="1">
        <f t="array" ref="X13">MAX(_xlfn._xlws.FILTER(Table22[[B365]:[BFAIREXC]], Table22[PLAYER] = A13))</f>
        <v>6.1</v>
      </c>
      <c r="Y13" s="14">
        <f>Table229[[#This Row],[BDG]]/Table229[[#This Row],[Odds]]</f>
        <v>60.475409836065573</v>
      </c>
      <c r="Z13">
        <v>8</v>
      </c>
      <c r="AB13" s="120">
        <f>VLOOKUP(Table229[[#This Row],[Player]],'Course Adjusted Result PGA'!$B$2:$S$178,15,FALSE)</f>
        <v>0</v>
      </c>
      <c r="AC13" s="120">
        <f>VLOOKUP(Table229[[#This Row],[Player]],'Course Adjusted Result PGA'!$B$2:$S$178,16,FALSE)</f>
        <v>0</v>
      </c>
    </row>
    <row r="14" spans="1:29">
      <c r="A14" s="159" t="s">
        <v>69</v>
      </c>
      <c r="B14">
        <v>47</v>
      </c>
      <c r="C14">
        <v>76</v>
      </c>
      <c r="D14">
        <v>7</v>
      </c>
      <c r="E14">
        <v>84</v>
      </c>
      <c r="F14">
        <v>158</v>
      </c>
      <c r="G14">
        <v>52</v>
      </c>
      <c r="H14">
        <v>190.20000000000002</v>
      </c>
      <c r="I14" s="14">
        <v>261.03839110632362</v>
      </c>
      <c r="J14" s="259">
        <v>180.95018652991973</v>
      </c>
      <c r="K14" s="260">
        <v>225.62391160878656</v>
      </c>
      <c r="L14" s="16">
        <v>26</v>
      </c>
      <c r="M14" s="16">
        <v>15</v>
      </c>
      <c r="N14" s="16"/>
      <c r="O14" s="230">
        <v>17</v>
      </c>
      <c r="Q14" s="159">
        <v>2</v>
      </c>
      <c r="R14" s="159"/>
      <c r="S14" s="159">
        <v>2</v>
      </c>
      <c r="T14">
        <v>100</v>
      </c>
      <c r="U14" s="15">
        <v>0</v>
      </c>
      <c r="V14" s="15">
        <v>0</v>
      </c>
      <c r="W14">
        <v>-14</v>
      </c>
      <c r="X14" t="e" cm="1" vm="2">
        <f t="array" ref="X14">MAX(_xlfn._xlws.FILTER(Table22[[B365]:[BFAIREXC]], Table22[PLAYER] = A14))</f>
        <v>#VALUE!</v>
      </c>
      <c r="Y14" s="14" t="e" vm="1">
        <f>Table229[[#This Row],[BDG]]/Table229[[#This Row],[Odds]]</f>
        <v>#VALUE!</v>
      </c>
    </row>
    <row r="15" spans="1:29">
      <c r="A15" s="159" t="s">
        <v>441</v>
      </c>
      <c r="B15">
        <v>31</v>
      </c>
      <c r="C15">
        <v>118</v>
      </c>
      <c r="D15">
        <v>54</v>
      </c>
      <c r="E15">
        <v>118</v>
      </c>
      <c r="F15">
        <v>42</v>
      </c>
      <c r="G15">
        <v>28</v>
      </c>
      <c r="H15">
        <v>181.10000000000002</v>
      </c>
      <c r="I15" s="14">
        <v>246.89984417261903</v>
      </c>
      <c r="J15" s="259">
        <v>180.96271148838471</v>
      </c>
      <c r="K15" s="260">
        <v>246.74209994656462</v>
      </c>
      <c r="L15" s="16">
        <v>16</v>
      </c>
      <c r="M15" s="16">
        <v>9</v>
      </c>
      <c r="N15" s="16"/>
      <c r="O15" s="230">
        <v>11</v>
      </c>
      <c r="Q15" s="159">
        <v>3</v>
      </c>
      <c r="R15" s="159"/>
      <c r="S15" s="159">
        <v>6</v>
      </c>
      <c r="T15">
        <v>98</v>
      </c>
      <c r="U15" s="15">
        <v>0</v>
      </c>
      <c r="V15" s="15">
        <v>0</v>
      </c>
      <c r="W15" t="e">
        <v>#N/A</v>
      </c>
      <c r="X15" t="e" cm="1" vm="2">
        <f t="array" ref="X15">MAX(_xlfn._xlws.FILTER(Table22[[B365]:[BFAIREXC]], Table22[PLAYER] = A15))</f>
        <v>#VALUE!</v>
      </c>
      <c r="Y15" s="14" t="e" vm="1">
        <f>Table229[[#This Row],[BDG]]/Table229[[#This Row],[Odds]]</f>
        <v>#VALUE!</v>
      </c>
    </row>
    <row r="16" spans="1:29">
      <c r="A16" s="255" t="s">
        <v>694</v>
      </c>
      <c r="B16">
        <v>34</v>
      </c>
      <c r="C16">
        <v>72</v>
      </c>
      <c r="D16">
        <v>32</v>
      </c>
      <c r="E16">
        <v>12</v>
      </c>
      <c r="F16">
        <v>4</v>
      </c>
      <c r="G16">
        <v>4</v>
      </c>
      <c r="H16">
        <v>88.600000000000009</v>
      </c>
      <c r="I16" s="14">
        <v>100.10416635357916</v>
      </c>
      <c r="J16" s="259">
        <v>182.70097807391113</v>
      </c>
      <c r="K16" s="260">
        <v>238.90006077578488</v>
      </c>
      <c r="L16" s="16"/>
      <c r="M16" s="16">
        <v>1</v>
      </c>
      <c r="N16" s="16"/>
      <c r="O16" s="230">
        <v>1</v>
      </c>
      <c r="Q16" s="159">
        <v>4</v>
      </c>
      <c r="R16" s="159"/>
      <c r="S16" s="159">
        <v>4</v>
      </c>
      <c r="T16">
        <v>87</v>
      </c>
      <c r="U16" s="15"/>
      <c r="V16" s="15"/>
      <c r="X16" t="e" cm="1" vm="2">
        <f t="array" ref="X16">MAX(_xlfn._xlws.FILTER(Table22[[B365]:[BFAIREXC]], Table22[PLAYER] = A16))</f>
        <v>#VALUE!</v>
      </c>
      <c r="Y16" s="14" t="e" vm="1">
        <f>Table229[[#This Row],[BDG]]/Table229[[#This Row],[Odds]]</f>
        <v>#VALUE!</v>
      </c>
    </row>
    <row r="17" spans="1:25">
      <c r="A17" s="159" t="s">
        <v>497</v>
      </c>
      <c r="B17">
        <v>8</v>
      </c>
      <c r="C17">
        <v>155</v>
      </c>
      <c r="D17">
        <v>37</v>
      </c>
      <c r="E17">
        <v>80</v>
      </c>
      <c r="F17">
        <v>148</v>
      </c>
      <c r="G17">
        <v>64</v>
      </c>
      <c r="H17">
        <v>201.1</v>
      </c>
      <c r="I17" s="14">
        <v>305.06608350986289</v>
      </c>
      <c r="J17" s="259">
        <v>201.1</v>
      </c>
      <c r="K17" s="260">
        <v>305.06608350986289</v>
      </c>
      <c r="L17" s="16">
        <v>36</v>
      </c>
      <c r="M17" s="16">
        <v>19</v>
      </c>
      <c r="N17" s="16"/>
      <c r="O17" s="230">
        <v>28</v>
      </c>
      <c r="Q17" s="159">
        <v>6</v>
      </c>
      <c r="R17" s="159"/>
      <c r="S17" s="159">
        <v>14</v>
      </c>
      <c r="T17">
        <v>41</v>
      </c>
      <c r="U17" s="15">
        <v>0</v>
      </c>
      <c r="V17" s="15">
        <v>0</v>
      </c>
      <c r="W17" t="e">
        <v>#N/A</v>
      </c>
      <c r="X17" cm="1">
        <f t="array" ref="X17">MAX(_xlfn._xlws.FILTER(Table22[[B365]:[BFAIREXC]], Table22[PLAYER] = A17))</f>
        <v>11</v>
      </c>
      <c r="Y17" s="14">
        <f>Table229[[#This Row],[BDG]]/Table229[[#This Row],[Odds]]</f>
        <v>18.281818181818181</v>
      </c>
    </row>
    <row r="18" spans="1:25">
      <c r="A18" s="159" t="s">
        <v>558</v>
      </c>
      <c r="B18">
        <v>38</v>
      </c>
      <c r="C18">
        <v>155</v>
      </c>
      <c r="D18">
        <v>18</v>
      </c>
      <c r="E18">
        <v>2</v>
      </c>
      <c r="F18">
        <v>184</v>
      </c>
      <c r="G18">
        <v>65</v>
      </c>
      <c r="H18">
        <v>201.6</v>
      </c>
      <c r="I18" s="14">
        <v>282.86366456607539</v>
      </c>
      <c r="J18" s="259">
        <v>201.6</v>
      </c>
      <c r="K18" s="260">
        <v>282.86366456607539</v>
      </c>
      <c r="L18" s="16"/>
      <c r="M18" s="16">
        <v>20</v>
      </c>
      <c r="N18" s="230"/>
      <c r="O18" s="230">
        <v>21</v>
      </c>
      <c r="Q18" s="159">
        <v>7</v>
      </c>
      <c r="R18" s="159"/>
      <c r="S18" s="159">
        <v>10</v>
      </c>
      <c r="T18">
        <v>22</v>
      </c>
      <c r="U18" s="15"/>
      <c r="V18" s="15"/>
      <c r="X18" cm="1">
        <f t="array" ref="X18">MAX(_xlfn._xlws.FILTER(Table22[[B365]:[BFAIREXC]], Table22[PLAYER] = A18))</f>
        <v>15.7</v>
      </c>
      <c r="Y18" s="14">
        <f>Table229[[#This Row],[DGSCORE]]/Table229[[#This Row],[Odds]]</f>
        <v>12.840764331210192</v>
      </c>
    </row>
    <row r="19" spans="1:25">
      <c r="A19" s="159" t="s">
        <v>427</v>
      </c>
      <c r="B19">
        <v>67</v>
      </c>
      <c r="C19">
        <v>90</v>
      </c>
      <c r="D19">
        <v>101</v>
      </c>
      <c r="E19">
        <v>6</v>
      </c>
      <c r="F19">
        <v>86</v>
      </c>
      <c r="G19">
        <v>70</v>
      </c>
      <c r="H19">
        <v>212.4</v>
      </c>
      <c r="I19" s="14">
        <v>296.82841281708386</v>
      </c>
      <c r="J19" s="259">
        <v>212.4</v>
      </c>
      <c r="K19" s="260">
        <v>296.82841281708386</v>
      </c>
      <c r="L19" s="16">
        <v>46</v>
      </c>
      <c r="M19" s="16">
        <v>23</v>
      </c>
      <c r="N19" s="16"/>
      <c r="O19" s="230">
        <v>26</v>
      </c>
      <c r="Q19" s="159">
        <v>9</v>
      </c>
      <c r="R19" s="159"/>
      <c r="S19" s="159">
        <v>13</v>
      </c>
      <c r="T19">
        <v>81</v>
      </c>
      <c r="U19" s="15">
        <v>0</v>
      </c>
      <c r="V19" s="15">
        <v>0</v>
      </c>
      <c r="W19" t="e">
        <v>#N/A</v>
      </c>
      <c r="X19" t="e" cm="1" vm="2">
        <f t="array" ref="X19">MAX(_xlfn._xlws.FILTER(Table22[[B365]:[BFAIREXC]], Table22[PLAYER] = A19))</f>
        <v>#VALUE!</v>
      </c>
      <c r="Y19" s="14" t="e" vm="1">
        <f>Table229[[#This Row],[BDG]]/Table229[[#This Row],[Odds]]</f>
        <v>#VALUE!</v>
      </c>
    </row>
    <row r="20" spans="1:25">
      <c r="A20" s="159" t="s">
        <v>162</v>
      </c>
      <c r="B20">
        <v>136</v>
      </c>
      <c r="C20">
        <v>44</v>
      </c>
      <c r="D20">
        <v>13</v>
      </c>
      <c r="E20">
        <v>72</v>
      </c>
      <c r="F20">
        <v>41</v>
      </c>
      <c r="G20">
        <v>26</v>
      </c>
      <c r="H20">
        <v>198.4</v>
      </c>
      <c r="I20" s="14">
        <v>214.97497502215845</v>
      </c>
      <c r="J20" s="259">
        <v>216.83956321632883</v>
      </c>
      <c r="K20" s="260">
        <v>258.29058808518539</v>
      </c>
      <c r="L20" s="16">
        <v>32</v>
      </c>
      <c r="M20" s="16">
        <v>16</v>
      </c>
      <c r="N20" s="16"/>
      <c r="O20" s="230">
        <v>5</v>
      </c>
      <c r="Q20" s="159">
        <v>10</v>
      </c>
      <c r="R20" s="159"/>
      <c r="S20" s="159">
        <v>8</v>
      </c>
      <c r="T20">
        <v>75</v>
      </c>
      <c r="U20" s="15">
        <v>0</v>
      </c>
      <c r="V20" s="15">
        <v>0</v>
      </c>
      <c r="W20" t="e">
        <v>#N/A</v>
      </c>
      <c r="X20" cm="1">
        <f t="array" ref="X20">MAX(_xlfn._xlws.FILTER(Table22[[B365]:[BFAIREXC]], Table22[PLAYER] = A20))</f>
        <v>4.92</v>
      </c>
      <c r="Y20" s="14">
        <f>Table229[[#This Row],[BDG]]/Table229[[#This Row],[Odds]]</f>
        <v>44.073081954538381</v>
      </c>
    </row>
    <row r="21" spans="1:25">
      <c r="A21" s="159" t="s">
        <v>241</v>
      </c>
      <c r="B21">
        <v>27</v>
      </c>
      <c r="C21">
        <v>39</v>
      </c>
      <c r="D21">
        <v>50</v>
      </c>
      <c r="E21">
        <v>153</v>
      </c>
      <c r="F21">
        <v>163</v>
      </c>
      <c r="G21">
        <v>117</v>
      </c>
      <c r="H21">
        <v>217.60000000000002</v>
      </c>
      <c r="I21" s="14">
        <v>374.3636050523138</v>
      </c>
      <c r="J21" s="259">
        <v>217.60000000000002</v>
      </c>
      <c r="K21" s="260">
        <v>374.3636050523138</v>
      </c>
      <c r="L21" s="16">
        <v>51</v>
      </c>
      <c r="M21" s="16">
        <v>25</v>
      </c>
      <c r="N21" s="16"/>
      <c r="O21" s="230">
        <v>47</v>
      </c>
      <c r="Q21" s="159">
        <v>11</v>
      </c>
      <c r="R21" s="159"/>
      <c r="S21" s="159">
        <v>42</v>
      </c>
      <c r="T21">
        <v>69</v>
      </c>
      <c r="U21" s="15">
        <v>0</v>
      </c>
      <c r="V21" s="15">
        <v>0</v>
      </c>
      <c r="W21" t="e">
        <v>#N/A</v>
      </c>
      <c r="X21" cm="1">
        <f t="array" ref="X21">MAX(_xlfn._xlws.FILTER(Table22[[B365]:[BFAIREXC]], Table22[PLAYER] = A21))</f>
        <v>7.5</v>
      </c>
      <c r="Y21" s="14">
        <f>Table229[[#This Row],[BDG]]/Table229[[#This Row],[Odds]]</f>
        <v>29.013333333333335</v>
      </c>
    </row>
    <row r="22" spans="1:25">
      <c r="A22" s="159" t="s">
        <v>62</v>
      </c>
      <c r="B22">
        <v>70</v>
      </c>
      <c r="C22">
        <v>134</v>
      </c>
      <c r="D22">
        <v>34</v>
      </c>
      <c r="E22">
        <v>120</v>
      </c>
      <c r="F22">
        <v>73</v>
      </c>
      <c r="G22">
        <v>78</v>
      </c>
      <c r="H22">
        <v>224.89999999999998</v>
      </c>
      <c r="I22" s="14">
        <v>331.46653308042397</v>
      </c>
      <c r="J22" s="259">
        <v>218.22777833549679</v>
      </c>
      <c r="K22" s="260">
        <v>320.44444091631902</v>
      </c>
      <c r="L22" s="16">
        <v>59</v>
      </c>
      <c r="M22" s="16">
        <v>31</v>
      </c>
      <c r="N22" s="16"/>
      <c r="O22" s="230">
        <v>36</v>
      </c>
      <c r="Q22" s="159">
        <v>12</v>
      </c>
      <c r="R22" s="159"/>
      <c r="S22" s="159">
        <v>22</v>
      </c>
      <c r="T22">
        <v>73</v>
      </c>
      <c r="U22" s="15">
        <v>0</v>
      </c>
      <c r="V22" s="15">
        <v>0</v>
      </c>
      <c r="W22" t="e">
        <v>#N/A</v>
      </c>
      <c r="X22" cm="1">
        <f t="array" ref="X22">MAX(_xlfn._xlws.FILTER(Table22[[B365]:[BFAIREXC]], Table22[PLAYER] = A22))</f>
        <v>10.8</v>
      </c>
      <c r="Y22" s="14">
        <f>Table229[[#This Row],[BDG]]/Table229[[#This Row],[Odds]]</f>
        <v>20.206275771805256</v>
      </c>
    </row>
    <row r="23" spans="1:25">
      <c r="A23" s="159" t="s">
        <v>88</v>
      </c>
      <c r="B23">
        <v>47</v>
      </c>
      <c r="C23">
        <v>20</v>
      </c>
      <c r="D23">
        <v>138</v>
      </c>
      <c r="E23">
        <v>28</v>
      </c>
      <c r="F23">
        <v>53</v>
      </c>
      <c r="G23">
        <v>57</v>
      </c>
      <c r="H23">
        <v>184.6</v>
      </c>
      <c r="I23" s="14">
        <v>262.51120375310086</v>
      </c>
      <c r="J23" s="259">
        <v>219.38204441773408</v>
      </c>
      <c r="K23" s="260">
        <v>314.93504310042755</v>
      </c>
      <c r="L23" s="16">
        <v>18.5</v>
      </c>
      <c r="M23" s="16">
        <v>10</v>
      </c>
      <c r="N23" s="16"/>
      <c r="O23" s="230">
        <v>19</v>
      </c>
      <c r="Q23" s="159">
        <v>13</v>
      </c>
      <c r="R23" s="159"/>
      <c r="S23" s="159">
        <v>19</v>
      </c>
      <c r="T23">
        <v>71</v>
      </c>
      <c r="U23" s="15">
        <v>0</v>
      </c>
      <c r="V23" s="15">
        <v>0</v>
      </c>
      <c r="W23" t="e">
        <v>#N/A</v>
      </c>
      <c r="X23" t="e" cm="1" vm="2">
        <f t="array" ref="X23">MAX(_xlfn._xlws.FILTER(Table22[[B365]:[BFAIREXC]], Table22[PLAYER] = A23))</f>
        <v>#VALUE!</v>
      </c>
      <c r="Y23" s="14" t="e" vm="1">
        <f>Table229[[#This Row],[BDG]]/Table229[[#This Row],[Odds]]</f>
        <v>#VALUE!</v>
      </c>
    </row>
    <row r="24" spans="1:25">
      <c r="A24" s="159" t="s">
        <v>33</v>
      </c>
      <c r="B24">
        <v>10</v>
      </c>
      <c r="C24">
        <v>170</v>
      </c>
      <c r="D24">
        <v>41</v>
      </c>
      <c r="E24">
        <v>23</v>
      </c>
      <c r="F24">
        <v>15</v>
      </c>
      <c r="G24">
        <v>5</v>
      </c>
      <c r="H24">
        <v>122.4</v>
      </c>
      <c r="I24" s="14">
        <v>154.59701868653977</v>
      </c>
      <c r="J24" s="259">
        <v>220.0567505247472</v>
      </c>
      <c r="K24" s="260">
        <v>316.94895227017395</v>
      </c>
      <c r="L24" s="16">
        <v>1</v>
      </c>
      <c r="M24" s="16">
        <v>2</v>
      </c>
      <c r="N24" s="16"/>
      <c r="O24" s="230">
        <v>2</v>
      </c>
      <c r="Q24" s="159">
        <v>14</v>
      </c>
      <c r="R24" s="159"/>
      <c r="S24" s="159">
        <v>20</v>
      </c>
      <c r="T24">
        <v>95</v>
      </c>
      <c r="U24" s="15">
        <v>0</v>
      </c>
      <c r="V24" s="15">
        <v>0</v>
      </c>
      <c r="W24" t="e">
        <v>#N/A</v>
      </c>
      <c r="X24" cm="1">
        <f t="array" ref="X24">MAX(_xlfn._xlws.FILTER(Table22[[B365]:[BFAIREXC]], Table22[PLAYER] = A24))</f>
        <v>7.08</v>
      </c>
      <c r="Y24" s="14">
        <f>Table229[[#This Row],[BDG]]/Table229[[#This Row],[Odds]]</f>
        <v>31.081461938523617</v>
      </c>
    </row>
    <row r="25" spans="1:25">
      <c r="A25" s="159" t="s">
        <v>493</v>
      </c>
      <c r="B25">
        <v>20</v>
      </c>
      <c r="C25">
        <v>155</v>
      </c>
      <c r="D25">
        <v>44</v>
      </c>
      <c r="E25">
        <v>86</v>
      </c>
      <c r="F25">
        <v>154</v>
      </c>
      <c r="G25">
        <v>132</v>
      </c>
      <c r="H25">
        <v>222.2</v>
      </c>
      <c r="I25" s="14">
        <v>393.88847481817231</v>
      </c>
      <c r="J25" s="259">
        <v>222.2</v>
      </c>
      <c r="K25" s="260">
        <v>393.88847481817231</v>
      </c>
      <c r="L25" s="16">
        <v>56</v>
      </c>
      <c r="M25" s="16">
        <v>29</v>
      </c>
      <c r="N25" s="16"/>
      <c r="O25" s="230">
        <v>51</v>
      </c>
      <c r="Q25" s="159">
        <v>16</v>
      </c>
      <c r="R25" s="159"/>
      <c r="S25" s="159">
        <v>46</v>
      </c>
      <c r="T25">
        <v>30</v>
      </c>
      <c r="U25" s="15">
        <v>0</v>
      </c>
      <c r="V25" s="15">
        <v>0</v>
      </c>
      <c r="W25" t="e">
        <v>#N/A</v>
      </c>
      <c r="X25" cm="1">
        <f t="array" ref="X25">MAX(_xlfn._xlws.FILTER(Table22[[B365]:[BFAIREXC]], Table22[PLAYER] = A25))</f>
        <v>7</v>
      </c>
      <c r="Y25" s="14">
        <f>Table229[[#This Row],[BDG]]/Table229[[#This Row],[Odds]]</f>
        <v>31.74285714285714</v>
      </c>
    </row>
    <row r="26" spans="1:25">
      <c r="A26" s="159" t="s">
        <v>14</v>
      </c>
      <c r="B26">
        <v>46</v>
      </c>
      <c r="C26">
        <v>73</v>
      </c>
      <c r="D26">
        <v>96</v>
      </c>
      <c r="E26">
        <v>47</v>
      </c>
      <c r="F26">
        <v>91</v>
      </c>
      <c r="G26">
        <v>21</v>
      </c>
      <c r="H26">
        <v>202.1</v>
      </c>
      <c r="I26" s="14">
        <v>247.59610442977439</v>
      </c>
      <c r="J26" s="259">
        <v>222.88204844576472</v>
      </c>
      <c r="K26" s="260">
        <v>306.22886650851308</v>
      </c>
      <c r="L26" s="16">
        <v>37</v>
      </c>
      <c r="M26" s="16">
        <v>21</v>
      </c>
      <c r="N26" s="16"/>
      <c r="O26" s="230">
        <v>13</v>
      </c>
      <c r="Q26" s="159">
        <v>17</v>
      </c>
      <c r="R26" s="159"/>
      <c r="S26" s="159">
        <v>15</v>
      </c>
      <c r="T26">
        <v>97</v>
      </c>
      <c r="U26" s="15">
        <v>0</v>
      </c>
      <c r="V26" s="15">
        <v>0</v>
      </c>
      <c r="W26" t="e">
        <v>#N/A</v>
      </c>
      <c r="X26" t="e" cm="1" vm="2">
        <f t="array" ref="X26">MAX(_xlfn._xlws.FILTER(Table22[[B365]:[BFAIREXC]], Table22[PLAYER] = A26))</f>
        <v>#VALUE!</v>
      </c>
      <c r="Y26" s="14" t="e" vm="1">
        <f>Table229[[#This Row],[BDG]]/Table229[[#This Row],[Odds]]</f>
        <v>#VALUE!</v>
      </c>
    </row>
    <row r="27" spans="1:25">
      <c r="A27" s="159" t="s">
        <v>551</v>
      </c>
      <c r="B27">
        <v>57</v>
      </c>
      <c r="C27">
        <v>61</v>
      </c>
      <c r="D27">
        <v>53</v>
      </c>
      <c r="E27">
        <v>69</v>
      </c>
      <c r="F27">
        <v>120</v>
      </c>
      <c r="G27">
        <v>99</v>
      </c>
      <c r="H27">
        <v>200.4</v>
      </c>
      <c r="I27" s="14">
        <v>318.03011071707772</v>
      </c>
      <c r="J27" s="259">
        <v>224.80303293961805</v>
      </c>
      <c r="K27" s="260">
        <v>327.99904349234754</v>
      </c>
      <c r="L27" s="16">
        <v>35</v>
      </c>
      <c r="M27" s="16">
        <v>18</v>
      </c>
      <c r="N27" s="16"/>
      <c r="O27" s="230">
        <v>32</v>
      </c>
      <c r="Q27" s="159">
        <v>18</v>
      </c>
      <c r="R27" s="159"/>
      <c r="S27" s="159">
        <v>24</v>
      </c>
      <c r="T27">
        <v>54</v>
      </c>
      <c r="U27" s="15">
        <v>0</v>
      </c>
      <c r="V27" s="15">
        <v>0</v>
      </c>
      <c r="W27" t="e">
        <v>#N/A</v>
      </c>
      <c r="X27" t="e" cm="1" vm="2">
        <f t="array" ref="X27">MAX(_xlfn._xlws.FILTER(Table22[[B365]:[BFAIREXC]], Table22[PLAYER] = A27))</f>
        <v>#VALUE!</v>
      </c>
      <c r="Y27" s="14" t="e" vm="1">
        <f>Table229[[#This Row],[BDG]]/Table229[[#This Row],[Odds]]</f>
        <v>#VALUE!</v>
      </c>
    </row>
    <row r="28" spans="1:25">
      <c r="A28" s="159" t="s">
        <v>412</v>
      </c>
      <c r="B28">
        <v>78</v>
      </c>
      <c r="C28">
        <v>102</v>
      </c>
      <c r="D28">
        <v>17</v>
      </c>
      <c r="E28">
        <v>103</v>
      </c>
      <c r="F28">
        <v>124</v>
      </c>
      <c r="G28">
        <v>114</v>
      </c>
      <c r="H28">
        <v>226.10000000000002</v>
      </c>
      <c r="I28" s="14">
        <v>358.89550587632334</v>
      </c>
      <c r="J28" s="259">
        <v>226.10000000000002</v>
      </c>
      <c r="K28" s="260">
        <v>358.89550587632334</v>
      </c>
      <c r="L28" s="16">
        <v>62</v>
      </c>
      <c r="M28" s="16">
        <v>32</v>
      </c>
      <c r="N28" s="16"/>
      <c r="O28" s="230">
        <v>43</v>
      </c>
      <c r="Q28" s="159">
        <v>19</v>
      </c>
      <c r="R28" s="159"/>
      <c r="S28" s="159">
        <v>35</v>
      </c>
      <c r="T28">
        <v>21</v>
      </c>
      <c r="U28" s="15">
        <v>0</v>
      </c>
      <c r="V28" s="15">
        <v>0</v>
      </c>
      <c r="W28" t="e">
        <v>#N/A</v>
      </c>
      <c r="X28" t="e" cm="1" vm="2">
        <f t="array" ref="X28">MAX(_xlfn._xlws.FILTER(Table22[[B365]:[BFAIREXC]], Table22[PLAYER] = A28))</f>
        <v>#VALUE!</v>
      </c>
      <c r="Y28" s="14" t="e" vm="1">
        <f>Table229[[#This Row],[BDG]]/Table229[[#This Row],[Odds]]</f>
        <v>#VALUE!</v>
      </c>
    </row>
    <row r="29" spans="1:25">
      <c r="A29" s="159" t="s">
        <v>46</v>
      </c>
      <c r="B29">
        <v>39</v>
      </c>
      <c r="C29">
        <v>52</v>
      </c>
      <c r="D29">
        <v>144</v>
      </c>
      <c r="E29">
        <v>131</v>
      </c>
      <c r="F29">
        <v>13</v>
      </c>
      <c r="G29">
        <v>47</v>
      </c>
      <c r="H29">
        <v>215.6</v>
      </c>
      <c r="I29" s="14">
        <v>308.05614976996623</v>
      </c>
      <c r="J29" s="259">
        <v>226.2879106292504</v>
      </c>
      <c r="K29" s="260">
        <v>329.65158847855866</v>
      </c>
      <c r="L29" s="16">
        <v>48</v>
      </c>
      <c r="M29" s="16">
        <v>24</v>
      </c>
      <c r="N29" s="16"/>
      <c r="O29" s="230">
        <v>30</v>
      </c>
      <c r="Q29" s="159">
        <v>20</v>
      </c>
      <c r="R29" s="159"/>
      <c r="S29" s="159">
        <v>25</v>
      </c>
      <c r="T29">
        <v>94</v>
      </c>
      <c r="U29" s="15">
        <v>0</v>
      </c>
      <c r="V29" s="15">
        <v>0</v>
      </c>
      <c r="W29" t="e">
        <v>#N/A</v>
      </c>
      <c r="X29" t="e" cm="1" vm="2">
        <f t="array" ref="X29">MAX(_xlfn._xlws.FILTER(Table22[[B365]:[BFAIREXC]], Table22[PLAYER] = A29))</f>
        <v>#VALUE!</v>
      </c>
      <c r="Y29" s="14" t="e" vm="1">
        <f>Table229[[#This Row],[BDG]]/Table229[[#This Row],[Odds]]</f>
        <v>#VALUE!</v>
      </c>
    </row>
    <row r="30" spans="1:25">
      <c r="A30" s="159" t="s">
        <v>559</v>
      </c>
      <c r="B30">
        <v>110</v>
      </c>
      <c r="C30">
        <v>146</v>
      </c>
      <c r="D30">
        <v>24</v>
      </c>
      <c r="E30">
        <v>130</v>
      </c>
      <c r="F30">
        <v>8</v>
      </c>
      <c r="G30">
        <v>7</v>
      </c>
      <c r="H30">
        <v>230.2</v>
      </c>
      <c r="I30" s="14">
        <v>256.32090892499491</v>
      </c>
      <c r="J30" s="259">
        <v>230.2</v>
      </c>
      <c r="K30" s="260">
        <v>256.32090892499491</v>
      </c>
      <c r="L30" s="16">
        <v>64</v>
      </c>
      <c r="M30" s="16">
        <v>33</v>
      </c>
      <c r="N30" s="16"/>
      <c r="O30" s="230">
        <v>15</v>
      </c>
      <c r="Q30" s="159">
        <v>22</v>
      </c>
      <c r="R30" s="159"/>
      <c r="S30" s="159">
        <v>7</v>
      </c>
      <c r="T30">
        <v>16</v>
      </c>
      <c r="U30" s="15">
        <v>0</v>
      </c>
      <c r="V30" s="15">
        <v>0</v>
      </c>
      <c r="W30" t="e">
        <v>#N/A</v>
      </c>
      <c r="X30" cm="1">
        <f t="array" ref="X30">MAX(_xlfn._xlws.FILTER(Table22[[B365]:[BFAIREXC]], Table22[PLAYER] = A30))</f>
        <v>25</v>
      </c>
      <c r="Y30" s="14">
        <f>Table229[[#This Row],[BDG]]/Table229[[#This Row],[Odds]]</f>
        <v>9.2080000000000002</v>
      </c>
    </row>
    <row r="31" spans="1:25">
      <c r="A31" s="159" t="s">
        <v>122</v>
      </c>
      <c r="B31">
        <v>102</v>
      </c>
      <c r="C31">
        <v>18</v>
      </c>
      <c r="D31">
        <v>135</v>
      </c>
      <c r="E31">
        <v>20</v>
      </c>
      <c r="F31">
        <v>43</v>
      </c>
      <c r="G31">
        <v>74</v>
      </c>
      <c r="H31">
        <v>223</v>
      </c>
      <c r="I31" s="14">
        <v>302.87379323646837</v>
      </c>
      <c r="J31" s="259">
        <v>230.35179979699888</v>
      </c>
      <c r="K31" s="260">
        <v>318.09413872686457</v>
      </c>
      <c r="L31" s="16">
        <v>58</v>
      </c>
      <c r="M31" s="16">
        <v>30</v>
      </c>
      <c r="N31" s="16"/>
      <c r="O31" s="230">
        <v>27</v>
      </c>
      <c r="Q31" s="159">
        <v>23</v>
      </c>
      <c r="R31" s="159"/>
      <c r="S31" s="159">
        <v>21</v>
      </c>
      <c r="T31">
        <v>52</v>
      </c>
      <c r="U31" s="15">
        <v>0</v>
      </c>
      <c r="V31" s="15">
        <v>0</v>
      </c>
      <c r="W31" t="e">
        <v>#N/A</v>
      </c>
      <c r="X31" cm="1">
        <f t="array" ref="X31">MAX(_xlfn._xlws.FILTER(Table22[[B365]:[BFAIREXC]], Table22[PLAYER] = A31))</f>
        <v>4.63</v>
      </c>
      <c r="Y31" s="14">
        <f>Table229[[#This Row],[BDG]]/Table229[[#This Row],[Odds]]</f>
        <v>49.752008595464119</v>
      </c>
    </row>
    <row r="32" spans="1:25">
      <c r="A32" s="159" t="s">
        <v>433</v>
      </c>
      <c r="B32">
        <v>135</v>
      </c>
      <c r="C32">
        <v>24</v>
      </c>
      <c r="D32">
        <v>62</v>
      </c>
      <c r="E32">
        <v>26</v>
      </c>
      <c r="F32">
        <v>96</v>
      </c>
      <c r="G32">
        <v>39</v>
      </c>
      <c r="H32">
        <v>232.9</v>
      </c>
      <c r="I32" s="14">
        <v>261.51024166006948</v>
      </c>
      <c r="J32" s="259">
        <v>232.9</v>
      </c>
      <c r="K32" s="260">
        <v>261.51024166006948</v>
      </c>
      <c r="L32" s="16">
        <v>67</v>
      </c>
      <c r="M32" s="16">
        <v>35</v>
      </c>
      <c r="N32" s="16"/>
      <c r="O32" s="230">
        <v>18</v>
      </c>
      <c r="Q32" s="159">
        <v>24</v>
      </c>
      <c r="R32" s="159"/>
      <c r="S32" s="159">
        <v>9</v>
      </c>
      <c r="T32">
        <v>13</v>
      </c>
      <c r="U32" s="15">
        <v>0</v>
      </c>
      <c r="V32" s="15">
        <v>0</v>
      </c>
      <c r="W32" t="e">
        <v>#N/A</v>
      </c>
      <c r="X32" cm="1">
        <f t="array" ref="X32">MAX(_xlfn._xlws.FILTER(Table22[[B365]:[BFAIREXC]], Table22[PLAYER] = A32))</f>
        <v>10.3</v>
      </c>
      <c r="Y32" s="14">
        <f>Table229[[#This Row],[BDG]]/Table229[[#This Row],[Odds]]</f>
        <v>22.611650485436893</v>
      </c>
    </row>
    <row r="33" spans="1:25">
      <c r="A33" s="159" t="s">
        <v>118</v>
      </c>
      <c r="B33">
        <v>125</v>
      </c>
      <c r="C33">
        <v>35</v>
      </c>
      <c r="D33">
        <v>74</v>
      </c>
      <c r="E33">
        <v>87</v>
      </c>
      <c r="F33">
        <v>59</v>
      </c>
      <c r="G33">
        <v>63</v>
      </c>
      <c r="H33">
        <v>242.60000000000002</v>
      </c>
      <c r="I33" s="14">
        <v>311.11896391723411</v>
      </c>
      <c r="J33" s="259">
        <v>233.95082376823666</v>
      </c>
      <c r="K33" s="260">
        <v>308.98397657765099</v>
      </c>
      <c r="L33" s="16">
        <v>78</v>
      </c>
      <c r="M33" s="16">
        <v>41</v>
      </c>
      <c r="N33" s="16"/>
      <c r="O33" s="230">
        <v>31</v>
      </c>
      <c r="Q33" s="159">
        <v>25</v>
      </c>
      <c r="R33" s="159"/>
      <c r="S33" s="159">
        <v>18</v>
      </c>
      <c r="T33">
        <v>38</v>
      </c>
      <c r="U33" s="15">
        <v>0</v>
      </c>
      <c r="V33" s="15">
        <v>0</v>
      </c>
      <c r="W33" t="e">
        <v>#N/A</v>
      </c>
      <c r="X33" t="e" cm="1" vm="2">
        <f t="array" ref="X33">MAX(_xlfn._xlws.FILTER(Table22[[B365]:[BFAIREXC]], Table22[PLAYER] = A33))</f>
        <v>#VALUE!</v>
      </c>
      <c r="Y33" s="14" t="e" vm="1">
        <f>Table229[[#This Row],[BDG]]/Table229[[#This Row],[Odds]]</f>
        <v>#VALUE!</v>
      </c>
    </row>
    <row r="34" spans="1:25">
      <c r="A34" s="159" t="s">
        <v>152</v>
      </c>
      <c r="B34">
        <v>108</v>
      </c>
      <c r="C34">
        <v>2</v>
      </c>
      <c r="D34">
        <v>86</v>
      </c>
      <c r="E34">
        <v>64</v>
      </c>
      <c r="F34">
        <v>108</v>
      </c>
      <c r="G34">
        <v>84</v>
      </c>
      <c r="H34">
        <v>237.79999999999998</v>
      </c>
      <c r="I34" s="14">
        <v>326.72079034710913</v>
      </c>
      <c r="J34" s="259">
        <v>233.96965052593339</v>
      </c>
      <c r="K34" s="260">
        <v>307.79302237986093</v>
      </c>
      <c r="L34" s="16">
        <v>72</v>
      </c>
      <c r="M34" s="16">
        <v>38</v>
      </c>
      <c r="N34" s="16"/>
      <c r="O34" s="230">
        <v>35</v>
      </c>
      <c r="Q34" s="159">
        <v>26</v>
      </c>
      <c r="R34" s="159"/>
      <c r="S34" s="159">
        <v>17</v>
      </c>
      <c r="T34">
        <v>78</v>
      </c>
      <c r="U34" s="15">
        <v>0</v>
      </c>
      <c r="V34" s="15">
        <v>0</v>
      </c>
      <c r="W34" t="e">
        <v>#N/A</v>
      </c>
      <c r="X34" cm="1">
        <f t="array" ref="X34">MAX(_xlfn._xlws.FILTER(Table22[[B365]:[BFAIREXC]], Table22[PLAYER] = A34))</f>
        <v>4.43</v>
      </c>
      <c r="Y34" s="14">
        <f>Table229[[#This Row],[BDG]]/Table229[[#This Row],[Odds]]</f>
        <v>52.814819531813413</v>
      </c>
    </row>
    <row r="35" spans="1:25">
      <c r="A35" s="159" t="s">
        <v>549</v>
      </c>
      <c r="B35">
        <v>42</v>
      </c>
      <c r="C35">
        <v>167</v>
      </c>
      <c r="D35">
        <v>85</v>
      </c>
      <c r="E35">
        <v>123</v>
      </c>
      <c r="F35">
        <v>10</v>
      </c>
      <c r="G35">
        <v>82</v>
      </c>
      <c r="H35">
        <v>218.3</v>
      </c>
      <c r="I35" s="14">
        <v>345.90770015901848</v>
      </c>
      <c r="J35" s="259">
        <v>234.08131441017775</v>
      </c>
      <c r="K35" s="260">
        <v>339.16901788717109</v>
      </c>
      <c r="L35" s="16">
        <v>52</v>
      </c>
      <c r="M35" s="16">
        <v>26</v>
      </c>
      <c r="N35" s="16"/>
      <c r="O35" s="230">
        <v>39</v>
      </c>
      <c r="Q35" s="159">
        <v>27</v>
      </c>
      <c r="R35" s="159"/>
      <c r="S35" s="159">
        <v>27</v>
      </c>
      <c r="T35">
        <v>90</v>
      </c>
      <c r="U35" s="15">
        <v>0</v>
      </c>
      <c r="V35" s="15">
        <v>0</v>
      </c>
      <c r="W35" t="e">
        <v>#N/A</v>
      </c>
      <c r="X35" t="e" cm="1" vm="2">
        <f t="array" ref="X35">MAX(_xlfn._xlws.FILTER(Table22[[B365]:[BFAIREXC]], Table22[PLAYER] = A35))</f>
        <v>#VALUE!</v>
      </c>
      <c r="Y35" s="14" t="e" vm="1">
        <f>Table229[[#This Row],[BDG]]/Table229[[#This Row],[Odds]]</f>
        <v>#VALUE!</v>
      </c>
    </row>
    <row r="36" spans="1:25">
      <c r="A36" s="159" t="s">
        <v>557</v>
      </c>
      <c r="B36">
        <v>44</v>
      </c>
      <c r="C36">
        <v>102</v>
      </c>
      <c r="D36">
        <v>151</v>
      </c>
      <c r="E36">
        <v>119</v>
      </c>
      <c r="F36">
        <v>1</v>
      </c>
      <c r="G36">
        <v>2</v>
      </c>
      <c r="H36">
        <v>234.2</v>
      </c>
      <c r="I36" s="14">
        <v>284.33771907885409</v>
      </c>
      <c r="J36" s="259">
        <v>234.2</v>
      </c>
      <c r="K36" s="260">
        <v>284.33771907885409</v>
      </c>
      <c r="L36" s="16">
        <v>70</v>
      </c>
      <c r="M36" s="16">
        <v>37</v>
      </c>
      <c r="N36" s="16"/>
      <c r="O36" s="230">
        <v>22</v>
      </c>
      <c r="Q36" s="159">
        <v>28</v>
      </c>
      <c r="R36" s="159"/>
      <c r="S36" s="159">
        <v>11</v>
      </c>
      <c r="T36">
        <v>15</v>
      </c>
      <c r="U36" s="15">
        <v>0</v>
      </c>
      <c r="V36" s="15">
        <v>0</v>
      </c>
      <c r="W36" t="e">
        <v>#N/A</v>
      </c>
      <c r="X36" cm="1">
        <f t="array" ref="X36">MAX(_xlfn._xlws.FILTER(Table22[[B365]:[BFAIREXC]], Table22[PLAYER] = A36))</f>
        <v>8.5</v>
      </c>
      <c r="Y36" s="14">
        <f>Table229[[#This Row],[BDG]]/Table229[[#This Row],[Odds]]</f>
        <v>27.552941176470586</v>
      </c>
    </row>
    <row r="37" spans="1:25">
      <c r="A37" s="159" t="s">
        <v>28</v>
      </c>
      <c r="B37">
        <v>50</v>
      </c>
      <c r="C37">
        <v>139</v>
      </c>
      <c r="D37">
        <v>14</v>
      </c>
      <c r="E37">
        <v>82</v>
      </c>
      <c r="F37">
        <v>24</v>
      </c>
      <c r="G37">
        <v>45</v>
      </c>
      <c r="H37">
        <v>155.19999999999999</v>
      </c>
      <c r="I37" s="14">
        <v>221.98221676494126</v>
      </c>
      <c r="J37" s="259">
        <v>236.20022185302196</v>
      </c>
      <c r="K37" s="260">
        <v>350.91450328253836</v>
      </c>
      <c r="L37" s="16">
        <v>6</v>
      </c>
      <c r="M37" s="16">
        <v>3</v>
      </c>
      <c r="N37" s="16"/>
      <c r="O37" s="230">
        <v>6</v>
      </c>
      <c r="Q37" s="159">
        <v>29</v>
      </c>
      <c r="R37" s="159"/>
      <c r="S37" s="159">
        <v>32</v>
      </c>
      <c r="T37">
        <v>93</v>
      </c>
      <c r="U37" s="15">
        <v>0</v>
      </c>
      <c r="V37" s="15">
        <v>0</v>
      </c>
      <c r="W37" t="e">
        <v>#N/A</v>
      </c>
      <c r="X37" cm="1">
        <f t="array" ref="X37">MAX(_xlfn._xlws.FILTER(Table22[[B365]:[BFAIREXC]], Table22[PLAYER] = A37))</f>
        <v>4.63</v>
      </c>
      <c r="Y37" s="14">
        <f>Table229[[#This Row],[BDG]]/Table229[[#This Row],[Odds]]</f>
        <v>51.01516670691619</v>
      </c>
    </row>
    <row r="38" spans="1:25">
      <c r="A38" s="159" t="s">
        <v>20</v>
      </c>
      <c r="B38">
        <v>52</v>
      </c>
      <c r="C38">
        <v>144</v>
      </c>
      <c r="D38">
        <v>88</v>
      </c>
      <c r="E38">
        <v>139</v>
      </c>
      <c r="F38">
        <v>49</v>
      </c>
      <c r="G38">
        <v>78</v>
      </c>
      <c r="H38">
        <v>246.1</v>
      </c>
      <c r="I38" s="14">
        <v>369.62651512650609</v>
      </c>
      <c r="J38" s="259">
        <v>236.52412631483344</v>
      </c>
      <c r="K38" s="260">
        <v>335.23157499089939</v>
      </c>
      <c r="L38" s="16">
        <v>82.5</v>
      </c>
      <c r="M38" s="16">
        <v>42</v>
      </c>
      <c r="N38" s="16"/>
      <c r="O38" s="230">
        <v>46</v>
      </c>
      <c r="Q38" s="159">
        <v>30</v>
      </c>
      <c r="R38" s="159"/>
      <c r="S38" s="159">
        <v>26</v>
      </c>
      <c r="T38">
        <v>51</v>
      </c>
      <c r="U38" s="15">
        <v>0</v>
      </c>
      <c r="V38" s="15">
        <v>0</v>
      </c>
      <c r="W38" t="e">
        <v>#N/A</v>
      </c>
      <c r="X38" cm="1">
        <f t="array" ref="X38">MAX(_xlfn._xlws.FILTER(Table22[[B365]:[BFAIREXC]], Table22[PLAYER] = A38))</f>
        <v>7</v>
      </c>
      <c r="Y38" s="14">
        <f>Table229[[#This Row],[BDG]]/Table229[[#This Row],[Odds]]</f>
        <v>33.789160902119065</v>
      </c>
    </row>
    <row r="39" spans="1:25">
      <c r="A39" s="159" t="s">
        <v>563</v>
      </c>
      <c r="B39">
        <v>151</v>
      </c>
      <c r="C39">
        <v>69</v>
      </c>
      <c r="D39">
        <v>1</v>
      </c>
      <c r="E39">
        <v>60</v>
      </c>
      <c r="F39">
        <v>106</v>
      </c>
      <c r="G39">
        <v>7</v>
      </c>
      <c r="H39">
        <v>241.2</v>
      </c>
      <c r="I39" s="14">
        <v>235.5934141707377</v>
      </c>
      <c r="J39" s="259">
        <v>241.2</v>
      </c>
      <c r="K39" s="260">
        <v>235.5934141707377</v>
      </c>
      <c r="L39" s="16">
        <v>74</v>
      </c>
      <c r="M39" s="16">
        <v>39</v>
      </c>
      <c r="N39" s="16"/>
      <c r="O39" s="230">
        <v>10</v>
      </c>
      <c r="Q39" s="159">
        <v>32</v>
      </c>
      <c r="R39" s="159"/>
      <c r="S39" s="159">
        <v>3</v>
      </c>
      <c r="T39">
        <v>11</v>
      </c>
      <c r="U39" s="15">
        <v>0</v>
      </c>
      <c r="V39" s="15">
        <v>0</v>
      </c>
      <c r="W39" t="e">
        <v>#N/A</v>
      </c>
      <c r="X39" cm="1">
        <f t="array" ref="X39">MAX(_xlfn._xlws.FILTER(Table22[[B365]:[BFAIREXC]], Table22[PLAYER] = A39))</f>
        <v>21</v>
      </c>
      <c r="Y39" s="14">
        <f>Table229[[#This Row],[BDG]]/Table229[[#This Row],[Odds]]</f>
        <v>11.485714285714286</v>
      </c>
    </row>
    <row r="40" spans="1:25">
      <c r="A40" s="159" t="s">
        <v>30</v>
      </c>
      <c r="B40">
        <v>16</v>
      </c>
      <c r="C40">
        <v>153</v>
      </c>
      <c r="D40">
        <v>90</v>
      </c>
      <c r="E40">
        <v>32</v>
      </c>
      <c r="F40">
        <v>58</v>
      </c>
      <c r="G40">
        <v>17</v>
      </c>
      <c r="H40">
        <v>180.4</v>
      </c>
      <c r="I40" s="14">
        <v>232.4202454558212</v>
      </c>
      <c r="J40" s="259">
        <v>243.78610581278005</v>
      </c>
      <c r="K40" s="260">
        <v>343.46367123043126</v>
      </c>
      <c r="L40" s="16">
        <v>15</v>
      </c>
      <c r="M40" s="16">
        <v>8</v>
      </c>
      <c r="N40" s="16"/>
      <c r="O40" s="230">
        <v>9</v>
      </c>
      <c r="Q40" s="159">
        <v>34</v>
      </c>
      <c r="R40" s="159"/>
      <c r="S40" s="159">
        <v>29</v>
      </c>
      <c r="T40">
        <v>79</v>
      </c>
      <c r="U40" s="15">
        <v>0</v>
      </c>
      <c r="V40" s="15">
        <v>0</v>
      </c>
      <c r="W40" t="e">
        <v>#N/A</v>
      </c>
      <c r="X40" cm="1">
        <f t="array" ref="X40">MAX(_xlfn._xlws.FILTER(Table22[[B365]:[BFAIREXC]], Table22[PLAYER] = A40))</f>
        <v>5.0199999999999996</v>
      </c>
      <c r="Y40" s="14">
        <f>Table229[[#This Row],[BDG]]/Table229[[#This Row],[Odds]]</f>
        <v>48.562969285414354</v>
      </c>
    </row>
    <row r="41" spans="1:25">
      <c r="A41" s="159" t="s">
        <v>98</v>
      </c>
      <c r="B41">
        <v>35</v>
      </c>
      <c r="C41">
        <v>114</v>
      </c>
      <c r="D41">
        <v>106</v>
      </c>
      <c r="E41">
        <v>42</v>
      </c>
      <c r="F41">
        <v>35</v>
      </c>
      <c r="G41">
        <v>41</v>
      </c>
      <c r="H41">
        <v>185.6</v>
      </c>
      <c r="I41" s="14">
        <v>257.04481778133993</v>
      </c>
      <c r="J41" s="259">
        <v>244.5225130788879</v>
      </c>
      <c r="K41" s="260">
        <v>343.61755560768358</v>
      </c>
      <c r="L41" s="16">
        <v>20.5</v>
      </c>
      <c r="M41" s="16">
        <v>13</v>
      </c>
      <c r="N41" s="16"/>
      <c r="O41" s="230">
        <v>16</v>
      </c>
      <c r="Q41" s="159">
        <v>35</v>
      </c>
      <c r="R41" s="159"/>
      <c r="S41" s="159">
        <v>30</v>
      </c>
      <c r="T41">
        <v>82</v>
      </c>
      <c r="U41" s="15">
        <v>0</v>
      </c>
      <c r="V41" s="15">
        <v>0</v>
      </c>
      <c r="W41" t="e">
        <v>#N/A</v>
      </c>
      <c r="X41" t="e" cm="1" vm="2">
        <f t="array" ref="X41">MAX(_xlfn._xlws.FILTER(Table22[[B365]:[BFAIREXC]], Table22[PLAYER] = A41))</f>
        <v>#VALUE!</v>
      </c>
      <c r="Y41" s="14" t="e" vm="1">
        <f>Table229[[#This Row],[BDG]]/Table229[[#This Row],[Odds]]</f>
        <v>#VALUE!</v>
      </c>
    </row>
    <row r="42" spans="1:25">
      <c r="A42" s="159" t="s">
        <v>50</v>
      </c>
      <c r="B42">
        <v>66</v>
      </c>
      <c r="C42">
        <v>141</v>
      </c>
      <c r="D42">
        <v>94</v>
      </c>
      <c r="E42">
        <v>58</v>
      </c>
      <c r="F42">
        <v>28</v>
      </c>
      <c r="G42">
        <v>49</v>
      </c>
      <c r="H42">
        <v>218.8</v>
      </c>
      <c r="I42" s="14">
        <v>294.88472741359664</v>
      </c>
      <c r="J42" s="259">
        <v>248.11109722986475</v>
      </c>
      <c r="K42" s="260">
        <v>368.96102164085306</v>
      </c>
      <c r="L42" s="16">
        <v>53</v>
      </c>
      <c r="M42" s="16">
        <v>27</v>
      </c>
      <c r="N42" s="16"/>
      <c r="O42" s="230">
        <v>25</v>
      </c>
      <c r="Q42" s="159">
        <v>36</v>
      </c>
      <c r="R42" s="159"/>
      <c r="S42" s="159">
        <v>39</v>
      </c>
      <c r="T42">
        <v>60</v>
      </c>
      <c r="U42" s="15">
        <v>0</v>
      </c>
      <c r="V42" s="15">
        <v>0</v>
      </c>
      <c r="W42" t="e">
        <v>#N/A</v>
      </c>
      <c r="X42" cm="1">
        <f t="array" ref="X42">MAX(_xlfn._xlws.FILTER(Table22[[B365]:[BFAIREXC]], Table22[PLAYER] = A42))</f>
        <v>10.3</v>
      </c>
      <c r="Y42" s="14">
        <f>Table229[[#This Row],[BDG]]/Table229[[#This Row],[Odds]]</f>
        <v>24.088456041734439</v>
      </c>
    </row>
    <row r="43" spans="1:25">
      <c r="A43" s="159" t="s">
        <v>82</v>
      </c>
      <c r="B43">
        <v>81</v>
      </c>
      <c r="C43">
        <v>146</v>
      </c>
      <c r="D43">
        <v>100</v>
      </c>
      <c r="E43">
        <v>74</v>
      </c>
      <c r="F43">
        <v>31</v>
      </c>
      <c r="G43">
        <v>103</v>
      </c>
      <c r="H43">
        <v>246.4</v>
      </c>
      <c r="I43" s="14">
        <v>377.69388364663644</v>
      </c>
      <c r="J43" s="259">
        <v>248.44216661027747</v>
      </c>
      <c r="K43" s="260">
        <v>378.30070080561086</v>
      </c>
      <c r="L43" s="16">
        <v>84</v>
      </c>
      <c r="M43" s="16">
        <v>43</v>
      </c>
      <c r="N43" s="16"/>
      <c r="O43" s="230">
        <v>49</v>
      </c>
      <c r="Q43" s="159">
        <v>37</v>
      </c>
      <c r="R43" s="159"/>
      <c r="S43" s="159">
        <v>43</v>
      </c>
      <c r="T43">
        <v>72</v>
      </c>
      <c r="U43" s="15">
        <v>0</v>
      </c>
      <c r="V43" s="15">
        <v>0</v>
      </c>
      <c r="W43">
        <v>-63</v>
      </c>
      <c r="X43" t="e" cm="1" vm="2">
        <f t="array" ref="X43">MAX(_xlfn._xlws.FILTER(Table22[[B365]:[BFAIREXC]], Table22[PLAYER] = A43))</f>
        <v>#VALUE!</v>
      </c>
      <c r="Y43" s="14" t="e" vm="1">
        <f>Table229[[#This Row],[BDG]]/Table229[[#This Row],[Odds]]</f>
        <v>#VALUE!</v>
      </c>
    </row>
    <row r="44" spans="1:25">
      <c r="A44" s="159" t="s">
        <v>133</v>
      </c>
      <c r="B44">
        <v>73</v>
      </c>
      <c r="C44">
        <v>26</v>
      </c>
      <c r="D44">
        <v>25</v>
      </c>
      <c r="E44">
        <v>133</v>
      </c>
      <c r="F44">
        <v>46</v>
      </c>
      <c r="G44">
        <v>61</v>
      </c>
      <c r="H44">
        <v>169.8</v>
      </c>
      <c r="I44" s="14">
        <v>247.4914684225927</v>
      </c>
      <c r="J44" s="259">
        <v>253.20277080628955</v>
      </c>
      <c r="K44" s="260">
        <v>365.61280622839217</v>
      </c>
      <c r="L44" s="16">
        <v>11</v>
      </c>
      <c r="M44" s="16">
        <v>6</v>
      </c>
      <c r="N44" s="16"/>
      <c r="O44" s="230">
        <v>12</v>
      </c>
      <c r="Q44" s="159">
        <v>38</v>
      </c>
      <c r="R44" s="159"/>
      <c r="S44" s="159">
        <v>37</v>
      </c>
      <c r="T44">
        <v>80</v>
      </c>
      <c r="U44" s="15">
        <v>0</v>
      </c>
      <c r="V44" s="15">
        <v>0</v>
      </c>
      <c r="W44" t="e">
        <v>#N/A</v>
      </c>
      <c r="X44" cm="1">
        <f t="array" ref="X44">MAX(_xlfn._xlws.FILTER(Table22[[B365]:[BFAIREXC]], Table22[PLAYER] = A44))</f>
        <v>12.3</v>
      </c>
      <c r="Y44" s="14">
        <f>Table229[[#This Row],[BDG]]/Table229[[#This Row],[Odds]]</f>
        <v>20.585591122462564</v>
      </c>
    </row>
    <row r="45" spans="1:25">
      <c r="A45" s="159" t="s">
        <v>90</v>
      </c>
      <c r="B45">
        <v>152</v>
      </c>
      <c r="C45">
        <v>27</v>
      </c>
      <c r="D45">
        <v>77</v>
      </c>
      <c r="E45">
        <v>157</v>
      </c>
      <c r="F45">
        <v>23</v>
      </c>
      <c r="G45">
        <v>62</v>
      </c>
      <c r="H45">
        <v>275.8</v>
      </c>
      <c r="I45" s="14">
        <v>349.03861454396201</v>
      </c>
      <c r="J45" s="259">
        <v>259.75440520496284</v>
      </c>
      <c r="K45" s="260">
        <v>359.41477184363339</v>
      </c>
      <c r="L45" s="16">
        <v>119</v>
      </c>
      <c r="M45" s="16">
        <v>60</v>
      </c>
      <c r="N45" s="16"/>
      <c r="O45" s="230">
        <v>41</v>
      </c>
      <c r="Q45" s="159">
        <v>39</v>
      </c>
      <c r="R45" s="159"/>
      <c r="S45" s="159">
        <v>36</v>
      </c>
      <c r="T45">
        <v>99</v>
      </c>
      <c r="U45" s="15">
        <v>0</v>
      </c>
      <c r="V45" s="15">
        <v>0</v>
      </c>
      <c r="W45">
        <v>-19</v>
      </c>
      <c r="X45" t="e" cm="1" vm="2">
        <f t="array" ref="X45">MAX(_xlfn._xlws.FILTER(Table22[[B365]:[BFAIREXC]], Table22[PLAYER] = A45))</f>
        <v>#VALUE!</v>
      </c>
      <c r="Y45" s="14" t="e" vm="1">
        <f>Table229[[#This Row],[BDG]]/Table229[[#This Row],[Odds]]</f>
        <v>#VALUE!</v>
      </c>
    </row>
    <row r="46" spans="1:25">
      <c r="A46" s="159" t="s">
        <v>91</v>
      </c>
      <c r="B46">
        <v>6</v>
      </c>
      <c r="C46">
        <v>22</v>
      </c>
      <c r="D46">
        <v>137</v>
      </c>
      <c r="E46">
        <v>146</v>
      </c>
      <c r="F46">
        <v>36</v>
      </c>
      <c r="G46">
        <v>67</v>
      </c>
      <c r="H46">
        <v>186.5</v>
      </c>
      <c r="I46" s="14">
        <v>305.64761922746413</v>
      </c>
      <c r="J46" s="259">
        <v>260.40927022809211</v>
      </c>
      <c r="K46" s="260">
        <v>425.98061025292418</v>
      </c>
      <c r="L46" s="16">
        <v>22</v>
      </c>
      <c r="M46" s="16">
        <v>14</v>
      </c>
      <c r="N46" s="16"/>
      <c r="O46" s="230">
        <v>29</v>
      </c>
      <c r="Q46" s="159">
        <v>40</v>
      </c>
      <c r="R46" s="159"/>
      <c r="S46" s="159">
        <v>54</v>
      </c>
      <c r="T46">
        <v>32</v>
      </c>
      <c r="U46" s="15">
        <v>0</v>
      </c>
      <c r="V46" s="15">
        <v>0</v>
      </c>
      <c r="W46" t="e">
        <v>#N/A</v>
      </c>
      <c r="X46" cm="1">
        <f t="array" ref="X46">MAX(_xlfn._xlws.FILTER(Table22[[B365]:[BFAIREXC]], Table22[PLAYER] = A46))</f>
        <v>19.600000000000001</v>
      </c>
      <c r="Y46" s="14">
        <f>Table229[[#This Row],[BDG]]/Table229[[#This Row],[Odds]]</f>
        <v>13.28618725653531</v>
      </c>
    </row>
    <row r="47" spans="1:25">
      <c r="A47" s="159" t="s">
        <v>235</v>
      </c>
      <c r="B47">
        <v>131</v>
      </c>
      <c r="C47">
        <v>102</v>
      </c>
      <c r="D47">
        <v>116</v>
      </c>
      <c r="E47">
        <v>13</v>
      </c>
      <c r="F47">
        <v>32</v>
      </c>
      <c r="G47">
        <v>58</v>
      </c>
      <c r="H47">
        <v>261.10000000000002</v>
      </c>
      <c r="I47" s="14">
        <v>322.47130062970882</v>
      </c>
      <c r="J47" s="259">
        <v>261.10000000000002</v>
      </c>
      <c r="K47" s="260">
        <v>322.47130062970882</v>
      </c>
      <c r="L47" s="16">
        <v>98</v>
      </c>
      <c r="M47" s="16">
        <v>47</v>
      </c>
      <c r="N47" s="16"/>
      <c r="O47" s="230">
        <v>34</v>
      </c>
      <c r="Q47" s="159">
        <v>41</v>
      </c>
      <c r="R47" s="159"/>
      <c r="S47" s="159">
        <v>23</v>
      </c>
      <c r="T47">
        <v>17</v>
      </c>
      <c r="U47" s="15">
        <v>0</v>
      </c>
      <c r="V47" s="15">
        <v>0</v>
      </c>
      <c r="W47" t="e">
        <v>#N/A</v>
      </c>
      <c r="X47" t="e" cm="1" vm="2">
        <f t="array" ref="X47">MAX(_xlfn._xlws.FILTER(Table22[[B365]:[BFAIREXC]], Table22[PLAYER] = A47))</f>
        <v>#VALUE!</v>
      </c>
      <c r="Y47" s="14" t="e" vm="1">
        <f>Table229[[#This Row],[BDG]]/Table229[[#This Row],[Odds]]</f>
        <v>#VALUE!</v>
      </c>
    </row>
    <row r="48" spans="1:25">
      <c r="A48" s="159" t="s">
        <v>562</v>
      </c>
      <c r="B48">
        <v>3</v>
      </c>
      <c r="C48">
        <v>164</v>
      </c>
      <c r="D48">
        <v>168</v>
      </c>
      <c r="E48">
        <v>174</v>
      </c>
      <c r="F48">
        <v>16</v>
      </c>
      <c r="G48">
        <v>104</v>
      </c>
      <c r="H48">
        <v>263.5</v>
      </c>
      <c r="I48" s="14">
        <v>445.15896330934282</v>
      </c>
      <c r="J48" s="259">
        <v>263.5</v>
      </c>
      <c r="K48" s="260">
        <v>445.15896330934282</v>
      </c>
      <c r="L48" s="16">
        <v>101</v>
      </c>
      <c r="M48" s="16">
        <v>49</v>
      </c>
      <c r="N48" s="16"/>
      <c r="O48" s="230">
        <v>62</v>
      </c>
      <c r="Q48" s="159">
        <v>42</v>
      </c>
      <c r="R48" s="159"/>
      <c r="S48" s="159">
        <v>64</v>
      </c>
      <c r="T48">
        <v>23</v>
      </c>
      <c r="U48" s="15">
        <v>0</v>
      </c>
      <c r="V48" s="15">
        <v>0</v>
      </c>
      <c r="W48" t="e">
        <v>#N/A</v>
      </c>
      <c r="X48" cm="1">
        <f t="array" ref="X48">MAX(_xlfn._xlws.FILTER(Table22[[B365]:[BFAIREXC]], Table22[PLAYER] = A48))</f>
        <v>11.8</v>
      </c>
      <c r="Y48" s="14">
        <f>Table229[[#This Row],[BDG]]/Table229[[#This Row],[Odds]]</f>
        <v>22.33050847457627</v>
      </c>
    </row>
    <row r="49" spans="1:25">
      <c r="A49" s="159" t="s">
        <v>445</v>
      </c>
      <c r="B49">
        <v>21</v>
      </c>
      <c r="C49">
        <v>126</v>
      </c>
      <c r="D49">
        <v>169</v>
      </c>
      <c r="E49">
        <v>168</v>
      </c>
      <c r="F49">
        <v>20</v>
      </c>
      <c r="G49">
        <v>119</v>
      </c>
      <c r="H49">
        <v>264.8</v>
      </c>
      <c r="I49" s="14">
        <v>452.48646576182</v>
      </c>
      <c r="J49" s="259">
        <v>264.8</v>
      </c>
      <c r="K49" s="260">
        <v>452.48646576182</v>
      </c>
      <c r="L49" s="16">
        <v>103</v>
      </c>
      <c r="M49" s="16">
        <v>51</v>
      </c>
      <c r="N49" s="16"/>
      <c r="O49" s="230">
        <v>66</v>
      </c>
      <c r="Q49" s="159">
        <v>43</v>
      </c>
      <c r="R49" s="159"/>
      <c r="S49" s="159">
        <v>66</v>
      </c>
      <c r="T49">
        <v>77</v>
      </c>
      <c r="U49" s="15">
        <v>0</v>
      </c>
      <c r="V49" s="15">
        <v>0</v>
      </c>
      <c r="W49" t="e">
        <v>#N/A</v>
      </c>
      <c r="X49" t="e" cm="1" vm="2">
        <f t="array" ref="X49">MAX(_xlfn._xlws.FILTER(Table22[[B365]:[BFAIREXC]], Table22[PLAYER] = A49))</f>
        <v>#VALUE!</v>
      </c>
      <c r="Y49" s="14" t="e" vm="1">
        <f>Table229[[#This Row],[BDG]]/Table229[[#This Row],[Odds]]</f>
        <v>#VALUE!</v>
      </c>
    </row>
    <row r="50" spans="1:25">
      <c r="A50" s="159" t="s">
        <v>109</v>
      </c>
      <c r="B50">
        <v>63</v>
      </c>
      <c r="C50">
        <v>59</v>
      </c>
      <c r="D50">
        <v>166</v>
      </c>
      <c r="E50">
        <v>172</v>
      </c>
      <c r="F50">
        <v>6</v>
      </c>
      <c r="G50">
        <v>128</v>
      </c>
      <c r="H50">
        <v>268.3</v>
      </c>
      <c r="I50" s="14">
        <v>448.20526401647658</v>
      </c>
      <c r="J50" s="259">
        <v>266.13770594205914</v>
      </c>
      <c r="K50" s="260">
        <v>427.40028373225846</v>
      </c>
      <c r="L50" s="16">
        <v>110</v>
      </c>
      <c r="M50" s="16">
        <v>54</v>
      </c>
      <c r="N50" s="16"/>
      <c r="O50" s="230">
        <v>65</v>
      </c>
      <c r="Q50" s="159">
        <v>45</v>
      </c>
      <c r="R50" s="159"/>
      <c r="S50" s="159">
        <v>56</v>
      </c>
      <c r="T50">
        <v>76</v>
      </c>
      <c r="U50" s="15">
        <v>0</v>
      </c>
      <c r="V50" s="15">
        <v>0</v>
      </c>
      <c r="W50" t="e">
        <v>#N/A</v>
      </c>
      <c r="X50" cm="1">
        <f t="array" ref="X50">MAX(_xlfn._xlws.FILTER(Table22[[B365]:[BFAIREXC]], Table22[PLAYER] = A50))</f>
        <v>8.4499999999999993</v>
      </c>
      <c r="Y50" s="14">
        <f>Table229[[#This Row],[BDG]]/Table229[[#This Row],[Odds]]</f>
        <v>31.495586502018835</v>
      </c>
    </row>
    <row r="51" spans="1:25">
      <c r="A51" s="159" t="s">
        <v>695</v>
      </c>
      <c r="B51">
        <v>1</v>
      </c>
      <c r="C51">
        <v>167</v>
      </c>
      <c r="D51">
        <v>149</v>
      </c>
      <c r="E51">
        <v>102</v>
      </c>
      <c r="F51">
        <v>107</v>
      </c>
      <c r="G51">
        <v>126</v>
      </c>
      <c r="H51">
        <v>266.3</v>
      </c>
      <c r="I51" s="14">
        <v>456.56104189618395</v>
      </c>
      <c r="J51" s="259">
        <v>266.3</v>
      </c>
      <c r="K51" s="260">
        <v>456.56104189618395</v>
      </c>
      <c r="L51" s="16">
        <v>105</v>
      </c>
      <c r="M51" s="16">
        <v>53</v>
      </c>
      <c r="N51" s="16"/>
      <c r="O51" s="230">
        <v>69</v>
      </c>
      <c r="Q51" s="159">
        <v>46</v>
      </c>
      <c r="R51" s="159"/>
      <c r="S51" s="159">
        <v>70</v>
      </c>
      <c r="T51">
        <v>61</v>
      </c>
      <c r="U51" s="15">
        <v>0</v>
      </c>
      <c r="V51" s="15">
        <v>0</v>
      </c>
      <c r="W51" t="e">
        <v>#N/A</v>
      </c>
      <c r="X51" t="e" cm="1" vm="2">
        <f t="array" ref="X51">MAX(_xlfn._xlws.FILTER(Table22[[B365]:[BFAIREXC]], Table22[PLAYER] = A51))</f>
        <v>#VALUE!</v>
      </c>
      <c r="Y51" s="14" t="e" vm="1">
        <f>Table229[[#This Row],[BDG]]/Table229[[#This Row],[Odds]]</f>
        <v>#VALUE!</v>
      </c>
    </row>
    <row r="52" spans="1:25">
      <c r="A52" s="159" t="s">
        <v>553</v>
      </c>
      <c r="B52">
        <v>115</v>
      </c>
      <c r="C52">
        <v>139</v>
      </c>
      <c r="D52">
        <v>130</v>
      </c>
      <c r="E52">
        <v>12</v>
      </c>
      <c r="F52">
        <v>55</v>
      </c>
      <c r="G52">
        <v>50</v>
      </c>
      <c r="H52">
        <v>282.39999999999998</v>
      </c>
      <c r="I52" s="14">
        <v>346.09184289420961</v>
      </c>
      <c r="J52" s="259">
        <v>266.96362297525565</v>
      </c>
      <c r="K52" s="260">
        <v>351.25819647097012</v>
      </c>
      <c r="L52" s="16">
        <v>122</v>
      </c>
      <c r="M52" s="16">
        <v>62</v>
      </c>
      <c r="N52" s="16"/>
      <c r="O52" s="230">
        <v>40</v>
      </c>
      <c r="Q52" s="159">
        <v>47</v>
      </c>
      <c r="R52" s="159"/>
      <c r="S52" s="159">
        <v>33</v>
      </c>
      <c r="T52">
        <v>85</v>
      </c>
      <c r="U52" s="15">
        <v>0</v>
      </c>
      <c r="V52" s="15">
        <v>0</v>
      </c>
      <c r="W52" t="e">
        <v>#N/A</v>
      </c>
      <c r="X52" t="e" cm="1" vm="2">
        <f t="array" ref="X52">MAX(_xlfn._xlws.FILTER(Table22[[B365]:[BFAIREXC]], Table22[PLAYER] = A52))</f>
        <v>#VALUE!</v>
      </c>
      <c r="Y52" s="14" t="e" vm="1">
        <f>Table229[[#This Row],[BDG]]/Table229[[#This Row],[Odds]]</f>
        <v>#VALUE!</v>
      </c>
    </row>
    <row r="53" spans="1:25">
      <c r="A53" s="159" t="s">
        <v>550</v>
      </c>
      <c r="B53">
        <v>158</v>
      </c>
      <c r="C53">
        <v>86</v>
      </c>
      <c r="D53">
        <v>79</v>
      </c>
      <c r="E53">
        <v>51</v>
      </c>
      <c r="F53">
        <v>159</v>
      </c>
      <c r="G53">
        <v>147</v>
      </c>
      <c r="H53">
        <v>331.80000000000007</v>
      </c>
      <c r="I53" s="14">
        <v>479.0292473194221</v>
      </c>
      <c r="J53" s="259">
        <v>267.05130570943822</v>
      </c>
      <c r="K53" s="260">
        <v>366.50701148073659</v>
      </c>
      <c r="L53" s="16">
        <v>159</v>
      </c>
      <c r="M53" s="16">
        <v>85</v>
      </c>
      <c r="N53" s="230"/>
      <c r="O53" s="230">
        <v>78</v>
      </c>
      <c r="Q53" s="159">
        <v>48</v>
      </c>
      <c r="R53" s="159"/>
      <c r="S53" s="159">
        <v>38</v>
      </c>
      <c r="T53">
        <v>56</v>
      </c>
      <c r="U53" s="15">
        <v>0</v>
      </c>
      <c r="V53" s="15">
        <v>0</v>
      </c>
      <c r="W53" t="e">
        <v>#N/A</v>
      </c>
      <c r="X53" t="e" cm="1" vm="2">
        <f t="array" ref="X53">MAX(_xlfn._xlws.FILTER(Table22[[B365]:[BFAIREXC]], Table22[PLAYER] = A53))</f>
        <v>#VALUE!</v>
      </c>
      <c r="Y53" s="14" t="e" vm="1">
        <f>Table229[[#This Row],[BDG]]/Table229[[#This Row],[Odds]]</f>
        <v>#VALUE!</v>
      </c>
    </row>
    <row r="54" spans="1:25">
      <c r="A54" s="159" t="s">
        <v>149</v>
      </c>
      <c r="B54">
        <v>138</v>
      </c>
      <c r="C54">
        <v>69</v>
      </c>
      <c r="D54">
        <v>33</v>
      </c>
      <c r="E54">
        <v>50</v>
      </c>
      <c r="F54">
        <v>77</v>
      </c>
      <c r="G54">
        <v>68</v>
      </c>
      <c r="H54">
        <v>233.4</v>
      </c>
      <c r="I54" s="14">
        <v>294.30834605893847</v>
      </c>
      <c r="J54" s="259">
        <v>267.56424611546527</v>
      </c>
      <c r="K54" s="260">
        <v>373.37576887535039</v>
      </c>
      <c r="L54" s="16">
        <v>68</v>
      </c>
      <c r="M54" s="16">
        <v>36</v>
      </c>
      <c r="N54" s="16"/>
      <c r="O54" s="230">
        <v>24</v>
      </c>
      <c r="Q54" s="159">
        <v>49</v>
      </c>
      <c r="R54" s="159"/>
      <c r="S54" s="159">
        <v>41</v>
      </c>
      <c r="T54">
        <v>44</v>
      </c>
      <c r="U54" s="15">
        <v>0</v>
      </c>
      <c r="V54" s="15">
        <v>0</v>
      </c>
      <c r="W54" t="e">
        <v>#N/A</v>
      </c>
      <c r="X54" t="e" cm="1" vm="2">
        <f t="array" ref="X54">MAX(_xlfn._xlws.FILTER(Table22[[B365]:[BFAIREXC]], Table22[PLAYER] = A54))</f>
        <v>#VALUE!</v>
      </c>
      <c r="Y54" s="14" t="e" vm="1">
        <f>Table229[[#This Row],[BDG]]/Table229[[#This Row],[Odds]]</f>
        <v>#VALUE!</v>
      </c>
    </row>
    <row r="55" spans="1:25">
      <c r="A55" s="159" t="s">
        <v>11</v>
      </c>
      <c r="B55">
        <v>25</v>
      </c>
      <c r="C55">
        <v>160</v>
      </c>
      <c r="D55">
        <v>146</v>
      </c>
      <c r="E55">
        <v>127</v>
      </c>
      <c r="F55">
        <v>153</v>
      </c>
      <c r="G55">
        <v>164</v>
      </c>
      <c r="H55">
        <v>316</v>
      </c>
      <c r="I55" s="14">
        <v>543.5925478282237</v>
      </c>
      <c r="J55" s="259">
        <v>267.88037667884032</v>
      </c>
      <c r="K55" s="260">
        <v>463.30709252981399</v>
      </c>
      <c r="L55" s="16">
        <v>148</v>
      </c>
      <c r="M55" s="16">
        <v>76</v>
      </c>
      <c r="N55" s="230"/>
      <c r="O55" s="230">
        <v>89</v>
      </c>
      <c r="Q55" s="159">
        <v>50</v>
      </c>
      <c r="R55" s="159"/>
      <c r="S55" s="159">
        <v>74</v>
      </c>
      <c r="T55">
        <v>45</v>
      </c>
      <c r="U55" s="15" t="e">
        <v>#N/A</v>
      </c>
      <c r="V55" s="15" t="e">
        <v>#N/A</v>
      </c>
      <c r="W55" t="e">
        <v>#N/A</v>
      </c>
      <c r="X55" cm="1">
        <f t="array" ref="X55">MAX(_xlfn._xlws.FILTER(Table22[[B365]:[BFAIREXC]], Table22[PLAYER] = A55))</f>
        <v>6.88</v>
      </c>
      <c r="Y55" s="14">
        <f>Table229[[#This Row],[BDG]]/Table229[[#This Row],[Odds]]</f>
        <v>38.936101261459349</v>
      </c>
    </row>
    <row r="56" spans="1:25">
      <c r="A56" s="159" t="s">
        <v>490</v>
      </c>
      <c r="B56">
        <v>35</v>
      </c>
      <c r="C56">
        <v>164</v>
      </c>
      <c r="D56">
        <v>171</v>
      </c>
      <c r="E56">
        <v>125</v>
      </c>
      <c r="F56">
        <v>4</v>
      </c>
      <c r="G56">
        <v>123</v>
      </c>
      <c r="H56">
        <v>268.8</v>
      </c>
      <c r="I56" s="14">
        <v>453.04775946180035</v>
      </c>
      <c r="J56" s="259">
        <v>268.8</v>
      </c>
      <c r="K56" s="260">
        <v>453.04775946180035</v>
      </c>
      <c r="L56" s="16">
        <v>111.5</v>
      </c>
      <c r="M56" s="16">
        <v>55</v>
      </c>
      <c r="N56" s="16"/>
      <c r="O56" s="230">
        <v>67</v>
      </c>
      <c r="Q56" s="159">
        <v>52</v>
      </c>
      <c r="R56" s="159"/>
      <c r="S56" s="159">
        <v>67</v>
      </c>
      <c r="T56">
        <v>10</v>
      </c>
      <c r="U56" s="15" t="e">
        <v>#N/A</v>
      </c>
      <c r="V56" s="15" t="e">
        <v>#N/A</v>
      </c>
      <c r="W56" t="e">
        <v>#N/A</v>
      </c>
      <c r="X56" cm="1">
        <f t="array" ref="X56">MAX(_xlfn._xlws.FILTER(Table22[[B365]:[BFAIREXC]], Table22[PLAYER] = A56))</f>
        <v>19.600000000000001</v>
      </c>
      <c r="Y56" s="14">
        <f>Table229[[#This Row],[BDG]]/Table229[[#This Row],[Odds]]</f>
        <v>13.714285714285714</v>
      </c>
    </row>
    <row r="57" spans="1:25">
      <c r="A57" s="159" t="s">
        <v>55</v>
      </c>
      <c r="B57">
        <v>54</v>
      </c>
      <c r="C57">
        <v>79</v>
      </c>
      <c r="D57">
        <v>159</v>
      </c>
      <c r="E57">
        <v>110</v>
      </c>
      <c r="F57">
        <v>137</v>
      </c>
      <c r="G57">
        <v>171</v>
      </c>
      <c r="H57">
        <v>304</v>
      </c>
      <c r="I57" s="14">
        <v>521.89882415484044</v>
      </c>
      <c r="J57" s="259">
        <v>271.62565285471908</v>
      </c>
      <c r="K57" s="260">
        <v>454.75628221307852</v>
      </c>
      <c r="L57" s="16">
        <v>141</v>
      </c>
      <c r="M57" s="16">
        <v>72</v>
      </c>
      <c r="N57" s="230"/>
      <c r="O57" s="230">
        <v>83</v>
      </c>
      <c r="Q57" s="159">
        <v>53</v>
      </c>
      <c r="R57" s="159"/>
      <c r="S57" s="159">
        <v>68</v>
      </c>
      <c r="T57">
        <v>34</v>
      </c>
      <c r="U57" s="15">
        <v>0</v>
      </c>
      <c r="V57" s="15">
        <v>0</v>
      </c>
      <c r="W57">
        <v>-119</v>
      </c>
      <c r="X57" t="e" cm="1" vm="2">
        <f t="array" ref="X57">MAX(_xlfn._xlws.FILTER(Table22[[B365]:[BFAIREXC]], Table22[PLAYER] = A57))</f>
        <v>#VALUE!</v>
      </c>
      <c r="Y57" s="14" t="e" vm="1">
        <f>Table229[[#This Row],[BDG]]/Table229[[#This Row],[Odds]]</f>
        <v>#VALUE!</v>
      </c>
    </row>
    <row r="58" spans="1:25">
      <c r="A58" s="159" t="s">
        <v>48</v>
      </c>
      <c r="B58">
        <v>2</v>
      </c>
      <c r="C58">
        <v>68</v>
      </c>
      <c r="D58">
        <v>87</v>
      </c>
      <c r="E58">
        <v>55</v>
      </c>
      <c r="F58">
        <v>99</v>
      </c>
      <c r="G58">
        <v>36</v>
      </c>
      <c r="H58">
        <v>161.4</v>
      </c>
      <c r="I58" s="14">
        <v>231.65571939847743</v>
      </c>
      <c r="J58" s="259">
        <v>274.02463050360433</v>
      </c>
      <c r="K58" s="260">
        <v>428.24752013455657</v>
      </c>
      <c r="L58" s="16">
        <v>7</v>
      </c>
      <c r="M58" s="16">
        <v>4</v>
      </c>
      <c r="N58" s="16"/>
      <c r="O58" s="230">
        <v>8</v>
      </c>
      <c r="Q58" s="159">
        <v>54</v>
      </c>
      <c r="R58" s="159"/>
      <c r="S58" s="159">
        <v>58</v>
      </c>
      <c r="T58">
        <v>53</v>
      </c>
      <c r="U58" s="15">
        <v>0</v>
      </c>
      <c r="V58" s="15">
        <v>0</v>
      </c>
      <c r="W58" t="e">
        <v>#N/A</v>
      </c>
      <c r="X58" cm="1">
        <f t="array" ref="X58">MAX(_xlfn._xlws.FILTER(Table22[[B365]:[BFAIREXC]], Table22[PLAYER] = A58))</f>
        <v>8.06</v>
      </c>
      <c r="Y58" s="14">
        <f>Table229[[#This Row],[BDG]]/Table229[[#This Row],[Odds]]</f>
        <v>33.998093114591107</v>
      </c>
    </row>
    <row r="59" spans="1:25">
      <c r="A59" s="159" t="s">
        <v>134</v>
      </c>
      <c r="B59">
        <v>144</v>
      </c>
      <c r="C59">
        <v>7</v>
      </c>
      <c r="D59">
        <v>48</v>
      </c>
      <c r="E59">
        <v>125</v>
      </c>
      <c r="F59">
        <v>164</v>
      </c>
      <c r="G59">
        <v>135</v>
      </c>
      <c r="H59">
        <v>298</v>
      </c>
      <c r="I59" s="14">
        <v>437.11967699218758</v>
      </c>
      <c r="J59" s="259">
        <v>274.15298553242388</v>
      </c>
      <c r="K59" s="260">
        <v>383.89456666962769</v>
      </c>
      <c r="L59" s="16">
        <v>135</v>
      </c>
      <c r="M59" s="16">
        <v>67</v>
      </c>
      <c r="N59" s="230"/>
      <c r="O59" s="230">
        <v>60</v>
      </c>
      <c r="Q59" s="159">
        <v>55</v>
      </c>
      <c r="R59" s="159"/>
      <c r="S59" s="159">
        <v>44</v>
      </c>
      <c r="T59">
        <v>64</v>
      </c>
      <c r="U59" s="15">
        <v>0</v>
      </c>
      <c r="V59" s="15">
        <v>0</v>
      </c>
      <c r="W59" t="e">
        <v>#N/A</v>
      </c>
      <c r="X59" cm="1">
        <f t="array" ref="X59">MAX(_xlfn._xlws.FILTER(Table22[[B365]:[BFAIREXC]], Table22[PLAYER] = A59))</f>
        <v>7.27</v>
      </c>
      <c r="Y59" s="14">
        <f>Table229[[#This Row],[BDG]]/Table229[[#This Row],[Odds]]</f>
        <v>37.710176827018415</v>
      </c>
    </row>
    <row r="60" spans="1:25">
      <c r="A60" s="159" t="s">
        <v>485</v>
      </c>
      <c r="B60">
        <v>9</v>
      </c>
      <c r="C60">
        <v>102</v>
      </c>
      <c r="D60">
        <v>105</v>
      </c>
      <c r="E60">
        <v>164</v>
      </c>
      <c r="F60">
        <v>175</v>
      </c>
      <c r="G60">
        <v>173</v>
      </c>
      <c r="H60">
        <v>275.5</v>
      </c>
      <c r="I60" s="14">
        <v>510.49166484649805</v>
      </c>
      <c r="J60" s="259">
        <v>275.5</v>
      </c>
      <c r="K60" s="260">
        <v>510.49166484649805</v>
      </c>
      <c r="L60" s="16">
        <v>118</v>
      </c>
      <c r="M60" s="16">
        <v>59</v>
      </c>
      <c r="N60" s="16"/>
      <c r="O60" s="230">
        <v>82</v>
      </c>
      <c r="Q60" s="159">
        <v>56</v>
      </c>
      <c r="R60" s="159"/>
      <c r="S60" s="159">
        <v>87</v>
      </c>
      <c r="T60">
        <v>20</v>
      </c>
      <c r="U60" s="15" t="e">
        <v>#N/A</v>
      </c>
      <c r="V60" s="15" t="e">
        <v>#N/A</v>
      </c>
      <c r="W60" t="e">
        <v>#N/A</v>
      </c>
      <c r="X60" cm="1">
        <f t="array" ref="X60">MAX(_xlfn._xlws.FILTER(Table22[[B365]:[BFAIREXC]], Table22[PLAYER] = A60))</f>
        <v>9.0399999999999991</v>
      </c>
      <c r="Y60" s="14">
        <f>Table229[[#This Row],[BDG]]/Table229[[#This Row],[Odds]]</f>
        <v>30.475663716814161</v>
      </c>
    </row>
    <row r="61" spans="1:25">
      <c r="A61" s="255" t="s">
        <v>632</v>
      </c>
      <c r="B61">
        <v>85</v>
      </c>
      <c r="C61">
        <v>144</v>
      </c>
      <c r="D61">
        <v>95</v>
      </c>
      <c r="E61">
        <v>168</v>
      </c>
      <c r="F61">
        <v>20</v>
      </c>
      <c r="G61">
        <v>92</v>
      </c>
      <c r="H61">
        <v>277.8</v>
      </c>
      <c r="I61" s="14">
        <v>413.62242290983414</v>
      </c>
      <c r="J61" s="259">
        <v>276.01524934900124</v>
      </c>
      <c r="K61" s="260">
        <v>413.6224229098342</v>
      </c>
      <c r="L61" s="16">
        <v>120</v>
      </c>
      <c r="M61" s="16">
        <v>61</v>
      </c>
      <c r="N61" s="16"/>
      <c r="O61" s="230">
        <v>53</v>
      </c>
      <c r="Q61" s="159">
        <v>57</v>
      </c>
      <c r="R61" s="159"/>
      <c r="S61" s="159">
        <v>53</v>
      </c>
      <c r="T61">
        <v>58</v>
      </c>
      <c r="U61" s="15" t="e">
        <v>#N/A</v>
      </c>
      <c r="V61" s="15" t="e">
        <v>#N/A</v>
      </c>
      <c r="W61" t="e">
        <v>#N/A</v>
      </c>
      <c r="X61" cm="1">
        <f t="array" ref="X61">MAX(_xlfn._xlws.FILTER(Table22[[B365]:[BFAIREXC]], Table22[PLAYER] = A61))</f>
        <v>4.72</v>
      </c>
      <c r="Y61" s="14">
        <f>Table229[[#This Row],[BDG]]/Table229[[#This Row],[Odds]]</f>
        <v>58.477807065466365</v>
      </c>
    </row>
    <row r="62" spans="1:25">
      <c r="A62" s="159" t="s">
        <v>106</v>
      </c>
      <c r="B62">
        <v>133</v>
      </c>
      <c r="C62">
        <v>164</v>
      </c>
      <c r="D62">
        <v>89</v>
      </c>
      <c r="E62">
        <v>170</v>
      </c>
      <c r="F62">
        <v>5</v>
      </c>
      <c r="G62">
        <v>94</v>
      </c>
      <c r="H62">
        <v>318.10000000000002</v>
      </c>
      <c r="I62" s="14">
        <v>446.06024792933761</v>
      </c>
      <c r="J62" s="259">
        <v>277.27211275200756</v>
      </c>
      <c r="K62" s="260">
        <v>405.01073006408825</v>
      </c>
      <c r="L62" s="16">
        <v>149</v>
      </c>
      <c r="M62" s="16">
        <v>77</v>
      </c>
      <c r="N62" s="230"/>
      <c r="O62" s="230">
        <v>63</v>
      </c>
      <c r="Q62" s="159">
        <v>59</v>
      </c>
      <c r="R62" s="159"/>
      <c r="S62" s="159">
        <v>49</v>
      </c>
      <c r="T62">
        <v>74</v>
      </c>
      <c r="U62" s="15">
        <v>0</v>
      </c>
      <c r="V62" s="15">
        <v>0</v>
      </c>
      <c r="W62" t="e">
        <v>#N/A</v>
      </c>
      <c r="X62" t="e" cm="1" vm="2">
        <f t="array" ref="X62">MAX(_xlfn._xlws.FILTER(Table22[[B365]:[BFAIREXC]], Table22[PLAYER] = A62))</f>
        <v>#VALUE!</v>
      </c>
      <c r="Y62" s="14" t="e" vm="1">
        <f>Table229[[#This Row],[BDG]]/Table229[[#This Row],[Odds]]</f>
        <v>#VALUE!</v>
      </c>
    </row>
    <row r="63" spans="1:25">
      <c r="A63" s="159" t="s">
        <v>21</v>
      </c>
      <c r="B63">
        <v>22</v>
      </c>
      <c r="C63">
        <v>175</v>
      </c>
      <c r="D63">
        <v>99</v>
      </c>
      <c r="E63">
        <v>36</v>
      </c>
      <c r="F63">
        <v>157</v>
      </c>
      <c r="G63">
        <v>155</v>
      </c>
      <c r="H63">
        <v>252</v>
      </c>
      <c r="I63" s="14">
        <v>448.02037276966917</v>
      </c>
      <c r="J63" s="259">
        <v>280.41872190436527</v>
      </c>
      <c r="K63" s="260">
        <v>450.84567317614489</v>
      </c>
      <c r="L63" s="16">
        <v>89</v>
      </c>
      <c r="M63" s="16">
        <v>45</v>
      </c>
      <c r="N63" s="16"/>
      <c r="O63" s="230">
        <v>64</v>
      </c>
      <c r="Q63" s="159">
        <v>61</v>
      </c>
      <c r="R63" s="159"/>
      <c r="S63" s="159">
        <v>65</v>
      </c>
      <c r="T63">
        <v>35</v>
      </c>
      <c r="U63" s="15" t="e">
        <v>#N/A</v>
      </c>
      <c r="V63" s="15" t="e">
        <v>#N/A</v>
      </c>
      <c r="W63" t="e">
        <v>#N/A</v>
      </c>
      <c r="X63" cm="1">
        <f t="array" ref="X63">MAX(_xlfn._xlws.FILTER(Table22[[B365]:[BFAIREXC]], Table22[PLAYER] = A63))</f>
        <v>19.100000000000001</v>
      </c>
      <c r="Y63" s="14">
        <f>Table229[[#This Row],[BDG]]/Table229[[#This Row],[Odds]]</f>
        <v>14.681608476668337</v>
      </c>
    </row>
    <row r="64" spans="1:25">
      <c r="A64" s="159" t="s">
        <v>179</v>
      </c>
      <c r="B64">
        <v>174</v>
      </c>
      <c r="C64">
        <v>3</v>
      </c>
      <c r="D64">
        <v>147</v>
      </c>
      <c r="E64">
        <v>7</v>
      </c>
      <c r="F64">
        <v>127</v>
      </c>
      <c r="G64">
        <v>113</v>
      </c>
      <c r="H64">
        <v>327</v>
      </c>
      <c r="I64" s="14">
        <v>429.77628965893336</v>
      </c>
      <c r="J64" s="259">
        <v>281.21428137630028</v>
      </c>
      <c r="K64" s="260">
        <v>396.33296096664759</v>
      </c>
      <c r="L64" s="16">
        <v>157</v>
      </c>
      <c r="M64" s="16">
        <v>83</v>
      </c>
      <c r="N64" s="230"/>
      <c r="O64" s="230">
        <v>56</v>
      </c>
      <c r="Q64" s="159">
        <v>62</v>
      </c>
      <c r="R64" s="159"/>
      <c r="S64" s="159">
        <v>47</v>
      </c>
      <c r="T64">
        <v>5</v>
      </c>
      <c r="U64" s="15" t="e">
        <v>#N/A</v>
      </c>
      <c r="V64" s="15" t="e">
        <v>#N/A</v>
      </c>
      <c r="W64" t="e">
        <v>#N/A</v>
      </c>
      <c r="X64" t="e" cm="1" vm="2">
        <f t="array" ref="X64">MAX(_xlfn._xlws.FILTER(Table22[[B365]:[BFAIREXC]], Table22[PLAYER] = A64))</f>
        <v>#VALUE!</v>
      </c>
      <c r="Y64" s="14" t="e" vm="1">
        <f>Table229[[#This Row],[BDG]]/Table229[[#This Row],[Odds]]</f>
        <v>#VALUE!</v>
      </c>
    </row>
    <row r="65" spans="1:25">
      <c r="A65" s="159" t="s">
        <v>32</v>
      </c>
      <c r="B65">
        <v>32</v>
      </c>
      <c r="C65">
        <v>134</v>
      </c>
      <c r="D65">
        <v>145</v>
      </c>
      <c r="E65">
        <v>97</v>
      </c>
      <c r="F65">
        <v>84</v>
      </c>
      <c r="G65">
        <v>137</v>
      </c>
      <c r="H65">
        <v>264.70000000000005</v>
      </c>
      <c r="I65" s="14">
        <v>453.15459838973959</v>
      </c>
      <c r="J65" s="259">
        <v>282.67793059602246</v>
      </c>
      <c r="K65" s="260">
        <v>440.41096488847364</v>
      </c>
      <c r="L65" s="16">
        <v>102</v>
      </c>
      <c r="M65" s="16">
        <v>50</v>
      </c>
      <c r="N65" s="16"/>
      <c r="O65" s="230">
        <v>68</v>
      </c>
      <c r="Q65" s="159">
        <v>63</v>
      </c>
      <c r="R65" s="159"/>
      <c r="S65" s="159">
        <v>62</v>
      </c>
      <c r="T65">
        <v>59</v>
      </c>
      <c r="U65" s="15">
        <v>0</v>
      </c>
      <c r="V65" s="15">
        <v>0</v>
      </c>
      <c r="W65" t="e">
        <v>#N/A</v>
      </c>
      <c r="X65" cm="1">
        <f t="array" ref="X65">MAX(_xlfn._xlws.FILTER(Table22[[B365]:[BFAIREXC]], Table22[PLAYER] = A65))</f>
        <v>6.5</v>
      </c>
      <c r="Y65" s="14">
        <f>Table229[[#This Row],[BDG]]/Table229[[#This Row],[Odds]]</f>
        <v>43.48891239938807</v>
      </c>
    </row>
    <row r="66" spans="1:25">
      <c r="A66" s="159" t="s">
        <v>108</v>
      </c>
      <c r="B66">
        <v>96</v>
      </c>
      <c r="C66">
        <v>162</v>
      </c>
      <c r="D66">
        <v>66</v>
      </c>
      <c r="E66">
        <v>75</v>
      </c>
      <c r="F66">
        <v>89</v>
      </c>
      <c r="G66">
        <v>81</v>
      </c>
      <c r="H66">
        <v>271.89999999999998</v>
      </c>
      <c r="I66" s="14">
        <v>375.70271927632547</v>
      </c>
      <c r="J66" s="259">
        <v>283.39104842219984</v>
      </c>
      <c r="K66" s="260">
        <v>402.80449067831142</v>
      </c>
      <c r="L66" s="16">
        <v>116</v>
      </c>
      <c r="M66" s="16">
        <v>57</v>
      </c>
      <c r="N66" s="16"/>
      <c r="O66" s="230">
        <v>48</v>
      </c>
      <c r="Q66" s="159">
        <v>64</v>
      </c>
      <c r="R66" s="159"/>
      <c r="S66" s="159">
        <v>48</v>
      </c>
      <c r="T66">
        <v>49</v>
      </c>
      <c r="U66" s="15">
        <v>0</v>
      </c>
      <c r="V66" s="15">
        <v>0</v>
      </c>
      <c r="W66" t="e">
        <v>#N/A</v>
      </c>
      <c r="X66" t="e" cm="1" vm="2">
        <f t="array" ref="X66">MAX(_xlfn._xlws.FILTER(Table22[[B365]:[BFAIREXC]], Table22[PLAYER] = A66))</f>
        <v>#VALUE!</v>
      </c>
      <c r="Y66" s="14" t="e" vm="1">
        <f>Table229[[#This Row],[BDG]]/Table229[[#This Row],[Odds]]</f>
        <v>#VALUE!</v>
      </c>
    </row>
    <row r="67" spans="1:25">
      <c r="A67" s="159" t="s">
        <v>80</v>
      </c>
      <c r="B67">
        <v>19</v>
      </c>
      <c r="C67">
        <v>98</v>
      </c>
      <c r="D67">
        <v>167</v>
      </c>
      <c r="E67">
        <v>113</v>
      </c>
      <c r="F67">
        <v>83</v>
      </c>
      <c r="G67">
        <v>140</v>
      </c>
      <c r="H67">
        <v>259.89999999999998</v>
      </c>
      <c r="I67" s="14">
        <v>457.13560414531111</v>
      </c>
      <c r="J67" s="259">
        <v>283.6234548071223</v>
      </c>
      <c r="K67" s="260">
        <v>481.5276195742498</v>
      </c>
      <c r="L67" s="16">
        <v>96</v>
      </c>
      <c r="M67" s="16">
        <v>46</v>
      </c>
      <c r="N67" s="16"/>
      <c r="O67" s="230">
        <v>70</v>
      </c>
      <c r="Q67" s="159">
        <v>65</v>
      </c>
      <c r="R67" s="159"/>
      <c r="S67" s="159">
        <v>81</v>
      </c>
      <c r="T67">
        <v>33</v>
      </c>
      <c r="U67" s="15">
        <v>0</v>
      </c>
      <c r="V67" s="15">
        <v>0</v>
      </c>
      <c r="W67" t="e">
        <v>#N/A</v>
      </c>
      <c r="X67" cm="1">
        <f t="array" ref="X67">MAX(_xlfn._xlws.FILTER(Table22[[B365]:[BFAIREXC]], Table22[PLAYER] = A67))</f>
        <v>9.23</v>
      </c>
      <c r="Y67" s="14">
        <f>Table229[[#This Row],[BDG]]/Table229[[#This Row],[Odds]]</f>
        <v>30.728434973686056</v>
      </c>
    </row>
    <row r="68" spans="1:25">
      <c r="A68" s="255" t="s">
        <v>87</v>
      </c>
      <c r="B68">
        <v>87</v>
      </c>
      <c r="C68">
        <v>66</v>
      </c>
      <c r="D68">
        <v>60</v>
      </c>
      <c r="E68">
        <v>154</v>
      </c>
      <c r="F68">
        <v>168</v>
      </c>
      <c r="G68">
        <v>112</v>
      </c>
      <c r="H68">
        <v>292.29999999999995</v>
      </c>
      <c r="I68" s="14">
        <v>435.21652463394156</v>
      </c>
      <c r="J68" s="259">
        <v>284.88642037277424</v>
      </c>
      <c r="K68" s="260">
        <v>435.21652463394156</v>
      </c>
      <c r="L68" s="16"/>
      <c r="M68" s="16">
        <v>66</v>
      </c>
      <c r="N68" s="16"/>
      <c r="O68" s="230">
        <v>58</v>
      </c>
      <c r="Q68" s="159">
        <v>66</v>
      </c>
      <c r="R68" s="159"/>
      <c r="S68" s="159">
        <v>59</v>
      </c>
      <c r="T68">
        <v>27</v>
      </c>
      <c r="U68" s="15"/>
      <c r="V68" s="15"/>
      <c r="X68" cm="1">
        <f t="array" ref="X68">MAX(_xlfn._xlws.FILTER(Table22[[B365]:[BFAIREXC]], Table22[PLAYER] = A68))</f>
        <v>13.7</v>
      </c>
      <c r="Y68" s="14">
        <f>Table229[[#This Row],[BDG]]/Table229[[#This Row],[Odds]]</f>
        <v>20.794629224290091</v>
      </c>
    </row>
    <row r="69" spans="1:25">
      <c r="A69" s="159" t="s">
        <v>8</v>
      </c>
      <c r="B69">
        <v>4</v>
      </c>
      <c r="C69">
        <v>80</v>
      </c>
      <c r="D69">
        <v>175</v>
      </c>
      <c r="E69">
        <v>101</v>
      </c>
      <c r="F69">
        <v>135</v>
      </c>
      <c r="G69">
        <v>139</v>
      </c>
      <c r="H69">
        <v>266</v>
      </c>
      <c r="I69" s="14">
        <v>464.27367729860327</v>
      </c>
      <c r="J69" s="259">
        <v>285.90683418421725</v>
      </c>
      <c r="K69" s="260">
        <v>500.81341567165941</v>
      </c>
      <c r="L69" s="16">
        <v>104</v>
      </c>
      <c r="M69" s="16">
        <v>52</v>
      </c>
      <c r="N69" s="16"/>
      <c r="O69" s="230">
        <v>73</v>
      </c>
      <c r="Q69" s="159">
        <v>67</v>
      </c>
      <c r="R69" s="159"/>
      <c r="S69" s="159">
        <v>85</v>
      </c>
      <c r="T69">
        <v>89</v>
      </c>
      <c r="U69" s="15" t="e">
        <v>#N/A</v>
      </c>
      <c r="V69" s="15" t="e">
        <v>#N/A</v>
      </c>
      <c r="W69" t="e">
        <v>#N/A</v>
      </c>
      <c r="X69" t="e" cm="1" vm="2">
        <f t="array" ref="X69">MAX(_xlfn._xlws.FILTER(Table22[[B365]:[BFAIREXC]], Table22[PLAYER] = A69))</f>
        <v>#VALUE!</v>
      </c>
      <c r="Y69" s="14" t="e" vm="1">
        <f>Table229[[#This Row],[BDG]]/Table229[[#This Row],[Odds]]</f>
        <v>#VALUE!</v>
      </c>
    </row>
    <row r="70" spans="1:25">
      <c r="A70" s="159" t="s">
        <v>177</v>
      </c>
      <c r="B70">
        <v>171</v>
      </c>
      <c r="C70">
        <v>72</v>
      </c>
      <c r="D70">
        <v>9</v>
      </c>
      <c r="E70">
        <v>26</v>
      </c>
      <c r="F70">
        <v>172</v>
      </c>
      <c r="G70">
        <v>156</v>
      </c>
      <c r="H70">
        <v>285.40000000000003</v>
      </c>
      <c r="I70" s="14">
        <v>421.3061992316853</v>
      </c>
      <c r="J70" s="259">
        <v>286.94449575567205</v>
      </c>
      <c r="K70" s="260">
        <v>440.02334224891183</v>
      </c>
      <c r="L70" s="16">
        <v>124</v>
      </c>
      <c r="M70" s="16">
        <v>63</v>
      </c>
      <c r="N70" s="16"/>
      <c r="O70" s="230">
        <v>54</v>
      </c>
      <c r="Q70" s="159">
        <v>68</v>
      </c>
      <c r="R70" s="159"/>
      <c r="S70" s="159">
        <v>61</v>
      </c>
      <c r="T70">
        <v>12</v>
      </c>
      <c r="U70" s="15">
        <v>0</v>
      </c>
      <c r="V70" s="15">
        <v>0</v>
      </c>
      <c r="W70" t="e">
        <v>#N/A</v>
      </c>
      <c r="X70" cm="1">
        <f t="array" ref="X70">MAX(_xlfn._xlws.FILTER(Table22[[B365]:[BFAIREXC]], Table22[PLAYER] = A70))</f>
        <v>13.7</v>
      </c>
      <c r="Y70" s="14">
        <f>Table229[[#This Row],[BDG]]/Table229[[#This Row],[Odds]]</f>
        <v>20.94485370479358</v>
      </c>
    </row>
    <row r="71" spans="1:25">
      <c r="A71" s="159" t="s">
        <v>156</v>
      </c>
      <c r="B71">
        <v>107</v>
      </c>
      <c r="C71">
        <v>61</v>
      </c>
      <c r="D71">
        <v>113</v>
      </c>
      <c r="E71">
        <v>32</v>
      </c>
      <c r="F71">
        <v>74</v>
      </c>
      <c r="G71">
        <v>111</v>
      </c>
      <c r="H71">
        <v>249.60000000000002</v>
      </c>
      <c r="I71" s="14">
        <v>369.40371658213843</v>
      </c>
      <c r="J71" s="259">
        <v>287.65637541975877</v>
      </c>
      <c r="K71" s="260">
        <v>440.98634392604959</v>
      </c>
      <c r="L71" s="16">
        <v>88</v>
      </c>
      <c r="M71" s="16">
        <v>44</v>
      </c>
      <c r="N71" s="16"/>
      <c r="O71" s="230">
        <v>45</v>
      </c>
      <c r="Q71" s="159">
        <v>69</v>
      </c>
      <c r="R71" s="159"/>
      <c r="S71" s="159">
        <v>63</v>
      </c>
      <c r="T71">
        <v>18</v>
      </c>
      <c r="U71" s="15">
        <v>0</v>
      </c>
      <c r="V71" s="15">
        <v>0</v>
      </c>
      <c r="W71" t="e">
        <v>#N/A</v>
      </c>
      <c r="X71" cm="1">
        <f t="array" ref="X71">MAX(_xlfn._xlws.FILTER(Table22[[B365]:[BFAIREXC]], Table22[PLAYER] = A71))</f>
        <v>12.3</v>
      </c>
      <c r="Y71" s="14">
        <f>Table229[[#This Row],[BDG]]/Table229[[#This Row],[Odds]]</f>
        <v>23.386697188598273</v>
      </c>
    </row>
    <row r="72" spans="1:25">
      <c r="A72" s="159" t="s">
        <v>79</v>
      </c>
      <c r="B72">
        <v>49</v>
      </c>
      <c r="C72">
        <v>114</v>
      </c>
      <c r="D72">
        <v>152</v>
      </c>
      <c r="E72">
        <v>163</v>
      </c>
      <c r="F72">
        <v>156</v>
      </c>
      <c r="G72">
        <v>165</v>
      </c>
      <c r="H72">
        <v>339.3</v>
      </c>
      <c r="I72" s="14">
        <v>565.44925851261519</v>
      </c>
      <c r="J72" s="259">
        <v>288.3058984668952</v>
      </c>
      <c r="K72" s="260">
        <v>435.87410037049062</v>
      </c>
      <c r="L72" s="16">
        <v>162</v>
      </c>
      <c r="M72" s="16">
        <v>87</v>
      </c>
      <c r="N72" s="230"/>
      <c r="O72" s="230">
        <v>94</v>
      </c>
      <c r="Q72" s="159">
        <v>70</v>
      </c>
      <c r="R72" s="159"/>
      <c r="S72" s="159">
        <v>60</v>
      </c>
      <c r="T72">
        <v>83</v>
      </c>
      <c r="U72" s="15">
        <v>0</v>
      </c>
      <c r="V72" s="15">
        <v>0</v>
      </c>
      <c r="W72" t="e">
        <v>#N/A</v>
      </c>
      <c r="X72" cm="1">
        <f t="array" ref="X72">MAX(_xlfn._xlws.FILTER(Table22[[B365]:[BFAIREXC]], Table22[PLAYER] = A72))</f>
        <v>10.3</v>
      </c>
      <c r="Y72" s="14">
        <f>Table229[[#This Row],[BDG]]/Table229[[#This Row],[Odds]]</f>
        <v>27.990863928824776</v>
      </c>
    </row>
    <row r="73" spans="1:25">
      <c r="A73" s="159" t="s">
        <v>182</v>
      </c>
      <c r="B73">
        <v>168</v>
      </c>
      <c r="C73">
        <v>80</v>
      </c>
      <c r="D73">
        <v>141</v>
      </c>
      <c r="E73">
        <v>17</v>
      </c>
      <c r="F73">
        <v>2</v>
      </c>
      <c r="G73">
        <v>32</v>
      </c>
      <c r="H73">
        <v>289.7</v>
      </c>
      <c r="I73" s="14">
        <v>318.33598973080495</v>
      </c>
      <c r="J73" s="259">
        <v>293.13221279038225</v>
      </c>
      <c r="K73" s="260">
        <v>370.1362601472415</v>
      </c>
      <c r="L73" s="16">
        <v>128</v>
      </c>
      <c r="M73" s="16">
        <v>65</v>
      </c>
      <c r="N73" s="16"/>
      <c r="O73" s="230">
        <v>33</v>
      </c>
      <c r="Q73" s="159">
        <v>71</v>
      </c>
      <c r="R73" s="159"/>
      <c r="S73" s="159">
        <v>40</v>
      </c>
      <c r="T73">
        <v>14</v>
      </c>
      <c r="U73" s="15">
        <v>0</v>
      </c>
      <c r="V73" s="15">
        <v>0</v>
      </c>
      <c r="W73" t="e">
        <v>#N/A</v>
      </c>
      <c r="X73" t="e" cm="1" vm="2">
        <f t="array" ref="X73">MAX(_xlfn._xlws.FILTER(Table22[[B365]:[BFAIREXC]], Table22[PLAYER] = A73))</f>
        <v>#VALUE!</v>
      </c>
      <c r="Y73" s="14" t="e" vm="1">
        <f>Table229[[#This Row],[BDG]]/Table229[[#This Row],[Odds]]</f>
        <v>#VALUE!</v>
      </c>
    </row>
    <row r="74" spans="1:25">
      <c r="A74" s="159" t="s">
        <v>89</v>
      </c>
      <c r="B74">
        <v>100</v>
      </c>
      <c r="C74">
        <v>159</v>
      </c>
      <c r="D74">
        <v>40</v>
      </c>
      <c r="E74">
        <v>22</v>
      </c>
      <c r="F74">
        <v>63</v>
      </c>
      <c r="G74">
        <v>48</v>
      </c>
      <c r="H74">
        <v>221.9</v>
      </c>
      <c r="I74" s="14">
        <v>276.43004511472333</v>
      </c>
      <c r="J74" s="259">
        <v>293.74994255386275</v>
      </c>
      <c r="K74" s="260">
        <v>426.73981849351685</v>
      </c>
      <c r="L74" s="16">
        <v>55</v>
      </c>
      <c r="M74" s="16">
        <v>28</v>
      </c>
      <c r="N74" s="16"/>
      <c r="O74" s="230">
        <v>20</v>
      </c>
      <c r="Q74" s="159">
        <v>72</v>
      </c>
      <c r="R74" s="159"/>
      <c r="S74" s="159">
        <v>55</v>
      </c>
      <c r="T74">
        <v>68</v>
      </c>
      <c r="U74" s="15">
        <v>0</v>
      </c>
      <c r="V74" s="15">
        <v>0</v>
      </c>
      <c r="W74" t="e">
        <v>#N/A</v>
      </c>
      <c r="X74" t="e" cm="1" vm="2">
        <f t="array" ref="X74">MAX(_xlfn._xlws.FILTER(Table22[[B365]:[BFAIREXC]], Table22[PLAYER] = A74))</f>
        <v>#VALUE!</v>
      </c>
      <c r="Y74" s="14" t="e" vm="1">
        <f>Table229[[#This Row],[BDG]]/Table229[[#This Row],[Odds]]</f>
        <v>#VALUE!</v>
      </c>
    </row>
    <row r="75" spans="1:25">
      <c r="A75" s="159" t="s">
        <v>13</v>
      </c>
      <c r="B75">
        <v>55</v>
      </c>
      <c r="C75">
        <v>111</v>
      </c>
      <c r="D75">
        <v>157</v>
      </c>
      <c r="E75">
        <v>150</v>
      </c>
      <c r="F75">
        <v>168</v>
      </c>
      <c r="G75">
        <v>167</v>
      </c>
      <c r="H75">
        <v>347.8</v>
      </c>
      <c r="I75" s="14">
        <v>572.96823355120262</v>
      </c>
      <c r="J75" s="259">
        <v>294.11332753284029</v>
      </c>
      <c r="K75" s="260">
        <v>456.27601725680984</v>
      </c>
      <c r="L75" s="16">
        <v>167</v>
      </c>
      <c r="M75" s="16">
        <v>92</v>
      </c>
      <c r="N75" s="230"/>
      <c r="O75" s="230">
        <v>96</v>
      </c>
      <c r="Q75" s="159">
        <v>73</v>
      </c>
      <c r="R75" s="159"/>
      <c r="S75" s="159">
        <v>69</v>
      </c>
      <c r="T75">
        <v>86</v>
      </c>
      <c r="U75" s="15">
        <v>0</v>
      </c>
      <c r="V75" s="15">
        <v>0</v>
      </c>
      <c r="W75">
        <v>-108</v>
      </c>
      <c r="X75" t="e" cm="1" vm="2">
        <f t="array" ref="X75">MAX(_xlfn._xlws.FILTER(Table22[[B365]:[BFAIREXC]], Table22[PLAYER] = A75))</f>
        <v>#VALUE!</v>
      </c>
      <c r="Y75" s="14" t="e" vm="1">
        <f>Table229[[#This Row],[BDG]]/Table229[[#This Row],[Odds]]</f>
        <v>#VALUE!</v>
      </c>
    </row>
    <row r="76" spans="1:25">
      <c r="A76" s="159" t="s">
        <v>104</v>
      </c>
      <c r="B76">
        <v>155</v>
      </c>
      <c r="C76">
        <v>158</v>
      </c>
      <c r="D76">
        <v>134</v>
      </c>
      <c r="E76">
        <v>11</v>
      </c>
      <c r="F76">
        <v>81</v>
      </c>
      <c r="G76">
        <v>92</v>
      </c>
      <c r="H76">
        <v>341.4</v>
      </c>
      <c r="I76" s="14">
        <v>441.18773395925268</v>
      </c>
      <c r="J76" s="259">
        <v>297.53632053891437</v>
      </c>
      <c r="K76" s="260">
        <v>405.52949092305528</v>
      </c>
      <c r="L76" s="16">
        <v>163</v>
      </c>
      <c r="M76" s="16">
        <v>88</v>
      </c>
      <c r="N76" s="230"/>
      <c r="O76" s="230">
        <v>61</v>
      </c>
      <c r="Q76" s="159">
        <v>74</v>
      </c>
      <c r="R76" s="159"/>
      <c r="S76" s="159">
        <v>50</v>
      </c>
      <c r="T76">
        <v>88</v>
      </c>
      <c r="U76" s="15">
        <v>0</v>
      </c>
      <c r="V76" s="15">
        <v>0</v>
      </c>
      <c r="W76">
        <v>-67</v>
      </c>
      <c r="X76" t="e" cm="1" vm="2">
        <f t="array" ref="X76">MAX(_xlfn._xlws.FILTER(Table22[[B365]:[BFAIREXC]], Table22[PLAYER] = A76))</f>
        <v>#VALUE!</v>
      </c>
      <c r="Y76" s="14" t="e" vm="1">
        <f>Table229[[#This Row],[BDG]]/Table229[[#This Row],[Odds]]</f>
        <v>#VALUE!</v>
      </c>
    </row>
    <row r="77" spans="1:25">
      <c r="A77" s="159" t="s">
        <v>489</v>
      </c>
      <c r="B77">
        <v>92</v>
      </c>
      <c r="C77">
        <v>102</v>
      </c>
      <c r="D77">
        <v>136</v>
      </c>
      <c r="E77">
        <v>93</v>
      </c>
      <c r="F77">
        <v>88</v>
      </c>
      <c r="G77">
        <v>131</v>
      </c>
      <c r="H77">
        <v>300</v>
      </c>
      <c r="I77" s="14">
        <v>463.27598459741631</v>
      </c>
      <c r="J77" s="259">
        <v>300</v>
      </c>
      <c r="K77" s="260">
        <v>463.27598459741631</v>
      </c>
      <c r="L77" s="16">
        <v>136</v>
      </c>
      <c r="M77" s="16">
        <v>68</v>
      </c>
      <c r="N77" s="230"/>
      <c r="O77" s="230">
        <v>72</v>
      </c>
      <c r="Q77" s="159">
        <v>75</v>
      </c>
      <c r="R77" s="159"/>
      <c r="S77" s="159">
        <v>73</v>
      </c>
      <c r="T77">
        <v>37</v>
      </c>
      <c r="U77" s="15">
        <v>0</v>
      </c>
      <c r="V77" s="15">
        <v>0</v>
      </c>
      <c r="W77" t="e">
        <v>#N/A</v>
      </c>
      <c r="X77" t="e" cm="1" vm="2">
        <f t="array" ref="X77">MAX(_xlfn._xlws.FILTER(Table22[[B365]:[BFAIREXC]], Table22[PLAYER] = A77))</f>
        <v>#VALUE!</v>
      </c>
      <c r="Y77" s="14" t="e" vm="1">
        <f>Table229[[#This Row],[BDG]]/Table229[[#This Row],[Odds]]</f>
        <v>#VALUE!</v>
      </c>
    </row>
    <row r="78" spans="1:25">
      <c r="A78" s="159" t="s">
        <v>71</v>
      </c>
      <c r="B78">
        <v>92</v>
      </c>
      <c r="C78">
        <v>172</v>
      </c>
      <c r="D78">
        <v>122</v>
      </c>
      <c r="E78">
        <v>91</v>
      </c>
      <c r="F78">
        <v>139</v>
      </c>
      <c r="G78">
        <v>150</v>
      </c>
      <c r="H78">
        <v>342.9</v>
      </c>
      <c r="I78" s="14">
        <v>531.33116268553044</v>
      </c>
      <c r="J78" s="259">
        <v>303.77277418964189</v>
      </c>
      <c r="K78" s="260">
        <v>472.72960045656231</v>
      </c>
      <c r="L78" s="16">
        <v>165</v>
      </c>
      <c r="M78" s="16">
        <v>90</v>
      </c>
      <c r="N78" s="230"/>
      <c r="O78" s="230">
        <v>86</v>
      </c>
      <c r="Q78" s="159">
        <v>76</v>
      </c>
      <c r="R78" s="159"/>
      <c r="S78" s="159">
        <v>80</v>
      </c>
      <c r="T78">
        <v>2</v>
      </c>
      <c r="U78" s="15">
        <v>0</v>
      </c>
      <c r="V78" s="15">
        <v>0</v>
      </c>
      <c r="W78" t="e">
        <v>#N/A</v>
      </c>
      <c r="X78" cm="1">
        <f t="array" ref="X78">MAX(_xlfn._xlws.FILTER(Table22[[B365]:[BFAIREXC]], Table22[PLAYER] = A78))</f>
        <v>46</v>
      </c>
      <c r="Y78" s="14">
        <f>Table229[[#This Row],[BDG]]/Table229[[#This Row],[Odds]]</f>
        <v>6.6037559606443894</v>
      </c>
    </row>
    <row r="79" spans="1:25">
      <c r="A79" s="255" t="s">
        <v>84</v>
      </c>
      <c r="B79">
        <v>84</v>
      </c>
      <c r="C79">
        <v>150</v>
      </c>
      <c r="D79">
        <v>81</v>
      </c>
      <c r="E79">
        <v>137</v>
      </c>
      <c r="F79">
        <v>106</v>
      </c>
      <c r="G79">
        <v>124</v>
      </c>
      <c r="H79">
        <v>315.10000000000002</v>
      </c>
      <c r="I79" s="14">
        <v>463.05225226219272</v>
      </c>
      <c r="J79" s="259">
        <v>303.85607089870763</v>
      </c>
      <c r="K79" s="260">
        <v>463.05225226219272</v>
      </c>
      <c r="L79" s="16">
        <v>147</v>
      </c>
      <c r="M79" s="16">
        <v>75</v>
      </c>
      <c r="N79" s="230"/>
      <c r="O79" s="230">
        <v>71</v>
      </c>
      <c r="Q79" s="159">
        <v>77</v>
      </c>
      <c r="R79" s="159"/>
      <c r="S79" s="159">
        <v>72</v>
      </c>
      <c r="T79">
        <v>26</v>
      </c>
      <c r="U79" s="15">
        <v>0</v>
      </c>
      <c r="V79" s="15">
        <v>0</v>
      </c>
      <c r="W79" t="e">
        <v>#N/A</v>
      </c>
      <c r="X79" cm="1">
        <f t="array" ref="X79">MAX(_xlfn._xlws.FILTER(Table22[[B365]:[BFAIREXC]], Table22[PLAYER] = A79))</f>
        <v>19.600000000000001</v>
      </c>
      <c r="Y79" s="14">
        <f>Table229[[#This Row],[BDG]]/Table229[[#This Row],[Odds]]</f>
        <v>15.502860760138143</v>
      </c>
    </row>
    <row r="80" spans="1:25">
      <c r="A80" s="159" t="s">
        <v>554</v>
      </c>
      <c r="B80">
        <v>175</v>
      </c>
      <c r="C80">
        <v>4</v>
      </c>
      <c r="D80">
        <v>39</v>
      </c>
      <c r="E80">
        <v>175</v>
      </c>
      <c r="F80">
        <v>95</v>
      </c>
      <c r="G80">
        <v>160</v>
      </c>
      <c r="H80">
        <v>303.89999999999998</v>
      </c>
      <c r="I80" s="14">
        <v>466.66104198697377</v>
      </c>
      <c r="J80" s="259">
        <v>303.89999999999998</v>
      </c>
      <c r="K80" s="260">
        <v>466.66104198697377</v>
      </c>
      <c r="L80" s="16">
        <v>140</v>
      </c>
      <c r="M80" s="16">
        <v>71</v>
      </c>
      <c r="N80" s="230"/>
      <c r="O80" s="230">
        <v>76</v>
      </c>
      <c r="Q80" s="159">
        <v>78</v>
      </c>
      <c r="R80" s="159"/>
      <c r="S80" s="159">
        <v>77</v>
      </c>
      <c r="T80">
        <v>48</v>
      </c>
      <c r="U80" s="15">
        <v>0</v>
      </c>
      <c r="V80" s="15">
        <v>0</v>
      </c>
      <c r="W80" t="e">
        <v>#N/A</v>
      </c>
      <c r="X80" t="e" cm="1" vm="2">
        <f t="array" ref="X80">MAX(_xlfn._xlws.FILTER(Table22[[B365]:[BFAIREXC]], Table22[PLAYER] = A80))</f>
        <v>#VALUE!</v>
      </c>
      <c r="Y80" s="14" t="e" vm="1">
        <f>Table229[[#This Row],[BDG]]/Table229[[#This Row],[Odds]]</f>
        <v>#VALUE!</v>
      </c>
    </row>
    <row r="81" spans="1:25">
      <c r="A81" s="159" t="s">
        <v>116</v>
      </c>
      <c r="B81">
        <v>121</v>
      </c>
      <c r="C81">
        <v>14</v>
      </c>
      <c r="D81">
        <v>126</v>
      </c>
      <c r="E81">
        <v>70</v>
      </c>
      <c r="F81">
        <v>142</v>
      </c>
      <c r="G81">
        <v>112</v>
      </c>
      <c r="H81">
        <v>301.7</v>
      </c>
      <c r="I81" s="14">
        <v>425.60703436647816</v>
      </c>
      <c r="J81" s="259">
        <v>306.09323237168934</v>
      </c>
      <c r="K81" s="260">
        <v>462.0586564865431</v>
      </c>
      <c r="L81" s="16">
        <v>138</v>
      </c>
      <c r="M81" s="16">
        <v>70</v>
      </c>
      <c r="N81" s="230"/>
      <c r="O81" s="230">
        <v>55</v>
      </c>
      <c r="Q81" s="159">
        <v>79</v>
      </c>
      <c r="R81" s="159"/>
      <c r="S81" s="159">
        <v>71</v>
      </c>
      <c r="T81">
        <v>67</v>
      </c>
      <c r="U81" s="15">
        <v>0</v>
      </c>
      <c r="V81" s="15">
        <v>0</v>
      </c>
      <c r="W81" t="e">
        <v>#N/A</v>
      </c>
      <c r="X81" cm="1">
        <f t="array" ref="X81">MAX(_xlfn._xlws.FILTER(Table22[[B365]:[BFAIREXC]], Table22[PLAYER] = A81))</f>
        <v>8.06</v>
      </c>
      <c r="Y81" s="14">
        <f>Table229[[#This Row],[BDG]]/Table229[[#This Row],[Odds]]</f>
        <v>37.976827837678577</v>
      </c>
    </row>
    <row r="82" spans="1:25">
      <c r="A82" s="159" t="s">
        <v>486</v>
      </c>
      <c r="B82">
        <v>44</v>
      </c>
      <c r="C82">
        <v>90</v>
      </c>
      <c r="D82">
        <v>127</v>
      </c>
      <c r="E82">
        <v>171</v>
      </c>
      <c r="F82">
        <v>151</v>
      </c>
      <c r="G82">
        <v>163</v>
      </c>
      <c r="H82">
        <v>308.39999999999998</v>
      </c>
      <c r="I82" s="14">
        <v>528.41217770899857</v>
      </c>
      <c r="J82" s="259">
        <v>308.39999999999998</v>
      </c>
      <c r="K82" s="260">
        <v>528.41217770899857</v>
      </c>
      <c r="L82" s="16">
        <v>144</v>
      </c>
      <c r="M82" s="16">
        <v>73</v>
      </c>
      <c r="N82" s="230"/>
      <c r="O82" s="230">
        <v>84</v>
      </c>
      <c r="Q82" s="159">
        <v>80</v>
      </c>
      <c r="R82" s="159"/>
      <c r="S82" s="159">
        <v>90</v>
      </c>
      <c r="T82">
        <v>55</v>
      </c>
      <c r="U82" s="15">
        <v>0</v>
      </c>
      <c r="V82" s="15">
        <v>0</v>
      </c>
      <c r="W82" t="e">
        <v>#N/A</v>
      </c>
      <c r="X82" cm="1">
        <f t="array" ref="X82">MAX(_xlfn._xlws.FILTER(Table22[[B365]:[BFAIREXC]], Table22[PLAYER] = A82))</f>
        <v>15.2</v>
      </c>
      <c r="Y82" s="14">
        <f>Table229[[#This Row],[BDG]]/Table229[[#This Row],[Odds]]</f>
        <v>20.289473684210527</v>
      </c>
    </row>
    <row r="83" spans="1:25">
      <c r="A83" s="159" t="s">
        <v>410</v>
      </c>
      <c r="B83">
        <v>90</v>
      </c>
      <c r="C83">
        <v>102</v>
      </c>
      <c r="D83">
        <v>123</v>
      </c>
      <c r="E83">
        <v>135</v>
      </c>
      <c r="F83">
        <v>94</v>
      </c>
      <c r="G83">
        <v>145</v>
      </c>
      <c r="H83">
        <v>308.89999999999998</v>
      </c>
      <c r="I83" s="14">
        <v>492.60945102444754</v>
      </c>
      <c r="J83" s="259">
        <v>308.89999999999998</v>
      </c>
      <c r="K83" s="260">
        <v>492.60945102444754</v>
      </c>
      <c r="L83" s="16">
        <v>145</v>
      </c>
      <c r="M83" s="16">
        <v>74</v>
      </c>
      <c r="N83" s="230"/>
      <c r="O83" s="230">
        <v>79</v>
      </c>
      <c r="Q83" s="159">
        <v>81</v>
      </c>
      <c r="R83" s="159"/>
      <c r="S83" s="159">
        <v>83</v>
      </c>
      <c r="T83">
        <v>7</v>
      </c>
      <c r="U83" s="15" t="e">
        <v>#N/A</v>
      </c>
      <c r="V83" s="15" t="e">
        <v>#N/A</v>
      </c>
      <c r="W83" t="e">
        <v>#N/A</v>
      </c>
      <c r="X83" t="e" cm="1" vm="2">
        <f t="array" ref="X83">MAX(_xlfn._xlws.FILTER(Table22[[B365]:[BFAIREXC]], Table22[PLAYER] = A83))</f>
        <v>#VALUE!</v>
      </c>
      <c r="Y83" s="14" t="e" vm="1">
        <f>Table229[[#This Row],[BDG]]/Table229[[#This Row],[Odds]]</f>
        <v>#VALUE!</v>
      </c>
    </row>
    <row r="84" spans="1:25">
      <c r="A84" s="159" t="s">
        <v>142</v>
      </c>
      <c r="B84">
        <v>146</v>
      </c>
      <c r="C84">
        <v>143</v>
      </c>
      <c r="D84">
        <v>110</v>
      </c>
      <c r="E84">
        <v>45</v>
      </c>
      <c r="F84">
        <v>34</v>
      </c>
      <c r="G84">
        <v>126</v>
      </c>
      <c r="H84">
        <v>300.60000000000002</v>
      </c>
      <c r="I84" s="14">
        <v>436.00619249518303</v>
      </c>
      <c r="J84" s="259">
        <v>317.05746032988304</v>
      </c>
      <c r="K84" s="260">
        <v>464.32685116473249</v>
      </c>
      <c r="L84" s="16">
        <v>137</v>
      </c>
      <c r="M84" s="16">
        <v>69</v>
      </c>
      <c r="N84" s="230"/>
      <c r="O84" s="230">
        <v>59</v>
      </c>
      <c r="Q84" s="159">
        <v>82</v>
      </c>
      <c r="R84" s="159"/>
      <c r="S84" s="159">
        <v>75</v>
      </c>
      <c r="T84">
        <v>31</v>
      </c>
      <c r="U84" s="15">
        <v>0</v>
      </c>
      <c r="V84" s="15">
        <v>0</v>
      </c>
      <c r="W84" t="e">
        <v>#N/A</v>
      </c>
      <c r="X84" t="e" cm="1" vm="2">
        <f t="array" ref="X84">MAX(_xlfn._xlws.FILTER(Table22[[B365]:[BFAIREXC]], Table22[PLAYER] = A84))</f>
        <v>#VALUE!</v>
      </c>
      <c r="Y84" s="14" t="e" vm="1">
        <f>Table229[[#This Row],[BDG]]/Table229[[#This Row],[Odds]]</f>
        <v>#VALUE!</v>
      </c>
    </row>
    <row r="85" spans="1:25">
      <c r="A85" s="159" t="s">
        <v>381</v>
      </c>
      <c r="B85">
        <v>162</v>
      </c>
      <c r="C85">
        <v>55</v>
      </c>
      <c r="D85">
        <v>158</v>
      </c>
      <c r="E85">
        <v>113</v>
      </c>
      <c r="F85">
        <v>147</v>
      </c>
      <c r="G85">
        <v>159</v>
      </c>
      <c r="H85">
        <v>397.09999999999997</v>
      </c>
      <c r="I85" s="14">
        <v>576.53623745729078</v>
      </c>
      <c r="J85" s="259">
        <v>318.82495510254159</v>
      </c>
      <c r="K85" s="260">
        <v>468.92824222864715</v>
      </c>
      <c r="L85" s="16">
        <v>176</v>
      </c>
      <c r="M85" s="16">
        <v>98</v>
      </c>
      <c r="N85" s="230"/>
      <c r="O85" s="230">
        <v>98</v>
      </c>
      <c r="Q85" s="159">
        <v>83</v>
      </c>
      <c r="R85" s="159"/>
      <c r="S85" s="159">
        <v>79</v>
      </c>
      <c r="T85">
        <v>46</v>
      </c>
      <c r="U85" s="15">
        <v>0</v>
      </c>
      <c r="V85" s="15">
        <v>0</v>
      </c>
      <c r="W85" t="e">
        <v>#N/A</v>
      </c>
      <c r="X85" t="e" cm="1" vm="2">
        <f t="array" ref="X85">MAX(_xlfn._xlws.FILTER(Table22[[B365]:[BFAIREXC]], Table22[PLAYER] = A85))</f>
        <v>#VALUE!</v>
      </c>
      <c r="Y85" s="14" t="e" vm="1">
        <f>Table229[[#This Row],[BDG]]/Table229[[#This Row],[Odds]]</f>
        <v>#VALUE!</v>
      </c>
    </row>
    <row r="86" spans="1:25">
      <c r="A86" s="159" t="s">
        <v>495</v>
      </c>
      <c r="B86">
        <v>63</v>
      </c>
      <c r="C86">
        <v>146</v>
      </c>
      <c r="D86">
        <v>174</v>
      </c>
      <c r="E86">
        <v>155</v>
      </c>
      <c r="F86">
        <v>40</v>
      </c>
      <c r="G86">
        <v>153</v>
      </c>
      <c r="H86">
        <v>318.89999999999998</v>
      </c>
      <c r="I86" s="14">
        <v>532.05604366384546</v>
      </c>
      <c r="J86" s="259">
        <v>318.89999999999998</v>
      </c>
      <c r="K86" s="260">
        <v>532.05604366384546</v>
      </c>
      <c r="L86" s="16">
        <v>151</v>
      </c>
      <c r="M86" s="16">
        <v>78</v>
      </c>
      <c r="N86" s="230"/>
      <c r="O86" s="230">
        <v>87</v>
      </c>
      <c r="Q86" s="159">
        <v>84</v>
      </c>
      <c r="R86" s="159"/>
      <c r="S86" s="159">
        <v>92</v>
      </c>
      <c r="T86">
        <v>43</v>
      </c>
      <c r="U86" s="15">
        <v>0</v>
      </c>
      <c r="V86" s="15">
        <v>0</v>
      </c>
      <c r="W86" t="e">
        <v>#N/A</v>
      </c>
      <c r="X86" cm="1">
        <f t="array" ref="X86">MAX(_xlfn._xlws.FILTER(Table22[[B365]:[BFAIREXC]], Table22[PLAYER] = A86))</f>
        <v>8.25</v>
      </c>
      <c r="Y86" s="14">
        <f>Table229[[#This Row],[BDG]]/Table229[[#This Row],[Odds]]</f>
        <v>38.654545454545449</v>
      </c>
    </row>
    <row r="87" spans="1:25">
      <c r="A87" s="159" t="s">
        <v>444</v>
      </c>
      <c r="B87">
        <v>128</v>
      </c>
      <c r="C87">
        <v>146</v>
      </c>
      <c r="D87">
        <v>92</v>
      </c>
      <c r="E87">
        <v>1</v>
      </c>
      <c r="F87">
        <v>166</v>
      </c>
      <c r="G87">
        <v>138</v>
      </c>
      <c r="H87">
        <v>321.39999999999998</v>
      </c>
      <c r="I87" s="14">
        <v>465.67973514982612</v>
      </c>
      <c r="J87" s="259">
        <v>321.39999999999998</v>
      </c>
      <c r="K87" s="260">
        <v>465.67973514982612</v>
      </c>
      <c r="L87" s="16">
        <v>152</v>
      </c>
      <c r="M87" s="16">
        <v>79</v>
      </c>
      <c r="N87" s="230"/>
      <c r="O87" s="230">
        <v>75</v>
      </c>
      <c r="Q87" s="159">
        <v>85</v>
      </c>
      <c r="R87" s="159"/>
      <c r="S87" s="159">
        <v>76</v>
      </c>
      <c r="T87">
        <v>8</v>
      </c>
      <c r="U87" s="15" t="e">
        <v>#N/A</v>
      </c>
      <c r="V87" s="15" t="e">
        <v>#N/A</v>
      </c>
      <c r="W87" t="e">
        <v>#N/A</v>
      </c>
      <c r="X87" cm="1">
        <f t="array" ref="X87">MAX(_xlfn._xlws.FILTER(Table22[[B365]:[BFAIREXC]], Table22[PLAYER] = A87))</f>
        <v>28</v>
      </c>
      <c r="Y87" s="14">
        <f>Table229[[#This Row],[BDG]]/Table229[[#This Row],[Odds]]</f>
        <v>11.478571428571428</v>
      </c>
    </row>
    <row r="88" spans="1:25">
      <c r="A88" s="159" t="s">
        <v>496</v>
      </c>
      <c r="B88">
        <v>126</v>
      </c>
      <c r="C88">
        <v>55</v>
      </c>
      <c r="D88">
        <v>131</v>
      </c>
      <c r="E88">
        <v>156</v>
      </c>
      <c r="F88">
        <v>66</v>
      </c>
      <c r="G88">
        <v>115</v>
      </c>
      <c r="H88">
        <v>322.5</v>
      </c>
      <c r="I88" s="14">
        <v>467.53773093354073</v>
      </c>
      <c r="J88" s="259">
        <v>322.5</v>
      </c>
      <c r="K88" s="260">
        <v>467.53773093354073</v>
      </c>
      <c r="L88" s="16">
        <v>153</v>
      </c>
      <c r="M88" s="16">
        <v>80</v>
      </c>
      <c r="N88" s="230"/>
      <c r="O88" s="230">
        <v>77</v>
      </c>
      <c r="Q88" s="159">
        <v>86</v>
      </c>
      <c r="R88" s="159"/>
      <c r="S88" s="159">
        <v>78</v>
      </c>
      <c r="T88">
        <v>70</v>
      </c>
      <c r="U88" s="15">
        <v>0</v>
      </c>
      <c r="V88" s="15">
        <v>0</v>
      </c>
      <c r="W88" t="e">
        <v>#N/A</v>
      </c>
      <c r="X88" cm="1">
        <f t="array" ref="X88">MAX(_xlfn._xlws.FILTER(Table22[[B365]:[BFAIREXC]], Table22[PLAYER] = A88))</f>
        <v>7.86</v>
      </c>
      <c r="Y88" s="14">
        <f>Table229[[#This Row],[BDG]]/Table229[[#This Row],[Odds]]</f>
        <v>41.030534351145036</v>
      </c>
    </row>
    <row r="89" spans="1:25">
      <c r="A89" s="159" t="s">
        <v>494</v>
      </c>
      <c r="B89">
        <v>86</v>
      </c>
      <c r="C89">
        <v>95</v>
      </c>
      <c r="D89">
        <v>156</v>
      </c>
      <c r="E89">
        <v>109</v>
      </c>
      <c r="F89">
        <v>110</v>
      </c>
      <c r="G89">
        <v>144</v>
      </c>
      <c r="H89">
        <v>323.2</v>
      </c>
      <c r="I89" s="14">
        <v>507.04678813094063</v>
      </c>
      <c r="J89" s="259">
        <v>323.2</v>
      </c>
      <c r="K89" s="260">
        <v>507.04678813094063</v>
      </c>
      <c r="L89" s="16">
        <v>154</v>
      </c>
      <c r="M89" s="16">
        <v>81</v>
      </c>
      <c r="N89" s="230"/>
      <c r="O89" s="230">
        <v>81</v>
      </c>
      <c r="Q89" s="159">
        <v>87</v>
      </c>
      <c r="R89" s="159"/>
      <c r="S89" s="159">
        <v>86</v>
      </c>
      <c r="T89">
        <v>25</v>
      </c>
      <c r="U89" s="15">
        <v>0</v>
      </c>
      <c r="V89" s="15">
        <v>0</v>
      </c>
      <c r="W89" t="e">
        <v>#N/A</v>
      </c>
      <c r="X89" t="e" cm="1" vm="2">
        <f t="array" ref="X89">MAX(_xlfn._xlws.FILTER(Table22[[B365]:[BFAIREXC]], Table22[PLAYER] = A89))</f>
        <v>#VALUE!</v>
      </c>
      <c r="Y89" s="14" t="e" vm="1">
        <f>Table229[[#This Row],[BDG]]/Table229[[#This Row],[Odds]]</f>
        <v>#VALUE!</v>
      </c>
    </row>
    <row r="90" spans="1:25">
      <c r="A90" s="159" t="s">
        <v>552</v>
      </c>
      <c r="B90">
        <v>82</v>
      </c>
      <c r="C90">
        <v>153</v>
      </c>
      <c r="D90">
        <v>69</v>
      </c>
      <c r="E90">
        <v>137</v>
      </c>
      <c r="F90">
        <v>174</v>
      </c>
      <c r="G90">
        <v>172</v>
      </c>
      <c r="H90">
        <v>325.10000000000002</v>
      </c>
      <c r="I90" s="14">
        <v>536.77769958253293</v>
      </c>
      <c r="J90" s="259">
        <v>325.10000000000002</v>
      </c>
      <c r="K90" s="260">
        <v>536.77769958253293</v>
      </c>
      <c r="L90" s="16">
        <v>156</v>
      </c>
      <c r="M90" s="16">
        <v>82</v>
      </c>
      <c r="N90" s="230"/>
      <c r="O90" s="230">
        <v>88</v>
      </c>
      <c r="Q90" s="159">
        <v>88</v>
      </c>
      <c r="R90" s="159"/>
      <c r="S90" s="159">
        <v>93</v>
      </c>
      <c r="T90">
        <v>57</v>
      </c>
      <c r="U90" s="15">
        <v>0</v>
      </c>
      <c r="V90" s="15">
        <v>0</v>
      </c>
      <c r="W90" t="e">
        <v>#N/A</v>
      </c>
      <c r="X90" t="e" cm="1" vm="2">
        <f t="array" ref="X90">MAX(_xlfn._xlws.FILTER(Table22[[B365]:[BFAIREXC]], Table22[PLAYER] = A90))</f>
        <v>#VALUE!</v>
      </c>
      <c r="Y90" s="14" t="e" vm="1">
        <f>Table229[[#This Row],[BDG]]/Table229[[#This Row],[Odds]]</f>
        <v>#VALUE!</v>
      </c>
    </row>
    <row r="91" spans="1:25">
      <c r="A91" s="159" t="s">
        <v>163</v>
      </c>
      <c r="B91">
        <v>163</v>
      </c>
      <c r="C91">
        <v>95</v>
      </c>
      <c r="D91">
        <v>91</v>
      </c>
      <c r="E91">
        <v>167</v>
      </c>
      <c r="F91">
        <v>167</v>
      </c>
      <c r="G91">
        <v>170</v>
      </c>
      <c r="H91">
        <v>398.7</v>
      </c>
      <c r="I91" s="14">
        <v>592.89047018946326</v>
      </c>
      <c r="J91" s="259">
        <v>326.00573309970315</v>
      </c>
      <c r="K91" s="260">
        <v>492.1754086594342</v>
      </c>
      <c r="L91" s="16">
        <v>177</v>
      </c>
      <c r="M91" s="16">
        <v>99</v>
      </c>
      <c r="N91" s="230"/>
      <c r="O91" s="230">
        <v>99</v>
      </c>
      <c r="Q91" s="159">
        <v>89</v>
      </c>
      <c r="R91" s="159"/>
      <c r="S91" s="159">
        <v>82</v>
      </c>
      <c r="T91">
        <v>9</v>
      </c>
      <c r="U91" s="15" t="e">
        <v>#N/A</v>
      </c>
      <c r="V91" s="15" t="e">
        <v>#N/A</v>
      </c>
      <c r="W91" t="e">
        <v>#N/A</v>
      </c>
      <c r="X91" cm="1">
        <f t="array" ref="X91">MAX(_xlfn._xlws.FILTER(Table22[[B365]:[BFAIREXC]], Table22[PLAYER] = A91))</f>
        <v>16.7</v>
      </c>
      <c r="Y91" s="14">
        <f>Table229[[#This Row],[BDG]]/Table229[[#This Row],[Odds]]</f>
        <v>19.521301383215757</v>
      </c>
    </row>
    <row r="92" spans="1:25">
      <c r="A92" s="159" t="s">
        <v>160</v>
      </c>
      <c r="B92">
        <v>127</v>
      </c>
      <c r="C92">
        <v>126</v>
      </c>
      <c r="D92">
        <v>64</v>
      </c>
      <c r="E92">
        <v>138</v>
      </c>
      <c r="F92">
        <v>165</v>
      </c>
      <c r="G92">
        <v>158</v>
      </c>
      <c r="H92">
        <v>347.2</v>
      </c>
      <c r="I92" s="14">
        <v>530.88162144169337</v>
      </c>
      <c r="J92" s="259">
        <v>334.9401359127545</v>
      </c>
      <c r="K92" s="260">
        <v>520.01973615020279</v>
      </c>
      <c r="L92" s="16">
        <v>166</v>
      </c>
      <c r="M92" s="16">
        <v>91</v>
      </c>
      <c r="N92" s="230"/>
      <c r="O92" s="230">
        <v>85</v>
      </c>
      <c r="Q92" s="159">
        <v>90</v>
      </c>
      <c r="R92" s="159"/>
      <c r="S92" s="159">
        <v>89</v>
      </c>
      <c r="T92">
        <v>29</v>
      </c>
      <c r="U92" s="15">
        <v>0</v>
      </c>
      <c r="V92" s="15">
        <v>0</v>
      </c>
      <c r="W92" t="e">
        <v>#N/A</v>
      </c>
      <c r="X92" cm="1">
        <f t="array" ref="X92">MAX(_xlfn._xlws.FILTER(Table22[[B365]:[BFAIREXC]], Table22[PLAYER] = A92))</f>
        <v>17.2</v>
      </c>
      <c r="Y92" s="14">
        <f>Table229[[#This Row],[BDG]]/Table229[[#This Row],[Odds]]</f>
        <v>19.473263715857822</v>
      </c>
    </row>
    <row r="93" spans="1:25">
      <c r="A93" s="159" t="s">
        <v>419</v>
      </c>
      <c r="B93">
        <v>165</v>
      </c>
      <c r="C93">
        <v>39</v>
      </c>
      <c r="D93">
        <v>121</v>
      </c>
      <c r="E93">
        <v>162</v>
      </c>
      <c r="F93">
        <v>47</v>
      </c>
      <c r="G93">
        <v>141</v>
      </c>
      <c r="H93">
        <v>337.09999999999997</v>
      </c>
      <c r="I93" s="14">
        <v>496.51044724006067</v>
      </c>
      <c r="J93" s="259">
        <v>337.09999999999997</v>
      </c>
      <c r="K93" s="260">
        <v>496.51044724006067</v>
      </c>
      <c r="L93" s="16">
        <v>161</v>
      </c>
      <c r="M93" s="16">
        <v>86</v>
      </c>
      <c r="N93" s="230"/>
      <c r="O93" s="230">
        <v>80</v>
      </c>
      <c r="Q93" s="159">
        <v>91</v>
      </c>
      <c r="R93" s="159"/>
      <c r="S93" s="159">
        <v>84</v>
      </c>
      <c r="T93">
        <v>50</v>
      </c>
      <c r="U93" s="15">
        <v>0</v>
      </c>
      <c r="V93" s="15">
        <v>0</v>
      </c>
      <c r="W93" t="e">
        <v>#N/A</v>
      </c>
      <c r="X93" cm="1">
        <f t="array" ref="X93">MAX(_xlfn._xlws.FILTER(Table22[[B365]:[BFAIREXC]], Table22[PLAYER] = A93))</f>
        <v>15.7</v>
      </c>
      <c r="Y93" s="14">
        <f>Table229[[#This Row],[BDG]]/Table229[[#This Row],[Odds]]</f>
        <v>21.471337579617835</v>
      </c>
    </row>
    <row r="94" spans="1:25">
      <c r="A94" s="159" t="s">
        <v>107</v>
      </c>
      <c r="B94">
        <v>87</v>
      </c>
      <c r="C94">
        <v>123</v>
      </c>
      <c r="D94">
        <v>117</v>
      </c>
      <c r="E94">
        <v>103</v>
      </c>
      <c r="F94">
        <v>37</v>
      </c>
      <c r="G94">
        <v>101</v>
      </c>
      <c r="H94">
        <v>269.09999999999997</v>
      </c>
      <c r="I94" s="14">
        <v>403.05263889790058</v>
      </c>
      <c r="J94" s="259">
        <v>341.19706187477027</v>
      </c>
      <c r="K94" s="260">
        <v>529.45766022105545</v>
      </c>
      <c r="L94" s="16">
        <v>114</v>
      </c>
      <c r="M94" s="16">
        <v>56</v>
      </c>
      <c r="N94" s="16"/>
      <c r="O94" s="230">
        <v>52</v>
      </c>
      <c r="Q94" s="159">
        <v>92</v>
      </c>
      <c r="R94" s="159"/>
      <c r="S94" s="159">
        <v>91</v>
      </c>
      <c r="T94">
        <v>3</v>
      </c>
      <c r="U94" s="15">
        <v>0</v>
      </c>
      <c r="V94" s="15">
        <v>0</v>
      </c>
      <c r="W94" t="e">
        <v>#N/A</v>
      </c>
      <c r="X94" cm="1">
        <f t="array" ref="X94">MAX(_xlfn._xlws.FILTER(Table22[[B365]:[BFAIREXC]], Table22[PLAYER] = A94))</f>
        <v>16.2</v>
      </c>
      <c r="Y94" s="14">
        <f>Table229[[#This Row],[BDG]]/Table229[[#This Row],[Odds]]</f>
        <v>21.061547029306809</v>
      </c>
    </row>
    <row r="95" spans="1:25">
      <c r="A95" s="159" t="s">
        <v>401</v>
      </c>
      <c r="B95">
        <v>34</v>
      </c>
      <c r="C95">
        <v>138</v>
      </c>
      <c r="D95">
        <v>164</v>
      </c>
      <c r="E95">
        <v>141</v>
      </c>
      <c r="F95">
        <v>170</v>
      </c>
      <c r="G95">
        <v>169</v>
      </c>
      <c r="H95">
        <v>342</v>
      </c>
      <c r="I95" s="14">
        <v>576.31135367765239</v>
      </c>
      <c r="J95" s="259">
        <v>342</v>
      </c>
      <c r="K95" s="260">
        <v>576.31135367765239</v>
      </c>
      <c r="L95" s="16">
        <v>164</v>
      </c>
      <c r="M95" s="16">
        <v>89</v>
      </c>
      <c r="N95" s="230"/>
      <c r="O95" s="230">
        <v>97</v>
      </c>
      <c r="Q95" s="159">
        <v>93</v>
      </c>
      <c r="R95" s="159"/>
      <c r="S95" s="159">
        <v>98</v>
      </c>
      <c r="T95">
        <v>40</v>
      </c>
      <c r="U95" s="15">
        <v>0</v>
      </c>
      <c r="V95" s="15">
        <v>0</v>
      </c>
      <c r="W95" t="e">
        <v>#N/A</v>
      </c>
      <c r="X95" cm="1">
        <f t="array" ref="X95">MAX(_xlfn._xlws.FILTER(Table22[[B365]:[BFAIREXC]], Table22[PLAYER] = A95))</f>
        <v>27</v>
      </c>
      <c r="Y95" s="14">
        <f>Table229[[#This Row],[BDG]]/Table229[[#This Row],[Odds]]</f>
        <v>12.666666666666666</v>
      </c>
    </row>
    <row r="96" spans="1:25">
      <c r="A96" s="159" t="s">
        <v>148</v>
      </c>
      <c r="B96">
        <v>157</v>
      </c>
      <c r="C96">
        <v>102</v>
      </c>
      <c r="D96">
        <v>172</v>
      </c>
      <c r="E96">
        <v>121</v>
      </c>
      <c r="F96">
        <v>44</v>
      </c>
      <c r="G96">
        <v>157</v>
      </c>
      <c r="H96">
        <v>372.9</v>
      </c>
      <c r="I96" s="14">
        <v>557.33674474902921</v>
      </c>
      <c r="J96" s="259">
        <v>347.69382926743253</v>
      </c>
      <c r="K96" s="260">
        <v>514.30574855279667</v>
      </c>
      <c r="L96" s="16">
        <v>175</v>
      </c>
      <c r="M96" s="16">
        <v>97</v>
      </c>
      <c r="N96" s="230"/>
      <c r="O96" s="230">
        <v>93</v>
      </c>
      <c r="Q96" s="159">
        <v>94</v>
      </c>
      <c r="R96" s="159"/>
      <c r="S96" s="159">
        <v>88</v>
      </c>
      <c r="T96">
        <v>24</v>
      </c>
      <c r="U96" s="15">
        <v>0</v>
      </c>
      <c r="V96" s="15">
        <v>0</v>
      </c>
      <c r="W96" t="e">
        <v>#N/A</v>
      </c>
      <c r="X96" cm="1">
        <f t="array" ref="X96">MAX(_xlfn._xlws.FILTER(Table22[[B365]:[BFAIREXC]], Table22[PLAYER] = A96))</f>
        <v>8.06</v>
      </c>
      <c r="Y96" s="14">
        <f>Table229[[#This Row],[BDG]]/Table229[[#This Row],[Odds]]</f>
        <v>43.138192216803041</v>
      </c>
    </row>
    <row r="97" spans="1:25">
      <c r="A97" s="159" t="s">
        <v>37</v>
      </c>
      <c r="B97">
        <v>113</v>
      </c>
      <c r="C97">
        <v>174</v>
      </c>
      <c r="D97">
        <v>170</v>
      </c>
      <c r="E97">
        <v>151</v>
      </c>
      <c r="F97">
        <v>12</v>
      </c>
      <c r="G97">
        <v>160</v>
      </c>
      <c r="H97">
        <v>356.70000000000005</v>
      </c>
      <c r="I97" s="14">
        <v>566.20815507727889</v>
      </c>
      <c r="J97" s="259">
        <v>355.64974288614303</v>
      </c>
      <c r="K97" s="260">
        <v>590.89512340751867</v>
      </c>
      <c r="L97" s="16">
        <v>169</v>
      </c>
      <c r="M97" s="16">
        <v>93</v>
      </c>
      <c r="N97" s="230"/>
      <c r="O97" s="230">
        <v>95</v>
      </c>
      <c r="Q97" s="159">
        <v>95</v>
      </c>
      <c r="R97" s="159"/>
      <c r="S97" s="159">
        <v>99</v>
      </c>
      <c r="T97">
        <v>4</v>
      </c>
      <c r="U97" s="15">
        <v>0</v>
      </c>
      <c r="V97" s="15">
        <v>0</v>
      </c>
      <c r="W97" t="e">
        <v>#N/A</v>
      </c>
      <c r="X97" cm="1">
        <f t="array" ref="X97">MAX(_xlfn._xlws.FILTER(Table22[[B365]:[BFAIREXC]], Table22[PLAYER] = A97))</f>
        <v>39</v>
      </c>
      <c r="Y97" s="14">
        <f>Table229[[#This Row],[BDG]]/Table229[[#This Row],[Odds]]</f>
        <v>9.1192241765677693</v>
      </c>
    </row>
    <row r="98" spans="1:25">
      <c r="A98" s="159" t="s">
        <v>103</v>
      </c>
      <c r="B98">
        <v>148</v>
      </c>
      <c r="C98">
        <v>34</v>
      </c>
      <c r="D98">
        <v>149</v>
      </c>
      <c r="E98">
        <v>132</v>
      </c>
      <c r="F98">
        <v>48</v>
      </c>
      <c r="G98">
        <v>116</v>
      </c>
      <c r="H98">
        <v>327.90000000000003</v>
      </c>
      <c r="I98" s="14">
        <v>464.61693884997203</v>
      </c>
      <c r="J98" s="259">
        <v>359.13313639247883</v>
      </c>
      <c r="K98" s="260">
        <v>555.56316631721768</v>
      </c>
      <c r="L98" s="16">
        <v>158</v>
      </c>
      <c r="M98" s="16">
        <v>84</v>
      </c>
      <c r="N98" s="230"/>
      <c r="O98" s="230">
        <v>74</v>
      </c>
      <c r="Q98" s="159">
        <v>96</v>
      </c>
      <c r="R98" s="159"/>
      <c r="S98" s="159">
        <v>97</v>
      </c>
      <c r="T98">
        <v>39</v>
      </c>
      <c r="U98" s="15">
        <v>0</v>
      </c>
      <c r="V98" s="15">
        <v>0</v>
      </c>
      <c r="W98">
        <v>-91</v>
      </c>
      <c r="X98" cm="1">
        <f t="array" ref="X98">MAX(_xlfn._xlws.FILTER(Table22[[B365]:[BFAIREXC]], Table22[PLAYER] = A98))</f>
        <v>16.7</v>
      </c>
      <c r="Y98" s="14">
        <f>Table229[[#This Row],[BDG]]/Table229[[#This Row],[Odds]]</f>
        <v>21.50497822709454</v>
      </c>
    </row>
    <row r="99" spans="1:25">
      <c r="A99" s="159" t="s">
        <v>522</v>
      </c>
      <c r="B99">
        <v>141</v>
      </c>
      <c r="C99">
        <v>171</v>
      </c>
      <c r="D99">
        <v>140</v>
      </c>
      <c r="E99">
        <v>46</v>
      </c>
      <c r="F99">
        <v>102</v>
      </c>
      <c r="G99">
        <v>166</v>
      </c>
      <c r="H99">
        <v>362.7</v>
      </c>
      <c r="I99" s="14">
        <v>549.25652586972728</v>
      </c>
      <c r="J99" s="259">
        <v>362.7</v>
      </c>
      <c r="K99" s="260">
        <v>549.25652586972728</v>
      </c>
      <c r="L99" s="16">
        <v>171</v>
      </c>
      <c r="M99" s="16">
        <v>94</v>
      </c>
      <c r="N99" s="230"/>
      <c r="O99" s="230">
        <v>91</v>
      </c>
      <c r="Q99" s="159">
        <v>97</v>
      </c>
      <c r="R99" s="159"/>
      <c r="S99" s="159">
        <v>95</v>
      </c>
      <c r="T99">
        <v>63</v>
      </c>
      <c r="U99" s="15">
        <v>0</v>
      </c>
      <c r="V99" s="15">
        <v>0</v>
      </c>
      <c r="W99" t="e">
        <v>#N/A</v>
      </c>
      <c r="X99" cm="1">
        <f t="array" ref="X99">MAX(_xlfn._xlws.FILTER(Table22[[B365]:[BFAIREXC]], Table22[PLAYER] = A99))</f>
        <v>9.0399999999999991</v>
      </c>
      <c r="Y99" s="14">
        <f>Table229[[#This Row],[BDG]]/Table229[[#This Row],[Odds]]</f>
        <v>40.121681415929203</v>
      </c>
    </row>
    <row r="100" spans="1:25">
      <c r="A100" s="159" t="s">
        <v>697</v>
      </c>
      <c r="B100">
        <v>152</v>
      </c>
      <c r="C100">
        <v>102</v>
      </c>
      <c r="D100">
        <v>81</v>
      </c>
      <c r="E100">
        <v>106</v>
      </c>
      <c r="F100">
        <v>173</v>
      </c>
      <c r="G100">
        <v>168</v>
      </c>
      <c r="H100">
        <v>363.20000000000005</v>
      </c>
      <c r="I100" s="14">
        <v>545.61906505247998</v>
      </c>
      <c r="J100" s="259">
        <v>363.20000000000005</v>
      </c>
      <c r="K100" s="260">
        <v>545.61906505247998</v>
      </c>
      <c r="L100" s="16">
        <v>172</v>
      </c>
      <c r="M100" s="16">
        <v>95</v>
      </c>
      <c r="N100" s="230"/>
      <c r="O100" s="230">
        <v>90</v>
      </c>
      <c r="Q100" s="159">
        <v>98</v>
      </c>
      <c r="R100" s="159"/>
      <c r="S100" s="159">
        <v>94</v>
      </c>
      <c r="T100">
        <v>1</v>
      </c>
      <c r="U100" s="15" t="e">
        <v>#N/A</v>
      </c>
      <c r="V100" s="15" t="e">
        <v>#N/A</v>
      </c>
      <c r="W100" t="e">
        <v>#N/A</v>
      </c>
      <c r="X100" t="e" cm="1" vm="2">
        <f t="array" ref="X100">MAX(_xlfn._xlws.FILTER(Table22[[B365]:[BFAIREXC]], Table22[PLAYER] = A100))</f>
        <v>#VALUE!</v>
      </c>
      <c r="Y100" s="14" t="e" vm="1">
        <f>Table229[[#This Row],[BDG]]/Table229[[#This Row],[Odds]]</f>
        <v>#VALUE!</v>
      </c>
    </row>
    <row r="101" spans="1:25">
      <c r="A101" s="159" t="s">
        <v>247</v>
      </c>
      <c r="B101">
        <v>172</v>
      </c>
      <c r="C101">
        <v>152</v>
      </c>
      <c r="D101">
        <v>165</v>
      </c>
      <c r="E101">
        <v>168</v>
      </c>
      <c r="F101">
        <v>115</v>
      </c>
      <c r="G101">
        <v>174</v>
      </c>
      <c r="H101">
        <v>455.8</v>
      </c>
      <c r="I101" s="14">
        <v>668.85167491357515</v>
      </c>
      <c r="J101" s="259">
        <v>455.8</v>
      </c>
      <c r="K101" s="260">
        <v>668.85167491357515</v>
      </c>
      <c r="L101" s="16">
        <v>178</v>
      </c>
      <c r="M101" s="16">
        <v>100</v>
      </c>
      <c r="N101" s="230"/>
      <c r="O101" s="230">
        <v>100</v>
      </c>
      <c r="Q101" s="159">
        <v>100</v>
      </c>
      <c r="R101" s="159"/>
      <c r="S101" s="159">
        <v>100</v>
      </c>
      <c r="T101">
        <v>6</v>
      </c>
      <c r="U101" s="15">
        <v>0</v>
      </c>
      <c r="V101" s="15">
        <v>0</v>
      </c>
      <c r="W101" t="e">
        <v>#N/A</v>
      </c>
      <c r="X101" t="e" cm="1" vm="2">
        <f t="array" ref="X101">MAX(_xlfn._xlws.FILTER(Table22[[B365]:[BFAIREXC]], Table22[PLAYER] = A101))</f>
        <v>#VALUE!</v>
      </c>
      <c r="Y101" s="14" t="e" vm="1">
        <f>Table229[[#This Row],[BDG]]/Table229[[#This Row],[Odds]]</f>
        <v>#VALUE!</v>
      </c>
    </row>
  </sheetData>
  <conditionalFormatting sqref="W2:W1048576">
    <cfRule type="cellIs" dxfId="294" priority="1" operator="between">
      <formula>-5</formula>
      <formula>-9</formula>
    </cfRule>
    <cfRule type="cellIs" dxfId="293" priority="2" operator="lessThanOrEqual">
      <formula>-10</formula>
    </cfRule>
    <cfRule type="cellIs" dxfId="292" priority="3" operator="between">
      <formula>5</formula>
      <formula>9</formula>
    </cfRule>
    <cfRule type="cellIs" dxfId="291" priority="4" operator="greaterThanOrEqual">
      <formula>10</formula>
    </cfRule>
  </conditionalFormatting>
  <conditionalFormatting sqref="U2:V1048576">
    <cfRule type="cellIs" dxfId="290" priority="5" operator="greaterThanOrEqual">
      <formula>20%</formula>
    </cfRule>
    <cfRule type="cellIs" dxfId="289" priority="6" operator="between">
      <formula>10%</formula>
      <formula>20%</formula>
    </cfRule>
    <cfRule type="cellIs" dxfId="288" priority="7" operator="between">
      <formula>0.01%</formula>
      <formula>10%</formula>
    </cfRule>
  </conditionalFormatting>
  <conditionalFormatting sqref="B2:G1048576 L2:T1048576">
    <cfRule type="cellIs" dxfId="287" priority="8" operator="between">
      <formula>101</formula>
      <formula>250</formula>
    </cfRule>
    <cfRule type="cellIs" dxfId="286" priority="9" operator="between">
      <formula>51</formula>
      <formula>100.5</formula>
    </cfRule>
    <cfRule type="cellIs" dxfId="285" priority="10" operator="between">
      <formula>21</formula>
      <formula>50.5</formula>
    </cfRule>
    <cfRule type="cellIs" dxfId="284" priority="11" operator="lessThanOrEqual">
      <formula>20.5</formula>
    </cfRule>
  </conditionalFormatting>
  <conditionalFormatting sqref="J102:K127 K101 J2:K100 Q2:T127">
    <cfRule type="containsErrors" dxfId="283" priority="12">
      <formula>ISERROR(J2)</formula>
    </cfRule>
  </conditionalFormatting>
  <conditionalFormatting sqref="A1:A1048576">
    <cfRule type="expression" dxfId="282" priority="48281">
      <formula>$T1=MIN($T$2:$T$9)</formula>
    </cfRule>
    <cfRule type="expression" dxfId="281" priority="48282">
      <formula>$T1=MIN($T$10:$T$21)</formula>
    </cfRule>
    <cfRule type="expression" dxfId="280" priority="48283">
      <formula>$T1=MIN($T$22:$T$34)</formula>
    </cfRule>
    <cfRule type="expression" dxfId="279" priority="48284">
      <formula>$T1=MIN($T$35:$T$101)</formula>
    </cfRule>
    <cfRule type="expression" dxfId="278" priority="48285">
      <formula>AND($M1&lt;=3, $O1&gt;3)</formula>
    </cfRule>
    <cfRule type="expression" dxfId="277" priority="48286">
      <formula>AND($M1&gt;3, $O1&lt;=3)</formula>
    </cfRule>
    <cfRule type="expression" dxfId="276" priority="48287">
      <formula>AND($Q1&lt;=3, $S1&gt;3)</formula>
    </cfRule>
    <cfRule type="expression" dxfId="275" priority="48288">
      <formula>AND($Q1&gt;3, $S1&lt;=3)</formula>
    </cfRule>
    <cfRule type="expression" dxfId="274" priority="48289">
      <formula>AND($M1&lt;=3, $O1&lt;=3)</formula>
    </cfRule>
    <cfRule type="expression" dxfId="273" priority="48290">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600C5-9AD3-4AB5-A258-191164F917BE}">
  <sheetPr codeName="Sheet75">
    <tabColor rgb="FFFF0000"/>
  </sheetPr>
  <dimension ref="A1:Z69"/>
  <sheetViews>
    <sheetView zoomScale="90" zoomScaleNormal="90" workbookViewId="0">
      <selection activeCell="A16" sqref="A16:XFD16"/>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 min="26" max="26" width="10.5703125" bestFit="1" customWidth="1"/>
  </cols>
  <sheetData>
    <row r="1" spans="1:26" ht="15.75" thickBot="1">
      <c r="A1" s="237" t="s">
        <v>0</v>
      </c>
      <c r="B1" s="7" t="s">
        <v>263</v>
      </c>
      <c r="C1" s="7" t="s">
        <v>264</v>
      </c>
      <c r="D1" s="7" t="s">
        <v>265</v>
      </c>
      <c r="E1" s="7" t="s">
        <v>266</v>
      </c>
      <c r="F1" s="7" t="s">
        <v>267</v>
      </c>
      <c r="G1" s="7" t="s">
        <v>200</v>
      </c>
      <c r="H1" s="123" t="s">
        <v>201</v>
      </c>
      <c r="I1" s="124" t="s">
        <v>202</v>
      </c>
      <c r="J1" s="228" t="s">
        <v>532</v>
      </c>
      <c r="K1" s="229" t="s">
        <v>533</v>
      </c>
      <c r="L1" s="121" t="s">
        <v>326</v>
      </c>
      <c r="M1" s="121" t="s">
        <v>324</v>
      </c>
      <c r="N1" s="124" t="s">
        <v>327</v>
      </c>
      <c r="O1" s="124" t="s">
        <v>323</v>
      </c>
      <c r="P1" s="228" t="s">
        <v>531</v>
      </c>
      <c r="Q1" s="228" t="s">
        <v>528</v>
      </c>
      <c r="R1" s="229" t="s">
        <v>530</v>
      </c>
      <c r="S1" s="229" t="s">
        <v>529</v>
      </c>
      <c r="T1" s="241" t="s">
        <v>566</v>
      </c>
      <c r="U1" s="122" t="s">
        <v>537</v>
      </c>
      <c r="V1" s="122" t="s">
        <v>536</v>
      </c>
      <c r="W1" s="227" t="s">
        <v>535</v>
      </c>
      <c r="X1" s="138" t="s">
        <v>472</v>
      </c>
      <c r="Y1" s="241" t="s">
        <v>565</v>
      </c>
      <c r="Z1" s="331" t="s">
        <v>210</v>
      </c>
    </row>
    <row r="2" spans="1:26">
      <c r="A2" s="159" t="s">
        <v>129</v>
      </c>
      <c r="B2">
        <v>77</v>
      </c>
      <c r="C2">
        <v>98</v>
      </c>
      <c r="D2">
        <v>97</v>
      </c>
      <c r="E2">
        <v>7</v>
      </c>
      <c r="F2">
        <v>161</v>
      </c>
      <c r="G2">
        <v>102</v>
      </c>
      <c r="H2">
        <v>228.20000000000002</v>
      </c>
      <c r="I2" s="14">
        <v>373.64747967552398</v>
      </c>
      <c r="J2" s="259">
        <v>218.46967673926622</v>
      </c>
      <c r="K2" s="260">
        <v>291.57569234058292</v>
      </c>
      <c r="L2" s="16">
        <v>83</v>
      </c>
      <c r="M2" s="177">
        <v>32</v>
      </c>
      <c r="N2" s="230">
        <v>91</v>
      </c>
      <c r="O2" s="334">
        <v>33</v>
      </c>
      <c r="Q2" s="159">
        <v>32</v>
      </c>
      <c r="R2" s="159"/>
      <c r="S2" s="159">
        <v>33</v>
      </c>
      <c r="T2">
        <v>42</v>
      </c>
      <c r="U2" s="15">
        <v>0</v>
      </c>
      <c r="V2" s="15">
        <v>0</v>
      </c>
      <c r="W2">
        <v>-44</v>
      </c>
      <c r="X2" t="e" cm="1" vm="2">
        <f t="array" ref="X2">MAX(_xlfn._xlws.FILTER(Table22[[B365]:[BFAIREXC]], Table22[PLAYER] = A2))</f>
        <v>#VALUE!</v>
      </c>
      <c r="Y2" s="14" t="e" vm="1">
        <f>Table228[[#This Row],[BDG]]/Table228[[#This Row],[Odds]]</f>
        <v>#VALUE!</v>
      </c>
      <c r="Z2">
        <v>1</v>
      </c>
    </row>
    <row r="3" spans="1:26">
      <c r="A3" s="159" t="s">
        <v>233</v>
      </c>
      <c r="B3">
        <v>64</v>
      </c>
      <c r="C3">
        <v>128</v>
      </c>
      <c r="D3">
        <v>74</v>
      </c>
      <c r="E3">
        <v>81</v>
      </c>
      <c r="F3">
        <v>137</v>
      </c>
      <c r="G3">
        <v>111</v>
      </c>
      <c r="H3">
        <v>235.00000000000003</v>
      </c>
      <c r="I3" s="14">
        <v>398.85437302435412</v>
      </c>
      <c r="J3" s="259">
        <v>235.00000000000003</v>
      </c>
      <c r="K3" s="260">
        <v>398.85437302435412</v>
      </c>
      <c r="L3" s="16">
        <v>91</v>
      </c>
      <c r="M3" s="177">
        <v>45</v>
      </c>
      <c r="N3" s="230">
        <v>108</v>
      </c>
      <c r="O3" s="334">
        <v>61</v>
      </c>
      <c r="Q3" s="159">
        <v>45</v>
      </c>
      <c r="R3" s="159"/>
      <c r="S3" s="159">
        <v>61</v>
      </c>
      <c r="T3">
        <v>68</v>
      </c>
      <c r="U3" s="15">
        <v>0</v>
      </c>
      <c r="V3" s="15">
        <v>0</v>
      </c>
      <c r="X3" t="e" cm="1" vm="2">
        <f t="array" ref="X3">MAX(_xlfn._xlws.FILTER(Table22[[B365]:[BFAIREXC]], Table22[PLAYER] = A3))</f>
        <v>#VALUE!</v>
      </c>
      <c r="Y3" s="14" t="e" vm="1">
        <f>Table228[[#This Row],[BDG]]/Table228[[#This Row],[Odds]]</f>
        <v>#VALUE!</v>
      </c>
      <c r="Z3">
        <v>2</v>
      </c>
    </row>
    <row r="4" spans="1:26">
      <c r="A4" s="159" t="s">
        <v>23</v>
      </c>
      <c r="B4">
        <v>65</v>
      </c>
      <c r="C4">
        <v>113</v>
      </c>
      <c r="D4">
        <v>49</v>
      </c>
      <c r="E4">
        <v>145</v>
      </c>
      <c r="F4">
        <v>127</v>
      </c>
      <c r="G4">
        <v>101</v>
      </c>
      <c r="H4">
        <v>233.8</v>
      </c>
      <c r="I4" s="14">
        <v>391.87070021643376</v>
      </c>
      <c r="J4" s="259">
        <v>265.03313639247881</v>
      </c>
      <c r="K4" s="260">
        <v>405.02000507921161</v>
      </c>
      <c r="L4" s="16">
        <v>89</v>
      </c>
      <c r="M4" s="177">
        <v>61</v>
      </c>
      <c r="N4" s="230">
        <v>101</v>
      </c>
      <c r="O4" s="334">
        <v>62</v>
      </c>
      <c r="Q4" s="159">
        <v>61</v>
      </c>
      <c r="R4" s="159"/>
      <c r="S4" s="159">
        <v>62</v>
      </c>
      <c r="T4">
        <v>29</v>
      </c>
      <c r="U4" s="15">
        <v>0</v>
      </c>
      <c r="V4" s="15">
        <v>0</v>
      </c>
      <c r="W4">
        <v>-79</v>
      </c>
      <c r="X4" t="e" cm="1" vm="2">
        <f t="array" ref="X4">MAX(_xlfn._xlws.FILTER(Table22[[B365]:[BFAIREXC]], Table22[PLAYER] = A4))</f>
        <v>#VALUE!</v>
      </c>
      <c r="Y4" s="14" t="e" vm="1">
        <f>Table228[[#This Row],[BDG]]/Table228[[#This Row],[Odds]]</f>
        <v>#VALUE!</v>
      </c>
      <c r="Z4">
        <v>2</v>
      </c>
    </row>
    <row r="5" spans="1:26">
      <c r="A5" s="159" t="s">
        <v>73</v>
      </c>
      <c r="B5">
        <v>32</v>
      </c>
      <c r="C5">
        <v>70</v>
      </c>
      <c r="D5">
        <v>18</v>
      </c>
      <c r="E5">
        <v>31</v>
      </c>
      <c r="F5">
        <v>141</v>
      </c>
      <c r="G5">
        <v>19</v>
      </c>
      <c r="H5">
        <v>131.80000000000001</v>
      </c>
      <c r="I5" s="14">
        <v>182.250868529461</v>
      </c>
      <c r="J5" s="259">
        <v>146.83309202187439</v>
      </c>
      <c r="K5" s="260">
        <v>173.66023337449082</v>
      </c>
      <c r="L5" s="16">
        <v>3</v>
      </c>
      <c r="M5" s="177">
        <v>4</v>
      </c>
      <c r="N5" s="230">
        <v>5</v>
      </c>
      <c r="O5" s="334">
        <v>2</v>
      </c>
      <c r="Q5" s="159">
        <v>4</v>
      </c>
      <c r="R5" s="159"/>
      <c r="S5" s="159">
        <v>2</v>
      </c>
      <c r="T5">
        <v>60</v>
      </c>
      <c r="U5" s="15">
        <v>0</v>
      </c>
      <c r="V5" s="15">
        <v>0.75</v>
      </c>
      <c r="W5">
        <v>-9</v>
      </c>
      <c r="X5" t="e" cm="1" vm="2">
        <f t="array" ref="X5">MAX(_xlfn._xlws.FILTER(Table22[[B365]:[BFAIREXC]], Table22[PLAYER] = A5))</f>
        <v>#VALUE!</v>
      </c>
      <c r="Y5" s="14" t="e" vm="1">
        <f>Table228[[#This Row],[BDG]]/Table228[[#This Row],[Odds]]</f>
        <v>#VALUE!</v>
      </c>
      <c r="Z5" s="103">
        <v>4</v>
      </c>
    </row>
    <row r="6" spans="1:26">
      <c r="A6" s="159" t="s">
        <v>40</v>
      </c>
      <c r="B6">
        <v>112</v>
      </c>
      <c r="C6">
        <v>126</v>
      </c>
      <c r="D6">
        <v>119</v>
      </c>
      <c r="E6">
        <v>58</v>
      </c>
      <c r="F6">
        <v>125</v>
      </c>
      <c r="G6">
        <v>112</v>
      </c>
      <c r="H6">
        <v>285.3</v>
      </c>
      <c r="I6" s="14">
        <v>449.84689821165585</v>
      </c>
      <c r="J6" s="259">
        <v>168.59790070142154</v>
      </c>
      <c r="K6" s="260">
        <v>240.76382784818117</v>
      </c>
      <c r="L6" s="16">
        <v>141</v>
      </c>
      <c r="M6" s="177">
        <v>8</v>
      </c>
      <c r="N6" s="230">
        <v>122</v>
      </c>
      <c r="O6" s="334">
        <v>15</v>
      </c>
      <c r="Q6" s="159">
        <v>8</v>
      </c>
      <c r="R6" s="159"/>
      <c r="S6" s="159">
        <v>15</v>
      </c>
      <c r="T6">
        <v>63</v>
      </c>
      <c r="U6" s="15">
        <v>0</v>
      </c>
      <c r="V6" s="15">
        <v>0</v>
      </c>
      <c r="W6">
        <v>-100</v>
      </c>
      <c r="X6" t="e" cm="1" vm="2">
        <f t="array" ref="X6">MAX(_xlfn._xlws.FILTER(Table22[[B365]:[BFAIREXC]], Table22[PLAYER] = A6))</f>
        <v>#VALUE!</v>
      </c>
      <c r="Y6" s="14" t="e" vm="1">
        <f>Table228[[#This Row],[BDG]]/Table228[[#This Row],[Odds]]</f>
        <v>#VALUE!</v>
      </c>
      <c r="Z6">
        <v>4</v>
      </c>
    </row>
    <row r="7" spans="1:26">
      <c r="A7" s="159" t="s">
        <v>141</v>
      </c>
      <c r="B7">
        <v>139</v>
      </c>
      <c r="C7">
        <v>55</v>
      </c>
      <c r="D7">
        <v>138</v>
      </c>
      <c r="E7">
        <v>117</v>
      </c>
      <c r="F7">
        <v>81</v>
      </c>
      <c r="G7">
        <v>130</v>
      </c>
      <c r="H7">
        <v>295.09999999999997</v>
      </c>
      <c r="I7" s="14">
        <v>477.31326105045065</v>
      </c>
      <c r="J7" s="259">
        <v>243.68545240007336</v>
      </c>
      <c r="K7" s="260">
        <v>351.5548727228786</v>
      </c>
      <c r="L7" s="16">
        <v>151</v>
      </c>
      <c r="M7" s="177">
        <v>54</v>
      </c>
      <c r="N7" s="230">
        <v>139</v>
      </c>
      <c r="O7" s="334">
        <v>52</v>
      </c>
      <c r="Q7" s="159">
        <v>54</v>
      </c>
      <c r="R7" s="159"/>
      <c r="S7" s="159">
        <v>52</v>
      </c>
      <c r="T7">
        <v>36</v>
      </c>
      <c r="U7" s="15">
        <v>0</v>
      </c>
      <c r="V7" s="15">
        <v>0.2</v>
      </c>
      <c r="W7">
        <v>-116</v>
      </c>
      <c r="X7" t="e" cm="1" vm="2">
        <f t="array" ref="X7">MAX(_xlfn._xlws.FILTER(Table22[[B365]:[BFAIREXC]], Table22[PLAYER] = A7))</f>
        <v>#VALUE!</v>
      </c>
      <c r="Y7" s="14" t="e" vm="1">
        <f>Table228[[#This Row],[BDG]]/Table228[[#This Row],[Odds]]</f>
        <v>#VALUE!</v>
      </c>
      <c r="Z7">
        <v>4</v>
      </c>
    </row>
    <row r="8" spans="1:26">
      <c r="A8" s="159" t="s">
        <v>125</v>
      </c>
      <c r="B8">
        <v>80</v>
      </c>
      <c r="C8">
        <v>43</v>
      </c>
      <c r="D8">
        <v>134</v>
      </c>
      <c r="E8">
        <v>67</v>
      </c>
      <c r="F8">
        <v>39</v>
      </c>
      <c r="G8">
        <v>52</v>
      </c>
      <c r="H8">
        <v>209.4</v>
      </c>
      <c r="I8" s="14">
        <v>300.24961221266233</v>
      </c>
      <c r="J8" s="259">
        <v>205.49585795094015</v>
      </c>
      <c r="K8" s="260">
        <v>284.66870829274376</v>
      </c>
      <c r="L8" s="16">
        <v>60</v>
      </c>
      <c r="M8" s="177">
        <v>23</v>
      </c>
      <c r="N8" s="230">
        <v>53</v>
      </c>
      <c r="O8" s="334">
        <v>31</v>
      </c>
      <c r="Q8" s="159">
        <v>23</v>
      </c>
      <c r="R8" s="159"/>
      <c r="S8" s="159">
        <v>31</v>
      </c>
      <c r="T8">
        <v>30</v>
      </c>
      <c r="U8" s="15">
        <v>0</v>
      </c>
      <c r="V8" s="15">
        <v>0.2</v>
      </c>
      <c r="W8">
        <v>-38</v>
      </c>
      <c r="X8" t="e" cm="1" vm="2">
        <f t="array" ref="X8">MAX(_xlfn._xlws.FILTER(Table22[[B365]:[BFAIREXC]], Table22[PLAYER] = A8))</f>
        <v>#VALUE!</v>
      </c>
      <c r="Y8" s="14" t="e" vm="1">
        <f>Table228[[#This Row],[BDG]]/Table228[[#This Row],[Odds]]</f>
        <v>#VALUE!</v>
      </c>
      <c r="Z8">
        <v>7</v>
      </c>
    </row>
    <row r="9" spans="1:26">
      <c r="A9" s="159" t="s">
        <v>139</v>
      </c>
      <c r="B9">
        <v>153</v>
      </c>
      <c r="C9">
        <v>105</v>
      </c>
      <c r="D9">
        <v>10</v>
      </c>
      <c r="E9">
        <v>155</v>
      </c>
      <c r="F9">
        <v>50</v>
      </c>
      <c r="G9">
        <v>49</v>
      </c>
      <c r="H9">
        <v>238.1</v>
      </c>
      <c r="I9" s="14">
        <v>325.82552548915925</v>
      </c>
      <c r="J9" s="259">
        <v>243.3512855692849</v>
      </c>
      <c r="K9" s="260">
        <v>327.39259042715241</v>
      </c>
      <c r="L9" s="16">
        <v>94</v>
      </c>
      <c r="M9" s="177">
        <v>53</v>
      </c>
      <c r="N9" s="230">
        <v>66</v>
      </c>
      <c r="O9" s="334">
        <v>45</v>
      </c>
      <c r="Q9" s="159">
        <v>53</v>
      </c>
      <c r="R9" s="159"/>
      <c r="S9" s="159">
        <v>45</v>
      </c>
      <c r="T9">
        <v>22</v>
      </c>
      <c r="U9" s="15">
        <v>0</v>
      </c>
      <c r="V9" s="15">
        <v>0.16666666666666666</v>
      </c>
      <c r="W9">
        <v>-11</v>
      </c>
      <c r="X9" t="e" cm="1" vm="2">
        <f t="array" ref="X9">MAX(_xlfn._xlws.FILTER(Table22[[B365]:[BFAIREXC]], Table22[PLAYER] = A9))</f>
        <v>#VALUE!</v>
      </c>
      <c r="Y9" s="14" t="e" vm="1">
        <f>Table228[[#This Row],[BDG]]/Table228[[#This Row],[Odds]]</f>
        <v>#VALUE!</v>
      </c>
      <c r="Z9">
        <v>8</v>
      </c>
    </row>
    <row r="10" spans="1:26">
      <c r="A10" s="159" t="s">
        <v>68</v>
      </c>
      <c r="B10">
        <v>63</v>
      </c>
      <c r="C10">
        <v>80</v>
      </c>
      <c r="D10">
        <v>62</v>
      </c>
      <c r="E10">
        <v>23</v>
      </c>
      <c r="F10">
        <v>82</v>
      </c>
      <c r="G10">
        <v>27</v>
      </c>
      <c r="H10">
        <v>161.5</v>
      </c>
      <c r="I10" s="14">
        <v>217.97591361865688</v>
      </c>
      <c r="J10" s="259">
        <v>181.39310533305573</v>
      </c>
      <c r="K10" s="260">
        <v>233.5424158940595</v>
      </c>
      <c r="L10" s="16">
        <v>13</v>
      </c>
      <c r="M10" s="177">
        <v>14</v>
      </c>
      <c r="N10" s="230">
        <v>17</v>
      </c>
      <c r="O10" s="334">
        <v>14</v>
      </c>
      <c r="Q10" s="159">
        <v>14</v>
      </c>
      <c r="R10" s="159"/>
      <c r="S10" s="159">
        <v>14</v>
      </c>
      <c r="T10">
        <v>49</v>
      </c>
      <c r="U10" s="15">
        <v>0</v>
      </c>
      <c r="V10" s="15">
        <v>0.5</v>
      </c>
      <c r="W10">
        <v>-17</v>
      </c>
      <c r="X10" t="e" cm="1" vm="2">
        <f t="array" ref="X10">MAX(_xlfn._xlws.FILTER(Table22[[B365]:[BFAIREXC]], Table22[PLAYER] = A10))</f>
        <v>#VALUE!</v>
      </c>
      <c r="Y10" s="14" t="e" vm="1">
        <f>Table228[[#This Row],[BDG]]/Table228[[#This Row],[Odds]]</f>
        <v>#VALUE!</v>
      </c>
      <c r="Z10">
        <v>9</v>
      </c>
    </row>
    <row r="11" spans="1:26">
      <c r="A11" s="159" t="s">
        <v>35</v>
      </c>
      <c r="B11">
        <v>112</v>
      </c>
      <c r="C11">
        <v>90</v>
      </c>
      <c r="D11">
        <v>2</v>
      </c>
      <c r="E11">
        <v>103</v>
      </c>
      <c r="F11">
        <v>107</v>
      </c>
      <c r="G11">
        <v>3</v>
      </c>
      <c r="H11">
        <v>199.8</v>
      </c>
      <c r="I11" s="14">
        <v>238.62022584020738</v>
      </c>
      <c r="J11" s="259">
        <v>161.24938593842617</v>
      </c>
      <c r="K11" s="260">
        <v>179.03752920357627</v>
      </c>
      <c r="L11" s="16">
        <v>48</v>
      </c>
      <c r="M11" s="177">
        <v>6</v>
      </c>
      <c r="N11" s="230">
        <v>22</v>
      </c>
      <c r="O11" s="334">
        <v>4</v>
      </c>
      <c r="Q11" s="159">
        <v>6</v>
      </c>
      <c r="R11" s="159"/>
      <c r="S11" s="159">
        <v>4</v>
      </c>
      <c r="T11">
        <v>67</v>
      </c>
      <c r="U11" s="15">
        <v>0</v>
      </c>
      <c r="V11" s="15">
        <v>0.75</v>
      </c>
      <c r="W11">
        <v>2</v>
      </c>
      <c r="X11" t="e" cm="1" vm="2">
        <f t="array" ref="X11">MAX(_xlfn._xlws.FILTER(Table22[[B365]:[BFAIREXC]], Table22[PLAYER] = A11))</f>
        <v>#VALUE!</v>
      </c>
      <c r="Y11" s="14" t="e" vm="1">
        <f>Table228[[#This Row],[BDG]]/Table228[[#This Row],[Odds]]</f>
        <v>#VALUE!</v>
      </c>
      <c r="Z11">
        <v>10</v>
      </c>
    </row>
    <row r="12" spans="1:26">
      <c r="A12" s="159" t="s">
        <v>85</v>
      </c>
      <c r="B12">
        <v>145</v>
      </c>
      <c r="C12">
        <v>24</v>
      </c>
      <c r="D12">
        <v>167</v>
      </c>
      <c r="E12">
        <v>20</v>
      </c>
      <c r="F12">
        <v>147</v>
      </c>
      <c r="G12">
        <v>152</v>
      </c>
      <c r="H12">
        <v>294.8</v>
      </c>
      <c r="I12" s="14">
        <v>492.06934981286611</v>
      </c>
      <c r="J12" s="259">
        <v>180.87456084884079</v>
      </c>
      <c r="K12" s="260">
        <v>254.76460270490173</v>
      </c>
      <c r="L12" s="16">
        <v>150</v>
      </c>
      <c r="M12" s="177">
        <v>12</v>
      </c>
      <c r="N12" s="230">
        <v>149</v>
      </c>
      <c r="O12" s="334">
        <v>21</v>
      </c>
      <c r="Q12" s="159">
        <v>12</v>
      </c>
      <c r="R12" s="159"/>
      <c r="S12" s="159">
        <v>21</v>
      </c>
      <c r="T12">
        <v>47</v>
      </c>
      <c r="U12" s="15">
        <v>0</v>
      </c>
      <c r="V12" s="15">
        <v>0</v>
      </c>
      <c r="W12">
        <v>-105</v>
      </c>
      <c r="X12" t="e" cm="1" vm="2">
        <f t="array" ref="X12">MAX(_xlfn._xlws.FILTER(Table22[[B365]:[BFAIREXC]], Table22[PLAYER] = A12))</f>
        <v>#VALUE!</v>
      </c>
      <c r="Y12" s="14" t="e" vm="1">
        <f>Table228[[#This Row],[BDG]]/Table228[[#This Row],[Odds]]</f>
        <v>#VALUE!</v>
      </c>
      <c r="Z12">
        <v>10</v>
      </c>
    </row>
    <row r="13" spans="1:26">
      <c r="A13" s="159" t="s">
        <v>114</v>
      </c>
      <c r="B13">
        <v>105</v>
      </c>
      <c r="C13">
        <v>33</v>
      </c>
      <c r="D13">
        <v>25</v>
      </c>
      <c r="E13">
        <v>143</v>
      </c>
      <c r="F13">
        <v>31</v>
      </c>
      <c r="G13">
        <v>34</v>
      </c>
      <c r="H13">
        <v>173.8</v>
      </c>
      <c r="I13" s="14">
        <v>239.32768880711347</v>
      </c>
      <c r="J13" s="259">
        <v>181.38519026674487</v>
      </c>
      <c r="K13" s="260">
        <v>218.77354766659585</v>
      </c>
      <c r="L13" s="16">
        <v>25</v>
      </c>
      <c r="M13" s="177">
        <v>13</v>
      </c>
      <c r="N13" s="230">
        <v>23</v>
      </c>
      <c r="O13" s="334">
        <v>8</v>
      </c>
      <c r="Q13" s="159">
        <v>13</v>
      </c>
      <c r="R13" s="159"/>
      <c r="S13" s="159">
        <v>8</v>
      </c>
      <c r="T13">
        <v>44</v>
      </c>
      <c r="U13" s="15">
        <v>0</v>
      </c>
      <c r="V13" s="15">
        <v>0</v>
      </c>
      <c r="W13">
        <v>-20</v>
      </c>
      <c r="X13" t="e" cm="1" vm="2">
        <f t="array" ref="X13">MAX(_xlfn._xlws.FILTER(Table22[[B365]:[BFAIREXC]], Table22[PLAYER] = A13))</f>
        <v>#VALUE!</v>
      </c>
      <c r="Y13" s="14" t="e" vm="1">
        <f>Table228[[#This Row],[BDG]]/Table228[[#This Row],[Odds]]</f>
        <v>#VALUE!</v>
      </c>
      <c r="Z13">
        <v>10</v>
      </c>
    </row>
    <row r="14" spans="1:26">
      <c r="A14" s="159" t="s">
        <v>27</v>
      </c>
      <c r="B14">
        <v>42</v>
      </c>
      <c r="C14">
        <v>63</v>
      </c>
      <c r="D14">
        <v>34</v>
      </c>
      <c r="E14">
        <v>163</v>
      </c>
      <c r="F14">
        <v>17</v>
      </c>
      <c r="G14">
        <v>12</v>
      </c>
      <c r="H14">
        <v>150.40000000000003</v>
      </c>
      <c r="I14" s="14">
        <v>202.37740464762791</v>
      </c>
      <c r="J14" s="259">
        <v>191.42180727064908</v>
      </c>
      <c r="K14" s="260">
        <v>252.81072733394103</v>
      </c>
      <c r="L14" s="16">
        <v>8</v>
      </c>
      <c r="M14" s="177">
        <v>18</v>
      </c>
      <c r="N14" s="230">
        <v>10</v>
      </c>
      <c r="O14" s="334">
        <v>20</v>
      </c>
      <c r="Q14" s="159">
        <v>18</v>
      </c>
      <c r="R14" s="159"/>
      <c r="S14" s="159">
        <v>20</v>
      </c>
      <c r="T14">
        <v>57</v>
      </c>
      <c r="U14" s="15">
        <v>0</v>
      </c>
      <c r="V14" s="15">
        <v>0.75</v>
      </c>
      <c r="W14">
        <v>21</v>
      </c>
      <c r="X14" t="e" cm="1" vm="2">
        <f t="array" ref="X14">MAX(_xlfn._xlws.FILTER(Table22[[B365]:[BFAIREXC]], Table22[PLAYER] = A14))</f>
        <v>#VALUE!</v>
      </c>
      <c r="Y14" s="14" t="e" vm="1">
        <f>Table228[[#This Row],[BDG]]/Table228[[#This Row],[Odds]]</f>
        <v>#VALUE!</v>
      </c>
      <c r="Z14">
        <v>10</v>
      </c>
    </row>
    <row r="15" spans="1:26">
      <c r="A15" s="159" t="s">
        <v>604</v>
      </c>
      <c r="B15">
        <v>123</v>
      </c>
      <c r="C15">
        <v>41</v>
      </c>
      <c r="D15">
        <v>61</v>
      </c>
      <c r="E15">
        <v>29</v>
      </c>
      <c r="F15">
        <v>38</v>
      </c>
      <c r="G15">
        <v>16</v>
      </c>
      <c r="H15">
        <v>171.99999999999997</v>
      </c>
      <c r="I15" s="14">
        <v>206.71592474960374</v>
      </c>
      <c r="J15" s="259">
        <v>201.61141584902316</v>
      </c>
      <c r="K15" s="260">
        <v>255.70499414241604</v>
      </c>
      <c r="L15" s="16">
        <v>22</v>
      </c>
      <c r="M15" s="177">
        <v>22</v>
      </c>
      <c r="N15" s="230">
        <v>12</v>
      </c>
      <c r="O15" s="334">
        <v>22</v>
      </c>
      <c r="Q15" s="159">
        <v>22</v>
      </c>
      <c r="R15" s="159"/>
      <c r="S15" s="159">
        <v>22</v>
      </c>
      <c r="T15">
        <v>50</v>
      </c>
      <c r="U15" s="15">
        <v>0</v>
      </c>
      <c r="V15" s="15">
        <v>0.4</v>
      </c>
      <c r="W15">
        <v>-11</v>
      </c>
      <c r="X15" t="e" cm="1" vm="2">
        <f t="array" ref="X15">MAX(_xlfn._xlws.FILTER(Table22[[B365]:[BFAIREXC]], Table22[PLAYER] = A15))</f>
        <v>#VALUE!</v>
      </c>
      <c r="Y15" s="14" t="e" vm="1">
        <f>Table228[[#This Row],[BDG]]/Table228[[#This Row],[Odds]]</f>
        <v>#VALUE!</v>
      </c>
      <c r="Z15">
        <v>10</v>
      </c>
    </row>
    <row r="16" spans="1:26">
      <c r="A16" s="159" t="s">
        <v>130</v>
      </c>
      <c r="B16">
        <v>92</v>
      </c>
      <c r="C16">
        <v>36</v>
      </c>
      <c r="D16">
        <v>36</v>
      </c>
      <c r="E16">
        <v>152</v>
      </c>
      <c r="F16">
        <v>122</v>
      </c>
      <c r="G16">
        <v>84</v>
      </c>
      <c r="H16">
        <v>213.60000000000002</v>
      </c>
      <c r="I16" s="14">
        <v>344.63768184828126</v>
      </c>
      <c r="J16" s="259">
        <v>212.51885297102962</v>
      </c>
      <c r="K16" s="260">
        <v>296.54371636753808</v>
      </c>
      <c r="L16" s="16">
        <v>65</v>
      </c>
      <c r="M16" s="177">
        <v>27</v>
      </c>
      <c r="N16" s="230">
        <v>78</v>
      </c>
      <c r="O16" s="334">
        <v>36</v>
      </c>
      <c r="Q16" s="159">
        <v>27</v>
      </c>
      <c r="R16" s="159"/>
      <c r="S16" s="159">
        <v>36</v>
      </c>
      <c r="T16">
        <v>12</v>
      </c>
      <c r="U16" s="15">
        <v>0</v>
      </c>
      <c r="V16" s="15">
        <v>0</v>
      </c>
      <c r="W16">
        <v>-51</v>
      </c>
      <c r="X16" t="e" cm="1" vm="2">
        <f t="array" ref="X16">MAX(_xlfn._xlws.FILTER(Table22[[B365]:[BFAIREXC]], Table22[PLAYER] = A16))</f>
        <v>#VALUE!</v>
      </c>
      <c r="Y16" s="14" t="e" vm="1">
        <f>Table228[[#This Row],[BDG]]/Table228[[#This Row],[Odds]]</f>
        <v>#VALUE!</v>
      </c>
      <c r="Z16">
        <v>10</v>
      </c>
    </row>
    <row r="17" spans="1:26">
      <c r="A17" s="159" t="s">
        <v>232</v>
      </c>
      <c r="B17">
        <v>25</v>
      </c>
      <c r="C17">
        <v>89</v>
      </c>
      <c r="D17">
        <v>40</v>
      </c>
      <c r="E17">
        <v>98</v>
      </c>
      <c r="F17">
        <v>66</v>
      </c>
      <c r="G17">
        <v>38</v>
      </c>
      <c r="H17">
        <v>146.69999999999999</v>
      </c>
      <c r="I17" s="14">
        <v>223.8388396536142</v>
      </c>
      <c r="J17" s="259">
        <v>135.88852971029578</v>
      </c>
      <c r="K17" s="260">
        <v>186.69700799011684</v>
      </c>
      <c r="L17" s="16">
        <v>7</v>
      </c>
      <c r="M17" s="177">
        <v>2</v>
      </c>
      <c r="N17" s="230">
        <v>19</v>
      </c>
      <c r="O17" s="334">
        <v>5</v>
      </c>
      <c r="Q17" s="159">
        <v>2</v>
      </c>
      <c r="R17" s="159"/>
      <c r="S17" s="159">
        <v>5</v>
      </c>
      <c r="T17">
        <v>51</v>
      </c>
      <c r="U17" s="15">
        <v>0</v>
      </c>
      <c r="V17" s="15">
        <v>0.5</v>
      </c>
      <c r="W17">
        <v>9</v>
      </c>
      <c r="X17" t="e" cm="1" vm="2">
        <f t="array" ref="X17">MAX(_xlfn._xlws.FILTER(Table22[[B365]:[BFAIREXC]], Table22[PLAYER] = A17))</f>
        <v>#VALUE!</v>
      </c>
      <c r="Y17" s="14" t="e" vm="1">
        <f>Table228[[#This Row],[BDG]]/Table228[[#This Row],[Odds]]</f>
        <v>#VALUE!</v>
      </c>
      <c r="Z17">
        <v>19</v>
      </c>
    </row>
    <row r="18" spans="1:26">
      <c r="A18" s="159" t="s">
        <v>6</v>
      </c>
      <c r="B18" s="159">
        <v>1</v>
      </c>
      <c r="C18" s="159">
        <v>145</v>
      </c>
      <c r="D18" s="159">
        <v>40</v>
      </c>
      <c r="E18" s="159">
        <v>24</v>
      </c>
      <c r="F18" s="159">
        <v>65</v>
      </c>
      <c r="G18" s="159">
        <v>4</v>
      </c>
      <c r="H18" s="336">
        <v>122.30000000000001</v>
      </c>
      <c r="I18" s="336">
        <v>159.01415166704567</v>
      </c>
      <c r="J18" s="259">
        <v>127.38653935534654</v>
      </c>
      <c r="K18" s="260">
        <v>144.09566459047036</v>
      </c>
      <c r="L18" s="238"/>
      <c r="M18" s="177">
        <v>1</v>
      </c>
      <c r="N18" s="334"/>
      <c r="O18" s="334">
        <v>1</v>
      </c>
      <c r="P18" s="335"/>
      <c r="Q18" s="159">
        <v>1</v>
      </c>
      <c r="R18" s="255"/>
      <c r="S18" s="159">
        <v>1</v>
      </c>
      <c r="T18">
        <v>66</v>
      </c>
      <c r="U18" s="15">
        <v>0</v>
      </c>
      <c r="V18" s="15">
        <v>0</v>
      </c>
      <c r="W18" s="1"/>
      <c r="X18" t="e" cm="1" vm="2">
        <f t="array" ref="X18">MAX(_xlfn._xlws.FILTER(Table22[[B365]:[BFAIREXC]], Table22[PLAYER] = A18))</f>
        <v>#VALUE!</v>
      </c>
      <c r="Y18" s="14" t="e" vm="1">
        <f>Table228[[#This Row],[BDG]]/Table228[[#This Row],[Odds]]</f>
        <v>#VALUE!</v>
      </c>
      <c r="Z18">
        <v>24</v>
      </c>
    </row>
    <row r="19" spans="1:26">
      <c r="A19" s="159" t="s">
        <v>188</v>
      </c>
      <c r="B19">
        <v>176</v>
      </c>
      <c r="C19">
        <v>7</v>
      </c>
      <c r="D19">
        <v>58</v>
      </c>
      <c r="E19">
        <v>54</v>
      </c>
      <c r="F19">
        <v>23</v>
      </c>
      <c r="G19">
        <v>57</v>
      </c>
      <c r="H19">
        <v>197.39999999999995</v>
      </c>
      <c r="I19" s="14">
        <v>269.68568700677065</v>
      </c>
      <c r="J19" s="259">
        <v>196.47330254659676</v>
      </c>
      <c r="K19" s="260">
        <v>249.09554944024399</v>
      </c>
      <c r="L19" s="16">
        <v>41</v>
      </c>
      <c r="M19" s="177">
        <v>20</v>
      </c>
      <c r="N19" s="230">
        <v>39</v>
      </c>
      <c r="O19" s="334">
        <v>18</v>
      </c>
      <c r="Q19" s="159">
        <v>20</v>
      </c>
      <c r="R19" s="159"/>
      <c r="S19" s="159">
        <v>18</v>
      </c>
      <c r="T19">
        <v>19</v>
      </c>
      <c r="U19" s="15">
        <v>0</v>
      </c>
      <c r="V19" s="15">
        <v>0</v>
      </c>
      <c r="W19">
        <v>-24</v>
      </c>
      <c r="X19" t="e" cm="1" vm="2">
        <f t="array" ref="X19">MAX(_xlfn._xlws.FILTER(Table22[[B365]:[BFAIREXC]], Table22[PLAYER] = A19))</f>
        <v>#VALUE!</v>
      </c>
      <c r="Y19" s="14" t="e" vm="1">
        <f>Table228[[#This Row],[BDG]]/Table228[[#This Row],[Odds]]</f>
        <v>#VALUE!</v>
      </c>
      <c r="Z19">
        <v>31</v>
      </c>
    </row>
    <row r="20" spans="1:26">
      <c r="A20" s="159" t="s">
        <v>441</v>
      </c>
      <c r="B20">
        <v>25</v>
      </c>
      <c r="C20">
        <v>59</v>
      </c>
      <c r="D20">
        <v>46</v>
      </c>
      <c r="E20">
        <v>111</v>
      </c>
      <c r="F20">
        <v>32</v>
      </c>
      <c r="G20">
        <v>5</v>
      </c>
      <c r="H20">
        <v>130.5</v>
      </c>
      <c r="I20" s="14">
        <v>170.63749683398504</v>
      </c>
      <c r="J20" s="259">
        <v>165.09670492705345</v>
      </c>
      <c r="K20" s="260">
        <v>220.2014952781978</v>
      </c>
      <c r="L20" s="16">
        <v>2</v>
      </c>
      <c r="M20" s="177">
        <v>7</v>
      </c>
      <c r="N20" s="230">
        <v>2</v>
      </c>
      <c r="O20" s="334">
        <v>10</v>
      </c>
      <c r="Q20" s="159">
        <v>7</v>
      </c>
      <c r="R20" s="159"/>
      <c r="S20" s="159">
        <v>10</v>
      </c>
      <c r="T20">
        <v>27</v>
      </c>
      <c r="U20" s="15">
        <v>0</v>
      </c>
      <c r="V20" s="15">
        <v>0.5</v>
      </c>
      <c r="W20" t="e">
        <v>#N/A</v>
      </c>
      <c r="X20" t="e" cm="1" vm="2">
        <f t="array" ref="X20">MAX(_xlfn._xlws.FILTER(Table22[[B365]:[BFAIREXC]], Table22[PLAYER] = A20))</f>
        <v>#VALUE!</v>
      </c>
      <c r="Y20" s="14" t="e" vm="1">
        <f>Table228[[#This Row],[BDG]]/Table228[[#This Row],[Odds]]</f>
        <v>#VALUE!</v>
      </c>
      <c r="Z20">
        <v>39</v>
      </c>
    </row>
    <row r="21" spans="1:26">
      <c r="A21" s="159" t="s">
        <v>18</v>
      </c>
      <c r="B21">
        <v>8</v>
      </c>
      <c r="C21">
        <v>155</v>
      </c>
      <c r="D21">
        <v>42</v>
      </c>
      <c r="E21">
        <v>65</v>
      </c>
      <c r="F21">
        <v>49</v>
      </c>
      <c r="G21">
        <v>20</v>
      </c>
      <c r="H21">
        <v>142.6</v>
      </c>
      <c r="I21" s="14">
        <v>201.34826376923536</v>
      </c>
      <c r="J21" s="259">
        <v>138.58431103525271</v>
      </c>
      <c r="K21" s="260">
        <v>174.68301743970605</v>
      </c>
      <c r="L21" s="16">
        <v>6</v>
      </c>
      <c r="M21" s="177">
        <v>3</v>
      </c>
      <c r="N21" s="230">
        <v>8</v>
      </c>
      <c r="O21" s="334">
        <v>3</v>
      </c>
      <c r="Q21" s="159">
        <v>3</v>
      </c>
      <c r="R21" s="159"/>
      <c r="S21" s="159">
        <v>3</v>
      </c>
      <c r="T21">
        <v>35</v>
      </c>
      <c r="U21" s="15">
        <v>0.25</v>
      </c>
      <c r="V21" s="15">
        <v>0.25</v>
      </c>
      <c r="W21">
        <v>9</v>
      </c>
      <c r="X21" t="e" cm="1" vm="2">
        <f t="array" ref="X21">MAX(_xlfn._xlws.FILTER(Table22[[B365]:[BFAIREXC]], Table22[PLAYER] = A21))</f>
        <v>#VALUE!</v>
      </c>
      <c r="Y21" s="14" t="e" vm="1">
        <f>Table228[[#This Row],[BDG]]/Table228[[#This Row],[Odds]]</f>
        <v>#VALUE!</v>
      </c>
      <c r="Z21" s="103" t="s">
        <v>587</v>
      </c>
    </row>
    <row r="22" spans="1:26">
      <c r="A22" s="159" t="s">
        <v>42</v>
      </c>
      <c r="B22">
        <v>39</v>
      </c>
      <c r="C22">
        <v>125</v>
      </c>
      <c r="D22">
        <v>17</v>
      </c>
      <c r="E22">
        <v>3</v>
      </c>
      <c r="F22">
        <v>129</v>
      </c>
      <c r="G22">
        <v>8</v>
      </c>
      <c r="H22">
        <v>142</v>
      </c>
      <c r="I22" s="14">
        <v>180.07028740926194</v>
      </c>
      <c r="J22" s="259">
        <v>178.8276432408019</v>
      </c>
      <c r="K22" s="260">
        <v>215.24329723434835</v>
      </c>
      <c r="L22" s="16">
        <v>5</v>
      </c>
      <c r="M22" s="177">
        <v>10</v>
      </c>
      <c r="N22" s="230">
        <v>4</v>
      </c>
      <c r="O22" s="334">
        <v>7</v>
      </c>
      <c r="Q22" s="159">
        <v>10</v>
      </c>
      <c r="R22" s="159"/>
      <c r="S22" s="159">
        <v>7</v>
      </c>
      <c r="T22">
        <v>61</v>
      </c>
      <c r="U22" s="15">
        <v>0</v>
      </c>
      <c r="V22" s="15">
        <v>0.66666666666666663</v>
      </c>
      <c r="W22" t="e">
        <v>#N/A</v>
      </c>
      <c r="X22" t="e" cm="1" vm="2">
        <f t="array" ref="X22">MAX(_xlfn._xlws.FILTER(Table22[[B365]:[BFAIREXC]], Table22[PLAYER] = A22))</f>
        <v>#VALUE!</v>
      </c>
      <c r="Y22" s="14" t="e" vm="1">
        <f>Table228[[#This Row],[BDG]]/Table228[[#This Row],[Odds]]</f>
        <v>#VALUE!</v>
      </c>
      <c r="Z22" s="103" t="s">
        <v>587</v>
      </c>
    </row>
    <row r="23" spans="1:26">
      <c r="A23" s="159" t="s">
        <v>372</v>
      </c>
      <c r="B23">
        <v>48</v>
      </c>
      <c r="C23">
        <v>24</v>
      </c>
      <c r="D23">
        <v>109</v>
      </c>
      <c r="E23">
        <v>12</v>
      </c>
      <c r="F23">
        <v>139</v>
      </c>
      <c r="G23">
        <v>62</v>
      </c>
      <c r="H23">
        <v>179.9</v>
      </c>
      <c r="I23" s="14">
        <v>279.27835014355185</v>
      </c>
      <c r="J23" s="259">
        <v>306.3633124744257</v>
      </c>
      <c r="K23" s="260">
        <v>497.68911362331977</v>
      </c>
      <c r="L23" s="16">
        <v>28</v>
      </c>
      <c r="M23" s="177">
        <v>67</v>
      </c>
      <c r="N23" s="230">
        <v>48</v>
      </c>
      <c r="O23" s="334">
        <v>67</v>
      </c>
      <c r="Q23" s="159">
        <v>67</v>
      </c>
      <c r="R23" s="159"/>
      <c r="S23" s="159">
        <v>67</v>
      </c>
      <c r="T23">
        <v>1</v>
      </c>
      <c r="U23" s="15">
        <v>0.25</v>
      </c>
      <c r="V23" s="15">
        <v>0.25</v>
      </c>
      <c r="W23" t="e">
        <v>#N/A</v>
      </c>
      <c r="X23" t="e" cm="1" vm="2">
        <f t="array" ref="X23">MAX(_xlfn._xlws.FILTER(Table22[[B365]:[BFAIREXC]], Table22[PLAYER] = A23))</f>
        <v>#VALUE!</v>
      </c>
      <c r="Y23" s="14" t="e" vm="1">
        <f>Table228[[#This Row],[BDG]]/Table228[[#This Row],[Odds]]</f>
        <v>#VALUE!</v>
      </c>
      <c r="Z23" s="103" t="s">
        <v>587</v>
      </c>
    </row>
    <row r="24" spans="1:26">
      <c r="A24" s="159" t="s">
        <v>66</v>
      </c>
      <c r="B24">
        <v>73</v>
      </c>
      <c r="C24">
        <v>99</v>
      </c>
      <c r="D24">
        <v>57</v>
      </c>
      <c r="E24">
        <v>9</v>
      </c>
      <c r="F24">
        <v>132</v>
      </c>
      <c r="G24">
        <v>46</v>
      </c>
      <c r="H24">
        <v>187</v>
      </c>
      <c r="I24" s="14">
        <v>267.01838389741135</v>
      </c>
      <c r="J24" s="259">
        <v>148.26404644774556</v>
      </c>
      <c r="K24" s="260">
        <v>188.92214678060009</v>
      </c>
      <c r="L24" s="16">
        <v>34</v>
      </c>
      <c r="M24" s="177">
        <v>5</v>
      </c>
      <c r="N24" s="230">
        <v>37</v>
      </c>
      <c r="O24" s="334">
        <v>6</v>
      </c>
      <c r="Q24" s="159">
        <v>5</v>
      </c>
      <c r="R24" s="159"/>
      <c r="S24" s="159">
        <v>6</v>
      </c>
      <c r="T24">
        <v>52</v>
      </c>
      <c r="U24" s="15">
        <v>0</v>
      </c>
      <c r="V24" s="15">
        <v>0</v>
      </c>
      <c r="W24">
        <v>-32</v>
      </c>
      <c r="X24" t="e" cm="1" vm="2">
        <f t="array" ref="X24">MAX(_xlfn._xlws.FILTER(Table22[[B365]:[BFAIREXC]], Table22[PLAYER] = A24))</f>
        <v>#VALUE!</v>
      </c>
      <c r="Y24" s="14" t="e" vm="1">
        <f>Table228[[#This Row],[BDG]]/Table228[[#This Row],[Odds]]</f>
        <v>#VALUE!</v>
      </c>
    </row>
    <row r="25" spans="1:26">
      <c r="A25" s="159" t="s">
        <v>47</v>
      </c>
      <c r="B25">
        <v>41</v>
      </c>
      <c r="C25">
        <v>97</v>
      </c>
      <c r="D25">
        <v>171</v>
      </c>
      <c r="E25">
        <v>168</v>
      </c>
      <c r="F25">
        <v>52</v>
      </c>
      <c r="G25">
        <v>125</v>
      </c>
      <c r="H25">
        <v>275.2</v>
      </c>
      <c r="I25" s="14">
        <v>470.63458736738625</v>
      </c>
      <c r="J25" s="259">
        <v>173.92569719418987</v>
      </c>
      <c r="K25" s="260">
        <v>257.59833833276645</v>
      </c>
      <c r="L25" s="16">
        <v>128</v>
      </c>
      <c r="M25" s="177">
        <v>9</v>
      </c>
      <c r="N25" s="230">
        <v>134</v>
      </c>
      <c r="O25" s="334">
        <v>23</v>
      </c>
      <c r="Q25" s="159">
        <v>9</v>
      </c>
      <c r="R25" s="159"/>
      <c r="S25" s="159">
        <v>23</v>
      </c>
      <c r="T25">
        <v>65</v>
      </c>
      <c r="U25" s="15">
        <v>0</v>
      </c>
      <c r="V25" s="15">
        <v>0</v>
      </c>
      <c r="W25">
        <v>-103</v>
      </c>
      <c r="X25" t="e" cm="1" vm="2">
        <f t="array" ref="X25">MAX(_xlfn._xlws.FILTER(Table22[[B365]:[BFAIREXC]], Table22[PLAYER] = A25))</f>
        <v>#VALUE!</v>
      </c>
      <c r="Y25" s="14" t="e" vm="1">
        <f>Table228[[#This Row],[BDG]]/Table228[[#This Row],[Odds]]</f>
        <v>#VALUE!</v>
      </c>
    </row>
    <row r="26" spans="1:26">
      <c r="A26" s="159" t="s">
        <v>69</v>
      </c>
      <c r="B26">
        <v>65</v>
      </c>
      <c r="C26">
        <v>85</v>
      </c>
      <c r="D26">
        <v>9</v>
      </c>
      <c r="E26">
        <v>82</v>
      </c>
      <c r="F26">
        <v>169</v>
      </c>
      <c r="G26">
        <v>56</v>
      </c>
      <c r="H26">
        <v>186.2</v>
      </c>
      <c r="I26" s="14">
        <v>284.64801784631908</v>
      </c>
      <c r="J26" s="259">
        <v>179.15709935413554</v>
      </c>
      <c r="K26" s="260">
        <v>231.9793934393667</v>
      </c>
      <c r="L26" s="16">
        <v>33</v>
      </c>
      <c r="M26" s="177">
        <v>11</v>
      </c>
      <c r="N26" s="230">
        <v>50</v>
      </c>
      <c r="O26" s="334">
        <v>13</v>
      </c>
      <c r="Q26" s="159">
        <v>11</v>
      </c>
      <c r="R26" s="159"/>
      <c r="S26" s="159">
        <v>13</v>
      </c>
      <c r="T26">
        <v>54</v>
      </c>
      <c r="U26" s="15">
        <v>0</v>
      </c>
      <c r="V26" s="15">
        <v>0.25</v>
      </c>
      <c r="W26">
        <v>-18</v>
      </c>
      <c r="X26" t="e" cm="1" vm="2">
        <f t="array" ref="X26">MAX(_xlfn._xlws.FILTER(Table22[[B365]:[BFAIREXC]], Table22[PLAYER] = A26))</f>
        <v>#VALUE!</v>
      </c>
      <c r="Y26" s="14" t="e" vm="1">
        <f>Table228[[#This Row],[BDG]]/Table228[[#This Row],[Odds]]</f>
        <v>#VALUE!</v>
      </c>
    </row>
    <row r="27" spans="1:26">
      <c r="A27" s="159" t="s">
        <v>58</v>
      </c>
      <c r="B27">
        <v>65</v>
      </c>
      <c r="C27">
        <v>96</v>
      </c>
      <c r="D27">
        <v>27</v>
      </c>
      <c r="E27">
        <v>72</v>
      </c>
      <c r="F27">
        <v>109</v>
      </c>
      <c r="G27">
        <v>39</v>
      </c>
      <c r="H27">
        <v>175.20000000000002</v>
      </c>
      <c r="I27" s="14">
        <v>251.34801138005068</v>
      </c>
      <c r="J27" s="259">
        <v>184.28163504335151</v>
      </c>
      <c r="K27" s="260">
        <v>244.6218575437407</v>
      </c>
      <c r="L27" s="16">
        <v>26</v>
      </c>
      <c r="M27" s="177">
        <v>15</v>
      </c>
      <c r="N27" s="230">
        <v>32</v>
      </c>
      <c r="O27" s="334">
        <v>16</v>
      </c>
      <c r="Q27" s="159">
        <v>15</v>
      </c>
      <c r="R27" s="159"/>
      <c r="S27" s="159">
        <v>16</v>
      </c>
      <c r="T27">
        <v>34</v>
      </c>
      <c r="U27" s="15">
        <v>0</v>
      </c>
      <c r="V27" s="15">
        <v>0.25</v>
      </c>
      <c r="W27">
        <v>6</v>
      </c>
      <c r="X27" t="e" cm="1" vm="2">
        <f t="array" ref="X27">MAX(_xlfn._xlws.FILTER(Table22[[B365]:[BFAIREXC]], Table22[PLAYER] = A27))</f>
        <v>#VALUE!</v>
      </c>
      <c r="Y27" s="14" t="e" vm="1">
        <f>Table228[[#This Row],[BDG]]/Table228[[#This Row],[Odds]]</f>
        <v>#VALUE!</v>
      </c>
    </row>
    <row r="28" spans="1:26">
      <c r="A28" s="159" t="s">
        <v>64</v>
      </c>
      <c r="B28">
        <v>75</v>
      </c>
      <c r="C28">
        <v>110</v>
      </c>
      <c r="D28">
        <v>34</v>
      </c>
      <c r="E28">
        <v>91</v>
      </c>
      <c r="F28">
        <v>26</v>
      </c>
      <c r="G28">
        <v>11</v>
      </c>
      <c r="H28">
        <v>167.1</v>
      </c>
      <c r="I28" s="14">
        <v>210.17786458743498</v>
      </c>
      <c r="J28" s="259">
        <v>184.81021799837259</v>
      </c>
      <c r="K28" s="260">
        <v>228.84093313062783</v>
      </c>
      <c r="L28" s="16">
        <v>20</v>
      </c>
      <c r="M28" s="177">
        <v>16</v>
      </c>
      <c r="N28" s="230">
        <v>14</v>
      </c>
      <c r="O28" s="334">
        <v>12</v>
      </c>
      <c r="Q28" s="159">
        <v>16</v>
      </c>
      <c r="R28" s="159"/>
      <c r="S28" s="159">
        <v>12</v>
      </c>
      <c r="T28">
        <v>55</v>
      </c>
      <c r="U28" s="15">
        <v>0</v>
      </c>
      <c r="V28" s="15">
        <v>0.4</v>
      </c>
      <c r="W28">
        <v>-9</v>
      </c>
      <c r="X28" t="e" cm="1" vm="2">
        <f t="array" ref="X28">MAX(_xlfn._xlws.FILTER(Table22[[B365]:[BFAIREXC]], Table22[PLAYER] = A28))</f>
        <v>#VALUE!</v>
      </c>
      <c r="Y28" s="14" t="e" vm="1">
        <f>Table228[[#This Row],[BDG]]/Table228[[#This Row],[Odds]]</f>
        <v>#VALUE!</v>
      </c>
    </row>
    <row r="29" spans="1:26">
      <c r="A29" s="159" t="s">
        <v>132</v>
      </c>
      <c r="B29">
        <v>115</v>
      </c>
      <c r="C29">
        <v>47</v>
      </c>
      <c r="D29">
        <v>8</v>
      </c>
      <c r="E29">
        <v>74</v>
      </c>
      <c r="F29">
        <v>80</v>
      </c>
      <c r="G29">
        <v>9</v>
      </c>
      <c r="H29">
        <v>166.5</v>
      </c>
      <c r="I29" s="14">
        <v>199.62598755508296</v>
      </c>
      <c r="J29" s="259">
        <v>185.58996754010624</v>
      </c>
      <c r="K29" s="260">
        <v>219.52550023987726</v>
      </c>
      <c r="L29" s="16">
        <v>18</v>
      </c>
      <c r="M29" s="177">
        <v>17</v>
      </c>
      <c r="N29" s="230">
        <v>7</v>
      </c>
      <c r="O29" s="334">
        <v>9</v>
      </c>
      <c r="Q29" s="159">
        <v>17</v>
      </c>
      <c r="R29" s="159"/>
      <c r="S29" s="159">
        <v>9</v>
      </c>
      <c r="T29">
        <v>21</v>
      </c>
      <c r="U29" s="15">
        <v>0.25</v>
      </c>
      <c r="V29" s="15">
        <v>0.25</v>
      </c>
      <c r="W29">
        <v>-8</v>
      </c>
      <c r="X29" t="e" cm="1" vm="2">
        <f t="array" ref="X29">MAX(_xlfn._xlws.FILTER(Table22[[B365]:[BFAIREXC]], Table22[PLAYER] = A29))</f>
        <v>#VALUE!</v>
      </c>
      <c r="Y29" s="14" t="e" vm="1">
        <f>Table228[[#This Row],[BDG]]/Table228[[#This Row],[Odds]]</f>
        <v>#VALUE!</v>
      </c>
    </row>
    <row r="30" spans="1:26">
      <c r="A30" s="159" t="s">
        <v>135</v>
      </c>
      <c r="B30">
        <v>162</v>
      </c>
      <c r="C30">
        <v>8</v>
      </c>
      <c r="D30">
        <v>15</v>
      </c>
      <c r="E30">
        <v>21</v>
      </c>
      <c r="F30">
        <v>140</v>
      </c>
      <c r="G30">
        <v>28</v>
      </c>
      <c r="H30">
        <v>191.5</v>
      </c>
      <c r="I30" s="14">
        <v>237.59371066884114</v>
      </c>
      <c r="J30" s="259">
        <v>193.46837403528426</v>
      </c>
      <c r="K30" s="260">
        <v>226.47139552478558</v>
      </c>
      <c r="L30" s="16">
        <v>35</v>
      </c>
      <c r="M30" s="177">
        <v>19</v>
      </c>
      <c r="N30" s="230">
        <v>21</v>
      </c>
      <c r="O30" s="334">
        <v>11</v>
      </c>
      <c r="Q30" s="159">
        <v>19</v>
      </c>
      <c r="R30" s="159"/>
      <c r="S30" s="159">
        <v>11</v>
      </c>
      <c r="T30">
        <v>58</v>
      </c>
      <c r="U30" s="15">
        <v>0</v>
      </c>
      <c r="V30" s="15">
        <v>0.33333333333333331</v>
      </c>
      <c r="W30">
        <v>-23</v>
      </c>
      <c r="X30" t="e" cm="1" vm="2">
        <f t="array" ref="X30">MAX(_xlfn._xlws.FILTER(Table22[[B365]:[BFAIREXC]], Table22[PLAYER] = A30))</f>
        <v>#VALUE!</v>
      </c>
      <c r="Y30" s="14" t="e" vm="1">
        <f>Table228[[#This Row],[BDG]]/Table228[[#This Row],[Odds]]</f>
        <v>#VALUE!</v>
      </c>
    </row>
    <row r="31" spans="1:26">
      <c r="A31" s="159" t="s">
        <v>19</v>
      </c>
      <c r="B31">
        <v>86</v>
      </c>
      <c r="C31">
        <v>37</v>
      </c>
      <c r="D31">
        <v>5</v>
      </c>
      <c r="E31">
        <v>140</v>
      </c>
      <c r="F31">
        <v>72</v>
      </c>
      <c r="G31">
        <v>6</v>
      </c>
      <c r="H31">
        <v>163.30000000000001</v>
      </c>
      <c r="I31" s="14">
        <v>203.38925404882031</v>
      </c>
      <c r="J31" s="259">
        <v>201.12298495001281</v>
      </c>
      <c r="K31" s="260">
        <v>246.70944785295271</v>
      </c>
      <c r="L31" s="16">
        <v>15</v>
      </c>
      <c r="M31" s="177">
        <v>21</v>
      </c>
      <c r="N31" s="230">
        <v>11</v>
      </c>
      <c r="O31" s="334">
        <v>17</v>
      </c>
      <c r="Q31" s="159">
        <v>21</v>
      </c>
      <c r="R31" s="159"/>
      <c r="S31" s="159">
        <v>17</v>
      </c>
      <c r="T31">
        <v>62</v>
      </c>
      <c r="U31" s="15">
        <v>0</v>
      </c>
      <c r="V31" s="15">
        <v>0.5</v>
      </c>
      <c r="W31" t="e">
        <v>#N/A</v>
      </c>
      <c r="X31" t="e" cm="1" vm="2">
        <f t="array" ref="X31">MAX(_xlfn._xlws.FILTER(Table22[[B365]:[BFAIREXC]], Table22[PLAYER] = A31))</f>
        <v>#VALUE!</v>
      </c>
      <c r="Y31" s="14" t="e" vm="1">
        <f>Table228[[#This Row],[BDG]]/Table228[[#This Row],[Odds]]</f>
        <v>#VALUE!</v>
      </c>
    </row>
    <row r="32" spans="1:26">
      <c r="A32" s="159" t="s">
        <v>56</v>
      </c>
      <c r="B32">
        <v>93</v>
      </c>
      <c r="C32">
        <v>46</v>
      </c>
      <c r="D32">
        <v>118</v>
      </c>
      <c r="E32">
        <v>39</v>
      </c>
      <c r="F32">
        <v>44</v>
      </c>
      <c r="G32">
        <v>43</v>
      </c>
      <c r="H32">
        <v>199.29999999999998</v>
      </c>
      <c r="I32" s="14">
        <v>274.22016125059838</v>
      </c>
      <c r="J32" s="259">
        <v>206.14726451681264</v>
      </c>
      <c r="K32" s="260">
        <v>275.86237001231819</v>
      </c>
      <c r="L32" s="16">
        <v>46</v>
      </c>
      <c r="M32" s="177">
        <v>24</v>
      </c>
      <c r="N32" s="230">
        <v>44</v>
      </c>
      <c r="O32" s="334">
        <v>26</v>
      </c>
      <c r="Q32" s="159">
        <v>24</v>
      </c>
      <c r="R32" s="159"/>
      <c r="S32" s="159">
        <v>26</v>
      </c>
      <c r="T32">
        <v>26</v>
      </c>
      <c r="U32" s="15">
        <v>0</v>
      </c>
      <c r="V32" s="15">
        <v>0</v>
      </c>
      <c r="W32">
        <v>-14</v>
      </c>
      <c r="X32" t="e" cm="1" vm="2">
        <f t="array" ref="X32">MAX(_xlfn._xlws.FILTER(Table22[[B365]:[BFAIREXC]], Table22[PLAYER] = A32))</f>
        <v>#VALUE!</v>
      </c>
      <c r="Y32" s="14" t="e" vm="1">
        <f>Table228[[#This Row],[BDG]]/Table228[[#This Row],[Odds]]</f>
        <v>#VALUE!</v>
      </c>
    </row>
    <row r="33" spans="1:25">
      <c r="A33" s="159" t="s">
        <v>605</v>
      </c>
      <c r="B33">
        <v>157</v>
      </c>
      <c r="C33">
        <v>70</v>
      </c>
      <c r="D33">
        <v>32</v>
      </c>
      <c r="E33">
        <v>108</v>
      </c>
      <c r="F33">
        <v>148</v>
      </c>
      <c r="G33">
        <v>104</v>
      </c>
      <c r="H33">
        <v>262.7</v>
      </c>
      <c r="I33" s="14">
        <v>409.62987819895852</v>
      </c>
      <c r="J33" s="259">
        <v>206.2950150028575</v>
      </c>
      <c r="K33" s="260">
        <v>283.26218846276089</v>
      </c>
      <c r="L33" s="16">
        <v>114</v>
      </c>
      <c r="M33" s="177">
        <v>25</v>
      </c>
      <c r="N33" s="230">
        <v>112</v>
      </c>
      <c r="O33" s="334">
        <v>30</v>
      </c>
      <c r="Q33" s="159">
        <v>25</v>
      </c>
      <c r="R33" s="159"/>
      <c r="S33" s="159">
        <v>30</v>
      </c>
      <c r="T33">
        <v>48</v>
      </c>
      <c r="U33" s="15">
        <v>0</v>
      </c>
      <c r="V33" s="15">
        <v>0</v>
      </c>
      <c r="W33">
        <v>-59</v>
      </c>
      <c r="X33" t="e" cm="1" vm="2">
        <f t="array" ref="X33">MAX(_xlfn._xlws.FILTER(Table22[[B365]:[BFAIREXC]], Table22[PLAYER] = A33))</f>
        <v>#VALUE!</v>
      </c>
      <c r="Y33" s="14" t="e" vm="1">
        <f>Table228[[#This Row],[BDG]]/Table228[[#This Row],[Odds]]</f>
        <v>#VALUE!</v>
      </c>
    </row>
    <row r="34" spans="1:25">
      <c r="A34" s="159" t="s">
        <v>76</v>
      </c>
      <c r="B34">
        <v>98</v>
      </c>
      <c r="C34">
        <v>79</v>
      </c>
      <c r="D34">
        <v>102</v>
      </c>
      <c r="E34">
        <v>11</v>
      </c>
      <c r="F34">
        <v>19</v>
      </c>
      <c r="G34">
        <v>7</v>
      </c>
      <c r="H34">
        <v>183.59999999999997</v>
      </c>
      <c r="I34" s="14">
        <v>215.0517077373016</v>
      </c>
      <c r="J34" s="259">
        <v>207.15699248678879</v>
      </c>
      <c r="K34" s="260">
        <v>252.23477026547954</v>
      </c>
      <c r="L34" s="16">
        <v>32</v>
      </c>
      <c r="M34" s="177">
        <v>26</v>
      </c>
      <c r="N34" s="230">
        <v>16</v>
      </c>
      <c r="O34" s="334">
        <v>19</v>
      </c>
      <c r="Q34" s="159">
        <v>26</v>
      </c>
      <c r="R34" s="159"/>
      <c r="S34" s="159">
        <v>19</v>
      </c>
      <c r="T34">
        <v>64</v>
      </c>
      <c r="U34" s="15">
        <v>0</v>
      </c>
      <c r="V34" s="15">
        <v>0.66666666666666663</v>
      </c>
      <c r="W34">
        <v>-4</v>
      </c>
      <c r="X34" t="e" cm="1" vm="2">
        <f t="array" ref="X34">MAX(_xlfn._xlws.FILTER(Table22[[B365]:[BFAIREXC]], Table22[PLAYER] = A34))</f>
        <v>#VALUE!</v>
      </c>
      <c r="Y34" s="14" t="e" vm="1">
        <f>Table228[[#This Row],[BDG]]/Table228[[#This Row],[Odds]]</f>
        <v>#VALUE!</v>
      </c>
    </row>
    <row r="35" spans="1:25">
      <c r="A35" s="159" t="s">
        <v>44</v>
      </c>
      <c r="B35">
        <v>156</v>
      </c>
      <c r="C35">
        <v>136</v>
      </c>
      <c r="D35">
        <v>138</v>
      </c>
      <c r="E35">
        <v>79</v>
      </c>
      <c r="F35">
        <v>175</v>
      </c>
      <c r="G35">
        <v>178</v>
      </c>
      <c r="H35">
        <v>361.8</v>
      </c>
      <c r="I35" s="14">
        <v>604.52647542535169</v>
      </c>
      <c r="J35" s="259">
        <v>213.09594864389709</v>
      </c>
      <c r="K35" s="260">
        <v>315.82763151432323</v>
      </c>
      <c r="L35" s="16">
        <v>182</v>
      </c>
      <c r="M35" s="177">
        <v>28</v>
      </c>
      <c r="N35" s="230">
        <v>182</v>
      </c>
      <c r="O35" s="334">
        <v>41</v>
      </c>
      <c r="Q35" s="159">
        <v>28</v>
      </c>
      <c r="R35" s="159"/>
      <c r="S35" s="159">
        <v>41</v>
      </c>
      <c r="T35">
        <v>17</v>
      </c>
      <c r="U35" s="15">
        <v>0</v>
      </c>
      <c r="V35" s="15">
        <v>0</v>
      </c>
      <c r="W35">
        <v>-122</v>
      </c>
      <c r="X35" t="e" cm="1" vm="2">
        <f t="array" ref="X35">MAX(_xlfn._xlws.FILTER(Table22[[B365]:[BFAIREXC]], Table22[PLAYER] = A35))</f>
        <v>#VALUE!</v>
      </c>
      <c r="Y35" s="14" t="e" vm="1">
        <f>Table228[[#This Row],[BDG]]/Table228[[#This Row],[Odds]]</f>
        <v>#VALUE!</v>
      </c>
    </row>
    <row r="36" spans="1:25">
      <c r="A36" s="159" t="s">
        <v>603</v>
      </c>
      <c r="B36">
        <v>10</v>
      </c>
      <c r="C36">
        <v>147</v>
      </c>
      <c r="D36">
        <v>99</v>
      </c>
      <c r="E36">
        <v>48</v>
      </c>
      <c r="F36">
        <v>53</v>
      </c>
      <c r="G36">
        <v>26</v>
      </c>
      <c r="H36">
        <v>175.5</v>
      </c>
      <c r="I36" s="14">
        <v>246.08068000203144</v>
      </c>
      <c r="J36" s="259">
        <v>214.1741737220276</v>
      </c>
      <c r="K36" s="260">
        <v>277.93372571771812</v>
      </c>
      <c r="L36" s="16">
        <v>27</v>
      </c>
      <c r="M36" s="177">
        <v>29</v>
      </c>
      <c r="N36" s="230">
        <v>30</v>
      </c>
      <c r="O36" s="334">
        <v>28</v>
      </c>
      <c r="Q36" s="159">
        <v>29</v>
      </c>
      <c r="R36" s="159"/>
      <c r="S36" s="159">
        <v>28</v>
      </c>
      <c r="T36">
        <v>46</v>
      </c>
      <c r="U36" s="15">
        <v>0</v>
      </c>
      <c r="V36" s="15">
        <v>0.5</v>
      </c>
      <c r="W36">
        <v>-22</v>
      </c>
      <c r="X36" t="e" cm="1" vm="2">
        <f t="array" ref="X36">MAX(_xlfn._xlws.FILTER(Table22[[B365]:[BFAIREXC]], Table22[PLAYER] = A36))</f>
        <v>#VALUE!</v>
      </c>
      <c r="Y36" s="14" t="e" vm="1">
        <f>Table228[[#This Row],[BDG]]/Table228[[#This Row],[Odds]]</f>
        <v>#VALUE!</v>
      </c>
    </row>
    <row r="37" spans="1:25">
      <c r="A37" s="159" t="s">
        <v>128</v>
      </c>
      <c r="B37">
        <v>149</v>
      </c>
      <c r="C37">
        <v>12</v>
      </c>
      <c r="D37">
        <v>41</v>
      </c>
      <c r="E37">
        <v>27</v>
      </c>
      <c r="F37">
        <v>123</v>
      </c>
      <c r="G37">
        <v>24</v>
      </c>
      <c r="H37">
        <v>197.8</v>
      </c>
      <c r="I37" s="14">
        <v>243.82684607922579</v>
      </c>
      <c r="J37" s="259">
        <v>214.97822501586336</v>
      </c>
      <c r="K37" s="260">
        <v>268.59997202468691</v>
      </c>
      <c r="L37" s="16">
        <v>43.5</v>
      </c>
      <c r="M37" s="177">
        <v>30</v>
      </c>
      <c r="N37" s="230">
        <v>27</v>
      </c>
      <c r="O37" s="334">
        <v>24</v>
      </c>
      <c r="Q37" s="159">
        <v>30</v>
      </c>
      <c r="R37" s="159"/>
      <c r="S37" s="159">
        <v>24</v>
      </c>
      <c r="T37">
        <v>39</v>
      </c>
      <c r="U37" s="15">
        <v>0</v>
      </c>
      <c r="V37" s="15">
        <v>0</v>
      </c>
      <c r="W37">
        <v>1</v>
      </c>
      <c r="X37" t="e" cm="1" vm="2">
        <f t="array" ref="X37">MAX(_xlfn._xlws.FILTER(Table22[[B365]:[BFAIREXC]], Table22[PLAYER] = A37))</f>
        <v>#VALUE!</v>
      </c>
      <c r="Y37" s="14" t="e" vm="1">
        <f>Table228[[#This Row],[BDG]]/Table228[[#This Row],[Odds]]</f>
        <v>#VALUE!</v>
      </c>
    </row>
    <row r="38" spans="1:25">
      <c r="A38" s="159" t="s">
        <v>72</v>
      </c>
      <c r="B38">
        <v>70</v>
      </c>
      <c r="C38">
        <v>52</v>
      </c>
      <c r="D38">
        <v>115</v>
      </c>
      <c r="E38">
        <v>73</v>
      </c>
      <c r="F38">
        <v>88</v>
      </c>
      <c r="G38">
        <v>75</v>
      </c>
      <c r="H38">
        <v>214.7</v>
      </c>
      <c r="I38" s="14">
        <v>333.95519000705315</v>
      </c>
      <c r="J38" s="259">
        <v>215.31779830226878</v>
      </c>
      <c r="K38" s="260">
        <v>286.90717428568865</v>
      </c>
      <c r="L38" s="16">
        <v>67.5</v>
      </c>
      <c r="M38" s="177">
        <v>31</v>
      </c>
      <c r="N38" s="230">
        <v>70</v>
      </c>
      <c r="O38" s="334">
        <v>32</v>
      </c>
      <c r="Q38" s="159">
        <v>31</v>
      </c>
      <c r="R38" s="159"/>
      <c r="S38" s="159">
        <v>32</v>
      </c>
      <c r="T38">
        <v>59</v>
      </c>
      <c r="U38" s="15">
        <v>0</v>
      </c>
      <c r="V38" s="15">
        <v>0</v>
      </c>
      <c r="W38">
        <v>-61</v>
      </c>
      <c r="X38" t="e" cm="1" vm="2">
        <f t="array" ref="X38">MAX(_xlfn._xlws.FILTER(Table22[[B365]:[BFAIREXC]], Table22[PLAYER] = A38))</f>
        <v>#VALUE!</v>
      </c>
      <c r="Y38" s="14" t="e" vm="1">
        <f>Table228[[#This Row],[BDG]]/Table228[[#This Row],[Odds]]</f>
        <v>#VALUE!</v>
      </c>
    </row>
    <row r="39" spans="1:25">
      <c r="A39" s="159" t="s">
        <v>54</v>
      </c>
      <c r="B39">
        <v>50</v>
      </c>
      <c r="C39">
        <v>106</v>
      </c>
      <c r="D39">
        <v>29</v>
      </c>
      <c r="E39">
        <v>56</v>
      </c>
      <c r="F39">
        <v>103</v>
      </c>
      <c r="G39">
        <v>22</v>
      </c>
      <c r="H39">
        <v>161.30000000000001</v>
      </c>
      <c r="I39" s="14">
        <v>218.82530399372089</v>
      </c>
      <c r="J39" s="259">
        <v>218.94058160168009</v>
      </c>
      <c r="K39" s="260">
        <v>313.08973639047946</v>
      </c>
      <c r="L39" s="16">
        <v>12</v>
      </c>
      <c r="M39" s="177">
        <v>33</v>
      </c>
      <c r="N39" s="230">
        <v>18</v>
      </c>
      <c r="O39" s="334">
        <v>39</v>
      </c>
      <c r="Q39" s="159">
        <v>33</v>
      </c>
      <c r="R39" s="159"/>
      <c r="S39" s="159">
        <v>39</v>
      </c>
      <c r="T39">
        <v>43</v>
      </c>
      <c r="U39" s="15">
        <v>0</v>
      </c>
      <c r="V39" s="15">
        <v>0.25</v>
      </c>
      <c r="W39">
        <v>7</v>
      </c>
      <c r="X39" t="e" cm="1" vm="2">
        <f t="array" ref="X39">MAX(_xlfn._xlws.FILTER(Table22[[B365]:[BFAIREXC]], Table22[PLAYER] = A39))</f>
        <v>#VALUE!</v>
      </c>
      <c r="Y39" s="14" t="e" vm="1">
        <f>Table228[[#This Row],[BDG]]/Table228[[#This Row],[Odds]]</f>
        <v>#VALUE!</v>
      </c>
    </row>
    <row r="40" spans="1:25">
      <c r="A40" s="159" t="s">
        <v>158</v>
      </c>
      <c r="B40">
        <v>136</v>
      </c>
      <c r="C40">
        <v>86</v>
      </c>
      <c r="D40">
        <v>20</v>
      </c>
      <c r="E40">
        <v>116</v>
      </c>
      <c r="F40">
        <v>10</v>
      </c>
      <c r="G40">
        <v>18</v>
      </c>
      <c r="H40">
        <v>194</v>
      </c>
      <c r="I40" s="14">
        <v>239.43090137696134</v>
      </c>
      <c r="J40" s="259">
        <v>219.1667002854781</v>
      </c>
      <c r="K40" s="260">
        <v>270.34691908915272</v>
      </c>
      <c r="L40" s="16">
        <v>39.5</v>
      </c>
      <c r="M40" s="177">
        <v>34</v>
      </c>
      <c r="N40" s="230">
        <v>24</v>
      </c>
      <c r="O40" s="334">
        <v>25</v>
      </c>
      <c r="Q40" s="159">
        <v>34</v>
      </c>
      <c r="R40" s="159"/>
      <c r="S40" s="159">
        <v>25</v>
      </c>
      <c r="T40">
        <v>33</v>
      </c>
      <c r="U40" s="15">
        <v>0.2</v>
      </c>
      <c r="V40" s="15">
        <v>0.4</v>
      </c>
      <c r="W40">
        <v>34</v>
      </c>
      <c r="X40" t="e" cm="1" vm="2">
        <f t="array" ref="X40">MAX(_xlfn._xlws.FILTER(Table22[[B365]:[BFAIREXC]], Table22[PLAYER] = A40))</f>
        <v>#VALUE!</v>
      </c>
      <c r="Y40" s="14" t="e" vm="1">
        <f>Table228[[#This Row],[BDG]]/Table228[[#This Row],[Odds]]</f>
        <v>#VALUE!</v>
      </c>
    </row>
    <row r="41" spans="1:25">
      <c r="A41" s="159" t="s">
        <v>110</v>
      </c>
      <c r="B41">
        <v>165</v>
      </c>
      <c r="C41">
        <v>14</v>
      </c>
      <c r="D41">
        <v>75</v>
      </c>
      <c r="E41">
        <v>94</v>
      </c>
      <c r="F41">
        <v>111</v>
      </c>
      <c r="G41">
        <v>82</v>
      </c>
      <c r="H41">
        <v>255.59999999999997</v>
      </c>
      <c r="I41" s="14">
        <v>374.59659239211004</v>
      </c>
      <c r="J41" s="259">
        <v>222.13764140016787</v>
      </c>
      <c r="K41" s="260">
        <v>322.5050837291281</v>
      </c>
      <c r="L41" s="16">
        <v>106</v>
      </c>
      <c r="M41" s="177">
        <v>35</v>
      </c>
      <c r="N41" s="230">
        <v>94</v>
      </c>
      <c r="O41" s="334">
        <v>43</v>
      </c>
      <c r="Q41" s="159">
        <v>35</v>
      </c>
      <c r="R41" s="159"/>
      <c r="S41" s="159">
        <v>43</v>
      </c>
      <c r="T41">
        <v>32</v>
      </c>
      <c r="U41" s="15">
        <v>0</v>
      </c>
      <c r="V41" s="15">
        <v>0</v>
      </c>
      <c r="W41">
        <v>-70</v>
      </c>
      <c r="X41" t="e" cm="1" vm="2">
        <f t="array" ref="X41">MAX(_xlfn._xlws.FILTER(Table22[[B365]:[BFAIREXC]], Table22[PLAYER] = A41))</f>
        <v>#VALUE!</v>
      </c>
      <c r="Y41" s="14" t="e" vm="1">
        <f>Table228[[#This Row],[BDG]]/Table228[[#This Row],[Odds]]</f>
        <v>#VALUE!</v>
      </c>
    </row>
    <row r="42" spans="1:25">
      <c r="A42" s="159" t="s">
        <v>166</v>
      </c>
      <c r="B42">
        <v>158</v>
      </c>
      <c r="C42">
        <v>34</v>
      </c>
      <c r="D42">
        <v>122</v>
      </c>
      <c r="E42">
        <v>4</v>
      </c>
      <c r="F42">
        <v>119</v>
      </c>
      <c r="G42">
        <v>68</v>
      </c>
      <c r="H42">
        <v>258.79999999999995</v>
      </c>
      <c r="I42" s="14">
        <v>359.10584735005762</v>
      </c>
      <c r="J42" s="259">
        <v>222.92479580852913</v>
      </c>
      <c r="K42" s="260">
        <v>278.2211127596637</v>
      </c>
      <c r="L42" s="16">
        <v>111</v>
      </c>
      <c r="M42" s="177">
        <v>36</v>
      </c>
      <c r="N42" s="230">
        <v>84</v>
      </c>
      <c r="O42" s="334">
        <v>29</v>
      </c>
      <c r="Q42" s="159">
        <v>36</v>
      </c>
      <c r="R42" s="159"/>
      <c r="S42" s="159">
        <v>29</v>
      </c>
      <c r="T42">
        <v>37</v>
      </c>
      <c r="U42" s="15">
        <v>0</v>
      </c>
      <c r="V42" s="15">
        <v>0.33333333333333331</v>
      </c>
      <c r="W42">
        <v>-16</v>
      </c>
      <c r="X42" t="e" cm="1" vm="2">
        <f t="array" ref="X42">MAX(_xlfn._xlws.FILTER(Table22[[B365]:[BFAIREXC]], Table22[PLAYER] = A42))</f>
        <v>#VALUE!</v>
      </c>
      <c r="Y42" s="14" t="e" vm="1">
        <f>Table228[[#This Row],[BDG]]/Table228[[#This Row],[Odds]]</f>
        <v>#VALUE!</v>
      </c>
    </row>
    <row r="43" spans="1:25">
      <c r="A43" s="159" t="s">
        <v>140</v>
      </c>
      <c r="B43">
        <v>166</v>
      </c>
      <c r="C43">
        <v>54</v>
      </c>
      <c r="D43">
        <v>60</v>
      </c>
      <c r="E43">
        <v>89</v>
      </c>
      <c r="F43">
        <v>29</v>
      </c>
      <c r="G43">
        <v>57</v>
      </c>
      <c r="H43">
        <v>226.99999999999997</v>
      </c>
      <c r="I43" s="14">
        <v>311.30724990811734</v>
      </c>
      <c r="J43" s="259">
        <v>223.16965052593338</v>
      </c>
      <c r="K43" s="260">
        <v>277.54643270463572</v>
      </c>
      <c r="L43" s="16">
        <v>82</v>
      </c>
      <c r="M43" s="177">
        <v>37</v>
      </c>
      <c r="N43" s="230">
        <v>55</v>
      </c>
      <c r="O43" s="334">
        <v>27</v>
      </c>
      <c r="Q43" s="159">
        <v>37</v>
      </c>
      <c r="R43" s="159"/>
      <c r="S43" s="159">
        <v>27</v>
      </c>
      <c r="T43">
        <v>41</v>
      </c>
      <c r="U43" s="15">
        <v>0</v>
      </c>
      <c r="V43" s="15">
        <v>0</v>
      </c>
      <c r="W43">
        <v>-14</v>
      </c>
      <c r="X43" t="e" cm="1" vm="2">
        <f t="array" ref="X43">MAX(_xlfn._xlws.FILTER(Table22[[B365]:[BFAIREXC]], Table22[PLAYER] = A43))</f>
        <v>#VALUE!</v>
      </c>
      <c r="Y43" s="14" t="e" vm="1">
        <f>Table228[[#This Row],[BDG]]/Table228[[#This Row],[Odds]]</f>
        <v>#VALUE!</v>
      </c>
    </row>
    <row r="44" spans="1:25">
      <c r="A44" s="159" t="s">
        <v>26</v>
      </c>
      <c r="B44">
        <v>15</v>
      </c>
      <c r="C44">
        <v>44</v>
      </c>
      <c r="D44">
        <v>72</v>
      </c>
      <c r="E44">
        <v>183</v>
      </c>
      <c r="F44">
        <v>124</v>
      </c>
      <c r="G44">
        <v>107</v>
      </c>
      <c r="H44">
        <v>201.29999999999998</v>
      </c>
      <c r="I44" s="14">
        <v>370.38767478207001</v>
      </c>
      <c r="J44" s="259">
        <v>224.22718143975368</v>
      </c>
      <c r="K44" s="260">
        <v>354.54649991802592</v>
      </c>
      <c r="L44" s="16">
        <v>51</v>
      </c>
      <c r="M44" s="177">
        <v>38</v>
      </c>
      <c r="N44" s="230">
        <v>89</v>
      </c>
      <c r="O44" s="334">
        <v>54</v>
      </c>
      <c r="Q44" s="159">
        <v>38</v>
      </c>
      <c r="R44" s="159"/>
      <c r="S44" s="159">
        <v>54</v>
      </c>
      <c r="T44">
        <v>20</v>
      </c>
      <c r="U44" s="15">
        <v>0</v>
      </c>
      <c r="V44" s="15">
        <v>0.4</v>
      </c>
      <c r="W44" t="e">
        <v>#N/A</v>
      </c>
      <c r="X44" cm="1">
        <f t="array" ref="X44">MAX(_xlfn._xlws.FILTER(Table22[[B365]:[BFAIREXC]], Table22[PLAYER] = A44))</f>
        <v>4.63</v>
      </c>
      <c r="Y44" s="14">
        <f>Table228[[#This Row],[BDG]]/Table228[[#This Row],[Odds]]</f>
        <v>48.429196855238374</v>
      </c>
    </row>
    <row r="45" spans="1:25">
      <c r="A45" s="159" t="s">
        <v>183</v>
      </c>
      <c r="B45">
        <v>170</v>
      </c>
      <c r="C45">
        <v>9</v>
      </c>
      <c r="D45">
        <v>123</v>
      </c>
      <c r="E45">
        <v>123</v>
      </c>
      <c r="F45">
        <v>15</v>
      </c>
      <c r="G45">
        <v>63</v>
      </c>
      <c r="H45">
        <v>263.89999999999998</v>
      </c>
      <c r="I45" s="14">
        <v>363.79500914179016</v>
      </c>
      <c r="J45" s="259">
        <v>224.61832461407474</v>
      </c>
      <c r="K45" s="260">
        <v>296.11201483388834</v>
      </c>
      <c r="L45" s="16">
        <v>117</v>
      </c>
      <c r="M45" s="177">
        <v>39</v>
      </c>
      <c r="N45" s="230">
        <v>87</v>
      </c>
      <c r="O45" s="334">
        <v>35</v>
      </c>
      <c r="Q45" s="159">
        <v>39</v>
      </c>
      <c r="R45" s="159"/>
      <c r="S45" s="159">
        <v>35</v>
      </c>
      <c r="T45">
        <v>15</v>
      </c>
      <c r="U45" s="15">
        <v>0</v>
      </c>
      <c r="V45" s="15">
        <v>0.2</v>
      </c>
      <c r="W45">
        <v>-23</v>
      </c>
      <c r="X45" t="e" cm="1" vm="2">
        <f t="array" ref="X45">MAX(_xlfn._xlws.FILTER(Table22[[B365]:[BFAIREXC]], Table22[PLAYER] = A45))</f>
        <v>#VALUE!</v>
      </c>
      <c r="Y45" s="14" t="e" vm="1">
        <f>Table228[[#This Row],[BDG]]/Table228[[#This Row],[Odds]]</f>
        <v>#VALUE!</v>
      </c>
    </row>
    <row r="46" spans="1:25">
      <c r="A46" s="159" t="s">
        <v>93</v>
      </c>
      <c r="B46">
        <v>95</v>
      </c>
      <c r="C46">
        <v>13</v>
      </c>
      <c r="D46">
        <v>39</v>
      </c>
      <c r="E46">
        <v>134</v>
      </c>
      <c r="F46">
        <v>156</v>
      </c>
      <c r="G46">
        <v>78</v>
      </c>
      <c r="H46">
        <v>215</v>
      </c>
      <c r="I46" s="14">
        <v>339.34892258377567</v>
      </c>
      <c r="J46" s="259">
        <v>228.03554417787191</v>
      </c>
      <c r="K46" s="260">
        <v>305.19824280717853</v>
      </c>
      <c r="L46" s="16">
        <v>70.5</v>
      </c>
      <c r="M46" s="177">
        <v>40</v>
      </c>
      <c r="N46" s="230">
        <v>74</v>
      </c>
      <c r="O46" s="334">
        <v>37</v>
      </c>
      <c r="Q46" s="159">
        <v>40</v>
      </c>
      <c r="R46" s="159"/>
      <c r="S46" s="159">
        <v>37</v>
      </c>
      <c r="T46">
        <v>40</v>
      </c>
      <c r="U46" s="15">
        <v>0</v>
      </c>
      <c r="V46" s="15">
        <v>0</v>
      </c>
      <c r="W46">
        <v>-45</v>
      </c>
      <c r="X46" t="e" cm="1" vm="2">
        <f t="array" ref="X46">MAX(_xlfn._xlws.FILTER(Table22[[B365]:[BFAIREXC]], Table22[PLAYER] = A46))</f>
        <v>#VALUE!</v>
      </c>
      <c r="Y46" s="14" t="e" vm="1">
        <f>Table228[[#This Row],[BDG]]/Table228[[#This Row],[Odds]]</f>
        <v>#VALUE!</v>
      </c>
    </row>
    <row r="47" spans="1:25">
      <c r="A47" s="159" t="s">
        <v>29</v>
      </c>
      <c r="B47">
        <v>35</v>
      </c>
      <c r="C47">
        <v>112</v>
      </c>
      <c r="D47">
        <v>117</v>
      </c>
      <c r="E47">
        <v>169</v>
      </c>
      <c r="F47">
        <v>34</v>
      </c>
      <c r="G47">
        <v>110</v>
      </c>
      <c r="H47">
        <v>232.4</v>
      </c>
      <c r="I47" s="14">
        <v>403.81927766121703</v>
      </c>
      <c r="J47" s="259">
        <v>228.50787069570646</v>
      </c>
      <c r="K47" s="260">
        <v>328.97077005842289</v>
      </c>
      <c r="L47" s="16">
        <v>87</v>
      </c>
      <c r="M47" s="177">
        <v>41</v>
      </c>
      <c r="N47" s="230">
        <v>109</v>
      </c>
      <c r="O47" s="334">
        <v>46</v>
      </c>
      <c r="Q47" s="159">
        <v>41</v>
      </c>
      <c r="R47" s="159"/>
      <c r="S47" s="159">
        <v>46</v>
      </c>
      <c r="T47">
        <v>28</v>
      </c>
      <c r="U47" s="15">
        <v>0</v>
      </c>
      <c r="V47" s="15">
        <v>0</v>
      </c>
      <c r="W47">
        <v>-58</v>
      </c>
      <c r="X47" t="e" cm="1" vm="2">
        <f t="array" ref="X47">MAX(_xlfn._xlws.FILTER(Table22[[B365]:[BFAIREXC]], Table22[PLAYER] = A47))</f>
        <v>#VALUE!</v>
      </c>
      <c r="Y47" s="14" t="e" vm="1">
        <f>Table228[[#This Row],[BDG]]/Table228[[#This Row],[Odds]]</f>
        <v>#VALUE!</v>
      </c>
    </row>
    <row r="48" spans="1:25">
      <c r="A48" s="159" t="s">
        <v>50</v>
      </c>
      <c r="B48">
        <v>59</v>
      </c>
      <c r="C48">
        <v>142</v>
      </c>
      <c r="D48">
        <v>50</v>
      </c>
      <c r="E48">
        <v>53</v>
      </c>
      <c r="F48">
        <v>11</v>
      </c>
      <c r="G48">
        <v>13</v>
      </c>
      <c r="H48">
        <v>158.70000000000002</v>
      </c>
      <c r="I48" s="14">
        <v>201.67108717838266</v>
      </c>
      <c r="J48" s="259">
        <v>233.45359457452622</v>
      </c>
      <c r="K48" s="260">
        <v>347.21120192229756</v>
      </c>
      <c r="L48" s="16">
        <v>11</v>
      </c>
      <c r="M48" s="177">
        <v>42</v>
      </c>
      <c r="N48" s="230">
        <v>9</v>
      </c>
      <c r="O48" s="334">
        <v>51</v>
      </c>
      <c r="Q48" s="159">
        <v>42</v>
      </c>
      <c r="R48" s="159"/>
      <c r="S48" s="159">
        <v>51</v>
      </c>
      <c r="T48">
        <v>11</v>
      </c>
      <c r="U48" s="15">
        <v>0</v>
      </c>
      <c r="V48" s="15">
        <v>0.25</v>
      </c>
      <c r="W48" t="e">
        <v>#N/A</v>
      </c>
      <c r="X48" cm="1">
        <f t="array" ref="X48">MAX(_xlfn._xlws.FILTER(Table22[[B365]:[BFAIREXC]], Table22[PLAYER] = A48))</f>
        <v>10.3</v>
      </c>
      <c r="Y48" s="14">
        <f>Table228[[#This Row],[BDG]]/Table228[[#This Row],[Odds]]</f>
        <v>22.665397531507399</v>
      </c>
    </row>
    <row r="49" spans="1:25">
      <c r="A49" s="159" t="s">
        <v>113</v>
      </c>
      <c r="B49">
        <v>149</v>
      </c>
      <c r="C49">
        <v>65</v>
      </c>
      <c r="D49">
        <v>132</v>
      </c>
      <c r="E49">
        <v>70</v>
      </c>
      <c r="F49">
        <v>78</v>
      </c>
      <c r="G49">
        <v>66</v>
      </c>
      <c r="H49">
        <v>281.89999999999998</v>
      </c>
      <c r="I49" s="14">
        <v>391.31880902757746</v>
      </c>
      <c r="J49" s="259">
        <v>233.72889348698462</v>
      </c>
      <c r="K49" s="260">
        <v>296.04248018880878</v>
      </c>
      <c r="L49" s="16">
        <v>137</v>
      </c>
      <c r="M49" s="177">
        <v>43</v>
      </c>
      <c r="N49" s="230">
        <v>100</v>
      </c>
      <c r="O49" s="334">
        <v>34</v>
      </c>
      <c r="Q49" s="159">
        <v>43</v>
      </c>
      <c r="R49" s="159"/>
      <c r="S49" s="159">
        <v>34</v>
      </c>
      <c r="T49">
        <v>53</v>
      </c>
      <c r="U49" s="15">
        <v>0</v>
      </c>
      <c r="V49" s="15">
        <v>0.2</v>
      </c>
      <c r="W49">
        <v>-61</v>
      </c>
      <c r="X49" t="e" cm="1" vm="2">
        <f t="array" ref="X49">MAX(_xlfn._xlws.FILTER(Table22[[B365]:[BFAIREXC]], Table22[PLAYER] = A49))</f>
        <v>#VALUE!</v>
      </c>
      <c r="Y49" s="14" t="e" vm="1">
        <f>Table228[[#This Row],[BDG]]/Table228[[#This Row],[Odds]]</f>
        <v>#VALUE!</v>
      </c>
    </row>
    <row r="50" spans="1:25">
      <c r="A50" s="159" t="s">
        <v>38</v>
      </c>
      <c r="B50">
        <v>30</v>
      </c>
      <c r="C50">
        <v>154</v>
      </c>
      <c r="D50">
        <v>104</v>
      </c>
      <c r="E50">
        <v>47</v>
      </c>
      <c r="F50">
        <v>117</v>
      </c>
      <c r="G50">
        <v>72</v>
      </c>
      <c r="H50">
        <v>221</v>
      </c>
      <c r="I50" s="14">
        <v>346.14943193287456</v>
      </c>
      <c r="J50" s="259">
        <v>234.4680029894601</v>
      </c>
      <c r="K50" s="260">
        <v>333.64402868601064</v>
      </c>
      <c r="L50" s="16">
        <v>78</v>
      </c>
      <c r="M50" s="177">
        <v>44</v>
      </c>
      <c r="N50" s="230">
        <v>79</v>
      </c>
      <c r="O50" s="334">
        <v>47</v>
      </c>
      <c r="Q50" s="159">
        <v>44</v>
      </c>
      <c r="R50" s="159"/>
      <c r="S50" s="159">
        <v>47</v>
      </c>
      <c r="T50">
        <v>23</v>
      </c>
      <c r="U50" s="15">
        <v>0</v>
      </c>
      <c r="V50" s="15">
        <v>0.25</v>
      </c>
      <c r="W50">
        <v>-58</v>
      </c>
      <c r="X50" t="e" cm="1" vm="2">
        <f t="array" ref="X50">MAX(_xlfn._xlws.FILTER(Table22[[B365]:[BFAIREXC]], Table22[PLAYER] = A50))</f>
        <v>#VALUE!</v>
      </c>
      <c r="Y50" s="14" t="e" vm="1">
        <f>Table228[[#This Row],[BDG]]/Table228[[#This Row],[Odds]]</f>
        <v>#VALUE!</v>
      </c>
    </row>
    <row r="51" spans="1:25">
      <c r="A51" s="159" t="s">
        <v>63</v>
      </c>
      <c r="B51">
        <v>120</v>
      </c>
      <c r="C51">
        <v>144</v>
      </c>
      <c r="D51">
        <v>24</v>
      </c>
      <c r="E51">
        <v>77</v>
      </c>
      <c r="F51">
        <v>12</v>
      </c>
      <c r="G51">
        <v>23</v>
      </c>
      <c r="H51">
        <v>194</v>
      </c>
      <c r="I51" s="14">
        <v>244.90008801863945</v>
      </c>
      <c r="J51" s="259">
        <v>236.70530764433158</v>
      </c>
      <c r="K51" s="260">
        <v>309.79273338730906</v>
      </c>
      <c r="L51" s="16">
        <v>39.5</v>
      </c>
      <c r="M51" s="177">
        <v>46</v>
      </c>
      <c r="N51" s="230">
        <v>29</v>
      </c>
      <c r="O51" s="334">
        <v>38</v>
      </c>
      <c r="Q51" s="159">
        <v>46</v>
      </c>
      <c r="R51" s="159"/>
      <c r="S51" s="159">
        <v>38</v>
      </c>
      <c r="T51">
        <v>25</v>
      </c>
      <c r="U51" s="15">
        <v>0</v>
      </c>
      <c r="V51" s="15">
        <v>0</v>
      </c>
      <c r="W51" t="e">
        <v>#N/A</v>
      </c>
      <c r="X51" t="e" cm="1" vm="2">
        <f t="array" ref="X51">MAX(_xlfn._xlws.FILTER(Table22[[B365]:[BFAIREXC]], Table22[PLAYER] = A51))</f>
        <v>#VALUE!</v>
      </c>
      <c r="Y51" s="14" t="e" vm="1">
        <f>Table228[[#This Row],[BDG]]/Table228[[#This Row],[Odds]]</f>
        <v>#VALUE!</v>
      </c>
    </row>
    <row r="52" spans="1:25">
      <c r="A52" s="159" t="s">
        <v>59</v>
      </c>
      <c r="B52">
        <v>133</v>
      </c>
      <c r="C52">
        <v>132</v>
      </c>
      <c r="D52">
        <v>68</v>
      </c>
      <c r="E52">
        <v>14</v>
      </c>
      <c r="F52">
        <v>33</v>
      </c>
      <c r="G52">
        <v>25</v>
      </c>
      <c r="H52">
        <v>212.29999999999998</v>
      </c>
      <c r="I52" s="14">
        <v>262.40207927157513</v>
      </c>
      <c r="J52" s="259">
        <v>237.75329005347504</v>
      </c>
      <c r="K52" s="260">
        <v>313.35038786216785</v>
      </c>
      <c r="L52" s="16">
        <v>63</v>
      </c>
      <c r="M52" s="177">
        <v>47</v>
      </c>
      <c r="N52" s="230">
        <v>35</v>
      </c>
      <c r="O52" s="334">
        <v>40</v>
      </c>
      <c r="Q52" s="159">
        <v>47</v>
      </c>
      <c r="R52" s="159"/>
      <c r="S52" s="159">
        <v>40</v>
      </c>
      <c r="T52">
        <v>45</v>
      </c>
      <c r="U52" s="15">
        <v>0</v>
      </c>
      <c r="V52" s="15">
        <v>0.25</v>
      </c>
      <c r="W52" t="e">
        <v>#N/A</v>
      </c>
      <c r="X52" t="e" cm="1" vm="2">
        <f t="array" ref="X52">MAX(_xlfn._xlws.FILTER(Table22[[B365]:[BFAIREXC]], Table22[PLAYER] = A52))</f>
        <v>#VALUE!</v>
      </c>
      <c r="Y52" s="14" t="e" vm="1">
        <f>Table228[[#This Row],[BDG]]/Table228[[#This Row],[Odds]]</f>
        <v>#VALUE!</v>
      </c>
    </row>
    <row r="53" spans="1:25">
      <c r="A53" s="159" t="s">
        <v>97</v>
      </c>
      <c r="B53">
        <v>118</v>
      </c>
      <c r="C53">
        <v>127</v>
      </c>
      <c r="D53">
        <v>111</v>
      </c>
      <c r="E53">
        <v>26</v>
      </c>
      <c r="F53">
        <v>86</v>
      </c>
      <c r="G53">
        <v>88</v>
      </c>
      <c r="H53">
        <v>255.9</v>
      </c>
      <c r="I53" s="14">
        <v>384.66243596457025</v>
      </c>
      <c r="J53" s="259">
        <v>238.24126519348314</v>
      </c>
      <c r="K53" s="260">
        <v>322.77047389159611</v>
      </c>
      <c r="L53" s="16">
        <v>108</v>
      </c>
      <c r="M53" s="177">
        <v>48</v>
      </c>
      <c r="N53" s="230">
        <v>96</v>
      </c>
      <c r="O53" s="334">
        <v>44</v>
      </c>
      <c r="Q53" s="159">
        <v>48</v>
      </c>
      <c r="R53" s="159"/>
      <c r="S53" s="159">
        <v>44</v>
      </c>
      <c r="T53">
        <v>13</v>
      </c>
      <c r="U53" s="15">
        <v>0</v>
      </c>
      <c r="V53" s="15">
        <v>0.2</v>
      </c>
      <c r="W53" t="e">
        <v>#N/A</v>
      </c>
      <c r="X53" cm="1">
        <f t="array" ref="X53">MAX(_xlfn._xlws.FILTER(Table22[[B365]:[BFAIREXC]], Table22[PLAYER] = A53))</f>
        <v>5.51</v>
      </c>
      <c r="Y53" s="14">
        <f>Table228[[#This Row],[BDG]]/Table228[[#This Row],[Odds]]</f>
        <v>43.237979163971531</v>
      </c>
    </row>
    <row r="54" spans="1:25">
      <c r="A54" s="159" t="s">
        <v>145</v>
      </c>
      <c r="B54">
        <v>176</v>
      </c>
      <c r="C54">
        <v>23</v>
      </c>
      <c r="D54">
        <v>11</v>
      </c>
      <c r="E54">
        <v>18</v>
      </c>
      <c r="F54">
        <v>170</v>
      </c>
      <c r="G54">
        <v>85</v>
      </c>
      <c r="H54">
        <v>215.29999999999995</v>
      </c>
      <c r="I54" s="14">
        <v>321.92599339074502</v>
      </c>
      <c r="J54" s="259">
        <v>239.17447216989916</v>
      </c>
      <c r="K54" s="260">
        <v>333.86918483902934</v>
      </c>
      <c r="L54" s="16">
        <v>72</v>
      </c>
      <c r="M54" s="177">
        <v>49</v>
      </c>
      <c r="N54" s="230">
        <v>64</v>
      </c>
      <c r="O54" s="334">
        <v>48</v>
      </c>
      <c r="Q54" s="159">
        <v>49</v>
      </c>
      <c r="R54" s="159"/>
      <c r="S54" s="159">
        <v>48</v>
      </c>
      <c r="T54">
        <v>9</v>
      </c>
      <c r="U54" s="15">
        <v>0</v>
      </c>
      <c r="V54" s="15">
        <v>0</v>
      </c>
      <c r="W54">
        <v>-56</v>
      </c>
      <c r="X54" t="e" cm="1" vm="2">
        <f t="array" ref="X54">MAX(_xlfn._xlws.FILTER(Table22[[B365]:[BFAIREXC]], Table22[PLAYER] = A54))</f>
        <v>#VALUE!</v>
      </c>
      <c r="Y54" s="14" t="e" vm="1">
        <f>Table228[[#This Row],[BDG]]/Table228[[#This Row],[Odds]]</f>
        <v>#VALUE!</v>
      </c>
    </row>
    <row r="55" spans="1:25">
      <c r="A55" s="159" t="s">
        <v>49</v>
      </c>
      <c r="B55">
        <v>60</v>
      </c>
      <c r="C55">
        <v>134</v>
      </c>
      <c r="D55">
        <v>105</v>
      </c>
      <c r="E55">
        <v>69</v>
      </c>
      <c r="F55">
        <v>116</v>
      </c>
      <c r="G55">
        <v>90</v>
      </c>
      <c r="H55">
        <v>243.1</v>
      </c>
      <c r="I55" s="14">
        <v>386.94900009457245</v>
      </c>
      <c r="J55" s="259">
        <v>240.93770594205913</v>
      </c>
      <c r="K55" s="260">
        <v>362.12961228310945</v>
      </c>
      <c r="L55" s="16">
        <v>98</v>
      </c>
      <c r="M55" s="177">
        <v>50</v>
      </c>
      <c r="N55" s="230">
        <v>98</v>
      </c>
      <c r="O55" s="334">
        <v>55</v>
      </c>
      <c r="Q55" s="159">
        <v>50</v>
      </c>
      <c r="R55" s="159"/>
      <c r="S55" s="159">
        <v>55</v>
      </c>
      <c r="T55">
        <v>10</v>
      </c>
      <c r="U55" s="15">
        <v>0</v>
      </c>
      <c r="V55" s="15">
        <v>0</v>
      </c>
      <c r="W55">
        <v>-65</v>
      </c>
      <c r="X55" t="e" cm="1" vm="2">
        <f t="array" ref="X55">MAX(_xlfn._xlws.FILTER(Table22[[B365]:[BFAIREXC]], Table22[PLAYER] = A55))</f>
        <v>#VALUE!</v>
      </c>
      <c r="Y55" s="14" t="e" vm="1">
        <f>Table228[[#This Row],[BDG]]/Table228[[#This Row],[Odds]]</f>
        <v>#VALUE!</v>
      </c>
    </row>
    <row r="56" spans="1:25">
      <c r="A56" s="159" t="s">
        <v>154</v>
      </c>
      <c r="B56">
        <v>145</v>
      </c>
      <c r="C56">
        <v>48</v>
      </c>
      <c r="D56">
        <v>110</v>
      </c>
      <c r="E56">
        <v>64</v>
      </c>
      <c r="F56">
        <v>22</v>
      </c>
      <c r="G56">
        <v>50</v>
      </c>
      <c r="H56">
        <v>232.1</v>
      </c>
      <c r="I56" s="14">
        <v>312.45327412427821</v>
      </c>
      <c r="J56" s="259">
        <v>241.30519470380528</v>
      </c>
      <c r="K56" s="260">
        <v>317.55384204241039</v>
      </c>
      <c r="L56" s="16">
        <v>86</v>
      </c>
      <c r="M56" s="177">
        <v>51</v>
      </c>
      <c r="N56" s="230">
        <v>57</v>
      </c>
      <c r="O56" s="334">
        <v>42</v>
      </c>
      <c r="Q56" s="159">
        <v>51</v>
      </c>
      <c r="R56" s="159"/>
      <c r="S56" s="159">
        <v>42</v>
      </c>
      <c r="T56">
        <v>31</v>
      </c>
      <c r="U56" s="15">
        <v>0</v>
      </c>
      <c r="V56" s="15">
        <v>0.25</v>
      </c>
      <c r="W56">
        <v>-45</v>
      </c>
      <c r="X56" t="e" cm="1" vm="2">
        <f t="array" ref="X56">MAX(_xlfn._xlws.FILTER(Table22[[B365]:[BFAIREXC]], Table22[PLAYER] = A56))</f>
        <v>#VALUE!</v>
      </c>
      <c r="Y56" s="14" t="e" vm="1">
        <f>Table228[[#This Row],[BDG]]/Table228[[#This Row],[Odds]]</f>
        <v>#VALUE!</v>
      </c>
    </row>
    <row r="57" spans="1:25">
      <c r="A57" s="159" t="s">
        <v>36</v>
      </c>
      <c r="B57">
        <v>55</v>
      </c>
      <c r="C57">
        <v>109</v>
      </c>
      <c r="D57">
        <v>108</v>
      </c>
      <c r="E57">
        <v>115</v>
      </c>
      <c r="F57">
        <v>97</v>
      </c>
      <c r="G57">
        <v>93</v>
      </c>
      <c r="H57">
        <v>242.5</v>
      </c>
      <c r="I57" s="14">
        <v>393.08085207967758</v>
      </c>
      <c r="J57" s="259">
        <v>241.95942648551483</v>
      </c>
      <c r="K57" s="260">
        <v>382.19779010918268</v>
      </c>
      <c r="L57" s="16">
        <v>97</v>
      </c>
      <c r="M57" s="177">
        <v>52</v>
      </c>
      <c r="N57" s="230">
        <v>102</v>
      </c>
      <c r="O57" s="334">
        <v>58</v>
      </c>
      <c r="Q57" s="159">
        <v>52</v>
      </c>
      <c r="R57" s="159"/>
      <c r="S57" s="159">
        <v>58</v>
      </c>
      <c r="T57">
        <v>3</v>
      </c>
      <c r="U57" s="15">
        <v>0</v>
      </c>
      <c r="V57" s="15">
        <v>0</v>
      </c>
      <c r="W57">
        <v>-46</v>
      </c>
      <c r="X57" cm="1">
        <f t="array" ref="X57">MAX(_xlfn._xlws.FILTER(Table22[[B365]:[BFAIREXC]], Table22[PLAYER] = A57))</f>
        <v>6.29</v>
      </c>
      <c r="Y57" s="14">
        <f>Table228[[#This Row],[BDG]]/Table228[[#This Row],[Odds]]</f>
        <v>38.467317406282163</v>
      </c>
    </row>
    <row r="58" spans="1:25">
      <c r="A58" s="159" t="s">
        <v>90</v>
      </c>
      <c r="B58">
        <v>159</v>
      </c>
      <c r="C58">
        <v>27</v>
      </c>
      <c r="D58">
        <v>70</v>
      </c>
      <c r="E58">
        <v>148</v>
      </c>
      <c r="F58">
        <v>24</v>
      </c>
      <c r="G58">
        <v>47</v>
      </c>
      <c r="H58">
        <v>239.9</v>
      </c>
      <c r="I58" s="14">
        <v>322.92172455361379</v>
      </c>
      <c r="J58" s="259">
        <v>244.94535280186196</v>
      </c>
      <c r="K58" s="260">
        <v>346.308592686422</v>
      </c>
      <c r="L58" s="16">
        <v>95</v>
      </c>
      <c r="M58" s="177">
        <v>55</v>
      </c>
      <c r="N58" s="230">
        <v>65</v>
      </c>
      <c r="O58" s="334">
        <v>50</v>
      </c>
      <c r="Q58" s="159">
        <v>55</v>
      </c>
      <c r="R58" s="159"/>
      <c r="S58" s="159">
        <v>50</v>
      </c>
      <c r="T58">
        <v>38</v>
      </c>
      <c r="U58" s="15">
        <v>0</v>
      </c>
      <c r="V58" s="15">
        <v>0.2</v>
      </c>
      <c r="W58">
        <v>-4</v>
      </c>
      <c r="X58" t="e" cm="1" vm="2">
        <f t="array" ref="X58">MAX(_xlfn._xlws.FILTER(Table22[[B365]:[BFAIREXC]], Table22[PLAYER] = A58))</f>
        <v>#VALUE!</v>
      </c>
      <c r="Y58" s="14" t="e" vm="1">
        <f>Table228[[#This Row],[BDG]]/Table228[[#This Row],[Odds]]</f>
        <v>#VALUE!</v>
      </c>
    </row>
    <row r="59" spans="1:25">
      <c r="A59" s="159" t="s">
        <v>17</v>
      </c>
      <c r="B59">
        <v>18</v>
      </c>
      <c r="C59">
        <v>182</v>
      </c>
      <c r="D59">
        <v>98</v>
      </c>
      <c r="E59">
        <v>175</v>
      </c>
      <c r="F59">
        <v>100</v>
      </c>
      <c r="G59">
        <v>162</v>
      </c>
      <c r="H59">
        <v>264</v>
      </c>
      <c r="I59" s="14">
        <v>501.16086944843335</v>
      </c>
      <c r="J59" s="259">
        <v>246.15249349001212</v>
      </c>
      <c r="K59" s="260">
        <v>392.1435206438581</v>
      </c>
      <c r="L59" s="16">
        <v>118</v>
      </c>
      <c r="M59" s="177">
        <v>56</v>
      </c>
      <c r="N59" s="230">
        <v>152</v>
      </c>
      <c r="O59" s="334">
        <v>60</v>
      </c>
      <c r="Q59" s="159">
        <v>56</v>
      </c>
      <c r="R59" s="159"/>
      <c r="S59" s="159">
        <v>60</v>
      </c>
      <c r="T59">
        <v>4</v>
      </c>
      <c r="U59" s="15" t="e">
        <v>#N/A</v>
      </c>
      <c r="V59" s="15" t="e">
        <v>#N/A</v>
      </c>
      <c r="W59" t="e">
        <v>#N/A</v>
      </c>
      <c r="X59" t="e" cm="1" vm="2">
        <f t="array" ref="X59">MAX(_xlfn._xlws.FILTER(Table22[[B365]:[BFAIREXC]], Table22[PLAYER] = A59))</f>
        <v>#VALUE!</v>
      </c>
      <c r="Y59" s="14" t="e" vm="1">
        <f>Table228[[#This Row],[BDG]]/Table228[[#This Row],[Odds]]</f>
        <v>#VALUE!</v>
      </c>
    </row>
    <row r="60" spans="1:25">
      <c r="A60" s="159" t="s">
        <v>146</v>
      </c>
      <c r="B60">
        <v>179</v>
      </c>
      <c r="C60">
        <v>11</v>
      </c>
      <c r="D60">
        <v>22</v>
      </c>
      <c r="E60">
        <v>102</v>
      </c>
      <c r="F60">
        <v>160</v>
      </c>
      <c r="G60">
        <v>124</v>
      </c>
      <c r="H60">
        <v>249.9</v>
      </c>
      <c r="I60" s="14">
        <v>409.126574233756</v>
      </c>
      <c r="J60" s="259">
        <v>247.305247130471</v>
      </c>
      <c r="K60" s="260">
        <v>353.79112701402897</v>
      </c>
      <c r="L60" s="16">
        <v>104</v>
      </c>
      <c r="M60" s="177">
        <v>57</v>
      </c>
      <c r="N60" s="230">
        <v>111</v>
      </c>
      <c r="O60" s="334">
        <v>53</v>
      </c>
      <c r="Q60" s="159">
        <v>57</v>
      </c>
      <c r="R60" s="159"/>
      <c r="S60" s="159">
        <v>53</v>
      </c>
      <c r="T60">
        <v>7</v>
      </c>
      <c r="U60" s="15">
        <v>0</v>
      </c>
      <c r="V60" s="15">
        <v>0</v>
      </c>
      <c r="W60" t="e">
        <v>#N/A</v>
      </c>
      <c r="X60" cm="1">
        <f t="array" ref="X60">MAX(_xlfn._xlws.FILTER(Table22[[B365]:[BFAIREXC]], Table22[PLAYER] = A60))</f>
        <v>8.4499999999999993</v>
      </c>
      <c r="Y60" s="14">
        <f>Table228[[#This Row],[BDG]]/Table228[[#This Row],[Odds]]</f>
        <v>29.266893151535033</v>
      </c>
    </row>
    <row r="61" spans="1:25">
      <c r="A61" s="159" t="s">
        <v>9</v>
      </c>
      <c r="B61">
        <v>86</v>
      </c>
      <c r="C61">
        <v>55</v>
      </c>
      <c r="D61">
        <v>95</v>
      </c>
      <c r="E61">
        <v>132</v>
      </c>
      <c r="F61">
        <v>106</v>
      </c>
      <c r="G61">
        <v>77</v>
      </c>
      <c r="H61">
        <v>243.9</v>
      </c>
      <c r="I61" s="14">
        <v>373.99984220113532</v>
      </c>
      <c r="J61" s="259">
        <v>247.33221279038227</v>
      </c>
      <c r="K61" s="260">
        <v>365.36886349868547</v>
      </c>
      <c r="L61" s="16">
        <v>100</v>
      </c>
      <c r="M61" s="177">
        <v>58</v>
      </c>
      <c r="N61" s="230">
        <v>92</v>
      </c>
      <c r="O61" s="334">
        <v>56</v>
      </c>
      <c r="Q61" s="159">
        <v>58</v>
      </c>
      <c r="R61" s="159"/>
      <c r="S61" s="159">
        <v>56</v>
      </c>
      <c r="T61">
        <v>56</v>
      </c>
      <c r="U61" s="15">
        <v>0</v>
      </c>
      <c r="V61" s="15">
        <v>0.33333333333333331</v>
      </c>
      <c r="W61">
        <v>-44</v>
      </c>
      <c r="X61" t="e" cm="1" vm="2">
        <f t="array" ref="X61">MAX(_xlfn._xlws.FILTER(Table22[[B365]:[BFAIREXC]], Table22[PLAYER] = A61))</f>
        <v>#VALUE!</v>
      </c>
      <c r="Y61" s="14" t="e" vm="1">
        <f>Table228[[#This Row],[BDG]]/Table228[[#This Row],[Odds]]</f>
        <v>#VALUE!</v>
      </c>
    </row>
    <row r="62" spans="1:25">
      <c r="A62" s="159" t="s">
        <v>165</v>
      </c>
      <c r="B62">
        <v>171</v>
      </c>
      <c r="C62">
        <v>103</v>
      </c>
      <c r="D62">
        <v>6</v>
      </c>
      <c r="E62">
        <v>126</v>
      </c>
      <c r="F62">
        <v>71</v>
      </c>
      <c r="G62">
        <v>37</v>
      </c>
      <c r="H62">
        <v>243.89999999999998</v>
      </c>
      <c r="I62" s="14">
        <v>315.76890364928818</v>
      </c>
      <c r="J62" s="259">
        <v>249.18560769718869</v>
      </c>
      <c r="K62" s="260">
        <v>339.80787331886796</v>
      </c>
      <c r="L62" s="16">
        <v>99</v>
      </c>
      <c r="M62" s="177">
        <v>59</v>
      </c>
      <c r="N62" s="230">
        <v>60</v>
      </c>
      <c r="O62" s="334">
        <v>49</v>
      </c>
      <c r="Q62" s="159">
        <v>59</v>
      </c>
      <c r="R62" s="159"/>
      <c r="S62" s="159">
        <v>49</v>
      </c>
      <c r="T62">
        <v>18</v>
      </c>
      <c r="U62" s="15">
        <v>0</v>
      </c>
      <c r="V62" s="15">
        <v>0.25</v>
      </c>
      <c r="W62" t="e">
        <v>#N/A</v>
      </c>
      <c r="X62" t="e" cm="1" vm="2">
        <f t="array" ref="X62">MAX(_xlfn._xlws.FILTER(Table22[[B365]:[BFAIREXC]], Table22[PLAYER] = A62))</f>
        <v>#VALUE!</v>
      </c>
      <c r="Y62" s="14" t="e" vm="1">
        <f>Table228[[#This Row],[BDG]]/Table228[[#This Row],[Odds]]</f>
        <v>#VALUE!</v>
      </c>
    </row>
    <row r="63" spans="1:25">
      <c r="A63" s="159" t="s">
        <v>550</v>
      </c>
      <c r="B63">
        <v>160</v>
      </c>
      <c r="C63">
        <v>77</v>
      </c>
      <c r="D63">
        <v>131</v>
      </c>
      <c r="E63">
        <v>38</v>
      </c>
      <c r="F63">
        <v>151</v>
      </c>
      <c r="G63">
        <v>151</v>
      </c>
      <c r="H63">
        <v>310.10000000000002</v>
      </c>
      <c r="I63" s="14">
        <v>508.78478129132947</v>
      </c>
      <c r="J63" s="259">
        <v>256.90756617465536</v>
      </c>
      <c r="K63" s="260">
        <v>372.92354808022219</v>
      </c>
      <c r="L63" s="16">
        <v>164</v>
      </c>
      <c r="M63" s="177">
        <v>60</v>
      </c>
      <c r="N63" s="230">
        <v>153</v>
      </c>
      <c r="O63" s="334">
        <v>57</v>
      </c>
      <c r="Q63" s="159">
        <v>60</v>
      </c>
      <c r="R63" s="159"/>
      <c r="S63" s="159">
        <v>57</v>
      </c>
      <c r="T63">
        <v>8</v>
      </c>
      <c r="U63" s="15">
        <v>0</v>
      </c>
      <c r="V63" s="15">
        <v>0</v>
      </c>
      <c r="W63" t="e">
        <v>#N/A</v>
      </c>
      <c r="X63" t="e" cm="1" vm="2">
        <f t="array" ref="X63">MAX(_xlfn._xlws.FILTER(Table22[[B365]:[BFAIREXC]], Table22[PLAYER] = A63))</f>
        <v>#VALUE!</v>
      </c>
      <c r="Y63" s="14" t="e" vm="1">
        <f>Table228[[#This Row],[BDG]]/Table228[[#This Row],[Odds]]</f>
        <v>#VALUE!</v>
      </c>
    </row>
    <row r="64" spans="1:25">
      <c r="A64" s="159" t="s">
        <v>144</v>
      </c>
      <c r="B64">
        <v>144</v>
      </c>
      <c r="C64">
        <v>81</v>
      </c>
      <c r="D64">
        <v>172</v>
      </c>
      <c r="E64">
        <v>19</v>
      </c>
      <c r="F64">
        <v>154</v>
      </c>
      <c r="G64">
        <v>157</v>
      </c>
      <c r="H64">
        <v>322.8</v>
      </c>
      <c r="I64" s="14">
        <v>532.15675401892122</v>
      </c>
      <c r="J64" s="259">
        <v>268.55730906079839</v>
      </c>
      <c r="K64" s="260">
        <v>389.61621040746149</v>
      </c>
      <c r="L64" s="16">
        <v>169</v>
      </c>
      <c r="M64" s="177">
        <v>62</v>
      </c>
      <c r="N64" s="230">
        <v>161</v>
      </c>
      <c r="O64" s="334">
        <v>59</v>
      </c>
      <c r="Q64" s="159">
        <v>62</v>
      </c>
      <c r="R64" s="159"/>
      <c r="S64" s="159">
        <v>59</v>
      </c>
      <c r="T64">
        <v>16</v>
      </c>
      <c r="U64" s="15">
        <v>0</v>
      </c>
      <c r="V64" s="15">
        <v>0</v>
      </c>
      <c r="W64" t="e">
        <v>#N/A</v>
      </c>
      <c r="X64" t="e" cm="1" vm="2">
        <f t="array" ref="X64">MAX(_xlfn._xlws.FILTER(Table22[[B365]:[BFAIREXC]], Table22[PLAYER] = A64))</f>
        <v>#VALUE!</v>
      </c>
      <c r="Y64" s="14" t="e" vm="1">
        <f>Table228[[#This Row],[BDG]]/Table228[[#This Row],[Odds]]</f>
        <v>#VALUE!</v>
      </c>
    </row>
    <row r="65" spans="1:25">
      <c r="A65" s="159" t="s">
        <v>79</v>
      </c>
      <c r="B65">
        <v>27</v>
      </c>
      <c r="C65">
        <v>69</v>
      </c>
      <c r="D65">
        <v>150</v>
      </c>
      <c r="E65">
        <v>172</v>
      </c>
      <c r="F65">
        <v>178</v>
      </c>
      <c r="G65">
        <v>173</v>
      </c>
      <c r="H65">
        <v>291.5</v>
      </c>
      <c r="I65" s="14">
        <v>545.89787425049417</v>
      </c>
      <c r="J65" s="259">
        <v>268.57968298582711</v>
      </c>
      <c r="K65" s="260">
        <v>422.06581359751385</v>
      </c>
      <c r="L65" s="16">
        <v>145</v>
      </c>
      <c r="M65" s="177">
        <v>63</v>
      </c>
      <c r="N65" s="230">
        <v>165</v>
      </c>
      <c r="O65" s="334">
        <v>64</v>
      </c>
      <c r="Q65" s="159">
        <v>63</v>
      </c>
      <c r="R65" s="159"/>
      <c r="S65" s="159">
        <v>64</v>
      </c>
      <c r="T65">
        <v>5</v>
      </c>
      <c r="U65" s="15">
        <v>0</v>
      </c>
      <c r="V65" s="15">
        <v>0</v>
      </c>
      <c r="W65" t="e">
        <v>#N/A</v>
      </c>
      <c r="X65" cm="1">
        <f t="array" ref="X65">MAX(_xlfn._xlws.FILTER(Table22[[B365]:[BFAIREXC]], Table22[PLAYER] = A65))</f>
        <v>10.3</v>
      </c>
      <c r="Y65" s="14">
        <f>Table228[[#This Row],[BDG]]/Table228[[#This Row],[Odds]]</f>
        <v>26.075697377264767</v>
      </c>
    </row>
    <row r="66" spans="1:25">
      <c r="A66" s="159" t="s">
        <v>101</v>
      </c>
      <c r="B66">
        <v>121</v>
      </c>
      <c r="C66">
        <v>63</v>
      </c>
      <c r="D66">
        <v>66</v>
      </c>
      <c r="E66">
        <v>180</v>
      </c>
      <c r="F66">
        <v>166</v>
      </c>
      <c r="G66">
        <v>174</v>
      </c>
      <c r="H66">
        <v>294.5</v>
      </c>
      <c r="I66" s="14">
        <v>532.14978761649468</v>
      </c>
      <c r="J66" s="259">
        <v>270.83489281031416</v>
      </c>
      <c r="K66" s="260">
        <v>426.47033943318115</v>
      </c>
      <c r="L66" s="16">
        <v>148</v>
      </c>
      <c r="M66" s="177">
        <v>64</v>
      </c>
      <c r="N66" s="230">
        <v>160</v>
      </c>
      <c r="O66" s="334">
        <v>65</v>
      </c>
      <c r="Q66" s="159">
        <v>64</v>
      </c>
      <c r="R66" s="159"/>
      <c r="S66" s="159">
        <v>65</v>
      </c>
      <c r="T66">
        <v>6</v>
      </c>
      <c r="U66" s="15">
        <v>0</v>
      </c>
      <c r="V66" s="15">
        <v>0</v>
      </c>
      <c r="W66">
        <v>-117</v>
      </c>
      <c r="X66" t="e" cm="1" vm="2">
        <f t="array" ref="X66">MAX(_xlfn._xlws.FILTER(Table22[[B365]:[BFAIREXC]], Table22[PLAYER] = A66))</f>
        <v>#VALUE!</v>
      </c>
      <c r="Y66" s="14" t="e" vm="1">
        <f>Table228[[#This Row],[BDG]]/Table228[[#This Row],[Odds]]</f>
        <v>#VALUE!</v>
      </c>
    </row>
    <row r="67" spans="1:25">
      <c r="A67" s="159" t="s">
        <v>104</v>
      </c>
      <c r="B67">
        <v>163</v>
      </c>
      <c r="C67">
        <v>178</v>
      </c>
      <c r="D67">
        <v>80</v>
      </c>
      <c r="E67">
        <v>86</v>
      </c>
      <c r="F67">
        <v>65</v>
      </c>
      <c r="G67">
        <v>98</v>
      </c>
      <c r="H67">
        <v>301.7</v>
      </c>
      <c r="I67" s="14">
        <v>446.37884654171756</v>
      </c>
      <c r="J67" s="259">
        <v>286.33398333745851</v>
      </c>
      <c r="K67" s="260">
        <v>407.94482424218711</v>
      </c>
      <c r="L67" s="16">
        <v>156</v>
      </c>
      <c r="M67" s="177">
        <v>65</v>
      </c>
      <c r="N67" s="230">
        <v>120</v>
      </c>
      <c r="O67" s="334">
        <v>63</v>
      </c>
      <c r="Q67" s="159">
        <v>65</v>
      </c>
      <c r="R67" s="159"/>
      <c r="S67" s="159">
        <v>63</v>
      </c>
      <c r="T67">
        <v>14</v>
      </c>
      <c r="U67" s="15">
        <v>0</v>
      </c>
      <c r="V67" s="15">
        <v>0</v>
      </c>
      <c r="W67">
        <v>-73</v>
      </c>
      <c r="X67" t="e" cm="1" vm="2">
        <f t="array" ref="X67">MAX(_xlfn._xlws.FILTER(Table22[[B365]:[BFAIREXC]], Table22[PLAYER] = A67))</f>
        <v>#VALUE!</v>
      </c>
      <c r="Y67" s="14" t="e" vm="1">
        <f>Table228[[#This Row],[BDG]]/Table228[[#This Row],[Odds]]</f>
        <v>#VALUE!</v>
      </c>
    </row>
    <row r="68" spans="1:25">
      <c r="A68" s="159" t="s">
        <v>105</v>
      </c>
      <c r="B68">
        <v>123</v>
      </c>
      <c r="C68">
        <v>57</v>
      </c>
      <c r="D68">
        <v>116</v>
      </c>
      <c r="E68">
        <v>92</v>
      </c>
      <c r="F68">
        <v>163</v>
      </c>
      <c r="G68">
        <v>150</v>
      </c>
      <c r="H68">
        <v>292.09999999999997</v>
      </c>
      <c r="I68" s="14">
        <v>497.62415010034897</v>
      </c>
      <c r="J68" s="259">
        <v>295.73814555780518</v>
      </c>
      <c r="K68" s="260">
        <v>458.18586231656525</v>
      </c>
      <c r="L68" s="16">
        <v>146</v>
      </c>
      <c r="M68" s="177">
        <v>66</v>
      </c>
      <c r="N68" s="230">
        <v>151</v>
      </c>
      <c r="O68" s="334">
        <v>66</v>
      </c>
      <c r="Q68" s="159">
        <v>66</v>
      </c>
      <c r="R68" s="159"/>
      <c r="S68" s="159">
        <v>66</v>
      </c>
      <c r="T68">
        <v>2</v>
      </c>
      <c r="U68" s="15">
        <v>0</v>
      </c>
      <c r="V68" s="15">
        <v>0</v>
      </c>
      <c r="W68">
        <v>-100</v>
      </c>
      <c r="X68" t="e" cm="1" vm="2">
        <f t="array" ref="X68">MAX(_xlfn._xlws.FILTER(Table22[[B365]:[BFAIREXC]], Table22[PLAYER] = A68))</f>
        <v>#VALUE!</v>
      </c>
      <c r="Y68" s="14" t="e" vm="1">
        <f>Table228[[#This Row],[BDG]]/Table228[[#This Row],[Odds]]</f>
        <v>#VALUE!</v>
      </c>
    </row>
    <row r="69" spans="1:25">
      <c r="A69" s="159" t="s">
        <v>539</v>
      </c>
      <c r="B69">
        <v>9</v>
      </c>
      <c r="C69">
        <v>128</v>
      </c>
      <c r="D69">
        <v>187</v>
      </c>
      <c r="E69">
        <v>164</v>
      </c>
      <c r="F69">
        <v>167</v>
      </c>
      <c r="G69">
        <v>187</v>
      </c>
      <c r="H69">
        <v>320.8</v>
      </c>
      <c r="I69" s="14">
        <v>598.78416561980544</v>
      </c>
      <c r="J69" s="259">
        <v>324.14640747062276</v>
      </c>
      <c r="K69" s="260">
        <v>529.92940231247564</v>
      </c>
      <c r="L69" s="16">
        <v>167</v>
      </c>
      <c r="M69" s="177">
        <v>68</v>
      </c>
      <c r="N69" s="230">
        <v>179</v>
      </c>
      <c r="O69" s="334">
        <v>68</v>
      </c>
      <c r="Q69" s="159">
        <v>68</v>
      </c>
      <c r="R69" s="159"/>
      <c r="S69" s="159">
        <v>68</v>
      </c>
      <c r="T69">
        <v>24</v>
      </c>
      <c r="U69" s="15">
        <v>1</v>
      </c>
      <c r="V69" s="15">
        <v>1</v>
      </c>
      <c r="W69" t="e">
        <v>#N/A</v>
      </c>
      <c r="X69" t="e" cm="1" vm="2">
        <f t="array" ref="X69">MAX(_xlfn._xlws.FILTER(Table22[[B365]:[BFAIREXC]], Table22[PLAYER] = A69))</f>
        <v>#VALUE!</v>
      </c>
      <c r="Y69" s="14" t="e" vm="1">
        <f>Table228[[#This Row],[BDG]]/Table228[[#This Row],[Odds]]</f>
        <v>#VALUE!</v>
      </c>
    </row>
  </sheetData>
  <conditionalFormatting sqref="W2:W1048576">
    <cfRule type="cellIs" dxfId="272" priority="3" operator="between">
      <formula>-5</formula>
      <formula>-9</formula>
    </cfRule>
    <cfRule type="cellIs" dxfId="271" priority="4" operator="lessThanOrEqual">
      <formula>-10</formula>
    </cfRule>
    <cfRule type="cellIs" dxfId="270" priority="5" operator="between">
      <formula>5</formula>
      <formula>9</formula>
    </cfRule>
    <cfRule type="cellIs" dxfId="269" priority="6" operator="greaterThanOrEqual">
      <formula>10</formula>
    </cfRule>
  </conditionalFormatting>
  <conditionalFormatting sqref="U2:V1048576">
    <cfRule type="cellIs" dxfId="268" priority="7" operator="greaterThanOrEqual">
      <formula>20%</formula>
    </cfRule>
    <cfRule type="cellIs" dxfId="267" priority="8" operator="between">
      <formula>10%</formula>
      <formula>20%</formula>
    </cfRule>
    <cfRule type="cellIs" dxfId="266" priority="9" operator="between">
      <formula>0.01%</formula>
      <formula>10%</formula>
    </cfRule>
  </conditionalFormatting>
  <conditionalFormatting sqref="B2:G1048576 L2:T1048576">
    <cfRule type="cellIs" dxfId="265" priority="10" operator="between">
      <formula>101</formula>
      <formula>250</formula>
    </cfRule>
    <cfRule type="cellIs" dxfId="264" priority="11" operator="between">
      <formula>51</formula>
      <formula>100.5</formula>
    </cfRule>
    <cfRule type="cellIs" dxfId="263" priority="12" operator="between">
      <formula>21</formula>
      <formula>50.5</formula>
    </cfRule>
    <cfRule type="cellIs" dxfId="262" priority="13" operator="lessThanOrEqual">
      <formula>20.5</formula>
    </cfRule>
  </conditionalFormatting>
  <conditionalFormatting sqref="J2:K98 Q2:T98">
    <cfRule type="containsErrors" dxfId="261" priority="14">
      <formula>ISERROR(J2)</formula>
    </cfRule>
  </conditionalFormatting>
  <conditionalFormatting sqref="J3">
    <cfRule type="containsErrors" dxfId="260" priority="2">
      <formula>ISERROR(J3)</formula>
    </cfRule>
  </conditionalFormatting>
  <conditionalFormatting sqref="K3">
    <cfRule type="containsErrors" dxfId="259" priority="1">
      <formula>ISERROR(K3)</formula>
    </cfRule>
  </conditionalFormatting>
  <conditionalFormatting sqref="A1:A1048576">
    <cfRule type="expression" dxfId="258" priority="15">
      <formula>$T1=MIN($T$2:$T$9)</formula>
    </cfRule>
    <cfRule type="expression" dxfId="257" priority="16">
      <formula>$T1=MIN($T$10:$T$22)</formula>
    </cfRule>
    <cfRule type="expression" dxfId="256" priority="17">
      <formula>$T1=MIN($T$23:$T$35)</formula>
    </cfRule>
    <cfRule type="expression" dxfId="255" priority="18">
      <formula>$T1=MIN($T$36:$T$72)</formula>
    </cfRule>
    <cfRule type="expression" dxfId="254" priority="19">
      <formula>AND($M1&lt;=3, $O1&gt;3)</formula>
    </cfRule>
    <cfRule type="expression" dxfId="253" priority="20">
      <formula>AND($M1&gt;3, $O1&lt;=3)</formula>
    </cfRule>
    <cfRule type="expression" dxfId="252" priority="21">
      <formula>AND($Q1&lt;=3, $S1&gt;3)</formula>
    </cfRule>
    <cfRule type="expression" dxfId="251" priority="22">
      <formula>AND($Q1&gt;3, $S1&lt;=3)</formula>
    </cfRule>
    <cfRule type="expression" dxfId="250" priority="23">
      <formula>AND($M1&lt;=3, $O1&lt;=3)</formula>
    </cfRule>
    <cfRule type="expression" dxfId="249" priority="24">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E35EB-71B6-4855-9897-DD0BF33793A2}">
  <sheetPr codeName="Sheet74">
    <tabColor rgb="FFFF0000"/>
  </sheetPr>
  <dimension ref="A1:AA128"/>
  <sheetViews>
    <sheetView zoomScale="90" zoomScaleNormal="90" workbookViewId="0">
      <selection activeCell="W12" sqref="W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 min="26" max="26" width="10.5703125" bestFit="1" customWidth="1"/>
  </cols>
  <sheetData>
    <row r="1" spans="1:27" ht="15.75" thickBot="1">
      <c r="A1" s="237" t="s">
        <v>0</v>
      </c>
      <c r="B1" s="7" t="s">
        <v>263</v>
      </c>
      <c r="C1" s="7" t="s">
        <v>264</v>
      </c>
      <c r="D1" s="7" t="s">
        <v>265</v>
      </c>
      <c r="E1" s="7" t="s">
        <v>266</v>
      </c>
      <c r="F1" s="7" t="s">
        <v>267</v>
      </c>
      <c r="G1" s="7" t="s">
        <v>200</v>
      </c>
      <c r="H1" s="123" t="s">
        <v>201</v>
      </c>
      <c r="I1" s="124" t="s">
        <v>202</v>
      </c>
      <c r="J1" s="228" t="s">
        <v>532</v>
      </c>
      <c r="K1" s="229" t="s">
        <v>533</v>
      </c>
      <c r="L1" s="121" t="s">
        <v>326</v>
      </c>
      <c r="M1" s="121" t="s">
        <v>324</v>
      </c>
      <c r="N1" s="124" t="s">
        <v>327</v>
      </c>
      <c r="O1" s="124" t="s">
        <v>323</v>
      </c>
      <c r="P1" s="228" t="s">
        <v>531</v>
      </c>
      <c r="Q1" s="228" t="s">
        <v>528</v>
      </c>
      <c r="R1" s="229" t="s">
        <v>530</v>
      </c>
      <c r="S1" s="229" t="s">
        <v>529</v>
      </c>
      <c r="T1" s="241" t="s">
        <v>566</v>
      </c>
      <c r="U1" s="122" t="s">
        <v>537</v>
      </c>
      <c r="V1" s="122" t="s">
        <v>536</v>
      </c>
      <c r="W1" s="227" t="s">
        <v>535</v>
      </c>
      <c r="X1" s="138" t="s">
        <v>472</v>
      </c>
      <c r="Y1" s="241" t="s">
        <v>565</v>
      </c>
      <c r="Z1" s="331" t="s">
        <v>210</v>
      </c>
    </row>
    <row r="2" spans="1:27">
      <c r="A2" s="159" t="s">
        <v>158</v>
      </c>
      <c r="B2">
        <v>152</v>
      </c>
      <c r="C2">
        <v>107</v>
      </c>
      <c r="D2">
        <v>47</v>
      </c>
      <c r="E2">
        <v>156</v>
      </c>
      <c r="F2">
        <v>50</v>
      </c>
      <c r="G2">
        <v>77</v>
      </c>
      <c r="H2">
        <v>306.10000000000002</v>
      </c>
      <c r="I2" s="14">
        <v>370.79833120647163</v>
      </c>
      <c r="J2" s="259">
        <v>281.88230655106258</v>
      </c>
      <c r="K2" s="260">
        <v>312.62087297543741</v>
      </c>
      <c r="L2" s="16">
        <v>122</v>
      </c>
      <c r="M2" s="16">
        <v>82</v>
      </c>
      <c r="N2" s="230">
        <v>98</v>
      </c>
      <c r="O2" s="230">
        <v>67</v>
      </c>
      <c r="Q2">
        <v>64</v>
      </c>
      <c r="S2">
        <v>41</v>
      </c>
      <c r="T2">
        <v>69</v>
      </c>
      <c r="U2" s="15">
        <v>0</v>
      </c>
      <c r="V2" s="15">
        <v>0.25</v>
      </c>
      <c r="X2" t="e" cm="1" vm="2">
        <f t="array" ref="X2">MAX(_xlfn._xlws.FILTER(Table22[[B365]:[BFAIREXC]], Table22[PLAYER] = A2))</f>
        <v>#VALUE!</v>
      </c>
      <c r="Y2" s="14" t="e" vm="1">
        <f>Table225[[#This Row],[BDG]]/Table225[[#This Row],[Odds]]</f>
        <v>#VALUE!</v>
      </c>
      <c r="Z2">
        <v>1</v>
      </c>
      <c r="AA2" t="s">
        <v>580</v>
      </c>
    </row>
    <row r="3" spans="1:27">
      <c r="A3" s="159" t="s">
        <v>50</v>
      </c>
      <c r="B3">
        <v>60</v>
      </c>
      <c r="C3">
        <v>172</v>
      </c>
      <c r="D3">
        <v>136</v>
      </c>
      <c r="E3">
        <v>37</v>
      </c>
      <c r="F3">
        <v>48</v>
      </c>
      <c r="G3">
        <v>87</v>
      </c>
      <c r="H3">
        <v>285.2</v>
      </c>
      <c r="I3" s="14">
        <v>364.33529768183939</v>
      </c>
      <c r="J3" s="259">
        <v>280.37430881672253</v>
      </c>
      <c r="K3" s="260">
        <v>385.33281373300383</v>
      </c>
      <c r="L3" s="16">
        <v>101</v>
      </c>
      <c r="M3" s="16">
        <v>65</v>
      </c>
      <c r="N3" s="230">
        <v>93</v>
      </c>
      <c r="O3" s="230">
        <v>65</v>
      </c>
      <c r="Q3">
        <v>61</v>
      </c>
      <c r="S3">
        <v>79</v>
      </c>
      <c r="T3">
        <v>31</v>
      </c>
      <c r="U3" s="15">
        <v>0</v>
      </c>
      <c r="V3" s="15">
        <v>0</v>
      </c>
      <c r="X3" cm="1">
        <f t="array" ref="X3">MAX(_xlfn._xlws.FILTER(Table22[[B365]:[BFAIREXC]], Table22[PLAYER] = A3))</f>
        <v>10.3</v>
      </c>
      <c r="Y3" s="14">
        <f>Table225[[#This Row],[BDG]]/Table225[[#This Row],[Odds]]</f>
        <v>27.220806681235196</v>
      </c>
      <c r="Z3">
        <v>2</v>
      </c>
      <c r="AA3" t="s">
        <v>581</v>
      </c>
    </row>
    <row r="4" spans="1:27">
      <c r="A4" s="159" t="s">
        <v>35</v>
      </c>
      <c r="B4">
        <v>122</v>
      </c>
      <c r="C4">
        <v>111</v>
      </c>
      <c r="D4">
        <v>5</v>
      </c>
      <c r="E4">
        <v>89</v>
      </c>
      <c r="F4">
        <v>117</v>
      </c>
      <c r="G4">
        <v>8</v>
      </c>
      <c r="H4">
        <v>261.79999999999995</v>
      </c>
      <c r="I4" s="14">
        <v>244.78740166562358</v>
      </c>
      <c r="J4" s="259">
        <v>186.74780291271054</v>
      </c>
      <c r="K4" s="260">
        <v>173.1394727161171</v>
      </c>
      <c r="L4" s="16">
        <v>75</v>
      </c>
      <c r="M4" s="16">
        <v>49</v>
      </c>
      <c r="N4" s="230">
        <v>30</v>
      </c>
      <c r="O4" s="230">
        <v>19</v>
      </c>
      <c r="Q4">
        <v>5</v>
      </c>
      <c r="S4">
        <v>3</v>
      </c>
      <c r="T4">
        <v>114</v>
      </c>
      <c r="U4" s="15">
        <v>0</v>
      </c>
      <c r="V4" s="15">
        <v>0.66666666666666663</v>
      </c>
      <c r="X4" t="e" cm="1" vm="2">
        <f t="array" ref="X4">MAX(_xlfn._xlws.FILTER(Table22[[B365]:[BFAIREXC]], Table22[PLAYER] = A4))</f>
        <v>#VALUE!</v>
      </c>
      <c r="Y4" s="14" t="e" vm="1">
        <f>Table225[[#This Row],[BDG]]/Table225[[#This Row],[Odds]]</f>
        <v>#VALUE!</v>
      </c>
      <c r="Z4">
        <v>3</v>
      </c>
      <c r="AA4" t="s">
        <v>582</v>
      </c>
    </row>
    <row r="5" spans="1:27">
      <c r="A5" s="159" t="s">
        <v>27</v>
      </c>
      <c r="B5">
        <v>74</v>
      </c>
      <c r="C5">
        <v>104</v>
      </c>
      <c r="D5">
        <v>68</v>
      </c>
      <c r="E5">
        <v>178</v>
      </c>
      <c r="F5">
        <v>32</v>
      </c>
      <c r="G5">
        <v>73</v>
      </c>
      <c r="H5">
        <v>256.39999999999998</v>
      </c>
      <c r="I5" s="14">
        <v>339.25565537103785</v>
      </c>
      <c r="J5" s="259">
        <v>233.9224384357864</v>
      </c>
      <c r="K5" s="260">
        <v>299.41448662580439</v>
      </c>
      <c r="L5" s="16">
        <v>67</v>
      </c>
      <c r="M5" s="16">
        <v>44</v>
      </c>
      <c r="N5" s="230">
        <v>76</v>
      </c>
      <c r="O5" s="230">
        <v>51</v>
      </c>
      <c r="Q5">
        <v>16</v>
      </c>
      <c r="S5">
        <v>33</v>
      </c>
      <c r="T5">
        <v>111</v>
      </c>
      <c r="U5" s="15">
        <v>0</v>
      </c>
      <c r="V5" s="15">
        <v>0.66666666666666663</v>
      </c>
      <c r="X5" t="e" cm="1" vm="2">
        <f t="array" ref="X5">MAX(_xlfn._xlws.FILTER(Table22[[B365]:[BFAIREXC]], Table22[PLAYER] = A5))</f>
        <v>#VALUE!</v>
      </c>
      <c r="Y5" s="14" t="e" vm="1">
        <f>Table225[[#This Row],[BDG]]/Table225[[#This Row],[Odds]]</f>
        <v>#VALUE!</v>
      </c>
      <c r="Z5">
        <v>3</v>
      </c>
      <c r="AA5" t="s">
        <v>583</v>
      </c>
    </row>
    <row r="6" spans="1:27">
      <c r="A6" s="159" t="s">
        <v>64</v>
      </c>
      <c r="B6">
        <v>83</v>
      </c>
      <c r="C6">
        <v>127</v>
      </c>
      <c r="D6">
        <v>78</v>
      </c>
      <c r="E6">
        <v>104</v>
      </c>
      <c r="F6">
        <v>37</v>
      </c>
      <c r="G6">
        <v>32</v>
      </c>
      <c r="H6">
        <v>257.3</v>
      </c>
      <c r="I6" s="14">
        <v>284.49804979264241</v>
      </c>
      <c r="J6" s="259">
        <v>224.80380930066053</v>
      </c>
      <c r="K6" s="260">
        <v>249.74910409163135</v>
      </c>
      <c r="L6" s="16">
        <v>68</v>
      </c>
      <c r="M6" s="16">
        <v>45</v>
      </c>
      <c r="N6" s="230">
        <v>51</v>
      </c>
      <c r="O6" s="230">
        <v>32</v>
      </c>
      <c r="Q6">
        <v>12</v>
      </c>
      <c r="S6">
        <v>10</v>
      </c>
      <c r="T6">
        <v>104</v>
      </c>
      <c r="U6" s="15">
        <v>0</v>
      </c>
      <c r="V6" s="15">
        <v>0.25</v>
      </c>
      <c r="X6" t="e" cm="1" vm="2">
        <f t="array" ref="X6">MAX(_xlfn._xlws.FILTER(Table22[[B365]:[BFAIREXC]], Table22[PLAYER] = A6))</f>
        <v>#VALUE!</v>
      </c>
      <c r="Y6" s="14" t="e" vm="1">
        <f>Table225[[#This Row],[BDG]]/Table225[[#This Row],[Odds]]</f>
        <v>#VALUE!</v>
      </c>
      <c r="Z6">
        <v>5</v>
      </c>
    </row>
    <row r="7" spans="1:27">
      <c r="A7" s="159" t="s">
        <v>76</v>
      </c>
      <c r="B7">
        <v>130</v>
      </c>
      <c r="C7">
        <v>91</v>
      </c>
      <c r="D7">
        <v>48</v>
      </c>
      <c r="E7">
        <v>60</v>
      </c>
      <c r="F7">
        <v>49</v>
      </c>
      <c r="G7">
        <v>19</v>
      </c>
      <c r="H7">
        <v>240.7</v>
      </c>
      <c r="I7" s="14">
        <v>239.00274502123125</v>
      </c>
      <c r="J7" s="259">
        <v>237.3089737631023</v>
      </c>
      <c r="K7" s="260">
        <v>253.94178550161882</v>
      </c>
      <c r="L7" s="16">
        <v>49</v>
      </c>
      <c r="M7" s="16">
        <v>31</v>
      </c>
      <c r="N7" s="230">
        <v>28</v>
      </c>
      <c r="O7" s="230">
        <v>18</v>
      </c>
      <c r="Q7">
        <v>21</v>
      </c>
      <c r="S7">
        <v>12</v>
      </c>
      <c r="T7">
        <v>113</v>
      </c>
      <c r="U7" s="15">
        <v>0</v>
      </c>
      <c r="V7" s="15">
        <v>0.5</v>
      </c>
      <c r="X7" t="e" cm="1" vm="2">
        <f t="array" ref="X7">MAX(_xlfn._xlws.FILTER(Table22[[B365]:[BFAIREXC]], Table22[PLAYER] = A7))</f>
        <v>#VALUE!</v>
      </c>
      <c r="Y7" s="14" t="e" vm="1">
        <f>Table225[[#This Row],[BDG]]/Table225[[#This Row],[Odds]]</f>
        <v>#VALUE!</v>
      </c>
      <c r="Z7">
        <v>6</v>
      </c>
    </row>
    <row r="8" spans="1:27">
      <c r="A8" s="159" t="s">
        <v>98</v>
      </c>
      <c r="B8">
        <v>42</v>
      </c>
      <c r="C8">
        <v>143</v>
      </c>
      <c r="D8">
        <v>146</v>
      </c>
      <c r="E8">
        <v>103</v>
      </c>
      <c r="F8">
        <v>45</v>
      </c>
      <c r="G8">
        <v>86</v>
      </c>
      <c r="H8">
        <v>285.3</v>
      </c>
      <c r="I8" s="14">
        <v>382.38052041471849</v>
      </c>
      <c r="J8" s="259">
        <v>296.54392910129241</v>
      </c>
      <c r="K8" s="260">
        <v>384.38672818280639</v>
      </c>
      <c r="L8" s="16">
        <v>102</v>
      </c>
      <c r="M8" s="16">
        <v>66</v>
      </c>
      <c r="N8" s="230">
        <v>103</v>
      </c>
      <c r="O8" s="230">
        <v>70</v>
      </c>
      <c r="Q8">
        <v>85</v>
      </c>
      <c r="S8">
        <v>77</v>
      </c>
      <c r="T8">
        <v>35</v>
      </c>
      <c r="U8" s="15">
        <v>0</v>
      </c>
      <c r="V8" s="15">
        <v>0</v>
      </c>
      <c r="X8" t="e" cm="1" vm="2">
        <f t="array" ref="X8">MAX(_xlfn._xlws.FILTER(Table22[[B365]:[BFAIREXC]], Table22[PLAYER] = A8))</f>
        <v>#VALUE!</v>
      </c>
      <c r="Y8" s="14" t="e" vm="1">
        <f>Table225[[#This Row],[BDG]]/Table225[[#This Row],[Odds]]</f>
        <v>#VALUE!</v>
      </c>
      <c r="Z8">
        <v>6</v>
      </c>
    </row>
    <row r="9" spans="1:27">
      <c r="A9" s="159" t="s">
        <v>19</v>
      </c>
      <c r="B9">
        <v>17</v>
      </c>
      <c r="C9">
        <v>170</v>
      </c>
      <c r="D9">
        <v>143</v>
      </c>
      <c r="E9">
        <v>37</v>
      </c>
      <c r="F9">
        <v>19</v>
      </c>
      <c r="G9">
        <v>20</v>
      </c>
      <c r="H9">
        <v>224.7</v>
      </c>
      <c r="I9" s="14">
        <v>315.40021349035987</v>
      </c>
      <c r="J9" s="259">
        <v>224.7</v>
      </c>
      <c r="K9" s="260">
        <v>279.75388239795933</v>
      </c>
      <c r="L9" s="16">
        <v>37</v>
      </c>
      <c r="M9" s="16">
        <v>25</v>
      </c>
      <c r="N9" s="230">
        <v>65.5</v>
      </c>
      <c r="O9" s="230">
        <v>44</v>
      </c>
      <c r="Q9">
        <v>11</v>
      </c>
      <c r="S9">
        <v>19</v>
      </c>
      <c r="T9">
        <v>94</v>
      </c>
      <c r="U9" s="15">
        <v>0</v>
      </c>
      <c r="V9" s="15">
        <v>0</v>
      </c>
      <c r="X9" t="e" cm="1" vm="2">
        <f t="array" ref="X9">MAX(_xlfn._xlws.FILTER(Table22[[B365]:[BFAIREXC]], Table22[PLAYER] = A9))</f>
        <v>#VALUE!</v>
      </c>
      <c r="Y9" s="14" t="e" vm="1">
        <f>Table225[[#This Row],[BDG]]/Table225[[#This Row],[Odds]]</f>
        <v>#VALUE!</v>
      </c>
      <c r="Z9">
        <v>8</v>
      </c>
    </row>
    <row r="10" spans="1:27">
      <c r="A10" s="159" t="s">
        <v>54</v>
      </c>
      <c r="B10">
        <v>67</v>
      </c>
      <c r="C10">
        <v>102</v>
      </c>
      <c r="D10">
        <v>16</v>
      </c>
      <c r="E10">
        <v>50</v>
      </c>
      <c r="F10">
        <v>136</v>
      </c>
      <c r="G10">
        <v>42</v>
      </c>
      <c r="H10">
        <v>214</v>
      </c>
      <c r="I10" s="14">
        <v>237.97024242043028</v>
      </c>
      <c r="J10" s="259">
        <v>246.00195205752442</v>
      </c>
      <c r="K10" s="260">
        <v>313.50962130064096</v>
      </c>
      <c r="L10" s="16">
        <v>25</v>
      </c>
      <c r="M10" s="16">
        <v>16</v>
      </c>
      <c r="N10" s="230">
        <v>26</v>
      </c>
      <c r="O10" s="230">
        <v>16</v>
      </c>
      <c r="Q10">
        <v>32</v>
      </c>
      <c r="S10">
        <v>42</v>
      </c>
      <c r="T10">
        <v>84</v>
      </c>
      <c r="U10" s="15">
        <v>0</v>
      </c>
      <c r="V10" s="15">
        <v>0</v>
      </c>
      <c r="X10" t="e" cm="1" vm="2">
        <f t="array" ref="X10">MAX(_xlfn._xlws.FILTER(Table22[[B365]:[BFAIREXC]], Table22[PLAYER] = A10))</f>
        <v>#VALUE!</v>
      </c>
      <c r="Y10" s="14" t="e" vm="1">
        <f>Table225[[#This Row],[BDG]]/Table225[[#This Row],[Odds]]</f>
        <v>#VALUE!</v>
      </c>
      <c r="Z10">
        <v>8</v>
      </c>
    </row>
    <row r="11" spans="1:27">
      <c r="A11" s="159" t="s">
        <v>9</v>
      </c>
      <c r="B11">
        <v>109</v>
      </c>
      <c r="C11">
        <v>60</v>
      </c>
      <c r="D11">
        <v>119</v>
      </c>
      <c r="E11">
        <v>91</v>
      </c>
      <c r="F11">
        <v>162</v>
      </c>
      <c r="G11">
        <v>142</v>
      </c>
      <c r="H11">
        <v>323.89999999999998</v>
      </c>
      <c r="I11" s="14">
        <v>466.99035049165866</v>
      </c>
      <c r="J11" s="259">
        <v>275.90393633929409</v>
      </c>
      <c r="K11" s="260">
        <v>390.05916735041802</v>
      </c>
      <c r="L11" s="16">
        <v>145</v>
      </c>
      <c r="M11" s="16">
        <v>98</v>
      </c>
      <c r="N11" s="230">
        <v>153</v>
      </c>
      <c r="O11" s="230">
        <v>103</v>
      </c>
      <c r="Q11">
        <v>59</v>
      </c>
      <c r="S11">
        <v>80</v>
      </c>
      <c r="T11">
        <v>105</v>
      </c>
      <c r="U11" s="15">
        <v>0</v>
      </c>
      <c r="V11" s="15">
        <v>0</v>
      </c>
      <c r="X11" t="e" cm="1" vm="2">
        <f t="array" ref="X11">MAX(_xlfn._xlws.FILTER(Table22[[B365]:[BFAIREXC]], Table22[PLAYER] = A11))</f>
        <v>#VALUE!</v>
      </c>
      <c r="Y11" s="14" t="e" vm="1">
        <f>Table225[[#This Row],[BDG]]/Table225[[#This Row],[Odds]]</f>
        <v>#VALUE!</v>
      </c>
      <c r="Z11">
        <v>8</v>
      </c>
    </row>
    <row r="12" spans="1:27">
      <c r="A12" s="159" t="s">
        <v>100</v>
      </c>
      <c r="B12">
        <v>127</v>
      </c>
      <c r="C12">
        <v>152</v>
      </c>
      <c r="D12">
        <v>72</v>
      </c>
      <c r="E12">
        <v>19</v>
      </c>
      <c r="F12">
        <v>149</v>
      </c>
      <c r="G12">
        <v>134</v>
      </c>
      <c r="H12">
        <v>325.3</v>
      </c>
      <c r="I12" s="14">
        <v>426.97598719586256</v>
      </c>
      <c r="J12" s="259">
        <v>291.45838188683069</v>
      </c>
      <c r="K12" s="260">
        <v>367.83840187313604</v>
      </c>
      <c r="L12" s="16">
        <v>147</v>
      </c>
      <c r="M12" s="16">
        <v>100</v>
      </c>
      <c r="N12" s="230">
        <v>127</v>
      </c>
      <c r="O12" s="230">
        <v>87</v>
      </c>
      <c r="Q12">
        <v>75</v>
      </c>
      <c r="S12">
        <v>68</v>
      </c>
      <c r="T12">
        <v>12</v>
      </c>
      <c r="U12" s="15"/>
      <c r="V12" s="15"/>
      <c r="X12" t="e" cm="1" vm="2">
        <f t="array" ref="X12">MAX(_xlfn._xlws.FILTER(Table22[[B365]:[BFAIREXC]], Table22[PLAYER] = A12))</f>
        <v>#VALUE!</v>
      </c>
      <c r="Y12" s="14" t="e" vm="1">
        <f>Table225[[#This Row],[BDG]]/Table225[[#This Row],[Odds]]</f>
        <v>#VALUE!</v>
      </c>
      <c r="Z12">
        <v>8</v>
      </c>
    </row>
    <row r="13" spans="1:27">
      <c r="A13" s="159" t="s">
        <v>18</v>
      </c>
      <c r="B13">
        <v>17</v>
      </c>
      <c r="C13">
        <v>135</v>
      </c>
      <c r="D13">
        <v>99</v>
      </c>
      <c r="E13">
        <v>47</v>
      </c>
      <c r="F13">
        <v>29</v>
      </c>
      <c r="G13">
        <v>6</v>
      </c>
      <c r="H13">
        <v>197.2</v>
      </c>
      <c r="I13" s="14">
        <v>204.48671876890177</v>
      </c>
      <c r="J13" s="259">
        <v>160.30886082257598</v>
      </c>
      <c r="K13" s="260">
        <v>170.69259449012839</v>
      </c>
      <c r="L13" s="16">
        <v>17</v>
      </c>
      <c r="M13" s="16">
        <v>11</v>
      </c>
      <c r="N13" s="230">
        <v>15</v>
      </c>
      <c r="O13" s="230">
        <v>8</v>
      </c>
      <c r="Q13">
        <v>1</v>
      </c>
      <c r="S13">
        <v>1</v>
      </c>
      <c r="T13">
        <v>98</v>
      </c>
      <c r="U13" s="15">
        <v>0.33333333333333331</v>
      </c>
      <c r="V13" s="15">
        <v>0.33333333333333331</v>
      </c>
      <c r="X13" t="e" cm="1" vm="2">
        <f t="array" ref="X13">MAX(_xlfn._xlws.FILTER(Table22[[B365]:[BFAIREXC]], Table22[PLAYER] = A13))</f>
        <v>#VALUE!</v>
      </c>
      <c r="Y13" s="14" t="e" vm="1">
        <f>Table225[[#This Row],[BDG]]/Table225[[#This Row],[Odds]]</f>
        <v>#VALUE!</v>
      </c>
    </row>
    <row r="14" spans="1:27">
      <c r="A14" s="159" t="s">
        <v>66</v>
      </c>
      <c r="B14">
        <v>80</v>
      </c>
      <c r="C14">
        <v>75</v>
      </c>
      <c r="D14">
        <v>64</v>
      </c>
      <c r="E14">
        <v>14</v>
      </c>
      <c r="F14">
        <v>126</v>
      </c>
      <c r="G14">
        <v>31</v>
      </c>
      <c r="H14">
        <v>222.4</v>
      </c>
      <c r="I14" s="14">
        <v>238.35360015836892</v>
      </c>
      <c r="J14" s="259">
        <v>167.98398231488406</v>
      </c>
      <c r="K14" s="260">
        <v>172.0731544481705</v>
      </c>
      <c r="L14" s="16">
        <v>32</v>
      </c>
      <c r="M14" s="16">
        <v>21</v>
      </c>
      <c r="N14" s="230">
        <v>27</v>
      </c>
      <c r="O14" s="230">
        <v>17</v>
      </c>
      <c r="Q14">
        <v>2</v>
      </c>
      <c r="S14">
        <v>2</v>
      </c>
      <c r="T14">
        <v>107</v>
      </c>
      <c r="U14" s="15">
        <v>0</v>
      </c>
      <c r="V14" s="15">
        <v>0</v>
      </c>
      <c r="X14" t="e" cm="1" vm="2">
        <f t="array" ref="X14">MAX(_xlfn._xlws.FILTER(Table22[[B365]:[BFAIREXC]], Table22[PLAYER] = A14))</f>
        <v>#VALUE!</v>
      </c>
      <c r="Y14" s="14" t="e" vm="1">
        <f>Table225[[#This Row],[BDG]]/Table225[[#This Row],[Odds]]</f>
        <v>#VALUE!</v>
      </c>
    </row>
    <row r="15" spans="1:27">
      <c r="A15" s="159" t="s">
        <v>74</v>
      </c>
      <c r="B15">
        <v>76</v>
      </c>
      <c r="C15">
        <v>17</v>
      </c>
      <c r="D15">
        <v>52</v>
      </c>
      <c r="E15">
        <v>20</v>
      </c>
      <c r="F15">
        <v>90</v>
      </c>
      <c r="G15">
        <v>58</v>
      </c>
      <c r="H15">
        <v>160.4</v>
      </c>
      <c r="I15" s="14">
        <v>211.2925587585444</v>
      </c>
      <c r="J15" s="259">
        <v>181.52870193759335</v>
      </c>
      <c r="K15" s="260">
        <v>213.7868529570988</v>
      </c>
      <c r="L15" s="16">
        <v>6</v>
      </c>
      <c r="M15" s="16">
        <v>5</v>
      </c>
      <c r="N15" s="230">
        <v>17</v>
      </c>
      <c r="O15" s="230">
        <v>10</v>
      </c>
      <c r="Q15">
        <v>3</v>
      </c>
      <c r="S15">
        <v>6</v>
      </c>
      <c r="T15">
        <v>72</v>
      </c>
      <c r="U15" s="15">
        <v>0</v>
      </c>
      <c r="V15" s="15">
        <v>0</v>
      </c>
      <c r="X15" t="e" cm="1" vm="2">
        <f t="array" ref="X15">MAX(_xlfn._xlws.FILTER(Table22[[B365]:[BFAIREXC]], Table22[PLAYER] = A15))</f>
        <v>#VALUE!</v>
      </c>
      <c r="Y15" s="14" t="e" vm="1">
        <f>Table225[[#This Row],[BDG]]/Table225[[#This Row],[Odds]]</f>
        <v>#VALUE!</v>
      </c>
    </row>
    <row r="16" spans="1:27">
      <c r="A16" s="159" t="s">
        <v>42</v>
      </c>
      <c r="B16">
        <v>9</v>
      </c>
      <c r="C16">
        <v>81</v>
      </c>
      <c r="D16">
        <v>7</v>
      </c>
      <c r="E16">
        <v>2</v>
      </c>
      <c r="F16">
        <v>172</v>
      </c>
      <c r="G16">
        <v>14</v>
      </c>
      <c r="H16">
        <v>147.5</v>
      </c>
      <c r="I16" s="14">
        <v>147.83233672908671</v>
      </c>
      <c r="J16" s="259">
        <v>186.69243785337531</v>
      </c>
      <c r="K16" s="260">
        <v>197.12472928898305</v>
      </c>
      <c r="L16" s="16">
        <v>3</v>
      </c>
      <c r="M16" s="16">
        <v>3</v>
      </c>
      <c r="N16" s="230">
        <v>2</v>
      </c>
      <c r="O16" s="230">
        <v>2</v>
      </c>
      <c r="Q16">
        <v>4</v>
      </c>
      <c r="S16">
        <v>4</v>
      </c>
      <c r="T16">
        <v>112</v>
      </c>
      <c r="U16" s="15">
        <v>0</v>
      </c>
      <c r="V16" s="15">
        <v>1</v>
      </c>
      <c r="X16" t="e" cm="1" vm="2">
        <f t="array" ref="X16">MAX(_xlfn._xlws.FILTER(Table22[[B365]:[BFAIREXC]], Table22[PLAYER] = A16))</f>
        <v>#VALUE!</v>
      </c>
      <c r="Y16" s="14" t="e" vm="1">
        <f>Table225[[#This Row],[BDG]]/Table225[[#This Row],[Odds]]</f>
        <v>#VALUE!</v>
      </c>
    </row>
    <row r="17" spans="1:25">
      <c r="A17" s="159" t="s">
        <v>114</v>
      </c>
      <c r="B17">
        <v>107</v>
      </c>
      <c r="C17">
        <v>20</v>
      </c>
      <c r="D17">
        <v>19</v>
      </c>
      <c r="E17">
        <v>142</v>
      </c>
      <c r="F17">
        <v>33</v>
      </c>
      <c r="G17">
        <v>26</v>
      </c>
      <c r="H17">
        <v>184.20000000000002</v>
      </c>
      <c r="I17" s="14">
        <v>211.52892148937323</v>
      </c>
      <c r="J17" s="259">
        <v>199.3360584055859</v>
      </c>
      <c r="K17" s="260">
        <v>200.40180063998784</v>
      </c>
      <c r="L17" s="16">
        <v>13</v>
      </c>
      <c r="M17" s="16">
        <v>9</v>
      </c>
      <c r="N17" s="230">
        <v>18</v>
      </c>
      <c r="O17" s="230">
        <v>11</v>
      </c>
      <c r="Q17">
        <v>6</v>
      </c>
      <c r="S17">
        <v>5</v>
      </c>
      <c r="T17">
        <v>93</v>
      </c>
      <c r="U17" s="15">
        <v>0</v>
      </c>
      <c r="V17" s="15">
        <v>0</v>
      </c>
      <c r="X17" t="e" cm="1" vm="2">
        <f t="array" ref="X17">MAX(_xlfn._xlws.FILTER(Table22[[B365]:[BFAIREXC]], Table22[PLAYER] = A17))</f>
        <v>#VALUE!</v>
      </c>
      <c r="Y17" s="14" t="e" vm="1">
        <f>Table225[[#This Row],[BDG]]/Table225[[#This Row],[Odds]]</f>
        <v>#VALUE!</v>
      </c>
    </row>
    <row r="18" spans="1:25">
      <c r="A18" s="159" t="s">
        <v>10</v>
      </c>
      <c r="B18">
        <v>11</v>
      </c>
      <c r="C18">
        <v>144</v>
      </c>
      <c r="D18">
        <v>88</v>
      </c>
      <c r="E18">
        <v>16</v>
      </c>
      <c r="F18">
        <v>25</v>
      </c>
      <c r="G18">
        <v>7</v>
      </c>
      <c r="H18">
        <v>175.7</v>
      </c>
      <c r="I18" s="14">
        <v>177.56079316606275</v>
      </c>
      <c r="J18" s="259">
        <v>216.33739943812628</v>
      </c>
      <c r="K18" s="260">
        <v>246.23243097780511</v>
      </c>
      <c r="L18" s="16">
        <v>12</v>
      </c>
      <c r="M18" s="16">
        <v>8</v>
      </c>
      <c r="N18" s="230">
        <v>6</v>
      </c>
      <c r="O18" s="230">
        <v>4</v>
      </c>
      <c r="Q18">
        <v>7</v>
      </c>
      <c r="S18">
        <v>8</v>
      </c>
      <c r="T18">
        <v>103</v>
      </c>
      <c r="U18" s="15">
        <v>0</v>
      </c>
      <c r="V18" s="15">
        <v>0.66666666666666663</v>
      </c>
      <c r="X18" t="e" cm="1" vm="2">
        <f t="array" ref="X18">MAX(_xlfn._xlws.FILTER(Table22[[B365]:[BFAIREXC]], Table22[PLAYER] = A18))</f>
        <v>#VALUE!</v>
      </c>
      <c r="Y18" s="14" t="e" vm="1">
        <f>Table225[[#This Row],[BDG]]/Table225[[#This Row],[Odds]]</f>
        <v>#VALUE!</v>
      </c>
    </row>
    <row r="19" spans="1:25">
      <c r="A19" s="159" t="s">
        <v>370</v>
      </c>
      <c r="B19">
        <v>90</v>
      </c>
      <c r="C19">
        <v>47</v>
      </c>
      <c r="D19">
        <v>42</v>
      </c>
      <c r="E19">
        <v>139</v>
      </c>
      <c r="F19">
        <v>16</v>
      </c>
      <c r="G19">
        <v>15</v>
      </c>
      <c r="H19">
        <v>193.2</v>
      </c>
      <c r="I19" s="14">
        <v>212.62833846523839</v>
      </c>
      <c r="J19" s="259">
        <v>220.81558411141586</v>
      </c>
      <c r="K19" s="260">
        <v>279.22242606523184</v>
      </c>
      <c r="L19" s="16">
        <v>16</v>
      </c>
      <c r="M19" s="16">
        <v>10</v>
      </c>
      <c r="N19" s="230">
        <v>19</v>
      </c>
      <c r="O19" s="230">
        <v>12</v>
      </c>
      <c r="Q19">
        <v>8</v>
      </c>
      <c r="S19">
        <v>17</v>
      </c>
      <c r="T19">
        <v>83</v>
      </c>
      <c r="U19" s="15">
        <v>0</v>
      </c>
      <c r="V19" s="15">
        <v>0</v>
      </c>
      <c r="X19" t="e" cm="1" vm="2">
        <f t="array" ref="X19">MAX(_xlfn._xlws.FILTER(Table22[[B365]:[BFAIREXC]], Table22[PLAYER] = A19))</f>
        <v>#VALUE!</v>
      </c>
      <c r="Y19" s="14" t="e" vm="1">
        <f>Table225[[#This Row],[BDG]]/Table225[[#This Row],[Odds]]</f>
        <v>#VALUE!</v>
      </c>
    </row>
    <row r="20" spans="1:25">
      <c r="A20" s="159" t="s">
        <v>62</v>
      </c>
      <c r="B20">
        <v>46</v>
      </c>
      <c r="C20">
        <v>150</v>
      </c>
      <c r="D20">
        <v>46</v>
      </c>
      <c r="E20">
        <v>66</v>
      </c>
      <c r="F20">
        <v>64</v>
      </c>
      <c r="G20">
        <v>61</v>
      </c>
      <c r="H20">
        <v>217.4</v>
      </c>
      <c r="I20" s="14">
        <v>266.44645644776642</v>
      </c>
      <c r="J20" s="259">
        <v>222.67016273963199</v>
      </c>
      <c r="K20" s="260">
        <v>286.92406273846211</v>
      </c>
      <c r="L20" s="16">
        <v>28</v>
      </c>
      <c r="M20" s="16">
        <v>18</v>
      </c>
      <c r="N20" s="230">
        <v>40</v>
      </c>
      <c r="O20" s="230">
        <v>26</v>
      </c>
      <c r="Q20">
        <v>9</v>
      </c>
      <c r="S20">
        <v>26</v>
      </c>
      <c r="T20">
        <v>60</v>
      </c>
      <c r="U20" s="15">
        <v>0</v>
      </c>
      <c r="V20" s="15">
        <v>0.33333333333333331</v>
      </c>
      <c r="X20" cm="1">
        <f t="array" ref="X20">MAX(_xlfn._xlws.FILTER(Table22[[B365]:[BFAIREXC]], Table22[PLAYER] = A20))</f>
        <v>10.8</v>
      </c>
      <c r="Y20" s="14">
        <f>Table225[[#This Row],[BDG]]/Table225[[#This Row],[Odds]]</f>
        <v>20.617607661077034</v>
      </c>
    </row>
    <row r="21" spans="1:25">
      <c r="A21" s="159" t="s">
        <v>88</v>
      </c>
      <c r="B21">
        <v>33</v>
      </c>
      <c r="C21">
        <v>33</v>
      </c>
      <c r="D21">
        <v>121</v>
      </c>
      <c r="E21">
        <v>46</v>
      </c>
      <c r="F21">
        <v>24</v>
      </c>
      <c r="G21">
        <v>28</v>
      </c>
      <c r="H21">
        <v>161.29999999999998</v>
      </c>
      <c r="I21" s="14">
        <v>204.01529239656287</v>
      </c>
      <c r="J21" s="259">
        <v>223.01805039665425</v>
      </c>
      <c r="K21" s="260">
        <v>284.97764874605076</v>
      </c>
      <c r="L21" s="16">
        <v>7</v>
      </c>
      <c r="M21" s="16">
        <v>6</v>
      </c>
      <c r="N21" s="230">
        <v>14</v>
      </c>
      <c r="O21" s="230">
        <v>7</v>
      </c>
      <c r="Q21">
        <v>10</v>
      </c>
      <c r="S21">
        <v>23</v>
      </c>
      <c r="T21">
        <v>58</v>
      </c>
      <c r="U21" s="15">
        <v>0</v>
      </c>
      <c r="V21" s="15">
        <v>0</v>
      </c>
      <c r="X21" t="e" cm="1" vm="2">
        <f t="array" ref="X21">MAX(_xlfn._xlws.FILTER(Table22[[B365]:[BFAIREXC]], Table22[PLAYER] = A21))</f>
        <v>#VALUE!</v>
      </c>
      <c r="Y21" s="14" t="e" vm="1">
        <f>Table225[[#This Row],[BDG]]/Table225[[#This Row],[Odds]]</f>
        <v>#VALUE!</v>
      </c>
    </row>
    <row r="22" spans="1:25">
      <c r="A22" s="159" t="s">
        <v>44</v>
      </c>
      <c r="B22">
        <v>175</v>
      </c>
      <c r="C22">
        <v>111</v>
      </c>
      <c r="D22">
        <v>93</v>
      </c>
      <c r="E22">
        <v>93</v>
      </c>
      <c r="F22">
        <v>182</v>
      </c>
      <c r="G22">
        <v>175</v>
      </c>
      <c r="H22">
        <v>399.9</v>
      </c>
      <c r="I22" s="14">
        <v>552.82438243750244</v>
      </c>
      <c r="J22" s="259">
        <v>227.82601175418409</v>
      </c>
      <c r="K22" s="260">
        <v>284.21821535566437</v>
      </c>
      <c r="L22" s="16">
        <v>187</v>
      </c>
      <c r="M22" s="16">
        <v>120</v>
      </c>
      <c r="N22" s="230">
        <v>183</v>
      </c>
      <c r="O22" s="230">
        <v>118</v>
      </c>
      <c r="Q22">
        <v>13</v>
      </c>
      <c r="S22">
        <v>22</v>
      </c>
      <c r="T22">
        <v>92</v>
      </c>
      <c r="U22" s="15">
        <v>0</v>
      </c>
      <c r="V22" s="15">
        <v>0</v>
      </c>
      <c r="X22" t="e" cm="1" vm="2">
        <f t="array" ref="X22">MAX(_xlfn._xlws.FILTER(Table22[[B365]:[BFAIREXC]], Table22[PLAYER] = A22))</f>
        <v>#VALUE!</v>
      </c>
      <c r="Y22" s="14" t="e" vm="1">
        <f>Table225[[#This Row],[BDG]]/Table225[[#This Row],[Odds]]</f>
        <v>#VALUE!</v>
      </c>
    </row>
    <row r="23" spans="1:25">
      <c r="A23" s="159" t="s">
        <v>188</v>
      </c>
      <c r="B23">
        <v>177</v>
      </c>
      <c r="C23">
        <v>7</v>
      </c>
      <c r="D23">
        <v>28</v>
      </c>
      <c r="E23">
        <v>69</v>
      </c>
      <c r="F23">
        <v>61</v>
      </c>
      <c r="G23">
        <v>70</v>
      </c>
      <c r="H23">
        <v>223.49999999999997</v>
      </c>
      <c r="I23" s="14">
        <v>272.82175821990597</v>
      </c>
      <c r="J23" s="259">
        <v>229.97658553545136</v>
      </c>
      <c r="K23" s="260">
        <v>242.40856598443969</v>
      </c>
      <c r="L23" s="16">
        <v>36</v>
      </c>
      <c r="M23" s="16">
        <v>24</v>
      </c>
      <c r="N23" s="230">
        <v>44</v>
      </c>
      <c r="O23" s="230">
        <v>30</v>
      </c>
      <c r="Q23">
        <v>14</v>
      </c>
      <c r="S23">
        <v>7</v>
      </c>
      <c r="T23">
        <v>51</v>
      </c>
      <c r="U23" s="15">
        <v>0</v>
      </c>
      <c r="V23" s="15">
        <v>0</v>
      </c>
      <c r="X23" t="e" cm="1" vm="2">
        <f t="array" ref="X23">MAX(_xlfn._xlws.FILTER(Table22[[B365]:[BFAIREXC]], Table22[PLAYER] = A23))</f>
        <v>#VALUE!</v>
      </c>
      <c r="Y23" s="14" t="e" vm="1">
        <f>Table225[[#This Row],[BDG]]/Table225[[#This Row],[Odds]]</f>
        <v>#VALUE!</v>
      </c>
    </row>
    <row r="24" spans="1:25">
      <c r="A24" s="159" t="s">
        <v>126</v>
      </c>
      <c r="B24">
        <v>134</v>
      </c>
      <c r="C24">
        <v>45</v>
      </c>
      <c r="D24">
        <v>75</v>
      </c>
      <c r="E24">
        <v>27</v>
      </c>
      <c r="F24">
        <v>18</v>
      </c>
      <c r="G24">
        <v>11</v>
      </c>
      <c r="H24">
        <v>206.5</v>
      </c>
      <c r="I24" s="14">
        <v>201.54648221848598</v>
      </c>
      <c r="J24" s="259">
        <v>231.58261107211376</v>
      </c>
      <c r="K24" s="260">
        <v>247.59474519732123</v>
      </c>
      <c r="L24" s="16">
        <v>22</v>
      </c>
      <c r="M24" s="16">
        <v>14</v>
      </c>
      <c r="N24" s="230">
        <v>13</v>
      </c>
      <c r="O24" s="230">
        <v>6</v>
      </c>
      <c r="Q24">
        <v>15</v>
      </c>
      <c r="S24">
        <v>9</v>
      </c>
      <c r="T24">
        <v>106</v>
      </c>
      <c r="U24" s="15">
        <v>0</v>
      </c>
      <c r="V24" s="15">
        <v>0.5</v>
      </c>
      <c r="X24" t="e" cm="1" vm="2">
        <f t="array" ref="X24">MAX(_xlfn._xlws.FILTER(Table22[[B365]:[BFAIREXC]], Table22[PLAYER] = A24))</f>
        <v>#VALUE!</v>
      </c>
      <c r="Y24" s="14" t="e" vm="1">
        <f>Table225[[#This Row],[BDG]]/Table225[[#This Row],[Odds]]</f>
        <v>#VALUE!</v>
      </c>
    </row>
    <row r="25" spans="1:25">
      <c r="A25" s="159" t="s">
        <v>56</v>
      </c>
      <c r="B25">
        <v>113</v>
      </c>
      <c r="C25">
        <v>32</v>
      </c>
      <c r="D25">
        <v>132</v>
      </c>
      <c r="E25">
        <v>43</v>
      </c>
      <c r="F25">
        <v>72</v>
      </c>
      <c r="G25">
        <v>55</v>
      </c>
      <c r="H25">
        <v>255.2</v>
      </c>
      <c r="I25" s="14">
        <v>310.23349227081081</v>
      </c>
      <c r="J25" s="259">
        <v>234.38019721354107</v>
      </c>
      <c r="K25" s="260">
        <v>283.16096862791636</v>
      </c>
      <c r="L25" s="16">
        <v>66</v>
      </c>
      <c r="M25" s="16">
        <v>43</v>
      </c>
      <c r="N25" s="230">
        <v>62</v>
      </c>
      <c r="O25" s="230">
        <v>41</v>
      </c>
      <c r="Q25">
        <v>17</v>
      </c>
      <c r="S25">
        <v>21</v>
      </c>
      <c r="T25">
        <v>74</v>
      </c>
      <c r="U25" s="15">
        <v>0</v>
      </c>
      <c r="V25" s="15">
        <v>0</v>
      </c>
      <c r="X25" t="e" cm="1" vm="2">
        <f t="array" ref="X25">MAX(_xlfn._xlws.FILTER(Table22[[B365]:[BFAIREXC]], Table22[PLAYER] = A25))</f>
        <v>#VALUE!</v>
      </c>
      <c r="Y25" s="14" t="e" vm="1">
        <f>Table225[[#This Row],[BDG]]/Table225[[#This Row],[Odds]]</f>
        <v>#VALUE!</v>
      </c>
    </row>
    <row r="26" spans="1:25">
      <c r="A26" s="159" t="s">
        <v>95</v>
      </c>
      <c r="B26">
        <v>124</v>
      </c>
      <c r="C26">
        <v>14</v>
      </c>
      <c r="D26">
        <v>90</v>
      </c>
      <c r="E26">
        <v>64</v>
      </c>
      <c r="F26">
        <v>101</v>
      </c>
      <c r="G26">
        <v>63</v>
      </c>
      <c r="H26">
        <v>246.7</v>
      </c>
      <c r="I26" s="14">
        <v>306.27812486074259</v>
      </c>
      <c r="J26" s="259">
        <v>235.52471515451526</v>
      </c>
      <c r="K26" s="260">
        <v>276.54668996371925</v>
      </c>
      <c r="L26" s="16">
        <v>58</v>
      </c>
      <c r="M26" s="16">
        <v>39</v>
      </c>
      <c r="N26" s="230">
        <v>59</v>
      </c>
      <c r="O26" s="230">
        <v>38</v>
      </c>
      <c r="Q26">
        <v>18</v>
      </c>
      <c r="S26">
        <v>15</v>
      </c>
      <c r="T26">
        <v>86</v>
      </c>
      <c r="U26" s="15">
        <v>0</v>
      </c>
      <c r="V26" s="15">
        <v>0</v>
      </c>
      <c r="X26" cm="1">
        <f t="array" ref="X26">MAX(_xlfn._xlws.FILTER(Table22[[B365]:[BFAIREXC]], Table22[PLAYER] = A26))</f>
        <v>2.94</v>
      </c>
      <c r="Y26" s="14">
        <f>Table225[[#This Row],[BDG]]/Table225[[#This Row],[Odds]]</f>
        <v>80.110447331467782</v>
      </c>
    </row>
    <row r="27" spans="1:25">
      <c r="A27" s="159" t="s">
        <v>125</v>
      </c>
      <c r="B27">
        <v>79</v>
      </c>
      <c r="C27">
        <v>58</v>
      </c>
      <c r="D27">
        <v>125</v>
      </c>
      <c r="E27">
        <v>81</v>
      </c>
      <c r="F27">
        <v>63</v>
      </c>
      <c r="G27">
        <v>68</v>
      </c>
      <c r="H27">
        <v>249.4</v>
      </c>
      <c r="I27" s="14">
        <v>325.49311115352452</v>
      </c>
      <c r="J27" s="259">
        <v>236.11733650122056</v>
      </c>
      <c r="K27" s="260">
        <v>287.57745786466199</v>
      </c>
      <c r="L27" s="16">
        <v>61</v>
      </c>
      <c r="M27" s="16">
        <v>41</v>
      </c>
      <c r="N27" s="230">
        <v>73</v>
      </c>
      <c r="O27" s="230">
        <v>49</v>
      </c>
      <c r="Q27">
        <v>19</v>
      </c>
      <c r="S27">
        <v>27</v>
      </c>
      <c r="T27">
        <v>76</v>
      </c>
      <c r="U27" s="15">
        <v>0</v>
      </c>
      <c r="V27" s="15">
        <v>0.25</v>
      </c>
      <c r="X27" t="e" cm="1" vm="2">
        <f t="array" ref="X27">MAX(_xlfn._xlws.FILTER(Table22[[B365]:[BFAIREXC]], Table22[PLAYER] = A27))</f>
        <v>#VALUE!</v>
      </c>
      <c r="Y27" s="14" t="e" vm="1">
        <f>Table225[[#This Row],[BDG]]/Table225[[#This Row],[Odds]]</f>
        <v>#VALUE!</v>
      </c>
    </row>
    <row r="28" spans="1:25">
      <c r="A28" s="159" t="s">
        <v>26</v>
      </c>
      <c r="B28">
        <v>24</v>
      </c>
      <c r="C28">
        <v>50</v>
      </c>
      <c r="D28">
        <v>60</v>
      </c>
      <c r="E28">
        <v>183</v>
      </c>
      <c r="F28">
        <v>139</v>
      </c>
      <c r="G28">
        <v>85</v>
      </c>
      <c r="H28">
        <v>233.9</v>
      </c>
      <c r="I28" s="14">
        <v>343.00383332825379</v>
      </c>
      <c r="J28" s="259">
        <v>237.2361108322516</v>
      </c>
      <c r="K28" s="260">
        <v>337.45085440354319</v>
      </c>
      <c r="L28" s="16">
        <v>44</v>
      </c>
      <c r="M28" s="16">
        <v>27</v>
      </c>
      <c r="N28" s="230">
        <v>81</v>
      </c>
      <c r="O28" s="230">
        <v>55</v>
      </c>
      <c r="Q28">
        <v>20</v>
      </c>
      <c r="S28">
        <v>53</v>
      </c>
      <c r="T28">
        <v>80</v>
      </c>
      <c r="U28" s="15">
        <v>0</v>
      </c>
      <c r="V28" s="15">
        <v>0.5</v>
      </c>
      <c r="X28" cm="1">
        <f t="array" ref="X28">MAX(_xlfn._xlws.FILTER(Table22[[B365]:[BFAIREXC]], Table22[PLAYER] = A28))</f>
        <v>4.63</v>
      </c>
      <c r="Y28" s="14">
        <f>Table225[[#This Row],[BDG]]/Table225[[#This Row],[Odds]]</f>
        <v>51.238900827700128</v>
      </c>
    </row>
    <row r="29" spans="1:25">
      <c r="A29" s="159" t="s">
        <v>122</v>
      </c>
      <c r="B29">
        <v>106</v>
      </c>
      <c r="C29">
        <v>25</v>
      </c>
      <c r="D29">
        <v>107</v>
      </c>
      <c r="E29">
        <v>22</v>
      </c>
      <c r="F29">
        <v>31</v>
      </c>
      <c r="G29">
        <v>41</v>
      </c>
      <c r="H29">
        <v>199</v>
      </c>
      <c r="I29" s="14">
        <v>235.87934154215259</v>
      </c>
      <c r="J29" s="259">
        <v>237.54203352959792</v>
      </c>
      <c r="K29" s="260">
        <v>282.77130528865723</v>
      </c>
      <c r="L29" s="16">
        <v>18</v>
      </c>
      <c r="M29" s="16">
        <v>12</v>
      </c>
      <c r="N29" s="230">
        <v>25</v>
      </c>
      <c r="O29" s="230">
        <v>15</v>
      </c>
      <c r="Q29">
        <v>22</v>
      </c>
      <c r="S29">
        <v>20</v>
      </c>
      <c r="T29">
        <v>44</v>
      </c>
      <c r="U29" s="15">
        <v>0</v>
      </c>
      <c r="V29" s="15">
        <v>0.33333333333333331</v>
      </c>
      <c r="X29" cm="1">
        <f t="array" ref="X29">MAX(_xlfn._xlws.FILTER(Table22[[B365]:[BFAIREXC]], Table22[PLAYER] = A29))</f>
        <v>4.63</v>
      </c>
      <c r="Y29" s="14">
        <f>Table225[[#This Row],[BDG]]/Table225[[#This Row],[Odds]]</f>
        <v>51.304974844405599</v>
      </c>
    </row>
    <row r="30" spans="1:25">
      <c r="A30" s="159" t="s">
        <v>92</v>
      </c>
      <c r="B30">
        <v>52</v>
      </c>
      <c r="C30">
        <v>81</v>
      </c>
      <c r="D30">
        <v>35</v>
      </c>
      <c r="E30">
        <v>42</v>
      </c>
      <c r="F30">
        <v>142</v>
      </c>
      <c r="G30">
        <v>80</v>
      </c>
      <c r="H30">
        <v>202.5</v>
      </c>
      <c r="I30" s="14">
        <v>271.61692751207136</v>
      </c>
      <c r="J30" s="259">
        <v>237.80374076187221</v>
      </c>
      <c r="K30" s="260">
        <v>301.40634112930979</v>
      </c>
      <c r="L30" s="16">
        <v>20</v>
      </c>
      <c r="M30" s="16">
        <v>13</v>
      </c>
      <c r="N30" s="230">
        <v>43</v>
      </c>
      <c r="O30" s="230">
        <v>29</v>
      </c>
      <c r="Q30">
        <v>23</v>
      </c>
      <c r="S30">
        <v>35</v>
      </c>
      <c r="T30">
        <v>50</v>
      </c>
      <c r="U30" s="15">
        <v>0</v>
      </c>
      <c r="V30" s="15">
        <v>0</v>
      </c>
      <c r="X30" cm="1">
        <f t="array" ref="X30">MAX(_xlfn._xlws.FILTER(Table22[[B365]:[BFAIREXC]], Table22[PLAYER] = A30))</f>
        <v>5.9</v>
      </c>
      <c r="Y30" s="14">
        <f>Table225[[#This Row],[BDG]]/Table225[[#This Row],[Odds]]</f>
        <v>40.305718773198677</v>
      </c>
    </row>
    <row r="31" spans="1:25">
      <c r="A31" s="159" t="s">
        <v>22</v>
      </c>
      <c r="B31">
        <v>40</v>
      </c>
      <c r="C31">
        <v>66</v>
      </c>
      <c r="D31">
        <v>156</v>
      </c>
      <c r="E31">
        <v>45</v>
      </c>
      <c r="F31">
        <v>36</v>
      </c>
      <c r="G31">
        <v>60</v>
      </c>
      <c r="H31">
        <v>216.79999999999998</v>
      </c>
      <c r="I31" s="14">
        <v>290.93460800278797</v>
      </c>
      <c r="J31" s="259">
        <v>238.0076428317721</v>
      </c>
      <c r="K31" s="260">
        <v>355.61562876449671</v>
      </c>
      <c r="L31" s="16">
        <v>27</v>
      </c>
      <c r="M31" s="16">
        <v>17</v>
      </c>
      <c r="N31" s="230">
        <v>55</v>
      </c>
      <c r="O31" s="230">
        <v>34</v>
      </c>
      <c r="Q31">
        <v>24</v>
      </c>
      <c r="S31">
        <v>60</v>
      </c>
      <c r="T31">
        <v>19</v>
      </c>
      <c r="U31" s="15">
        <v>0</v>
      </c>
      <c r="V31" s="15">
        <v>0</v>
      </c>
      <c r="X31" t="e" cm="1" vm="2">
        <f t="array" ref="X31">MAX(_xlfn._xlws.FILTER(Table22[[B365]:[BFAIREXC]], Table22[PLAYER] = A31))</f>
        <v>#VALUE!</v>
      </c>
      <c r="Y31" s="14" t="e" vm="1">
        <f>Table225[[#This Row],[BDG]]/Table225[[#This Row],[Odds]]</f>
        <v>#VALUE!</v>
      </c>
    </row>
    <row r="32" spans="1:25">
      <c r="A32" s="159" t="s">
        <v>130</v>
      </c>
      <c r="B32">
        <v>99</v>
      </c>
      <c r="C32">
        <v>55</v>
      </c>
      <c r="D32">
        <v>26</v>
      </c>
      <c r="E32">
        <v>148</v>
      </c>
      <c r="F32">
        <v>114</v>
      </c>
      <c r="G32">
        <v>78</v>
      </c>
      <c r="H32">
        <v>246.60000000000002</v>
      </c>
      <c r="I32" s="14">
        <v>323.57772129309842</v>
      </c>
      <c r="J32" s="259">
        <v>241.65761358184955</v>
      </c>
      <c r="K32" s="260">
        <v>279.57640624935101</v>
      </c>
      <c r="L32" s="16">
        <v>57</v>
      </c>
      <c r="M32" s="16">
        <v>38</v>
      </c>
      <c r="N32" s="230">
        <v>72</v>
      </c>
      <c r="O32" s="230">
        <v>48</v>
      </c>
      <c r="Q32">
        <v>25</v>
      </c>
      <c r="S32">
        <v>18</v>
      </c>
      <c r="T32">
        <v>62</v>
      </c>
      <c r="U32" s="15">
        <v>0</v>
      </c>
      <c r="V32" s="15">
        <v>0</v>
      </c>
      <c r="X32" t="e" cm="1" vm="2">
        <f t="array" ref="X32">MAX(_xlfn._xlws.FILTER(Table22[[B365]:[BFAIREXC]], Table22[PLAYER] = A32))</f>
        <v>#VALUE!</v>
      </c>
      <c r="Y32" s="14" t="e" vm="1">
        <f>Table225[[#This Row],[BDG]]/Table225[[#This Row],[Odds]]</f>
        <v>#VALUE!</v>
      </c>
    </row>
    <row r="33" spans="1:25">
      <c r="A33" s="159" t="s">
        <v>20</v>
      </c>
      <c r="B33">
        <v>64</v>
      </c>
      <c r="C33">
        <v>152</v>
      </c>
      <c r="D33">
        <v>65</v>
      </c>
      <c r="E33">
        <v>122</v>
      </c>
      <c r="F33">
        <v>42</v>
      </c>
      <c r="G33">
        <v>35</v>
      </c>
      <c r="H33">
        <v>257.70000000000005</v>
      </c>
      <c r="I33" s="14">
        <v>288.98864945077997</v>
      </c>
      <c r="J33" s="259">
        <v>242.77845489381303</v>
      </c>
      <c r="K33" s="260">
        <v>294.09830636022974</v>
      </c>
      <c r="L33" s="16">
        <v>69</v>
      </c>
      <c r="M33" s="16">
        <v>46</v>
      </c>
      <c r="N33" s="230">
        <v>52</v>
      </c>
      <c r="O33" s="230">
        <v>33</v>
      </c>
      <c r="Q33">
        <v>26</v>
      </c>
      <c r="S33">
        <v>31</v>
      </c>
      <c r="T33">
        <v>39</v>
      </c>
      <c r="U33" s="15">
        <v>0</v>
      </c>
      <c r="V33" s="15">
        <v>0</v>
      </c>
      <c r="X33" cm="1">
        <f t="array" ref="X33">MAX(_xlfn._xlws.FILTER(Table22[[B365]:[BFAIREXC]], Table22[PLAYER] = A33))</f>
        <v>7</v>
      </c>
      <c r="Y33" s="14">
        <f>Table225[[#This Row],[BDG]]/Table225[[#This Row],[Odds]]</f>
        <v>34.682636413401859</v>
      </c>
    </row>
    <row r="34" spans="1:25">
      <c r="A34" s="159" t="s">
        <v>115</v>
      </c>
      <c r="B34">
        <v>77</v>
      </c>
      <c r="C34">
        <v>6</v>
      </c>
      <c r="D34">
        <v>87</v>
      </c>
      <c r="E34">
        <v>100</v>
      </c>
      <c r="F34">
        <v>12</v>
      </c>
      <c r="G34">
        <v>22</v>
      </c>
      <c r="H34">
        <v>172.1</v>
      </c>
      <c r="I34" s="14">
        <v>207.24630257472123</v>
      </c>
      <c r="J34" s="259">
        <v>243.40593682658715</v>
      </c>
      <c r="K34" s="260">
        <v>320.24071392132157</v>
      </c>
      <c r="L34" s="16">
        <v>10</v>
      </c>
      <c r="M34" s="16">
        <v>7</v>
      </c>
      <c r="N34" s="230">
        <v>16</v>
      </c>
      <c r="O34" s="230">
        <v>9</v>
      </c>
      <c r="Q34">
        <v>27</v>
      </c>
      <c r="S34">
        <v>45</v>
      </c>
      <c r="T34">
        <v>65</v>
      </c>
      <c r="U34" s="15">
        <v>0</v>
      </c>
      <c r="V34" s="15">
        <v>0</v>
      </c>
      <c r="X34" cm="1">
        <f t="array" ref="X34">MAX(_xlfn._xlws.FILTER(Table22[[B365]:[BFAIREXC]], Table22[PLAYER] = A34))</f>
        <v>3.79</v>
      </c>
      <c r="Y34" s="14">
        <f>Table225[[#This Row],[BDG]]/Table225[[#This Row],[Odds]]</f>
        <v>64.223202328914809</v>
      </c>
    </row>
    <row r="35" spans="1:25">
      <c r="A35" s="159" t="s">
        <v>46</v>
      </c>
      <c r="B35">
        <v>49</v>
      </c>
      <c r="C35">
        <v>73</v>
      </c>
      <c r="D35">
        <v>138</v>
      </c>
      <c r="E35">
        <v>146</v>
      </c>
      <c r="F35">
        <v>19</v>
      </c>
      <c r="G35">
        <v>66</v>
      </c>
      <c r="H35">
        <v>247.5</v>
      </c>
      <c r="I35" s="14">
        <v>338.1330098228849</v>
      </c>
      <c r="J35" s="259">
        <v>243.6902438026757</v>
      </c>
      <c r="K35" s="260">
        <v>332.70796318712013</v>
      </c>
      <c r="L35" s="16">
        <v>60</v>
      </c>
      <c r="M35" s="16">
        <v>40</v>
      </c>
      <c r="N35" s="230">
        <v>75</v>
      </c>
      <c r="O35" s="230">
        <v>50</v>
      </c>
      <c r="Q35">
        <v>28</v>
      </c>
      <c r="S35">
        <v>51</v>
      </c>
      <c r="T35">
        <v>88</v>
      </c>
      <c r="U35" s="15">
        <v>0</v>
      </c>
      <c r="V35" s="15">
        <v>0.33333333333333331</v>
      </c>
      <c r="X35" t="e" cm="1" vm="2">
        <f t="array" ref="X35">MAX(_xlfn._xlws.FILTER(Table22[[B365]:[BFAIREXC]], Table22[PLAYER] = A35))</f>
        <v>#VALUE!</v>
      </c>
      <c r="Y35" s="14" t="e" vm="1">
        <f>Table225[[#This Row],[BDG]]/Table225[[#This Row],[Odds]]</f>
        <v>#VALUE!</v>
      </c>
    </row>
    <row r="36" spans="1:25">
      <c r="A36" s="159" t="s">
        <v>14</v>
      </c>
      <c r="B36">
        <v>62</v>
      </c>
      <c r="C36">
        <v>89</v>
      </c>
      <c r="D36">
        <v>115</v>
      </c>
      <c r="E36">
        <v>35</v>
      </c>
      <c r="F36">
        <v>111</v>
      </c>
      <c r="G36">
        <v>49</v>
      </c>
      <c r="H36">
        <v>253</v>
      </c>
      <c r="I36" s="14">
        <v>299.88862548762154</v>
      </c>
      <c r="J36" s="259">
        <v>244.65972291937106</v>
      </c>
      <c r="K36" s="260">
        <v>320.24365968052928</v>
      </c>
      <c r="L36" s="16">
        <v>65</v>
      </c>
      <c r="M36" s="16">
        <v>42</v>
      </c>
      <c r="N36" s="230">
        <v>57</v>
      </c>
      <c r="O36" s="230">
        <v>36</v>
      </c>
      <c r="Q36">
        <v>29</v>
      </c>
      <c r="S36">
        <v>46</v>
      </c>
      <c r="T36">
        <v>79</v>
      </c>
      <c r="U36" s="15">
        <v>0</v>
      </c>
      <c r="V36" s="15">
        <v>0.25</v>
      </c>
      <c r="X36" t="e" cm="1" vm="2">
        <f t="array" ref="X36">MAX(_xlfn._xlws.FILTER(Table22[[B365]:[BFAIREXC]], Table22[PLAYER] = A36))</f>
        <v>#VALUE!</v>
      </c>
      <c r="Y36" s="14" t="e" vm="1">
        <f>Table225[[#This Row],[BDG]]/Table225[[#This Row],[Odds]]</f>
        <v>#VALUE!</v>
      </c>
    </row>
    <row r="37" spans="1:25">
      <c r="A37" s="159" t="s">
        <v>162</v>
      </c>
      <c r="B37">
        <v>146</v>
      </c>
      <c r="C37">
        <v>56</v>
      </c>
      <c r="D37">
        <v>12</v>
      </c>
      <c r="E37">
        <v>112</v>
      </c>
      <c r="F37">
        <v>28</v>
      </c>
      <c r="G37">
        <v>23</v>
      </c>
      <c r="H37">
        <v>217.60000000000002</v>
      </c>
      <c r="I37" s="14">
        <v>224.23305344129736</v>
      </c>
      <c r="J37" s="259">
        <v>244.8449051300546</v>
      </c>
      <c r="K37" s="260">
        <v>251.38150572672544</v>
      </c>
      <c r="L37" s="16">
        <v>29</v>
      </c>
      <c r="M37" s="16">
        <v>19</v>
      </c>
      <c r="N37" s="230">
        <v>21</v>
      </c>
      <c r="O37" s="230">
        <v>13</v>
      </c>
      <c r="Q37">
        <v>30</v>
      </c>
      <c r="S37">
        <v>11</v>
      </c>
      <c r="T37">
        <v>81</v>
      </c>
      <c r="U37" s="15">
        <v>0</v>
      </c>
      <c r="V37" s="15">
        <v>0.25</v>
      </c>
      <c r="X37" cm="1">
        <f t="array" ref="X37">MAX(_xlfn._xlws.FILTER(Table22[[B365]:[BFAIREXC]], Table22[PLAYER] = A37))</f>
        <v>4.92</v>
      </c>
      <c r="Y37" s="14">
        <f>Table225[[#This Row],[BDG]]/Table225[[#This Row],[Odds]]</f>
        <v>49.765224619929796</v>
      </c>
    </row>
    <row r="38" spans="1:25">
      <c r="A38" s="159" t="s">
        <v>549</v>
      </c>
      <c r="B38">
        <v>16</v>
      </c>
      <c r="C38">
        <v>188</v>
      </c>
      <c r="D38">
        <v>91</v>
      </c>
      <c r="E38">
        <v>104</v>
      </c>
      <c r="F38">
        <v>64</v>
      </c>
      <c r="G38">
        <v>56</v>
      </c>
      <c r="H38">
        <v>245.7</v>
      </c>
      <c r="I38" s="14">
        <v>320.52045353323842</v>
      </c>
      <c r="J38" s="259">
        <v>245.7</v>
      </c>
      <c r="K38" s="260">
        <v>320.52045353323842</v>
      </c>
      <c r="L38" s="16">
        <v>56</v>
      </c>
      <c r="M38" s="16">
        <v>37</v>
      </c>
      <c r="N38" s="230">
        <v>68</v>
      </c>
      <c r="O38" s="230">
        <v>45</v>
      </c>
      <c r="Q38">
        <v>31</v>
      </c>
      <c r="S38">
        <v>47</v>
      </c>
      <c r="T38">
        <v>66</v>
      </c>
      <c r="U38" s="15" t="e">
        <v>#N/A</v>
      </c>
      <c r="V38" s="15" t="e">
        <v>#N/A</v>
      </c>
      <c r="X38" t="e" cm="1" vm="2">
        <f t="array" ref="X38">MAX(_xlfn._xlws.FILTER(Table22[[B365]:[BFAIREXC]], Table22[PLAYER] = A38))</f>
        <v>#VALUE!</v>
      </c>
      <c r="Y38" s="14" t="e" vm="1">
        <f>Table225[[#This Row],[BDG]]/Table225[[#This Row],[Odds]]</f>
        <v>#VALUE!</v>
      </c>
    </row>
    <row r="39" spans="1:25">
      <c r="A39" s="159" t="s">
        <v>113</v>
      </c>
      <c r="B39">
        <v>164</v>
      </c>
      <c r="C39">
        <v>46</v>
      </c>
      <c r="D39">
        <v>85</v>
      </c>
      <c r="E39">
        <v>111</v>
      </c>
      <c r="F39">
        <v>39</v>
      </c>
      <c r="G39">
        <v>33</v>
      </c>
      <c r="H39">
        <v>282.20000000000005</v>
      </c>
      <c r="I39" s="14">
        <v>307.55594011688976</v>
      </c>
      <c r="J39" s="259">
        <v>246.05879931727458</v>
      </c>
      <c r="K39" s="260">
        <v>254.80654545651748</v>
      </c>
      <c r="L39" s="16">
        <v>99</v>
      </c>
      <c r="M39" s="16">
        <v>63</v>
      </c>
      <c r="N39" s="230">
        <v>60</v>
      </c>
      <c r="O39" s="230">
        <v>39</v>
      </c>
      <c r="Q39">
        <v>33</v>
      </c>
      <c r="S39">
        <v>13</v>
      </c>
      <c r="T39">
        <v>109</v>
      </c>
      <c r="U39" s="15">
        <v>0</v>
      </c>
      <c r="V39" s="15">
        <v>0.25</v>
      </c>
      <c r="X39" t="e" cm="1" vm="2">
        <f t="array" ref="X39">MAX(_xlfn._xlws.FILTER(Table22[[B365]:[BFAIREXC]], Table22[PLAYER] = A39))</f>
        <v>#VALUE!</v>
      </c>
      <c r="Y39" s="14" t="e" vm="1">
        <f>Table225[[#This Row],[BDG]]/Table225[[#This Row],[Odds]]</f>
        <v>#VALUE!</v>
      </c>
    </row>
    <row r="40" spans="1:25">
      <c r="A40" s="159" t="s">
        <v>72</v>
      </c>
      <c r="B40">
        <v>77</v>
      </c>
      <c r="C40">
        <v>78</v>
      </c>
      <c r="D40">
        <v>118</v>
      </c>
      <c r="E40">
        <v>75</v>
      </c>
      <c r="F40">
        <v>109</v>
      </c>
      <c r="G40">
        <v>115</v>
      </c>
      <c r="H40">
        <v>275.5</v>
      </c>
      <c r="I40" s="14">
        <v>393.62189675523484</v>
      </c>
      <c r="J40" s="259">
        <v>246.16487728060258</v>
      </c>
      <c r="K40" s="260">
        <v>301.746753836739</v>
      </c>
      <c r="L40" s="16">
        <v>92.5</v>
      </c>
      <c r="M40" s="16">
        <v>59</v>
      </c>
      <c r="N40" s="230">
        <v>108</v>
      </c>
      <c r="O40" s="230">
        <v>74</v>
      </c>
      <c r="Q40">
        <v>34</v>
      </c>
      <c r="S40">
        <v>36</v>
      </c>
      <c r="T40">
        <v>110</v>
      </c>
      <c r="U40" s="15">
        <v>0</v>
      </c>
      <c r="V40" s="15">
        <v>0</v>
      </c>
      <c r="X40" t="e" cm="1" vm="2">
        <f t="array" ref="X40">MAX(_xlfn._xlws.FILTER(Table22[[B365]:[BFAIREXC]], Table22[PLAYER] = A40))</f>
        <v>#VALUE!</v>
      </c>
      <c r="Y40" s="14" t="e" vm="1">
        <f>Table225[[#This Row],[BDG]]/Table225[[#This Row],[Odds]]</f>
        <v>#VALUE!</v>
      </c>
    </row>
    <row r="41" spans="1:25">
      <c r="A41" s="159" t="s">
        <v>152</v>
      </c>
      <c r="B41">
        <v>94</v>
      </c>
      <c r="C41">
        <v>4</v>
      </c>
      <c r="D41">
        <v>86</v>
      </c>
      <c r="E41">
        <v>70</v>
      </c>
      <c r="F41">
        <v>115</v>
      </c>
      <c r="G41">
        <v>79</v>
      </c>
      <c r="H41">
        <v>223.3</v>
      </c>
      <c r="I41" s="14">
        <v>305.96005277056832</v>
      </c>
      <c r="J41" s="259">
        <v>247.74593559949784</v>
      </c>
      <c r="K41" s="260">
        <v>287.7277684039297</v>
      </c>
      <c r="L41" s="16">
        <v>35</v>
      </c>
      <c r="M41" s="16">
        <v>23</v>
      </c>
      <c r="N41" s="230">
        <v>58</v>
      </c>
      <c r="O41" s="230">
        <v>37</v>
      </c>
      <c r="Q41">
        <v>35</v>
      </c>
      <c r="S41">
        <v>28</v>
      </c>
      <c r="T41">
        <v>77</v>
      </c>
      <c r="U41" s="15">
        <v>0</v>
      </c>
      <c r="V41" s="15">
        <v>0</v>
      </c>
      <c r="X41" cm="1">
        <f t="array" ref="X41">MAX(_xlfn._xlws.FILTER(Table22[[B365]:[BFAIREXC]], Table22[PLAYER] = A41))</f>
        <v>4.43</v>
      </c>
      <c r="Y41" s="14">
        <f>Table225[[#This Row],[BDG]]/Table225[[#This Row],[Odds]]</f>
        <v>55.924590428780554</v>
      </c>
    </row>
    <row r="42" spans="1:25">
      <c r="A42" s="159" t="s">
        <v>118</v>
      </c>
      <c r="B42">
        <v>114</v>
      </c>
      <c r="C42">
        <v>33</v>
      </c>
      <c r="D42">
        <v>84</v>
      </c>
      <c r="E42">
        <v>109</v>
      </c>
      <c r="F42">
        <v>54</v>
      </c>
      <c r="G42">
        <v>54</v>
      </c>
      <c r="H42">
        <v>240.4</v>
      </c>
      <c r="I42" s="14">
        <v>297.24167688019531</v>
      </c>
      <c r="J42" s="259">
        <v>247.89252052140452</v>
      </c>
      <c r="K42" s="260">
        <v>293.23830716585627</v>
      </c>
      <c r="L42" s="16">
        <v>48</v>
      </c>
      <c r="M42" s="16">
        <v>30</v>
      </c>
      <c r="N42" s="230">
        <v>56</v>
      </c>
      <c r="O42" s="230">
        <v>35</v>
      </c>
      <c r="Q42">
        <v>36</v>
      </c>
      <c r="S42">
        <v>30</v>
      </c>
      <c r="T42">
        <v>25</v>
      </c>
      <c r="U42" s="15">
        <v>0</v>
      </c>
      <c r="V42" s="15">
        <v>0</v>
      </c>
      <c r="X42" t="e" cm="1" vm="2">
        <f t="array" ref="X42">MAX(_xlfn._xlws.FILTER(Table22[[B365]:[BFAIREXC]], Table22[PLAYER] = A42))</f>
        <v>#VALUE!</v>
      </c>
      <c r="Y42" s="14" t="e" vm="1">
        <f>Table225[[#This Row],[BDG]]/Table225[[#This Row],[Odds]]</f>
        <v>#VALUE!</v>
      </c>
    </row>
    <row r="43" spans="1:25">
      <c r="A43" s="159" t="s">
        <v>128</v>
      </c>
      <c r="B43">
        <v>156</v>
      </c>
      <c r="C43">
        <v>21</v>
      </c>
      <c r="D43">
        <v>31</v>
      </c>
      <c r="E43">
        <v>53</v>
      </c>
      <c r="F43">
        <v>124</v>
      </c>
      <c r="G43">
        <v>42</v>
      </c>
      <c r="H43">
        <v>242.3</v>
      </c>
      <c r="I43" s="14">
        <v>262.74865480171542</v>
      </c>
      <c r="J43" s="259">
        <v>248.53976285291503</v>
      </c>
      <c r="K43" s="260">
        <v>267.31665414434394</v>
      </c>
      <c r="L43" s="16">
        <v>51</v>
      </c>
      <c r="M43" s="16">
        <v>32</v>
      </c>
      <c r="N43" s="230">
        <v>38</v>
      </c>
      <c r="O43" s="230">
        <v>24</v>
      </c>
      <c r="Q43">
        <v>37</v>
      </c>
      <c r="S43">
        <v>14</v>
      </c>
      <c r="T43">
        <v>96</v>
      </c>
      <c r="U43" s="15">
        <v>0</v>
      </c>
      <c r="V43" s="15">
        <v>0</v>
      </c>
      <c r="X43" t="e" cm="1" vm="2">
        <f t="array" ref="X43">MAX(_xlfn._xlws.FILTER(Table22[[B365]:[BFAIREXC]], Table22[PLAYER] = A43))</f>
        <v>#VALUE!</v>
      </c>
      <c r="Y43" s="14" t="e" vm="1">
        <f>Table225[[#This Row],[BDG]]/Table225[[#This Row],[Odds]]</f>
        <v>#VALUE!</v>
      </c>
    </row>
    <row r="44" spans="1:25">
      <c r="A44" s="159" t="s">
        <v>91</v>
      </c>
      <c r="B44">
        <v>3</v>
      </c>
      <c r="C44">
        <v>11</v>
      </c>
      <c r="D44">
        <v>61</v>
      </c>
      <c r="E44">
        <v>73</v>
      </c>
      <c r="F44">
        <v>67</v>
      </c>
      <c r="G44">
        <v>16</v>
      </c>
      <c r="H44">
        <v>114.4</v>
      </c>
      <c r="I44" s="14">
        <v>147.91408684506274</v>
      </c>
      <c r="J44" s="259">
        <v>249.06286883064897</v>
      </c>
      <c r="K44" s="260">
        <v>361.27396298370388</v>
      </c>
      <c r="L44" s="16">
        <v>1</v>
      </c>
      <c r="M44" s="16">
        <v>1</v>
      </c>
      <c r="N44" s="230">
        <v>3</v>
      </c>
      <c r="O44" s="230">
        <v>3</v>
      </c>
      <c r="Q44">
        <v>38</v>
      </c>
      <c r="S44">
        <v>65</v>
      </c>
      <c r="T44">
        <v>22</v>
      </c>
      <c r="U44" s="15">
        <v>0</v>
      </c>
      <c r="V44" s="15">
        <v>0</v>
      </c>
      <c r="X44" cm="1">
        <f t="array" ref="X44">MAX(_xlfn._xlws.FILTER(Table22[[B365]:[BFAIREXC]], Table22[PLAYER] = A44))</f>
        <v>19.600000000000001</v>
      </c>
      <c r="Y44" s="14">
        <f>Table225[[#This Row],[BDG]]/Table225[[#This Row],[Odds]]</f>
        <v>12.707289226053518</v>
      </c>
    </row>
    <row r="45" spans="1:25">
      <c r="A45" s="159" t="s">
        <v>124</v>
      </c>
      <c r="B45">
        <v>158</v>
      </c>
      <c r="C45">
        <v>25</v>
      </c>
      <c r="D45">
        <v>100</v>
      </c>
      <c r="E45">
        <v>116</v>
      </c>
      <c r="F45">
        <v>169</v>
      </c>
      <c r="G45">
        <v>147</v>
      </c>
      <c r="H45">
        <v>342.3</v>
      </c>
      <c r="I45" s="14">
        <v>486.40831527390554</v>
      </c>
      <c r="J45" s="259">
        <v>249.15146097541998</v>
      </c>
      <c r="K45" s="260">
        <v>300.60255859339429</v>
      </c>
      <c r="L45" s="16">
        <v>165</v>
      </c>
      <c r="M45" s="16">
        <v>111</v>
      </c>
      <c r="N45" s="230">
        <v>159</v>
      </c>
      <c r="O45" s="230">
        <v>106</v>
      </c>
      <c r="Q45">
        <v>39</v>
      </c>
      <c r="S45">
        <v>34</v>
      </c>
      <c r="T45">
        <v>102</v>
      </c>
      <c r="U45" s="15">
        <v>0</v>
      </c>
      <c r="V45" s="15">
        <v>0</v>
      </c>
      <c r="X45" t="e" cm="1" vm="2">
        <f t="array" ref="X45">MAX(_xlfn._xlws.FILTER(Table22[[B365]:[BFAIREXC]], Table22[PLAYER] = A45))</f>
        <v>#VALUE!</v>
      </c>
      <c r="Y45" s="14" t="e" vm="1">
        <f>Table225[[#This Row],[BDG]]/Table225[[#This Row],[Odds]]</f>
        <v>#VALUE!</v>
      </c>
    </row>
    <row r="46" spans="1:25">
      <c r="A46" s="159" t="s">
        <v>544</v>
      </c>
      <c r="B46">
        <v>10</v>
      </c>
      <c r="C46">
        <v>172</v>
      </c>
      <c r="D46">
        <v>122</v>
      </c>
      <c r="E46">
        <v>143</v>
      </c>
      <c r="F46">
        <v>99</v>
      </c>
      <c r="G46">
        <v>83</v>
      </c>
      <c r="H46">
        <v>303.3</v>
      </c>
      <c r="I46" s="14">
        <v>401.31936219054342</v>
      </c>
      <c r="J46" s="259">
        <v>250.80430537110294</v>
      </c>
      <c r="K46" s="260">
        <v>318.33256003947474</v>
      </c>
      <c r="L46" s="16">
        <v>118</v>
      </c>
      <c r="M46" s="16">
        <v>79</v>
      </c>
      <c r="N46" s="230">
        <v>112</v>
      </c>
      <c r="O46" s="230">
        <v>78</v>
      </c>
      <c r="Q46">
        <v>40</v>
      </c>
      <c r="S46">
        <v>43</v>
      </c>
      <c r="T46">
        <v>108</v>
      </c>
      <c r="U46" s="15">
        <v>0</v>
      </c>
      <c r="V46" s="15">
        <v>0</v>
      </c>
      <c r="X46" t="e" cm="1" vm="2">
        <f t="array" ref="X46">MAX(_xlfn._xlws.FILTER(Table22[[B365]:[BFAIREXC]], Table22[PLAYER] = A46))</f>
        <v>#VALUE!</v>
      </c>
      <c r="Y46" s="14" t="e" vm="1">
        <f>Table225[[#This Row],[BDG]]/Table225[[#This Row],[Odds]]</f>
        <v>#VALUE!</v>
      </c>
    </row>
    <row r="47" spans="1:25">
      <c r="A47" s="159" t="s">
        <v>93</v>
      </c>
      <c r="B47">
        <v>97</v>
      </c>
      <c r="C47">
        <v>21</v>
      </c>
      <c r="D47">
        <v>33</v>
      </c>
      <c r="E47">
        <v>127</v>
      </c>
      <c r="F47">
        <v>163</v>
      </c>
      <c r="G47">
        <v>93</v>
      </c>
      <c r="H47">
        <v>245.6</v>
      </c>
      <c r="I47" s="14">
        <v>339.36102985100882</v>
      </c>
      <c r="J47" s="259">
        <v>251.25113835936446</v>
      </c>
      <c r="K47" s="260">
        <v>294.95924359081437</v>
      </c>
      <c r="L47" s="16">
        <v>54.5</v>
      </c>
      <c r="M47" s="16">
        <v>35</v>
      </c>
      <c r="N47" s="230">
        <v>77</v>
      </c>
      <c r="O47" s="230">
        <v>52</v>
      </c>
      <c r="Q47">
        <v>41</v>
      </c>
      <c r="S47">
        <v>32</v>
      </c>
      <c r="T47">
        <v>97</v>
      </c>
      <c r="U47" s="15">
        <v>0</v>
      </c>
      <c r="V47" s="15">
        <v>0</v>
      </c>
      <c r="X47" t="e" cm="1" vm="2">
        <f t="array" ref="X47">MAX(_xlfn._xlws.FILTER(Table22[[B365]:[BFAIREXC]], Table22[PLAYER] = A47))</f>
        <v>#VALUE!</v>
      </c>
      <c r="Y47" s="14" t="e" vm="1">
        <f>Table225[[#This Row],[BDG]]/Table225[[#This Row],[Odds]]</f>
        <v>#VALUE!</v>
      </c>
    </row>
    <row r="48" spans="1:25">
      <c r="A48" s="159" t="s">
        <v>183</v>
      </c>
      <c r="B48">
        <v>166</v>
      </c>
      <c r="C48">
        <v>12</v>
      </c>
      <c r="D48">
        <v>124</v>
      </c>
      <c r="E48">
        <v>125</v>
      </c>
      <c r="F48">
        <v>13</v>
      </c>
      <c r="G48">
        <v>56</v>
      </c>
      <c r="H48">
        <v>283.3</v>
      </c>
      <c r="I48" s="14">
        <v>344.24385245443426</v>
      </c>
      <c r="J48" s="259">
        <v>253.64568149109706</v>
      </c>
      <c r="K48" s="260">
        <v>279.08809880286231</v>
      </c>
      <c r="L48" s="16">
        <v>100</v>
      </c>
      <c r="M48" s="16">
        <v>64</v>
      </c>
      <c r="N48" s="230">
        <v>83</v>
      </c>
      <c r="O48" s="230">
        <v>57</v>
      </c>
      <c r="Q48">
        <v>42</v>
      </c>
      <c r="S48">
        <v>16</v>
      </c>
      <c r="T48">
        <v>75</v>
      </c>
      <c r="U48" s="15">
        <v>0</v>
      </c>
      <c r="V48" s="15">
        <v>0.25</v>
      </c>
      <c r="X48" t="e" cm="1" vm="2">
        <f t="array" ref="X48">MAX(_xlfn._xlws.FILTER(Table22[[B365]:[BFAIREXC]], Table22[PLAYER] = A48))</f>
        <v>#VALUE!</v>
      </c>
      <c r="Y48" s="14" t="e" vm="1">
        <f>Table225[[#This Row],[BDG]]/Table225[[#This Row],[Odds]]</f>
        <v>#VALUE!</v>
      </c>
    </row>
    <row r="49" spans="1:25">
      <c r="A49" s="159" t="s">
        <v>129</v>
      </c>
      <c r="B49">
        <v>81</v>
      </c>
      <c r="C49">
        <v>100</v>
      </c>
      <c r="D49">
        <v>93</v>
      </c>
      <c r="E49">
        <v>25</v>
      </c>
      <c r="F49">
        <v>173</v>
      </c>
      <c r="G49">
        <v>116</v>
      </c>
      <c r="H49">
        <v>286.39999999999998</v>
      </c>
      <c r="I49" s="14">
        <v>389.29519371480103</v>
      </c>
      <c r="J49" s="259">
        <v>256.12788318882826</v>
      </c>
      <c r="K49" s="260">
        <v>286.22659737617971</v>
      </c>
      <c r="L49" s="16">
        <v>104</v>
      </c>
      <c r="M49" s="16">
        <v>68</v>
      </c>
      <c r="N49" s="230">
        <v>106</v>
      </c>
      <c r="O49" s="230">
        <v>72</v>
      </c>
      <c r="Q49">
        <v>43</v>
      </c>
      <c r="S49">
        <v>25</v>
      </c>
      <c r="T49">
        <v>101</v>
      </c>
      <c r="U49" s="15">
        <v>0</v>
      </c>
      <c r="V49" s="15">
        <v>0</v>
      </c>
      <c r="X49" t="e" cm="1" vm="2">
        <f t="array" ref="X49">MAX(_xlfn._xlws.FILTER(Table22[[B365]:[BFAIREXC]], Table22[PLAYER] = A49))</f>
        <v>#VALUE!</v>
      </c>
      <c r="Y49" s="14" t="e" vm="1">
        <f>Table225[[#This Row],[BDG]]/Table225[[#This Row],[Odds]]</f>
        <v>#VALUE!</v>
      </c>
    </row>
    <row r="50" spans="1:25">
      <c r="A50" s="159" t="s">
        <v>121</v>
      </c>
      <c r="B50">
        <v>91</v>
      </c>
      <c r="C50">
        <v>66</v>
      </c>
      <c r="D50">
        <v>96</v>
      </c>
      <c r="E50">
        <v>31</v>
      </c>
      <c r="F50">
        <v>91</v>
      </c>
      <c r="G50">
        <v>39</v>
      </c>
      <c r="H50">
        <v>237.5</v>
      </c>
      <c r="I50" s="14">
        <v>268.6396269306743</v>
      </c>
      <c r="J50" s="259">
        <v>256.6757728598659</v>
      </c>
      <c r="K50" s="260">
        <v>307.77561264459041</v>
      </c>
      <c r="L50" s="16">
        <v>46</v>
      </c>
      <c r="M50" s="16">
        <v>28</v>
      </c>
      <c r="N50" s="230">
        <v>41</v>
      </c>
      <c r="O50" s="230">
        <v>27</v>
      </c>
      <c r="Q50">
        <v>44</v>
      </c>
      <c r="S50">
        <v>38</v>
      </c>
      <c r="T50">
        <v>56</v>
      </c>
      <c r="U50" s="15">
        <v>0</v>
      </c>
      <c r="V50" s="15">
        <v>0</v>
      </c>
      <c r="X50" cm="1">
        <f t="array" ref="X50">MAX(_xlfn._xlws.FILTER(Table22[[B365]:[BFAIREXC]], Table22[PLAYER] = A50))</f>
        <v>4.53</v>
      </c>
      <c r="Y50" s="14">
        <f>Table225[[#This Row],[BDG]]/Table225[[#This Row],[Odds]]</f>
        <v>56.661318512111677</v>
      </c>
    </row>
    <row r="51" spans="1:25">
      <c r="A51" s="159" t="s">
        <v>36</v>
      </c>
      <c r="B51">
        <v>58</v>
      </c>
      <c r="C51">
        <v>130</v>
      </c>
      <c r="D51">
        <v>62</v>
      </c>
      <c r="E51">
        <v>145</v>
      </c>
      <c r="F51">
        <v>93</v>
      </c>
      <c r="G51">
        <v>74</v>
      </c>
      <c r="H51">
        <v>272.3</v>
      </c>
      <c r="I51" s="14">
        <v>348.80947496641403</v>
      </c>
      <c r="J51" s="259">
        <v>257.53462057577542</v>
      </c>
      <c r="K51" s="260">
        <v>357.51524650606359</v>
      </c>
      <c r="L51" s="16">
        <v>88</v>
      </c>
      <c r="M51" s="16">
        <v>55</v>
      </c>
      <c r="N51" s="230">
        <v>86</v>
      </c>
      <c r="O51" s="230">
        <v>59</v>
      </c>
      <c r="Q51">
        <v>45</v>
      </c>
      <c r="S51">
        <v>62</v>
      </c>
      <c r="T51">
        <v>45</v>
      </c>
      <c r="U51" s="15">
        <v>0</v>
      </c>
      <c r="V51" s="15">
        <v>0</v>
      </c>
      <c r="X51" cm="1">
        <f t="array" ref="X51">MAX(_xlfn._xlws.FILTER(Table22[[B365]:[BFAIREXC]], Table22[PLAYER] = A51))</f>
        <v>6.29</v>
      </c>
      <c r="Y51" s="14">
        <f>Table225[[#This Row],[BDG]]/Table225[[#This Row],[Odds]]</f>
        <v>40.943500886450785</v>
      </c>
    </row>
    <row r="52" spans="1:25">
      <c r="A52" s="159" t="s">
        <v>141</v>
      </c>
      <c r="B52">
        <v>141</v>
      </c>
      <c r="C52">
        <v>78</v>
      </c>
      <c r="D52">
        <v>113</v>
      </c>
      <c r="E52">
        <v>93</v>
      </c>
      <c r="F52">
        <v>60</v>
      </c>
      <c r="G52">
        <v>91</v>
      </c>
      <c r="H52">
        <v>305.90000000000003</v>
      </c>
      <c r="I52" s="14">
        <v>390.66771489401651</v>
      </c>
      <c r="J52" s="259">
        <v>263.64259612481334</v>
      </c>
      <c r="K52" s="260">
        <v>307.95388749278595</v>
      </c>
      <c r="L52" s="16">
        <v>121</v>
      </c>
      <c r="M52" s="16">
        <v>81</v>
      </c>
      <c r="N52" s="230">
        <v>107</v>
      </c>
      <c r="O52" s="230">
        <v>73</v>
      </c>
      <c r="Q52">
        <v>46</v>
      </c>
      <c r="S52">
        <v>39</v>
      </c>
      <c r="T52">
        <v>100</v>
      </c>
      <c r="U52" s="15">
        <v>0</v>
      </c>
      <c r="V52" s="15">
        <v>0.25</v>
      </c>
      <c r="X52" t="e" cm="1" vm="2">
        <f t="array" ref="X52">MAX(_xlfn._xlws.FILTER(Table22[[B365]:[BFAIREXC]], Table22[PLAYER] = A52))</f>
        <v>#VALUE!</v>
      </c>
      <c r="Y52" s="14" t="e" vm="1">
        <f>Table225[[#This Row],[BDG]]/Table225[[#This Row],[Odds]]</f>
        <v>#VALUE!</v>
      </c>
    </row>
    <row r="53" spans="1:25">
      <c r="A53" s="159" t="s">
        <v>140</v>
      </c>
      <c r="B53">
        <v>173</v>
      </c>
      <c r="C53">
        <v>48</v>
      </c>
      <c r="D53">
        <v>83</v>
      </c>
      <c r="E53">
        <v>134</v>
      </c>
      <c r="F53">
        <v>21</v>
      </c>
      <c r="G53">
        <v>70</v>
      </c>
      <c r="H53">
        <v>289.39999999999998</v>
      </c>
      <c r="I53" s="14">
        <v>353.32914404534802</v>
      </c>
      <c r="J53" s="259">
        <v>264.00162535117107</v>
      </c>
      <c r="K53" s="260">
        <v>284.9812734865705</v>
      </c>
      <c r="L53" s="16">
        <v>108</v>
      </c>
      <c r="M53" s="16">
        <v>72</v>
      </c>
      <c r="N53" s="230">
        <v>90</v>
      </c>
      <c r="O53" s="230">
        <v>62</v>
      </c>
      <c r="Q53">
        <v>47</v>
      </c>
      <c r="S53">
        <v>24</v>
      </c>
      <c r="T53">
        <v>90</v>
      </c>
      <c r="U53" s="15">
        <v>0</v>
      </c>
      <c r="V53" s="15">
        <v>0</v>
      </c>
      <c r="X53" t="e" cm="1" vm="2">
        <f t="array" ref="X53">MAX(_xlfn._xlws.FILTER(Table22[[B365]:[BFAIREXC]], Table22[PLAYER] = A53))</f>
        <v>#VALUE!</v>
      </c>
      <c r="Y53" s="14" t="e" vm="1">
        <f>Table225[[#This Row],[BDG]]/Table225[[#This Row],[Odds]]</f>
        <v>#VALUE!</v>
      </c>
    </row>
    <row r="54" spans="1:25">
      <c r="A54" s="159" t="s">
        <v>30</v>
      </c>
      <c r="B54">
        <v>20</v>
      </c>
      <c r="C54">
        <v>184</v>
      </c>
      <c r="D54">
        <v>80</v>
      </c>
      <c r="E54">
        <v>10</v>
      </c>
      <c r="F54">
        <v>73</v>
      </c>
      <c r="G54">
        <v>27</v>
      </c>
      <c r="H54">
        <v>222.89999999999998</v>
      </c>
      <c r="I54" s="14">
        <v>234.9257189070463</v>
      </c>
      <c r="J54" s="259">
        <v>264.6168303607015</v>
      </c>
      <c r="K54" s="260">
        <v>336.08293306243473</v>
      </c>
      <c r="L54" s="16">
        <v>34</v>
      </c>
      <c r="M54" s="16">
        <v>22</v>
      </c>
      <c r="N54" s="230">
        <v>24</v>
      </c>
      <c r="O54" s="230">
        <v>14</v>
      </c>
      <c r="Q54">
        <v>48</v>
      </c>
      <c r="S54">
        <v>52</v>
      </c>
      <c r="T54">
        <v>41</v>
      </c>
      <c r="U54" s="15">
        <v>0</v>
      </c>
      <c r="V54" s="15">
        <v>0</v>
      </c>
      <c r="X54" cm="1">
        <f t="array" ref="X54">MAX(_xlfn._xlws.FILTER(Table22[[B365]:[BFAIREXC]], Table22[PLAYER] = A54))</f>
        <v>5.0199999999999996</v>
      </c>
      <c r="Y54" s="14">
        <f>Table225[[#This Row],[BDG]]/Table225[[#This Row],[Odds]]</f>
        <v>52.712516008107876</v>
      </c>
    </row>
    <row r="55" spans="1:25">
      <c r="A55" s="159" t="s">
        <v>154</v>
      </c>
      <c r="B55">
        <v>151</v>
      </c>
      <c r="C55">
        <v>75</v>
      </c>
      <c r="D55">
        <v>53</v>
      </c>
      <c r="E55">
        <v>78</v>
      </c>
      <c r="F55">
        <v>20</v>
      </c>
      <c r="G55">
        <v>34</v>
      </c>
      <c r="H55">
        <v>244.10000000000002</v>
      </c>
      <c r="I55" s="14">
        <v>259.50125468102317</v>
      </c>
      <c r="J55" s="259">
        <v>265.75211438812664</v>
      </c>
      <c r="K55" s="260">
        <v>290.6794858145376</v>
      </c>
      <c r="L55" s="16">
        <v>52</v>
      </c>
      <c r="M55" s="16">
        <v>33</v>
      </c>
      <c r="N55" s="230">
        <v>35</v>
      </c>
      <c r="O55" s="230">
        <v>22</v>
      </c>
      <c r="Q55">
        <v>49</v>
      </c>
      <c r="S55">
        <v>29</v>
      </c>
      <c r="T55">
        <v>95</v>
      </c>
      <c r="U55" s="15">
        <v>0</v>
      </c>
      <c r="V55" s="15">
        <v>0.33333333333333331</v>
      </c>
      <c r="X55" t="e" cm="1" vm="2">
        <f t="array" ref="X55">MAX(_xlfn._xlws.FILTER(Table22[[B365]:[BFAIREXC]], Table22[PLAYER] = A55))</f>
        <v>#VALUE!</v>
      </c>
      <c r="Y55" s="14" t="e" vm="1">
        <f>Table225[[#This Row],[BDG]]/Table225[[#This Row],[Odds]]</f>
        <v>#VALUE!</v>
      </c>
    </row>
    <row r="56" spans="1:25">
      <c r="A56" s="159" t="s">
        <v>17</v>
      </c>
      <c r="B56">
        <v>47</v>
      </c>
      <c r="C56">
        <v>187</v>
      </c>
      <c r="D56">
        <v>41</v>
      </c>
      <c r="E56">
        <v>180</v>
      </c>
      <c r="F56">
        <v>155</v>
      </c>
      <c r="G56">
        <v>139</v>
      </c>
      <c r="H56">
        <v>328</v>
      </c>
      <c r="I56" s="14">
        <v>465.38867565093693</v>
      </c>
      <c r="J56" s="259">
        <v>268.0049204241177</v>
      </c>
      <c r="K56" s="260">
        <v>370.79718899193313</v>
      </c>
      <c r="L56" s="16">
        <v>150</v>
      </c>
      <c r="M56" s="16">
        <v>103</v>
      </c>
      <c r="N56" s="230">
        <v>149</v>
      </c>
      <c r="O56" s="230">
        <v>102</v>
      </c>
      <c r="Q56">
        <v>50</v>
      </c>
      <c r="S56">
        <v>70</v>
      </c>
      <c r="T56">
        <v>67</v>
      </c>
      <c r="U56" s="15" t="e">
        <v>#N/A</v>
      </c>
      <c r="V56" s="15" t="e">
        <v>#N/A</v>
      </c>
      <c r="X56" t="e" cm="1" vm="2">
        <f t="array" ref="X56">MAX(_xlfn._xlws.FILTER(Table22[[B365]:[BFAIREXC]], Table22[PLAYER] = A56))</f>
        <v>#VALUE!</v>
      </c>
      <c r="Y56" s="14" t="e" vm="1">
        <f>Table225[[#This Row],[BDG]]/Table225[[#This Row],[Odds]]</f>
        <v>#VALUE!</v>
      </c>
    </row>
    <row r="57" spans="1:25">
      <c r="A57" s="159" t="s">
        <v>48</v>
      </c>
      <c r="B57">
        <v>4</v>
      </c>
      <c r="C57">
        <v>66</v>
      </c>
      <c r="D57">
        <v>44</v>
      </c>
      <c r="E57">
        <v>62</v>
      </c>
      <c r="F57">
        <v>47</v>
      </c>
      <c r="G57">
        <v>4</v>
      </c>
      <c r="H57">
        <v>121.89999999999999</v>
      </c>
      <c r="I57" s="14">
        <v>132.15030842053275</v>
      </c>
      <c r="J57" s="259">
        <v>268.70260547023116</v>
      </c>
      <c r="K57" s="260">
        <v>383.60062632237339</v>
      </c>
      <c r="L57" s="16">
        <v>2</v>
      </c>
      <c r="M57" s="16">
        <v>2</v>
      </c>
      <c r="N57" s="230">
        <v>1</v>
      </c>
      <c r="O57" s="230">
        <v>1</v>
      </c>
      <c r="Q57">
        <v>51</v>
      </c>
      <c r="S57">
        <v>75</v>
      </c>
      <c r="T57">
        <v>21</v>
      </c>
      <c r="U57" s="15">
        <v>0</v>
      </c>
      <c r="V57" s="15">
        <v>0.33333333333333331</v>
      </c>
      <c r="X57" cm="1">
        <f t="array" ref="X57">MAX(_xlfn._xlws.FILTER(Table22[[B365]:[BFAIREXC]], Table22[PLAYER] = A57))</f>
        <v>8.06</v>
      </c>
      <c r="Y57" s="14">
        <f>Table225[[#This Row],[BDG]]/Table225[[#This Row],[Odds]]</f>
        <v>33.337792241964159</v>
      </c>
    </row>
    <row r="58" spans="1:25">
      <c r="A58" s="159" t="s">
        <v>11</v>
      </c>
      <c r="B58">
        <v>18</v>
      </c>
      <c r="C58">
        <v>164</v>
      </c>
      <c r="D58">
        <v>158</v>
      </c>
      <c r="E58">
        <v>21</v>
      </c>
      <c r="F58">
        <v>176</v>
      </c>
      <c r="G58">
        <v>159</v>
      </c>
      <c r="H58">
        <v>319.79999999999995</v>
      </c>
      <c r="I58" s="14">
        <v>478.72859933236981</v>
      </c>
      <c r="J58" s="259">
        <v>270.44478007430268</v>
      </c>
      <c r="K58" s="260">
        <v>432.43731533844505</v>
      </c>
      <c r="L58" s="16">
        <v>136</v>
      </c>
      <c r="M58" s="16">
        <v>92</v>
      </c>
      <c r="N58" s="230">
        <v>158</v>
      </c>
      <c r="O58" s="230">
        <v>105</v>
      </c>
      <c r="Q58">
        <v>52</v>
      </c>
      <c r="S58">
        <v>92</v>
      </c>
      <c r="T58">
        <v>33</v>
      </c>
      <c r="U58" s="15" t="e">
        <v>#N/A</v>
      </c>
      <c r="V58" s="15" t="e">
        <v>#N/A</v>
      </c>
      <c r="X58" cm="1">
        <f t="array" ref="X58">MAX(_xlfn._xlws.FILTER(Table22[[B365]:[BFAIREXC]], Table22[PLAYER] = A58))</f>
        <v>6.88</v>
      </c>
      <c r="Y58" s="14">
        <f>Table225[[#This Row],[BDG]]/Table225[[#This Row],[Odds]]</f>
        <v>39.308834313125388</v>
      </c>
    </row>
    <row r="59" spans="1:25">
      <c r="A59" s="159" t="s">
        <v>59</v>
      </c>
      <c r="B59">
        <v>157</v>
      </c>
      <c r="C59">
        <v>169</v>
      </c>
      <c r="D59">
        <v>69</v>
      </c>
      <c r="E59">
        <v>7</v>
      </c>
      <c r="F59">
        <v>6</v>
      </c>
      <c r="G59">
        <v>8</v>
      </c>
      <c r="H59">
        <v>281.10000000000002</v>
      </c>
      <c r="I59" s="14">
        <v>248.94789695489598</v>
      </c>
      <c r="J59" s="259">
        <v>270.81365826722424</v>
      </c>
      <c r="K59" s="260">
        <v>303.40847049143349</v>
      </c>
      <c r="L59" s="16">
        <v>97</v>
      </c>
      <c r="M59" s="16">
        <v>61</v>
      </c>
      <c r="N59" s="230">
        <v>32</v>
      </c>
      <c r="O59" s="230">
        <v>20</v>
      </c>
      <c r="Q59">
        <v>53</v>
      </c>
      <c r="S59">
        <v>37</v>
      </c>
      <c r="T59">
        <v>99</v>
      </c>
      <c r="U59" s="15">
        <v>0</v>
      </c>
      <c r="V59" s="15">
        <v>0.33333333333333331</v>
      </c>
      <c r="X59" t="e" cm="1" vm="2">
        <f t="array" ref="X59">MAX(_xlfn._xlws.FILTER(Table22[[B365]:[BFAIREXC]], Table22[PLAYER] = A59))</f>
        <v>#VALUE!</v>
      </c>
      <c r="Y59" s="14" t="e" vm="1">
        <f>Table225[[#This Row],[BDG]]/Table225[[#This Row],[Odds]]</f>
        <v>#VALUE!</v>
      </c>
    </row>
    <row r="60" spans="1:25">
      <c r="A60" s="159" t="s">
        <v>28</v>
      </c>
      <c r="B60">
        <v>87</v>
      </c>
      <c r="C60">
        <v>152</v>
      </c>
      <c r="D60">
        <v>56</v>
      </c>
      <c r="E60">
        <v>118</v>
      </c>
      <c r="F60">
        <v>26</v>
      </c>
      <c r="G60">
        <v>98</v>
      </c>
      <c r="H60">
        <v>260.2</v>
      </c>
      <c r="I60" s="14">
        <v>348.37902950564671</v>
      </c>
      <c r="J60" s="259">
        <v>272.39121983143787</v>
      </c>
      <c r="K60" s="260">
        <v>377.33035932663063</v>
      </c>
      <c r="L60" s="16">
        <v>73</v>
      </c>
      <c r="M60" s="16">
        <v>48</v>
      </c>
      <c r="N60" s="230">
        <v>85</v>
      </c>
      <c r="O60" s="230">
        <v>58</v>
      </c>
      <c r="Q60">
        <v>54</v>
      </c>
      <c r="S60">
        <v>72</v>
      </c>
      <c r="T60">
        <v>59</v>
      </c>
      <c r="U60" s="15">
        <v>0</v>
      </c>
      <c r="V60" s="15">
        <v>0</v>
      </c>
      <c r="X60" cm="1">
        <f t="array" ref="X60">MAX(_xlfn._xlws.FILTER(Table22[[B365]:[BFAIREXC]], Table22[PLAYER] = A60))</f>
        <v>4.63</v>
      </c>
      <c r="Y60" s="14">
        <f>Table225[[#This Row],[BDG]]/Table225[[#This Row],[Odds]]</f>
        <v>58.831796939835392</v>
      </c>
    </row>
    <row r="61" spans="1:25">
      <c r="A61" s="159" t="s">
        <v>90</v>
      </c>
      <c r="B61">
        <v>160</v>
      </c>
      <c r="C61">
        <v>24</v>
      </c>
      <c r="D61">
        <v>114</v>
      </c>
      <c r="E61">
        <v>156</v>
      </c>
      <c r="F61">
        <v>9</v>
      </c>
      <c r="G61">
        <v>57</v>
      </c>
      <c r="H61">
        <v>289.10000000000002</v>
      </c>
      <c r="I61" s="14">
        <v>353.95557420211412</v>
      </c>
      <c r="J61" s="259">
        <v>274.51996006645606</v>
      </c>
      <c r="K61" s="260">
        <v>350.72187780700199</v>
      </c>
      <c r="L61" s="16">
        <v>106</v>
      </c>
      <c r="M61" s="16">
        <v>70</v>
      </c>
      <c r="N61" s="230">
        <v>91</v>
      </c>
      <c r="O61" s="230">
        <v>63</v>
      </c>
      <c r="Q61">
        <v>55</v>
      </c>
      <c r="S61">
        <v>56</v>
      </c>
      <c r="T61">
        <v>91</v>
      </c>
      <c r="U61" s="15">
        <v>0</v>
      </c>
      <c r="V61" s="15">
        <v>0.25</v>
      </c>
      <c r="X61" t="e" cm="1" vm="2">
        <f t="array" ref="X61">MAX(_xlfn._xlws.FILTER(Table22[[B365]:[BFAIREXC]], Table22[PLAYER] = A61))</f>
        <v>#VALUE!</v>
      </c>
      <c r="Y61" s="14" t="e" vm="1">
        <f>Table225[[#This Row],[BDG]]/Table225[[#This Row],[Odds]]</f>
        <v>#VALUE!</v>
      </c>
    </row>
    <row r="62" spans="1:25">
      <c r="A62" s="159" t="s">
        <v>49</v>
      </c>
      <c r="B62">
        <v>70</v>
      </c>
      <c r="C62">
        <v>125</v>
      </c>
      <c r="D62">
        <v>144</v>
      </c>
      <c r="E62">
        <v>135</v>
      </c>
      <c r="F62">
        <v>68</v>
      </c>
      <c r="G62">
        <v>106</v>
      </c>
      <c r="H62">
        <v>319.8</v>
      </c>
      <c r="I62" s="14">
        <v>438.12232656072462</v>
      </c>
      <c r="J62" s="259">
        <v>274.71788499832866</v>
      </c>
      <c r="K62" s="260">
        <v>373.88881929348554</v>
      </c>
      <c r="L62" s="16">
        <v>137</v>
      </c>
      <c r="M62" s="16">
        <v>93</v>
      </c>
      <c r="N62" s="230">
        <v>135</v>
      </c>
      <c r="O62" s="230">
        <v>92</v>
      </c>
      <c r="Q62">
        <v>56</v>
      </c>
      <c r="S62">
        <v>71</v>
      </c>
      <c r="T62">
        <v>68</v>
      </c>
      <c r="U62" s="15">
        <v>0</v>
      </c>
      <c r="V62" s="15">
        <v>0</v>
      </c>
      <c r="X62" t="e" cm="1" vm="2">
        <f t="array" ref="X62">MAX(_xlfn._xlws.FILTER(Table22[[B365]:[BFAIREXC]], Table22[PLAYER] = A62))</f>
        <v>#VALUE!</v>
      </c>
      <c r="Y62" s="14" t="e" vm="1">
        <f>Table225[[#This Row],[BDG]]/Table225[[#This Row],[Odds]]</f>
        <v>#VALUE!</v>
      </c>
    </row>
    <row r="63" spans="1:25">
      <c r="A63" s="159" t="s">
        <v>145</v>
      </c>
      <c r="B63">
        <v>179</v>
      </c>
      <c r="C63">
        <v>23</v>
      </c>
      <c r="D63">
        <v>14</v>
      </c>
      <c r="E63">
        <v>30</v>
      </c>
      <c r="F63">
        <v>167</v>
      </c>
      <c r="G63">
        <v>84</v>
      </c>
      <c r="H63">
        <v>262.30000000000007</v>
      </c>
      <c r="I63" s="14">
        <v>313.23356373214239</v>
      </c>
      <c r="J63" s="259">
        <v>274.87219545117034</v>
      </c>
      <c r="K63" s="260">
        <v>319.79194910112767</v>
      </c>
      <c r="L63" s="16">
        <v>76</v>
      </c>
      <c r="M63" s="16">
        <v>50</v>
      </c>
      <c r="N63" s="230">
        <v>63</v>
      </c>
      <c r="O63" s="230">
        <v>42</v>
      </c>
      <c r="Q63">
        <v>57</v>
      </c>
      <c r="S63">
        <v>44</v>
      </c>
      <c r="T63">
        <v>73</v>
      </c>
      <c r="U63" s="15">
        <v>0</v>
      </c>
      <c r="V63" s="15">
        <v>0</v>
      </c>
      <c r="X63" t="e" cm="1" vm="2">
        <f t="array" ref="X63">MAX(_xlfn._xlws.FILTER(Table22[[B365]:[BFAIREXC]], Table22[PLAYER] = A63))</f>
        <v>#VALUE!</v>
      </c>
      <c r="Y63" s="14" t="e" vm="1">
        <f>Table225[[#This Row],[BDG]]/Table225[[#This Row],[Odds]]</f>
        <v>#VALUE!</v>
      </c>
    </row>
    <row r="64" spans="1:25">
      <c r="A64" s="159" t="s">
        <v>63</v>
      </c>
      <c r="B64">
        <v>143</v>
      </c>
      <c r="C64">
        <v>145</v>
      </c>
      <c r="D64">
        <v>23</v>
      </c>
      <c r="E64">
        <v>114</v>
      </c>
      <c r="F64">
        <v>11</v>
      </c>
      <c r="G64">
        <v>18</v>
      </c>
      <c r="H64">
        <v>268.60000000000002</v>
      </c>
      <c r="I64" s="14">
        <v>261.59205865481272</v>
      </c>
      <c r="J64" s="259">
        <v>275.21044183427631</v>
      </c>
      <c r="K64" s="260">
        <v>312.19456310485498</v>
      </c>
      <c r="L64" s="16">
        <v>82.5</v>
      </c>
      <c r="M64" s="16">
        <v>53</v>
      </c>
      <c r="N64" s="230">
        <v>37</v>
      </c>
      <c r="O64" s="230">
        <v>23</v>
      </c>
      <c r="Q64">
        <v>58</v>
      </c>
      <c r="S64">
        <v>40</v>
      </c>
      <c r="T64">
        <v>82</v>
      </c>
      <c r="U64" s="15">
        <v>0</v>
      </c>
      <c r="V64" s="15">
        <v>0</v>
      </c>
      <c r="X64" t="e" cm="1" vm="2">
        <f t="array" ref="X64">MAX(_xlfn._xlws.FILTER(Table22[[B365]:[BFAIREXC]], Table22[PLAYER] = A64))</f>
        <v>#VALUE!</v>
      </c>
      <c r="Y64" s="14" t="e" vm="1">
        <f>Table225[[#This Row],[BDG]]/Table225[[#This Row],[Odds]]</f>
        <v>#VALUE!</v>
      </c>
    </row>
    <row r="65" spans="1:25">
      <c r="A65" s="159" t="s">
        <v>97</v>
      </c>
      <c r="B65">
        <v>114</v>
      </c>
      <c r="C65">
        <v>148</v>
      </c>
      <c r="D65">
        <v>112</v>
      </c>
      <c r="E65">
        <v>60</v>
      </c>
      <c r="F65">
        <v>103</v>
      </c>
      <c r="G65">
        <v>112</v>
      </c>
      <c r="H65">
        <v>333.9</v>
      </c>
      <c r="I65" s="14">
        <v>429.80224915435144</v>
      </c>
      <c r="J65" s="259">
        <v>279.53374940034462</v>
      </c>
      <c r="K65" s="260">
        <v>331.31634360933833</v>
      </c>
      <c r="L65" s="16">
        <v>158</v>
      </c>
      <c r="M65" s="16">
        <v>107</v>
      </c>
      <c r="N65" s="230">
        <v>129</v>
      </c>
      <c r="O65" s="230">
        <v>89</v>
      </c>
      <c r="Q65">
        <v>60</v>
      </c>
      <c r="S65">
        <v>50</v>
      </c>
      <c r="T65">
        <v>70</v>
      </c>
      <c r="U65" s="15">
        <v>0</v>
      </c>
      <c r="V65" s="15">
        <v>0.25</v>
      </c>
      <c r="X65" cm="1">
        <f t="array" ref="X65">MAX(_xlfn._xlws.FILTER(Table22[[B365]:[BFAIREXC]], Table22[PLAYER] = A65))</f>
        <v>5.51</v>
      </c>
      <c r="Y65" s="14">
        <f>Table225[[#This Row],[BDG]]/Table225[[#This Row],[Odds]]</f>
        <v>50.732077931097031</v>
      </c>
    </row>
    <row r="66" spans="1:25">
      <c r="A66" s="159" t="s">
        <v>139</v>
      </c>
      <c r="B66">
        <v>148</v>
      </c>
      <c r="C66">
        <v>106</v>
      </c>
      <c r="D66">
        <v>13</v>
      </c>
      <c r="E66">
        <v>168</v>
      </c>
      <c r="F66">
        <v>62</v>
      </c>
      <c r="G66">
        <v>66</v>
      </c>
      <c r="H66">
        <v>289.3</v>
      </c>
      <c r="I66" s="14">
        <v>340.32579377240779</v>
      </c>
      <c r="J66" s="259">
        <v>280.41056887290989</v>
      </c>
      <c r="K66" s="260">
        <v>324.09469828541171</v>
      </c>
      <c r="L66" s="16">
        <v>107</v>
      </c>
      <c r="M66" s="16">
        <v>71</v>
      </c>
      <c r="N66" s="230">
        <v>80</v>
      </c>
      <c r="O66" s="230">
        <v>54</v>
      </c>
      <c r="Q66">
        <v>62</v>
      </c>
      <c r="S66">
        <v>48</v>
      </c>
      <c r="T66">
        <v>85</v>
      </c>
      <c r="U66" s="15">
        <v>0</v>
      </c>
      <c r="V66" s="15">
        <v>0.2</v>
      </c>
      <c r="X66" t="e" cm="1" vm="2">
        <f t="array" ref="X66">MAX(_xlfn._xlws.FILTER(Table22[[B365]:[BFAIREXC]], Table22[PLAYER] = A66))</f>
        <v>#VALUE!</v>
      </c>
      <c r="Y66" s="14" t="e" vm="1">
        <f>Table225[[#This Row],[BDG]]/Table225[[#This Row],[Odds]]</f>
        <v>#VALUE!</v>
      </c>
    </row>
    <row r="67" spans="1:25">
      <c r="A67" s="159" t="s">
        <v>146</v>
      </c>
      <c r="B67">
        <v>188</v>
      </c>
      <c r="C67">
        <v>5</v>
      </c>
      <c r="D67">
        <v>33</v>
      </c>
      <c r="E67">
        <v>95</v>
      </c>
      <c r="F67">
        <v>152</v>
      </c>
      <c r="G67">
        <v>126</v>
      </c>
      <c r="H67">
        <v>290.5</v>
      </c>
      <c r="I67" s="14">
        <v>397.24431968357612</v>
      </c>
      <c r="J67" s="259">
        <v>280.84861763344503</v>
      </c>
      <c r="K67" s="260">
        <v>338.95326826610801</v>
      </c>
      <c r="L67" s="16">
        <v>109</v>
      </c>
      <c r="M67" s="16">
        <v>73</v>
      </c>
      <c r="N67" s="230">
        <v>110</v>
      </c>
      <c r="O67" s="230">
        <v>76</v>
      </c>
      <c r="Q67">
        <v>63</v>
      </c>
      <c r="S67">
        <v>54</v>
      </c>
      <c r="T67">
        <v>64</v>
      </c>
      <c r="U67" s="15">
        <v>0</v>
      </c>
      <c r="V67" s="15">
        <v>0</v>
      </c>
      <c r="X67" cm="1">
        <f t="array" ref="X67">MAX(_xlfn._xlws.FILTER(Table22[[B365]:[BFAIREXC]], Table22[PLAYER] = A67))</f>
        <v>8.4499999999999993</v>
      </c>
      <c r="Y67" s="14">
        <f>Table225[[#This Row],[BDG]]/Table225[[#This Row],[Odds]]</f>
        <v>33.2365227968574</v>
      </c>
    </row>
    <row r="68" spans="1:25">
      <c r="A68" s="159" t="s">
        <v>149</v>
      </c>
      <c r="B68">
        <v>128</v>
      </c>
      <c r="C68">
        <v>52</v>
      </c>
      <c r="D68">
        <v>9</v>
      </c>
      <c r="E68">
        <v>90</v>
      </c>
      <c r="F68">
        <v>85</v>
      </c>
      <c r="G68">
        <v>51</v>
      </c>
      <c r="H68">
        <v>218.4</v>
      </c>
      <c r="I68" s="14">
        <v>252.16683700665658</v>
      </c>
      <c r="J68" s="259">
        <v>282.21341630518265</v>
      </c>
      <c r="K68" s="260">
        <v>347.07684964424834</v>
      </c>
      <c r="L68" s="16">
        <v>30</v>
      </c>
      <c r="M68" s="16">
        <v>20</v>
      </c>
      <c r="N68" s="230">
        <v>34</v>
      </c>
      <c r="O68" s="230">
        <v>21</v>
      </c>
      <c r="Q68">
        <v>65</v>
      </c>
      <c r="S68">
        <v>55</v>
      </c>
      <c r="T68">
        <v>37</v>
      </c>
      <c r="U68" s="15">
        <v>0</v>
      </c>
      <c r="V68" s="15">
        <v>0</v>
      </c>
      <c r="X68" t="e" cm="1" vm="2">
        <f t="array" ref="X68">MAX(_xlfn._xlws.FILTER(Table22[[B365]:[BFAIREXC]], Table22[PLAYER] = A68))</f>
        <v>#VALUE!</v>
      </c>
      <c r="Y68" s="14" t="e" vm="1">
        <f>Table225[[#This Row],[BDG]]/Table225[[#This Row],[Odds]]</f>
        <v>#VALUE!</v>
      </c>
    </row>
    <row r="69" spans="1:25">
      <c r="A69" s="159" t="s">
        <v>112</v>
      </c>
      <c r="B69">
        <v>155</v>
      </c>
      <c r="C69">
        <v>62</v>
      </c>
      <c r="D69">
        <v>167</v>
      </c>
      <c r="E69">
        <v>15</v>
      </c>
      <c r="F69">
        <v>122</v>
      </c>
      <c r="G69">
        <v>155</v>
      </c>
      <c r="H69">
        <v>345.09999999999997</v>
      </c>
      <c r="I69" s="14">
        <v>488.47221720825712</v>
      </c>
      <c r="J69" s="259">
        <v>282.81048617374705</v>
      </c>
      <c r="K69" s="260">
        <v>352.72289894294141</v>
      </c>
      <c r="L69" s="16">
        <v>168</v>
      </c>
      <c r="M69" s="16">
        <v>113</v>
      </c>
      <c r="N69" s="230">
        <v>160</v>
      </c>
      <c r="O69" s="230">
        <v>107</v>
      </c>
      <c r="Q69">
        <v>66</v>
      </c>
      <c r="S69">
        <v>58</v>
      </c>
      <c r="T69">
        <v>61</v>
      </c>
      <c r="U69" s="15">
        <v>0</v>
      </c>
      <c r="V69" s="15">
        <v>0</v>
      </c>
      <c r="X69" t="e" cm="1" vm="2">
        <f t="array" ref="X69">MAX(_xlfn._xlws.FILTER(Table22[[B365]:[BFAIREXC]], Table22[PLAYER] = A69))</f>
        <v>#VALUE!</v>
      </c>
      <c r="Y69" s="14" t="e" vm="1">
        <f>Table225[[#This Row],[BDG]]/Table225[[#This Row],[Odds]]</f>
        <v>#VALUE!</v>
      </c>
    </row>
    <row r="70" spans="1:25">
      <c r="A70" s="159" t="s">
        <v>23</v>
      </c>
      <c r="B70">
        <v>64</v>
      </c>
      <c r="C70">
        <v>134</v>
      </c>
      <c r="D70">
        <v>36</v>
      </c>
      <c r="E70">
        <v>126</v>
      </c>
      <c r="F70">
        <v>132</v>
      </c>
      <c r="G70">
        <v>92</v>
      </c>
      <c r="H70">
        <v>273.2</v>
      </c>
      <c r="I70" s="14">
        <v>358.47691305445971</v>
      </c>
      <c r="J70" s="259">
        <v>283.82613079902353</v>
      </c>
      <c r="K70" s="260">
        <v>382.62780484090172</v>
      </c>
      <c r="L70" s="16">
        <v>90</v>
      </c>
      <c r="M70" s="16">
        <v>57</v>
      </c>
      <c r="N70" s="230">
        <v>92</v>
      </c>
      <c r="O70" s="230">
        <v>64</v>
      </c>
      <c r="Q70">
        <v>67</v>
      </c>
      <c r="S70">
        <v>73</v>
      </c>
      <c r="T70">
        <v>78</v>
      </c>
      <c r="U70" s="15">
        <v>0</v>
      </c>
      <c r="V70" s="15">
        <v>0</v>
      </c>
      <c r="X70" t="e" cm="1" vm="2">
        <f t="array" ref="X70">MAX(_xlfn._xlws.FILTER(Table22[[B365]:[BFAIREXC]], Table22[PLAYER] = A70))</f>
        <v>#VALUE!</v>
      </c>
      <c r="Y70" s="14" t="e" vm="1">
        <f>Table225[[#This Row],[BDG]]/Table225[[#This Row],[Odds]]</f>
        <v>#VALUE!</v>
      </c>
    </row>
    <row r="71" spans="1:25">
      <c r="A71" s="159" t="s">
        <v>187</v>
      </c>
      <c r="B71">
        <v>183</v>
      </c>
      <c r="C71">
        <v>2</v>
      </c>
      <c r="D71">
        <v>21</v>
      </c>
      <c r="E71">
        <v>57</v>
      </c>
      <c r="F71">
        <v>150</v>
      </c>
      <c r="G71">
        <v>105</v>
      </c>
      <c r="H71">
        <v>260.10000000000002</v>
      </c>
      <c r="I71" s="14">
        <v>339.51004170703118</v>
      </c>
      <c r="J71" s="259">
        <v>284.79991934598615</v>
      </c>
      <c r="K71" s="260">
        <v>353.82387889121082</v>
      </c>
      <c r="L71" s="16">
        <v>72</v>
      </c>
      <c r="M71" s="16">
        <v>47</v>
      </c>
      <c r="N71" s="230">
        <v>78</v>
      </c>
      <c r="O71" s="230">
        <v>53</v>
      </c>
      <c r="Q71">
        <v>68</v>
      </c>
      <c r="S71">
        <v>59</v>
      </c>
      <c r="T71">
        <v>13</v>
      </c>
      <c r="U71" s="15">
        <v>0</v>
      </c>
      <c r="V71" s="15">
        <v>0</v>
      </c>
      <c r="X71" t="e" cm="1" vm="2">
        <f t="array" ref="X71">MAX(_xlfn._xlws.FILTER(Table22[[B365]:[BFAIREXC]], Table22[PLAYER] = A71))</f>
        <v>#VALUE!</v>
      </c>
      <c r="Y71" s="14" t="e" vm="1">
        <f>Table225[[#This Row],[BDG]]/Table225[[#This Row],[Odds]]</f>
        <v>#VALUE!</v>
      </c>
    </row>
    <row r="72" spans="1:25">
      <c r="A72" s="159" t="s">
        <v>82</v>
      </c>
      <c r="B72">
        <v>99</v>
      </c>
      <c r="C72">
        <v>163</v>
      </c>
      <c r="D72">
        <v>140</v>
      </c>
      <c r="E72">
        <v>86</v>
      </c>
      <c r="F72">
        <v>14</v>
      </c>
      <c r="G72">
        <v>107</v>
      </c>
      <c r="H72">
        <v>316.39999999999998</v>
      </c>
      <c r="I72" s="14">
        <v>418.01873546237516</v>
      </c>
      <c r="J72" s="259">
        <v>285.01584624474435</v>
      </c>
      <c r="K72" s="260">
        <v>383.1868450203815</v>
      </c>
      <c r="L72" s="16">
        <v>132</v>
      </c>
      <c r="M72" s="16">
        <v>89</v>
      </c>
      <c r="N72" s="230">
        <v>121</v>
      </c>
      <c r="O72" s="230">
        <v>82</v>
      </c>
      <c r="Q72">
        <v>69</v>
      </c>
      <c r="S72">
        <v>74</v>
      </c>
      <c r="T72">
        <v>49</v>
      </c>
      <c r="U72" s="15">
        <v>0</v>
      </c>
      <c r="V72" s="15">
        <v>0</v>
      </c>
      <c r="X72" t="e" cm="1" vm="2">
        <f t="array" ref="X72">MAX(_xlfn._xlws.FILTER(Table22[[B365]:[BFAIREXC]], Table22[PLAYER] = A72))</f>
        <v>#VALUE!</v>
      </c>
      <c r="Y72" s="14" t="e" vm="1">
        <f>Table225[[#This Row],[BDG]]/Table225[[#This Row],[Odds]]</f>
        <v>#VALUE!</v>
      </c>
    </row>
    <row r="73" spans="1:25">
      <c r="A73" s="159" t="s">
        <v>165</v>
      </c>
      <c r="B73">
        <v>182</v>
      </c>
      <c r="C73">
        <v>78</v>
      </c>
      <c r="D73">
        <v>3</v>
      </c>
      <c r="E73">
        <v>184</v>
      </c>
      <c r="F73">
        <v>37</v>
      </c>
      <c r="G73">
        <v>38</v>
      </c>
      <c r="H73">
        <v>286.59999999999997</v>
      </c>
      <c r="I73" s="14">
        <v>308.12217429075264</v>
      </c>
      <c r="J73" s="259">
        <v>285.58406501404681</v>
      </c>
      <c r="K73" s="260">
        <v>326.2846833449488</v>
      </c>
      <c r="L73" s="16">
        <v>105</v>
      </c>
      <c r="M73" s="16">
        <v>69</v>
      </c>
      <c r="N73" s="230">
        <v>61</v>
      </c>
      <c r="O73" s="230">
        <v>40</v>
      </c>
      <c r="Q73">
        <v>70</v>
      </c>
      <c r="S73">
        <v>49</v>
      </c>
      <c r="T73">
        <v>89</v>
      </c>
      <c r="U73" s="15">
        <v>0</v>
      </c>
      <c r="V73" s="15">
        <v>0.33333333333333331</v>
      </c>
      <c r="X73" t="e" cm="1" vm="2">
        <f t="array" ref="X73">MAX(_xlfn._xlws.FILTER(Table22[[B365]:[BFAIREXC]], Table22[PLAYER] = A73))</f>
        <v>#VALUE!</v>
      </c>
      <c r="Y73" s="14" t="e" vm="1">
        <f>Table225[[#This Row],[BDG]]/Table225[[#This Row],[Odds]]</f>
        <v>#VALUE!</v>
      </c>
    </row>
    <row r="74" spans="1:25">
      <c r="A74" s="159" t="s">
        <v>131</v>
      </c>
      <c r="B74">
        <v>132</v>
      </c>
      <c r="C74">
        <v>75</v>
      </c>
      <c r="D74">
        <v>55</v>
      </c>
      <c r="E74">
        <v>91</v>
      </c>
      <c r="F74">
        <v>110</v>
      </c>
      <c r="G74">
        <v>104</v>
      </c>
      <c r="H74">
        <v>286.20000000000005</v>
      </c>
      <c r="I74" s="14">
        <v>370.3272230163422</v>
      </c>
      <c r="J74" s="259">
        <v>286.20000000000005</v>
      </c>
      <c r="K74" s="260">
        <v>370.3272230163422</v>
      </c>
      <c r="L74" s="16">
        <v>103</v>
      </c>
      <c r="M74" s="16">
        <v>67</v>
      </c>
      <c r="N74" s="230">
        <v>97</v>
      </c>
      <c r="O74" s="230">
        <v>66</v>
      </c>
      <c r="Q74">
        <v>71</v>
      </c>
      <c r="S74">
        <v>69</v>
      </c>
      <c r="T74">
        <v>24</v>
      </c>
      <c r="U74" s="15" t="e">
        <v>#N/A</v>
      </c>
      <c r="V74" s="15" t="e">
        <v>#N/A</v>
      </c>
      <c r="X74" t="e" cm="1" vm="2">
        <f t="array" ref="X74">MAX(_xlfn._xlws.FILTER(Table22[[B365]:[BFAIREXC]], Table22[PLAYER] = A74))</f>
        <v>#VALUE!</v>
      </c>
      <c r="Y74" s="14" t="e" vm="1">
        <f>Table225[[#This Row],[BDG]]/Table225[[#This Row],[Odds]]</f>
        <v>#VALUE!</v>
      </c>
    </row>
    <row r="75" spans="1:25">
      <c r="A75" s="159" t="s">
        <v>133</v>
      </c>
      <c r="B75">
        <v>98</v>
      </c>
      <c r="C75">
        <v>14</v>
      </c>
      <c r="D75">
        <v>67</v>
      </c>
      <c r="E75">
        <v>135</v>
      </c>
      <c r="F75">
        <v>41</v>
      </c>
      <c r="G75">
        <v>48</v>
      </c>
      <c r="H75">
        <v>208.20000000000002</v>
      </c>
      <c r="I75" s="14">
        <v>266.16537529660457</v>
      </c>
      <c r="J75" s="259">
        <v>287.31593703110207</v>
      </c>
      <c r="K75" s="260">
        <v>361.63062831370206</v>
      </c>
      <c r="L75" s="16">
        <v>23</v>
      </c>
      <c r="M75" s="16">
        <v>15</v>
      </c>
      <c r="N75" s="230">
        <v>39</v>
      </c>
      <c r="O75" s="230">
        <v>25</v>
      </c>
      <c r="Q75">
        <v>72</v>
      </c>
      <c r="S75">
        <v>66</v>
      </c>
      <c r="T75">
        <v>53</v>
      </c>
      <c r="U75" s="15">
        <v>0</v>
      </c>
      <c r="V75" s="15">
        <v>0</v>
      </c>
      <c r="X75" cm="1">
        <f t="array" ref="X75">MAX(_xlfn._xlws.FILTER(Table22[[B365]:[BFAIREXC]], Table22[PLAYER] = A75))</f>
        <v>12.3</v>
      </c>
      <c r="Y75" s="14">
        <f>Table225[[#This Row],[BDG]]/Table225[[#This Row],[Odds]]</f>
        <v>23.359019270821303</v>
      </c>
    </row>
    <row r="76" spans="1:25">
      <c r="A76" s="159" t="s">
        <v>134</v>
      </c>
      <c r="B76">
        <v>162</v>
      </c>
      <c r="C76">
        <v>25</v>
      </c>
      <c r="D76">
        <v>37</v>
      </c>
      <c r="E76">
        <v>108</v>
      </c>
      <c r="F76">
        <v>161</v>
      </c>
      <c r="G76">
        <v>118</v>
      </c>
      <c r="H76">
        <v>294.2</v>
      </c>
      <c r="I76" s="14">
        <v>397.78213498080777</v>
      </c>
      <c r="J76" s="259">
        <v>289.62829256321083</v>
      </c>
      <c r="K76" s="260">
        <v>355.9707667247705</v>
      </c>
      <c r="L76" s="16">
        <v>111</v>
      </c>
      <c r="M76" s="16">
        <v>74</v>
      </c>
      <c r="N76" s="230">
        <v>111</v>
      </c>
      <c r="O76" s="230">
        <v>77</v>
      </c>
      <c r="Q76">
        <v>73</v>
      </c>
      <c r="S76">
        <v>61</v>
      </c>
      <c r="T76">
        <v>46</v>
      </c>
      <c r="U76" s="15">
        <v>0</v>
      </c>
      <c r="V76" s="15">
        <v>0</v>
      </c>
      <c r="X76" cm="1">
        <f t="array" ref="X76">MAX(_xlfn._xlws.FILTER(Table22[[B365]:[BFAIREXC]], Table22[PLAYER] = A76))</f>
        <v>7.27</v>
      </c>
      <c r="Y76" s="14">
        <f>Table225[[#This Row],[BDG]]/Table225[[#This Row],[Odds]]</f>
        <v>39.838829788612223</v>
      </c>
    </row>
    <row r="77" spans="1:25">
      <c r="A77" s="159" t="s">
        <v>109</v>
      </c>
      <c r="B77">
        <v>49</v>
      </c>
      <c r="C77">
        <v>81</v>
      </c>
      <c r="D77">
        <v>188</v>
      </c>
      <c r="E77">
        <v>188</v>
      </c>
      <c r="F77">
        <v>2</v>
      </c>
      <c r="G77">
        <v>169</v>
      </c>
      <c r="H77">
        <v>295.60000000000002</v>
      </c>
      <c r="I77" s="14">
        <v>502.63765797172181</v>
      </c>
      <c r="J77" s="259">
        <v>289.75837383076936</v>
      </c>
      <c r="K77" s="260">
        <v>436.14957029811927</v>
      </c>
      <c r="L77" s="16">
        <v>112</v>
      </c>
      <c r="M77" s="16">
        <v>75</v>
      </c>
      <c r="N77" s="230">
        <v>167</v>
      </c>
      <c r="O77" s="230">
        <v>112</v>
      </c>
      <c r="Q77">
        <v>74</v>
      </c>
      <c r="S77">
        <v>94</v>
      </c>
      <c r="T77">
        <v>47</v>
      </c>
      <c r="U77" s="15">
        <v>0</v>
      </c>
      <c r="V77" s="15">
        <v>0</v>
      </c>
      <c r="X77" cm="1">
        <f t="array" ref="X77">MAX(_xlfn._xlws.FILTER(Table22[[B365]:[BFAIREXC]], Table22[PLAYER] = A77))</f>
        <v>8.4499999999999993</v>
      </c>
      <c r="Y77" s="14">
        <f>Table225[[#This Row],[BDG]]/Table225[[#This Row],[Odds]]</f>
        <v>34.290931814292236</v>
      </c>
    </row>
    <row r="78" spans="1:25">
      <c r="A78" s="159" t="s">
        <v>21</v>
      </c>
      <c r="B78">
        <v>23</v>
      </c>
      <c r="C78">
        <v>190</v>
      </c>
      <c r="D78">
        <v>50</v>
      </c>
      <c r="E78">
        <v>86</v>
      </c>
      <c r="F78">
        <v>158</v>
      </c>
      <c r="G78">
        <v>148</v>
      </c>
      <c r="H78">
        <v>280.8</v>
      </c>
      <c r="I78" s="14">
        <v>418.18937057692756</v>
      </c>
      <c r="J78" s="259">
        <v>292.05765795245389</v>
      </c>
      <c r="K78" s="260">
        <v>427.39843035777062</v>
      </c>
      <c r="L78" s="16">
        <v>96</v>
      </c>
      <c r="M78" s="16">
        <v>60</v>
      </c>
      <c r="N78" s="230">
        <v>122</v>
      </c>
      <c r="O78" s="230">
        <v>83</v>
      </c>
      <c r="Q78">
        <v>76</v>
      </c>
      <c r="S78">
        <v>90</v>
      </c>
      <c r="T78">
        <v>16</v>
      </c>
      <c r="U78" s="15" t="e">
        <v>#N/A</v>
      </c>
      <c r="V78" s="15" t="e">
        <v>#N/A</v>
      </c>
      <c r="X78" cm="1">
        <f t="array" ref="X78">MAX(_xlfn._xlws.FILTER(Table22[[B365]:[BFAIREXC]], Table22[PLAYER] = A78))</f>
        <v>19.100000000000001</v>
      </c>
      <c r="Y78" s="14">
        <f>Table225[[#This Row],[BDG]]/Table225[[#This Row],[Odds]]</f>
        <v>15.290976856149417</v>
      </c>
    </row>
    <row r="79" spans="1:25">
      <c r="A79" s="159" t="s">
        <v>101</v>
      </c>
      <c r="B79">
        <v>104</v>
      </c>
      <c r="C79">
        <v>61</v>
      </c>
      <c r="D79">
        <v>57</v>
      </c>
      <c r="E79">
        <v>185</v>
      </c>
      <c r="F79">
        <v>175</v>
      </c>
      <c r="G79">
        <v>174</v>
      </c>
      <c r="H79">
        <v>321.20000000000005</v>
      </c>
      <c r="I79" s="14">
        <v>501.89769352396763</v>
      </c>
      <c r="J79" s="259">
        <v>292.10169996313903</v>
      </c>
      <c r="K79" s="260">
        <v>403.7695727579266</v>
      </c>
      <c r="L79" s="16">
        <v>138</v>
      </c>
      <c r="M79" s="16">
        <v>94</v>
      </c>
      <c r="N79" s="230">
        <v>166</v>
      </c>
      <c r="O79" s="230">
        <v>111</v>
      </c>
      <c r="Q79">
        <v>77</v>
      </c>
      <c r="S79">
        <v>85</v>
      </c>
      <c r="T79">
        <v>57</v>
      </c>
      <c r="U79" s="15">
        <v>0</v>
      </c>
      <c r="V79" s="15">
        <v>0</v>
      </c>
      <c r="X79" t="e" cm="1" vm="2">
        <f t="array" ref="X79">MAX(_xlfn._xlws.FILTER(Table22[[B365]:[BFAIREXC]], Table22[PLAYER] = A79))</f>
        <v>#VALUE!</v>
      </c>
      <c r="Y79" s="14" t="e" vm="1">
        <f>Table225[[#This Row],[BDG]]/Table225[[#This Row],[Odds]]</f>
        <v>#VALUE!</v>
      </c>
    </row>
    <row r="80" spans="1:25">
      <c r="A80" s="159" t="s">
        <v>106</v>
      </c>
      <c r="B80">
        <v>137</v>
      </c>
      <c r="C80">
        <v>164</v>
      </c>
      <c r="D80">
        <v>66</v>
      </c>
      <c r="E80">
        <v>150</v>
      </c>
      <c r="F80">
        <v>17</v>
      </c>
      <c r="G80">
        <v>44</v>
      </c>
      <c r="H80">
        <v>322.7</v>
      </c>
      <c r="I80" s="14">
        <v>352.43398301265688</v>
      </c>
      <c r="J80" s="259">
        <v>292.11555182490349</v>
      </c>
      <c r="K80" s="260">
        <v>358.83107488381722</v>
      </c>
      <c r="L80" s="16">
        <v>143</v>
      </c>
      <c r="M80" s="16">
        <v>97</v>
      </c>
      <c r="N80" s="230">
        <v>89</v>
      </c>
      <c r="O80" s="230">
        <v>61</v>
      </c>
      <c r="Q80">
        <v>78</v>
      </c>
      <c r="S80">
        <v>63</v>
      </c>
      <c r="T80">
        <v>54</v>
      </c>
      <c r="U80" s="15">
        <v>0</v>
      </c>
      <c r="V80" s="15">
        <v>0</v>
      </c>
      <c r="X80" t="e" cm="1" vm="2">
        <f t="array" ref="X80">MAX(_xlfn._xlws.FILTER(Table22[[B365]:[BFAIREXC]], Table22[PLAYER] = A80))</f>
        <v>#VALUE!</v>
      </c>
      <c r="Y80" s="14" t="e" vm="1">
        <f>Table225[[#This Row],[BDG]]/Table225[[#This Row],[Odds]]</f>
        <v>#VALUE!</v>
      </c>
    </row>
    <row r="81" spans="1:25">
      <c r="A81" s="159" t="s">
        <v>65</v>
      </c>
      <c r="B81">
        <v>42</v>
      </c>
      <c r="C81">
        <v>102</v>
      </c>
      <c r="D81">
        <v>77</v>
      </c>
      <c r="E81">
        <v>171</v>
      </c>
      <c r="F81">
        <v>57</v>
      </c>
      <c r="G81">
        <v>52</v>
      </c>
      <c r="H81">
        <v>245.6</v>
      </c>
      <c r="I81" s="14">
        <v>313.68841647220415</v>
      </c>
      <c r="J81" s="259">
        <v>292.30555165152214</v>
      </c>
      <c r="K81" s="260">
        <v>426.5735802660256</v>
      </c>
      <c r="L81" s="16">
        <v>54.5</v>
      </c>
      <c r="M81" s="16">
        <v>36</v>
      </c>
      <c r="N81" s="230">
        <v>64</v>
      </c>
      <c r="O81" s="230">
        <v>43</v>
      </c>
      <c r="Q81">
        <v>79</v>
      </c>
      <c r="S81">
        <v>89</v>
      </c>
      <c r="T81">
        <v>87</v>
      </c>
      <c r="U81" s="15">
        <v>0</v>
      </c>
      <c r="V81" s="15">
        <v>0</v>
      </c>
      <c r="X81" t="e" cm="1" vm="2">
        <f t="array" ref="X81">MAX(_xlfn._xlws.FILTER(Table22[[B365]:[BFAIREXC]], Table22[PLAYER] = A81))</f>
        <v>#VALUE!</v>
      </c>
      <c r="Y81" s="14" t="e" vm="1">
        <f>Table225[[#This Row],[BDG]]/Table225[[#This Row],[Odds]]</f>
        <v>#VALUE!</v>
      </c>
    </row>
    <row r="82" spans="1:25">
      <c r="A82" s="159" t="s">
        <v>144</v>
      </c>
      <c r="B82">
        <v>130</v>
      </c>
      <c r="C82">
        <v>93</v>
      </c>
      <c r="D82">
        <v>135</v>
      </c>
      <c r="E82">
        <v>54</v>
      </c>
      <c r="F82">
        <v>130</v>
      </c>
      <c r="G82">
        <v>129</v>
      </c>
      <c r="H82">
        <v>340.90000000000003</v>
      </c>
      <c r="I82" s="14">
        <v>460.00794068132791</v>
      </c>
      <c r="J82" s="259">
        <v>292.3256084841147</v>
      </c>
      <c r="K82" s="260">
        <v>351.34496535441423</v>
      </c>
      <c r="L82" s="16">
        <v>164</v>
      </c>
      <c r="M82" s="16">
        <v>110</v>
      </c>
      <c r="N82" s="230">
        <v>145</v>
      </c>
      <c r="O82" s="230">
        <v>101</v>
      </c>
      <c r="Q82">
        <v>80</v>
      </c>
      <c r="S82">
        <v>57</v>
      </c>
      <c r="T82">
        <v>71</v>
      </c>
      <c r="U82" s="15">
        <v>0</v>
      </c>
      <c r="V82" s="15">
        <v>0</v>
      </c>
      <c r="X82" t="e" cm="1" vm="2">
        <f t="array" ref="X82">MAX(_xlfn._xlws.FILTER(Table22[[B365]:[BFAIREXC]], Table22[PLAYER] = A82))</f>
        <v>#VALUE!</v>
      </c>
      <c r="Y82" s="14" t="e" vm="1">
        <f>Table225[[#This Row],[BDG]]/Table225[[#This Row],[Odds]]</f>
        <v>#VALUE!</v>
      </c>
    </row>
    <row r="83" spans="1:25">
      <c r="A83" s="159" t="s">
        <v>123</v>
      </c>
      <c r="B83">
        <v>74</v>
      </c>
      <c r="C83">
        <v>93</v>
      </c>
      <c r="D83">
        <v>18</v>
      </c>
      <c r="E83">
        <v>155</v>
      </c>
      <c r="F83">
        <v>185</v>
      </c>
      <c r="G83">
        <v>136</v>
      </c>
      <c r="H83">
        <v>282.10000000000002</v>
      </c>
      <c r="I83" s="14">
        <v>415.59681835992598</v>
      </c>
      <c r="J83" s="259">
        <v>293.70087923149214</v>
      </c>
      <c r="K83" s="260">
        <v>383.8042215450248</v>
      </c>
      <c r="L83" s="16">
        <v>98</v>
      </c>
      <c r="M83" s="16">
        <v>62</v>
      </c>
      <c r="N83" s="230">
        <v>118</v>
      </c>
      <c r="O83" s="230">
        <v>80</v>
      </c>
      <c r="Q83">
        <v>81</v>
      </c>
      <c r="S83">
        <v>76</v>
      </c>
      <c r="T83">
        <v>11</v>
      </c>
      <c r="U83" s="15" t="e">
        <v>#N/A</v>
      </c>
      <c r="V83" s="15" t="e">
        <v>#N/A</v>
      </c>
      <c r="X83" t="e" cm="1" vm="2">
        <f t="array" ref="X83">MAX(_xlfn._xlws.FILTER(Table22[[B365]:[BFAIREXC]], Table22[PLAYER] = A83))</f>
        <v>#VALUE!</v>
      </c>
      <c r="Y83" s="14" t="e" vm="1">
        <f>Table225[[#This Row],[BDG]]/Table225[[#This Row],[Odds]]</f>
        <v>#VALUE!</v>
      </c>
    </row>
    <row r="84" spans="1:25">
      <c r="A84" s="159" t="s">
        <v>632</v>
      </c>
      <c r="B84">
        <v>85</v>
      </c>
      <c r="C84">
        <v>144</v>
      </c>
      <c r="D84">
        <v>95</v>
      </c>
      <c r="E84">
        <v>168</v>
      </c>
      <c r="F84">
        <v>20</v>
      </c>
      <c r="G84">
        <v>92</v>
      </c>
      <c r="H84">
        <v>298.09999999999997</v>
      </c>
      <c r="I84" s="14">
        <v>395.49437032407576</v>
      </c>
      <c r="J84" s="259">
        <v>294.0499889073489</v>
      </c>
      <c r="K84" s="260">
        <v>395.49437032407576</v>
      </c>
      <c r="L84" s="16">
        <v>114</v>
      </c>
      <c r="M84" s="16">
        <v>77</v>
      </c>
      <c r="N84" s="230">
        <v>109</v>
      </c>
      <c r="O84" s="230">
        <v>75</v>
      </c>
      <c r="Q84">
        <v>82</v>
      </c>
      <c r="S84">
        <v>83</v>
      </c>
      <c r="T84">
        <v>43</v>
      </c>
      <c r="U84" s="15" t="e">
        <v>#N/A</v>
      </c>
      <c r="V84" s="15" t="e">
        <v>#N/A</v>
      </c>
      <c r="X84" cm="1">
        <f t="array" ref="X84">MAX(_xlfn._xlws.FILTER(Table22[[B365]:[BFAIREXC]], Table22[PLAYER] = A84))</f>
        <v>4.72</v>
      </c>
      <c r="Y84" s="14">
        <f>Table225[[#This Row],[BDG]]/Table225[[#This Row],[Odds]]</f>
        <v>62.298726463421382</v>
      </c>
    </row>
    <row r="85" spans="1:25">
      <c r="A85" s="159" t="s">
        <v>39</v>
      </c>
      <c r="B85">
        <v>133</v>
      </c>
      <c r="C85">
        <v>162</v>
      </c>
      <c r="D85">
        <v>149</v>
      </c>
      <c r="E85">
        <v>23</v>
      </c>
      <c r="F85">
        <v>52</v>
      </c>
      <c r="G85">
        <v>64</v>
      </c>
      <c r="H85">
        <v>343.1</v>
      </c>
      <c r="I85" s="14">
        <v>386.39303032295658</v>
      </c>
      <c r="J85" s="259">
        <v>294.17037446031014</v>
      </c>
      <c r="K85" s="260">
        <v>359.03099354123788</v>
      </c>
      <c r="L85" s="16">
        <v>166</v>
      </c>
      <c r="M85" s="16">
        <v>112</v>
      </c>
      <c r="N85" s="230">
        <v>105</v>
      </c>
      <c r="O85" s="230">
        <v>71</v>
      </c>
      <c r="Q85">
        <v>83</v>
      </c>
      <c r="S85">
        <v>64</v>
      </c>
      <c r="T85">
        <v>48</v>
      </c>
      <c r="U85" s="15">
        <v>0</v>
      </c>
      <c r="V85" s="15">
        <v>0</v>
      </c>
      <c r="X85" cm="1">
        <f t="array" ref="X85">MAX(_xlfn._xlws.FILTER(Table22[[B365]:[BFAIREXC]], Table22[PLAYER] = A85))</f>
        <v>7.66</v>
      </c>
      <c r="Y85" s="14">
        <f>Table225[[#This Row],[BDG]]/Table225[[#This Row],[Odds]]</f>
        <v>38.403443141032653</v>
      </c>
    </row>
    <row r="86" spans="1:25">
      <c r="A86" s="159" t="s">
        <v>147</v>
      </c>
      <c r="B86">
        <v>108</v>
      </c>
      <c r="C86">
        <v>40</v>
      </c>
      <c r="D86">
        <v>38</v>
      </c>
      <c r="E86">
        <v>66</v>
      </c>
      <c r="F86">
        <v>137</v>
      </c>
      <c r="G86">
        <v>103</v>
      </c>
      <c r="H86">
        <v>231.9</v>
      </c>
      <c r="I86" s="14">
        <v>322.89769465005025</v>
      </c>
      <c r="J86" s="259">
        <v>295.2054488122061</v>
      </c>
      <c r="K86" s="260">
        <v>391.09162754752293</v>
      </c>
      <c r="L86" s="16">
        <v>42</v>
      </c>
      <c r="M86" s="16">
        <v>26</v>
      </c>
      <c r="N86" s="230">
        <v>70</v>
      </c>
      <c r="O86" s="230">
        <v>46</v>
      </c>
      <c r="Q86">
        <v>84</v>
      </c>
      <c r="S86">
        <v>81</v>
      </c>
      <c r="T86">
        <v>36</v>
      </c>
      <c r="U86" s="15">
        <v>0</v>
      </c>
      <c r="V86" s="15">
        <v>0</v>
      </c>
      <c r="X86" cm="1">
        <f t="array" ref="X86">MAX(_xlfn._xlws.FILTER(Table22[[B365]:[BFAIREXC]], Table22[PLAYER] = A86))</f>
        <v>7.27</v>
      </c>
      <c r="Y86" s="14">
        <f>Table225[[#This Row],[BDG]]/Table225[[#This Row],[Odds]]</f>
        <v>40.605976452848161</v>
      </c>
    </row>
    <row r="87" spans="1:25">
      <c r="A87" s="159" t="s">
        <v>136</v>
      </c>
      <c r="B87">
        <v>149</v>
      </c>
      <c r="C87">
        <v>30</v>
      </c>
      <c r="D87">
        <v>17</v>
      </c>
      <c r="E87">
        <v>133</v>
      </c>
      <c r="F87">
        <v>125</v>
      </c>
      <c r="G87">
        <v>90</v>
      </c>
      <c r="H87">
        <v>264.8</v>
      </c>
      <c r="I87" s="14">
        <v>343.60568185625766</v>
      </c>
      <c r="J87" s="259">
        <v>296.6114642476582</v>
      </c>
      <c r="K87" s="260">
        <v>403.27084196340473</v>
      </c>
      <c r="L87" s="16">
        <v>78.5</v>
      </c>
      <c r="M87" s="16">
        <v>51</v>
      </c>
      <c r="N87" s="230">
        <v>82</v>
      </c>
      <c r="O87" s="230">
        <v>56</v>
      </c>
      <c r="Q87">
        <v>86</v>
      </c>
      <c r="S87">
        <v>84</v>
      </c>
      <c r="T87">
        <v>38</v>
      </c>
      <c r="U87" s="15">
        <v>0</v>
      </c>
      <c r="V87" s="15">
        <v>0</v>
      </c>
      <c r="X87" cm="1">
        <f t="array" ref="X87">MAX(_xlfn._xlws.FILTER(Table22[[B365]:[BFAIREXC]], Table22[PLAYER] = A87))</f>
        <v>11.3</v>
      </c>
      <c r="Y87" s="14">
        <f>Table225[[#This Row],[BDG]]/Table225[[#This Row],[Odds]]</f>
        <v>26.248802145810458</v>
      </c>
    </row>
    <row r="88" spans="1:25">
      <c r="A88" s="159" t="s">
        <v>80</v>
      </c>
      <c r="B88">
        <v>20</v>
      </c>
      <c r="C88">
        <v>115</v>
      </c>
      <c r="D88">
        <v>161</v>
      </c>
      <c r="E88">
        <v>119</v>
      </c>
      <c r="F88">
        <v>59</v>
      </c>
      <c r="G88">
        <v>125</v>
      </c>
      <c r="H88">
        <v>274.79999999999995</v>
      </c>
      <c r="I88" s="14">
        <v>423.22172553690859</v>
      </c>
      <c r="J88" s="259">
        <v>300.00788683896269</v>
      </c>
      <c r="K88" s="260">
        <v>458.8051173052732</v>
      </c>
      <c r="L88" s="16">
        <v>91</v>
      </c>
      <c r="M88" s="16">
        <v>58</v>
      </c>
      <c r="N88" s="230">
        <v>125</v>
      </c>
      <c r="O88" s="230">
        <v>86</v>
      </c>
      <c r="Q88">
        <v>87</v>
      </c>
      <c r="S88">
        <v>103</v>
      </c>
      <c r="T88">
        <v>26</v>
      </c>
      <c r="U88" s="15">
        <v>0</v>
      </c>
      <c r="V88" s="15">
        <v>0</v>
      </c>
      <c r="X88" cm="1">
        <f t="array" ref="X88">MAX(_xlfn._xlws.FILTER(Table22[[B365]:[BFAIREXC]], Table22[PLAYER] = A88))</f>
        <v>9.23</v>
      </c>
      <c r="Y88" s="14">
        <f>Table225[[#This Row],[BDG]]/Table225[[#This Row],[Odds]]</f>
        <v>32.503563037807439</v>
      </c>
    </row>
    <row r="89" spans="1:25">
      <c r="A89" s="159" t="s">
        <v>32</v>
      </c>
      <c r="B89">
        <v>13</v>
      </c>
      <c r="C89">
        <v>149</v>
      </c>
      <c r="D89">
        <v>175</v>
      </c>
      <c r="E89">
        <v>59</v>
      </c>
      <c r="F89">
        <v>119</v>
      </c>
      <c r="G89">
        <v>161</v>
      </c>
      <c r="H89">
        <v>305.39999999999998</v>
      </c>
      <c r="I89" s="14">
        <v>478.64504032827642</v>
      </c>
      <c r="J89" s="259">
        <v>301.46325192943152</v>
      </c>
      <c r="K89" s="260">
        <v>438.84807804818905</v>
      </c>
      <c r="L89" s="16">
        <v>119</v>
      </c>
      <c r="M89" s="16">
        <v>80</v>
      </c>
      <c r="N89" s="230">
        <v>157</v>
      </c>
      <c r="O89" s="230">
        <v>104</v>
      </c>
      <c r="Q89">
        <v>88</v>
      </c>
      <c r="S89">
        <v>95</v>
      </c>
      <c r="T89">
        <v>29</v>
      </c>
      <c r="U89" s="15">
        <v>0</v>
      </c>
      <c r="V89" s="15">
        <v>0</v>
      </c>
      <c r="X89" cm="1">
        <f t="array" ref="X89">MAX(_xlfn._xlws.FILTER(Table22[[B365]:[BFAIREXC]], Table22[PLAYER] = A89))</f>
        <v>6.5</v>
      </c>
      <c r="Y89" s="14">
        <f>Table225[[#This Row],[BDG]]/Table225[[#This Row],[Odds]]</f>
        <v>46.378961835297154</v>
      </c>
    </row>
    <row r="90" spans="1:25">
      <c r="A90" s="159" t="s">
        <v>156</v>
      </c>
      <c r="B90">
        <v>87</v>
      </c>
      <c r="C90">
        <v>49</v>
      </c>
      <c r="D90">
        <v>117</v>
      </c>
      <c r="E90">
        <v>11</v>
      </c>
      <c r="F90">
        <v>108</v>
      </c>
      <c r="G90">
        <v>89</v>
      </c>
      <c r="H90">
        <v>239.29999999999998</v>
      </c>
      <c r="I90" s="14">
        <v>323.24557255338857</v>
      </c>
      <c r="J90" s="259">
        <v>305.01829440384483</v>
      </c>
      <c r="K90" s="260">
        <v>412.69080322637353</v>
      </c>
      <c r="L90" s="16">
        <v>47</v>
      </c>
      <c r="M90" s="16">
        <v>29</v>
      </c>
      <c r="N90" s="230">
        <v>71</v>
      </c>
      <c r="O90" s="230">
        <v>47</v>
      </c>
      <c r="Q90">
        <v>89</v>
      </c>
      <c r="S90">
        <v>87</v>
      </c>
      <c r="T90">
        <v>27</v>
      </c>
      <c r="U90" s="15">
        <v>0</v>
      </c>
      <c r="V90" s="15">
        <v>0</v>
      </c>
      <c r="X90" cm="1">
        <f t="array" ref="X90">MAX(_xlfn._xlws.FILTER(Table22[[B365]:[BFAIREXC]], Table22[PLAYER] = A90))</f>
        <v>12.3</v>
      </c>
      <c r="Y90" s="14">
        <f>Table225[[#This Row],[BDG]]/Table225[[#This Row],[Odds]]</f>
        <v>24.798235317385757</v>
      </c>
    </row>
    <row r="91" spans="1:25">
      <c r="A91" s="159" t="s">
        <v>8</v>
      </c>
      <c r="B91">
        <v>5</v>
      </c>
      <c r="C91">
        <v>136</v>
      </c>
      <c r="D91">
        <v>189</v>
      </c>
      <c r="E91">
        <v>92</v>
      </c>
      <c r="F91">
        <v>153</v>
      </c>
      <c r="G91">
        <v>152</v>
      </c>
      <c r="H91">
        <v>331.2</v>
      </c>
      <c r="I91" s="14">
        <v>505.32023449900828</v>
      </c>
      <c r="J91" s="259">
        <v>306.89993344409339</v>
      </c>
      <c r="K91" s="260">
        <v>500.61486121196799</v>
      </c>
      <c r="L91" s="16">
        <v>155</v>
      </c>
      <c r="M91" s="16">
        <v>105</v>
      </c>
      <c r="N91" s="230">
        <v>170</v>
      </c>
      <c r="O91" s="230">
        <v>114</v>
      </c>
      <c r="Q91">
        <v>90</v>
      </c>
      <c r="S91">
        <v>110</v>
      </c>
      <c r="T91">
        <v>40</v>
      </c>
      <c r="U91" s="15" t="e">
        <v>#N/A</v>
      </c>
      <c r="V91" s="15" t="e">
        <v>#N/A</v>
      </c>
      <c r="X91" t="e" cm="1" vm="2">
        <f t="array" ref="X91">MAX(_xlfn._xlws.FILTER(Table22[[B365]:[BFAIREXC]], Table22[PLAYER] = A91))</f>
        <v>#VALUE!</v>
      </c>
      <c r="Y91" s="14" t="e" vm="1">
        <f>Table225[[#This Row],[BDG]]/Table225[[#This Row],[Odds]]</f>
        <v>#VALUE!</v>
      </c>
    </row>
    <row r="92" spans="1:25">
      <c r="A92" s="159" t="s">
        <v>13</v>
      </c>
      <c r="B92">
        <v>56</v>
      </c>
      <c r="C92">
        <v>114</v>
      </c>
      <c r="D92">
        <v>176</v>
      </c>
      <c r="E92">
        <v>161</v>
      </c>
      <c r="F92">
        <v>168</v>
      </c>
      <c r="G92">
        <v>179</v>
      </c>
      <c r="H92">
        <v>384.79999999999995</v>
      </c>
      <c r="I92" s="14">
        <v>587.45799480599567</v>
      </c>
      <c r="J92" s="259">
        <v>307.27146138444971</v>
      </c>
      <c r="K92" s="260">
        <v>447.2912623078098</v>
      </c>
      <c r="L92" s="16">
        <v>182</v>
      </c>
      <c r="M92" s="16">
        <v>118</v>
      </c>
      <c r="N92" s="230">
        <v>189</v>
      </c>
      <c r="O92" s="230">
        <v>122</v>
      </c>
      <c r="Q92">
        <v>91</v>
      </c>
      <c r="S92">
        <v>99</v>
      </c>
      <c r="T92">
        <v>52</v>
      </c>
      <c r="U92" s="15">
        <v>0</v>
      </c>
      <c r="V92" s="15">
        <v>0</v>
      </c>
      <c r="X92" t="e" cm="1" vm="2">
        <f t="array" ref="X92">MAX(_xlfn._xlws.FILTER(Table22[[B365]:[BFAIREXC]], Table22[PLAYER] = A92))</f>
        <v>#VALUE!</v>
      </c>
      <c r="Y92" s="14" t="e" vm="1">
        <f>Table225[[#This Row],[BDG]]/Table225[[#This Row],[Odds]]</f>
        <v>#VALUE!</v>
      </c>
    </row>
    <row r="93" spans="1:25">
      <c r="A93" s="159" t="s">
        <v>60</v>
      </c>
      <c r="B93">
        <v>111</v>
      </c>
      <c r="C93">
        <v>57</v>
      </c>
      <c r="D93">
        <v>170</v>
      </c>
      <c r="E93">
        <v>88</v>
      </c>
      <c r="F93">
        <v>145</v>
      </c>
      <c r="G93">
        <v>168</v>
      </c>
      <c r="H93">
        <v>349.7</v>
      </c>
      <c r="I93" s="14">
        <v>526.44084448701665</v>
      </c>
      <c r="J93" s="259">
        <v>308.73997255957784</v>
      </c>
      <c r="K93" s="260">
        <v>457.38757699812862</v>
      </c>
      <c r="L93" s="16">
        <v>169</v>
      </c>
      <c r="M93" s="16">
        <v>114</v>
      </c>
      <c r="N93" s="230">
        <v>175</v>
      </c>
      <c r="O93" s="230">
        <v>116</v>
      </c>
      <c r="Q93">
        <v>92</v>
      </c>
      <c r="S93">
        <v>101</v>
      </c>
      <c r="T93">
        <v>15</v>
      </c>
      <c r="U93" s="15">
        <v>0</v>
      </c>
      <c r="V93" s="15">
        <v>0</v>
      </c>
      <c r="X93" cm="1">
        <f t="array" ref="X93">MAX(_xlfn._xlws.FILTER(Table22[[B365]:[BFAIREXC]], Table22[PLAYER] = A93))</f>
        <v>17.2</v>
      </c>
      <c r="Y93" s="14">
        <f>Table225[[#This Row],[BDG]]/Table225[[#This Row],[Odds]]</f>
        <v>17.949998404626619</v>
      </c>
    </row>
    <row r="94" spans="1:25">
      <c r="A94" s="159" t="s">
        <v>179</v>
      </c>
      <c r="B94">
        <v>185</v>
      </c>
      <c r="C94">
        <v>2</v>
      </c>
      <c r="D94">
        <v>151</v>
      </c>
      <c r="E94">
        <v>3</v>
      </c>
      <c r="F94">
        <v>160</v>
      </c>
      <c r="G94">
        <v>121</v>
      </c>
      <c r="H94">
        <v>336.09999999999997</v>
      </c>
      <c r="I94" s="14">
        <v>442.56558531710533</v>
      </c>
      <c r="J94" s="259">
        <v>309.05416321178762</v>
      </c>
      <c r="K94" s="260">
        <v>385.25959577443598</v>
      </c>
      <c r="L94" s="16">
        <v>162</v>
      </c>
      <c r="M94" s="16">
        <v>108</v>
      </c>
      <c r="N94" s="230">
        <v>139</v>
      </c>
      <c r="O94" s="230">
        <v>95</v>
      </c>
      <c r="Q94">
        <v>93</v>
      </c>
      <c r="S94">
        <v>78</v>
      </c>
      <c r="T94">
        <v>4</v>
      </c>
      <c r="U94" s="15" t="e">
        <v>#N/A</v>
      </c>
      <c r="V94" s="15" t="e">
        <v>#N/A</v>
      </c>
      <c r="X94" t="e" cm="1" vm="2">
        <f t="array" ref="X94">MAX(_xlfn._xlws.FILTER(Table22[[B365]:[BFAIREXC]], Table22[PLAYER] = A94))</f>
        <v>#VALUE!</v>
      </c>
      <c r="Y94" s="14" t="e" vm="1">
        <f>Table225[[#This Row],[BDG]]/Table225[[#This Row],[Odds]]</f>
        <v>#VALUE!</v>
      </c>
    </row>
    <row r="95" spans="1:25">
      <c r="A95" s="159" t="s">
        <v>108</v>
      </c>
      <c r="B95">
        <v>118</v>
      </c>
      <c r="C95">
        <v>170</v>
      </c>
      <c r="D95">
        <v>32</v>
      </c>
      <c r="E95">
        <v>97</v>
      </c>
      <c r="F95">
        <v>98</v>
      </c>
      <c r="G95">
        <v>98</v>
      </c>
      <c r="H95">
        <v>306.60000000000002</v>
      </c>
      <c r="I95" s="14">
        <v>378.42462958554734</v>
      </c>
      <c r="J95" s="259">
        <v>309.20333340150495</v>
      </c>
      <c r="K95" s="260">
        <v>394.46091206262679</v>
      </c>
      <c r="L95" s="16">
        <v>123</v>
      </c>
      <c r="M95" s="16">
        <v>83</v>
      </c>
      <c r="N95" s="230">
        <v>100</v>
      </c>
      <c r="O95" s="230">
        <v>68</v>
      </c>
      <c r="Q95">
        <v>94</v>
      </c>
      <c r="S95">
        <v>82</v>
      </c>
      <c r="T95">
        <v>18</v>
      </c>
      <c r="U95" s="15">
        <v>0</v>
      </c>
      <c r="V95" s="15">
        <v>0</v>
      </c>
      <c r="X95" t="e" cm="1" vm="2">
        <f t="array" ref="X95">MAX(_xlfn._xlws.FILTER(Table22[[B365]:[BFAIREXC]], Table22[PLAYER] = A95))</f>
        <v>#VALUE!</v>
      </c>
      <c r="Y95" s="14" t="e" vm="1">
        <f>Table225[[#This Row],[BDG]]/Table225[[#This Row],[Odds]]</f>
        <v>#VALUE!</v>
      </c>
    </row>
    <row r="96" spans="1:25">
      <c r="A96" s="159" t="s">
        <v>84</v>
      </c>
      <c r="B96">
        <v>84</v>
      </c>
      <c r="C96">
        <v>150</v>
      </c>
      <c r="D96">
        <v>81</v>
      </c>
      <c r="E96">
        <v>137</v>
      </c>
      <c r="F96">
        <v>106</v>
      </c>
      <c r="G96">
        <v>124</v>
      </c>
      <c r="H96">
        <v>315.10000000000002</v>
      </c>
      <c r="I96" s="14">
        <v>442.1382662002153</v>
      </c>
      <c r="J96" s="259">
        <v>315.10000000000002</v>
      </c>
      <c r="K96" s="260">
        <v>442.1382662002153</v>
      </c>
      <c r="L96" s="16">
        <v>130</v>
      </c>
      <c r="M96" s="16">
        <v>87</v>
      </c>
      <c r="N96" s="230">
        <v>138</v>
      </c>
      <c r="O96" s="230">
        <v>94</v>
      </c>
      <c r="Q96">
        <v>95</v>
      </c>
      <c r="S96">
        <v>97</v>
      </c>
      <c r="T96">
        <v>7</v>
      </c>
      <c r="U96" s="15" t="e">
        <v>#N/A</v>
      </c>
      <c r="V96" s="15" t="e">
        <v>#N/A</v>
      </c>
      <c r="X96" cm="1">
        <f t="array" ref="X96">MAX(_xlfn._xlws.FILTER(Table22[[B365]:[BFAIREXC]], Table22[PLAYER] = A96))</f>
        <v>19.600000000000001</v>
      </c>
      <c r="Y96" s="14">
        <f>Table225[[#This Row],[BDG]]/Table225[[#This Row],[Odds]]</f>
        <v>16.076530612244898</v>
      </c>
    </row>
    <row r="97" spans="1:25">
      <c r="A97" s="159" t="s">
        <v>137</v>
      </c>
      <c r="B97">
        <v>119</v>
      </c>
      <c r="C97">
        <v>40</v>
      </c>
      <c r="D97">
        <v>22</v>
      </c>
      <c r="E97">
        <v>172</v>
      </c>
      <c r="F97">
        <v>187</v>
      </c>
      <c r="G97">
        <v>157</v>
      </c>
      <c r="H97">
        <v>296.89999999999998</v>
      </c>
      <c r="I97" s="14">
        <v>452.87719548571982</v>
      </c>
      <c r="J97" s="259">
        <v>315.37731755702305</v>
      </c>
      <c r="K97" s="260">
        <v>439.3930432784465</v>
      </c>
      <c r="L97" s="16">
        <v>113</v>
      </c>
      <c r="M97" s="16">
        <v>76</v>
      </c>
      <c r="N97" s="230">
        <v>142</v>
      </c>
      <c r="O97" s="230">
        <v>98</v>
      </c>
      <c r="Q97">
        <v>96</v>
      </c>
      <c r="S97">
        <v>96</v>
      </c>
      <c r="T97">
        <v>32</v>
      </c>
      <c r="U97" s="15">
        <v>0</v>
      </c>
      <c r="V97" s="15">
        <v>0</v>
      </c>
      <c r="X97" cm="1">
        <f t="array" ref="X97">MAX(_xlfn._xlws.FILTER(Table22[[B365]:[BFAIREXC]], Table22[PLAYER] = A97))</f>
        <v>6.88</v>
      </c>
      <c r="Y97" s="14">
        <f>Table225[[#This Row],[BDG]]/Table225[[#This Row],[Odds]]</f>
        <v>45.839726389102189</v>
      </c>
    </row>
    <row r="98" spans="1:25">
      <c r="A98" s="159" t="s">
        <v>151</v>
      </c>
      <c r="B98">
        <v>123</v>
      </c>
      <c r="C98">
        <v>81</v>
      </c>
      <c r="D98">
        <v>111</v>
      </c>
      <c r="E98">
        <v>140</v>
      </c>
      <c r="F98">
        <v>76</v>
      </c>
      <c r="G98">
        <v>100</v>
      </c>
      <c r="H98">
        <v>318.7</v>
      </c>
      <c r="I98" s="14">
        <v>422.18908958257379</v>
      </c>
      <c r="J98" s="259">
        <v>315.52520316889638</v>
      </c>
      <c r="K98" s="260">
        <v>407.82074387405765</v>
      </c>
      <c r="L98" s="16">
        <v>135</v>
      </c>
      <c r="M98" s="16">
        <v>91</v>
      </c>
      <c r="N98" s="230">
        <v>124</v>
      </c>
      <c r="O98" s="230">
        <v>85</v>
      </c>
      <c r="Q98">
        <v>97</v>
      </c>
      <c r="S98">
        <v>86</v>
      </c>
      <c r="T98">
        <v>23</v>
      </c>
      <c r="U98" s="15">
        <v>0</v>
      </c>
      <c r="V98" s="15">
        <v>0</v>
      </c>
      <c r="X98" cm="1">
        <f t="array" ref="X98">MAX(_xlfn._xlws.FILTER(Table22[[B365]:[BFAIREXC]], Table22[PLAYER] = A98))</f>
        <v>5.21</v>
      </c>
      <c r="Y98" s="14">
        <f>Table225[[#This Row],[BDG]]/Table225[[#This Row],[Odds]]</f>
        <v>60.561459341438848</v>
      </c>
    </row>
    <row r="99" spans="1:25">
      <c r="A99" s="159" t="s">
        <v>238</v>
      </c>
      <c r="B99">
        <v>193</v>
      </c>
      <c r="C99">
        <v>105</v>
      </c>
      <c r="D99">
        <v>78</v>
      </c>
      <c r="E99">
        <v>53</v>
      </c>
      <c r="F99">
        <v>37</v>
      </c>
      <c r="G99">
        <v>149</v>
      </c>
      <c r="H99">
        <v>311.7</v>
      </c>
      <c r="I99" s="14">
        <v>429.92124143472824</v>
      </c>
      <c r="J99" s="259">
        <v>317.74069451107283</v>
      </c>
      <c r="K99" s="260">
        <v>429.92124143472824</v>
      </c>
      <c r="L99" s="16">
        <v>126</v>
      </c>
      <c r="M99" s="16">
        <v>85</v>
      </c>
      <c r="N99" s="230">
        <v>130</v>
      </c>
      <c r="O99" s="230">
        <v>90</v>
      </c>
      <c r="Q99">
        <v>98</v>
      </c>
      <c r="S99">
        <v>91</v>
      </c>
      <c r="T99">
        <v>5</v>
      </c>
      <c r="U99" s="15" t="e">
        <v>#N/A</v>
      </c>
      <c r="V99" s="15" t="e">
        <v>#N/A</v>
      </c>
      <c r="X99" t="e" cm="1" vm="2">
        <f t="array" ref="X99">MAX(_xlfn._xlws.FILTER(Table22[[B365]:[BFAIREXC]], Table22[PLAYER] = A99))</f>
        <v>#VALUE!</v>
      </c>
      <c r="Y99" s="14" t="e" vm="1">
        <f>Table225[[#This Row],[BDG]]/Table225[[#This Row],[Odds]]</f>
        <v>#VALUE!</v>
      </c>
    </row>
    <row r="100" spans="1:25">
      <c r="A100" s="159" t="s">
        <v>89</v>
      </c>
      <c r="B100">
        <v>103</v>
      </c>
      <c r="C100">
        <v>164</v>
      </c>
      <c r="D100">
        <v>40</v>
      </c>
      <c r="E100">
        <v>85</v>
      </c>
      <c r="F100">
        <v>44</v>
      </c>
      <c r="G100">
        <v>37</v>
      </c>
      <c r="H100">
        <v>264.8</v>
      </c>
      <c r="I100" s="14">
        <v>279.53319068429687</v>
      </c>
      <c r="J100" s="259">
        <v>322.58130232608573</v>
      </c>
      <c r="K100" s="260">
        <v>418.27466771130082</v>
      </c>
      <c r="L100" s="16">
        <v>78.5</v>
      </c>
      <c r="M100" s="16">
        <v>52</v>
      </c>
      <c r="N100" s="230">
        <v>49</v>
      </c>
      <c r="O100" s="230">
        <v>31</v>
      </c>
      <c r="Q100">
        <v>99</v>
      </c>
      <c r="S100">
        <v>88</v>
      </c>
      <c r="T100">
        <v>63</v>
      </c>
      <c r="U100" s="15">
        <v>0</v>
      </c>
      <c r="V100" s="15">
        <v>0</v>
      </c>
      <c r="X100" t="e" cm="1" vm="2">
        <f t="array" ref="X100">MAX(_xlfn._xlws.FILTER(Table22[[B365]:[BFAIREXC]], Table22[PLAYER] = A100))</f>
        <v>#VALUE!</v>
      </c>
      <c r="Y100" s="14" t="e" vm="1">
        <f>Table225[[#This Row],[BDG]]/Table225[[#This Row],[Odds]]</f>
        <v>#VALUE!</v>
      </c>
    </row>
    <row r="101" spans="1:25">
      <c r="A101" s="159" t="s">
        <v>177</v>
      </c>
      <c r="B101">
        <v>178</v>
      </c>
      <c r="C101">
        <v>66</v>
      </c>
      <c r="D101">
        <v>45</v>
      </c>
      <c r="E101">
        <v>44</v>
      </c>
      <c r="F101">
        <v>186</v>
      </c>
      <c r="G101">
        <v>152</v>
      </c>
      <c r="H101">
        <v>324.10000000000002</v>
      </c>
      <c r="I101" s="14">
        <v>444.26988559346989</v>
      </c>
      <c r="J101" s="259">
        <v>323.71902438026757</v>
      </c>
      <c r="K101" s="260">
        <v>434.03373435090725</v>
      </c>
      <c r="L101" s="16">
        <v>146</v>
      </c>
      <c r="M101" s="16">
        <v>99</v>
      </c>
      <c r="N101" s="230">
        <v>140</v>
      </c>
      <c r="O101" s="230">
        <v>96</v>
      </c>
      <c r="Q101">
        <v>100</v>
      </c>
      <c r="S101">
        <v>93</v>
      </c>
      <c r="T101">
        <v>14</v>
      </c>
      <c r="U101" s="15">
        <v>0</v>
      </c>
      <c r="V101" s="15">
        <v>0</v>
      </c>
      <c r="X101" cm="1">
        <f t="array" ref="X101">MAX(_xlfn._xlws.FILTER(Table22[[B365]:[BFAIREXC]], Table22[PLAYER] = A101))</f>
        <v>13.7</v>
      </c>
      <c r="Y101" s="14">
        <f>Table225[[#This Row],[BDG]]/Table225[[#This Row],[Odds]]</f>
        <v>23.629125867172817</v>
      </c>
    </row>
    <row r="102" spans="1:25">
      <c r="A102" s="159" t="s">
        <v>105</v>
      </c>
      <c r="B102">
        <v>144</v>
      </c>
      <c r="C102">
        <v>37</v>
      </c>
      <c r="D102">
        <v>108</v>
      </c>
      <c r="E102">
        <v>138</v>
      </c>
      <c r="F102">
        <v>141</v>
      </c>
      <c r="G102">
        <v>149</v>
      </c>
      <c r="H102">
        <v>338.7</v>
      </c>
      <c r="I102" s="14">
        <v>491.0162118752678</v>
      </c>
      <c r="J102" s="259">
        <v>325.29377684076678</v>
      </c>
      <c r="K102" s="260">
        <v>451.75605003578056</v>
      </c>
      <c r="L102" s="16">
        <v>163</v>
      </c>
      <c r="M102" s="16">
        <v>109</v>
      </c>
      <c r="N102" s="230">
        <v>161</v>
      </c>
      <c r="O102" s="230">
        <v>108</v>
      </c>
      <c r="Q102">
        <v>101</v>
      </c>
      <c r="S102">
        <v>100</v>
      </c>
      <c r="T102">
        <v>55</v>
      </c>
      <c r="U102" s="15">
        <v>0</v>
      </c>
      <c r="V102" s="15">
        <v>0</v>
      </c>
      <c r="X102" t="e" cm="1" vm="2">
        <f t="array" ref="X102">MAX(_xlfn._xlws.FILTER(Table22[[B365]:[BFAIREXC]], Table22[PLAYER] = A102))</f>
        <v>#VALUE!</v>
      </c>
      <c r="Y102" s="14" t="e" vm="1">
        <f>Table225[[#This Row],[BDG]]/Table225[[#This Row],[Odds]]</f>
        <v>#VALUE!</v>
      </c>
    </row>
    <row r="103" spans="1:25">
      <c r="A103" s="159" t="s">
        <v>182</v>
      </c>
      <c r="B103">
        <v>176</v>
      </c>
      <c r="C103">
        <v>93</v>
      </c>
      <c r="D103">
        <v>168</v>
      </c>
      <c r="E103">
        <v>17</v>
      </c>
      <c r="F103">
        <v>3</v>
      </c>
      <c r="G103">
        <v>44</v>
      </c>
      <c r="H103">
        <v>322.50000000000006</v>
      </c>
      <c r="I103" s="14">
        <v>349.32337061083877</v>
      </c>
      <c r="J103" s="259">
        <v>328.49950795758821</v>
      </c>
      <c r="K103" s="260">
        <v>365.94284685362021</v>
      </c>
      <c r="L103" s="16">
        <v>142</v>
      </c>
      <c r="M103" s="16">
        <v>96</v>
      </c>
      <c r="N103" s="230">
        <v>87</v>
      </c>
      <c r="O103" s="230">
        <v>60</v>
      </c>
      <c r="Q103">
        <v>102</v>
      </c>
      <c r="S103">
        <v>67</v>
      </c>
      <c r="T103">
        <v>9</v>
      </c>
      <c r="U103" s="15">
        <v>0</v>
      </c>
      <c r="V103" s="15">
        <v>0</v>
      </c>
      <c r="X103" t="e" cm="1" vm="2">
        <f t="array" ref="X103">MAX(_xlfn._xlws.FILTER(Table22[[B365]:[BFAIREXC]], Table22[PLAYER] = A103))</f>
        <v>#VALUE!</v>
      </c>
      <c r="Y103" s="14" t="e" vm="1">
        <f>Table225[[#This Row],[BDG]]/Table225[[#This Row],[Odds]]</f>
        <v>#VALUE!</v>
      </c>
    </row>
    <row r="104" spans="1:25">
      <c r="A104" s="159" t="s">
        <v>116</v>
      </c>
      <c r="B104">
        <v>139</v>
      </c>
      <c r="C104">
        <v>25</v>
      </c>
      <c r="D104">
        <v>162</v>
      </c>
      <c r="E104">
        <v>55</v>
      </c>
      <c r="F104">
        <v>133</v>
      </c>
      <c r="G104">
        <v>130</v>
      </c>
      <c r="H104">
        <v>328.1</v>
      </c>
      <c r="I104" s="14">
        <v>459.520790375692</v>
      </c>
      <c r="J104" s="259">
        <v>330.00487809866218</v>
      </c>
      <c r="K104" s="260">
        <v>458.75468832656833</v>
      </c>
      <c r="L104" s="16">
        <v>151</v>
      </c>
      <c r="M104" s="16">
        <v>104</v>
      </c>
      <c r="N104" s="230">
        <v>144</v>
      </c>
      <c r="O104" s="230">
        <v>100</v>
      </c>
      <c r="Q104">
        <v>103</v>
      </c>
      <c r="S104">
        <v>102</v>
      </c>
      <c r="T104">
        <v>6</v>
      </c>
      <c r="U104" s="15">
        <v>0</v>
      </c>
      <c r="V104" s="15">
        <v>0</v>
      </c>
      <c r="X104" cm="1">
        <f t="array" ref="X104">MAX(_xlfn._xlws.FILTER(Table22[[B365]:[BFAIREXC]], Table22[PLAYER] = A104))</f>
        <v>8.06</v>
      </c>
      <c r="Y104" s="14">
        <f>Table225[[#This Row],[BDG]]/Table225[[#This Row],[Odds]]</f>
        <v>40.943533262861308</v>
      </c>
    </row>
    <row r="105" spans="1:25">
      <c r="A105" s="159" t="s">
        <v>71</v>
      </c>
      <c r="B105">
        <v>104</v>
      </c>
      <c r="C105">
        <v>182</v>
      </c>
      <c r="D105">
        <v>152</v>
      </c>
      <c r="E105">
        <v>110</v>
      </c>
      <c r="F105">
        <v>92</v>
      </c>
      <c r="G105">
        <v>141</v>
      </c>
      <c r="H105">
        <v>388.8</v>
      </c>
      <c r="I105" s="14">
        <v>525.25436706038067</v>
      </c>
      <c r="J105" s="259">
        <v>332.09812859648946</v>
      </c>
      <c r="K105" s="260">
        <v>464.0553705991482</v>
      </c>
      <c r="L105" s="16">
        <v>183</v>
      </c>
      <c r="M105" s="16">
        <v>119</v>
      </c>
      <c r="N105" s="230">
        <v>174</v>
      </c>
      <c r="O105" s="230">
        <v>115</v>
      </c>
      <c r="Q105">
        <v>104</v>
      </c>
      <c r="S105">
        <v>104</v>
      </c>
      <c r="T105">
        <v>3</v>
      </c>
      <c r="U105" s="15">
        <v>0</v>
      </c>
      <c r="V105" s="15">
        <v>0</v>
      </c>
      <c r="X105" cm="1">
        <f t="array" ref="X105">MAX(_xlfn._xlws.FILTER(Table22[[B365]:[BFAIREXC]], Table22[PLAYER] = A105))</f>
        <v>46</v>
      </c>
      <c r="Y105" s="14">
        <f>Table225[[#This Row],[BDG]]/Table225[[#This Row],[Odds]]</f>
        <v>7.2195245347062924</v>
      </c>
    </row>
    <row r="106" spans="1:25">
      <c r="A106" s="159" t="s">
        <v>53</v>
      </c>
      <c r="B106">
        <v>119</v>
      </c>
      <c r="C106">
        <v>185</v>
      </c>
      <c r="D106">
        <v>173</v>
      </c>
      <c r="E106">
        <v>120</v>
      </c>
      <c r="F106">
        <v>5</v>
      </c>
      <c r="G106">
        <v>80</v>
      </c>
      <c r="H106">
        <v>377.79999999999995</v>
      </c>
      <c r="I106" s="14">
        <v>456.23109423785559</v>
      </c>
      <c r="J106" s="259">
        <v>336.19471655498592</v>
      </c>
      <c r="K106" s="260">
        <v>470.21331960902529</v>
      </c>
      <c r="L106" s="16">
        <v>180</v>
      </c>
      <c r="M106" s="16">
        <v>117</v>
      </c>
      <c r="N106" s="230">
        <v>143</v>
      </c>
      <c r="O106" s="230">
        <v>99</v>
      </c>
      <c r="Q106">
        <v>105</v>
      </c>
      <c r="S106">
        <v>106</v>
      </c>
      <c r="T106">
        <v>17</v>
      </c>
      <c r="U106" s="15">
        <v>0</v>
      </c>
      <c r="V106" s="15">
        <v>0</v>
      </c>
      <c r="X106" t="e" cm="1" vm="2">
        <f t="array" ref="X106">MAX(_xlfn._xlws.FILTER(Table22[[B365]:[BFAIREXC]], Table22[PLAYER] = A106))</f>
        <v>#VALUE!</v>
      </c>
      <c r="Y106" s="14" t="e" vm="1">
        <f>Table225[[#This Row],[BDG]]/Table225[[#This Row],[Odds]]</f>
        <v>#VALUE!</v>
      </c>
    </row>
    <row r="107" spans="1:25">
      <c r="A107" s="159" t="s">
        <v>142</v>
      </c>
      <c r="B107">
        <v>169</v>
      </c>
      <c r="C107">
        <v>108</v>
      </c>
      <c r="D107">
        <v>137</v>
      </c>
      <c r="E107">
        <v>27</v>
      </c>
      <c r="F107">
        <v>22</v>
      </c>
      <c r="G107">
        <v>113</v>
      </c>
      <c r="H107">
        <v>317.7</v>
      </c>
      <c r="I107" s="14">
        <v>409.39026892489113</v>
      </c>
      <c r="J107" s="259">
        <v>341.85591361871047</v>
      </c>
      <c r="K107" s="260">
        <v>443.22398957951884</v>
      </c>
      <c r="L107" s="16">
        <v>133</v>
      </c>
      <c r="M107" s="16">
        <v>90</v>
      </c>
      <c r="N107" s="230">
        <v>116</v>
      </c>
      <c r="O107" s="230">
        <v>79</v>
      </c>
      <c r="Q107">
        <v>106</v>
      </c>
      <c r="S107">
        <v>98</v>
      </c>
      <c r="T107">
        <v>34</v>
      </c>
      <c r="U107" s="15">
        <v>0</v>
      </c>
      <c r="V107" s="15">
        <v>0</v>
      </c>
      <c r="X107" t="e" cm="1" vm="2">
        <f t="array" ref="X107">MAX(_xlfn._xlws.FILTER(Table22[[B365]:[BFAIREXC]], Table22[PLAYER] = A107))</f>
        <v>#VALUE!</v>
      </c>
      <c r="Y107" s="14" t="e" vm="1">
        <f>Table225[[#This Row],[BDG]]/Table225[[#This Row],[Odds]]</f>
        <v>#VALUE!</v>
      </c>
    </row>
    <row r="108" spans="1:25">
      <c r="A108" s="159" t="s">
        <v>170</v>
      </c>
      <c r="B108">
        <v>125</v>
      </c>
      <c r="C108">
        <v>93</v>
      </c>
      <c r="D108">
        <v>51</v>
      </c>
      <c r="E108">
        <v>96</v>
      </c>
      <c r="F108">
        <v>157</v>
      </c>
      <c r="G108">
        <v>136</v>
      </c>
      <c r="H108">
        <v>308.39999999999998</v>
      </c>
      <c r="I108" s="14">
        <v>428.60790641774111</v>
      </c>
      <c r="J108" s="259">
        <v>345.24480430475381</v>
      </c>
      <c r="K108" s="260">
        <v>485.97471942804555</v>
      </c>
      <c r="L108" s="16">
        <v>124</v>
      </c>
      <c r="M108" s="16">
        <v>84</v>
      </c>
      <c r="N108" s="230">
        <v>128</v>
      </c>
      <c r="O108" s="230">
        <v>88</v>
      </c>
      <c r="Q108">
        <v>107</v>
      </c>
      <c r="S108">
        <v>107</v>
      </c>
      <c r="T108">
        <v>28</v>
      </c>
      <c r="U108" s="15">
        <v>0</v>
      </c>
      <c r="V108" s="15">
        <v>0</v>
      </c>
      <c r="X108" t="e" cm="1" vm="2">
        <f t="array" ref="X108">MAX(_xlfn._xlws.FILTER(Table22[[B365]:[BFAIREXC]], Table22[PLAYER] = A108))</f>
        <v>#VALUE!</v>
      </c>
      <c r="Y108" s="14" t="e" vm="1">
        <f>Table225[[#This Row],[BDG]]/Table225[[#This Row],[Odds]]</f>
        <v>#VALUE!</v>
      </c>
    </row>
    <row r="109" spans="1:25">
      <c r="A109" s="159" t="s">
        <v>161</v>
      </c>
      <c r="B109">
        <v>117</v>
      </c>
      <c r="C109">
        <v>52</v>
      </c>
      <c r="D109">
        <v>172</v>
      </c>
      <c r="E109">
        <v>173</v>
      </c>
      <c r="F109">
        <v>181</v>
      </c>
      <c r="G109">
        <v>183</v>
      </c>
      <c r="H109">
        <v>404.9</v>
      </c>
      <c r="I109" s="14">
        <v>608.97111987422704</v>
      </c>
      <c r="J109" s="259">
        <v>352.11256728392044</v>
      </c>
      <c r="K109" s="260">
        <v>496.7433170701737</v>
      </c>
      <c r="L109" s="16">
        <v>190</v>
      </c>
      <c r="M109" s="16">
        <v>122</v>
      </c>
      <c r="N109" s="230">
        <v>192</v>
      </c>
      <c r="O109" s="230">
        <v>123</v>
      </c>
      <c r="Q109">
        <v>108</v>
      </c>
      <c r="S109">
        <v>109</v>
      </c>
      <c r="T109">
        <v>8</v>
      </c>
      <c r="U109" s="15" t="e">
        <v>#N/A</v>
      </c>
      <c r="V109" s="15" t="e">
        <v>#N/A</v>
      </c>
      <c r="X109" t="e" cm="1" vm="2">
        <f t="array" ref="X109">MAX(_xlfn._xlws.FILTER(Table22[[B365]:[BFAIREXC]], Table22[PLAYER] = A109))</f>
        <v>#VALUE!</v>
      </c>
      <c r="Y109" s="14" t="e" vm="1">
        <f>Table225[[#This Row],[BDG]]/Table225[[#This Row],[Odds]]</f>
        <v>#VALUE!</v>
      </c>
    </row>
    <row r="110" spans="1:25">
      <c r="A110" s="159" t="s">
        <v>443</v>
      </c>
      <c r="B110">
        <v>181</v>
      </c>
      <c r="C110">
        <v>152</v>
      </c>
      <c r="D110">
        <v>128</v>
      </c>
      <c r="E110">
        <v>149</v>
      </c>
      <c r="F110">
        <v>146</v>
      </c>
      <c r="G110">
        <v>176</v>
      </c>
      <c r="H110">
        <v>458.20000000000005</v>
      </c>
      <c r="I110" s="14">
        <v>620.30368395053802</v>
      </c>
      <c r="J110" s="259">
        <v>355.20959079899876</v>
      </c>
      <c r="K110" s="260">
        <v>468.82517256042144</v>
      </c>
      <c r="L110" s="16">
        <v>197</v>
      </c>
      <c r="M110" s="16">
        <v>126</v>
      </c>
      <c r="N110" s="230">
        <v>195</v>
      </c>
      <c r="O110" s="230">
        <v>124</v>
      </c>
      <c r="Q110">
        <v>109</v>
      </c>
      <c r="S110">
        <v>105</v>
      </c>
      <c r="T110">
        <v>42</v>
      </c>
      <c r="U110" s="15">
        <v>0</v>
      </c>
      <c r="V110" s="15">
        <v>0</v>
      </c>
      <c r="X110" cm="1">
        <f t="array" ref="X110">MAX(_xlfn._xlws.FILTER(Table22[[B365]:[BFAIREXC]], Table22[PLAYER] = A110))</f>
        <v>15.2</v>
      </c>
      <c r="Y110" s="14">
        <f>Table225[[#This Row],[BDG]]/Table225[[#This Row],[Odds]]</f>
        <v>23.369052026249921</v>
      </c>
    </row>
    <row r="111" spans="1:25">
      <c r="A111" s="159" t="s">
        <v>37</v>
      </c>
      <c r="B111">
        <v>94</v>
      </c>
      <c r="C111">
        <v>186</v>
      </c>
      <c r="D111">
        <v>171</v>
      </c>
      <c r="E111">
        <v>160</v>
      </c>
      <c r="F111">
        <v>4</v>
      </c>
      <c r="G111">
        <v>119</v>
      </c>
      <c r="H111">
        <v>372.5</v>
      </c>
      <c r="I111" s="14">
        <v>500.44722540500391</v>
      </c>
      <c r="J111" s="259">
        <v>366.34089414765896</v>
      </c>
      <c r="K111" s="260">
        <v>554.71616481167803</v>
      </c>
      <c r="L111" s="16">
        <v>178</v>
      </c>
      <c r="M111" s="16">
        <v>115</v>
      </c>
      <c r="N111" s="230">
        <v>165</v>
      </c>
      <c r="O111" s="230">
        <v>110</v>
      </c>
      <c r="Q111">
        <v>110</v>
      </c>
      <c r="S111">
        <v>114</v>
      </c>
      <c r="T111">
        <v>1</v>
      </c>
      <c r="U111" s="15">
        <v>0</v>
      </c>
      <c r="V111" s="15">
        <v>0</v>
      </c>
      <c r="X111" cm="1">
        <f t="array" ref="X111">MAX(_xlfn._xlws.FILTER(Table22[[B365]:[BFAIREXC]], Table22[PLAYER] = A111))</f>
        <v>39</v>
      </c>
      <c r="Y111" s="14">
        <f>Table225[[#This Row],[BDG]]/Table225[[#This Row],[Odds]]</f>
        <v>9.3933562601963843</v>
      </c>
    </row>
    <row r="112" spans="1:25">
      <c r="A112" s="159" t="s">
        <v>103</v>
      </c>
      <c r="B112">
        <v>153</v>
      </c>
      <c r="C112">
        <v>38</v>
      </c>
      <c r="D112">
        <v>144</v>
      </c>
      <c r="E112">
        <v>101</v>
      </c>
      <c r="F112">
        <v>51</v>
      </c>
      <c r="G112">
        <v>101</v>
      </c>
      <c r="H112">
        <v>311.89999999999998</v>
      </c>
      <c r="I112" s="14">
        <v>415.68865544635526</v>
      </c>
      <c r="J112" s="259">
        <v>367.25472788328551</v>
      </c>
      <c r="K112" s="260">
        <v>524.61354341994468</v>
      </c>
      <c r="L112" s="16">
        <v>127</v>
      </c>
      <c r="M112" s="16">
        <v>86</v>
      </c>
      <c r="N112" s="230">
        <v>119</v>
      </c>
      <c r="O112" s="230">
        <v>81</v>
      </c>
      <c r="Q112">
        <v>111</v>
      </c>
      <c r="S112">
        <v>112</v>
      </c>
      <c r="T112">
        <v>30</v>
      </c>
      <c r="U112" s="15">
        <v>0</v>
      </c>
      <c r="V112" s="15">
        <v>0</v>
      </c>
      <c r="X112" cm="1">
        <f t="array" ref="X112">MAX(_xlfn._xlws.FILTER(Table22[[B365]:[BFAIREXC]], Table22[PLAYER] = A112))</f>
        <v>16.7</v>
      </c>
      <c r="Y112" s="14">
        <f>Table225[[#This Row],[BDG]]/Table225[[#This Row],[Odds]]</f>
        <v>21.991301070855421</v>
      </c>
    </row>
    <row r="113" spans="1:25">
      <c r="A113" s="159" t="s">
        <v>163</v>
      </c>
      <c r="B113">
        <v>179</v>
      </c>
      <c r="C113">
        <v>146</v>
      </c>
      <c r="D113">
        <v>133</v>
      </c>
      <c r="E113">
        <v>179</v>
      </c>
      <c r="F113">
        <v>147</v>
      </c>
      <c r="G113">
        <v>183</v>
      </c>
      <c r="H113">
        <v>469</v>
      </c>
      <c r="I113" s="14">
        <v>644.64091614454378</v>
      </c>
      <c r="J113" s="259">
        <v>370.28956014860546</v>
      </c>
      <c r="K113" s="260">
        <v>492.31258317375864</v>
      </c>
      <c r="L113" s="16">
        <v>199</v>
      </c>
      <c r="M113" s="16">
        <v>127</v>
      </c>
      <c r="N113" s="230">
        <v>197</v>
      </c>
      <c r="O113" s="230">
        <v>126</v>
      </c>
      <c r="Q113">
        <v>112</v>
      </c>
      <c r="S113">
        <v>108</v>
      </c>
      <c r="T113">
        <v>10</v>
      </c>
      <c r="U113" s="15" t="e">
        <v>#N/A</v>
      </c>
      <c r="V113" s="15" t="e">
        <v>#N/A</v>
      </c>
      <c r="X113" cm="1">
        <f t="array" ref="X113">MAX(_xlfn._xlws.FILTER(Table22[[B365]:[BFAIREXC]], Table22[PLAYER] = A113))</f>
        <v>16.7</v>
      </c>
      <c r="Y113" s="14">
        <f>Table225[[#This Row],[BDG]]/Table225[[#This Row],[Odds]]</f>
        <v>22.173027553808712</v>
      </c>
    </row>
    <row r="114" spans="1:25">
      <c r="A114" s="159" t="s">
        <v>148</v>
      </c>
      <c r="B114">
        <v>174</v>
      </c>
      <c r="C114">
        <v>109</v>
      </c>
      <c r="D114">
        <v>183</v>
      </c>
      <c r="E114">
        <v>56</v>
      </c>
      <c r="F114">
        <v>93</v>
      </c>
      <c r="G114">
        <v>171</v>
      </c>
      <c r="H114">
        <v>401.6</v>
      </c>
      <c r="I114" s="14">
        <v>560.55436636361969</v>
      </c>
      <c r="J114" s="259">
        <v>376.26512128779319</v>
      </c>
      <c r="K114" s="260">
        <v>501.10409472694602</v>
      </c>
      <c r="L114" s="16">
        <v>188</v>
      </c>
      <c r="M114" s="16">
        <v>121</v>
      </c>
      <c r="N114" s="230">
        <v>185</v>
      </c>
      <c r="O114" s="230">
        <v>120</v>
      </c>
      <c r="Q114">
        <v>113</v>
      </c>
      <c r="S114">
        <v>111</v>
      </c>
      <c r="T114">
        <v>20</v>
      </c>
      <c r="U114" s="15">
        <v>0</v>
      </c>
      <c r="V114" s="15">
        <v>0</v>
      </c>
      <c r="X114" cm="1">
        <f t="array" ref="X114">MAX(_xlfn._xlws.FILTER(Table22[[B365]:[BFAIREXC]], Table22[PLAYER] = A114))</f>
        <v>8.06</v>
      </c>
      <c r="Y114" s="14">
        <f>Table225[[#This Row],[BDG]]/Table225[[#This Row],[Odds]]</f>
        <v>46.683017529502877</v>
      </c>
    </row>
    <row r="115" spans="1:25">
      <c r="A115" s="159" t="s">
        <v>107</v>
      </c>
      <c r="B115">
        <v>92</v>
      </c>
      <c r="C115">
        <v>152</v>
      </c>
      <c r="D115">
        <v>131</v>
      </c>
      <c r="E115">
        <v>137</v>
      </c>
      <c r="F115">
        <v>30</v>
      </c>
      <c r="G115">
        <v>102</v>
      </c>
      <c r="H115">
        <v>326.3</v>
      </c>
      <c r="I115" s="14">
        <v>431.89733029292159</v>
      </c>
      <c r="J115" s="259">
        <v>377.4142289807682</v>
      </c>
      <c r="K115" s="260">
        <v>527.94325435606311</v>
      </c>
      <c r="L115" s="16">
        <v>148</v>
      </c>
      <c r="M115" s="16">
        <v>101</v>
      </c>
      <c r="N115" s="230">
        <v>131</v>
      </c>
      <c r="O115" s="230">
        <v>91</v>
      </c>
      <c r="Q115">
        <v>114</v>
      </c>
      <c r="S115">
        <v>113</v>
      </c>
      <c r="T115">
        <v>2</v>
      </c>
      <c r="U115" s="15">
        <v>0</v>
      </c>
      <c r="V115" s="15">
        <v>0</v>
      </c>
      <c r="X115" cm="1">
        <f t="array" ref="X115">MAX(_xlfn._xlws.FILTER(Table22[[B365]:[BFAIREXC]], Table22[PLAYER] = A115))</f>
        <v>16.2</v>
      </c>
      <c r="Y115" s="14">
        <f>Table225[[#This Row],[BDG]]/Table225[[#This Row],[Odds]]</f>
        <v>23.297174628442484</v>
      </c>
    </row>
    <row r="116" spans="1:25">
      <c r="A116" s="159" t="s">
        <v>372</v>
      </c>
      <c r="B116">
        <v>33</v>
      </c>
      <c r="C116">
        <v>14</v>
      </c>
      <c r="D116">
        <v>82</v>
      </c>
      <c r="E116">
        <v>72</v>
      </c>
      <c r="F116">
        <v>65</v>
      </c>
      <c r="G116">
        <v>17</v>
      </c>
      <c r="H116">
        <v>153.5</v>
      </c>
      <c r="I116" s="14">
        <v>185.0148222961125</v>
      </c>
      <c r="J116" s="259" t="e">
        <v>#N/A</v>
      </c>
      <c r="K116" s="260" t="e">
        <v>#N/A</v>
      </c>
      <c r="L116" s="16">
        <v>4</v>
      </c>
      <c r="M116" s="16">
        <v>4</v>
      </c>
      <c r="N116" s="230">
        <v>7</v>
      </c>
      <c r="O116" s="230">
        <v>5</v>
      </c>
      <c r="Q116">
        <v>118</v>
      </c>
      <c r="S116">
        <v>118</v>
      </c>
      <c r="T116">
        <v>115</v>
      </c>
      <c r="U116" s="15">
        <v>0.33333333333333331</v>
      </c>
      <c r="V116" s="15">
        <v>0.33333333333333331</v>
      </c>
      <c r="X116" t="e" cm="1" vm="2">
        <f t="array" ref="X116">MAX(_xlfn._xlws.FILTER(Table22[[B365]:[BFAIREXC]], Table22[PLAYER] = A116))</f>
        <v>#VALUE!</v>
      </c>
      <c r="Y116" s="14" t="e">
        <f>Table225[[#This Row],[BDG]]/Table225[[#This Row],[Odds]]</f>
        <v>#N/A</v>
      </c>
    </row>
    <row r="117" spans="1:25">
      <c r="A117" s="159" t="s">
        <v>492</v>
      </c>
      <c r="B117">
        <v>28</v>
      </c>
      <c r="C117">
        <v>171</v>
      </c>
      <c r="D117">
        <v>101</v>
      </c>
      <c r="E117">
        <v>17</v>
      </c>
      <c r="F117">
        <v>84</v>
      </c>
      <c r="G117">
        <v>35</v>
      </c>
      <c r="H117">
        <v>244.5</v>
      </c>
      <c r="I117" s="14">
        <v>268.79898114866353</v>
      </c>
      <c r="J117" s="259" t="e">
        <v>#N/A</v>
      </c>
      <c r="K117" s="260" t="e">
        <v>#N/A</v>
      </c>
      <c r="L117" s="16">
        <v>53</v>
      </c>
      <c r="M117" s="16">
        <v>34</v>
      </c>
      <c r="N117" s="230">
        <v>42</v>
      </c>
      <c r="O117" s="230">
        <v>28</v>
      </c>
      <c r="Q117">
        <v>117</v>
      </c>
      <c r="S117">
        <v>117</v>
      </c>
      <c r="T117">
        <v>116</v>
      </c>
      <c r="U117" s="15">
        <v>0</v>
      </c>
      <c r="V117" s="15">
        <v>0.33333333333333331</v>
      </c>
      <c r="X117" t="e" cm="1" vm="2">
        <f t="array" ref="X117">MAX(_xlfn._xlws.FILTER(Table22[[B365]:[BFAIREXC]], Table22[PLAYER] = A117))</f>
        <v>#VALUE!</v>
      </c>
      <c r="Y117" s="14" t="e">
        <f>Table225[[#This Row],[BDG]]/Table225[[#This Row],[Odds]]</f>
        <v>#N/A</v>
      </c>
    </row>
    <row r="118" spans="1:25">
      <c r="A118" s="159" t="s">
        <v>596</v>
      </c>
      <c r="B118">
        <v>1</v>
      </c>
      <c r="C118">
        <v>172</v>
      </c>
      <c r="D118">
        <v>106</v>
      </c>
      <c r="E118">
        <v>80</v>
      </c>
      <c r="F118">
        <v>121</v>
      </c>
      <c r="G118">
        <v>104</v>
      </c>
      <c r="H118">
        <v>270.7</v>
      </c>
      <c r="I118" s="14">
        <v>378.88478040212561</v>
      </c>
      <c r="J118" s="259" t="e">
        <v>#N/A</v>
      </c>
      <c r="K118" s="260" t="e">
        <v>#N/A</v>
      </c>
      <c r="L118" s="16">
        <v>85</v>
      </c>
      <c r="M118" s="16">
        <v>54</v>
      </c>
      <c r="N118" s="230">
        <v>101</v>
      </c>
      <c r="O118" s="230">
        <v>69</v>
      </c>
      <c r="Q118">
        <v>115</v>
      </c>
      <c r="S118">
        <v>115</v>
      </c>
      <c r="T118">
        <v>117</v>
      </c>
      <c r="U118" s="15">
        <v>0</v>
      </c>
      <c r="V118" s="15">
        <v>0</v>
      </c>
      <c r="X118" cm="1">
        <f t="array" ref="X118">MAX(_xlfn._xlws.FILTER(Table22[[B365]:[BFAIREXC]], Table22[PLAYER] = A118))</f>
        <v>8.5</v>
      </c>
      <c r="Y118" s="14" t="e">
        <f>Table225[[#This Row],[BDG]]/Table225[[#This Row],[Odds]]</f>
        <v>#N/A</v>
      </c>
    </row>
    <row r="119" spans="1:25">
      <c r="A119" s="159" t="s">
        <v>250</v>
      </c>
      <c r="B119">
        <v>147</v>
      </c>
      <c r="C119">
        <v>136</v>
      </c>
      <c r="D119">
        <v>8</v>
      </c>
      <c r="E119">
        <v>6</v>
      </c>
      <c r="F119">
        <v>191</v>
      </c>
      <c r="G119">
        <v>163</v>
      </c>
      <c r="H119">
        <v>302.7</v>
      </c>
      <c r="I119" s="14">
        <v>419.10782832226926</v>
      </c>
      <c r="J119" s="259" t="e">
        <v>#N/A</v>
      </c>
      <c r="K119" s="320" t="e">
        <v>#N/A</v>
      </c>
      <c r="L119" s="16">
        <v>117</v>
      </c>
      <c r="M119" s="16">
        <v>78</v>
      </c>
      <c r="N119" s="230">
        <v>123</v>
      </c>
      <c r="O119" s="230">
        <v>84</v>
      </c>
      <c r="Q119">
        <v>122</v>
      </c>
      <c r="S119">
        <v>122</v>
      </c>
      <c r="T119">
        <v>118</v>
      </c>
      <c r="U119" s="15" t="e">
        <v>#N/A</v>
      </c>
      <c r="V119" s="15" t="e">
        <v>#N/A</v>
      </c>
      <c r="X119" t="e" cm="1" vm="2">
        <f t="array" ref="X119">MAX(_xlfn._xlws.FILTER(Table22[[B365]:[BFAIREXC]], Table22[PLAYER] = A119))</f>
        <v>#VALUE!</v>
      </c>
      <c r="Y119" s="14" t="e">
        <f>Table225[[#This Row],[BDG]]/Table225[[#This Row],[Odds]]</f>
        <v>#N/A</v>
      </c>
    </row>
    <row r="120" spans="1:25">
      <c r="A120" s="159" t="s">
        <v>488</v>
      </c>
      <c r="B120">
        <v>8</v>
      </c>
      <c r="C120">
        <v>59</v>
      </c>
      <c r="D120">
        <v>146</v>
      </c>
      <c r="E120">
        <v>162</v>
      </c>
      <c r="F120">
        <v>128</v>
      </c>
      <c r="G120">
        <v>133</v>
      </c>
      <c r="H120">
        <v>272.8</v>
      </c>
      <c r="I120" s="14">
        <v>441.92129525439009</v>
      </c>
      <c r="J120" s="259" t="e">
        <v>#N/A</v>
      </c>
      <c r="K120" s="260" t="e">
        <v>#N/A</v>
      </c>
      <c r="L120" s="16">
        <v>89</v>
      </c>
      <c r="M120" s="16">
        <v>56</v>
      </c>
      <c r="N120" s="230">
        <v>137</v>
      </c>
      <c r="O120" s="230">
        <v>93</v>
      </c>
      <c r="Q120">
        <v>116</v>
      </c>
      <c r="S120">
        <v>116</v>
      </c>
      <c r="T120">
        <v>119</v>
      </c>
      <c r="U120" s="15">
        <v>0</v>
      </c>
      <c r="V120" s="15">
        <v>0</v>
      </c>
      <c r="X120" t="e" cm="1" vm="2">
        <f t="array" ref="X120">MAX(_xlfn._xlws.FILTER(Table22[[B365]:[BFAIREXC]], Table22[PLAYER] = A120))</f>
        <v>#VALUE!</v>
      </c>
      <c r="Y120" s="14" t="e">
        <f>Table225[[#This Row],[BDG]]/Table225[[#This Row],[Odds]]</f>
        <v>#N/A</v>
      </c>
    </row>
    <row r="121" spans="1:25">
      <c r="A121" s="159" t="s">
        <v>419</v>
      </c>
      <c r="B121">
        <v>163</v>
      </c>
      <c r="C121">
        <v>30</v>
      </c>
      <c r="D121">
        <v>79</v>
      </c>
      <c r="E121">
        <v>175</v>
      </c>
      <c r="F121">
        <v>83</v>
      </c>
      <c r="G121">
        <v>128</v>
      </c>
      <c r="H121">
        <v>315.2</v>
      </c>
      <c r="I121" s="14">
        <v>446.03654430310729</v>
      </c>
      <c r="J121" s="259" t="e">
        <v>#N/A</v>
      </c>
      <c r="K121" s="320" t="e">
        <v>#N/A</v>
      </c>
      <c r="L121" s="16">
        <v>131</v>
      </c>
      <c r="M121" s="16">
        <v>88</v>
      </c>
      <c r="N121" s="230">
        <v>141</v>
      </c>
      <c r="O121" s="230">
        <v>97</v>
      </c>
      <c r="Q121">
        <v>124</v>
      </c>
      <c r="S121">
        <v>124</v>
      </c>
      <c r="T121">
        <v>120</v>
      </c>
      <c r="U121" s="15">
        <v>0</v>
      </c>
      <c r="V121" s="15">
        <v>0</v>
      </c>
      <c r="X121" cm="1">
        <f t="array" ref="X121">MAX(_xlfn._xlws.FILTER(Table22[[B365]:[BFAIREXC]], Table22[PLAYER] = A121))</f>
        <v>15.7</v>
      </c>
      <c r="Y121" s="14" t="e">
        <f>Table225[[#This Row],[BDG]]/Table225[[#This Row],[Odds]]</f>
        <v>#N/A</v>
      </c>
    </row>
    <row r="122" spans="1:25">
      <c r="A122" s="159" t="s">
        <v>491</v>
      </c>
      <c r="B122">
        <v>190</v>
      </c>
      <c r="C122">
        <v>9</v>
      </c>
      <c r="D122">
        <v>55</v>
      </c>
      <c r="E122">
        <v>189</v>
      </c>
      <c r="F122">
        <v>110</v>
      </c>
      <c r="G122">
        <v>171</v>
      </c>
      <c r="H122">
        <v>326.5</v>
      </c>
      <c r="I122" s="14">
        <v>495.93587152263206</v>
      </c>
      <c r="J122" s="259" t="e">
        <v>#N/A</v>
      </c>
      <c r="K122" s="320" t="e">
        <v>#N/A</v>
      </c>
      <c r="L122" s="16">
        <v>149</v>
      </c>
      <c r="M122" s="16">
        <v>102</v>
      </c>
      <c r="N122" s="230">
        <v>163</v>
      </c>
      <c r="O122" s="230">
        <v>109</v>
      </c>
      <c r="Q122">
        <v>127</v>
      </c>
      <c r="S122">
        <v>127</v>
      </c>
      <c r="T122">
        <v>121</v>
      </c>
      <c r="U122" s="15">
        <v>0</v>
      </c>
      <c r="V122" s="15">
        <v>0</v>
      </c>
      <c r="X122" t="e" cm="1" vm="2">
        <f t="array" ref="X122">MAX(_xlfn._xlws.FILTER(Table22[[B365]:[BFAIREXC]], Table22[PLAYER] = A122))</f>
        <v>#VALUE!</v>
      </c>
      <c r="Y122" s="14" t="e">
        <f>Table225[[#This Row],[BDG]]/Table225[[#This Row],[Odds]]</f>
        <v>#N/A</v>
      </c>
    </row>
    <row r="123" spans="1:25">
      <c r="A123" s="159" t="s">
        <v>223</v>
      </c>
      <c r="B123">
        <v>83</v>
      </c>
      <c r="C123">
        <v>93</v>
      </c>
      <c r="D123">
        <v>102</v>
      </c>
      <c r="E123">
        <v>129</v>
      </c>
      <c r="F123">
        <v>174</v>
      </c>
      <c r="G123">
        <v>167</v>
      </c>
      <c r="H123">
        <v>332.2</v>
      </c>
      <c r="I123" s="14">
        <v>504.03772171028902</v>
      </c>
      <c r="J123" s="259" t="e">
        <v>#N/A</v>
      </c>
      <c r="K123" s="260" t="e">
        <v>#N/A</v>
      </c>
      <c r="L123" s="16">
        <v>156</v>
      </c>
      <c r="M123" s="16">
        <v>106</v>
      </c>
      <c r="N123" s="230">
        <v>169</v>
      </c>
      <c r="O123" s="230">
        <v>113</v>
      </c>
      <c r="Q123">
        <v>121</v>
      </c>
      <c r="S123">
        <v>121</v>
      </c>
      <c r="T123">
        <v>122</v>
      </c>
      <c r="U123" s="15">
        <v>0</v>
      </c>
      <c r="V123" s="15">
        <v>0</v>
      </c>
      <c r="X123" cm="1">
        <f t="array" ref="X123">MAX(_xlfn._xlws.FILTER(Table22[[B365]:[BFAIREXC]], Table22[PLAYER] = A123))</f>
        <v>10.3</v>
      </c>
      <c r="Y123" s="14" t="e">
        <f>Table225[[#This Row],[BDG]]/Table225[[#This Row],[Odds]]</f>
        <v>#N/A</v>
      </c>
    </row>
    <row r="124" spans="1:25">
      <c r="A124" s="159" t="s">
        <v>241</v>
      </c>
      <c r="B124">
        <v>35</v>
      </c>
      <c r="C124">
        <v>66</v>
      </c>
      <c r="D124">
        <v>141</v>
      </c>
      <c r="E124">
        <v>154</v>
      </c>
      <c r="F124">
        <v>189</v>
      </c>
      <c r="G124">
        <v>180</v>
      </c>
      <c r="H124">
        <v>322.39999999999998</v>
      </c>
      <c r="I124" s="14">
        <v>529.45422379449531</v>
      </c>
      <c r="J124" s="259" t="e">
        <v>#N/A</v>
      </c>
      <c r="K124" s="260" t="e">
        <v>#N/A</v>
      </c>
      <c r="L124" s="16">
        <v>141</v>
      </c>
      <c r="M124" s="16">
        <v>95</v>
      </c>
      <c r="N124" s="230">
        <v>176</v>
      </c>
      <c r="O124" s="230">
        <v>117</v>
      </c>
      <c r="Q124">
        <v>119</v>
      </c>
      <c r="S124">
        <v>119</v>
      </c>
      <c r="T124">
        <v>123</v>
      </c>
      <c r="U124" s="15" t="e">
        <v>#N/A</v>
      </c>
      <c r="V124" s="15" t="e">
        <v>#N/A</v>
      </c>
      <c r="X124" cm="1">
        <f t="array" ref="X124">MAX(_xlfn._xlws.FILTER(Table22[[B365]:[BFAIREXC]], Table22[PLAYER] = A124))</f>
        <v>7.5</v>
      </c>
      <c r="Y124" s="14" t="e">
        <f>Table225[[#This Row],[BDG]]/Table225[[#This Row],[Odds]]</f>
        <v>#N/A</v>
      </c>
    </row>
    <row r="125" spans="1:25">
      <c r="A125" s="159" t="s">
        <v>222</v>
      </c>
      <c r="B125">
        <v>187</v>
      </c>
      <c r="C125">
        <v>131</v>
      </c>
      <c r="D125">
        <v>177</v>
      </c>
      <c r="E125">
        <v>51</v>
      </c>
      <c r="F125">
        <v>77</v>
      </c>
      <c r="G125">
        <v>162</v>
      </c>
      <c r="H125">
        <v>410.99999999999994</v>
      </c>
      <c r="I125" s="14">
        <v>554.21368410968012</v>
      </c>
      <c r="J125" s="259" t="e">
        <v>#N/A</v>
      </c>
      <c r="K125" s="320" t="e">
        <v>#N/A</v>
      </c>
      <c r="L125" s="16">
        <v>192</v>
      </c>
      <c r="M125" s="16">
        <v>123</v>
      </c>
      <c r="N125" s="230">
        <v>184</v>
      </c>
      <c r="O125" s="230">
        <v>119</v>
      </c>
      <c r="Q125">
        <v>126</v>
      </c>
      <c r="S125">
        <v>126</v>
      </c>
      <c r="T125">
        <v>124</v>
      </c>
      <c r="U125" s="15">
        <v>0</v>
      </c>
      <c r="V125" s="15">
        <v>0</v>
      </c>
      <c r="X125" t="e" cm="1" vm="2">
        <f t="array" ref="X125">MAX(_xlfn._xlws.FILTER(Table22[[B365]:[BFAIREXC]], Table22[PLAYER] = A125))</f>
        <v>#VALUE!</v>
      </c>
      <c r="Y125" s="14" t="e">
        <f>Table225[[#This Row],[BDG]]/Table225[[#This Row],[Odds]]</f>
        <v>#N/A</v>
      </c>
    </row>
    <row r="126" spans="1:25">
      <c r="A126" s="159" t="s">
        <v>486</v>
      </c>
      <c r="B126">
        <v>55</v>
      </c>
      <c r="C126">
        <v>160</v>
      </c>
      <c r="D126">
        <v>130</v>
      </c>
      <c r="E126">
        <v>190</v>
      </c>
      <c r="F126">
        <v>135</v>
      </c>
      <c r="G126">
        <v>187</v>
      </c>
      <c r="H126">
        <v>374.5</v>
      </c>
      <c r="I126" s="14">
        <v>577.38169370189553</v>
      </c>
      <c r="J126" s="259" t="e">
        <v>#N/A</v>
      </c>
      <c r="K126" s="260" t="e">
        <v>#N/A</v>
      </c>
      <c r="L126" s="16">
        <v>179</v>
      </c>
      <c r="M126" s="16">
        <v>116</v>
      </c>
      <c r="N126" s="230">
        <v>188</v>
      </c>
      <c r="O126" s="230">
        <v>121</v>
      </c>
      <c r="Q126">
        <v>120</v>
      </c>
      <c r="S126">
        <v>120</v>
      </c>
      <c r="T126">
        <v>125</v>
      </c>
      <c r="U126" s="15">
        <v>0</v>
      </c>
      <c r="V126" s="15">
        <v>0</v>
      </c>
      <c r="X126" cm="1">
        <f t="array" ref="X126">MAX(_xlfn._xlws.FILTER(Table22[[B365]:[BFAIREXC]], Table22[PLAYER] = A126))</f>
        <v>15.2</v>
      </c>
      <c r="Y126" s="14" t="e">
        <f>Table225[[#This Row],[BDG]]/Table225[[#This Row],[Odds]]</f>
        <v>#N/A</v>
      </c>
    </row>
    <row r="127" spans="1:25">
      <c r="A127" s="159" t="s">
        <v>247</v>
      </c>
      <c r="B127">
        <v>184</v>
      </c>
      <c r="C127">
        <v>160</v>
      </c>
      <c r="D127">
        <v>143</v>
      </c>
      <c r="E127">
        <v>174</v>
      </c>
      <c r="F127">
        <v>88</v>
      </c>
      <c r="G127">
        <v>177</v>
      </c>
      <c r="H127">
        <v>456.90000000000003</v>
      </c>
      <c r="I127" s="14">
        <v>625.52991569878463</v>
      </c>
      <c r="J127" s="259" t="e">
        <v>#N/A</v>
      </c>
      <c r="K127" s="320" t="e">
        <v>#N/A</v>
      </c>
      <c r="L127" s="16">
        <v>196</v>
      </c>
      <c r="M127" s="16">
        <v>125</v>
      </c>
      <c r="N127" s="230">
        <v>196</v>
      </c>
      <c r="O127" s="230">
        <v>125</v>
      </c>
      <c r="Q127">
        <v>125</v>
      </c>
      <c r="S127">
        <v>125</v>
      </c>
      <c r="T127">
        <v>126</v>
      </c>
      <c r="U127" s="15">
        <v>0</v>
      </c>
      <c r="V127" s="15">
        <v>0</v>
      </c>
      <c r="X127" t="e" cm="1" vm="2">
        <f t="array" ref="X127">MAX(_xlfn._xlws.FILTER(Table22[[B365]:[BFAIREXC]], Table22[PLAYER] = A127))</f>
        <v>#VALUE!</v>
      </c>
      <c r="Y127" s="14" t="e">
        <f>Table225[[#This Row],[BDG]]/Table225[[#This Row],[Odds]]</f>
        <v>#N/A</v>
      </c>
    </row>
    <row r="128" spans="1:25">
      <c r="A128" s="159" t="s">
        <v>384</v>
      </c>
      <c r="B128">
        <v>161</v>
      </c>
      <c r="C128">
        <v>17</v>
      </c>
      <c r="D128">
        <v>191</v>
      </c>
      <c r="E128">
        <v>181</v>
      </c>
      <c r="F128">
        <v>188</v>
      </c>
      <c r="G128">
        <v>191</v>
      </c>
      <c r="H128">
        <v>439.1</v>
      </c>
      <c r="I128" s="14">
        <v>651.34528712453073</v>
      </c>
      <c r="J128" s="259" t="e">
        <v>#N/A</v>
      </c>
      <c r="K128" s="320" t="e">
        <v>#N/A</v>
      </c>
      <c r="L128" s="16">
        <v>195</v>
      </c>
      <c r="M128" s="16">
        <v>124</v>
      </c>
      <c r="N128" s="230">
        <v>198</v>
      </c>
      <c r="O128" s="230">
        <v>127</v>
      </c>
      <c r="Q128">
        <v>123</v>
      </c>
      <c r="S128">
        <v>123</v>
      </c>
      <c r="T128">
        <v>127</v>
      </c>
      <c r="U128" s="15">
        <v>0</v>
      </c>
      <c r="V128" s="15">
        <v>0</v>
      </c>
      <c r="X128" cm="1">
        <f t="array" ref="X128">MAX(_xlfn._xlws.FILTER(Table22[[B365]:[BFAIREXC]], Table22[PLAYER] = A128))</f>
        <v>6.29</v>
      </c>
      <c r="Y128" s="14" t="e">
        <f>Table225[[#This Row],[BDG]]/Table225[[#This Row],[Odds]]</f>
        <v>#N/A</v>
      </c>
    </row>
  </sheetData>
  <conditionalFormatting sqref="W2:W1048576">
    <cfRule type="cellIs" dxfId="248" priority="1" operator="between">
      <formula>-5</formula>
      <formula>-9</formula>
    </cfRule>
    <cfRule type="cellIs" dxfId="247" priority="2" operator="lessThanOrEqual">
      <formula>-10</formula>
    </cfRule>
    <cfRule type="cellIs" dxfId="246" priority="3" operator="between">
      <formula>5</formula>
      <formula>9</formula>
    </cfRule>
    <cfRule type="cellIs" dxfId="245" priority="4" operator="greaterThanOrEqual">
      <formula>10</formula>
    </cfRule>
  </conditionalFormatting>
  <conditionalFormatting sqref="U2:V1048576">
    <cfRule type="cellIs" dxfId="244" priority="5" operator="greaterThanOrEqual">
      <formula>20%</formula>
    </cfRule>
    <cfRule type="cellIs" dxfId="243" priority="6" operator="between">
      <formula>10%</formula>
      <formula>20%</formula>
    </cfRule>
    <cfRule type="cellIs" dxfId="242" priority="7" operator="between">
      <formula>0.01%</formula>
      <formula>10%</formula>
    </cfRule>
  </conditionalFormatting>
  <conditionalFormatting sqref="B2:G1048576 L2:T1048576">
    <cfRule type="cellIs" dxfId="241" priority="8" operator="between">
      <formula>101</formula>
      <formula>250</formula>
    </cfRule>
    <cfRule type="cellIs" dxfId="240" priority="9" operator="between">
      <formula>51</formula>
      <formula>100.5</formula>
    </cfRule>
    <cfRule type="cellIs" dxfId="239" priority="10" operator="between">
      <formula>21</formula>
      <formula>50.5</formula>
    </cfRule>
    <cfRule type="cellIs" dxfId="238" priority="11" operator="lessThanOrEqual">
      <formula>20.5</formula>
    </cfRule>
  </conditionalFormatting>
  <conditionalFormatting sqref="J2:K158 Q2:T158">
    <cfRule type="containsErrors" dxfId="237" priority="12">
      <formula>ISERROR(J2)</formula>
    </cfRule>
  </conditionalFormatting>
  <conditionalFormatting sqref="A1:A1048576">
    <cfRule type="expression" dxfId="236" priority="13">
      <formula>$T1=MIN($T$2:$T$8)</formula>
    </cfRule>
    <cfRule type="expression" dxfId="235" priority="14">
      <formula>$T1=MIN($T$9:$T$21)</formula>
    </cfRule>
    <cfRule type="expression" dxfId="234" priority="15">
      <formula>$T1=MIN($T$22:$T$35)</formula>
    </cfRule>
    <cfRule type="expression" dxfId="233" priority="16">
      <formula>$T1=MIN($T$36:$T$150)</formula>
    </cfRule>
    <cfRule type="expression" dxfId="232" priority="17">
      <formula>AND($M1&lt;=3, $O1&gt;3)</formula>
    </cfRule>
    <cfRule type="expression" dxfId="231" priority="18">
      <formula>AND($M1&gt;3, $O1&lt;=3)</formula>
    </cfRule>
    <cfRule type="expression" dxfId="230" priority="19">
      <formula>AND($Q1&lt;=3, $S1&gt;3)</formula>
    </cfRule>
    <cfRule type="expression" dxfId="229" priority="20">
      <formula>AND($Q1&gt;3, $S1&lt;=3)</formula>
    </cfRule>
    <cfRule type="expression" dxfId="228" priority="21">
      <formula>AND($M1&lt;=3, $O1&lt;=3)</formula>
    </cfRule>
    <cfRule type="expression" dxfId="227" priority="22">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89F86-16D0-43A3-B050-4EC9A94FDAEE}">
  <sheetPr codeName="Sheet73">
    <tabColor rgb="FF00B050"/>
  </sheetPr>
  <dimension ref="A1:Y80"/>
  <sheetViews>
    <sheetView zoomScale="85" zoomScaleNormal="85" workbookViewId="0">
      <selection activeCell="AB12" sqref="AB12"/>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0.140625" customWidth="1"/>
    <col min="19" max="19" width="13.85546875" bestFit="1" customWidth="1"/>
    <col min="20" max="20" width="14.42578125" bestFit="1" customWidth="1"/>
    <col min="21" max="21" width="9.28515625" customWidth="1"/>
    <col min="24" max="24" width="10.28515625" bestFit="1" customWidth="1"/>
  </cols>
  <sheetData>
    <row r="1" spans="1:25" ht="15.75" thickBot="1">
      <c r="A1" s="237" t="s">
        <v>0</v>
      </c>
      <c r="B1" s="7" t="s">
        <v>263</v>
      </c>
      <c r="C1" s="7" t="s">
        <v>264</v>
      </c>
      <c r="D1" s="7" t="s">
        <v>265</v>
      </c>
      <c r="E1" s="7" t="s">
        <v>266</v>
      </c>
      <c r="F1" s="7" t="s">
        <v>267</v>
      </c>
      <c r="G1" s="7" t="s">
        <v>200</v>
      </c>
      <c r="H1" s="123" t="s">
        <v>201</v>
      </c>
      <c r="I1" s="124" t="s">
        <v>202</v>
      </c>
      <c r="J1" s="228" t="s">
        <v>532</v>
      </c>
      <c r="K1" s="229" t="s">
        <v>533</v>
      </c>
      <c r="L1" s="121" t="s">
        <v>326</v>
      </c>
      <c r="M1" s="121" t="s">
        <v>324</v>
      </c>
      <c r="N1" s="124" t="s">
        <v>327</v>
      </c>
      <c r="O1" s="124" t="s">
        <v>323</v>
      </c>
      <c r="P1" s="228" t="s">
        <v>531</v>
      </c>
      <c r="Q1" s="228" t="s">
        <v>528</v>
      </c>
      <c r="R1" s="229" t="s">
        <v>530</v>
      </c>
      <c r="S1" s="229" t="s">
        <v>529</v>
      </c>
      <c r="T1" s="241" t="s">
        <v>566</v>
      </c>
      <c r="U1" s="122" t="s">
        <v>537</v>
      </c>
      <c r="V1" s="122" t="s">
        <v>536</v>
      </c>
      <c r="W1" s="227" t="s">
        <v>535</v>
      </c>
      <c r="X1" s="138" t="s">
        <v>472</v>
      </c>
      <c r="Y1" s="241" t="s">
        <v>565</v>
      </c>
    </row>
    <row r="2" spans="1:25">
      <c r="A2" s="159" t="s">
        <v>6</v>
      </c>
      <c r="B2">
        <v>1</v>
      </c>
      <c r="C2">
        <v>171</v>
      </c>
      <c r="D2">
        <v>8</v>
      </c>
      <c r="E2">
        <v>14</v>
      </c>
      <c r="F2">
        <v>65</v>
      </c>
      <c r="G2">
        <v>2</v>
      </c>
      <c r="H2">
        <v>130.1</v>
      </c>
      <c r="I2" s="14">
        <v>129.12957370042591</v>
      </c>
      <c r="J2" s="259">
        <v>130.1</v>
      </c>
      <c r="K2" s="260">
        <v>129.12957370042591</v>
      </c>
      <c r="L2" s="16">
        <v>27</v>
      </c>
      <c r="M2" s="16">
        <v>3</v>
      </c>
      <c r="N2" s="230">
        <v>24</v>
      </c>
      <c r="O2" s="230">
        <v>2</v>
      </c>
      <c r="Q2">
        <v>1</v>
      </c>
      <c r="S2">
        <v>1</v>
      </c>
      <c r="T2">
        <v>76</v>
      </c>
      <c r="U2" s="15" t="e">
        <v>#N/A</v>
      </c>
      <c r="V2" s="15" t="e">
        <v>#N/A</v>
      </c>
      <c r="W2" t="e">
        <v>#N/A</v>
      </c>
      <c r="X2" t="e">
        <f>_xlfn.MAXIFS([1]Odds!$B$2:$W$81,[1]Odds!$A$2:$A$81,Table223[[#This Row],[Player]])</f>
        <v>#VALUE!</v>
      </c>
      <c r="Y2" s="14" t="e">
        <f>Table223[[#This Row],[BDG]]/Table223[[#This Row],[Odds]]</f>
        <v>#VALUE!</v>
      </c>
    </row>
    <row r="3" spans="1:25">
      <c r="A3" s="159" t="s">
        <v>439</v>
      </c>
      <c r="B3">
        <v>33</v>
      </c>
      <c r="C3">
        <v>102</v>
      </c>
      <c r="D3">
        <v>46</v>
      </c>
      <c r="E3">
        <v>133</v>
      </c>
      <c r="F3">
        <v>94</v>
      </c>
      <c r="G3">
        <v>69</v>
      </c>
      <c r="H3">
        <v>206.5</v>
      </c>
      <c r="I3" s="14">
        <v>295.56167751735222</v>
      </c>
      <c r="J3" s="259">
        <v>158.17959223060296</v>
      </c>
      <c r="K3" s="260">
        <v>209.23265852767184</v>
      </c>
      <c r="L3" s="16">
        <v>53</v>
      </c>
      <c r="M3" s="16">
        <v>15</v>
      </c>
      <c r="N3" s="230">
        <v>81</v>
      </c>
      <c r="O3" s="230">
        <v>33</v>
      </c>
      <c r="Q3">
        <v>2</v>
      </c>
      <c r="S3">
        <v>7</v>
      </c>
      <c r="T3">
        <v>64</v>
      </c>
      <c r="U3" s="15">
        <v>0</v>
      </c>
      <c r="V3" s="15">
        <v>0.33333333333333331</v>
      </c>
      <c r="W3">
        <v>-59</v>
      </c>
      <c r="X3" t="e">
        <f>_xlfn.MAXIFS([1]Odds!$B$2:$W$81,[1]Odds!$A$2:$A$81,Table223[[#This Row],[Player]])</f>
        <v>#VALUE!</v>
      </c>
      <c r="Y3" s="14" t="e">
        <f>Table223[[#This Row],[BDG]]/Table223[[#This Row],[Odds]]</f>
        <v>#VALUE!</v>
      </c>
    </row>
    <row r="4" spans="1:25">
      <c r="A4" s="159" t="s">
        <v>66</v>
      </c>
      <c r="B4">
        <v>100</v>
      </c>
      <c r="C4">
        <v>75</v>
      </c>
      <c r="D4">
        <v>45</v>
      </c>
      <c r="E4">
        <v>9</v>
      </c>
      <c r="F4">
        <v>131</v>
      </c>
      <c r="G4">
        <v>19</v>
      </c>
      <c r="H4">
        <v>208.1</v>
      </c>
      <c r="I4" s="14">
        <v>221.9756819882351</v>
      </c>
      <c r="J4" s="259">
        <v>161.53860128567391</v>
      </c>
      <c r="K4" s="260">
        <v>164.58424792290361</v>
      </c>
      <c r="L4" s="16">
        <v>56</v>
      </c>
      <c r="M4" s="16">
        <v>18</v>
      </c>
      <c r="N4" s="230">
        <v>45</v>
      </c>
      <c r="O4" s="230">
        <v>13</v>
      </c>
      <c r="Q4">
        <v>3</v>
      </c>
      <c r="S4">
        <v>2</v>
      </c>
      <c r="T4">
        <v>71</v>
      </c>
      <c r="U4" s="15">
        <v>0</v>
      </c>
      <c r="V4" s="15">
        <v>0</v>
      </c>
      <c r="W4">
        <v>-10</v>
      </c>
      <c r="X4" t="e">
        <f>_xlfn.MAXIFS([1]Odds!$B$2:$W$81,[1]Odds!$A$2:$A$81,Table223[[#This Row],[Player]])</f>
        <v>#VALUE!</v>
      </c>
      <c r="Y4" s="14" t="e">
        <f>Table223[[#This Row],[BDG]]/Table223[[#This Row],[Odds]]</f>
        <v>#VALUE!</v>
      </c>
    </row>
    <row r="5" spans="1:25">
      <c r="A5" s="159" t="s">
        <v>40</v>
      </c>
      <c r="B5">
        <v>124</v>
      </c>
      <c r="C5">
        <v>114</v>
      </c>
      <c r="D5">
        <v>119</v>
      </c>
      <c r="E5">
        <v>34</v>
      </c>
      <c r="F5">
        <v>121</v>
      </c>
      <c r="G5">
        <v>93</v>
      </c>
      <c r="H5">
        <v>301.20000000000005</v>
      </c>
      <c r="I5" s="14">
        <v>401.14735384738577</v>
      </c>
      <c r="J5" s="259">
        <v>165.69623903570738</v>
      </c>
      <c r="K5" s="260">
        <v>198.38469235682516</v>
      </c>
      <c r="L5" s="16">
        <v>170</v>
      </c>
      <c r="M5" s="16">
        <v>69</v>
      </c>
      <c r="N5" s="230">
        <v>139</v>
      </c>
      <c r="O5" s="230">
        <v>64</v>
      </c>
      <c r="Q5">
        <v>4</v>
      </c>
      <c r="S5">
        <v>5</v>
      </c>
      <c r="T5">
        <v>69</v>
      </c>
      <c r="U5" s="15">
        <v>0</v>
      </c>
      <c r="V5" s="15">
        <v>0</v>
      </c>
      <c r="W5">
        <v>-90</v>
      </c>
      <c r="X5" t="e">
        <f>_xlfn.MAXIFS([1]Odds!$B$2:$W$81,[1]Odds!$A$2:$A$81,Table223[[#This Row],[Player]])</f>
        <v>#VALUE!</v>
      </c>
      <c r="Y5" s="14" t="e">
        <f>Table223[[#This Row],[BDG]]/Table223[[#This Row],[Odds]]</f>
        <v>#VALUE!</v>
      </c>
    </row>
    <row r="6" spans="1:25">
      <c r="A6" s="159" t="s">
        <v>73</v>
      </c>
      <c r="B6">
        <v>64</v>
      </c>
      <c r="C6">
        <v>64</v>
      </c>
      <c r="D6">
        <v>28</v>
      </c>
      <c r="E6">
        <v>29</v>
      </c>
      <c r="F6">
        <v>139</v>
      </c>
      <c r="G6">
        <v>15</v>
      </c>
      <c r="H6">
        <v>177.5</v>
      </c>
      <c r="I6" s="14">
        <v>191.29683063716101</v>
      </c>
      <c r="J6" s="259">
        <v>171.02341446454864</v>
      </c>
      <c r="K6" s="260">
        <v>172.0643380405379</v>
      </c>
      <c r="L6" s="16">
        <v>40</v>
      </c>
      <c r="M6" s="16">
        <v>10</v>
      </c>
      <c r="N6" s="230">
        <v>34</v>
      </c>
      <c r="O6" s="230">
        <v>9</v>
      </c>
      <c r="Q6">
        <v>5</v>
      </c>
      <c r="S6">
        <v>3</v>
      </c>
      <c r="T6">
        <v>73</v>
      </c>
      <c r="U6" s="15">
        <v>0</v>
      </c>
      <c r="V6" s="15">
        <v>1</v>
      </c>
      <c r="W6">
        <v>-12</v>
      </c>
      <c r="X6" t="e">
        <f>_xlfn.MAXIFS([1]Odds!$B$2:$W$81,[1]Odds!$A$2:$A$81,Table223[[#This Row],[Player]])</f>
        <v>#VALUE!</v>
      </c>
      <c r="Y6" s="14" t="e">
        <f>Table223[[#This Row],[BDG]]/Table223[[#This Row],[Odds]]</f>
        <v>#VALUE!</v>
      </c>
    </row>
    <row r="7" spans="1:25">
      <c r="A7" s="159" t="s">
        <v>595</v>
      </c>
      <c r="B7">
        <v>24</v>
      </c>
      <c r="C7">
        <v>132</v>
      </c>
      <c r="D7">
        <v>69</v>
      </c>
      <c r="E7">
        <v>36</v>
      </c>
      <c r="F7">
        <v>42</v>
      </c>
      <c r="G7">
        <v>5</v>
      </c>
      <c r="H7">
        <v>166.5</v>
      </c>
      <c r="I7" s="14">
        <v>180.92406461128053</v>
      </c>
      <c r="J7" s="259">
        <v>176.80693500951801</v>
      </c>
      <c r="K7" s="260">
        <v>216.82246322357116</v>
      </c>
      <c r="L7" s="16">
        <v>34</v>
      </c>
      <c r="M7" s="16">
        <v>7</v>
      </c>
      <c r="N7" s="230">
        <v>31</v>
      </c>
      <c r="O7" s="230">
        <v>6</v>
      </c>
      <c r="Q7">
        <v>6</v>
      </c>
      <c r="S7">
        <v>11</v>
      </c>
      <c r="T7">
        <v>55</v>
      </c>
      <c r="U7" s="15">
        <v>0</v>
      </c>
      <c r="V7" s="15">
        <v>1</v>
      </c>
      <c r="W7" t="e">
        <v>#N/A</v>
      </c>
      <c r="X7" t="e">
        <f>_xlfn.MAXIFS([1]Odds!$B$2:$W$81,[1]Odds!$A$2:$A$81,Table223[[#This Row],[Player]])</f>
        <v>#VALUE!</v>
      </c>
      <c r="Y7" s="14" t="e">
        <f>Table223[[#This Row],[BDG]]/Table223[[#This Row],[Odds]]</f>
        <v>#VALUE!</v>
      </c>
    </row>
    <row r="8" spans="1:25">
      <c r="A8" s="159" t="s">
        <v>47</v>
      </c>
      <c r="B8">
        <v>48</v>
      </c>
      <c r="C8">
        <v>137</v>
      </c>
      <c r="D8">
        <v>148</v>
      </c>
      <c r="E8">
        <v>128</v>
      </c>
      <c r="F8">
        <v>35</v>
      </c>
      <c r="G8">
        <v>55</v>
      </c>
      <c r="H8">
        <v>274.39999999999998</v>
      </c>
      <c r="I8" s="14">
        <v>362.946464378987</v>
      </c>
      <c r="J8" s="259">
        <v>176.88568630605369</v>
      </c>
      <c r="K8" s="260">
        <v>211.60282234261302</v>
      </c>
      <c r="L8" s="16">
        <v>137</v>
      </c>
      <c r="M8" s="16">
        <v>59</v>
      </c>
      <c r="N8" s="230">
        <v>119</v>
      </c>
      <c r="O8" s="230">
        <v>54</v>
      </c>
      <c r="Q8">
        <v>7</v>
      </c>
      <c r="S8">
        <v>9</v>
      </c>
      <c r="T8">
        <v>74</v>
      </c>
      <c r="U8" s="15">
        <v>0</v>
      </c>
      <c r="V8" s="15">
        <v>0</v>
      </c>
      <c r="W8">
        <v>-47</v>
      </c>
      <c r="X8" t="e">
        <f>_xlfn.MAXIFS([1]Odds!$B$2:$W$81,[1]Odds!$A$2:$A$81,Table223[[#This Row],[Player]])</f>
        <v>#VALUE!</v>
      </c>
      <c r="Y8" s="14" t="e">
        <f>Table223[[#This Row],[BDG]]/Table223[[#This Row],[Odds]]</f>
        <v>#VALUE!</v>
      </c>
    </row>
    <row r="9" spans="1:25">
      <c r="A9" s="159" t="s">
        <v>35</v>
      </c>
      <c r="B9">
        <v>133</v>
      </c>
      <c r="C9">
        <v>129</v>
      </c>
      <c r="D9">
        <v>6</v>
      </c>
      <c r="E9">
        <v>79</v>
      </c>
      <c r="F9">
        <v>143</v>
      </c>
      <c r="G9">
        <v>18</v>
      </c>
      <c r="H9">
        <v>264.89999999999998</v>
      </c>
      <c r="I9" s="14">
        <v>277.84331956545554</v>
      </c>
      <c r="J9" s="259">
        <v>181.63451770532575</v>
      </c>
      <c r="K9" s="260">
        <v>177.6951102367766</v>
      </c>
      <c r="L9" s="16">
        <v>131</v>
      </c>
      <c r="M9" s="16">
        <v>55</v>
      </c>
      <c r="N9" s="230">
        <v>71</v>
      </c>
      <c r="O9" s="230">
        <v>28</v>
      </c>
      <c r="Q9">
        <v>8</v>
      </c>
      <c r="S9">
        <v>4</v>
      </c>
      <c r="T9">
        <v>77</v>
      </c>
      <c r="U9" s="15">
        <v>0</v>
      </c>
      <c r="V9" s="15">
        <v>0.5</v>
      </c>
      <c r="W9">
        <v>-17</v>
      </c>
      <c r="X9" t="e">
        <f>_xlfn.MAXIFS([1]Odds!$B$2:$W$81,[1]Odds!$A$2:$A$81,Table223[[#This Row],[Player]])</f>
        <v>#VALUE!</v>
      </c>
      <c r="Y9" s="14" t="e">
        <f>Table223[[#This Row],[BDG]]/Table223[[#This Row],[Odds]]</f>
        <v>#VALUE!</v>
      </c>
    </row>
    <row r="10" spans="1:25">
      <c r="A10" s="159" t="s">
        <v>52</v>
      </c>
      <c r="B10">
        <v>13</v>
      </c>
      <c r="C10">
        <v>78</v>
      </c>
      <c r="D10">
        <v>65</v>
      </c>
      <c r="E10">
        <v>42</v>
      </c>
      <c r="F10">
        <v>66</v>
      </c>
      <c r="G10">
        <v>23</v>
      </c>
      <c r="H10">
        <v>143.39999999999998</v>
      </c>
      <c r="I10" s="14">
        <v>178.30280701475596</v>
      </c>
      <c r="J10" s="259">
        <v>185.18032629732357</v>
      </c>
      <c r="K10" s="260">
        <v>209.70625110654794</v>
      </c>
      <c r="L10" s="16">
        <v>29</v>
      </c>
      <c r="M10" s="16">
        <v>5</v>
      </c>
      <c r="N10" s="230">
        <v>30</v>
      </c>
      <c r="O10" s="230">
        <v>5</v>
      </c>
      <c r="Q10">
        <v>9</v>
      </c>
      <c r="S10">
        <v>8</v>
      </c>
      <c r="T10">
        <v>39</v>
      </c>
      <c r="U10" s="15">
        <v>0</v>
      </c>
      <c r="V10" s="15">
        <v>0.33333333333333331</v>
      </c>
      <c r="W10">
        <v>5</v>
      </c>
      <c r="X10" t="e">
        <f>_xlfn.MAXIFS([1]Odds!$B$2:$W$81,[1]Odds!$A$2:$A$81,Table223[[#This Row],[Player]])</f>
        <v>#VALUE!</v>
      </c>
      <c r="Y10" s="14" t="e">
        <f>Table223[[#This Row],[BDG]]/Table223[[#This Row],[Odds]]</f>
        <v>#VALUE!</v>
      </c>
    </row>
    <row r="11" spans="1:25">
      <c r="A11" s="159" t="s">
        <v>18</v>
      </c>
      <c r="B11">
        <v>31</v>
      </c>
      <c r="C11">
        <v>168</v>
      </c>
      <c r="D11">
        <v>130</v>
      </c>
      <c r="E11">
        <v>73</v>
      </c>
      <c r="F11">
        <v>140</v>
      </c>
      <c r="G11">
        <v>87</v>
      </c>
      <c r="H11">
        <v>295.89999999999998</v>
      </c>
      <c r="I11" s="14">
        <v>404.07203549226563</v>
      </c>
      <c r="J11" s="259">
        <v>193.64751654893092</v>
      </c>
      <c r="K11" s="260">
        <v>239.21089390547365</v>
      </c>
      <c r="L11" s="16">
        <v>163</v>
      </c>
      <c r="M11" s="16">
        <v>68</v>
      </c>
      <c r="N11" s="230">
        <v>141</v>
      </c>
      <c r="O11" s="230">
        <v>66</v>
      </c>
      <c r="Q11">
        <v>10</v>
      </c>
      <c r="S11">
        <v>17</v>
      </c>
      <c r="T11">
        <v>48</v>
      </c>
      <c r="U11" s="15">
        <v>0</v>
      </c>
      <c r="V11" s="15">
        <v>0</v>
      </c>
      <c r="W11">
        <v>-74</v>
      </c>
      <c r="X11" t="e">
        <f>_xlfn.MAXIFS([1]Odds!$B$2:$W$81,[1]Odds!$A$2:$A$81,Table223[[#This Row],[Player]])</f>
        <v>#VALUE!</v>
      </c>
      <c r="Y11" s="14" t="e">
        <f>Table223[[#This Row],[BDG]]/Table223[[#This Row],[Odds]]</f>
        <v>#VALUE!</v>
      </c>
    </row>
    <row r="12" spans="1:25">
      <c r="A12" s="159" t="s">
        <v>487</v>
      </c>
      <c r="B12">
        <v>43</v>
      </c>
      <c r="C12">
        <v>112</v>
      </c>
      <c r="D12">
        <v>3</v>
      </c>
      <c r="E12">
        <v>119</v>
      </c>
      <c r="F12">
        <v>10</v>
      </c>
      <c r="G12">
        <v>2</v>
      </c>
      <c r="H12">
        <v>140.79999999999998</v>
      </c>
      <c r="I12" s="14">
        <v>154.31444907346889</v>
      </c>
      <c r="J12" s="259">
        <v>196.35894454431326</v>
      </c>
      <c r="K12" s="260">
        <v>272.94745858462215</v>
      </c>
      <c r="L12" s="16">
        <v>28</v>
      </c>
      <c r="M12" s="16">
        <v>4</v>
      </c>
      <c r="N12" s="230">
        <v>28</v>
      </c>
      <c r="O12" s="230">
        <v>4</v>
      </c>
      <c r="Q12">
        <v>11</v>
      </c>
      <c r="S12">
        <v>34</v>
      </c>
      <c r="T12">
        <v>32</v>
      </c>
      <c r="U12" s="15">
        <v>0.33333333333333331</v>
      </c>
      <c r="V12" s="15">
        <v>0.66666666666666663</v>
      </c>
      <c r="W12" t="e">
        <v>#N/A</v>
      </c>
      <c r="X12" t="e">
        <f>_xlfn.MAXIFS([1]Odds!$B$2:$W$81,[1]Odds!$A$2:$A$81,Table223[[#This Row],[Player]])</f>
        <v>#VALUE!</v>
      </c>
      <c r="Y12" s="14" t="e">
        <f>Table223[[#This Row],[BDG]]/Table223[[#This Row],[Odds]]</f>
        <v>#VALUE!</v>
      </c>
    </row>
    <row r="13" spans="1:25">
      <c r="A13" s="159" t="s">
        <v>10</v>
      </c>
      <c r="B13">
        <v>11</v>
      </c>
      <c r="C13">
        <v>76</v>
      </c>
      <c r="D13">
        <v>73</v>
      </c>
      <c r="E13">
        <v>17</v>
      </c>
      <c r="F13">
        <v>30</v>
      </c>
      <c r="G13">
        <v>6</v>
      </c>
      <c r="H13">
        <v>118.6</v>
      </c>
      <c r="I13" s="14">
        <v>134.7115841389363</v>
      </c>
      <c r="J13" s="259">
        <v>197.57178409390602</v>
      </c>
      <c r="K13" s="260">
        <v>233.18205678513362</v>
      </c>
      <c r="L13" s="16">
        <v>26</v>
      </c>
      <c r="M13" s="16">
        <v>2</v>
      </c>
      <c r="N13" s="230">
        <v>26</v>
      </c>
      <c r="O13" s="230">
        <v>3</v>
      </c>
      <c r="Q13">
        <v>12</v>
      </c>
      <c r="S13">
        <v>16</v>
      </c>
      <c r="T13">
        <v>59</v>
      </c>
      <c r="U13" s="15">
        <v>0</v>
      </c>
      <c r="V13" s="15">
        <v>1</v>
      </c>
      <c r="W13">
        <v>34</v>
      </c>
      <c r="X13" t="e">
        <f>_xlfn.MAXIFS([1]Odds!$B$2:$W$81,[1]Odds!$A$2:$A$81,Table223[[#This Row],[Player]])</f>
        <v>#VALUE!</v>
      </c>
      <c r="Y13" s="14" t="e">
        <f>Table223[[#This Row],[BDG]]/Table223[[#This Row],[Odds]]</f>
        <v>#VALUE!</v>
      </c>
    </row>
    <row r="14" spans="1:25">
      <c r="A14" s="159" t="s">
        <v>114</v>
      </c>
      <c r="B14">
        <v>94</v>
      </c>
      <c r="C14">
        <v>19</v>
      </c>
      <c r="D14">
        <v>55</v>
      </c>
      <c r="E14">
        <v>140</v>
      </c>
      <c r="F14">
        <v>29</v>
      </c>
      <c r="G14">
        <v>39</v>
      </c>
      <c r="H14">
        <v>184.3</v>
      </c>
      <c r="I14" s="14">
        <v>243.81332551604908</v>
      </c>
      <c r="J14" s="259">
        <v>199.80673738694719</v>
      </c>
      <c r="K14" s="260">
        <v>212.4230369306691</v>
      </c>
      <c r="L14" s="16">
        <v>44</v>
      </c>
      <c r="M14" s="16">
        <v>13</v>
      </c>
      <c r="N14" s="230">
        <v>51</v>
      </c>
      <c r="O14" s="230">
        <v>16</v>
      </c>
      <c r="Q14">
        <v>13</v>
      </c>
      <c r="S14">
        <v>10</v>
      </c>
      <c r="T14">
        <v>51</v>
      </c>
      <c r="U14" s="15">
        <v>0</v>
      </c>
      <c r="V14" s="15">
        <v>0</v>
      </c>
      <c r="W14">
        <v>-23</v>
      </c>
      <c r="X14" t="e">
        <f>_xlfn.MAXIFS([1]Odds!$B$2:$W$81,[1]Odds!$A$2:$A$81,Table223[[#This Row],[Player]])</f>
        <v>#VALUE!</v>
      </c>
      <c r="Y14" s="14" t="e">
        <f>Table223[[#This Row],[BDG]]/Table223[[#This Row],[Odds]]</f>
        <v>#VALUE!</v>
      </c>
    </row>
    <row r="15" spans="1:25">
      <c r="A15" s="159" t="s">
        <v>58</v>
      </c>
      <c r="B15">
        <v>56</v>
      </c>
      <c r="C15">
        <v>110</v>
      </c>
      <c r="D15">
        <v>25</v>
      </c>
      <c r="E15">
        <v>77</v>
      </c>
      <c r="F15">
        <v>117</v>
      </c>
      <c r="G15">
        <v>50</v>
      </c>
      <c r="H15">
        <v>201</v>
      </c>
      <c r="I15" s="14">
        <v>256.49820662828495</v>
      </c>
      <c r="J15" s="259">
        <v>200.80951219013377</v>
      </c>
      <c r="K15" s="260">
        <v>240.65778876458154</v>
      </c>
      <c r="L15" s="16">
        <v>50</v>
      </c>
      <c r="M15" s="16">
        <v>14</v>
      </c>
      <c r="N15" s="230">
        <v>55</v>
      </c>
      <c r="O15" s="230">
        <v>18</v>
      </c>
      <c r="Q15">
        <v>14</v>
      </c>
      <c r="S15">
        <v>18</v>
      </c>
      <c r="T15">
        <v>47</v>
      </c>
      <c r="U15" s="15">
        <v>0</v>
      </c>
      <c r="V15" s="15">
        <v>0.33333333333333331</v>
      </c>
      <c r="W15">
        <v>-26</v>
      </c>
      <c r="X15" t="e">
        <f>_xlfn.MAXIFS([1]Odds!$B$2:$W$81,[1]Odds!$A$2:$A$81,Table223[[#This Row],[Player]])</f>
        <v>#VALUE!</v>
      </c>
      <c r="Y15" s="14" t="e">
        <f>Table223[[#This Row],[BDG]]/Table223[[#This Row],[Odds]]</f>
        <v>#VALUE!</v>
      </c>
    </row>
    <row r="16" spans="1:25">
      <c r="A16" s="159" t="s">
        <v>85</v>
      </c>
      <c r="B16">
        <v>162</v>
      </c>
      <c r="C16">
        <v>66</v>
      </c>
      <c r="D16">
        <v>170</v>
      </c>
      <c r="E16">
        <v>18</v>
      </c>
      <c r="F16">
        <v>125</v>
      </c>
      <c r="G16">
        <v>154</v>
      </c>
      <c r="H16">
        <v>335.09999999999997</v>
      </c>
      <c r="I16" s="14">
        <v>499.29600705427339</v>
      </c>
      <c r="J16" s="259">
        <v>202.0468389680403</v>
      </c>
      <c r="K16" s="260">
        <v>246.29475208722423</v>
      </c>
      <c r="L16" s="16">
        <v>192</v>
      </c>
      <c r="M16" s="16">
        <v>77</v>
      </c>
      <c r="N16" s="230">
        <v>187</v>
      </c>
      <c r="O16" s="230">
        <v>73</v>
      </c>
      <c r="Q16">
        <v>15</v>
      </c>
      <c r="S16">
        <v>23</v>
      </c>
      <c r="T16">
        <v>63</v>
      </c>
      <c r="U16" s="15">
        <v>0</v>
      </c>
      <c r="V16" s="15">
        <v>0</v>
      </c>
      <c r="W16">
        <v>-149</v>
      </c>
      <c r="X16" t="e">
        <f>_xlfn.MAXIFS([1]Odds!$B$2:$W$81,[1]Odds!$A$2:$A$81,Table223[[#This Row],[Player]])</f>
        <v>#VALUE!</v>
      </c>
      <c r="Y16" s="14" t="e">
        <f>Table223[[#This Row],[BDG]]/Table223[[#This Row],[Odds]]</f>
        <v>#VALUE!</v>
      </c>
    </row>
    <row r="17" spans="1:25">
      <c r="A17" s="159" t="s">
        <v>69</v>
      </c>
      <c r="B17">
        <v>92</v>
      </c>
      <c r="C17">
        <v>114</v>
      </c>
      <c r="D17">
        <v>20</v>
      </c>
      <c r="E17">
        <v>57</v>
      </c>
      <c r="F17">
        <v>153</v>
      </c>
      <c r="G17">
        <v>58</v>
      </c>
      <c r="H17">
        <v>234.7</v>
      </c>
      <c r="I17" s="14">
        <v>290.37049668717032</v>
      </c>
      <c r="J17" s="259">
        <v>205.04739759749225</v>
      </c>
      <c r="K17" s="260">
        <v>225.09577849806772</v>
      </c>
      <c r="L17" s="16">
        <v>90</v>
      </c>
      <c r="M17" s="16">
        <v>34</v>
      </c>
      <c r="N17" s="230">
        <v>80</v>
      </c>
      <c r="O17" s="230">
        <v>32</v>
      </c>
      <c r="Q17">
        <v>16</v>
      </c>
      <c r="S17">
        <v>14</v>
      </c>
      <c r="T17">
        <v>66</v>
      </c>
      <c r="U17" s="15">
        <v>0</v>
      </c>
      <c r="V17" s="15">
        <v>0.33333333333333331</v>
      </c>
      <c r="W17">
        <v>-43</v>
      </c>
      <c r="X17" t="e">
        <f>_xlfn.MAXIFS([1]Odds!$B$2:$W$81,[1]Odds!$A$2:$A$81,Table223[[#This Row],[Player]])</f>
        <v>#VALUE!</v>
      </c>
      <c r="Y17" s="14" t="e">
        <f>Table223[[#This Row],[BDG]]/Table223[[#This Row],[Odds]]</f>
        <v>#VALUE!</v>
      </c>
    </row>
    <row r="18" spans="1:25">
      <c r="A18" s="159" t="s">
        <v>132</v>
      </c>
      <c r="B18">
        <v>81</v>
      </c>
      <c r="C18">
        <v>76</v>
      </c>
      <c r="D18">
        <v>7</v>
      </c>
      <c r="E18">
        <v>93</v>
      </c>
      <c r="F18">
        <v>79</v>
      </c>
      <c r="G18">
        <v>10</v>
      </c>
      <c r="H18">
        <v>176.3</v>
      </c>
      <c r="I18" s="14">
        <v>190.87334084518528</v>
      </c>
      <c r="J18" s="259">
        <v>206.58756176872848</v>
      </c>
      <c r="K18" s="260">
        <v>209.0090021376048</v>
      </c>
      <c r="L18" s="16">
        <v>38</v>
      </c>
      <c r="M18" s="16">
        <v>9</v>
      </c>
      <c r="N18" s="230">
        <v>33</v>
      </c>
      <c r="O18" s="230">
        <v>8</v>
      </c>
      <c r="Q18">
        <v>17</v>
      </c>
      <c r="S18">
        <v>6</v>
      </c>
      <c r="T18">
        <v>33</v>
      </c>
      <c r="U18" s="15">
        <v>0.33333333333333331</v>
      </c>
      <c r="V18" s="15">
        <v>0.33333333333333331</v>
      </c>
      <c r="W18">
        <v>20</v>
      </c>
      <c r="X18" t="e">
        <f>_xlfn.MAXIFS([1]Odds!$B$2:$W$81,[1]Odds!$A$2:$A$81,Table223[[#This Row],[Player]])</f>
        <v>#VALUE!</v>
      </c>
      <c r="Y18" s="14" t="e">
        <f>Table223[[#This Row],[BDG]]/Table223[[#This Row],[Odds]]</f>
        <v>#VALUE!</v>
      </c>
    </row>
    <row r="19" spans="1:25">
      <c r="A19" s="159" t="s">
        <v>68</v>
      </c>
      <c r="B19">
        <v>50</v>
      </c>
      <c r="C19">
        <v>65</v>
      </c>
      <c r="D19">
        <v>110</v>
      </c>
      <c r="E19">
        <v>44</v>
      </c>
      <c r="F19">
        <v>90</v>
      </c>
      <c r="G19">
        <v>52</v>
      </c>
      <c r="H19">
        <v>207.1</v>
      </c>
      <c r="I19" s="14">
        <v>274.8463294034288</v>
      </c>
      <c r="J19" s="259">
        <v>206.97300812675587</v>
      </c>
      <c r="K19" s="260">
        <v>249.5159424003154</v>
      </c>
      <c r="L19" s="16">
        <v>54</v>
      </c>
      <c r="M19" s="16">
        <v>16</v>
      </c>
      <c r="N19" s="230">
        <v>70</v>
      </c>
      <c r="O19" s="230">
        <v>27</v>
      </c>
      <c r="Q19">
        <v>18</v>
      </c>
      <c r="S19">
        <v>24</v>
      </c>
      <c r="T19">
        <v>57</v>
      </c>
      <c r="U19" s="15">
        <v>0</v>
      </c>
      <c r="V19" s="15">
        <v>0.33333333333333331</v>
      </c>
      <c r="W19">
        <v>-26</v>
      </c>
      <c r="X19" t="e">
        <f>_xlfn.MAXIFS([1]Odds!$B$2:$W$81,[1]Odds!$A$2:$A$81,Table223[[#This Row],[Player]])</f>
        <v>#VALUE!</v>
      </c>
      <c r="Y19" s="14" t="e">
        <f>Table223[[#This Row],[BDG]]/Table223[[#This Row],[Odds]]</f>
        <v>#VALUE!</v>
      </c>
    </row>
    <row r="20" spans="1:25">
      <c r="A20" s="159" t="s">
        <v>143</v>
      </c>
      <c r="B20">
        <v>76</v>
      </c>
      <c r="C20">
        <v>44</v>
      </c>
      <c r="D20">
        <v>149</v>
      </c>
      <c r="E20">
        <v>98</v>
      </c>
      <c r="F20">
        <v>39</v>
      </c>
      <c r="G20">
        <v>110</v>
      </c>
      <c r="H20">
        <v>238.2</v>
      </c>
      <c r="I20" s="14">
        <v>377.37933134507421</v>
      </c>
      <c r="J20" s="259">
        <v>207.2774788650508</v>
      </c>
      <c r="K20" s="260">
        <v>242.76164406595296</v>
      </c>
      <c r="L20" s="16">
        <v>98</v>
      </c>
      <c r="M20" s="16">
        <v>37</v>
      </c>
      <c r="N20" s="230">
        <v>126</v>
      </c>
      <c r="O20" s="230">
        <v>59</v>
      </c>
      <c r="Q20">
        <v>19</v>
      </c>
      <c r="S20">
        <v>20</v>
      </c>
      <c r="T20">
        <v>30</v>
      </c>
      <c r="U20" s="15">
        <v>0</v>
      </c>
      <c r="V20" s="15">
        <v>0</v>
      </c>
      <c r="W20">
        <v>-96</v>
      </c>
      <c r="X20" t="e">
        <f>_xlfn.MAXIFS([1]Odds!$B$2:$W$81,[1]Odds!$A$2:$A$81,Table223[[#This Row],[Player]])</f>
        <v>#VALUE!</v>
      </c>
      <c r="Y20" s="14" t="e">
        <f>Table223[[#This Row],[BDG]]/Table223[[#This Row],[Odds]]</f>
        <v>#VALUE!</v>
      </c>
    </row>
    <row r="21" spans="1:25">
      <c r="A21" s="159" t="s">
        <v>42</v>
      </c>
      <c r="B21">
        <v>38</v>
      </c>
      <c r="C21">
        <v>154</v>
      </c>
      <c r="D21">
        <v>39</v>
      </c>
      <c r="E21">
        <v>4</v>
      </c>
      <c r="F21">
        <v>135</v>
      </c>
      <c r="G21">
        <v>27</v>
      </c>
      <c r="H21">
        <v>207.6</v>
      </c>
      <c r="I21" s="14">
        <v>223.42020406035138</v>
      </c>
      <c r="J21" s="259">
        <v>207.60000000000002</v>
      </c>
      <c r="K21" s="260">
        <v>223.42020406035135</v>
      </c>
      <c r="L21" s="16">
        <v>55</v>
      </c>
      <c r="M21" s="16">
        <v>17</v>
      </c>
      <c r="N21" s="230">
        <v>46</v>
      </c>
      <c r="O21" s="230">
        <v>14</v>
      </c>
      <c r="Q21">
        <v>20</v>
      </c>
      <c r="S21">
        <v>13</v>
      </c>
      <c r="T21">
        <v>70</v>
      </c>
      <c r="U21" s="15">
        <v>0</v>
      </c>
      <c r="V21" s="15">
        <v>1</v>
      </c>
      <c r="W21" t="e">
        <v>#N/A</v>
      </c>
      <c r="X21" t="e">
        <f>_xlfn.MAXIFS([1]Odds!$B$2:$W$81,[1]Odds!$A$2:$A$81,Table223[[#This Row],[Player]])</f>
        <v>#VALUE!</v>
      </c>
      <c r="Y21" s="14" t="e">
        <f>Table223[[#This Row],[BDG]]/Table223[[#This Row],[Odds]]</f>
        <v>#VALUE!</v>
      </c>
    </row>
    <row r="22" spans="1:25">
      <c r="A22" s="159" t="s">
        <v>44</v>
      </c>
      <c r="B22">
        <v>187</v>
      </c>
      <c r="C22">
        <v>107</v>
      </c>
      <c r="D22">
        <v>84</v>
      </c>
      <c r="E22">
        <v>74</v>
      </c>
      <c r="F22">
        <v>170</v>
      </c>
      <c r="G22">
        <v>172</v>
      </c>
      <c r="H22">
        <v>357.8</v>
      </c>
      <c r="I22" s="14">
        <v>531.24307487683723</v>
      </c>
      <c r="J22" s="259">
        <v>208.529633533484</v>
      </c>
      <c r="K22" s="260">
        <v>269.45089322780109</v>
      </c>
      <c r="L22" s="16">
        <v>201</v>
      </c>
      <c r="M22" s="16">
        <v>78</v>
      </c>
      <c r="N22" s="230">
        <v>198</v>
      </c>
      <c r="O22" s="230">
        <v>78</v>
      </c>
      <c r="Q22">
        <v>21</v>
      </c>
      <c r="S22">
        <v>30</v>
      </c>
      <c r="T22">
        <v>20</v>
      </c>
      <c r="U22" s="15">
        <v>0</v>
      </c>
      <c r="V22" s="15">
        <v>0</v>
      </c>
      <c r="W22">
        <v>-160</v>
      </c>
      <c r="X22" t="e">
        <f>_xlfn.MAXIFS([1]Odds!$B$2:$W$81,[1]Odds!$A$2:$A$81,Table223[[#This Row],[Player]])</f>
        <v>#VALUE!</v>
      </c>
      <c r="Y22" s="14" t="e">
        <f>Table223[[#This Row],[BDG]]/Table223[[#This Row],[Odds]]</f>
        <v>#VALUE!</v>
      </c>
    </row>
    <row r="23" spans="1:25">
      <c r="A23" s="159" t="s">
        <v>64</v>
      </c>
      <c r="B23">
        <v>78</v>
      </c>
      <c r="C23">
        <v>90</v>
      </c>
      <c r="D23">
        <v>94</v>
      </c>
      <c r="E23">
        <v>91</v>
      </c>
      <c r="F23">
        <v>52</v>
      </c>
      <c r="G23">
        <v>29</v>
      </c>
      <c r="H23">
        <v>227.79999999999998</v>
      </c>
      <c r="I23" s="14">
        <v>274.72418868954901</v>
      </c>
      <c r="J23" s="259">
        <v>213.13243864030127</v>
      </c>
      <c r="K23" s="260">
        <v>245.21599914839277</v>
      </c>
      <c r="L23" s="16">
        <v>79</v>
      </c>
      <c r="M23" s="16">
        <v>29</v>
      </c>
      <c r="N23" s="230">
        <v>69</v>
      </c>
      <c r="O23" s="230">
        <v>26</v>
      </c>
      <c r="Q23">
        <v>22</v>
      </c>
      <c r="S23">
        <v>21</v>
      </c>
      <c r="T23">
        <v>50</v>
      </c>
      <c r="U23" s="15">
        <v>0</v>
      </c>
      <c r="V23" s="15">
        <v>0.33333333333333331</v>
      </c>
      <c r="W23">
        <v>3</v>
      </c>
      <c r="X23" t="e">
        <f>_xlfn.MAXIFS([1]Odds!$B$2:$W$81,[1]Odds!$A$2:$A$81,Table223[[#This Row],[Player]])</f>
        <v>#VALUE!</v>
      </c>
      <c r="Y23" s="14" t="e">
        <f>Table223[[#This Row],[BDG]]/Table223[[#This Row],[Odds]]</f>
        <v>#VALUE!</v>
      </c>
    </row>
    <row r="24" spans="1:25">
      <c r="A24" s="159" t="s">
        <v>188</v>
      </c>
      <c r="B24">
        <v>71</v>
      </c>
      <c r="C24">
        <v>37</v>
      </c>
      <c r="D24">
        <v>28</v>
      </c>
      <c r="E24">
        <v>82</v>
      </c>
      <c r="F24">
        <v>116</v>
      </c>
      <c r="G24">
        <v>29</v>
      </c>
      <c r="H24">
        <v>178.6</v>
      </c>
      <c r="I24" s="14">
        <v>215.11745686500933</v>
      </c>
      <c r="J24" s="259">
        <v>214.53183570251213</v>
      </c>
      <c r="K24" s="260">
        <v>221.51244028338346</v>
      </c>
      <c r="L24" s="16">
        <v>41</v>
      </c>
      <c r="M24" s="16">
        <v>11</v>
      </c>
      <c r="N24" s="230">
        <v>41</v>
      </c>
      <c r="O24" s="230">
        <v>12</v>
      </c>
      <c r="Q24">
        <v>23</v>
      </c>
      <c r="S24">
        <v>12</v>
      </c>
      <c r="T24">
        <v>28</v>
      </c>
      <c r="U24" s="15">
        <v>0</v>
      </c>
      <c r="V24" s="15">
        <v>0</v>
      </c>
      <c r="W24">
        <v>-34</v>
      </c>
      <c r="X24" t="e">
        <f>_xlfn.MAXIFS([1]Odds!$B$2:$W$81,[1]Odds!$A$2:$A$81,Table223[[#This Row],[Player]])</f>
        <v>#VALUE!</v>
      </c>
      <c r="Y24" s="14" t="e">
        <f>Table223[[#This Row],[BDG]]/Table223[[#This Row],[Odds]]</f>
        <v>#VALUE!</v>
      </c>
    </row>
    <row r="25" spans="1:25">
      <c r="A25" s="159" t="s">
        <v>125</v>
      </c>
      <c r="B25">
        <v>80</v>
      </c>
      <c r="C25">
        <v>53</v>
      </c>
      <c r="D25">
        <v>114</v>
      </c>
      <c r="E25">
        <v>84</v>
      </c>
      <c r="F25">
        <v>37</v>
      </c>
      <c r="G25">
        <v>44</v>
      </c>
      <c r="H25">
        <v>214.4</v>
      </c>
      <c r="I25" s="14">
        <v>279.45914787530779</v>
      </c>
      <c r="J25" s="259">
        <v>222.97195144397978</v>
      </c>
      <c r="K25" s="260">
        <v>269.71997814285248</v>
      </c>
      <c r="L25" s="16">
        <v>62</v>
      </c>
      <c r="M25" s="16">
        <v>21</v>
      </c>
      <c r="N25" s="230">
        <v>73</v>
      </c>
      <c r="O25" s="230">
        <v>29</v>
      </c>
      <c r="Q25">
        <v>24</v>
      </c>
      <c r="S25">
        <v>31</v>
      </c>
      <c r="T25">
        <v>40</v>
      </c>
      <c r="U25" s="15">
        <v>0</v>
      </c>
      <c r="V25" s="15">
        <v>0.33333333333333331</v>
      </c>
      <c r="W25">
        <v>11</v>
      </c>
      <c r="X25" t="e">
        <f>_xlfn.MAXIFS([1]Odds!$B$2:$W$81,[1]Odds!$A$2:$A$81,Table223[[#This Row],[Player]])</f>
        <v>#VALUE!</v>
      </c>
      <c r="Y25" s="14" t="e">
        <f>Table223[[#This Row],[BDG]]/Table223[[#This Row],[Odds]]</f>
        <v>#VALUE!</v>
      </c>
    </row>
    <row r="26" spans="1:25">
      <c r="A26" s="159" t="s">
        <v>110</v>
      </c>
      <c r="B26">
        <v>4</v>
      </c>
      <c r="C26">
        <v>185</v>
      </c>
      <c r="D26">
        <v>168</v>
      </c>
      <c r="E26">
        <v>14</v>
      </c>
      <c r="F26">
        <v>7</v>
      </c>
      <c r="G26">
        <v>30</v>
      </c>
      <c r="H26">
        <v>221.99999999999997</v>
      </c>
      <c r="I26" s="14">
        <v>274.06249626303406</v>
      </c>
      <c r="J26" s="259">
        <v>223.23902881732798</v>
      </c>
      <c r="K26" s="260">
        <v>278.42518287846718</v>
      </c>
      <c r="L26" s="16">
        <v>69</v>
      </c>
      <c r="M26" s="16">
        <v>24</v>
      </c>
      <c r="N26" s="230">
        <v>68</v>
      </c>
      <c r="O26" s="230">
        <v>25</v>
      </c>
      <c r="Q26">
        <v>25</v>
      </c>
      <c r="S26">
        <v>36</v>
      </c>
      <c r="T26">
        <v>35</v>
      </c>
      <c r="U26" s="15">
        <v>0</v>
      </c>
      <c r="V26" s="15">
        <v>0</v>
      </c>
      <c r="W26">
        <v>-13</v>
      </c>
      <c r="X26" t="e">
        <f>_xlfn.MAXIFS([1]Odds!$B$2:$W$81,[1]Odds!$A$2:$A$81,Table223[[#This Row],[Player]])</f>
        <v>#VALUE!</v>
      </c>
      <c r="Y26" s="14" t="e">
        <f>Table223[[#This Row],[BDG]]/Table223[[#This Row],[Odds]]</f>
        <v>#VALUE!</v>
      </c>
    </row>
    <row r="27" spans="1:25">
      <c r="A27" s="159" t="s">
        <v>135</v>
      </c>
      <c r="B27">
        <v>159</v>
      </c>
      <c r="C27">
        <v>12</v>
      </c>
      <c r="D27">
        <v>9</v>
      </c>
      <c r="E27">
        <v>68</v>
      </c>
      <c r="F27">
        <v>154</v>
      </c>
      <c r="G27">
        <v>48</v>
      </c>
      <c r="H27">
        <v>227.8</v>
      </c>
      <c r="I27" s="14">
        <v>270.37904294589111</v>
      </c>
      <c r="J27" s="259">
        <v>223.62642924689516</v>
      </c>
      <c r="K27" s="260">
        <v>228.70503384286593</v>
      </c>
      <c r="L27" s="16">
        <v>80</v>
      </c>
      <c r="M27" s="16">
        <v>30</v>
      </c>
      <c r="N27" s="230">
        <v>64</v>
      </c>
      <c r="O27" s="230">
        <v>22</v>
      </c>
      <c r="Q27">
        <v>26</v>
      </c>
      <c r="S27">
        <v>15</v>
      </c>
      <c r="T27">
        <v>72</v>
      </c>
      <c r="U27" s="15">
        <v>0</v>
      </c>
      <c r="V27" s="15">
        <v>0.5</v>
      </c>
      <c r="W27">
        <v>-37</v>
      </c>
      <c r="X27" t="e">
        <f>_xlfn.MAXIFS([1]Odds!$B$2:$W$81,[1]Odds!$A$2:$A$81,Table223[[#This Row],[Player]])</f>
        <v>#VALUE!</v>
      </c>
      <c r="Y27" s="14" t="e">
        <f>Table223[[#This Row],[BDG]]/Table223[[#This Row],[Odds]]</f>
        <v>#VALUE!</v>
      </c>
    </row>
    <row r="28" spans="1:25">
      <c r="A28" s="159" t="s">
        <v>126</v>
      </c>
      <c r="B28">
        <v>113</v>
      </c>
      <c r="C28">
        <v>71</v>
      </c>
      <c r="D28">
        <v>74</v>
      </c>
      <c r="E28">
        <v>14</v>
      </c>
      <c r="F28">
        <v>22</v>
      </c>
      <c r="G28">
        <v>10</v>
      </c>
      <c r="H28">
        <v>182.99999999999997</v>
      </c>
      <c r="I28" s="14">
        <v>193.86029205890586</v>
      </c>
      <c r="J28" s="259">
        <v>223.70089537474837</v>
      </c>
      <c r="K28" s="260">
        <v>246.06809188619883</v>
      </c>
      <c r="L28" s="16">
        <v>43</v>
      </c>
      <c r="M28" s="16">
        <v>12</v>
      </c>
      <c r="N28" s="230">
        <v>36</v>
      </c>
      <c r="O28" s="230">
        <v>10</v>
      </c>
      <c r="Q28">
        <v>27</v>
      </c>
      <c r="S28">
        <v>22</v>
      </c>
      <c r="T28">
        <v>60</v>
      </c>
      <c r="U28" s="15">
        <v>0</v>
      </c>
      <c r="V28" s="15">
        <v>0.66666666666666663</v>
      </c>
      <c r="W28">
        <v>37</v>
      </c>
      <c r="X28" t="e">
        <f>_xlfn.MAXIFS([1]Odds!$B$2:$W$81,[1]Odds!$A$2:$A$81,Table223[[#This Row],[Player]])</f>
        <v>#VALUE!</v>
      </c>
      <c r="Y28" s="14" t="e">
        <f>Table223[[#This Row],[BDG]]/Table223[[#This Row],[Odds]]</f>
        <v>#VALUE!</v>
      </c>
    </row>
    <row r="29" spans="1:25">
      <c r="A29" s="159" t="s">
        <v>19</v>
      </c>
      <c r="B29">
        <v>17</v>
      </c>
      <c r="C29">
        <v>170</v>
      </c>
      <c r="D29">
        <v>143</v>
      </c>
      <c r="E29">
        <v>37</v>
      </c>
      <c r="F29">
        <v>19</v>
      </c>
      <c r="G29">
        <v>20</v>
      </c>
      <c r="H29">
        <v>224.7</v>
      </c>
      <c r="I29" s="14">
        <v>262.13961775399071</v>
      </c>
      <c r="J29" s="259">
        <v>224.7</v>
      </c>
      <c r="K29" s="260">
        <v>262.13961775399071</v>
      </c>
      <c r="L29" s="16">
        <v>72.5</v>
      </c>
      <c r="M29" s="16">
        <v>25</v>
      </c>
      <c r="N29" s="230">
        <v>57</v>
      </c>
      <c r="O29" s="230">
        <v>19</v>
      </c>
      <c r="Q29">
        <v>28</v>
      </c>
      <c r="S29">
        <v>27</v>
      </c>
      <c r="T29">
        <v>53</v>
      </c>
      <c r="U29" s="15" t="e">
        <v>#N/A</v>
      </c>
      <c r="V29" s="15" t="e">
        <v>#N/A</v>
      </c>
      <c r="W29" t="e">
        <v>#N/A</v>
      </c>
      <c r="X29" t="e">
        <f>_xlfn.MAXIFS([1]Odds!$B$2:$W$81,[1]Odds!$A$2:$A$81,Table223[[#This Row],[Player]])</f>
        <v>#VALUE!</v>
      </c>
      <c r="Y29" s="14" t="e">
        <f>Table223[[#This Row],[BDG]]/Table223[[#This Row],[Odds]]</f>
        <v>#VALUE!</v>
      </c>
    </row>
    <row r="30" spans="1:25">
      <c r="A30" s="159" t="s">
        <v>95</v>
      </c>
      <c r="B30">
        <v>111</v>
      </c>
      <c r="C30">
        <v>10</v>
      </c>
      <c r="D30">
        <v>82</v>
      </c>
      <c r="E30">
        <v>82</v>
      </c>
      <c r="F30">
        <v>104</v>
      </c>
      <c r="G30">
        <v>51</v>
      </c>
      <c r="H30">
        <v>224.9</v>
      </c>
      <c r="I30" s="14">
        <v>289.07146613000123</v>
      </c>
      <c r="J30" s="259">
        <v>227.78305874392112</v>
      </c>
      <c r="K30" s="260">
        <v>268.74075718451417</v>
      </c>
      <c r="L30" s="16">
        <v>74</v>
      </c>
      <c r="M30" s="16">
        <v>27</v>
      </c>
      <c r="N30" s="230">
        <v>79</v>
      </c>
      <c r="O30" s="230">
        <v>31</v>
      </c>
      <c r="Q30">
        <v>29</v>
      </c>
      <c r="S30">
        <v>29</v>
      </c>
      <c r="T30">
        <v>24</v>
      </c>
      <c r="U30" s="15">
        <v>0</v>
      </c>
      <c r="V30" s="15">
        <v>0</v>
      </c>
      <c r="W30">
        <v>-1</v>
      </c>
      <c r="X30" t="e">
        <f>_xlfn.MAXIFS([1]Odds!$B$2:$W$81,[1]Odds!$A$2:$A$81,Table223[[#This Row],[Player]])</f>
        <v>#VALUE!</v>
      </c>
      <c r="Y30" s="14" t="e">
        <f>Table223[[#This Row],[BDG]]/Table223[[#This Row],[Odds]]</f>
        <v>#VALUE!</v>
      </c>
    </row>
    <row r="31" spans="1:25">
      <c r="A31" s="159" t="s">
        <v>113</v>
      </c>
      <c r="B31">
        <v>162</v>
      </c>
      <c r="C31">
        <v>45</v>
      </c>
      <c r="D31">
        <v>53</v>
      </c>
      <c r="E31">
        <v>118</v>
      </c>
      <c r="F31">
        <v>50</v>
      </c>
      <c r="G31">
        <v>30</v>
      </c>
      <c r="H31">
        <v>245.2</v>
      </c>
      <c r="I31" s="14">
        <v>284.75419066428753</v>
      </c>
      <c r="J31" s="259">
        <v>230.44148500135617</v>
      </c>
      <c r="K31" s="260">
        <v>241.79584337562551</v>
      </c>
      <c r="L31" s="16">
        <v>104</v>
      </c>
      <c r="M31" s="16">
        <v>41</v>
      </c>
      <c r="N31" s="230">
        <v>77</v>
      </c>
      <c r="O31" s="230">
        <v>30</v>
      </c>
      <c r="Q31">
        <v>30</v>
      </c>
      <c r="S31">
        <v>19</v>
      </c>
      <c r="T31">
        <v>67</v>
      </c>
      <c r="U31" s="15">
        <v>0</v>
      </c>
      <c r="V31" s="15">
        <v>0.33333333333333331</v>
      </c>
      <c r="W31">
        <v>-13</v>
      </c>
      <c r="X31" t="e">
        <f>_xlfn.MAXIFS([1]Odds!$B$2:$W$81,[1]Odds!$A$2:$A$81,Table223[[#This Row],[Player]])</f>
        <v>#VALUE!</v>
      </c>
      <c r="Y31" s="14" t="e">
        <f>Table223[[#This Row],[BDG]]/Table223[[#This Row],[Odds]]</f>
        <v>#VALUE!</v>
      </c>
    </row>
    <row r="32" spans="1:25">
      <c r="A32" s="159" t="s">
        <v>56</v>
      </c>
      <c r="B32">
        <v>105</v>
      </c>
      <c r="C32">
        <v>25</v>
      </c>
      <c r="D32">
        <v>115</v>
      </c>
      <c r="E32">
        <v>81</v>
      </c>
      <c r="F32">
        <v>101</v>
      </c>
      <c r="G32">
        <v>58</v>
      </c>
      <c r="H32">
        <v>249.4</v>
      </c>
      <c r="I32" s="14">
        <v>325.63447344715217</v>
      </c>
      <c r="J32" s="259">
        <v>231.68463368244181</v>
      </c>
      <c r="K32" s="260">
        <v>288.03093801171474</v>
      </c>
      <c r="L32" s="16">
        <v>108</v>
      </c>
      <c r="M32" s="16">
        <v>45</v>
      </c>
      <c r="N32" s="230">
        <v>93</v>
      </c>
      <c r="O32" s="230">
        <v>40</v>
      </c>
      <c r="Q32">
        <v>31</v>
      </c>
      <c r="S32">
        <v>39</v>
      </c>
      <c r="T32">
        <v>23</v>
      </c>
      <c r="U32" s="15">
        <v>0</v>
      </c>
      <c r="V32" s="15">
        <v>0</v>
      </c>
      <c r="W32">
        <v>-17</v>
      </c>
      <c r="X32" t="e">
        <f>_xlfn.MAXIFS([1]Odds!$B$2:$W$81,[1]Odds!$A$2:$A$81,Table223[[#This Row],[Player]])</f>
        <v>#VALUE!</v>
      </c>
      <c r="Y32" s="14" t="e">
        <f>Table223[[#This Row],[BDG]]/Table223[[#This Row],[Odds]]</f>
        <v>#VALUE!</v>
      </c>
    </row>
    <row r="33" spans="1:25">
      <c r="A33" s="159" t="s">
        <v>26</v>
      </c>
      <c r="B33">
        <v>17</v>
      </c>
      <c r="C33">
        <v>55</v>
      </c>
      <c r="D33">
        <v>136</v>
      </c>
      <c r="E33">
        <v>176</v>
      </c>
      <c r="F33">
        <v>48</v>
      </c>
      <c r="G33">
        <v>56</v>
      </c>
      <c r="H33">
        <v>229</v>
      </c>
      <c r="I33" s="14">
        <v>329.08980893312253</v>
      </c>
      <c r="J33" s="259">
        <v>235.54008147207344</v>
      </c>
      <c r="K33" s="260">
        <v>332.21742070534884</v>
      </c>
      <c r="L33" s="16">
        <v>81</v>
      </c>
      <c r="M33" s="16">
        <v>31</v>
      </c>
      <c r="N33" s="230">
        <v>96</v>
      </c>
      <c r="O33" s="230">
        <v>42</v>
      </c>
      <c r="Q33">
        <v>32</v>
      </c>
      <c r="S33">
        <v>56</v>
      </c>
      <c r="T33">
        <v>41</v>
      </c>
      <c r="U33" s="15">
        <v>0</v>
      </c>
      <c r="V33" s="15">
        <v>0.66666666666666663</v>
      </c>
      <c r="W33">
        <v>25</v>
      </c>
      <c r="X33" t="e">
        <f>_xlfn.MAXIFS([1]Odds!$B$2:$W$81,[1]Odds!$A$2:$A$81,Table223[[#This Row],[Player]])</f>
        <v>#VALUE!</v>
      </c>
      <c r="Y33" s="14" t="e">
        <f>Table223[[#This Row],[BDG]]/Table223[[#This Row],[Odds]]</f>
        <v>#VALUE!</v>
      </c>
    </row>
    <row r="34" spans="1:25">
      <c r="A34" s="159" t="s">
        <v>46</v>
      </c>
      <c r="B34">
        <v>30</v>
      </c>
      <c r="C34">
        <v>119</v>
      </c>
      <c r="D34">
        <v>117</v>
      </c>
      <c r="E34">
        <v>142</v>
      </c>
      <c r="F34">
        <v>12</v>
      </c>
      <c r="G34">
        <v>41</v>
      </c>
      <c r="H34">
        <v>225.2</v>
      </c>
      <c r="I34" s="14">
        <v>299.68911817417165</v>
      </c>
      <c r="J34" s="259">
        <v>235.82956301181395</v>
      </c>
      <c r="K34" s="260">
        <v>319.18749581582824</v>
      </c>
      <c r="L34" s="16">
        <v>75</v>
      </c>
      <c r="M34" s="16">
        <v>28</v>
      </c>
      <c r="N34" s="230">
        <v>82</v>
      </c>
      <c r="O34" s="230">
        <v>34</v>
      </c>
      <c r="Q34">
        <v>33</v>
      </c>
      <c r="S34">
        <v>49</v>
      </c>
      <c r="T34">
        <v>18</v>
      </c>
      <c r="U34" s="15">
        <v>0</v>
      </c>
      <c r="V34" s="15">
        <v>0</v>
      </c>
      <c r="W34">
        <v>34</v>
      </c>
      <c r="X34" t="e">
        <f>_xlfn.MAXIFS([1]Odds!$B$2:$W$81,[1]Odds!$A$2:$A$81,Table223[[#This Row],[Player]])</f>
        <v>#VALUE!</v>
      </c>
      <c r="Y34" s="14" t="e">
        <f>Table223[[#This Row],[BDG]]/Table223[[#This Row],[Odds]]</f>
        <v>#VALUE!</v>
      </c>
    </row>
    <row r="35" spans="1:25">
      <c r="A35" s="159" t="s">
        <v>76</v>
      </c>
      <c r="B35">
        <v>144</v>
      </c>
      <c r="C35">
        <v>140</v>
      </c>
      <c r="D35">
        <v>59</v>
      </c>
      <c r="E35">
        <v>56</v>
      </c>
      <c r="F35">
        <v>7</v>
      </c>
      <c r="G35">
        <v>9</v>
      </c>
      <c r="H35">
        <v>238.00000000000003</v>
      </c>
      <c r="I35" s="14">
        <v>247.48199329805601</v>
      </c>
      <c r="J35" s="259">
        <v>236.32679626468865</v>
      </c>
      <c r="K35" s="260">
        <v>257.13916246689803</v>
      </c>
      <c r="L35" s="16">
        <v>97</v>
      </c>
      <c r="M35" s="16">
        <v>36</v>
      </c>
      <c r="N35" s="230">
        <v>52</v>
      </c>
      <c r="O35" s="230">
        <v>17</v>
      </c>
      <c r="Q35">
        <v>34</v>
      </c>
      <c r="S35">
        <v>25</v>
      </c>
      <c r="T35">
        <v>75</v>
      </c>
      <c r="U35" s="15">
        <v>0</v>
      </c>
      <c r="V35" s="15">
        <v>1</v>
      </c>
      <c r="W35">
        <v>29</v>
      </c>
      <c r="X35" t="e">
        <f>_xlfn.MAXIFS([1]Odds!$B$2:$W$81,[1]Odds!$A$2:$A$81,Table223[[#This Row],[Player]])</f>
        <v>#VALUE!</v>
      </c>
      <c r="Y35" s="14" t="e">
        <f>Table223[[#This Row],[BDG]]/Table223[[#This Row],[Odds]]</f>
        <v>#VALUE!</v>
      </c>
    </row>
    <row r="36" spans="1:25">
      <c r="A36" s="159" t="s">
        <v>29</v>
      </c>
      <c r="B36">
        <v>22</v>
      </c>
      <c r="C36">
        <v>85</v>
      </c>
      <c r="D36">
        <v>166</v>
      </c>
      <c r="E36">
        <v>175</v>
      </c>
      <c r="F36">
        <v>11</v>
      </c>
      <c r="G36">
        <v>122</v>
      </c>
      <c r="H36">
        <v>249.6</v>
      </c>
      <c r="I36" s="14">
        <v>419.42999361163066</v>
      </c>
      <c r="J36" s="259">
        <v>237.98024359816077</v>
      </c>
      <c r="K36" s="260">
        <v>325.11888863688057</v>
      </c>
      <c r="L36" s="16">
        <v>109</v>
      </c>
      <c r="M36" s="16">
        <v>46</v>
      </c>
      <c r="N36" s="230">
        <v>150</v>
      </c>
      <c r="O36" s="230">
        <v>68</v>
      </c>
      <c r="Q36">
        <v>35</v>
      </c>
      <c r="S36">
        <v>50</v>
      </c>
      <c r="T36">
        <v>43</v>
      </c>
      <c r="U36" s="15">
        <v>0</v>
      </c>
      <c r="V36" s="15">
        <v>0</v>
      </c>
      <c r="W36">
        <v>-87</v>
      </c>
      <c r="X36" t="e">
        <f>_xlfn.MAXIFS([1]Odds!$B$2:$W$81,[1]Odds!$A$2:$A$81,Table223[[#This Row],[Player]])</f>
        <v>#VALUE!</v>
      </c>
      <c r="Y36" s="14" t="e">
        <f>Table223[[#This Row],[BDG]]/Table223[[#This Row],[Odds]]</f>
        <v>#VALUE!</v>
      </c>
    </row>
    <row r="37" spans="1:25">
      <c r="A37" s="159" t="s">
        <v>38</v>
      </c>
      <c r="B37">
        <v>28</v>
      </c>
      <c r="C37">
        <v>154</v>
      </c>
      <c r="D37">
        <v>71</v>
      </c>
      <c r="E37">
        <v>47</v>
      </c>
      <c r="F37">
        <v>105</v>
      </c>
      <c r="G37">
        <v>36</v>
      </c>
      <c r="H37">
        <v>217.6</v>
      </c>
      <c r="I37" s="14">
        <v>262.97278664356969</v>
      </c>
      <c r="J37" s="259">
        <v>238.04569159230726</v>
      </c>
      <c r="K37" s="260">
        <v>296.2620723667909</v>
      </c>
      <c r="L37" s="16">
        <v>67</v>
      </c>
      <c r="M37" s="16">
        <v>22</v>
      </c>
      <c r="N37" s="230">
        <v>59</v>
      </c>
      <c r="O37" s="230">
        <v>20</v>
      </c>
      <c r="Q37">
        <v>36</v>
      </c>
      <c r="S37">
        <v>46</v>
      </c>
      <c r="T37">
        <v>34</v>
      </c>
      <c r="U37" s="15">
        <v>0</v>
      </c>
      <c r="V37" s="15">
        <v>0.33333333333333331</v>
      </c>
      <c r="W37">
        <v>20</v>
      </c>
      <c r="X37" t="e">
        <f>_xlfn.MAXIFS([1]Odds!$B$2:$W$81,[1]Odds!$A$2:$A$81,Table223[[#This Row],[Player]])</f>
        <v>#VALUE!</v>
      </c>
      <c r="Y37" s="14" t="e">
        <f>Table223[[#This Row],[BDG]]/Table223[[#This Row],[Odds]]</f>
        <v>#VALUE!</v>
      </c>
    </row>
    <row r="38" spans="1:25">
      <c r="A38" s="159" t="s">
        <v>72</v>
      </c>
      <c r="B38">
        <v>70</v>
      </c>
      <c r="C38">
        <v>140</v>
      </c>
      <c r="D38">
        <v>121</v>
      </c>
      <c r="E38">
        <v>49</v>
      </c>
      <c r="F38">
        <v>72</v>
      </c>
      <c r="G38">
        <v>74</v>
      </c>
      <c r="H38">
        <v>259.29999999999995</v>
      </c>
      <c r="I38" s="14">
        <v>347.81378057479697</v>
      </c>
      <c r="J38" s="259">
        <v>239.73638709482094</v>
      </c>
      <c r="K38" s="260">
        <v>283.3279341145161</v>
      </c>
      <c r="L38" s="16">
        <v>123</v>
      </c>
      <c r="M38" s="16">
        <v>53</v>
      </c>
      <c r="N38" s="230">
        <v>111</v>
      </c>
      <c r="O38" s="230">
        <v>50</v>
      </c>
      <c r="Q38">
        <v>37</v>
      </c>
      <c r="S38">
        <v>37</v>
      </c>
      <c r="T38">
        <v>68</v>
      </c>
      <c r="U38" s="15">
        <v>0</v>
      </c>
      <c r="V38" s="15">
        <v>0</v>
      </c>
      <c r="W38">
        <v>-53</v>
      </c>
      <c r="X38" t="e">
        <f>_xlfn.MAXIFS([1]Odds!$B$2:$W$81,[1]Odds!$A$2:$A$81,Table223[[#This Row],[Player]])</f>
        <v>#VALUE!</v>
      </c>
      <c r="Y38" s="14" t="e">
        <f>Table223[[#This Row],[BDG]]/Table223[[#This Row],[Odds]]</f>
        <v>#VALUE!</v>
      </c>
    </row>
    <row r="39" spans="1:25">
      <c r="A39" s="159" t="s">
        <v>124</v>
      </c>
      <c r="B39">
        <v>174</v>
      </c>
      <c r="C39">
        <v>52</v>
      </c>
      <c r="D39">
        <v>91</v>
      </c>
      <c r="E39">
        <v>77</v>
      </c>
      <c r="F39">
        <v>173</v>
      </c>
      <c r="G39">
        <v>145</v>
      </c>
      <c r="H39">
        <v>328.8</v>
      </c>
      <c r="I39" s="14">
        <v>479.5071155033433</v>
      </c>
      <c r="J39" s="259">
        <v>241.93755870100512</v>
      </c>
      <c r="K39" s="260">
        <v>293.17999497833699</v>
      </c>
      <c r="L39" s="16">
        <v>190</v>
      </c>
      <c r="M39" s="16">
        <v>75</v>
      </c>
      <c r="N39" s="230">
        <v>178</v>
      </c>
      <c r="O39" s="230">
        <v>72</v>
      </c>
      <c r="Q39">
        <v>38</v>
      </c>
      <c r="S39">
        <v>44</v>
      </c>
      <c r="T39">
        <v>56</v>
      </c>
      <c r="U39" s="15">
        <v>0</v>
      </c>
      <c r="V39" s="15">
        <v>0</v>
      </c>
      <c r="W39">
        <v>-126</v>
      </c>
      <c r="X39" t="e">
        <f>_xlfn.MAXIFS([1]Odds!$B$2:$W$81,[1]Odds!$A$2:$A$81,Table223[[#This Row],[Player]])</f>
        <v>#VALUE!</v>
      </c>
      <c r="Y39" s="14" t="e">
        <f>Table223[[#This Row],[BDG]]/Table223[[#This Row],[Odds]]</f>
        <v>#VALUE!</v>
      </c>
    </row>
    <row r="40" spans="1:25">
      <c r="A40" s="159" t="s">
        <v>130</v>
      </c>
      <c r="B40">
        <v>104</v>
      </c>
      <c r="C40">
        <v>42</v>
      </c>
      <c r="D40">
        <v>50</v>
      </c>
      <c r="E40">
        <v>167</v>
      </c>
      <c r="F40">
        <v>106</v>
      </c>
      <c r="G40">
        <v>90</v>
      </c>
      <c r="H40">
        <v>248.60000000000002</v>
      </c>
      <c r="I40" s="14">
        <v>359.65273235730604</v>
      </c>
      <c r="J40" s="259">
        <v>242.25040633779278</v>
      </c>
      <c r="K40" s="260">
        <v>291.52299240060859</v>
      </c>
      <c r="L40" s="16">
        <v>107</v>
      </c>
      <c r="M40" s="16">
        <v>44</v>
      </c>
      <c r="N40" s="230">
        <v>117</v>
      </c>
      <c r="O40" s="230">
        <v>53</v>
      </c>
      <c r="Q40">
        <v>39</v>
      </c>
      <c r="S40">
        <v>41</v>
      </c>
      <c r="T40">
        <v>16</v>
      </c>
      <c r="U40" s="15">
        <v>0</v>
      </c>
      <c r="V40" s="15">
        <v>0</v>
      </c>
      <c r="W40">
        <v>-56</v>
      </c>
      <c r="X40" t="e">
        <f>_xlfn.MAXIFS([1]Odds!$B$2:$W$81,[1]Odds!$A$2:$A$81,Table223[[#This Row],[Player]])</f>
        <v>#VALUE!</v>
      </c>
      <c r="Y40" s="14" t="e">
        <f>Table223[[#This Row],[BDG]]/Table223[[#This Row],[Odds]]</f>
        <v>#VALUE!</v>
      </c>
    </row>
    <row r="41" spans="1:25">
      <c r="A41" s="159" t="s">
        <v>129</v>
      </c>
      <c r="B41">
        <v>49</v>
      </c>
      <c r="C41">
        <v>130</v>
      </c>
      <c r="D41">
        <v>87</v>
      </c>
      <c r="E41">
        <v>13</v>
      </c>
      <c r="F41">
        <v>171</v>
      </c>
      <c r="G41">
        <v>115</v>
      </c>
      <c r="H41">
        <v>250.89999999999998</v>
      </c>
      <c r="I41" s="14">
        <v>370.17471517843046</v>
      </c>
      <c r="J41" s="259">
        <v>242.32804855602024</v>
      </c>
      <c r="K41" s="260">
        <v>276.3838292081382</v>
      </c>
      <c r="L41" s="16">
        <v>110</v>
      </c>
      <c r="M41" s="16">
        <v>47</v>
      </c>
      <c r="N41" s="230">
        <v>123</v>
      </c>
      <c r="O41" s="230">
        <v>58</v>
      </c>
      <c r="Q41">
        <v>40</v>
      </c>
      <c r="S41">
        <v>35</v>
      </c>
      <c r="T41">
        <v>54</v>
      </c>
      <c r="U41" s="15">
        <v>0</v>
      </c>
      <c r="V41" s="15">
        <v>0</v>
      </c>
      <c r="W41">
        <v>-92</v>
      </c>
      <c r="X41" t="e">
        <f>_xlfn.MAXIFS([1]Odds!$B$2:$W$81,[1]Odds!$A$2:$A$81,Table223[[#This Row],[Player]])</f>
        <v>#VALUE!</v>
      </c>
      <c r="Y41" s="14" t="e">
        <f>Table223[[#This Row],[BDG]]/Table223[[#This Row],[Odds]]</f>
        <v>#VALUE!</v>
      </c>
    </row>
    <row r="42" spans="1:25">
      <c r="A42" s="159" t="s">
        <v>183</v>
      </c>
      <c r="B42">
        <v>157</v>
      </c>
      <c r="C42">
        <v>6</v>
      </c>
      <c r="D42">
        <v>123</v>
      </c>
      <c r="E42">
        <v>112</v>
      </c>
      <c r="F42">
        <v>23</v>
      </c>
      <c r="G42">
        <v>53</v>
      </c>
      <c r="H42">
        <v>255.3</v>
      </c>
      <c r="I42" s="14">
        <v>329.70463755902159</v>
      </c>
      <c r="J42" s="259">
        <v>242.60081267558556</v>
      </c>
      <c r="K42" s="260">
        <v>271.97081253691073</v>
      </c>
      <c r="L42" s="16">
        <v>120</v>
      </c>
      <c r="M42" s="16">
        <v>51</v>
      </c>
      <c r="N42" s="230">
        <v>98</v>
      </c>
      <c r="O42" s="230">
        <v>43</v>
      </c>
      <c r="Q42">
        <v>41</v>
      </c>
      <c r="S42">
        <v>33</v>
      </c>
      <c r="T42">
        <v>44</v>
      </c>
      <c r="U42" s="15">
        <v>0</v>
      </c>
      <c r="V42" s="15">
        <v>0.33333333333333331</v>
      </c>
      <c r="W42">
        <v>-10</v>
      </c>
      <c r="X42" t="e">
        <f>_xlfn.MAXIFS([1]Odds!$B$2:$W$81,[1]Odds!$A$2:$A$81,Table223[[#This Row],[Player]])</f>
        <v>#VALUE!</v>
      </c>
      <c r="Y42" s="14" t="e">
        <f>Table223[[#This Row],[BDG]]/Table223[[#This Row],[Odds]]</f>
        <v>#VALUE!</v>
      </c>
    </row>
    <row r="43" spans="1:25">
      <c r="A43" s="159" t="s">
        <v>93</v>
      </c>
      <c r="B43">
        <v>83</v>
      </c>
      <c r="C43">
        <v>25</v>
      </c>
      <c r="D43">
        <v>19</v>
      </c>
      <c r="E43">
        <v>134</v>
      </c>
      <c r="F43">
        <v>167</v>
      </c>
      <c r="G43">
        <v>89</v>
      </c>
      <c r="H43">
        <v>221</v>
      </c>
      <c r="I43" s="14">
        <v>322.5764931009146</v>
      </c>
      <c r="J43" s="259">
        <v>242.84603441078326</v>
      </c>
      <c r="K43" s="260">
        <v>287.9201978891374</v>
      </c>
      <c r="L43" s="16">
        <v>68</v>
      </c>
      <c r="M43" s="16">
        <v>23</v>
      </c>
      <c r="N43" s="230">
        <v>91</v>
      </c>
      <c r="O43" s="230">
        <v>38</v>
      </c>
      <c r="Q43">
        <v>42</v>
      </c>
      <c r="S43">
        <v>38</v>
      </c>
      <c r="T43">
        <v>37</v>
      </c>
      <c r="U43" s="15">
        <v>0</v>
      </c>
      <c r="V43" s="15">
        <v>0</v>
      </c>
      <c r="W43">
        <v>-67</v>
      </c>
      <c r="X43" t="e">
        <f>_xlfn.MAXIFS([1]Odds!$B$2:$W$81,[1]Odds!$A$2:$A$81,Table223[[#This Row],[Player]])</f>
        <v>#VALUE!</v>
      </c>
      <c r="Y43" s="14" t="e">
        <f>Table223[[#This Row],[BDG]]/Table223[[#This Row],[Odds]]</f>
        <v>#VALUE!</v>
      </c>
    </row>
    <row r="44" spans="1:25">
      <c r="A44" s="159" t="s">
        <v>27</v>
      </c>
      <c r="B44">
        <v>74</v>
      </c>
      <c r="C44">
        <v>140</v>
      </c>
      <c r="D44">
        <v>103</v>
      </c>
      <c r="E44">
        <v>154</v>
      </c>
      <c r="F44">
        <v>64</v>
      </c>
      <c r="G44">
        <v>108</v>
      </c>
      <c r="H44">
        <v>287.5</v>
      </c>
      <c r="I44" s="14">
        <v>423.23508758428642</v>
      </c>
      <c r="J44" s="259">
        <v>244.13399139351981</v>
      </c>
      <c r="K44" s="260">
        <v>327.55242703402996</v>
      </c>
      <c r="L44" s="16">
        <v>148</v>
      </c>
      <c r="M44" s="16">
        <v>63</v>
      </c>
      <c r="N44" s="230">
        <v>154</v>
      </c>
      <c r="O44" s="230">
        <v>70</v>
      </c>
      <c r="Q44">
        <v>43</v>
      </c>
      <c r="S44">
        <v>54</v>
      </c>
      <c r="T44">
        <v>65</v>
      </c>
      <c r="U44" s="15">
        <v>0</v>
      </c>
      <c r="V44" s="15">
        <v>0.5</v>
      </c>
      <c r="W44">
        <v>-77</v>
      </c>
      <c r="X44" t="e">
        <f>_xlfn.MAXIFS([1]Odds!$B$2:$W$81,[1]Odds!$A$2:$A$81,Table223[[#This Row],[Player]])</f>
        <v>#VALUE!</v>
      </c>
      <c r="Y44" s="14" t="e">
        <f>Table223[[#This Row],[BDG]]/Table223[[#This Row],[Odds]]</f>
        <v>#VALUE!</v>
      </c>
    </row>
    <row r="45" spans="1:25">
      <c r="A45" s="159" t="s">
        <v>166</v>
      </c>
      <c r="B45">
        <v>153</v>
      </c>
      <c r="C45">
        <v>50</v>
      </c>
      <c r="D45">
        <v>127</v>
      </c>
      <c r="E45">
        <v>8</v>
      </c>
      <c r="F45">
        <v>77</v>
      </c>
      <c r="G45">
        <v>70</v>
      </c>
      <c r="H45">
        <v>262.7</v>
      </c>
      <c r="I45" s="14">
        <v>336.83915993112919</v>
      </c>
      <c r="J45" s="259">
        <v>245.2231724713734</v>
      </c>
      <c r="K45" s="260">
        <v>258.89446606285787</v>
      </c>
      <c r="L45" s="16">
        <v>129</v>
      </c>
      <c r="M45" s="16">
        <v>54</v>
      </c>
      <c r="N45" s="230">
        <v>103</v>
      </c>
      <c r="O45" s="230">
        <v>45</v>
      </c>
      <c r="Q45">
        <v>44</v>
      </c>
      <c r="S45">
        <v>26</v>
      </c>
      <c r="T45">
        <v>58</v>
      </c>
      <c r="U45" s="15">
        <v>0</v>
      </c>
      <c r="V45" s="15">
        <v>0.5</v>
      </c>
      <c r="W45">
        <v>-45</v>
      </c>
      <c r="X45" t="e">
        <f>_xlfn.MAXIFS([1]Odds!$B$2:$W$81,[1]Odds!$A$2:$A$81,Table223[[#This Row],[Player]])</f>
        <v>#VALUE!</v>
      </c>
      <c r="Y45" s="14" t="e">
        <f>Table223[[#This Row],[BDG]]/Table223[[#This Row],[Odds]]</f>
        <v>#VALUE!</v>
      </c>
    </row>
    <row r="46" spans="1:25">
      <c r="A46" s="159" t="s">
        <v>54</v>
      </c>
      <c r="B46">
        <v>81</v>
      </c>
      <c r="C46">
        <v>84</v>
      </c>
      <c r="D46">
        <v>18</v>
      </c>
      <c r="E46">
        <v>103</v>
      </c>
      <c r="F46">
        <v>118</v>
      </c>
      <c r="G46">
        <v>53</v>
      </c>
      <c r="H46">
        <v>211.5</v>
      </c>
      <c r="I46" s="14">
        <v>271.41902474874337</v>
      </c>
      <c r="J46" s="259">
        <v>245.99717075613233</v>
      </c>
      <c r="K46" s="260">
        <v>327.18737414286397</v>
      </c>
      <c r="L46" s="16">
        <v>60</v>
      </c>
      <c r="M46" s="16">
        <v>20</v>
      </c>
      <c r="N46" s="230">
        <v>65</v>
      </c>
      <c r="O46" s="230">
        <v>23</v>
      </c>
      <c r="Q46">
        <v>45</v>
      </c>
      <c r="S46">
        <v>53</v>
      </c>
      <c r="T46">
        <v>29</v>
      </c>
      <c r="U46" s="15">
        <v>0</v>
      </c>
      <c r="V46" s="15">
        <v>0</v>
      </c>
      <c r="W46">
        <v>43</v>
      </c>
      <c r="X46" t="e">
        <f>_xlfn.MAXIFS([1]Odds!$B$2:$W$81,[1]Odds!$A$2:$A$81,Table223[[#This Row],[Player]])</f>
        <v>#VALUE!</v>
      </c>
      <c r="Y46" s="14" t="e">
        <f>Table223[[#This Row],[BDG]]/Table223[[#This Row],[Odds]]</f>
        <v>#VALUE!</v>
      </c>
    </row>
    <row r="47" spans="1:25">
      <c r="A47" s="159" t="s">
        <v>36</v>
      </c>
      <c r="B47">
        <v>69</v>
      </c>
      <c r="C47">
        <v>102</v>
      </c>
      <c r="D47">
        <v>44</v>
      </c>
      <c r="E47">
        <v>144</v>
      </c>
      <c r="F47">
        <v>114</v>
      </c>
      <c r="G47">
        <v>84</v>
      </c>
      <c r="H47">
        <v>244.7</v>
      </c>
      <c r="I47" s="14">
        <v>346.56409828187714</v>
      </c>
      <c r="J47" s="259">
        <v>247.04934965501667</v>
      </c>
      <c r="K47" s="260">
        <v>356.93741976527951</v>
      </c>
      <c r="L47" s="16">
        <v>102</v>
      </c>
      <c r="M47" s="16">
        <v>39</v>
      </c>
      <c r="N47" s="230">
        <v>110</v>
      </c>
      <c r="O47" s="230">
        <v>49</v>
      </c>
      <c r="Q47">
        <v>46</v>
      </c>
      <c r="S47">
        <v>65</v>
      </c>
      <c r="T47">
        <v>7</v>
      </c>
      <c r="U47" s="15">
        <v>0</v>
      </c>
      <c r="V47" s="15">
        <v>0</v>
      </c>
      <c r="W47">
        <v>11</v>
      </c>
      <c r="X47" t="e">
        <f>_xlfn.MAXIFS([1]Odds!$B$2:$W$81,[1]Odds!$A$2:$A$81,Table223[[#This Row],[Player]])</f>
        <v>#VALUE!</v>
      </c>
      <c r="Y47" s="14" t="e">
        <f>Table223[[#This Row],[BDG]]/Table223[[#This Row],[Odds]]</f>
        <v>#VALUE!</v>
      </c>
    </row>
    <row r="48" spans="1:25">
      <c r="A48" s="159" t="s">
        <v>140</v>
      </c>
      <c r="B48">
        <v>148</v>
      </c>
      <c r="C48">
        <v>135</v>
      </c>
      <c r="D48">
        <v>24</v>
      </c>
      <c r="E48">
        <v>127</v>
      </c>
      <c r="F48">
        <v>14</v>
      </c>
      <c r="G48">
        <v>54</v>
      </c>
      <c r="H48">
        <v>245.7</v>
      </c>
      <c r="I48" s="14">
        <v>305.44151383724875</v>
      </c>
      <c r="J48" s="259">
        <v>248.11284559163875</v>
      </c>
      <c r="K48" s="260">
        <v>266.47490554489309</v>
      </c>
      <c r="L48" s="16">
        <v>105</v>
      </c>
      <c r="M48" s="16">
        <v>42</v>
      </c>
      <c r="N48" s="230">
        <v>84</v>
      </c>
      <c r="O48" s="230">
        <v>35</v>
      </c>
      <c r="Q48">
        <v>47</v>
      </c>
      <c r="S48">
        <v>28</v>
      </c>
      <c r="T48">
        <v>49</v>
      </c>
      <c r="U48" s="15">
        <v>0</v>
      </c>
      <c r="V48" s="15">
        <v>0</v>
      </c>
      <c r="W48">
        <v>-64</v>
      </c>
      <c r="X48" t="e">
        <f>_xlfn.MAXIFS([1]Odds!$B$2:$W$81,[1]Odds!$A$2:$A$81,Table223[[#This Row],[Player]])</f>
        <v>#VALUE!</v>
      </c>
      <c r="Y48" s="14" t="e">
        <f>Table223[[#This Row],[BDG]]/Table223[[#This Row],[Odds]]</f>
        <v>#VALUE!</v>
      </c>
    </row>
    <row r="49" spans="1:25">
      <c r="A49" s="159" t="s">
        <v>162</v>
      </c>
      <c r="B49">
        <v>135</v>
      </c>
      <c r="C49">
        <v>67</v>
      </c>
      <c r="D49">
        <v>8</v>
      </c>
      <c r="E49">
        <v>149</v>
      </c>
      <c r="F49">
        <v>63</v>
      </c>
      <c r="G49">
        <v>40</v>
      </c>
      <c r="H49">
        <v>224.7</v>
      </c>
      <c r="I49" s="14">
        <v>273.72018116138281</v>
      </c>
      <c r="J49" s="259">
        <v>248.1934965501668</v>
      </c>
      <c r="K49" s="260">
        <v>270.20044186817665</v>
      </c>
      <c r="L49" s="16">
        <v>72.5</v>
      </c>
      <c r="M49" s="16">
        <v>26</v>
      </c>
      <c r="N49" s="230">
        <v>67</v>
      </c>
      <c r="O49" s="230">
        <v>24</v>
      </c>
      <c r="Q49">
        <v>48</v>
      </c>
      <c r="S49">
        <v>32</v>
      </c>
      <c r="T49">
        <v>19</v>
      </c>
      <c r="U49" s="15">
        <v>0</v>
      </c>
      <c r="V49" s="15">
        <v>0</v>
      </c>
      <c r="W49">
        <v>9</v>
      </c>
      <c r="X49" t="e">
        <f>_xlfn.MAXIFS([1]Odds!$B$2:$W$81,[1]Odds!$A$2:$A$81,Table223[[#This Row],[Player]])</f>
        <v>#VALUE!</v>
      </c>
      <c r="Y49" s="14" t="e">
        <f>Table223[[#This Row],[BDG]]/Table223[[#This Row],[Odds]]</f>
        <v>#VALUE!</v>
      </c>
    </row>
    <row r="50" spans="1:25">
      <c r="A50" s="159" t="s">
        <v>14</v>
      </c>
      <c r="B50">
        <v>60</v>
      </c>
      <c r="C50">
        <v>156</v>
      </c>
      <c r="D50">
        <v>126</v>
      </c>
      <c r="E50">
        <v>15</v>
      </c>
      <c r="F50">
        <v>115</v>
      </c>
      <c r="G50">
        <v>34</v>
      </c>
      <c r="H50">
        <v>271.7</v>
      </c>
      <c r="I50" s="14">
        <v>315.45043543728076</v>
      </c>
      <c r="J50" s="259">
        <v>251.25430840769272</v>
      </c>
      <c r="K50" s="260">
        <v>326.4897702637752</v>
      </c>
      <c r="L50" s="16">
        <v>136</v>
      </c>
      <c r="M50" s="16">
        <v>58</v>
      </c>
      <c r="N50" s="230">
        <v>87</v>
      </c>
      <c r="O50" s="230">
        <v>37</v>
      </c>
      <c r="Q50">
        <v>49</v>
      </c>
      <c r="S50">
        <v>51</v>
      </c>
      <c r="T50">
        <v>31</v>
      </c>
      <c r="U50" s="15">
        <v>0</v>
      </c>
      <c r="V50" s="15">
        <v>0.33333333333333331</v>
      </c>
      <c r="W50">
        <v>23</v>
      </c>
      <c r="X50" t="e">
        <f>_xlfn.MAXIFS([1]Odds!$B$2:$W$81,[1]Odds!$A$2:$A$81,Table223[[#This Row],[Player]])</f>
        <v>#VALUE!</v>
      </c>
      <c r="Y50" s="14" t="e">
        <f>Table223[[#This Row],[BDG]]/Table223[[#This Row],[Odds]]</f>
        <v>#VALUE!</v>
      </c>
    </row>
    <row r="51" spans="1:25">
      <c r="A51" s="159" t="s">
        <v>141</v>
      </c>
      <c r="B51">
        <v>147</v>
      </c>
      <c r="C51">
        <v>89</v>
      </c>
      <c r="D51">
        <v>133</v>
      </c>
      <c r="E51">
        <v>72</v>
      </c>
      <c r="F51">
        <v>38</v>
      </c>
      <c r="G51">
        <v>66</v>
      </c>
      <c r="H51">
        <v>288.29999999999995</v>
      </c>
      <c r="I51" s="14">
        <v>369.29857482012471</v>
      </c>
      <c r="J51" s="259">
        <v>253.42871804971597</v>
      </c>
      <c r="K51" s="260">
        <v>292.0630093283072</v>
      </c>
      <c r="L51" s="16">
        <v>149</v>
      </c>
      <c r="M51" s="16">
        <v>64</v>
      </c>
      <c r="N51" s="230">
        <v>122</v>
      </c>
      <c r="O51" s="230">
        <v>57</v>
      </c>
      <c r="Q51">
        <v>50</v>
      </c>
      <c r="S51">
        <v>42</v>
      </c>
      <c r="T51">
        <v>46</v>
      </c>
      <c r="U51" s="15">
        <v>0</v>
      </c>
      <c r="V51" s="15">
        <v>0.33333333333333331</v>
      </c>
      <c r="W51">
        <v>-27</v>
      </c>
      <c r="X51" t="e">
        <f>_xlfn.MAXIFS([1]Odds!$B$2:$W$81,[1]Odds!$A$2:$A$81,Table223[[#This Row],[Player]])</f>
        <v>#VALUE!</v>
      </c>
      <c r="Y51" s="14" t="e">
        <f>Table223[[#This Row],[BDG]]/Table223[[#This Row],[Odds]]</f>
        <v>#VALUE!</v>
      </c>
    </row>
    <row r="52" spans="1:25">
      <c r="A52" s="159" t="s">
        <v>63</v>
      </c>
      <c r="B52">
        <v>114</v>
      </c>
      <c r="C52">
        <v>131</v>
      </c>
      <c r="D52">
        <v>13</v>
      </c>
      <c r="E52">
        <v>111</v>
      </c>
      <c r="F52">
        <v>21</v>
      </c>
      <c r="G52">
        <v>13</v>
      </c>
      <c r="H52">
        <v>209.3</v>
      </c>
      <c r="I52" s="14">
        <v>226.95726036117333</v>
      </c>
      <c r="J52" s="259">
        <v>253.74715563545061</v>
      </c>
      <c r="K52" s="260">
        <v>300.95707950853966</v>
      </c>
      <c r="L52" s="16">
        <v>58</v>
      </c>
      <c r="M52" s="16">
        <v>19</v>
      </c>
      <c r="N52" s="230">
        <v>47</v>
      </c>
      <c r="O52" s="230">
        <v>15</v>
      </c>
      <c r="Q52">
        <v>51</v>
      </c>
      <c r="S52">
        <v>47</v>
      </c>
      <c r="T52">
        <v>36</v>
      </c>
      <c r="U52" s="15">
        <v>0</v>
      </c>
      <c r="V52" s="15">
        <v>0</v>
      </c>
      <c r="W52">
        <v>46</v>
      </c>
      <c r="X52" t="e">
        <f>_xlfn.MAXIFS([1]Odds!$B$2:$W$81,[1]Odds!$A$2:$A$81,Table223[[#This Row],[Player]])</f>
        <v>#VALUE!</v>
      </c>
      <c r="Y52" s="14" t="e">
        <f>Table223[[#This Row],[BDG]]/Table223[[#This Row],[Odds]]</f>
        <v>#VALUE!</v>
      </c>
    </row>
    <row r="53" spans="1:25">
      <c r="A53" s="159" t="s">
        <v>97</v>
      </c>
      <c r="B53">
        <v>96</v>
      </c>
      <c r="C53">
        <v>140</v>
      </c>
      <c r="D53">
        <v>109</v>
      </c>
      <c r="E53">
        <v>114</v>
      </c>
      <c r="F53">
        <v>19</v>
      </c>
      <c r="G53">
        <v>47</v>
      </c>
      <c r="H53">
        <v>268.60000000000002</v>
      </c>
      <c r="I53" s="14">
        <v>336.84400392641601</v>
      </c>
      <c r="J53" s="259">
        <v>254.18642238678962</v>
      </c>
      <c r="K53" s="260">
        <v>294.64708725785079</v>
      </c>
      <c r="L53" s="16">
        <v>134</v>
      </c>
      <c r="M53" s="16">
        <v>57</v>
      </c>
      <c r="N53" s="230">
        <v>104</v>
      </c>
      <c r="O53" s="230">
        <v>46</v>
      </c>
      <c r="Q53">
        <v>52</v>
      </c>
      <c r="S53">
        <v>45</v>
      </c>
      <c r="T53">
        <v>12</v>
      </c>
      <c r="U53" s="15">
        <v>0</v>
      </c>
      <c r="V53" s="15">
        <v>0.33333333333333331</v>
      </c>
      <c r="W53">
        <v>-5</v>
      </c>
      <c r="X53" t="e">
        <f>_xlfn.MAXIFS([1]Odds!$B$2:$W$81,[1]Odds!$A$2:$A$81,Table223[[#This Row],[Player]])</f>
        <v>#VALUE!</v>
      </c>
      <c r="Y53" s="14" t="e">
        <f>Table223[[#This Row],[BDG]]/Table223[[#This Row],[Odds]]</f>
        <v>#VALUE!</v>
      </c>
    </row>
    <row r="54" spans="1:25">
      <c r="A54" s="159" t="s">
        <v>128</v>
      </c>
      <c r="B54">
        <v>155</v>
      </c>
      <c r="C54">
        <v>23</v>
      </c>
      <c r="D54">
        <v>67</v>
      </c>
      <c r="E54">
        <v>70</v>
      </c>
      <c r="F54">
        <v>127</v>
      </c>
      <c r="G54">
        <v>62</v>
      </c>
      <c r="H54">
        <v>258.39999999999998</v>
      </c>
      <c r="I54" s="14">
        <v>324.67700700428435</v>
      </c>
      <c r="J54" s="259">
        <v>254.59024380267564</v>
      </c>
      <c r="K54" s="260">
        <v>290.04990795190452</v>
      </c>
      <c r="L54" s="16">
        <v>122</v>
      </c>
      <c r="M54" s="16">
        <v>52</v>
      </c>
      <c r="N54" s="230">
        <v>92</v>
      </c>
      <c r="O54" s="230">
        <v>39</v>
      </c>
      <c r="Q54">
        <v>53</v>
      </c>
      <c r="S54">
        <v>40</v>
      </c>
      <c r="T54">
        <v>42</v>
      </c>
      <c r="U54" s="15">
        <v>0</v>
      </c>
      <c r="V54" s="15">
        <v>0</v>
      </c>
      <c r="W54">
        <v>-17</v>
      </c>
      <c r="X54" t="e">
        <f>_xlfn.MAXIFS([1]Odds!$B$2:$W$81,[1]Odds!$A$2:$A$81,Table223[[#This Row],[Player]])</f>
        <v>#VALUE!</v>
      </c>
      <c r="Y54" s="14" t="e">
        <f>Table223[[#This Row],[BDG]]/Table223[[#This Row],[Odds]]</f>
        <v>#VALUE!</v>
      </c>
    </row>
    <row r="55" spans="1:25">
      <c r="A55" s="159" t="s">
        <v>49</v>
      </c>
      <c r="B55">
        <v>52</v>
      </c>
      <c r="C55">
        <v>85</v>
      </c>
      <c r="D55">
        <v>151</v>
      </c>
      <c r="E55">
        <v>100</v>
      </c>
      <c r="F55">
        <v>84</v>
      </c>
      <c r="G55">
        <v>86</v>
      </c>
      <c r="H55">
        <v>266.60000000000002</v>
      </c>
      <c r="I55" s="14">
        <v>382.61748517535887</v>
      </c>
      <c r="J55" s="259">
        <v>254.99225634292713</v>
      </c>
      <c r="K55" s="260">
        <v>352.84377821205601</v>
      </c>
      <c r="L55" s="16">
        <v>132</v>
      </c>
      <c r="M55" s="16">
        <v>56</v>
      </c>
      <c r="N55" s="230">
        <v>132</v>
      </c>
      <c r="O55" s="230">
        <v>62</v>
      </c>
      <c r="Q55">
        <v>54</v>
      </c>
      <c r="S55">
        <v>63</v>
      </c>
      <c r="T55">
        <v>13</v>
      </c>
      <c r="U55" s="15">
        <v>0</v>
      </c>
      <c r="V55" s="15">
        <v>0</v>
      </c>
      <c r="W55">
        <v>-14</v>
      </c>
      <c r="X55" t="e">
        <f>_xlfn.MAXIFS([1]Odds!$B$2:$W$81,[1]Odds!$A$2:$A$81,Table223[[#This Row],[Player]])</f>
        <v>#VALUE!</v>
      </c>
      <c r="Y55" s="14" t="e">
        <f>Table223[[#This Row],[BDG]]/Table223[[#This Row],[Odds]]</f>
        <v>#VALUE!</v>
      </c>
    </row>
    <row r="56" spans="1:25">
      <c r="A56" s="159" t="s">
        <v>90</v>
      </c>
      <c r="B56">
        <v>150</v>
      </c>
      <c r="C56">
        <v>33</v>
      </c>
      <c r="D56">
        <v>75</v>
      </c>
      <c r="E56">
        <v>152</v>
      </c>
      <c r="F56">
        <v>20</v>
      </c>
      <c r="G56">
        <v>44</v>
      </c>
      <c r="H56">
        <v>244.8</v>
      </c>
      <c r="I56" s="14">
        <v>308.91384075828284</v>
      </c>
      <c r="J56" s="259">
        <v>257.94365888076896</v>
      </c>
      <c r="K56" s="260">
        <v>334.1899899842843</v>
      </c>
      <c r="L56" s="16">
        <v>103</v>
      </c>
      <c r="M56" s="16">
        <v>40</v>
      </c>
      <c r="N56" s="230">
        <v>86</v>
      </c>
      <c r="O56" s="230">
        <v>36</v>
      </c>
      <c r="Q56">
        <v>55</v>
      </c>
      <c r="S56">
        <v>57</v>
      </c>
      <c r="T56">
        <v>26</v>
      </c>
      <c r="U56" s="15">
        <v>0</v>
      </c>
      <c r="V56" s="15">
        <v>0.33333333333333331</v>
      </c>
      <c r="W56">
        <v>34</v>
      </c>
      <c r="X56" t="e">
        <f>_xlfn.MAXIFS([1]Odds!$B$2:$W$81,[1]Odds!$A$2:$A$81,Table223[[#This Row],[Player]])</f>
        <v>#VALUE!</v>
      </c>
      <c r="Y56" s="14" t="e">
        <f>Table223[[#This Row],[BDG]]/Table223[[#This Row],[Odds]]</f>
        <v>#VALUE!</v>
      </c>
    </row>
    <row r="57" spans="1:25">
      <c r="A57" s="159" t="s">
        <v>79</v>
      </c>
      <c r="B57">
        <v>38</v>
      </c>
      <c r="C57">
        <v>92</v>
      </c>
      <c r="D57">
        <v>34</v>
      </c>
      <c r="E57">
        <v>125</v>
      </c>
      <c r="F57">
        <v>186</v>
      </c>
      <c r="G57">
        <v>126</v>
      </c>
      <c r="H57">
        <v>239.39999999999998</v>
      </c>
      <c r="I57" s="14">
        <v>380.6864272790242</v>
      </c>
      <c r="J57" s="259">
        <v>258.82975660635412</v>
      </c>
      <c r="K57" s="260">
        <v>348.34595287953118</v>
      </c>
      <c r="L57" s="16">
        <v>99</v>
      </c>
      <c r="M57" s="16">
        <v>38</v>
      </c>
      <c r="N57" s="230">
        <v>130</v>
      </c>
      <c r="O57" s="230">
        <v>61</v>
      </c>
      <c r="Q57">
        <v>56</v>
      </c>
      <c r="S57">
        <v>61</v>
      </c>
      <c r="T57">
        <v>8</v>
      </c>
      <c r="U57" s="15">
        <v>0</v>
      </c>
      <c r="V57" s="15">
        <v>0</v>
      </c>
      <c r="W57">
        <v>-59</v>
      </c>
      <c r="X57" t="e">
        <f>_xlfn.MAXIFS([1]Odds!$B$2:$W$81,[1]Odds!$A$2:$A$81,Table223[[#This Row],[Player]])</f>
        <v>#VALUE!</v>
      </c>
      <c r="Y57" s="14" t="e">
        <f>Table223[[#This Row],[BDG]]/Table223[[#This Row],[Odds]]</f>
        <v>#VALUE!</v>
      </c>
    </row>
    <row r="58" spans="1:25">
      <c r="A58" s="159" t="s">
        <v>59</v>
      </c>
      <c r="B58">
        <v>167</v>
      </c>
      <c r="C58">
        <v>75</v>
      </c>
      <c r="D58">
        <v>77</v>
      </c>
      <c r="E58">
        <v>42</v>
      </c>
      <c r="F58">
        <v>53</v>
      </c>
      <c r="G58">
        <v>85</v>
      </c>
      <c r="H58">
        <v>251.6</v>
      </c>
      <c r="I58" s="14">
        <v>336.72638114307358</v>
      </c>
      <c r="J58" s="259">
        <v>260.273201721296</v>
      </c>
      <c r="K58" s="260">
        <v>335.41671920379429</v>
      </c>
      <c r="L58" s="16">
        <v>113</v>
      </c>
      <c r="M58" s="16">
        <v>49</v>
      </c>
      <c r="N58" s="230">
        <v>102</v>
      </c>
      <c r="O58" s="230">
        <v>44</v>
      </c>
      <c r="Q58">
        <v>57</v>
      </c>
      <c r="S58">
        <v>58</v>
      </c>
      <c r="T58">
        <v>61</v>
      </c>
      <c r="U58" s="15">
        <v>0</v>
      </c>
      <c r="V58" s="15">
        <v>0.5</v>
      </c>
      <c r="W58">
        <v>60</v>
      </c>
      <c r="X58" t="e">
        <f>_xlfn.MAXIFS([1]Odds!$B$2:$W$81,[1]Odds!$A$2:$A$81,Table223[[#This Row],[Player]])</f>
        <v>#VALUE!</v>
      </c>
      <c r="Y58" s="14" t="e">
        <f>Table223[[#This Row],[BDG]]/Table223[[#This Row],[Odds]]</f>
        <v>#VALUE!</v>
      </c>
    </row>
    <row r="59" spans="1:25">
      <c r="A59" s="159" t="s">
        <v>9</v>
      </c>
      <c r="B59">
        <v>123</v>
      </c>
      <c r="C59">
        <v>107</v>
      </c>
      <c r="D59">
        <v>85</v>
      </c>
      <c r="E59">
        <v>37</v>
      </c>
      <c r="F59">
        <v>151</v>
      </c>
      <c r="G59">
        <v>108</v>
      </c>
      <c r="H59">
        <v>289.39999999999998</v>
      </c>
      <c r="I59" s="14">
        <v>399.38787713446214</v>
      </c>
      <c r="J59" s="259">
        <v>263.23109357973021</v>
      </c>
      <c r="K59" s="260">
        <v>365.67727354873443</v>
      </c>
      <c r="L59" s="16">
        <v>151</v>
      </c>
      <c r="M59" s="16">
        <v>65</v>
      </c>
      <c r="N59" s="230">
        <v>137</v>
      </c>
      <c r="O59" s="230">
        <v>63</v>
      </c>
      <c r="Q59">
        <v>58</v>
      </c>
      <c r="S59">
        <v>68</v>
      </c>
      <c r="T59">
        <v>62</v>
      </c>
      <c r="U59" s="15">
        <v>0</v>
      </c>
      <c r="V59" s="15">
        <v>0</v>
      </c>
      <c r="W59">
        <v>-34</v>
      </c>
      <c r="X59" t="e">
        <f>_xlfn.MAXIFS([1]Odds!$B$2:$W$81,[1]Odds!$A$2:$A$81,Table223[[#This Row],[Player]])</f>
        <v>#VALUE!</v>
      </c>
      <c r="Y59" s="14" t="e">
        <f>Table223[[#This Row],[BDG]]/Table223[[#This Row],[Odds]]</f>
        <v>#VALUE!</v>
      </c>
    </row>
    <row r="60" spans="1:25">
      <c r="A60" s="159" t="s">
        <v>154</v>
      </c>
      <c r="B60">
        <v>137</v>
      </c>
      <c r="C60">
        <v>104</v>
      </c>
      <c r="D60">
        <v>77</v>
      </c>
      <c r="E60">
        <v>76</v>
      </c>
      <c r="F60">
        <v>6</v>
      </c>
      <c r="G60">
        <v>20</v>
      </c>
      <c r="H60">
        <v>235.2</v>
      </c>
      <c r="I60" s="14">
        <v>263.2287936848569</v>
      </c>
      <c r="J60" s="259">
        <v>263.24117849742328</v>
      </c>
      <c r="K60" s="260">
        <v>292.8188753752064</v>
      </c>
      <c r="L60" s="16">
        <v>93</v>
      </c>
      <c r="M60" s="16">
        <v>35</v>
      </c>
      <c r="N60" s="230">
        <v>61</v>
      </c>
      <c r="O60" s="230">
        <v>21</v>
      </c>
      <c r="Q60">
        <v>59</v>
      </c>
      <c r="S60">
        <v>43</v>
      </c>
      <c r="T60">
        <v>52</v>
      </c>
      <c r="U60" s="15">
        <v>0</v>
      </c>
      <c r="V60" s="15">
        <v>0.5</v>
      </c>
      <c r="W60">
        <v>24</v>
      </c>
      <c r="X60" t="e">
        <f>_xlfn.MAXIFS([1]Odds!$B$2:$W$81,[1]Odds!$A$2:$A$81,Table223[[#This Row],[Player]])</f>
        <v>#VALUE!</v>
      </c>
      <c r="Y60" s="14" t="e">
        <f>Table223[[#This Row],[BDG]]/Table223[[#This Row],[Odds]]</f>
        <v>#VALUE!</v>
      </c>
    </row>
    <row r="61" spans="1:25">
      <c r="A61" s="159" t="s">
        <v>144</v>
      </c>
      <c r="B61">
        <v>55</v>
      </c>
      <c r="C61">
        <v>55</v>
      </c>
      <c r="D61">
        <v>105</v>
      </c>
      <c r="E61">
        <v>182</v>
      </c>
      <c r="F61">
        <v>145</v>
      </c>
      <c r="G61">
        <v>152</v>
      </c>
      <c r="H61">
        <v>284.8</v>
      </c>
      <c r="I61" s="14">
        <v>472.00336377289415</v>
      </c>
      <c r="J61" s="259">
        <v>270.79657181524027</v>
      </c>
      <c r="K61" s="260">
        <v>346.29570802080332</v>
      </c>
      <c r="L61" s="16">
        <v>147</v>
      </c>
      <c r="M61" s="16">
        <v>62</v>
      </c>
      <c r="N61" s="230">
        <v>175</v>
      </c>
      <c r="O61" s="230">
        <v>71</v>
      </c>
      <c r="Q61">
        <v>60</v>
      </c>
      <c r="S61">
        <v>60</v>
      </c>
      <c r="T61">
        <v>9</v>
      </c>
      <c r="U61" s="15" t="e">
        <v>#N/A</v>
      </c>
      <c r="V61" s="15" t="e">
        <v>#N/A</v>
      </c>
      <c r="W61">
        <v>-99</v>
      </c>
      <c r="X61" t="e">
        <f>_xlfn.MAXIFS([1]Odds!$B$2:$W$81,[1]Odds!$A$2:$A$81,Table223[[#This Row],[Player]])</f>
        <v>#VALUE!</v>
      </c>
      <c r="Y61" s="14" t="e">
        <f>Table223[[#This Row],[BDG]]/Table223[[#This Row],[Odds]]</f>
        <v>#VALUE!</v>
      </c>
    </row>
    <row r="62" spans="1:25">
      <c r="A62" s="159" t="s">
        <v>145</v>
      </c>
      <c r="B62">
        <v>178</v>
      </c>
      <c r="C62">
        <v>18</v>
      </c>
      <c r="D62">
        <v>30</v>
      </c>
      <c r="E62">
        <v>32</v>
      </c>
      <c r="F62">
        <v>168</v>
      </c>
      <c r="G62">
        <v>96</v>
      </c>
      <c r="H62">
        <v>251.4</v>
      </c>
      <c r="I62" s="14">
        <v>337.51583179180716</v>
      </c>
      <c r="J62" s="259">
        <v>271.42009720629989</v>
      </c>
      <c r="K62" s="260">
        <v>328.41650772677787</v>
      </c>
      <c r="L62" s="16">
        <v>112</v>
      </c>
      <c r="M62" s="16">
        <v>48</v>
      </c>
      <c r="N62" s="230">
        <v>105</v>
      </c>
      <c r="O62" s="230">
        <v>47</v>
      </c>
      <c r="Q62">
        <v>61</v>
      </c>
      <c r="S62">
        <v>55</v>
      </c>
      <c r="T62">
        <v>17</v>
      </c>
      <c r="U62" s="15">
        <v>0</v>
      </c>
      <c r="V62" s="15">
        <v>0</v>
      </c>
      <c r="W62">
        <v>-32</v>
      </c>
      <c r="X62" t="e">
        <f>_xlfn.MAXIFS([1]Odds!$B$2:$W$81,[1]Odds!$A$2:$A$81,Table223[[#This Row],[Player]])</f>
        <v>#VALUE!</v>
      </c>
      <c r="Y62" s="14" t="e">
        <f>Table223[[#This Row],[BDG]]/Table223[[#This Row],[Odds]]</f>
        <v>#VALUE!</v>
      </c>
    </row>
    <row r="63" spans="1:25">
      <c r="A63" s="159" t="s">
        <v>133</v>
      </c>
      <c r="B63">
        <v>86</v>
      </c>
      <c r="C63">
        <v>24</v>
      </c>
      <c r="D63">
        <v>14</v>
      </c>
      <c r="E63">
        <v>97</v>
      </c>
      <c r="F63">
        <v>76</v>
      </c>
      <c r="G63">
        <v>24</v>
      </c>
      <c r="H63">
        <v>158.79999999999998</v>
      </c>
      <c r="I63" s="14">
        <v>190.17749831301421</v>
      </c>
      <c r="J63" s="259">
        <v>272.26895485003837</v>
      </c>
      <c r="K63" s="260">
        <v>337.77614032999099</v>
      </c>
      <c r="L63" s="16">
        <v>33</v>
      </c>
      <c r="M63" s="16">
        <v>6</v>
      </c>
      <c r="N63" s="230">
        <v>32</v>
      </c>
      <c r="O63" s="230">
        <v>7</v>
      </c>
      <c r="Q63">
        <v>62</v>
      </c>
      <c r="S63">
        <v>59</v>
      </c>
      <c r="T63">
        <v>11</v>
      </c>
      <c r="U63" s="15">
        <v>0</v>
      </c>
      <c r="V63" s="15">
        <v>0</v>
      </c>
      <c r="W63">
        <v>74</v>
      </c>
      <c r="X63" t="e">
        <f>_xlfn.MAXIFS([1]Odds!$B$2:$W$81,[1]Odds!$A$2:$A$81,Table223[[#This Row],[Player]])</f>
        <v>#VALUE!</v>
      </c>
      <c r="Y63" s="14" t="e">
        <f>Table223[[#This Row],[BDG]]/Table223[[#This Row],[Odds]]</f>
        <v>#VALUE!</v>
      </c>
    </row>
    <row r="64" spans="1:25">
      <c r="A64" s="159" t="s">
        <v>158</v>
      </c>
      <c r="B64">
        <v>150</v>
      </c>
      <c r="C64">
        <v>114</v>
      </c>
      <c r="D64">
        <v>41</v>
      </c>
      <c r="E64">
        <v>156</v>
      </c>
      <c r="F64">
        <v>60</v>
      </c>
      <c r="G64">
        <v>82</v>
      </c>
      <c r="H64">
        <v>283.10000000000002</v>
      </c>
      <c r="I64" s="14">
        <v>377.58764121108345</v>
      </c>
      <c r="J64" s="259">
        <v>272.8136582672243</v>
      </c>
      <c r="K64" s="260">
        <v>313.48320649602726</v>
      </c>
      <c r="L64" s="16">
        <v>145</v>
      </c>
      <c r="M64" s="16">
        <v>61</v>
      </c>
      <c r="N64" s="230">
        <v>127</v>
      </c>
      <c r="O64" s="230">
        <v>60</v>
      </c>
      <c r="Q64">
        <v>63</v>
      </c>
      <c r="S64">
        <v>48</v>
      </c>
      <c r="T64">
        <v>38</v>
      </c>
      <c r="U64" s="15">
        <v>0</v>
      </c>
      <c r="V64" s="15">
        <v>0.33333333333333331</v>
      </c>
      <c r="W64">
        <v>-36</v>
      </c>
      <c r="X64" t="e">
        <f>_xlfn.MAXIFS([1]Odds!$B$2:$W$81,[1]Odds!$A$2:$A$81,Table223[[#This Row],[Player]])</f>
        <v>#VALUE!</v>
      </c>
      <c r="Y64" s="14" t="e">
        <f>Table223[[#This Row],[BDG]]/Table223[[#This Row],[Odds]]</f>
        <v>#VALUE!</v>
      </c>
    </row>
    <row r="65" spans="1:25">
      <c r="A65" s="159" t="s">
        <v>23</v>
      </c>
      <c r="B65">
        <v>66</v>
      </c>
      <c r="C65">
        <v>128</v>
      </c>
      <c r="D65">
        <v>40</v>
      </c>
      <c r="E65">
        <v>106</v>
      </c>
      <c r="F65">
        <v>134</v>
      </c>
      <c r="G65">
        <v>88</v>
      </c>
      <c r="H65">
        <v>247.6</v>
      </c>
      <c r="I65" s="14">
        <v>346.16335125463917</v>
      </c>
      <c r="J65" s="259">
        <v>274.77626087424693</v>
      </c>
      <c r="K65" s="260">
        <v>378.80371254259387</v>
      </c>
      <c r="L65" s="16">
        <v>106</v>
      </c>
      <c r="M65" s="16">
        <v>43</v>
      </c>
      <c r="N65" s="230">
        <v>109</v>
      </c>
      <c r="O65" s="230">
        <v>48</v>
      </c>
      <c r="Q65">
        <v>64</v>
      </c>
      <c r="S65">
        <v>70</v>
      </c>
      <c r="T65">
        <v>14</v>
      </c>
      <c r="U65" s="15">
        <v>0</v>
      </c>
      <c r="V65" s="15">
        <v>0</v>
      </c>
      <c r="W65">
        <v>3</v>
      </c>
      <c r="X65" t="e">
        <f>_xlfn.MAXIFS([1]Odds!$B$2:$W$81,[1]Odds!$A$2:$A$81,Table223[[#This Row],[Player]])</f>
        <v>#VALUE!</v>
      </c>
      <c r="Y65" s="14" t="e">
        <f>Table223[[#This Row],[BDG]]/Table223[[#This Row],[Odds]]</f>
        <v>#VALUE!</v>
      </c>
    </row>
    <row r="66" spans="1:25">
      <c r="A66" s="159" t="s">
        <v>39</v>
      </c>
      <c r="B66">
        <v>129</v>
      </c>
      <c r="C66">
        <v>155</v>
      </c>
      <c r="D66">
        <v>128</v>
      </c>
      <c r="E66">
        <v>23</v>
      </c>
      <c r="F66">
        <v>55</v>
      </c>
      <c r="G66">
        <v>68</v>
      </c>
      <c r="H66">
        <v>294.09999999999997</v>
      </c>
      <c r="I66" s="14">
        <v>368.18725632291455</v>
      </c>
      <c r="J66" s="259">
        <v>274.92422714013412</v>
      </c>
      <c r="K66" s="260">
        <v>351.62508968455023</v>
      </c>
      <c r="L66" s="16">
        <v>159</v>
      </c>
      <c r="M66" s="16">
        <v>67</v>
      </c>
      <c r="N66" s="230">
        <v>121</v>
      </c>
      <c r="O66" s="230">
        <v>56</v>
      </c>
      <c r="Q66">
        <v>65</v>
      </c>
      <c r="S66">
        <v>62</v>
      </c>
      <c r="T66">
        <v>5</v>
      </c>
      <c r="U66" s="15">
        <v>0</v>
      </c>
      <c r="V66" s="15">
        <v>0</v>
      </c>
      <c r="W66">
        <v>-7</v>
      </c>
      <c r="X66" t="e">
        <f>_xlfn.MAXIFS([1]Odds!$B$2:$W$81,[1]Odds!$A$2:$A$81,Table223[[#This Row],[Player]])</f>
        <v>#VALUE!</v>
      </c>
      <c r="Y66" s="14" t="e">
        <f>Table223[[#This Row],[BDG]]/Table223[[#This Row],[Odds]]</f>
        <v>#VALUE!</v>
      </c>
    </row>
    <row r="67" spans="1:25">
      <c r="A67" s="159" t="s">
        <v>146</v>
      </c>
      <c r="B67">
        <v>181</v>
      </c>
      <c r="C67">
        <v>7</v>
      </c>
      <c r="D67">
        <v>39</v>
      </c>
      <c r="E67">
        <v>173</v>
      </c>
      <c r="F67">
        <v>103</v>
      </c>
      <c r="G67">
        <v>75</v>
      </c>
      <c r="H67">
        <v>278.2</v>
      </c>
      <c r="I67" s="14">
        <v>367.60055189728041</v>
      </c>
      <c r="J67" s="259">
        <v>276.30885075249938</v>
      </c>
      <c r="K67" s="260">
        <v>327.06537325845539</v>
      </c>
      <c r="L67" s="16">
        <v>141</v>
      </c>
      <c r="M67" s="16">
        <v>60</v>
      </c>
      <c r="N67" s="230">
        <v>120</v>
      </c>
      <c r="O67" s="230">
        <v>55</v>
      </c>
      <c r="Q67">
        <v>66</v>
      </c>
      <c r="S67">
        <v>52</v>
      </c>
      <c r="T67">
        <v>4</v>
      </c>
      <c r="U67" s="15">
        <v>0</v>
      </c>
      <c r="V67" s="15">
        <v>0</v>
      </c>
      <c r="W67">
        <v>-21</v>
      </c>
      <c r="X67" t="e">
        <f>_xlfn.MAXIFS([1]Odds!$B$2:$W$81,[1]Odds!$A$2:$A$81,Table223[[#This Row],[Player]])</f>
        <v>#VALUE!</v>
      </c>
      <c r="Y67" s="14" t="e">
        <f>Table223[[#This Row],[BDG]]/Table223[[#This Row],[Odds]]</f>
        <v>#VALUE!</v>
      </c>
    </row>
    <row r="68" spans="1:25">
      <c r="A68" s="159" t="s">
        <v>55</v>
      </c>
      <c r="B68">
        <v>60</v>
      </c>
      <c r="C68">
        <v>136</v>
      </c>
      <c r="D68">
        <v>147</v>
      </c>
      <c r="E68">
        <v>75</v>
      </c>
      <c r="F68">
        <v>122</v>
      </c>
      <c r="G68">
        <v>177</v>
      </c>
      <c r="H68">
        <v>303.89999999999998</v>
      </c>
      <c r="I68" s="14">
        <v>503.59994720010661</v>
      </c>
      <c r="J68" s="259">
        <v>277.08755368153356</v>
      </c>
      <c r="K68" s="260">
        <v>434.03939735935256</v>
      </c>
      <c r="L68" s="16">
        <v>172</v>
      </c>
      <c r="M68" s="16">
        <v>70</v>
      </c>
      <c r="N68" s="230">
        <v>191</v>
      </c>
      <c r="O68" s="230">
        <v>75</v>
      </c>
      <c r="Q68">
        <v>67</v>
      </c>
      <c r="S68">
        <v>75</v>
      </c>
      <c r="T68">
        <v>1</v>
      </c>
      <c r="U68" s="15">
        <v>0</v>
      </c>
      <c r="V68" s="15">
        <v>0</v>
      </c>
      <c r="W68">
        <v>-59</v>
      </c>
      <c r="X68" t="e">
        <f>_xlfn.MAXIFS([1]Odds!$B$2:$W$81,[1]Odds!$A$2:$A$81,Table223[[#This Row],[Player]])</f>
        <v>#VALUE!</v>
      </c>
      <c r="Y68" s="14" t="e">
        <f>Table223[[#This Row],[BDG]]/Table223[[#This Row],[Odds]]</f>
        <v>#VALUE!</v>
      </c>
    </row>
    <row r="69" spans="1:25">
      <c r="A69" s="159" t="s">
        <v>102</v>
      </c>
      <c r="B69">
        <v>45</v>
      </c>
      <c r="C69">
        <v>140</v>
      </c>
      <c r="D69">
        <v>16</v>
      </c>
      <c r="E69">
        <v>89</v>
      </c>
      <c r="F69">
        <v>169</v>
      </c>
      <c r="G69">
        <v>116</v>
      </c>
      <c r="H69">
        <v>232.8</v>
      </c>
      <c r="I69" s="14">
        <v>354.02104399647419</v>
      </c>
      <c r="J69" s="259">
        <v>278.37806974988155</v>
      </c>
      <c r="K69" s="260">
        <v>417.07126621293048</v>
      </c>
      <c r="L69" s="16">
        <v>83</v>
      </c>
      <c r="M69" s="16">
        <v>32</v>
      </c>
      <c r="N69" s="230">
        <v>114</v>
      </c>
      <c r="O69" s="230">
        <v>51</v>
      </c>
      <c r="Q69">
        <v>68</v>
      </c>
      <c r="S69">
        <v>74</v>
      </c>
      <c r="T69">
        <v>3</v>
      </c>
      <c r="U69" s="15">
        <v>0</v>
      </c>
      <c r="V69" s="15">
        <v>0</v>
      </c>
      <c r="W69">
        <v>28</v>
      </c>
      <c r="X69" t="e">
        <f>_xlfn.MAXIFS([1]Odds!$B$2:$W$81,[1]Odds!$A$2:$A$81,Table223[[#This Row],[Player]])</f>
        <v>#VALUE!</v>
      </c>
      <c r="Y69" s="14" t="e">
        <f>Table223[[#This Row],[BDG]]/Table223[[#This Row],[Odds]]</f>
        <v>#VALUE!</v>
      </c>
    </row>
    <row r="70" spans="1:25">
      <c r="A70" s="159" t="s">
        <v>139</v>
      </c>
      <c r="B70">
        <v>145</v>
      </c>
      <c r="C70">
        <v>118</v>
      </c>
      <c r="D70">
        <v>27</v>
      </c>
      <c r="E70">
        <v>170</v>
      </c>
      <c r="F70">
        <v>92</v>
      </c>
      <c r="G70">
        <v>112</v>
      </c>
      <c r="H70">
        <v>293.39999999999998</v>
      </c>
      <c r="I70" s="14">
        <v>417.70181069482567</v>
      </c>
      <c r="J70" s="259">
        <v>281.72361208711948</v>
      </c>
      <c r="K70" s="260">
        <v>353.20419773149422</v>
      </c>
      <c r="L70" s="16">
        <v>157</v>
      </c>
      <c r="M70" s="16">
        <v>66</v>
      </c>
      <c r="N70" s="230">
        <v>148</v>
      </c>
      <c r="O70" s="230">
        <v>67</v>
      </c>
      <c r="Q70">
        <v>69</v>
      </c>
      <c r="S70">
        <v>64</v>
      </c>
      <c r="T70">
        <v>25</v>
      </c>
      <c r="U70" s="15">
        <v>0</v>
      </c>
      <c r="V70" s="15">
        <v>0</v>
      </c>
      <c r="W70">
        <v>-54</v>
      </c>
      <c r="X70" t="e">
        <f>_xlfn.MAXIFS([1]Odds!$B$2:$W$81,[1]Odds!$A$2:$A$81,Table223[[#This Row],[Player]])</f>
        <v>#VALUE!</v>
      </c>
      <c r="Y70" s="14" t="e">
        <f>Table223[[#This Row],[BDG]]/Table223[[#This Row],[Odds]]</f>
        <v>#VALUE!</v>
      </c>
    </row>
    <row r="71" spans="1:25">
      <c r="A71" s="159" t="s">
        <v>98</v>
      </c>
      <c r="B71">
        <v>37</v>
      </c>
      <c r="C71">
        <v>132</v>
      </c>
      <c r="D71">
        <v>139</v>
      </c>
      <c r="E71">
        <v>104</v>
      </c>
      <c r="F71">
        <v>43</v>
      </c>
      <c r="G71">
        <v>77</v>
      </c>
      <c r="H71">
        <v>252.29999999999998</v>
      </c>
      <c r="I71" s="14">
        <v>358.76709053967011</v>
      </c>
      <c r="J71" s="259">
        <v>284.80991955050104</v>
      </c>
      <c r="K71" s="260">
        <v>375.82259476907416</v>
      </c>
      <c r="L71" s="16">
        <v>114</v>
      </c>
      <c r="M71" s="16">
        <v>50</v>
      </c>
      <c r="N71" s="230">
        <v>115</v>
      </c>
      <c r="O71" s="230">
        <v>52</v>
      </c>
      <c r="Q71">
        <v>70</v>
      </c>
      <c r="S71">
        <v>69</v>
      </c>
      <c r="T71">
        <v>27</v>
      </c>
      <c r="U71" s="15">
        <v>0</v>
      </c>
      <c r="V71" s="15">
        <v>0</v>
      </c>
      <c r="W71">
        <v>5</v>
      </c>
      <c r="X71" t="e">
        <f>_xlfn.MAXIFS([1]Odds!$B$2:$W$81,[1]Odds!$A$2:$A$81,Table223[[#This Row],[Player]])</f>
        <v>#VALUE!</v>
      </c>
      <c r="Y71" s="14" t="e">
        <f>Table223[[#This Row],[BDG]]/Table223[[#This Row],[Odds]]</f>
        <v>#VALUE!</v>
      </c>
    </row>
    <row r="72" spans="1:25">
      <c r="A72" s="159" t="s">
        <v>112</v>
      </c>
      <c r="B72">
        <v>138</v>
      </c>
      <c r="C72">
        <v>119</v>
      </c>
      <c r="D72">
        <v>165</v>
      </c>
      <c r="E72">
        <v>38</v>
      </c>
      <c r="F72">
        <v>174</v>
      </c>
      <c r="G72">
        <v>178</v>
      </c>
      <c r="H72">
        <v>373.79999999999995</v>
      </c>
      <c r="I72" s="14">
        <v>564.12285741398978</v>
      </c>
      <c r="J72" s="259">
        <v>286.7590836359052</v>
      </c>
      <c r="K72" s="260">
        <v>365.43701868475773</v>
      </c>
      <c r="L72" s="16">
        <v>207</v>
      </c>
      <c r="M72" s="16">
        <v>79</v>
      </c>
      <c r="N72" s="230">
        <v>204</v>
      </c>
      <c r="O72" s="230">
        <v>79</v>
      </c>
      <c r="Q72">
        <v>71</v>
      </c>
      <c r="S72">
        <v>67</v>
      </c>
      <c r="T72">
        <v>6</v>
      </c>
      <c r="U72" s="15" t="e">
        <v>#N/A</v>
      </c>
      <c r="V72" s="15" t="e">
        <v>#N/A</v>
      </c>
      <c r="W72">
        <v>-126</v>
      </c>
      <c r="X72" t="e">
        <f>_xlfn.MAXIFS([1]Odds!$B$2:$W$81,[1]Odds!$A$2:$A$81,Table223[[#This Row],[Player]])</f>
        <v>#VALUE!</v>
      </c>
      <c r="Y72" s="14" t="e">
        <f>Table223[[#This Row],[BDG]]/Table223[[#This Row],[Odds]]</f>
        <v>#VALUE!</v>
      </c>
    </row>
    <row r="73" spans="1:25">
      <c r="A73" s="159" t="s">
        <v>101</v>
      </c>
      <c r="B73">
        <v>116</v>
      </c>
      <c r="C73">
        <v>54</v>
      </c>
      <c r="D73">
        <v>81</v>
      </c>
      <c r="E73">
        <v>184</v>
      </c>
      <c r="F73">
        <v>165</v>
      </c>
      <c r="G73">
        <v>173</v>
      </c>
      <c r="H73">
        <v>321</v>
      </c>
      <c r="I73" s="14">
        <v>520.01093535392101</v>
      </c>
      <c r="J73" s="259">
        <v>288.80584402621417</v>
      </c>
      <c r="K73" s="260">
        <v>398.54599000150915</v>
      </c>
      <c r="L73" s="16">
        <v>183</v>
      </c>
      <c r="M73" s="16">
        <v>72</v>
      </c>
      <c r="N73" s="230">
        <v>193</v>
      </c>
      <c r="O73" s="230">
        <v>77</v>
      </c>
      <c r="Q73">
        <v>72</v>
      </c>
      <c r="S73">
        <v>73</v>
      </c>
      <c r="T73">
        <v>15</v>
      </c>
      <c r="U73" s="15">
        <v>0</v>
      </c>
      <c r="V73" s="15">
        <v>0</v>
      </c>
      <c r="W73">
        <v>-107</v>
      </c>
      <c r="X73" t="e">
        <f>_xlfn.MAXIFS([1]Odds!$B$2:$W$81,[1]Odds!$A$2:$A$81,Table223[[#This Row],[Player]])</f>
        <v>#VALUE!</v>
      </c>
      <c r="Y73" s="14" t="e">
        <f>Table223[[#This Row],[BDG]]/Table223[[#This Row],[Odds]]</f>
        <v>#VALUE!</v>
      </c>
    </row>
    <row r="74" spans="1:25">
      <c r="A74" s="159" t="s">
        <v>65</v>
      </c>
      <c r="B74">
        <v>40</v>
      </c>
      <c r="C74">
        <v>104</v>
      </c>
      <c r="D74">
        <v>76</v>
      </c>
      <c r="E74">
        <v>181</v>
      </c>
      <c r="F74">
        <v>58</v>
      </c>
      <c r="G74">
        <v>62</v>
      </c>
      <c r="H74">
        <v>234.6</v>
      </c>
      <c r="I74" s="14">
        <v>328.58466217927537</v>
      </c>
      <c r="J74" s="259">
        <v>289.58748111471459</v>
      </c>
      <c r="K74" s="260">
        <v>435.14701423413959</v>
      </c>
      <c r="L74" s="16">
        <v>89</v>
      </c>
      <c r="M74" s="16">
        <v>33</v>
      </c>
      <c r="N74" s="230">
        <v>95</v>
      </c>
      <c r="O74" s="230">
        <v>41</v>
      </c>
      <c r="Q74">
        <v>73</v>
      </c>
      <c r="S74">
        <v>76</v>
      </c>
      <c r="T74">
        <v>22</v>
      </c>
      <c r="U74" s="15">
        <v>0</v>
      </c>
      <c r="V74" s="15">
        <v>0</v>
      </c>
      <c r="W74">
        <v>94</v>
      </c>
      <c r="X74" t="e">
        <f>_xlfn.MAXIFS([1]Odds!$B$2:$W$81,[1]Odds!$A$2:$A$81,Table223[[#This Row],[Player]])</f>
        <v>#VALUE!</v>
      </c>
      <c r="Y74" s="14" t="e">
        <f>Table223[[#This Row],[BDG]]/Table223[[#This Row],[Odds]]</f>
        <v>#VALUE!</v>
      </c>
    </row>
    <row r="75" spans="1:25">
      <c r="A75" s="159" t="s">
        <v>165</v>
      </c>
      <c r="B75">
        <v>186</v>
      </c>
      <c r="C75">
        <v>140</v>
      </c>
      <c r="D75">
        <v>4</v>
      </c>
      <c r="E75">
        <v>162</v>
      </c>
      <c r="F75">
        <v>109</v>
      </c>
      <c r="G75">
        <v>97</v>
      </c>
      <c r="H75">
        <v>322.3</v>
      </c>
      <c r="I75" s="14">
        <v>422.20718361469488</v>
      </c>
      <c r="J75" s="259">
        <v>297.33580026915445</v>
      </c>
      <c r="K75" s="260">
        <v>364.99646441752304</v>
      </c>
      <c r="L75" s="16">
        <v>184</v>
      </c>
      <c r="M75" s="16">
        <v>73</v>
      </c>
      <c r="N75" s="230">
        <v>152</v>
      </c>
      <c r="O75" s="230">
        <v>69</v>
      </c>
      <c r="Q75">
        <v>74</v>
      </c>
      <c r="S75">
        <v>66</v>
      </c>
      <c r="T75">
        <v>45</v>
      </c>
      <c r="U75" s="15">
        <v>0</v>
      </c>
      <c r="V75" s="15">
        <v>0.5</v>
      </c>
      <c r="W75">
        <v>-12</v>
      </c>
      <c r="X75" t="e">
        <f>_xlfn.MAXIFS([1]Odds!$B$2:$W$81,[1]Odds!$A$2:$A$81,Table223[[#This Row],[Player]])</f>
        <v>#VALUE!</v>
      </c>
      <c r="Y75" s="14" t="e">
        <f>Table223[[#This Row],[BDG]]/Table223[[#This Row],[Odds]]</f>
        <v>#VALUE!</v>
      </c>
    </row>
    <row r="76" spans="1:25">
      <c r="A76" s="159" t="s">
        <v>142</v>
      </c>
      <c r="B76">
        <v>39</v>
      </c>
      <c r="C76">
        <v>89</v>
      </c>
      <c r="D76">
        <v>33</v>
      </c>
      <c r="E76">
        <v>106</v>
      </c>
      <c r="F76">
        <v>63</v>
      </c>
      <c r="G76">
        <v>22</v>
      </c>
      <c r="H76">
        <v>168.8</v>
      </c>
      <c r="I76" s="14">
        <v>205.05416100157214</v>
      </c>
      <c r="J76" s="259">
        <v>297.85120091837393</v>
      </c>
      <c r="K76" s="260">
        <v>382.91218458142868</v>
      </c>
      <c r="L76" s="16">
        <v>36</v>
      </c>
      <c r="M76" s="16">
        <v>8</v>
      </c>
      <c r="N76" s="230">
        <v>39</v>
      </c>
      <c r="O76" s="230">
        <v>11</v>
      </c>
      <c r="Q76">
        <v>75</v>
      </c>
      <c r="S76">
        <v>71</v>
      </c>
      <c r="T76">
        <v>2</v>
      </c>
      <c r="U76" s="15" t="e">
        <v>#N/A</v>
      </c>
      <c r="V76" s="15" t="e">
        <v>#N/A</v>
      </c>
      <c r="W76">
        <v>-22</v>
      </c>
      <c r="X76" t="e">
        <f>_xlfn.MAXIFS([1]Odds!$B$2:$W$81,[1]Odds!$A$2:$A$81,Table223[[#This Row],[Player]])</f>
        <v>#VALUE!</v>
      </c>
      <c r="Y76" s="14" t="e">
        <f>Table223[[#This Row],[BDG]]/Table223[[#This Row],[Odds]]</f>
        <v>#VALUE!</v>
      </c>
    </row>
    <row r="77" spans="1:25">
      <c r="A77" s="159" t="s">
        <v>60</v>
      </c>
      <c r="B77">
        <v>112</v>
      </c>
      <c r="C77">
        <v>72</v>
      </c>
      <c r="D77">
        <v>163</v>
      </c>
      <c r="E77">
        <v>63</v>
      </c>
      <c r="F77">
        <v>160</v>
      </c>
      <c r="G77">
        <v>158</v>
      </c>
      <c r="H77">
        <v>333.7</v>
      </c>
      <c r="I77" s="14">
        <v>511.5293528276286</v>
      </c>
      <c r="J77" s="259">
        <v>299.17193932875421</v>
      </c>
      <c r="K77" s="260">
        <v>445.03938254160357</v>
      </c>
      <c r="L77" s="16">
        <v>191</v>
      </c>
      <c r="M77" s="16">
        <v>76</v>
      </c>
      <c r="N77" s="230">
        <v>192</v>
      </c>
      <c r="O77" s="230">
        <v>76</v>
      </c>
      <c r="Q77">
        <v>76</v>
      </c>
      <c r="S77">
        <v>77</v>
      </c>
      <c r="T77">
        <v>78</v>
      </c>
      <c r="U77" s="15" t="e">
        <v>#N/A</v>
      </c>
      <c r="V77" s="15" t="e">
        <v>#N/A</v>
      </c>
      <c r="W77">
        <v>-55</v>
      </c>
      <c r="X77" t="e">
        <f>_xlfn.MAXIFS([1]Odds!$B$2:$W$81,[1]Odds!$A$2:$A$81,Table223[[#This Row],[Player]])</f>
        <v>#VALUE!</v>
      </c>
      <c r="Y77" s="14" t="e">
        <f>Table223[[#This Row],[BDG]]/Table223[[#This Row],[Odds]]</f>
        <v>#VALUE!</v>
      </c>
    </row>
    <row r="78" spans="1:25">
      <c r="A78" s="159" t="s">
        <v>104</v>
      </c>
      <c r="B78">
        <v>156</v>
      </c>
      <c r="C78">
        <v>180</v>
      </c>
      <c r="D78">
        <v>72</v>
      </c>
      <c r="E78">
        <v>94</v>
      </c>
      <c r="F78">
        <v>56</v>
      </c>
      <c r="G78">
        <v>81</v>
      </c>
      <c r="H78">
        <v>315.2</v>
      </c>
      <c r="I78" s="14">
        <v>401.47288250852506</v>
      </c>
      <c r="J78" s="259">
        <v>304.30958881611701</v>
      </c>
      <c r="K78" s="260">
        <v>383.47109195548541</v>
      </c>
      <c r="L78" s="16">
        <v>182</v>
      </c>
      <c r="M78" s="16">
        <v>71</v>
      </c>
      <c r="N78" s="230">
        <v>140</v>
      </c>
      <c r="O78" s="230">
        <v>65</v>
      </c>
      <c r="Q78">
        <v>77</v>
      </c>
      <c r="S78">
        <v>72</v>
      </c>
      <c r="T78">
        <v>21</v>
      </c>
      <c r="U78" s="15">
        <v>0</v>
      </c>
      <c r="V78" s="15">
        <v>0</v>
      </c>
      <c r="W78">
        <v>5</v>
      </c>
      <c r="X78" t="e">
        <f>_xlfn.MAXIFS([1]Odds!$B$2:$W$81,[1]Odds!$A$2:$A$81,Table223[[#This Row],[Player]])</f>
        <v>#VALUE!</v>
      </c>
      <c r="Y78" s="14" t="e">
        <f>Table223[[#This Row],[BDG]]/Table223[[#This Row],[Odds]]</f>
        <v>#VALUE!</v>
      </c>
    </row>
    <row r="79" spans="1:25">
      <c r="A79" s="159" t="s">
        <v>105</v>
      </c>
      <c r="B79">
        <v>141</v>
      </c>
      <c r="C79">
        <v>34</v>
      </c>
      <c r="D79">
        <v>116</v>
      </c>
      <c r="E79">
        <v>117</v>
      </c>
      <c r="F79">
        <v>166</v>
      </c>
      <c r="G79">
        <v>155</v>
      </c>
      <c r="H79">
        <v>326.7</v>
      </c>
      <c r="I79" s="14">
        <v>501.04172011889443</v>
      </c>
      <c r="J79" s="259">
        <v>320.54089414765895</v>
      </c>
      <c r="K79" s="260">
        <v>454.32520786789655</v>
      </c>
      <c r="L79" s="16">
        <v>188</v>
      </c>
      <c r="M79" s="16">
        <v>74</v>
      </c>
      <c r="N79" s="230">
        <v>189</v>
      </c>
      <c r="O79" s="230">
        <v>74</v>
      </c>
      <c r="Q79">
        <v>78</v>
      </c>
      <c r="S79">
        <v>78</v>
      </c>
      <c r="T79">
        <v>10</v>
      </c>
      <c r="U79" s="15">
        <v>0</v>
      </c>
      <c r="V79" s="15">
        <v>0</v>
      </c>
      <c r="W79">
        <v>-47</v>
      </c>
      <c r="X79" t="e">
        <f>_xlfn.MAXIFS([1]Odds!$B$2:$W$81,[1]Odds!$A$2:$A$81,Table223[[#This Row],[Player]])</f>
        <v>#VALUE!</v>
      </c>
      <c r="Y79" s="14" t="e">
        <f>Table223[[#This Row],[BDG]]/Table223[[#This Row],[Odds]]</f>
        <v>#VALUE!</v>
      </c>
    </row>
    <row r="80" spans="1:25">
      <c r="A80" s="159" t="s">
        <v>372</v>
      </c>
      <c r="B80">
        <v>9</v>
      </c>
      <c r="C80">
        <v>14</v>
      </c>
      <c r="D80">
        <v>54</v>
      </c>
      <c r="E80">
        <v>29</v>
      </c>
      <c r="F80">
        <v>34</v>
      </c>
      <c r="G80">
        <v>1</v>
      </c>
      <c r="H80">
        <v>79.699999999999989</v>
      </c>
      <c r="I80" s="14">
        <v>91.66977704346138</v>
      </c>
      <c r="J80" s="259" t="e">
        <v>#N/A</v>
      </c>
      <c r="K80" s="320" t="e">
        <v>#N/A</v>
      </c>
      <c r="L80" s="16">
        <v>23</v>
      </c>
      <c r="M80" s="16">
        <v>1</v>
      </c>
      <c r="N80" s="230">
        <v>23</v>
      </c>
      <c r="O80" s="230">
        <v>1</v>
      </c>
      <c r="Q80">
        <v>79</v>
      </c>
      <c r="S80">
        <v>79</v>
      </c>
      <c r="T80">
        <v>79</v>
      </c>
      <c r="U80" s="15">
        <v>0.5</v>
      </c>
      <c r="V80" s="15">
        <v>0.5</v>
      </c>
      <c r="W80" t="e">
        <v>#N/A</v>
      </c>
      <c r="X80" t="e">
        <f>_xlfn.MAXIFS([1]Odds!$B$2:$W$81,[1]Odds!$A$2:$A$81,Table223[[#This Row],[Player]])</f>
        <v>#VALUE!</v>
      </c>
      <c r="Y80" s="14" t="e">
        <f>Table223[[#This Row],[BDG]]/Table223[[#This Row],[Odds]]</f>
        <v>#N/A</v>
      </c>
    </row>
  </sheetData>
  <conditionalFormatting sqref="W2:W1048576">
    <cfRule type="cellIs" dxfId="226" priority="5" operator="between">
      <formula>-5</formula>
      <formula>-9</formula>
    </cfRule>
    <cfRule type="cellIs" dxfId="225" priority="6" operator="lessThanOrEqual">
      <formula>-10</formula>
    </cfRule>
    <cfRule type="cellIs" dxfId="224" priority="7" operator="between">
      <formula>5</formula>
      <formula>9</formula>
    </cfRule>
    <cfRule type="cellIs" dxfId="223" priority="8" operator="greaterThanOrEqual">
      <formula>10</formula>
    </cfRule>
  </conditionalFormatting>
  <conditionalFormatting sqref="U2:V1048576">
    <cfRule type="cellIs" dxfId="222" priority="9" operator="greaterThanOrEqual">
      <formula>20%</formula>
    </cfRule>
    <cfRule type="cellIs" dxfId="221" priority="10" operator="between">
      <formula>10%</formula>
      <formula>20%</formula>
    </cfRule>
    <cfRule type="cellIs" dxfId="220" priority="11" operator="between">
      <formula>0.01%</formula>
      <formula>10%</formula>
    </cfRule>
  </conditionalFormatting>
  <conditionalFormatting sqref="B2:G1048576 L2:T1048576">
    <cfRule type="cellIs" dxfId="219" priority="12" operator="between">
      <formula>101</formula>
      <formula>250</formula>
    </cfRule>
    <cfRule type="cellIs" dxfId="218" priority="13" operator="between">
      <formula>51</formula>
      <formula>100.5</formula>
    </cfRule>
    <cfRule type="cellIs" dxfId="217" priority="14" operator="between">
      <formula>21</formula>
      <formula>50.5</formula>
    </cfRule>
    <cfRule type="cellIs" dxfId="216" priority="15" operator="lessThanOrEqual">
      <formula>20.5</formula>
    </cfRule>
  </conditionalFormatting>
  <conditionalFormatting sqref="J2:K110 Q2:T110">
    <cfRule type="containsErrors" dxfId="215" priority="16">
      <formula>ISERROR(J2)</formula>
    </cfRule>
  </conditionalFormatting>
  <conditionalFormatting sqref="A1:A1048576">
    <cfRule type="expression" dxfId="214" priority="1">
      <formula>$T1=MIN($T$35:$T$160)</formula>
    </cfRule>
    <cfRule type="expression" dxfId="213" priority="2">
      <formula>$T1=MIN($T$22:$T$34)</formula>
    </cfRule>
    <cfRule type="expression" dxfId="212" priority="3">
      <formula>$T1=MIN($T$9:$T$21)</formula>
    </cfRule>
    <cfRule type="expression" dxfId="211" priority="4">
      <formula>$T1=MIN($T$2:$T$8)</formula>
    </cfRule>
    <cfRule type="expression" dxfId="210" priority="17">
      <formula>AND($M1&lt;=3, $O1&gt;3)</formula>
    </cfRule>
    <cfRule type="expression" dxfId="209" priority="18">
      <formula>AND($M1&gt;3, $O1&lt;=3)</formula>
    </cfRule>
    <cfRule type="expression" dxfId="208" priority="19">
      <formula>AND($Q1&lt;=3, $S1&gt;3)</formula>
    </cfRule>
    <cfRule type="expression" dxfId="207" priority="20">
      <formula>AND($Q1&gt;3, $S1&lt;=3)</formula>
    </cfRule>
    <cfRule type="expression" dxfId="206" priority="21">
      <formula>AND($M1&lt;=3, $O1&lt;=3)</formula>
    </cfRule>
    <cfRule type="expression" dxfId="205" priority="22">
      <formula>AND($Q1&lt;=3, $S1&lt;=3)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F677-257F-4ECC-ABFB-CA5FC7ABD1DE}">
  <sheetPr codeName="Sheet72">
    <tabColor rgb="FF00B050"/>
  </sheetPr>
  <dimension ref="A1:Z130"/>
  <sheetViews>
    <sheetView zoomScaleNormal="100" workbookViewId="0">
      <selection activeCell="M2" sqref="M2:M13"/>
    </sheetView>
  </sheetViews>
  <sheetFormatPr defaultRowHeight="15"/>
  <cols>
    <col min="1" max="1" width="25.85546875" bestFit="1" customWidth="1"/>
    <col min="6" max="6" width="10" customWidth="1"/>
    <col min="7" max="7" width="8.28515625" customWidth="1"/>
    <col min="8" max="8" width="12.5703125" customWidth="1"/>
    <col min="9" max="9" width="15.85546875" style="14" customWidth="1"/>
    <col min="10" max="10" width="12.140625" customWidth="1"/>
    <col min="11" max="11" width="12.5703125" customWidth="1"/>
    <col min="12" max="12" width="7.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2.7109375" hidden="1" customWidth="1"/>
    <col min="19" max="19" width="13.85546875" bestFit="1" customWidth="1"/>
    <col min="20" max="20" width="14.42578125" bestFit="1" customWidth="1"/>
    <col min="21" max="21" width="9.28515625" customWidth="1"/>
    <col min="26" max="26" width="10.5703125" bestFit="1" customWidth="1"/>
  </cols>
  <sheetData>
    <row r="1" spans="1:26" ht="15.75" thickBot="1">
      <c r="A1" s="237" t="s">
        <v>0</v>
      </c>
      <c r="B1" s="7" t="s">
        <v>263</v>
      </c>
      <c r="C1" s="7" t="s">
        <v>264</v>
      </c>
      <c r="D1" s="7" t="s">
        <v>265</v>
      </c>
      <c r="E1" s="7" t="s">
        <v>266</v>
      </c>
      <c r="F1" s="7" t="s">
        <v>267</v>
      </c>
      <c r="G1" s="7" t="s">
        <v>200</v>
      </c>
      <c r="H1" s="123" t="s">
        <v>201</v>
      </c>
      <c r="I1" s="124" t="s">
        <v>202</v>
      </c>
      <c r="J1" s="228" t="s">
        <v>532</v>
      </c>
      <c r="K1" s="229" t="s">
        <v>533</v>
      </c>
      <c r="L1" s="121" t="s">
        <v>326</v>
      </c>
      <c r="M1" s="121" t="s">
        <v>324</v>
      </c>
      <c r="N1" s="124" t="s">
        <v>327</v>
      </c>
      <c r="O1" s="124" t="s">
        <v>323</v>
      </c>
      <c r="P1" s="228" t="s">
        <v>531</v>
      </c>
      <c r="Q1" s="228" t="s">
        <v>528</v>
      </c>
      <c r="R1" s="229" t="s">
        <v>530</v>
      </c>
      <c r="S1" s="229" t="s">
        <v>529</v>
      </c>
      <c r="T1" s="241" t="s">
        <v>566</v>
      </c>
      <c r="U1" s="122" t="s">
        <v>537</v>
      </c>
      <c r="V1" s="122" t="s">
        <v>536</v>
      </c>
      <c r="W1" s="227" t="s">
        <v>535</v>
      </c>
      <c r="X1" s="138" t="s">
        <v>472</v>
      </c>
      <c r="Y1" s="241" t="s">
        <v>565</v>
      </c>
      <c r="Z1" s="235" t="s">
        <v>210</v>
      </c>
    </row>
    <row r="2" spans="1:26">
      <c r="A2" s="159" t="s">
        <v>487</v>
      </c>
      <c r="B2">
        <v>29</v>
      </c>
      <c r="C2">
        <v>140</v>
      </c>
      <c r="D2">
        <v>9</v>
      </c>
      <c r="E2">
        <v>103</v>
      </c>
      <c r="F2">
        <v>31</v>
      </c>
      <c r="G2">
        <v>4</v>
      </c>
      <c r="H2">
        <v>159.1</v>
      </c>
      <c r="I2" s="14">
        <v>170.17239571875996</v>
      </c>
      <c r="J2" s="259">
        <v>203.03918814247402</v>
      </c>
      <c r="K2" s="260">
        <v>280.37077599869161</v>
      </c>
      <c r="L2" s="16">
        <v>13</v>
      </c>
      <c r="M2" s="16">
        <v>10</v>
      </c>
      <c r="N2" s="230"/>
      <c r="O2" s="230">
        <v>5</v>
      </c>
      <c r="Q2">
        <v>11</v>
      </c>
      <c r="S2">
        <v>11</v>
      </c>
      <c r="T2">
        <v>50</v>
      </c>
      <c r="U2" s="15">
        <v>0</v>
      </c>
      <c r="V2" s="15">
        <v>0.5</v>
      </c>
      <c r="X2" t="e">
        <f>VLOOKUP(Table221[[#This Row],[Player]],OddsT5T10!$A:$B,2,FALSE)</f>
        <v>#N/A</v>
      </c>
      <c r="Y2" s="14" t="e">
        <f>Table221[[#This Row],[BDG]]/Table221[[#This Row],[Odds]]</f>
        <v>#N/A</v>
      </c>
      <c r="Z2">
        <v>1</v>
      </c>
    </row>
    <row r="3" spans="1:26">
      <c r="A3" s="159" t="s">
        <v>441</v>
      </c>
      <c r="B3">
        <v>5</v>
      </c>
      <c r="C3">
        <v>187</v>
      </c>
      <c r="D3">
        <v>41</v>
      </c>
      <c r="E3">
        <v>108</v>
      </c>
      <c r="F3">
        <v>24</v>
      </c>
      <c r="G3">
        <v>37</v>
      </c>
      <c r="H3">
        <v>181.9</v>
      </c>
      <c r="I3" s="14">
        <v>237.8852096373756</v>
      </c>
      <c r="J3" s="259">
        <v>181.9</v>
      </c>
      <c r="K3" s="260">
        <v>237.88520963737557</v>
      </c>
      <c r="L3" s="16">
        <v>20</v>
      </c>
      <c r="M3" s="16">
        <v>16</v>
      </c>
      <c r="N3" s="230"/>
      <c r="O3" s="230">
        <v>29</v>
      </c>
      <c r="Q3">
        <v>5</v>
      </c>
      <c r="S3">
        <v>5</v>
      </c>
      <c r="T3">
        <v>87</v>
      </c>
      <c r="U3" s="15"/>
      <c r="V3" s="15"/>
      <c r="X3" t="e">
        <f>VLOOKUP(Table221[[#This Row],[Player]],OddsT5T10!$A:$B,2,FALSE)</f>
        <v>#N/A</v>
      </c>
      <c r="Y3" s="14" t="e">
        <f>Table221[[#This Row],[BDG]]/Table221[[#This Row],[Odds]]</f>
        <v>#N/A</v>
      </c>
      <c r="Z3">
        <v>2</v>
      </c>
    </row>
    <row r="4" spans="1:26">
      <c r="A4" s="159" t="s">
        <v>52</v>
      </c>
      <c r="B4">
        <v>19</v>
      </c>
      <c r="C4">
        <v>33</v>
      </c>
      <c r="D4">
        <v>119</v>
      </c>
      <c r="E4">
        <v>56</v>
      </c>
      <c r="F4">
        <v>24</v>
      </c>
      <c r="G4">
        <v>16</v>
      </c>
      <c r="H4">
        <v>151.30000000000001</v>
      </c>
      <c r="I4" s="14">
        <v>188.53147091805329</v>
      </c>
      <c r="J4" s="259">
        <v>188.06414730417987</v>
      </c>
      <c r="K4" s="260">
        <v>214.63465827717022</v>
      </c>
      <c r="L4" s="16">
        <v>11</v>
      </c>
      <c r="M4" s="16">
        <v>8</v>
      </c>
      <c r="N4" s="230"/>
      <c r="O4" s="230">
        <v>7</v>
      </c>
      <c r="Q4">
        <v>6</v>
      </c>
      <c r="S4">
        <v>6</v>
      </c>
      <c r="T4">
        <v>77</v>
      </c>
      <c r="U4" s="15">
        <v>0</v>
      </c>
      <c r="V4" s="15">
        <v>0</v>
      </c>
      <c r="W4">
        <v>12</v>
      </c>
      <c r="X4" t="e">
        <f>VLOOKUP(Table221[[#This Row],[Player]],OddsT5T10!$A:$B,2,FALSE)</f>
        <v>#N/A</v>
      </c>
      <c r="Y4" s="14" t="e">
        <f>Table221[[#This Row],[BDG]]/Table221[[#This Row],[Odds]]</f>
        <v>#N/A</v>
      </c>
      <c r="Z4">
        <v>3</v>
      </c>
    </row>
    <row r="5" spans="1:26">
      <c r="A5" s="159" t="s">
        <v>122</v>
      </c>
      <c r="B5">
        <v>12</v>
      </c>
      <c r="C5">
        <v>18</v>
      </c>
      <c r="D5">
        <v>129</v>
      </c>
      <c r="E5">
        <v>21</v>
      </c>
      <c r="F5">
        <v>135</v>
      </c>
      <c r="G5">
        <v>127</v>
      </c>
      <c r="H5">
        <v>186</v>
      </c>
      <c r="I5" s="14">
        <v>330.63344661143401</v>
      </c>
      <c r="J5" s="259">
        <v>232.79650529046731</v>
      </c>
      <c r="K5" s="260">
        <v>318.90418292429285</v>
      </c>
      <c r="L5" s="16">
        <v>25</v>
      </c>
      <c r="M5" s="16">
        <v>21</v>
      </c>
      <c r="N5" s="230"/>
      <c r="O5" s="230">
        <v>66</v>
      </c>
      <c r="Q5">
        <v>30</v>
      </c>
      <c r="S5">
        <v>30</v>
      </c>
      <c r="T5">
        <v>20</v>
      </c>
      <c r="U5" s="15"/>
      <c r="V5" s="15"/>
      <c r="W5">
        <v>-57</v>
      </c>
      <c r="X5">
        <f>VLOOKUP(Table221[[#This Row],[Player]],OddsT5T10!$A:$B,2,FALSE)</f>
        <v>4.2</v>
      </c>
      <c r="Y5" s="14">
        <f>Table221[[#This Row],[BDG]]/Table221[[#This Row],[Odds]]</f>
        <v>55.427739354873168</v>
      </c>
      <c r="Z5">
        <v>3</v>
      </c>
    </row>
    <row r="6" spans="1:26">
      <c r="A6" s="159" t="s">
        <v>492</v>
      </c>
      <c r="B6">
        <v>55</v>
      </c>
      <c r="C6">
        <v>140</v>
      </c>
      <c r="D6">
        <v>136</v>
      </c>
      <c r="E6">
        <v>16</v>
      </c>
      <c r="F6">
        <v>95</v>
      </c>
      <c r="G6">
        <v>104</v>
      </c>
      <c r="H6">
        <v>268.60000000000002</v>
      </c>
      <c r="I6" s="14">
        <v>376.49417373302032</v>
      </c>
      <c r="J6" s="231"/>
      <c r="K6" s="231"/>
      <c r="L6" s="16">
        <v>120</v>
      </c>
      <c r="M6" s="16">
        <v>92</v>
      </c>
      <c r="N6" s="230">
        <v>128</v>
      </c>
      <c r="O6" s="230">
        <v>92</v>
      </c>
      <c r="T6">
        <v>112</v>
      </c>
      <c r="U6" s="15">
        <v>0</v>
      </c>
      <c r="V6" s="15">
        <v>0</v>
      </c>
      <c r="X6" t="e">
        <f>VLOOKUP(Table221[[#This Row],[Player]],OddsT5T10!$A:$B,2,FALSE)</f>
        <v>#N/A</v>
      </c>
      <c r="Y6" s="14" t="e">
        <f>Table221[[#This Row],[BDG]]/Table221[[#This Row],[Odds]]</f>
        <v>#N/A</v>
      </c>
      <c r="Z6">
        <v>3</v>
      </c>
    </row>
    <row r="7" spans="1:26">
      <c r="A7" s="159" t="s">
        <v>69</v>
      </c>
      <c r="B7">
        <v>137</v>
      </c>
      <c r="C7">
        <v>72</v>
      </c>
      <c r="D7">
        <v>116</v>
      </c>
      <c r="E7">
        <v>39</v>
      </c>
      <c r="F7">
        <v>115</v>
      </c>
      <c r="G7">
        <v>102</v>
      </c>
      <c r="H7">
        <v>313.60000000000002</v>
      </c>
      <c r="I7" s="14">
        <v>397.59081767117374</v>
      </c>
      <c r="J7" s="259">
        <v>233.84910360267719</v>
      </c>
      <c r="K7" s="260">
        <v>265.45510774040054</v>
      </c>
      <c r="L7" s="16">
        <v>155</v>
      </c>
      <c r="M7" s="16">
        <v>116</v>
      </c>
      <c r="N7" s="230">
        <v>138</v>
      </c>
      <c r="O7" s="230">
        <v>102</v>
      </c>
      <c r="Q7">
        <v>31</v>
      </c>
      <c r="S7">
        <v>31</v>
      </c>
      <c r="T7">
        <v>98</v>
      </c>
      <c r="U7" s="15">
        <v>0</v>
      </c>
      <c r="V7" s="15">
        <v>0</v>
      </c>
      <c r="W7">
        <v>-87</v>
      </c>
      <c r="X7" t="e">
        <f>VLOOKUP(Table221[[#This Row],[Player]],OddsT5T10!$A:$B,2,FALSE)</f>
        <v>#N/A</v>
      </c>
      <c r="Y7" s="14" t="e">
        <f>Table221[[#This Row],[BDG]]/Table221[[#This Row],[Odds]]</f>
        <v>#N/A</v>
      </c>
      <c r="Z7">
        <v>6</v>
      </c>
    </row>
    <row r="8" spans="1:26">
      <c r="A8" s="159" t="s">
        <v>26</v>
      </c>
      <c r="B8">
        <v>18</v>
      </c>
      <c r="C8">
        <v>18</v>
      </c>
      <c r="D8">
        <v>144</v>
      </c>
      <c r="E8">
        <v>152</v>
      </c>
      <c r="F8">
        <v>94</v>
      </c>
      <c r="G8">
        <v>87</v>
      </c>
      <c r="H8">
        <v>233.8</v>
      </c>
      <c r="I8" s="14">
        <v>361.29534615500614</v>
      </c>
      <c r="J8" s="259">
        <v>237.292276514214</v>
      </c>
      <c r="K8" s="260">
        <v>345.50841705270528</v>
      </c>
      <c r="L8" s="16">
        <v>79</v>
      </c>
      <c r="M8" s="16">
        <v>57</v>
      </c>
      <c r="N8" s="230"/>
      <c r="O8" s="230">
        <v>88</v>
      </c>
      <c r="Q8">
        <v>37</v>
      </c>
      <c r="S8">
        <v>37</v>
      </c>
      <c r="T8">
        <v>68</v>
      </c>
      <c r="U8" s="15">
        <v>0</v>
      </c>
      <c r="V8" s="15">
        <v>0.5</v>
      </c>
      <c r="W8">
        <v>-6</v>
      </c>
      <c r="X8">
        <f>VLOOKUP(Table221[[#This Row],[Player]],OddsT5T10!$A:$B,2,FALSE)</f>
        <v>4.2</v>
      </c>
      <c r="Y8" s="14">
        <f>Table221[[#This Row],[BDG]]/Table221[[#This Row],[Odds]]</f>
        <v>56.498161074812856</v>
      </c>
      <c r="Z8">
        <v>6</v>
      </c>
    </row>
    <row r="9" spans="1:26">
      <c r="A9" s="159" t="s">
        <v>59</v>
      </c>
      <c r="B9">
        <v>57</v>
      </c>
      <c r="C9">
        <v>130</v>
      </c>
      <c r="D9">
        <v>158</v>
      </c>
      <c r="E9">
        <v>25</v>
      </c>
      <c r="F9">
        <v>56</v>
      </c>
      <c r="G9">
        <v>63</v>
      </c>
      <c r="H9">
        <v>264.89999999999998</v>
      </c>
      <c r="I9" s="14">
        <v>336.86682764745382</v>
      </c>
      <c r="J9" s="259">
        <v>264.89999999999998</v>
      </c>
      <c r="K9" s="260">
        <v>336.86682764745382</v>
      </c>
      <c r="L9" s="16">
        <v>116</v>
      </c>
      <c r="M9" s="16">
        <v>88</v>
      </c>
      <c r="N9" s="230">
        <v>99</v>
      </c>
      <c r="O9" s="230">
        <v>72</v>
      </c>
      <c r="Q9">
        <v>60</v>
      </c>
      <c r="S9">
        <v>60</v>
      </c>
      <c r="T9">
        <v>88</v>
      </c>
      <c r="U9" s="15">
        <v>0</v>
      </c>
      <c r="V9" s="15">
        <v>0</v>
      </c>
      <c r="X9" t="e">
        <f>VLOOKUP(Table221[[#This Row],[Player]],OddsT5T10!$A:$B,2,FALSE)</f>
        <v>#N/A</v>
      </c>
      <c r="Y9" s="14" t="e">
        <f>Table221[[#This Row],[BDG]]/Table221[[#This Row],[Odds]]</f>
        <v>#N/A</v>
      </c>
      <c r="Z9">
        <v>6</v>
      </c>
    </row>
    <row r="10" spans="1:26">
      <c r="A10" s="159" t="s">
        <v>232</v>
      </c>
      <c r="B10">
        <v>66</v>
      </c>
      <c r="C10">
        <v>90</v>
      </c>
      <c r="D10">
        <v>72</v>
      </c>
      <c r="E10">
        <v>107</v>
      </c>
      <c r="F10">
        <v>87</v>
      </c>
      <c r="G10">
        <v>83</v>
      </c>
      <c r="H10">
        <v>241.10000000000002</v>
      </c>
      <c r="I10" s="14">
        <v>331.02286318759275</v>
      </c>
      <c r="J10" s="259">
        <v>170.80999815936599</v>
      </c>
      <c r="K10" s="260">
        <v>222.77640300003929</v>
      </c>
      <c r="L10" s="16">
        <v>85</v>
      </c>
      <c r="M10" s="16">
        <v>63</v>
      </c>
      <c r="N10" s="230"/>
      <c r="O10" s="230">
        <v>67</v>
      </c>
      <c r="Q10">
        <v>2</v>
      </c>
      <c r="S10">
        <v>2</v>
      </c>
      <c r="T10">
        <v>93</v>
      </c>
      <c r="U10" s="15">
        <v>0</v>
      </c>
      <c r="V10" s="15">
        <v>0</v>
      </c>
      <c r="W10">
        <v>-73</v>
      </c>
      <c r="X10" t="e">
        <f>VLOOKUP(Table221[[#This Row],[Player]],OddsT5T10!$A:$B,2,FALSE)</f>
        <v>#N/A</v>
      </c>
      <c r="Y10" s="14" t="e">
        <f>Table221[[#This Row],[BDG]]/Table221[[#This Row],[Odds]]</f>
        <v>#N/A</v>
      </c>
      <c r="Z10">
        <v>9</v>
      </c>
    </row>
    <row r="11" spans="1:26">
      <c r="A11" s="159" t="s">
        <v>73</v>
      </c>
      <c r="B11">
        <v>113</v>
      </c>
      <c r="C11">
        <v>95</v>
      </c>
      <c r="D11">
        <v>58</v>
      </c>
      <c r="E11">
        <v>29</v>
      </c>
      <c r="F11">
        <v>97</v>
      </c>
      <c r="G11">
        <v>21</v>
      </c>
      <c r="H11">
        <v>249.89999999999998</v>
      </c>
      <c r="I11" s="14">
        <v>249.01677523926662</v>
      </c>
      <c r="J11" s="259">
        <v>197.45235635016829</v>
      </c>
      <c r="K11" s="260">
        <v>194.80458310641851</v>
      </c>
      <c r="L11" s="16">
        <v>95</v>
      </c>
      <c r="M11" s="16">
        <v>74</v>
      </c>
      <c r="N11" s="230">
        <v>45</v>
      </c>
      <c r="O11" s="230">
        <v>34</v>
      </c>
      <c r="Q11">
        <v>10</v>
      </c>
      <c r="S11">
        <v>10</v>
      </c>
      <c r="T11">
        <v>102</v>
      </c>
      <c r="U11" s="15">
        <v>0</v>
      </c>
      <c r="V11" s="15">
        <v>1</v>
      </c>
      <c r="W11">
        <v>-18</v>
      </c>
      <c r="X11" t="e">
        <f>VLOOKUP(Table221[[#This Row],[Player]],OddsT5T10!$A:$B,2,FALSE)</f>
        <v>#N/A</v>
      </c>
      <c r="Y11" s="14" t="e">
        <f>Table221[[#This Row],[BDG]]/Table221[[#This Row],[Odds]]</f>
        <v>#N/A</v>
      </c>
      <c r="Z11">
        <v>9</v>
      </c>
    </row>
    <row r="12" spans="1:26">
      <c r="A12" s="159" t="s">
        <v>38</v>
      </c>
      <c r="B12">
        <v>23</v>
      </c>
      <c r="C12">
        <v>148</v>
      </c>
      <c r="D12">
        <v>51</v>
      </c>
      <c r="E12">
        <v>19</v>
      </c>
      <c r="F12">
        <v>80</v>
      </c>
      <c r="G12">
        <v>31</v>
      </c>
      <c r="H12">
        <v>178</v>
      </c>
      <c r="I12" s="14">
        <v>209.52602323641332</v>
      </c>
      <c r="J12" s="259">
        <v>223.5900824946479</v>
      </c>
      <c r="K12" s="260">
        <v>278.4471961440309</v>
      </c>
      <c r="L12" s="16">
        <v>17</v>
      </c>
      <c r="M12" s="16">
        <v>14</v>
      </c>
      <c r="N12" s="230"/>
      <c r="O12" s="230">
        <v>15</v>
      </c>
      <c r="Q12">
        <v>23</v>
      </c>
      <c r="S12">
        <v>23</v>
      </c>
      <c r="T12">
        <v>84</v>
      </c>
      <c r="U12" s="15">
        <v>0</v>
      </c>
      <c r="V12" s="15">
        <v>0</v>
      </c>
      <c r="W12">
        <v>25</v>
      </c>
      <c r="X12" t="e">
        <f>VLOOKUP(Table221[[#This Row],[Player]],OddsT5T10!$A:$B,2,FALSE)</f>
        <v>#N/A</v>
      </c>
      <c r="Y12" s="14" t="e">
        <f>Table221[[#This Row],[BDG]]/Table221[[#This Row],[Odds]]</f>
        <v>#N/A</v>
      </c>
      <c r="Z12">
        <v>9</v>
      </c>
    </row>
    <row r="13" spans="1:26">
      <c r="A13" s="159" t="s">
        <v>33</v>
      </c>
      <c r="B13">
        <v>21</v>
      </c>
      <c r="C13">
        <v>158</v>
      </c>
      <c r="D13">
        <v>26</v>
      </c>
      <c r="E13">
        <v>77</v>
      </c>
      <c r="F13">
        <v>6</v>
      </c>
      <c r="G13">
        <v>8</v>
      </c>
      <c r="H13">
        <v>149.9</v>
      </c>
      <c r="I13" s="14">
        <v>165.63969887070766</v>
      </c>
      <c r="J13" s="259">
        <v>233.90512415100164</v>
      </c>
      <c r="K13" s="260">
        <v>311.95749329954941</v>
      </c>
      <c r="L13" s="16">
        <v>10</v>
      </c>
      <c r="M13" s="16">
        <v>7</v>
      </c>
      <c r="N13" s="230"/>
      <c r="O13" s="230">
        <v>4</v>
      </c>
      <c r="Q13">
        <v>32</v>
      </c>
      <c r="S13">
        <v>32</v>
      </c>
      <c r="T13">
        <v>67</v>
      </c>
      <c r="U13" s="15">
        <v>0</v>
      </c>
      <c r="V13" s="15">
        <v>0.5</v>
      </c>
      <c r="W13">
        <v>79</v>
      </c>
      <c r="X13">
        <f>VLOOKUP(Table221[[#This Row],[Player]],OddsT5T10!$A:$B,2,FALSE)</f>
        <v>7</v>
      </c>
      <c r="Y13" s="14">
        <f>Table221[[#This Row],[BDG]]/Table221[[#This Row],[Odds]]</f>
        <v>33.415017735857376</v>
      </c>
      <c r="Z13">
        <v>9</v>
      </c>
    </row>
    <row r="14" spans="1:26">
      <c r="A14" s="159" t="s">
        <v>66</v>
      </c>
      <c r="B14">
        <v>124</v>
      </c>
      <c r="C14">
        <v>52</v>
      </c>
      <c r="D14">
        <v>14</v>
      </c>
      <c r="E14">
        <v>25</v>
      </c>
      <c r="F14">
        <v>148</v>
      </c>
      <c r="G14">
        <v>40</v>
      </c>
      <c r="H14">
        <v>231.40000000000003</v>
      </c>
      <c r="I14" s="14">
        <v>238.92677301010394</v>
      </c>
      <c r="J14" s="259">
        <v>171.26934801889757</v>
      </c>
      <c r="K14" s="260">
        <v>173.29968975438157</v>
      </c>
      <c r="L14" s="16">
        <v>76</v>
      </c>
      <c r="M14" s="16">
        <v>54</v>
      </c>
      <c r="N14" s="230"/>
      <c r="O14" s="230">
        <v>31</v>
      </c>
      <c r="Q14">
        <v>3</v>
      </c>
      <c r="S14">
        <v>3</v>
      </c>
      <c r="T14">
        <v>100</v>
      </c>
      <c r="U14" s="15">
        <v>0</v>
      </c>
      <c r="V14" s="15">
        <v>0</v>
      </c>
      <c r="W14">
        <v>-31</v>
      </c>
      <c r="X14" t="e">
        <f>VLOOKUP(Table221[[#This Row],[Player]],OddsT5T10!$A:$B,2,FALSE)</f>
        <v>#N/A</v>
      </c>
      <c r="Y14" s="14" t="e">
        <f>Table221[[#This Row],[BDG]]/Table221[[#This Row],[Odds]]</f>
        <v>#N/A</v>
      </c>
      <c r="Z14" s="17">
        <v>13</v>
      </c>
    </row>
    <row r="15" spans="1:26">
      <c r="A15" s="268" t="s">
        <v>74</v>
      </c>
      <c r="B15">
        <v>71</v>
      </c>
      <c r="C15">
        <v>37</v>
      </c>
      <c r="D15">
        <v>28</v>
      </c>
      <c r="E15">
        <v>82</v>
      </c>
      <c r="F15">
        <v>116</v>
      </c>
      <c r="G15">
        <v>29</v>
      </c>
      <c r="H15">
        <v>192.8</v>
      </c>
      <c r="I15" s="14">
        <v>216.89255933153322</v>
      </c>
      <c r="J15" s="259">
        <v>192.8</v>
      </c>
      <c r="K15" s="260">
        <v>216.89255933153322</v>
      </c>
      <c r="L15" s="16">
        <v>29.5</v>
      </c>
      <c r="M15" s="16">
        <v>24</v>
      </c>
      <c r="N15" s="230"/>
      <c r="O15" s="230">
        <v>18</v>
      </c>
      <c r="Q15">
        <v>7</v>
      </c>
      <c r="S15">
        <v>7</v>
      </c>
      <c r="T15">
        <v>74</v>
      </c>
      <c r="U15" s="15"/>
      <c r="V15" s="15"/>
      <c r="X15" t="e">
        <f>VLOOKUP(Table221[[#This Row],[Player]],OddsT5T10!$A:$B,2,FALSE)</f>
        <v>#N/A</v>
      </c>
      <c r="Y15" s="14" t="e">
        <f>Table221[[#This Row],[BDG]]/Table221[[#This Row],[Odds]]</f>
        <v>#N/A</v>
      </c>
      <c r="Z15" s="17">
        <v>25</v>
      </c>
    </row>
    <row r="16" spans="1:26">
      <c r="A16" s="159" t="s">
        <v>40</v>
      </c>
      <c r="B16">
        <v>131</v>
      </c>
      <c r="C16">
        <v>95</v>
      </c>
      <c r="D16">
        <v>90</v>
      </c>
      <c r="E16">
        <v>44</v>
      </c>
      <c r="F16">
        <v>64</v>
      </c>
      <c r="G16">
        <v>29</v>
      </c>
      <c r="H16">
        <v>278</v>
      </c>
      <c r="I16" s="14">
        <v>287.85776274748076</v>
      </c>
      <c r="J16" s="259">
        <v>167.39007840435005</v>
      </c>
      <c r="K16" s="260">
        <v>172.95415846727366</v>
      </c>
      <c r="L16" s="16">
        <v>136</v>
      </c>
      <c r="M16" s="16">
        <v>102</v>
      </c>
      <c r="N16" s="230">
        <v>65</v>
      </c>
      <c r="O16" s="230">
        <v>49</v>
      </c>
      <c r="Q16">
        <v>1</v>
      </c>
      <c r="S16">
        <v>1</v>
      </c>
      <c r="T16">
        <v>99</v>
      </c>
      <c r="U16" s="15">
        <v>0</v>
      </c>
      <c r="V16" s="15">
        <v>0</v>
      </c>
      <c r="W16">
        <v>-26</v>
      </c>
      <c r="X16" t="e">
        <f>VLOOKUP(Table221[[#This Row],[Player]],OddsT5T10!$A:$B,2,FALSE)</f>
        <v>#N/A</v>
      </c>
      <c r="Y16" s="14" t="e">
        <f>Table221[[#This Row],[BDG]]/Table221[[#This Row],[Odds]]</f>
        <v>#N/A</v>
      </c>
      <c r="Z16" s="17">
        <v>56</v>
      </c>
    </row>
    <row r="17" spans="1:26">
      <c r="A17" s="159" t="s">
        <v>187</v>
      </c>
      <c r="B17">
        <v>118</v>
      </c>
      <c r="C17">
        <v>5</v>
      </c>
      <c r="D17">
        <v>2</v>
      </c>
      <c r="E17">
        <v>58</v>
      </c>
      <c r="F17">
        <v>104</v>
      </c>
      <c r="G17">
        <v>32</v>
      </c>
      <c r="H17">
        <v>185.3</v>
      </c>
      <c r="I17" s="14">
        <v>191.66288225373791</v>
      </c>
      <c r="J17" s="259">
        <v>257.4948799392962</v>
      </c>
      <c r="K17" s="260">
        <v>300.70406076191966</v>
      </c>
      <c r="L17" s="16">
        <v>23</v>
      </c>
      <c r="M17" s="16">
        <v>19</v>
      </c>
      <c r="N17" s="230"/>
      <c r="O17" s="230">
        <v>8</v>
      </c>
      <c r="Q17">
        <v>53</v>
      </c>
      <c r="S17">
        <v>53</v>
      </c>
      <c r="T17">
        <v>1</v>
      </c>
      <c r="U17" s="15">
        <v>0</v>
      </c>
      <c r="V17" s="15">
        <v>0</v>
      </c>
      <c r="W17">
        <v>69</v>
      </c>
      <c r="X17" t="e">
        <f>VLOOKUP(Table221[[#This Row],[Player]],OddsT5T10!$A:$B,2,FALSE)</f>
        <v>#N/A</v>
      </c>
      <c r="Y17" s="14" t="e">
        <f>Table221[[#This Row],[BDG]]/Table221[[#This Row],[Odds]]</f>
        <v>#N/A</v>
      </c>
      <c r="Z17" s="17">
        <v>73</v>
      </c>
    </row>
    <row r="18" spans="1:26">
      <c r="A18" s="268" t="s">
        <v>551</v>
      </c>
      <c r="B18">
        <v>29</v>
      </c>
      <c r="C18">
        <v>69</v>
      </c>
      <c r="D18">
        <v>6</v>
      </c>
      <c r="E18">
        <v>36</v>
      </c>
      <c r="F18">
        <v>128</v>
      </c>
      <c r="G18">
        <v>32</v>
      </c>
      <c r="H18">
        <v>143.19999999999999</v>
      </c>
      <c r="I18" s="14">
        <v>170.59301271823989</v>
      </c>
      <c r="J18" s="259">
        <v>216.15683117876108</v>
      </c>
      <c r="K18" s="260">
        <v>265.76091407299032</v>
      </c>
      <c r="L18" s="16">
        <v>9</v>
      </c>
      <c r="M18" s="16">
        <v>6</v>
      </c>
      <c r="N18" s="230"/>
      <c r="O18" s="230">
        <v>6</v>
      </c>
      <c r="Q18">
        <v>17</v>
      </c>
      <c r="S18">
        <v>17</v>
      </c>
      <c r="T18">
        <v>47</v>
      </c>
      <c r="U18" s="15">
        <v>0</v>
      </c>
      <c r="V18" s="15">
        <v>0</v>
      </c>
      <c r="W18">
        <v>41</v>
      </c>
      <c r="X18" t="e">
        <f>VLOOKUP(Table221[[#This Row],[Player]],OddsT5T10!$A:$B,2,FALSE)</f>
        <v>#N/A</v>
      </c>
      <c r="Y18" s="14" t="e">
        <f>Table221[[#This Row],[BDG]]/Table221[[#This Row],[Odds]]</f>
        <v>#N/A</v>
      </c>
      <c r="Z18" s="64" t="s">
        <v>587</v>
      </c>
    </row>
    <row r="19" spans="1:26">
      <c r="A19" s="159" t="s">
        <v>115</v>
      </c>
      <c r="B19">
        <v>40</v>
      </c>
      <c r="C19">
        <v>5</v>
      </c>
      <c r="D19">
        <v>66</v>
      </c>
      <c r="E19">
        <v>90</v>
      </c>
      <c r="F19">
        <v>13</v>
      </c>
      <c r="G19">
        <v>16</v>
      </c>
      <c r="H19">
        <v>127.19999999999999</v>
      </c>
      <c r="I19" s="14">
        <v>156.50344113123163</v>
      </c>
      <c r="J19" s="259">
        <v>227.01561236989761</v>
      </c>
      <c r="K19" s="260">
        <v>303.13232181300503</v>
      </c>
      <c r="L19" s="16">
        <v>6</v>
      </c>
      <c r="M19" s="16">
        <v>3</v>
      </c>
      <c r="N19" s="230"/>
      <c r="O19" s="230">
        <v>3</v>
      </c>
      <c r="Q19">
        <v>26</v>
      </c>
      <c r="S19">
        <v>26</v>
      </c>
      <c r="T19">
        <v>60</v>
      </c>
      <c r="U19" s="15">
        <v>0</v>
      </c>
      <c r="V19" s="15">
        <v>0</v>
      </c>
      <c r="W19">
        <v>86</v>
      </c>
      <c r="X19">
        <f>VLOOKUP(Table221[[#This Row],[Player]],OddsT5T10!$A:$B,2,FALSE)</f>
        <v>3.4</v>
      </c>
      <c r="Y19" s="14">
        <f>Table221[[#This Row],[BDG]]/Table221[[#This Row],[Odds]]</f>
        <v>66.769297755852236</v>
      </c>
      <c r="Z19" s="64" t="s">
        <v>587</v>
      </c>
    </row>
    <row r="20" spans="1:26">
      <c r="A20" s="159" t="s">
        <v>48</v>
      </c>
      <c r="B20">
        <v>1</v>
      </c>
      <c r="C20">
        <v>18</v>
      </c>
      <c r="D20">
        <v>31</v>
      </c>
      <c r="E20">
        <v>35</v>
      </c>
      <c r="F20">
        <v>29</v>
      </c>
      <c r="G20">
        <v>2</v>
      </c>
      <c r="H20">
        <v>60.1</v>
      </c>
      <c r="I20" s="14">
        <v>71.632800171105629</v>
      </c>
      <c r="J20" s="259">
        <v>246.14309430267184</v>
      </c>
      <c r="K20" s="260">
        <v>364.10456916578136</v>
      </c>
      <c r="L20" s="16">
        <v>1</v>
      </c>
      <c r="M20" s="16">
        <v>1</v>
      </c>
      <c r="N20" s="230">
        <v>1</v>
      </c>
      <c r="O20" s="230">
        <v>1</v>
      </c>
      <c r="Q20">
        <v>43</v>
      </c>
      <c r="S20">
        <v>43</v>
      </c>
      <c r="T20">
        <v>48</v>
      </c>
      <c r="U20" s="15">
        <v>0</v>
      </c>
      <c r="V20" s="15">
        <v>0.5</v>
      </c>
      <c r="W20">
        <v>147</v>
      </c>
      <c r="X20">
        <f>VLOOKUP(Table221[[#This Row],[Player]],OddsT5T10!$A:$B,2,FALSE)</f>
        <v>7</v>
      </c>
      <c r="Y20" s="14">
        <f>Table221[[#This Row],[BDG]]/Table221[[#This Row],[Odds]]</f>
        <v>35.163299186095976</v>
      </c>
      <c r="Z20" s="64" t="s">
        <v>587</v>
      </c>
    </row>
    <row r="21" spans="1:26">
      <c r="A21" s="159" t="s">
        <v>156</v>
      </c>
      <c r="B21">
        <v>40</v>
      </c>
      <c r="C21">
        <v>48</v>
      </c>
      <c r="D21">
        <v>40</v>
      </c>
      <c r="E21">
        <v>6</v>
      </c>
      <c r="F21">
        <v>56</v>
      </c>
      <c r="G21">
        <v>26</v>
      </c>
      <c r="H21">
        <v>118.4</v>
      </c>
      <c r="I21" s="14">
        <v>138.37396215457107</v>
      </c>
      <c r="J21" s="259">
        <v>260.8848817799302</v>
      </c>
      <c r="K21" s="260">
        <v>346.23799421404129</v>
      </c>
      <c r="L21" s="16">
        <v>5</v>
      </c>
      <c r="M21" s="16">
        <v>2</v>
      </c>
      <c r="N21" s="230"/>
      <c r="O21" s="230">
        <v>2</v>
      </c>
      <c r="Q21">
        <v>55</v>
      </c>
      <c r="S21">
        <v>55</v>
      </c>
      <c r="T21">
        <v>15</v>
      </c>
      <c r="U21" s="15">
        <v>0</v>
      </c>
      <c r="V21" s="15">
        <v>0</v>
      </c>
      <c r="W21">
        <v>119</v>
      </c>
      <c r="X21">
        <f>VLOOKUP(Table221[[#This Row],[Player]],OddsT5T10!$A:$B,2,FALSE)</f>
        <v>11</v>
      </c>
      <c r="Y21" s="14">
        <f>Table221[[#This Row],[BDG]]/Table221[[#This Row],[Odds]]</f>
        <v>23.71680743453911</v>
      </c>
      <c r="Z21" s="64" t="s">
        <v>587</v>
      </c>
    </row>
    <row r="22" spans="1:26">
      <c r="A22" s="159" t="s">
        <v>548</v>
      </c>
      <c r="B22">
        <v>39</v>
      </c>
      <c r="C22">
        <v>89</v>
      </c>
      <c r="D22">
        <v>33</v>
      </c>
      <c r="E22">
        <v>106</v>
      </c>
      <c r="F22">
        <v>63</v>
      </c>
      <c r="G22">
        <v>22</v>
      </c>
      <c r="H22">
        <v>176.6</v>
      </c>
      <c r="I22" s="14">
        <v>207.46250195855163</v>
      </c>
      <c r="J22" s="259">
        <v>177.80642279581937</v>
      </c>
      <c r="K22" s="260">
        <v>208.46325980819711</v>
      </c>
      <c r="L22" s="16">
        <v>15</v>
      </c>
      <c r="M22" s="16">
        <v>12</v>
      </c>
      <c r="N22" s="230"/>
      <c r="O22" s="230">
        <v>13</v>
      </c>
      <c r="Q22">
        <v>4</v>
      </c>
      <c r="S22">
        <v>4</v>
      </c>
      <c r="T22">
        <v>79</v>
      </c>
      <c r="U22" s="15"/>
      <c r="V22" s="15"/>
      <c r="X22" t="e">
        <f>VLOOKUP(Table221[[#This Row],[Player]],OddsT5T10!$A:$B,2,FALSE)</f>
        <v>#N/A</v>
      </c>
      <c r="Y22" s="14" t="e">
        <f>Table221[[#This Row],[BDG]]/Table221[[#This Row],[Odds]]</f>
        <v>#N/A</v>
      </c>
    </row>
    <row r="23" spans="1:26">
      <c r="A23" s="159" t="s">
        <v>58</v>
      </c>
      <c r="B23">
        <v>62</v>
      </c>
      <c r="C23">
        <v>90</v>
      </c>
      <c r="D23">
        <v>13</v>
      </c>
      <c r="E23">
        <v>82</v>
      </c>
      <c r="F23">
        <v>85</v>
      </c>
      <c r="G23">
        <v>39</v>
      </c>
      <c r="H23">
        <v>185.20000000000002</v>
      </c>
      <c r="I23" s="14">
        <v>219.05061047209472</v>
      </c>
      <c r="J23" s="259">
        <v>195.04187017642121</v>
      </c>
      <c r="K23" s="260">
        <v>228.7317314282468</v>
      </c>
      <c r="L23" s="16">
        <v>22</v>
      </c>
      <c r="M23" s="16">
        <v>18</v>
      </c>
      <c r="N23" s="230"/>
      <c r="O23" s="230">
        <v>19</v>
      </c>
      <c r="Q23">
        <v>8</v>
      </c>
      <c r="S23">
        <v>8</v>
      </c>
      <c r="T23">
        <v>92</v>
      </c>
      <c r="U23" s="15">
        <v>0</v>
      </c>
      <c r="V23" s="15">
        <v>0.5</v>
      </c>
      <c r="W23">
        <v>-15</v>
      </c>
      <c r="X23" t="e">
        <f>VLOOKUP(Table221[[#This Row],[Player]],OddsT5T10!$A:$B,2,FALSE)</f>
        <v>#N/A</v>
      </c>
      <c r="Y23" s="14" t="e">
        <f>Table221[[#This Row],[BDG]]/Table221[[#This Row],[Odds]]</f>
        <v>#N/A</v>
      </c>
    </row>
    <row r="24" spans="1:26">
      <c r="A24" s="159" t="s">
        <v>114</v>
      </c>
      <c r="B24">
        <v>87</v>
      </c>
      <c r="C24">
        <v>30</v>
      </c>
      <c r="D24">
        <v>44</v>
      </c>
      <c r="E24">
        <v>106</v>
      </c>
      <c r="F24">
        <v>20</v>
      </c>
      <c r="G24">
        <v>23</v>
      </c>
      <c r="H24">
        <v>176.5</v>
      </c>
      <c r="I24" s="14">
        <v>197.9835209183214</v>
      </c>
      <c r="J24" s="259">
        <v>197.39016314866177</v>
      </c>
      <c r="K24" s="260">
        <v>196.3049273435511</v>
      </c>
      <c r="L24" s="16">
        <v>14</v>
      </c>
      <c r="M24" s="16">
        <v>11</v>
      </c>
      <c r="N24" s="230"/>
      <c r="O24" s="230">
        <v>9</v>
      </c>
      <c r="Q24">
        <v>9</v>
      </c>
      <c r="S24">
        <v>9</v>
      </c>
      <c r="T24">
        <v>90</v>
      </c>
      <c r="U24" s="15">
        <v>0</v>
      </c>
      <c r="V24" s="15">
        <v>0</v>
      </c>
      <c r="W24">
        <v>-7</v>
      </c>
      <c r="X24" t="e">
        <f>VLOOKUP(Table221[[#This Row],[Player]],OddsT5T10!$A:$B,2,FALSE)</f>
        <v>#N/A</v>
      </c>
      <c r="Y24" s="14" t="e">
        <f>Table221[[#This Row],[BDG]]/Table221[[#This Row],[Odds]]</f>
        <v>#N/A</v>
      </c>
    </row>
    <row r="25" spans="1:26">
      <c r="A25" s="159" t="s">
        <v>143</v>
      </c>
      <c r="B25">
        <v>98</v>
      </c>
      <c r="C25">
        <v>50</v>
      </c>
      <c r="D25">
        <v>131</v>
      </c>
      <c r="E25">
        <v>50</v>
      </c>
      <c r="F25">
        <v>41</v>
      </c>
      <c r="G25">
        <v>83</v>
      </c>
      <c r="H25">
        <v>245.39999999999998</v>
      </c>
      <c r="I25" s="14">
        <v>327.23078938524145</v>
      </c>
      <c r="J25" s="259">
        <v>209.90577142826157</v>
      </c>
      <c r="K25" s="260">
        <v>225.29015136032442</v>
      </c>
      <c r="L25" s="16">
        <v>90</v>
      </c>
      <c r="M25" s="16">
        <v>68</v>
      </c>
      <c r="N25" s="230"/>
      <c r="O25" s="230">
        <v>65</v>
      </c>
      <c r="Q25">
        <v>12</v>
      </c>
      <c r="S25">
        <v>12</v>
      </c>
      <c r="T25">
        <v>78</v>
      </c>
      <c r="U25" s="15">
        <v>0</v>
      </c>
      <c r="V25" s="15">
        <v>0</v>
      </c>
      <c r="W25">
        <v>-69</v>
      </c>
      <c r="X25" t="e">
        <f>VLOOKUP(Table221[[#This Row],[Player]],OddsT5T10!$A:$B,2,FALSE)</f>
        <v>#N/A</v>
      </c>
      <c r="Y25" s="14" t="e">
        <f>Table221[[#This Row],[BDG]]/Table221[[#This Row],[Odds]]</f>
        <v>#N/A</v>
      </c>
    </row>
    <row r="26" spans="1:26">
      <c r="A26" s="159" t="s">
        <v>62</v>
      </c>
      <c r="B26">
        <v>63</v>
      </c>
      <c r="C26">
        <v>115</v>
      </c>
      <c r="D26">
        <v>65</v>
      </c>
      <c r="E26">
        <v>54</v>
      </c>
      <c r="F26">
        <v>10</v>
      </c>
      <c r="G26">
        <v>41</v>
      </c>
      <c r="H26">
        <v>186.29999999999998</v>
      </c>
      <c r="I26" s="14">
        <v>225.92106265802451</v>
      </c>
      <c r="J26" s="259">
        <v>211.31739902909646</v>
      </c>
      <c r="K26" s="260">
        <v>273.80192694894879</v>
      </c>
      <c r="L26" s="16">
        <v>26</v>
      </c>
      <c r="M26" s="16">
        <v>22</v>
      </c>
      <c r="N26" s="230"/>
      <c r="O26" s="230">
        <v>24</v>
      </c>
      <c r="Q26">
        <v>13</v>
      </c>
      <c r="S26">
        <v>13</v>
      </c>
      <c r="T26">
        <v>72</v>
      </c>
      <c r="U26" s="15">
        <v>0</v>
      </c>
      <c r="V26" s="15">
        <v>0.5</v>
      </c>
      <c r="W26">
        <v>30</v>
      </c>
      <c r="X26">
        <f>VLOOKUP(Table221[[#This Row],[Player]],OddsT5T10!$A:$B,2,FALSE)</f>
        <v>7</v>
      </c>
      <c r="Y26" s="14">
        <f>Table221[[#This Row],[BDG]]/Table221[[#This Row],[Odds]]</f>
        <v>30.188199861299495</v>
      </c>
    </row>
    <row r="27" spans="1:26">
      <c r="A27" s="159" t="s">
        <v>68</v>
      </c>
      <c r="B27">
        <v>110</v>
      </c>
      <c r="C27">
        <v>65</v>
      </c>
      <c r="D27">
        <v>79</v>
      </c>
      <c r="E27">
        <v>10</v>
      </c>
      <c r="F27">
        <v>58</v>
      </c>
      <c r="G27">
        <v>21</v>
      </c>
      <c r="H27">
        <v>219.8</v>
      </c>
      <c r="I27" s="14">
        <v>221.00716740455539</v>
      </c>
      <c r="J27" s="259">
        <v>211.60902417575267</v>
      </c>
      <c r="K27" s="260">
        <v>230.89803702355653</v>
      </c>
      <c r="L27" s="16">
        <v>54</v>
      </c>
      <c r="M27" s="16">
        <v>41</v>
      </c>
      <c r="N27" s="230"/>
      <c r="O27" s="230">
        <v>21</v>
      </c>
      <c r="Q27">
        <v>14</v>
      </c>
      <c r="S27">
        <v>14</v>
      </c>
      <c r="T27">
        <v>95</v>
      </c>
      <c r="U27" s="15">
        <v>0</v>
      </c>
      <c r="V27" s="15">
        <v>0.5</v>
      </c>
      <c r="W27">
        <v>5</v>
      </c>
      <c r="X27" t="e">
        <f>VLOOKUP(Table221[[#This Row],[Player]],OddsT5T10!$A:$B,2,FALSE)</f>
        <v>#N/A</v>
      </c>
      <c r="Y27" s="14" t="e">
        <f>Table221[[#This Row],[BDG]]/Table221[[#This Row],[Odds]]</f>
        <v>#N/A</v>
      </c>
    </row>
    <row r="28" spans="1:26">
      <c r="A28" s="159" t="s">
        <v>64</v>
      </c>
      <c r="B28">
        <v>105</v>
      </c>
      <c r="C28">
        <v>122</v>
      </c>
      <c r="D28">
        <v>40</v>
      </c>
      <c r="E28">
        <v>45</v>
      </c>
      <c r="F28">
        <v>54</v>
      </c>
      <c r="G28">
        <v>15</v>
      </c>
      <c r="H28">
        <v>228.5</v>
      </c>
      <c r="I28" s="14">
        <v>223.92219590071028</v>
      </c>
      <c r="J28" s="259">
        <v>213.38796708394676</v>
      </c>
      <c r="K28" s="260">
        <v>228.19533676912837</v>
      </c>
      <c r="L28" s="16">
        <v>70</v>
      </c>
      <c r="M28" s="16">
        <v>51</v>
      </c>
      <c r="N28" s="230"/>
      <c r="O28" s="230">
        <v>23</v>
      </c>
      <c r="Q28">
        <v>15</v>
      </c>
      <c r="S28">
        <v>15</v>
      </c>
      <c r="T28">
        <v>94</v>
      </c>
      <c r="U28" s="15">
        <v>0</v>
      </c>
      <c r="V28" s="15">
        <v>0.5</v>
      </c>
      <c r="W28">
        <v>17</v>
      </c>
      <c r="X28" t="e">
        <f>VLOOKUP(Table221[[#This Row],[Player]],OddsT5T10!$A:$B,2,FALSE)</f>
        <v>#N/A</v>
      </c>
      <c r="Y28" s="14" t="e">
        <f>Table221[[#This Row],[BDG]]/Table221[[#This Row],[Odds]]</f>
        <v>#N/A</v>
      </c>
    </row>
    <row r="29" spans="1:26" ht="15.75" customHeight="1">
      <c r="A29" s="159" t="s">
        <v>152</v>
      </c>
      <c r="B29">
        <v>32</v>
      </c>
      <c r="C29">
        <v>1</v>
      </c>
      <c r="D29">
        <v>56</v>
      </c>
      <c r="E29">
        <v>32</v>
      </c>
      <c r="F29">
        <v>110</v>
      </c>
      <c r="G29">
        <v>65</v>
      </c>
      <c r="H29">
        <v>136.30000000000001</v>
      </c>
      <c r="I29" s="14">
        <v>204.40494667666869</v>
      </c>
      <c r="J29" s="259">
        <v>215.98740046070074</v>
      </c>
      <c r="K29" s="260">
        <v>251.59260130801761</v>
      </c>
      <c r="L29" s="16">
        <v>8</v>
      </c>
      <c r="M29" s="16">
        <v>5</v>
      </c>
      <c r="N29" s="230"/>
      <c r="O29" s="230">
        <v>12</v>
      </c>
      <c r="Q29">
        <v>16</v>
      </c>
      <c r="S29">
        <v>16</v>
      </c>
      <c r="T29">
        <v>56</v>
      </c>
      <c r="U29" s="15">
        <v>0</v>
      </c>
      <c r="V29" s="15">
        <v>0</v>
      </c>
      <c r="W29">
        <v>-17</v>
      </c>
      <c r="X29">
        <f>VLOOKUP(Table221[[#This Row],[Player]],OddsT5T10!$A:$B,2,FALSE)</f>
        <v>3.6</v>
      </c>
      <c r="Y29" s="14">
        <f>Table221[[#This Row],[BDG]]/Table221[[#This Row],[Odds]]</f>
        <v>59.996500127972425</v>
      </c>
    </row>
    <row r="30" spans="1:26">
      <c r="A30" s="159" t="s">
        <v>79</v>
      </c>
      <c r="B30">
        <v>6</v>
      </c>
      <c r="C30">
        <v>33</v>
      </c>
      <c r="D30">
        <v>10</v>
      </c>
      <c r="E30">
        <v>46</v>
      </c>
      <c r="F30">
        <v>164</v>
      </c>
      <c r="G30">
        <v>87</v>
      </c>
      <c r="H30">
        <v>129.30000000000001</v>
      </c>
      <c r="I30" s="14">
        <v>220.69935651143254</v>
      </c>
      <c r="J30" s="259">
        <v>218.63878282725571</v>
      </c>
      <c r="K30" s="260">
        <v>291.80666308489361</v>
      </c>
      <c r="L30" s="16">
        <v>7</v>
      </c>
      <c r="M30" s="16">
        <v>4</v>
      </c>
      <c r="N30" s="230"/>
      <c r="O30" s="230">
        <v>20</v>
      </c>
      <c r="Q30">
        <v>18</v>
      </c>
      <c r="S30">
        <v>18</v>
      </c>
      <c r="T30">
        <v>70</v>
      </c>
      <c r="U30" s="15">
        <v>0</v>
      </c>
      <c r="V30" s="15">
        <v>0</v>
      </c>
      <c r="W30">
        <v>-20</v>
      </c>
      <c r="X30">
        <f>VLOOKUP(Table221[[#This Row],[Player]],OddsT5T10!$A:$B,2,FALSE)</f>
        <v>8</v>
      </c>
      <c r="Y30" s="14">
        <f>Table221[[#This Row],[BDG]]/Table221[[#This Row],[Odds]]</f>
        <v>27.329847853406964</v>
      </c>
    </row>
    <row r="31" spans="1:26">
      <c r="A31" s="159" t="s">
        <v>88</v>
      </c>
      <c r="B31">
        <v>15</v>
      </c>
      <c r="C31">
        <v>3</v>
      </c>
      <c r="D31">
        <v>96</v>
      </c>
      <c r="E31">
        <v>78</v>
      </c>
      <c r="F31">
        <v>77</v>
      </c>
      <c r="G31">
        <v>41</v>
      </c>
      <c r="H31">
        <v>151.89999999999998</v>
      </c>
      <c r="I31" s="14">
        <v>215.12903042310916</v>
      </c>
      <c r="J31" s="259">
        <v>219.58666843912906</v>
      </c>
      <c r="K31" s="260">
        <v>290.52687403527938</v>
      </c>
      <c r="L31" s="16">
        <v>12</v>
      </c>
      <c r="M31" s="16">
        <v>9</v>
      </c>
      <c r="N31" s="230"/>
      <c r="O31" s="230">
        <v>16</v>
      </c>
      <c r="Q31">
        <v>19</v>
      </c>
      <c r="S31">
        <v>19</v>
      </c>
      <c r="T31">
        <v>53</v>
      </c>
      <c r="U31" s="15">
        <v>0</v>
      </c>
      <c r="V31" s="15">
        <v>0</v>
      </c>
      <c r="W31">
        <v>24</v>
      </c>
      <c r="X31" t="e">
        <f>VLOOKUP(Table221[[#This Row],[Player]],OddsT5T10!$A:$B,2,FALSE)</f>
        <v>#N/A</v>
      </c>
      <c r="Y31" s="14" t="e">
        <f>Table221[[#This Row],[BDG]]/Table221[[#This Row],[Odds]]</f>
        <v>#N/A</v>
      </c>
    </row>
    <row r="32" spans="1:26">
      <c r="A32" s="159" t="s">
        <v>125</v>
      </c>
      <c r="B32">
        <v>91</v>
      </c>
      <c r="C32">
        <v>15</v>
      </c>
      <c r="D32">
        <v>92</v>
      </c>
      <c r="E32">
        <v>116</v>
      </c>
      <c r="F32">
        <v>14</v>
      </c>
      <c r="G32">
        <v>20</v>
      </c>
      <c r="H32">
        <v>207.20000000000002</v>
      </c>
      <c r="I32" s="14">
        <v>233.9680084403646</v>
      </c>
      <c r="J32" s="259">
        <v>220.34365888076897</v>
      </c>
      <c r="K32" s="260">
        <v>254.2224979645658</v>
      </c>
      <c r="L32" s="16">
        <v>40</v>
      </c>
      <c r="M32" s="16">
        <v>31</v>
      </c>
      <c r="N32" s="230"/>
      <c r="O32" s="230">
        <v>25</v>
      </c>
      <c r="Q32">
        <v>20</v>
      </c>
      <c r="S32">
        <v>20</v>
      </c>
      <c r="T32">
        <v>89</v>
      </c>
      <c r="U32" s="15">
        <v>0</v>
      </c>
      <c r="V32" s="15">
        <v>0.5</v>
      </c>
      <c r="W32">
        <v>35</v>
      </c>
      <c r="X32" t="e">
        <f>VLOOKUP(Table221[[#This Row],[Player]],OddsT5T10!$A:$B,2,FALSE)</f>
        <v>#N/A</v>
      </c>
      <c r="Y32" s="14" t="e">
        <f>Table221[[#This Row],[BDG]]/Table221[[#This Row],[Odds]]</f>
        <v>#N/A</v>
      </c>
    </row>
    <row r="33" spans="1:25">
      <c r="A33" s="159" t="s">
        <v>544</v>
      </c>
      <c r="B33">
        <v>4</v>
      </c>
      <c r="C33">
        <v>185</v>
      </c>
      <c r="D33">
        <v>168</v>
      </c>
      <c r="E33">
        <v>14</v>
      </c>
      <c r="F33">
        <v>7</v>
      </c>
      <c r="G33">
        <v>30</v>
      </c>
      <c r="H33">
        <v>222.79999999999998</v>
      </c>
      <c r="I33" s="14">
        <v>276.44235679615264</v>
      </c>
      <c r="J33" s="259">
        <v>222.79999999999995</v>
      </c>
      <c r="K33" s="260">
        <v>276.44235679615264</v>
      </c>
      <c r="L33" s="16">
        <v>51</v>
      </c>
      <c r="M33" s="16">
        <v>44</v>
      </c>
      <c r="N33" s="230"/>
      <c r="O33" s="230">
        <v>46</v>
      </c>
      <c r="Q33">
        <v>21</v>
      </c>
      <c r="S33">
        <v>21</v>
      </c>
      <c r="T33">
        <v>96</v>
      </c>
      <c r="U33" s="15">
        <v>0</v>
      </c>
      <c r="V33" s="15">
        <v>0</v>
      </c>
      <c r="X33" t="e">
        <f>VLOOKUP(Table221[[#This Row],[Player]],OddsT5T10!$A:$B,2,FALSE)</f>
        <v>#N/A</v>
      </c>
      <c r="Y33" s="14" t="e">
        <f>Table221[[#This Row],[BDG]]/Table221[[#This Row],[Odds]]</f>
        <v>#N/A</v>
      </c>
    </row>
    <row r="34" spans="1:25">
      <c r="A34" s="159" t="s">
        <v>370</v>
      </c>
      <c r="B34">
        <v>82</v>
      </c>
      <c r="C34">
        <v>56</v>
      </c>
      <c r="D34">
        <v>46</v>
      </c>
      <c r="E34">
        <v>117</v>
      </c>
      <c r="F34">
        <v>34</v>
      </c>
      <c r="G34">
        <v>23</v>
      </c>
      <c r="H34">
        <v>197.8</v>
      </c>
      <c r="I34" s="14">
        <v>222.16609223056787</v>
      </c>
      <c r="J34" s="259">
        <v>223.26187058545099</v>
      </c>
      <c r="K34" s="260">
        <v>286.07139969336231</v>
      </c>
      <c r="L34" s="16">
        <v>33</v>
      </c>
      <c r="M34" s="16">
        <v>26</v>
      </c>
      <c r="N34" s="230"/>
      <c r="O34" s="230">
        <v>22</v>
      </c>
      <c r="Q34">
        <v>22</v>
      </c>
      <c r="S34">
        <v>22</v>
      </c>
      <c r="T34">
        <v>73</v>
      </c>
      <c r="U34" s="15">
        <v>0</v>
      </c>
      <c r="V34" s="15">
        <v>0</v>
      </c>
      <c r="W34">
        <v>56</v>
      </c>
      <c r="X34" t="e">
        <f>VLOOKUP(Table221[[#This Row],[Player]],OddsT5T10!$A:$B,2,FALSE)</f>
        <v>#N/A</v>
      </c>
      <c r="Y34" s="14" t="e">
        <f>Table221[[#This Row],[BDG]]/Table221[[#This Row],[Odds]]</f>
        <v>#N/A</v>
      </c>
    </row>
    <row r="35" spans="1:25">
      <c r="A35" s="159" t="s">
        <v>135</v>
      </c>
      <c r="B35">
        <v>159</v>
      </c>
      <c r="C35">
        <v>12</v>
      </c>
      <c r="D35">
        <v>4</v>
      </c>
      <c r="E35">
        <v>67</v>
      </c>
      <c r="F35">
        <v>108</v>
      </c>
      <c r="G35">
        <v>11</v>
      </c>
      <c r="H35">
        <v>232.70000000000002</v>
      </c>
      <c r="I35" s="14">
        <v>207.89163011023828</v>
      </c>
      <c r="J35" s="259">
        <v>225.52495916170585</v>
      </c>
      <c r="K35" s="260">
        <v>208.11670711364849</v>
      </c>
      <c r="L35" s="16">
        <v>78</v>
      </c>
      <c r="M35" s="16">
        <v>56</v>
      </c>
      <c r="N35" s="230"/>
      <c r="O35" s="230">
        <v>14</v>
      </c>
      <c r="Q35">
        <v>24</v>
      </c>
      <c r="S35">
        <v>24</v>
      </c>
      <c r="T35">
        <v>101</v>
      </c>
      <c r="U35" s="15">
        <v>0</v>
      </c>
      <c r="V35" s="15">
        <v>1</v>
      </c>
      <c r="W35">
        <v>0</v>
      </c>
      <c r="X35" t="e">
        <f>VLOOKUP(Table221[[#This Row],[Player]],OddsT5T10!$A:$B,2,FALSE)</f>
        <v>#N/A</v>
      </c>
      <c r="Y35" s="14" t="e">
        <f>Table221[[#This Row],[BDG]]/Table221[[#This Row],[Odds]]</f>
        <v>#N/A</v>
      </c>
    </row>
    <row r="36" spans="1:25">
      <c r="A36" s="159" t="s">
        <v>555</v>
      </c>
      <c r="B36">
        <v>43</v>
      </c>
      <c r="C36">
        <v>33</v>
      </c>
      <c r="D36">
        <v>139</v>
      </c>
      <c r="E36">
        <v>27</v>
      </c>
      <c r="F36">
        <v>45</v>
      </c>
      <c r="G36">
        <v>41</v>
      </c>
      <c r="H36">
        <v>185.8</v>
      </c>
      <c r="I36" s="14">
        <v>239.11973522652204</v>
      </c>
      <c r="J36" s="259">
        <v>226.69138318461455</v>
      </c>
      <c r="K36" s="260">
        <v>338.73288214486456</v>
      </c>
      <c r="L36" s="16">
        <v>24</v>
      </c>
      <c r="M36" s="16">
        <v>20</v>
      </c>
      <c r="N36" s="230"/>
      <c r="O36" s="230">
        <v>32</v>
      </c>
      <c r="Q36">
        <v>25</v>
      </c>
      <c r="S36">
        <v>25</v>
      </c>
      <c r="T36">
        <v>29</v>
      </c>
      <c r="U36" s="15">
        <v>0</v>
      </c>
      <c r="V36" s="15">
        <v>0</v>
      </c>
      <c r="W36">
        <v>72</v>
      </c>
      <c r="X36" t="e">
        <f>VLOOKUP(Table221[[#This Row],[Player]],OddsT5T10!$A:$B,2,FALSE)</f>
        <v>#N/A</v>
      </c>
      <c r="Y36" s="14" t="e">
        <f>Table221[[#This Row],[BDG]]/Table221[[#This Row],[Odds]]</f>
        <v>#N/A</v>
      </c>
    </row>
    <row r="37" spans="1:25">
      <c r="A37" s="159" t="s">
        <v>130</v>
      </c>
      <c r="B37">
        <v>90</v>
      </c>
      <c r="C37">
        <v>30</v>
      </c>
      <c r="D37">
        <v>27</v>
      </c>
      <c r="E37">
        <v>143</v>
      </c>
      <c r="F37">
        <v>72</v>
      </c>
      <c r="G37">
        <v>59</v>
      </c>
      <c r="H37">
        <v>208.10000000000002</v>
      </c>
      <c r="I37" s="14">
        <v>267.4436881568962</v>
      </c>
      <c r="J37" s="259">
        <v>227.46626066973207</v>
      </c>
      <c r="K37" s="260">
        <v>259.09255163415122</v>
      </c>
      <c r="L37" s="16">
        <v>41</v>
      </c>
      <c r="M37" s="16">
        <v>32</v>
      </c>
      <c r="N37" s="230"/>
      <c r="O37" s="230">
        <v>41</v>
      </c>
      <c r="Q37">
        <v>27</v>
      </c>
      <c r="S37">
        <v>27</v>
      </c>
      <c r="T37">
        <v>66</v>
      </c>
      <c r="U37" s="15">
        <v>0</v>
      </c>
      <c r="V37" s="15">
        <v>0</v>
      </c>
      <c r="W37">
        <v>-25</v>
      </c>
      <c r="X37" t="e">
        <f>VLOOKUP(Table221[[#This Row],[Player]],OddsT5T10!$A:$B,2,FALSE)</f>
        <v>#N/A</v>
      </c>
      <c r="Y37" s="14" t="e">
        <f>Table221[[#This Row],[BDG]]/Table221[[#This Row],[Odds]]</f>
        <v>#N/A</v>
      </c>
    </row>
    <row r="38" spans="1:25">
      <c r="A38" s="159" t="s">
        <v>434</v>
      </c>
      <c r="B38">
        <v>65</v>
      </c>
      <c r="C38">
        <v>158</v>
      </c>
      <c r="D38">
        <v>34</v>
      </c>
      <c r="E38">
        <v>108</v>
      </c>
      <c r="F38">
        <v>26</v>
      </c>
      <c r="G38">
        <v>56</v>
      </c>
      <c r="H38">
        <v>217.5</v>
      </c>
      <c r="I38" s="14">
        <v>274.66274896684234</v>
      </c>
      <c r="J38" s="259">
        <v>228.16731735250815</v>
      </c>
      <c r="K38" s="260">
        <v>276.6333471016718</v>
      </c>
      <c r="L38" s="16">
        <v>53</v>
      </c>
      <c r="M38" s="16">
        <v>40</v>
      </c>
      <c r="N38" s="230"/>
      <c r="O38" s="230">
        <v>44</v>
      </c>
      <c r="Q38">
        <v>28</v>
      </c>
      <c r="S38">
        <v>28</v>
      </c>
      <c r="T38">
        <v>33</v>
      </c>
      <c r="U38" s="15">
        <v>0</v>
      </c>
      <c r="V38" s="15">
        <v>0</v>
      </c>
      <c r="X38" t="e">
        <f>VLOOKUP(Table221[[#This Row],[Player]],OddsT5T10!$A:$B,2,FALSE)</f>
        <v>#N/A</v>
      </c>
      <c r="Y38" s="14" t="e">
        <f>Table221[[#This Row],[BDG]]/Table221[[#This Row],[Odds]]</f>
        <v>#N/A</v>
      </c>
    </row>
    <row r="39" spans="1:25">
      <c r="A39" s="159" t="s">
        <v>113</v>
      </c>
      <c r="B39">
        <v>153</v>
      </c>
      <c r="C39">
        <v>72</v>
      </c>
      <c r="D39">
        <v>20</v>
      </c>
      <c r="E39">
        <v>114</v>
      </c>
      <c r="F39">
        <v>27</v>
      </c>
      <c r="G39">
        <v>11</v>
      </c>
      <c r="H39">
        <v>246.8</v>
      </c>
      <c r="I39" s="14">
        <v>234.06131160198464</v>
      </c>
      <c r="J39" s="259">
        <v>232.1324386403013</v>
      </c>
      <c r="K39" s="260">
        <v>227.34218762919124</v>
      </c>
      <c r="L39" s="16">
        <v>92</v>
      </c>
      <c r="M39" s="16">
        <v>71</v>
      </c>
      <c r="N39" s="230">
        <v>36</v>
      </c>
      <c r="O39" s="230">
        <v>26</v>
      </c>
      <c r="Q39">
        <v>29</v>
      </c>
      <c r="S39">
        <v>29</v>
      </c>
      <c r="T39">
        <v>97</v>
      </c>
      <c r="U39" s="15">
        <v>0</v>
      </c>
      <c r="V39" s="15">
        <v>0.5</v>
      </c>
      <c r="W39">
        <v>6</v>
      </c>
      <c r="X39" t="e">
        <f>VLOOKUP(Table221[[#This Row],[Player]],OddsT5T10!$A:$B,2,FALSE)</f>
        <v>#N/A</v>
      </c>
      <c r="Y39" s="14" t="e">
        <f>Table221[[#This Row],[BDG]]/Table221[[#This Row],[Odds]]</f>
        <v>#N/A</v>
      </c>
    </row>
    <row r="40" spans="1:25">
      <c r="A40" s="159" t="s">
        <v>56</v>
      </c>
      <c r="B40">
        <v>109</v>
      </c>
      <c r="C40">
        <v>52</v>
      </c>
      <c r="D40">
        <v>78</v>
      </c>
      <c r="E40">
        <v>41</v>
      </c>
      <c r="F40">
        <v>121</v>
      </c>
      <c r="G40">
        <v>74</v>
      </c>
      <c r="H40">
        <v>255.6</v>
      </c>
      <c r="I40" s="14">
        <v>314.37200604423066</v>
      </c>
      <c r="J40" s="259">
        <v>233.94788561187335</v>
      </c>
      <c r="K40" s="260">
        <v>285.93851071928742</v>
      </c>
      <c r="L40" s="16">
        <v>104</v>
      </c>
      <c r="M40" s="16">
        <v>80</v>
      </c>
      <c r="N40" s="230">
        <v>80</v>
      </c>
      <c r="O40" s="230">
        <v>58</v>
      </c>
      <c r="Q40">
        <v>33</v>
      </c>
      <c r="S40">
        <v>33</v>
      </c>
      <c r="T40">
        <v>76</v>
      </c>
      <c r="U40" s="15">
        <v>0</v>
      </c>
      <c r="V40" s="15">
        <v>0</v>
      </c>
      <c r="W40">
        <v>-33</v>
      </c>
      <c r="X40" t="e">
        <f>VLOOKUP(Table221[[#This Row],[Player]],OddsT5T10!$A:$B,2,FALSE)</f>
        <v>#N/A</v>
      </c>
      <c r="Y40" s="14" t="e">
        <f>Table221[[#This Row],[BDG]]/Table221[[#This Row],[Odds]]</f>
        <v>#N/A</v>
      </c>
    </row>
    <row r="41" spans="1:25">
      <c r="A41" s="159" t="s">
        <v>110</v>
      </c>
      <c r="B41">
        <v>158</v>
      </c>
      <c r="C41">
        <v>52</v>
      </c>
      <c r="D41">
        <v>11</v>
      </c>
      <c r="E41">
        <v>128</v>
      </c>
      <c r="F41">
        <v>51</v>
      </c>
      <c r="G41">
        <v>29</v>
      </c>
      <c r="H41">
        <v>252.60000000000002</v>
      </c>
      <c r="I41" s="14">
        <v>257.35936638018154</v>
      </c>
      <c r="J41" s="259">
        <v>234.37666618946525</v>
      </c>
      <c r="K41" s="260">
        <v>273.8982199903607</v>
      </c>
      <c r="L41" s="16">
        <v>97</v>
      </c>
      <c r="M41" s="16">
        <v>75</v>
      </c>
      <c r="N41" s="230">
        <v>48</v>
      </c>
      <c r="O41" s="230">
        <v>36</v>
      </c>
      <c r="Q41">
        <v>34</v>
      </c>
      <c r="S41">
        <v>34</v>
      </c>
      <c r="T41">
        <v>91</v>
      </c>
      <c r="U41" s="15">
        <v>0</v>
      </c>
      <c r="V41" s="15">
        <v>0</v>
      </c>
      <c r="W41">
        <v>31</v>
      </c>
      <c r="X41" t="e">
        <f>VLOOKUP(Table221[[#This Row],[Player]],OddsT5T10!$A:$B,2,FALSE)</f>
        <v>#N/A</v>
      </c>
      <c r="Y41" s="14" t="e">
        <f>Table221[[#This Row],[BDG]]/Table221[[#This Row],[Odds]]</f>
        <v>#N/A</v>
      </c>
    </row>
    <row r="42" spans="1:25">
      <c r="A42" s="159" t="s">
        <v>129</v>
      </c>
      <c r="B42">
        <v>45</v>
      </c>
      <c r="C42">
        <v>84</v>
      </c>
      <c r="D42">
        <v>102</v>
      </c>
      <c r="E42">
        <v>18</v>
      </c>
      <c r="F42">
        <v>140</v>
      </c>
      <c r="G42">
        <v>120</v>
      </c>
      <c r="H42">
        <v>231.09999999999997</v>
      </c>
      <c r="I42" s="14">
        <v>353.30232352512036</v>
      </c>
      <c r="J42" s="259">
        <v>235.10024400719055</v>
      </c>
      <c r="K42" s="260">
        <v>271.40570122424685</v>
      </c>
      <c r="L42" s="16">
        <v>75</v>
      </c>
      <c r="M42" s="16">
        <v>53</v>
      </c>
      <c r="N42" s="230"/>
      <c r="O42" s="230">
        <v>81</v>
      </c>
      <c r="Q42">
        <v>35</v>
      </c>
      <c r="S42">
        <v>35</v>
      </c>
      <c r="T42">
        <v>85</v>
      </c>
      <c r="U42" s="15">
        <v>0</v>
      </c>
      <c r="V42" s="15">
        <v>0</v>
      </c>
      <c r="W42">
        <v>-97</v>
      </c>
      <c r="X42" t="e">
        <f>VLOOKUP(Table221[[#This Row],[Player]],OddsT5T10!$A:$B,2,FALSE)</f>
        <v>#N/A</v>
      </c>
      <c r="Y42" s="14" t="e">
        <f>Table221[[#This Row],[BDG]]/Table221[[#This Row],[Odds]]</f>
        <v>#N/A</v>
      </c>
    </row>
    <row r="43" spans="1:25">
      <c r="A43" s="159" t="s">
        <v>118</v>
      </c>
      <c r="B43">
        <v>96</v>
      </c>
      <c r="C43">
        <v>33</v>
      </c>
      <c r="D43">
        <v>33</v>
      </c>
      <c r="E43">
        <v>98</v>
      </c>
      <c r="F43">
        <v>81</v>
      </c>
      <c r="G43">
        <v>41</v>
      </c>
      <c r="H43">
        <v>205.7</v>
      </c>
      <c r="I43" s="14">
        <v>238.61778186165961</v>
      </c>
      <c r="J43" s="259">
        <v>235.22561052926361</v>
      </c>
      <c r="K43" s="260">
        <v>273.54143192051004</v>
      </c>
      <c r="L43" s="16">
        <v>39</v>
      </c>
      <c r="M43" s="16">
        <v>30</v>
      </c>
      <c r="N43" s="230"/>
      <c r="O43" s="230">
        <v>30</v>
      </c>
      <c r="Q43">
        <v>36</v>
      </c>
      <c r="S43">
        <v>36</v>
      </c>
      <c r="T43">
        <v>11</v>
      </c>
      <c r="U43" s="15">
        <v>0</v>
      </c>
      <c r="V43" s="15">
        <v>0</v>
      </c>
      <c r="W43">
        <v>10</v>
      </c>
      <c r="X43" t="e">
        <f>VLOOKUP(Table221[[#This Row],[Player]],OddsT5T10!$A:$B,2,FALSE)</f>
        <v>#N/A</v>
      </c>
      <c r="Y43" s="14" t="e">
        <f>Table221[[#This Row],[BDG]]/Table221[[#This Row],[Odds]]</f>
        <v>#N/A</v>
      </c>
    </row>
    <row r="44" spans="1:25">
      <c r="A44" s="159" t="s">
        <v>97</v>
      </c>
      <c r="B44">
        <v>55</v>
      </c>
      <c r="C44">
        <v>122</v>
      </c>
      <c r="D44">
        <v>91</v>
      </c>
      <c r="E44">
        <v>118</v>
      </c>
      <c r="F44">
        <v>9</v>
      </c>
      <c r="G44">
        <v>32</v>
      </c>
      <c r="H44">
        <v>225.89999999999998</v>
      </c>
      <c r="I44" s="14">
        <v>273.30738782871583</v>
      </c>
      <c r="J44" s="259">
        <v>238.59918732441446</v>
      </c>
      <c r="K44" s="260">
        <v>272.83029199524083</v>
      </c>
      <c r="L44" s="16">
        <v>63</v>
      </c>
      <c r="M44" s="16">
        <v>47</v>
      </c>
      <c r="N44" s="230"/>
      <c r="O44" s="230">
        <v>43</v>
      </c>
      <c r="Q44">
        <v>38</v>
      </c>
      <c r="S44">
        <v>38</v>
      </c>
      <c r="T44">
        <v>59</v>
      </c>
      <c r="U44" s="15">
        <v>0</v>
      </c>
      <c r="V44" s="15">
        <v>0.5</v>
      </c>
      <c r="W44">
        <v>10</v>
      </c>
      <c r="X44">
        <f>VLOOKUP(Table221[[#This Row],[Player]],OddsT5T10!$A:$B,2,FALSE)</f>
        <v>4.75</v>
      </c>
      <c r="Y44" s="14">
        <f>Table221[[#This Row],[BDG]]/Table221[[#This Row],[Odds]]</f>
        <v>50.231407857771465</v>
      </c>
    </row>
    <row r="45" spans="1:25">
      <c r="A45" s="159" t="s">
        <v>11</v>
      </c>
      <c r="B45">
        <v>4</v>
      </c>
      <c r="C45">
        <v>158</v>
      </c>
      <c r="D45">
        <v>135</v>
      </c>
      <c r="E45">
        <v>15</v>
      </c>
      <c r="F45">
        <v>90</v>
      </c>
      <c r="G45">
        <v>108</v>
      </c>
      <c r="H45">
        <v>228.1</v>
      </c>
      <c r="I45" s="14">
        <v>354.07424801233617</v>
      </c>
      <c r="J45" s="259">
        <v>240.6721954511703</v>
      </c>
      <c r="K45" s="260">
        <v>392.56204122010161</v>
      </c>
      <c r="L45" s="16">
        <v>69</v>
      </c>
      <c r="M45" s="16">
        <v>50</v>
      </c>
      <c r="N45" s="230"/>
      <c r="O45" s="230">
        <v>84</v>
      </c>
      <c r="Q45">
        <v>39</v>
      </c>
      <c r="S45">
        <v>39</v>
      </c>
      <c r="T45">
        <v>37</v>
      </c>
      <c r="U45" s="15"/>
      <c r="V45" s="15"/>
      <c r="W45">
        <v>17</v>
      </c>
      <c r="X45">
        <f>VLOOKUP(Table221[[#This Row],[Player]],OddsT5T10!$A:$B,2,FALSE)</f>
        <v>6</v>
      </c>
      <c r="Y45" s="14">
        <f>Table221[[#This Row],[BDG]]/Table221[[#This Row],[Odds]]</f>
        <v>40.112032575195052</v>
      </c>
    </row>
    <row r="46" spans="1:25">
      <c r="A46" s="159" t="s">
        <v>46</v>
      </c>
      <c r="B46">
        <v>43</v>
      </c>
      <c r="C46">
        <v>128</v>
      </c>
      <c r="D46">
        <v>118</v>
      </c>
      <c r="E46">
        <v>78</v>
      </c>
      <c r="F46">
        <v>50</v>
      </c>
      <c r="G46">
        <v>75</v>
      </c>
      <c r="H46">
        <v>241.5</v>
      </c>
      <c r="I46" s="14">
        <v>332.19772519792087</v>
      </c>
      <c r="J46" s="259">
        <v>241.5</v>
      </c>
      <c r="K46" s="260">
        <v>332.19772519792087</v>
      </c>
      <c r="L46" s="16">
        <v>86</v>
      </c>
      <c r="M46" s="16">
        <v>64</v>
      </c>
      <c r="N46" s="230"/>
      <c r="O46" s="230">
        <v>69</v>
      </c>
      <c r="Q46">
        <v>40</v>
      </c>
      <c r="S46">
        <v>40</v>
      </c>
      <c r="T46">
        <v>57</v>
      </c>
      <c r="U46" s="15"/>
      <c r="V46" s="15"/>
      <c r="X46" t="e">
        <f>VLOOKUP(Table221[[#This Row],[Player]],OddsT5T10!$A:$B,2,FALSE)</f>
        <v>#N/A</v>
      </c>
      <c r="Y46" s="14" t="e">
        <f>Table221[[#This Row],[BDG]]/Table221[[#This Row],[Odds]]</f>
        <v>#N/A</v>
      </c>
    </row>
    <row r="47" spans="1:25">
      <c r="A47" s="159" t="s">
        <v>49</v>
      </c>
      <c r="B47">
        <v>70</v>
      </c>
      <c r="C47">
        <v>46</v>
      </c>
      <c r="D47">
        <v>130</v>
      </c>
      <c r="E47">
        <v>89</v>
      </c>
      <c r="F47">
        <v>50</v>
      </c>
      <c r="G47">
        <v>62</v>
      </c>
      <c r="H47">
        <v>237.6</v>
      </c>
      <c r="I47" s="14">
        <v>312.71105841470342</v>
      </c>
      <c r="J47" s="259">
        <v>244.71154490167208</v>
      </c>
      <c r="K47" s="260">
        <v>330.07584010014182</v>
      </c>
      <c r="L47" s="16">
        <v>82</v>
      </c>
      <c r="M47" s="16">
        <v>60</v>
      </c>
      <c r="N47" s="230"/>
      <c r="O47" s="230">
        <v>57</v>
      </c>
      <c r="Q47">
        <v>41</v>
      </c>
      <c r="S47">
        <v>41</v>
      </c>
      <c r="T47">
        <v>69</v>
      </c>
      <c r="U47" s="15">
        <v>0</v>
      </c>
      <c r="V47" s="15">
        <v>0</v>
      </c>
      <c r="W47">
        <v>10</v>
      </c>
      <c r="X47" t="e">
        <f>VLOOKUP(Table221[[#This Row],[Player]],OddsT5T10!$A:$B,2,FALSE)</f>
        <v>#N/A</v>
      </c>
      <c r="Y47" s="14" t="e">
        <f>Table221[[#This Row],[BDG]]/Table221[[#This Row],[Odds]]</f>
        <v>#N/A</v>
      </c>
    </row>
    <row r="48" spans="1:25">
      <c r="A48" s="159" t="s">
        <v>549</v>
      </c>
      <c r="B48">
        <v>16</v>
      </c>
      <c r="C48">
        <v>188</v>
      </c>
      <c r="D48">
        <v>91</v>
      </c>
      <c r="E48">
        <v>104</v>
      </c>
      <c r="F48">
        <v>64</v>
      </c>
      <c r="G48">
        <v>56</v>
      </c>
      <c r="H48">
        <v>245.7</v>
      </c>
      <c r="I48" s="14">
        <v>323.97966072723233</v>
      </c>
      <c r="J48" s="259">
        <v>245.7</v>
      </c>
      <c r="K48" s="260">
        <v>323.97966072723233</v>
      </c>
      <c r="L48" s="16"/>
      <c r="M48" s="16">
        <v>70</v>
      </c>
      <c r="N48" s="230"/>
      <c r="O48" s="230">
        <v>64</v>
      </c>
      <c r="Q48">
        <v>42</v>
      </c>
      <c r="S48">
        <v>42</v>
      </c>
      <c r="T48">
        <v>81</v>
      </c>
      <c r="U48" s="15"/>
      <c r="V48" s="15"/>
      <c r="X48" t="e">
        <f>VLOOKUP(Table221[[#This Row],[Player]],OddsT5T10!$A:$B,2,FALSE)</f>
        <v>#N/A</v>
      </c>
      <c r="Y48" s="14" t="e">
        <f>Table221[[#This Row],[BDG]]/Table221[[#This Row],[Odds]]</f>
        <v>#N/A</v>
      </c>
    </row>
    <row r="49" spans="1:25">
      <c r="A49" s="159" t="s">
        <v>162</v>
      </c>
      <c r="B49">
        <v>85</v>
      </c>
      <c r="C49">
        <v>87</v>
      </c>
      <c r="D49">
        <v>77</v>
      </c>
      <c r="E49">
        <v>96</v>
      </c>
      <c r="F49">
        <v>16</v>
      </c>
      <c r="G49">
        <v>65</v>
      </c>
      <c r="H49">
        <v>220.3</v>
      </c>
      <c r="I49" s="14">
        <v>286.82164444555349</v>
      </c>
      <c r="J49" s="259">
        <v>246.58731776153797</v>
      </c>
      <c r="K49" s="260">
        <v>276.29503658580541</v>
      </c>
      <c r="L49" s="16">
        <v>55.5</v>
      </c>
      <c r="M49" s="16">
        <v>43</v>
      </c>
      <c r="N49" s="230"/>
      <c r="O49" s="230">
        <v>48</v>
      </c>
      <c r="Q49">
        <v>44</v>
      </c>
      <c r="S49">
        <v>44</v>
      </c>
      <c r="T49">
        <v>31</v>
      </c>
      <c r="U49" s="15">
        <v>0</v>
      </c>
      <c r="V49" s="15">
        <v>0</v>
      </c>
      <c r="W49">
        <v>-16</v>
      </c>
      <c r="X49">
        <f>VLOOKUP(Table221[[#This Row],[Player]],OddsT5T10!$A:$B,2,FALSE)</f>
        <v>4.5</v>
      </c>
      <c r="Y49" s="14">
        <f>Table221[[#This Row],[BDG]]/Table221[[#This Row],[Odds]]</f>
        <v>54.797181724786213</v>
      </c>
    </row>
    <row r="50" spans="1:25">
      <c r="A50" s="159" t="s">
        <v>36</v>
      </c>
      <c r="B50">
        <v>71</v>
      </c>
      <c r="C50">
        <v>64</v>
      </c>
      <c r="D50">
        <v>76</v>
      </c>
      <c r="E50">
        <v>125</v>
      </c>
      <c r="F50">
        <v>93</v>
      </c>
      <c r="G50">
        <v>99</v>
      </c>
      <c r="H50">
        <v>245.6</v>
      </c>
      <c r="I50" s="14">
        <v>354.06707393787815</v>
      </c>
      <c r="J50" s="259">
        <v>247.37788622541802</v>
      </c>
      <c r="K50" s="260">
        <v>361.9462988364981</v>
      </c>
      <c r="L50" s="16">
        <v>91</v>
      </c>
      <c r="M50" s="16">
        <v>69</v>
      </c>
      <c r="N50" s="230"/>
      <c r="O50" s="230">
        <v>83</v>
      </c>
      <c r="Q50">
        <v>45</v>
      </c>
      <c r="S50">
        <v>45</v>
      </c>
      <c r="T50">
        <v>45</v>
      </c>
      <c r="U50" s="15">
        <v>0</v>
      </c>
      <c r="V50" s="15">
        <v>0</v>
      </c>
      <c r="W50">
        <v>-4</v>
      </c>
      <c r="X50">
        <f>VLOOKUP(Table221[[#This Row],[Player]],OddsT5T10!$A:$B,2,FALSE)</f>
        <v>5.75</v>
      </c>
      <c r="Y50" s="14">
        <f>Table221[[#This Row],[BDG]]/Table221[[#This Row],[Odds]]</f>
        <v>43.022241082681397</v>
      </c>
    </row>
    <row r="51" spans="1:25">
      <c r="A51" s="159" t="s">
        <v>30</v>
      </c>
      <c r="B51">
        <v>27</v>
      </c>
      <c r="C51">
        <v>157</v>
      </c>
      <c r="D51">
        <v>59</v>
      </c>
      <c r="E51">
        <v>17</v>
      </c>
      <c r="F51">
        <v>53</v>
      </c>
      <c r="G51">
        <v>26</v>
      </c>
      <c r="H51">
        <v>177.4</v>
      </c>
      <c r="I51" s="14">
        <v>203.91693747162034</v>
      </c>
      <c r="J51" s="259">
        <v>248.00748152374439</v>
      </c>
      <c r="K51" s="260">
        <v>326.57877048806381</v>
      </c>
      <c r="L51" s="16">
        <v>16</v>
      </c>
      <c r="M51" s="16">
        <v>13</v>
      </c>
      <c r="N51" s="230"/>
      <c r="O51" s="230">
        <v>11</v>
      </c>
      <c r="Q51">
        <v>46</v>
      </c>
      <c r="S51">
        <v>46</v>
      </c>
      <c r="T51">
        <v>42</v>
      </c>
      <c r="U51" s="15">
        <v>0</v>
      </c>
      <c r="V51" s="15">
        <v>0</v>
      </c>
      <c r="W51">
        <v>67</v>
      </c>
      <c r="X51">
        <f>VLOOKUP(Table221[[#This Row],[Player]],OddsT5T10!$A:$B,2,FALSE)</f>
        <v>4.75</v>
      </c>
      <c r="Y51" s="14">
        <f>Table221[[#This Row],[BDG]]/Table221[[#This Row],[Odds]]</f>
        <v>52.21210137341987</v>
      </c>
    </row>
    <row r="52" spans="1:25">
      <c r="A52" s="159" t="s">
        <v>63</v>
      </c>
      <c r="B52">
        <v>78</v>
      </c>
      <c r="C52">
        <v>87</v>
      </c>
      <c r="D52">
        <v>1</v>
      </c>
      <c r="E52">
        <v>121</v>
      </c>
      <c r="F52">
        <v>74</v>
      </c>
      <c r="G52">
        <v>9</v>
      </c>
      <c r="H52">
        <v>199.8</v>
      </c>
      <c r="I52" s="14">
        <v>203.86501232605218</v>
      </c>
      <c r="J52" s="259">
        <v>250.2792696145475</v>
      </c>
      <c r="K52" s="260">
        <v>294.03406677559605</v>
      </c>
      <c r="L52" s="16">
        <v>36</v>
      </c>
      <c r="M52" s="16">
        <v>28</v>
      </c>
      <c r="N52" s="230"/>
      <c r="O52" s="230">
        <v>10</v>
      </c>
      <c r="Q52">
        <v>47</v>
      </c>
      <c r="S52">
        <v>47</v>
      </c>
      <c r="T52">
        <v>82</v>
      </c>
      <c r="U52" s="15">
        <v>0</v>
      </c>
      <c r="V52" s="15">
        <v>0</v>
      </c>
      <c r="W52">
        <v>50</v>
      </c>
      <c r="X52" t="e">
        <f>VLOOKUP(Table221[[#This Row],[Player]],OddsT5T10!$A:$B,2,FALSE)</f>
        <v>#N/A</v>
      </c>
      <c r="Y52" s="14" t="e">
        <f>Table221[[#This Row],[BDG]]/Table221[[#This Row],[Odds]]</f>
        <v>#N/A</v>
      </c>
    </row>
    <row r="53" spans="1:25">
      <c r="A53" s="159" t="s">
        <v>550</v>
      </c>
      <c r="B53">
        <v>39</v>
      </c>
      <c r="C53">
        <v>122</v>
      </c>
      <c r="D53">
        <v>153</v>
      </c>
      <c r="E53">
        <v>1</v>
      </c>
      <c r="F53">
        <v>120</v>
      </c>
      <c r="G53">
        <v>127</v>
      </c>
      <c r="H53">
        <v>263.60000000000002</v>
      </c>
      <c r="I53" s="14">
        <v>399.19774054332345</v>
      </c>
      <c r="J53" s="259">
        <v>253.059674520736</v>
      </c>
      <c r="K53" s="260">
        <v>321.08286692087916</v>
      </c>
      <c r="L53" s="16">
        <v>112</v>
      </c>
      <c r="M53" s="16">
        <v>85</v>
      </c>
      <c r="N53" s="230">
        <v>139</v>
      </c>
      <c r="O53" s="230">
        <v>103</v>
      </c>
      <c r="Q53">
        <v>48</v>
      </c>
      <c r="S53">
        <v>48</v>
      </c>
      <c r="T53">
        <v>54</v>
      </c>
      <c r="U53" s="15"/>
      <c r="V53" s="15"/>
      <c r="W53">
        <v>-75</v>
      </c>
      <c r="X53" t="e">
        <f>VLOOKUP(Table221[[#This Row],[Player]],OddsT5T10!$A:$B,2,FALSE)</f>
        <v>#N/A</v>
      </c>
      <c r="Y53" s="14" t="e">
        <f>Table221[[#This Row],[BDG]]/Table221[[#This Row],[Odds]]</f>
        <v>#N/A</v>
      </c>
    </row>
    <row r="54" spans="1:25">
      <c r="A54" s="159" t="s">
        <v>553</v>
      </c>
      <c r="B54">
        <v>129</v>
      </c>
      <c r="C54">
        <v>102</v>
      </c>
      <c r="D54">
        <v>48</v>
      </c>
      <c r="E54">
        <v>11</v>
      </c>
      <c r="F54">
        <v>61</v>
      </c>
      <c r="G54">
        <v>32</v>
      </c>
      <c r="H54">
        <v>235.60000000000002</v>
      </c>
      <c r="I54" s="14">
        <v>237.00183487021536</v>
      </c>
      <c r="J54" s="259">
        <v>253.56935006404643</v>
      </c>
      <c r="K54" s="260">
        <v>305.22332289751938</v>
      </c>
      <c r="L54" s="16">
        <v>81</v>
      </c>
      <c r="M54" s="16">
        <v>59</v>
      </c>
      <c r="N54" s="230"/>
      <c r="O54" s="230">
        <v>27</v>
      </c>
      <c r="Q54">
        <v>49</v>
      </c>
      <c r="S54">
        <v>49</v>
      </c>
      <c r="T54">
        <v>41</v>
      </c>
      <c r="U54" s="15">
        <v>0</v>
      </c>
      <c r="V54" s="15">
        <v>0</v>
      </c>
      <c r="W54">
        <v>29</v>
      </c>
      <c r="X54" t="e">
        <f>VLOOKUP(Table221[[#This Row],[Player]],OddsT5T10!$A:$B,2,FALSE)</f>
        <v>#N/A</v>
      </c>
      <c r="Y54" s="14" t="e">
        <f>Table221[[#This Row],[BDG]]/Table221[[#This Row],[Odds]]</f>
        <v>#N/A</v>
      </c>
    </row>
    <row r="55" spans="1:25">
      <c r="A55" s="159" t="s">
        <v>28</v>
      </c>
      <c r="B55">
        <v>78</v>
      </c>
      <c r="C55">
        <v>115</v>
      </c>
      <c r="D55">
        <v>44</v>
      </c>
      <c r="E55">
        <v>114</v>
      </c>
      <c r="F55">
        <v>12</v>
      </c>
      <c r="G55">
        <v>65</v>
      </c>
      <c r="H55">
        <v>210.1</v>
      </c>
      <c r="I55" s="14">
        <v>276.05747082746473</v>
      </c>
      <c r="J55" s="259">
        <v>254.10268407909609</v>
      </c>
      <c r="K55" s="260">
        <v>352.49692292640782</v>
      </c>
      <c r="L55" s="16">
        <v>43</v>
      </c>
      <c r="M55" s="16">
        <v>34</v>
      </c>
      <c r="N55" s="230"/>
      <c r="O55" s="230">
        <v>45</v>
      </c>
      <c r="Q55">
        <v>50</v>
      </c>
      <c r="S55">
        <v>50</v>
      </c>
      <c r="T55">
        <v>65</v>
      </c>
      <c r="U55" s="15">
        <v>0</v>
      </c>
      <c r="V55" s="15">
        <v>0</v>
      </c>
      <c r="W55">
        <v>27</v>
      </c>
      <c r="X55">
        <f>VLOOKUP(Table221[[#This Row],[Player]],OddsT5T10!$A:$B,2,FALSE)</f>
        <v>4.2</v>
      </c>
      <c r="Y55" s="14">
        <f>Table221[[#This Row],[BDG]]/Table221[[#This Row],[Odds]]</f>
        <v>60.500639066451448</v>
      </c>
    </row>
    <row r="56" spans="1:25">
      <c r="A56" s="159" t="s">
        <v>50</v>
      </c>
      <c r="B56">
        <v>57</v>
      </c>
      <c r="C56">
        <v>136</v>
      </c>
      <c r="D56">
        <v>109</v>
      </c>
      <c r="E56">
        <v>33</v>
      </c>
      <c r="F56">
        <v>23</v>
      </c>
      <c r="G56">
        <v>41</v>
      </c>
      <c r="H56">
        <v>220.3</v>
      </c>
      <c r="I56" s="14">
        <v>264.39601915692924</v>
      </c>
      <c r="J56" s="259">
        <v>256.68317168444742</v>
      </c>
      <c r="K56" s="260">
        <v>351.02158274577448</v>
      </c>
      <c r="L56" s="16">
        <v>55.5</v>
      </c>
      <c r="M56" s="16">
        <v>42</v>
      </c>
      <c r="N56" s="230"/>
      <c r="O56" s="230">
        <v>39</v>
      </c>
      <c r="Q56">
        <v>51</v>
      </c>
      <c r="S56">
        <v>51</v>
      </c>
      <c r="T56">
        <v>7</v>
      </c>
      <c r="U56" s="15">
        <v>0</v>
      </c>
      <c r="V56" s="15">
        <v>0</v>
      </c>
      <c r="W56">
        <v>78</v>
      </c>
      <c r="X56">
        <f>VLOOKUP(Table221[[#This Row],[Player]],OddsT5T10!$A:$B,2,FALSE)</f>
        <v>7.5</v>
      </c>
      <c r="Y56" s="14">
        <f>Table221[[#This Row],[BDG]]/Table221[[#This Row],[Odds]]</f>
        <v>34.224422891259657</v>
      </c>
    </row>
    <row r="57" spans="1:25">
      <c r="A57" s="159" t="s">
        <v>20</v>
      </c>
      <c r="B57">
        <v>157</v>
      </c>
      <c r="C57">
        <v>115</v>
      </c>
      <c r="D57">
        <v>23</v>
      </c>
      <c r="E57">
        <v>79</v>
      </c>
      <c r="F57">
        <v>100</v>
      </c>
      <c r="G57">
        <v>56</v>
      </c>
      <c r="H57">
        <v>296.5</v>
      </c>
      <c r="I57" s="14">
        <v>320.42267417821529</v>
      </c>
      <c r="J57" s="259">
        <v>256.94203148444899</v>
      </c>
      <c r="K57" s="260">
        <v>307.45558656295646</v>
      </c>
      <c r="L57" s="16">
        <v>147</v>
      </c>
      <c r="M57" s="16">
        <v>109</v>
      </c>
      <c r="N57" s="230">
        <v>84</v>
      </c>
      <c r="O57" s="230">
        <v>62</v>
      </c>
      <c r="Q57">
        <v>52</v>
      </c>
      <c r="S57">
        <v>52</v>
      </c>
      <c r="T57">
        <v>39</v>
      </c>
      <c r="U57" s="15">
        <v>0</v>
      </c>
      <c r="V57" s="15">
        <v>0</v>
      </c>
      <c r="W57">
        <v>6</v>
      </c>
      <c r="X57">
        <f>VLOOKUP(Table221[[#This Row],[Player]],OddsT5T10!$A:$B,2,FALSE)</f>
        <v>7</v>
      </c>
      <c r="Y57" s="14">
        <f>Table221[[#This Row],[BDG]]/Table221[[#This Row],[Odds]]</f>
        <v>36.70600449777843</v>
      </c>
    </row>
    <row r="58" spans="1:25">
      <c r="A58" s="159" t="s">
        <v>14</v>
      </c>
      <c r="B58">
        <v>91</v>
      </c>
      <c r="C58">
        <v>140</v>
      </c>
      <c r="D58">
        <v>117</v>
      </c>
      <c r="E58">
        <v>3</v>
      </c>
      <c r="F58">
        <v>119</v>
      </c>
      <c r="G58">
        <v>32</v>
      </c>
      <c r="H58">
        <v>294.5</v>
      </c>
      <c r="I58" s="14">
        <v>314.6088572404563</v>
      </c>
      <c r="J58" s="259">
        <v>259.57723485786028</v>
      </c>
      <c r="K58" s="260">
        <v>327.60467442457855</v>
      </c>
      <c r="L58" s="16">
        <v>145</v>
      </c>
      <c r="M58" s="16">
        <v>107</v>
      </c>
      <c r="N58" s="230">
        <v>81</v>
      </c>
      <c r="O58" s="230">
        <v>59</v>
      </c>
      <c r="Q58">
        <v>54</v>
      </c>
      <c r="S58">
        <v>54</v>
      </c>
      <c r="T58">
        <v>83</v>
      </c>
      <c r="U58" s="15">
        <v>0</v>
      </c>
      <c r="V58" s="15">
        <v>0.5</v>
      </c>
      <c r="W58">
        <v>25</v>
      </c>
      <c r="X58" t="e">
        <f>VLOOKUP(Table221[[#This Row],[Player]],OddsT5T10!$A:$B,2,FALSE)</f>
        <v>#N/A</v>
      </c>
      <c r="Y58" s="14" t="e">
        <f>Table221[[#This Row],[BDG]]/Table221[[#This Row],[Odds]]</f>
        <v>#N/A</v>
      </c>
    </row>
    <row r="59" spans="1:25">
      <c r="A59" s="159" t="s">
        <v>123</v>
      </c>
      <c r="B59">
        <v>28</v>
      </c>
      <c r="C59">
        <v>57</v>
      </c>
      <c r="D59">
        <v>17</v>
      </c>
      <c r="E59">
        <v>132</v>
      </c>
      <c r="F59">
        <v>157</v>
      </c>
      <c r="G59">
        <v>108</v>
      </c>
      <c r="H59">
        <v>196.9</v>
      </c>
      <c r="I59" s="14">
        <v>317.94492694963549</v>
      </c>
      <c r="J59" s="259">
        <v>261.7293512911358</v>
      </c>
      <c r="K59" s="260">
        <v>352.07943110106413</v>
      </c>
      <c r="L59" s="16">
        <v>32</v>
      </c>
      <c r="M59" s="16">
        <v>25</v>
      </c>
      <c r="N59" s="230"/>
      <c r="O59" s="230">
        <v>60</v>
      </c>
      <c r="Q59">
        <v>56</v>
      </c>
      <c r="S59">
        <v>56</v>
      </c>
      <c r="T59">
        <v>17</v>
      </c>
      <c r="U59" s="15"/>
      <c r="V59" s="15"/>
      <c r="W59">
        <v>-18</v>
      </c>
      <c r="X59" t="e">
        <f>VLOOKUP(Table221[[#This Row],[Player]],OddsT5T10!$A:$B,2,FALSE)</f>
        <v>#N/A</v>
      </c>
      <c r="Y59" s="14" t="e">
        <f>Table221[[#This Row],[BDG]]/Table221[[#This Row],[Odds]]</f>
        <v>#N/A</v>
      </c>
    </row>
    <row r="60" spans="1:25">
      <c r="A60" s="159" t="s">
        <v>121</v>
      </c>
      <c r="B60">
        <v>47</v>
      </c>
      <c r="C60">
        <v>76</v>
      </c>
      <c r="D60">
        <v>151</v>
      </c>
      <c r="E60">
        <v>29</v>
      </c>
      <c r="F60">
        <v>112</v>
      </c>
      <c r="G60">
        <v>108</v>
      </c>
      <c r="H60">
        <v>253.6</v>
      </c>
      <c r="I60" s="14">
        <v>373.17880715140564</v>
      </c>
      <c r="J60" s="259">
        <v>262.55292706371222</v>
      </c>
      <c r="K60" s="260">
        <v>347.0221013220978</v>
      </c>
      <c r="L60" s="16">
        <v>100</v>
      </c>
      <c r="M60" s="16">
        <v>78</v>
      </c>
      <c r="N60" s="230">
        <v>127</v>
      </c>
      <c r="O60" s="230">
        <v>91</v>
      </c>
      <c r="Q60">
        <v>57</v>
      </c>
      <c r="S60">
        <v>57</v>
      </c>
      <c r="T60">
        <v>34</v>
      </c>
      <c r="U60" s="15"/>
      <c r="V60" s="15"/>
      <c r="W60">
        <v>-31</v>
      </c>
      <c r="X60">
        <f>VLOOKUP(Table221[[#This Row],[Player]],OddsT5T10!$A:$B,2,FALSE)</f>
        <v>4.2</v>
      </c>
      <c r="Y60" s="14">
        <f>Table221[[#This Row],[BDG]]/Table221[[#This Row],[Odds]]</f>
        <v>62.512601681836237</v>
      </c>
    </row>
    <row r="61" spans="1:25">
      <c r="A61" s="159" t="s">
        <v>90</v>
      </c>
      <c r="B61">
        <v>139</v>
      </c>
      <c r="C61">
        <v>15</v>
      </c>
      <c r="D61">
        <v>94</v>
      </c>
      <c r="E61">
        <v>141</v>
      </c>
      <c r="F61">
        <v>11</v>
      </c>
      <c r="G61">
        <v>49</v>
      </c>
      <c r="H61">
        <v>260.30000000000007</v>
      </c>
      <c r="I61" s="14">
        <v>306.76243919198197</v>
      </c>
      <c r="J61" s="259">
        <v>263.60178870434777</v>
      </c>
      <c r="K61" s="260">
        <v>335.36523772086861</v>
      </c>
      <c r="L61" s="16">
        <v>110</v>
      </c>
      <c r="M61" s="16">
        <v>83</v>
      </c>
      <c r="N61" s="230">
        <v>73</v>
      </c>
      <c r="O61" s="230">
        <v>53</v>
      </c>
      <c r="Q61">
        <v>58</v>
      </c>
      <c r="S61">
        <v>58</v>
      </c>
      <c r="T61">
        <v>64</v>
      </c>
      <c r="U61" s="15">
        <v>0</v>
      </c>
      <c r="V61" s="15">
        <v>0.5</v>
      </c>
      <c r="W61">
        <v>29</v>
      </c>
      <c r="X61" t="e">
        <f>VLOOKUP(Table221[[#This Row],[Player]],OddsT5T10!$A:$B,2,FALSE)</f>
        <v>#N/A</v>
      </c>
      <c r="Y61" s="14" t="e">
        <f>Table221[[#This Row],[BDG]]/Table221[[#This Row],[Odds]]</f>
        <v>#N/A</v>
      </c>
    </row>
    <row r="62" spans="1:25">
      <c r="A62" s="159" t="s">
        <v>17</v>
      </c>
      <c r="B62">
        <v>53</v>
      </c>
      <c r="C62">
        <v>151</v>
      </c>
      <c r="D62">
        <v>99</v>
      </c>
      <c r="E62">
        <v>157</v>
      </c>
      <c r="F62">
        <v>101</v>
      </c>
      <c r="G62">
        <v>139</v>
      </c>
      <c r="H62">
        <v>305.8</v>
      </c>
      <c r="I62" s="14">
        <v>466.57681663716937</v>
      </c>
      <c r="J62" s="259">
        <v>264.40064932240887</v>
      </c>
      <c r="K62" s="260">
        <v>380.65826273793846</v>
      </c>
      <c r="L62" s="16">
        <v>151</v>
      </c>
      <c r="M62" s="16">
        <v>113</v>
      </c>
      <c r="N62" s="230">
        <v>160</v>
      </c>
      <c r="O62" s="230">
        <v>118</v>
      </c>
      <c r="Q62">
        <v>59</v>
      </c>
      <c r="S62">
        <v>59</v>
      </c>
      <c r="T62">
        <v>55</v>
      </c>
      <c r="U62" s="15"/>
      <c r="V62" s="15"/>
      <c r="W62">
        <v>-70</v>
      </c>
      <c r="X62" t="e">
        <f>VLOOKUP(Table221[[#This Row],[Player]],OddsT5T10!$A:$B,2,FALSE)</f>
        <v>#N/A</v>
      </c>
      <c r="Y62" s="14" t="e">
        <f>Table221[[#This Row],[BDG]]/Table221[[#This Row],[Odds]]</f>
        <v>#N/A</v>
      </c>
    </row>
    <row r="63" spans="1:25">
      <c r="A63" s="159" t="s">
        <v>55</v>
      </c>
      <c r="B63">
        <v>60</v>
      </c>
      <c r="C63">
        <v>110</v>
      </c>
      <c r="D63">
        <v>126</v>
      </c>
      <c r="E63">
        <v>83</v>
      </c>
      <c r="F63">
        <v>91</v>
      </c>
      <c r="G63">
        <v>151</v>
      </c>
      <c r="H63">
        <v>275.89999999999998</v>
      </c>
      <c r="I63" s="14">
        <v>439.49842055790202</v>
      </c>
      <c r="J63" s="259">
        <v>266.12162576020086</v>
      </c>
      <c r="K63" s="260">
        <v>410.94116604783414</v>
      </c>
      <c r="L63" s="16">
        <v>133</v>
      </c>
      <c r="M63" s="16">
        <v>99</v>
      </c>
      <c r="N63" s="230">
        <v>150</v>
      </c>
      <c r="O63" s="230">
        <v>110</v>
      </c>
      <c r="Q63">
        <v>61</v>
      </c>
      <c r="S63">
        <v>61</v>
      </c>
      <c r="T63">
        <v>19</v>
      </c>
      <c r="U63" s="15">
        <v>0</v>
      </c>
      <c r="V63" s="15">
        <v>0</v>
      </c>
      <c r="W63">
        <v>-33</v>
      </c>
      <c r="X63" t="e">
        <f>VLOOKUP(Table221[[#This Row],[Player]],OddsT5T10!$A:$B,2,FALSE)</f>
        <v>#N/A</v>
      </c>
      <c r="Y63" s="14" t="e">
        <f>Table221[[#This Row],[BDG]]/Table221[[#This Row],[Odds]]</f>
        <v>#N/A</v>
      </c>
    </row>
    <row r="64" spans="1:25">
      <c r="A64" s="159" t="s">
        <v>21</v>
      </c>
      <c r="B64">
        <v>12</v>
      </c>
      <c r="C64">
        <v>151</v>
      </c>
      <c r="D64">
        <v>54</v>
      </c>
      <c r="E64">
        <v>73</v>
      </c>
      <c r="F64">
        <v>122</v>
      </c>
      <c r="G64">
        <v>127</v>
      </c>
      <c r="H64">
        <v>214.3</v>
      </c>
      <c r="I64" s="14">
        <v>353.70385918758939</v>
      </c>
      <c r="J64" s="259">
        <v>266.93813145969796</v>
      </c>
      <c r="K64" s="260">
        <v>405.85633413914979</v>
      </c>
      <c r="L64" s="16">
        <v>46.5</v>
      </c>
      <c r="M64" s="16">
        <v>37</v>
      </c>
      <c r="N64" s="230"/>
      <c r="O64" s="230">
        <v>82</v>
      </c>
      <c r="Q64">
        <v>62</v>
      </c>
      <c r="S64">
        <v>62</v>
      </c>
      <c r="T64">
        <v>25</v>
      </c>
      <c r="U64" s="15"/>
      <c r="V64" s="15"/>
      <c r="W64">
        <v>-16</v>
      </c>
      <c r="X64">
        <f>VLOOKUP(Table221[[#This Row],[Player]],OddsT5T10!$A:$B,2,FALSE)</f>
        <v>15</v>
      </c>
      <c r="Y64" s="14">
        <f>Table221[[#This Row],[BDG]]/Table221[[#This Row],[Odds]]</f>
        <v>17.795875430646529</v>
      </c>
    </row>
    <row r="65" spans="1:25">
      <c r="A65" s="159" t="s">
        <v>149</v>
      </c>
      <c r="B65">
        <v>75</v>
      </c>
      <c r="C65">
        <v>26</v>
      </c>
      <c r="D65">
        <v>24</v>
      </c>
      <c r="E65">
        <v>149</v>
      </c>
      <c r="F65">
        <v>46</v>
      </c>
      <c r="G65">
        <v>65</v>
      </c>
      <c r="H65">
        <v>179.9</v>
      </c>
      <c r="I65" s="14">
        <v>250.54010382879693</v>
      </c>
      <c r="J65" s="259">
        <v>268.15935190468048</v>
      </c>
      <c r="K65" s="260">
        <v>347.95013595719274</v>
      </c>
      <c r="L65" s="16">
        <v>19</v>
      </c>
      <c r="M65" s="16">
        <v>15</v>
      </c>
      <c r="N65" s="230"/>
      <c r="O65" s="230">
        <v>35</v>
      </c>
      <c r="Q65">
        <v>63</v>
      </c>
      <c r="S65">
        <v>63</v>
      </c>
      <c r="T65">
        <v>23</v>
      </c>
      <c r="U65" s="15">
        <v>0</v>
      </c>
      <c r="V65" s="15">
        <v>0</v>
      </c>
      <c r="W65">
        <v>49</v>
      </c>
      <c r="X65" t="e">
        <f>VLOOKUP(Table221[[#This Row],[Player]],OddsT5T10!$A:$B,2,FALSE)</f>
        <v>#N/A</v>
      </c>
      <c r="Y65" s="14" t="e">
        <f>Table221[[#This Row],[BDG]]/Table221[[#This Row],[Odds]]</f>
        <v>#N/A</v>
      </c>
    </row>
    <row r="66" spans="1:25">
      <c r="A66" s="159" t="s">
        <v>23</v>
      </c>
      <c r="B66">
        <v>78</v>
      </c>
      <c r="C66">
        <v>109</v>
      </c>
      <c r="D66">
        <v>29</v>
      </c>
      <c r="E66">
        <v>91</v>
      </c>
      <c r="F66">
        <v>99</v>
      </c>
      <c r="G66">
        <v>71</v>
      </c>
      <c r="H66">
        <v>230.9</v>
      </c>
      <c r="I66" s="14">
        <v>295.55942257220852</v>
      </c>
      <c r="J66" s="259">
        <v>268.68008229013299</v>
      </c>
      <c r="K66" s="260">
        <v>362.77346638128489</v>
      </c>
      <c r="L66" s="16">
        <v>74</v>
      </c>
      <c r="M66" s="16">
        <v>52</v>
      </c>
      <c r="N66" s="230"/>
      <c r="O66" s="230">
        <v>50</v>
      </c>
      <c r="Q66">
        <v>64</v>
      </c>
      <c r="S66">
        <v>64</v>
      </c>
      <c r="T66">
        <v>86</v>
      </c>
      <c r="U66" s="15">
        <v>0</v>
      </c>
      <c r="V66" s="15">
        <v>0</v>
      </c>
      <c r="W66">
        <v>20</v>
      </c>
      <c r="X66" t="e">
        <f>VLOOKUP(Table221[[#This Row],[Player]],OddsT5T10!$A:$B,2,FALSE)</f>
        <v>#N/A</v>
      </c>
      <c r="Y66" s="14" t="e">
        <f>Table221[[#This Row],[BDG]]/Table221[[#This Row],[Odds]]</f>
        <v>#N/A</v>
      </c>
    </row>
    <row r="67" spans="1:25">
      <c r="A67" s="159" t="s">
        <v>79</v>
      </c>
      <c r="B67">
        <v>78</v>
      </c>
      <c r="C67">
        <v>109</v>
      </c>
      <c r="D67">
        <v>32</v>
      </c>
      <c r="E67">
        <v>106</v>
      </c>
      <c r="F67">
        <v>161</v>
      </c>
      <c r="G67">
        <v>67</v>
      </c>
      <c r="H67">
        <v>270</v>
      </c>
      <c r="I67" s="14">
        <v>332.68653294555878</v>
      </c>
      <c r="J67" s="259">
        <v>270</v>
      </c>
      <c r="K67" s="260">
        <v>332.68653294555878</v>
      </c>
      <c r="L67" s="16">
        <v>123</v>
      </c>
      <c r="M67" s="16">
        <v>93</v>
      </c>
      <c r="N67" s="230">
        <v>95</v>
      </c>
      <c r="O67" s="230">
        <v>70</v>
      </c>
      <c r="Q67">
        <v>65</v>
      </c>
      <c r="S67">
        <v>65</v>
      </c>
      <c r="T67">
        <v>75</v>
      </c>
      <c r="U67" s="15">
        <v>0</v>
      </c>
      <c r="V67" s="15">
        <v>0</v>
      </c>
      <c r="W67">
        <v>-20</v>
      </c>
      <c r="X67">
        <f>VLOOKUP(Table221[[#This Row],[Player]],OddsT5T10!$A:$B,2,FALSE)</f>
        <v>8</v>
      </c>
      <c r="Y67" s="14">
        <f>Table221[[#This Row],[BDG]]/Table221[[#This Row],[Odds]]</f>
        <v>33.75</v>
      </c>
    </row>
    <row r="68" spans="1:25">
      <c r="A68" s="159" t="s">
        <v>109</v>
      </c>
      <c r="B68">
        <v>37</v>
      </c>
      <c r="C68">
        <v>76</v>
      </c>
      <c r="D68">
        <v>155</v>
      </c>
      <c r="E68">
        <v>139</v>
      </c>
      <c r="F68">
        <v>15</v>
      </c>
      <c r="G68">
        <v>108</v>
      </c>
      <c r="H68">
        <v>242.9</v>
      </c>
      <c r="I68" s="14">
        <v>385.59412167089579</v>
      </c>
      <c r="J68" s="259">
        <v>270.52073243060147</v>
      </c>
      <c r="K68" s="260">
        <v>395.3354612109456</v>
      </c>
      <c r="L68" s="16">
        <v>88</v>
      </c>
      <c r="M68" s="16">
        <v>66</v>
      </c>
      <c r="N68" s="230"/>
      <c r="O68" s="230">
        <v>96</v>
      </c>
      <c r="Q68">
        <v>66</v>
      </c>
      <c r="S68">
        <v>66</v>
      </c>
      <c r="T68">
        <v>62</v>
      </c>
      <c r="U68" s="15"/>
      <c r="V68" s="15"/>
      <c r="W68">
        <v>-11</v>
      </c>
      <c r="X68">
        <f>VLOOKUP(Table221[[#This Row],[Player]],OddsT5T10!$A:$B,2,FALSE)</f>
        <v>7</v>
      </c>
      <c r="Y68" s="14">
        <f>Table221[[#This Row],[BDG]]/Table221[[#This Row],[Odds]]</f>
        <v>38.645818918657355</v>
      </c>
    </row>
    <row r="69" spans="1:25">
      <c r="A69" s="159" t="s">
        <v>98</v>
      </c>
      <c r="B69">
        <v>25</v>
      </c>
      <c r="C69">
        <v>122</v>
      </c>
      <c r="D69">
        <v>112</v>
      </c>
      <c r="E69">
        <v>104</v>
      </c>
      <c r="F69">
        <v>21</v>
      </c>
      <c r="G69">
        <v>65</v>
      </c>
      <c r="H69">
        <v>213.99999999999997</v>
      </c>
      <c r="I69" s="14">
        <v>303.78065769574556</v>
      </c>
      <c r="J69" s="259">
        <v>270.8288632767547</v>
      </c>
      <c r="K69" s="260">
        <v>357.55895699899804</v>
      </c>
      <c r="L69" s="16">
        <v>45</v>
      </c>
      <c r="M69" s="16">
        <v>36</v>
      </c>
      <c r="N69" s="230"/>
      <c r="O69" s="230">
        <v>51</v>
      </c>
      <c r="Q69">
        <v>67</v>
      </c>
      <c r="S69">
        <v>67</v>
      </c>
      <c r="T69">
        <v>28</v>
      </c>
      <c r="U69" s="15">
        <v>0</v>
      </c>
      <c r="V69" s="15">
        <v>0</v>
      </c>
      <c r="W69">
        <v>17</v>
      </c>
      <c r="X69" t="e">
        <f>VLOOKUP(Table221[[#This Row],[Player]],OddsT5T10!$A:$B,2,FALSE)</f>
        <v>#N/A</v>
      </c>
      <c r="Y69" s="14" t="e">
        <f>Table221[[#This Row],[BDG]]/Table221[[#This Row],[Odds]]</f>
        <v>#N/A</v>
      </c>
    </row>
    <row r="70" spans="1:25">
      <c r="A70" s="159" t="s">
        <v>82</v>
      </c>
      <c r="B70">
        <v>98</v>
      </c>
      <c r="C70">
        <v>147</v>
      </c>
      <c r="D70">
        <v>124</v>
      </c>
      <c r="E70">
        <v>68</v>
      </c>
      <c r="F70">
        <v>18</v>
      </c>
      <c r="G70">
        <v>80</v>
      </c>
      <c r="H70">
        <v>284.7</v>
      </c>
      <c r="I70" s="14">
        <v>363.99293596339811</v>
      </c>
      <c r="J70" s="259">
        <v>272.57227610518419</v>
      </c>
      <c r="K70" s="260">
        <v>364.15006990640143</v>
      </c>
      <c r="L70" s="16">
        <v>138</v>
      </c>
      <c r="M70" s="16">
        <v>103</v>
      </c>
      <c r="N70" s="230">
        <v>122</v>
      </c>
      <c r="O70" s="230">
        <v>89</v>
      </c>
      <c r="Q70">
        <v>68</v>
      </c>
      <c r="S70">
        <v>68</v>
      </c>
      <c r="T70">
        <v>63</v>
      </c>
      <c r="U70" s="15">
        <v>0</v>
      </c>
      <c r="V70" s="15">
        <v>0</v>
      </c>
      <c r="W70">
        <v>29</v>
      </c>
      <c r="X70" t="e">
        <f>VLOOKUP(Table221[[#This Row],[Player]],OddsT5T10!$A:$B,2,FALSE)</f>
        <v>#N/A</v>
      </c>
      <c r="Y70" s="14" t="e">
        <f>Table221[[#This Row],[BDG]]/Table221[[#This Row],[Odds]]</f>
        <v>#N/A</v>
      </c>
    </row>
    <row r="71" spans="1:25">
      <c r="A71" s="159" t="s">
        <v>134</v>
      </c>
      <c r="B71">
        <v>141</v>
      </c>
      <c r="C71">
        <v>33</v>
      </c>
      <c r="D71">
        <v>36</v>
      </c>
      <c r="E71">
        <v>53</v>
      </c>
      <c r="F71">
        <v>130</v>
      </c>
      <c r="G71">
        <v>85</v>
      </c>
      <c r="H71">
        <v>254.8</v>
      </c>
      <c r="I71" s="14">
        <v>311.08485628001563</v>
      </c>
      <c r="J71" s="259">
        <v>275.24569159230731</v>
      </c>
      <c r="K71" s="260">
        <v>325.82270416186446</v>
      </c>
      <c r="L71" s="16">
        <v>102</v>
      </c>
      <c r="M71" s="16">
        <v>79</v>
      </c>
      <c r="N71" s="230">
        <v>77</v>
      </c>
      <c r="O71" s="230">
        <v>56</v>
      </c>
      <c r="Q71">
        <v>69</v>
      </c>
      <c r="S71">
        <v>69</v>
      </c>
      <c r="T71">
        <v>43</v>
      </c>
      <c r="U71" s="15">
        <v>0</v>
      </c>
      <c r="V71" s="15">
        <v>0</v>
      </c>
      <c r="W71">
        <v>-18</v>
      </c>
      <c r="X71">
        <f>VLOOKUP(Table221[[#This Row],[Player]],OddsT5T10!$A:$B,2,FALSE)</f>
        <v>7</v>
      </c>
      <c r="Y71" s="14">
        <f>Table221[[#This Row],[BDG]]/Table221[[#This Row],[Odds]]</f>
        <v>39.320813084615331</v>
      </c>
    </row>
    <row r="72" spans="1:25">
      <c r="A72" s="159" t="s">
        <v>146</v>
      </c>
      <c r="B72">
        <v>148</v>
      </c>
      <c r="C72">
        <v>135</v>
      </c>
      <c r="D72">
        <v>24</v>
      </c>
      <c r="E72">
        <v>127</v>
      </c>
      <c r="F72">
        <v>14</v>
      </c>
      <c r="G72">
        <v>54</v>
      </c>
      <c r="H72">
        <v>275.3</v>
      </c>
      <c r="I72" s="14">
        <v>308.80674882320528</v>
      </c>
      <c r="J72" s="259">
        <v>275.3</v>
      </c>
      <c r="K72" s="260">
        <v>308.80674882320528</v>
      </c>
      <c r="L72" s="16">
        <v>131</v>
      </c>
      <c r="M72" s="16">
        <v>97</v>
      </c>
      <c r="N72" s="230">
        <v>76</v>
      </c>
      <c r="O72" s="230">
        <v>55</v>
      </c>
      <c r="Q72">
        <v>70</v>
      </c>
      <c r="S72">
        <v>70</v>
      </c>
      <c r="T72">
        <v>52</v>
      </c>
      <c r="U72" s="15">
        <v>0</v>
      </c>
      <c r="V72" s="15">
        <v>0</v>
      </c>
      <c r="X72">
        <f>VLOOKUP(Table221[[#This Row],[Player]],OddsT5T10!$A:$B,2,FALSE)</f>
        <v>5.5</v>
      </c>
      <c r="Y72" s="14">
        <f>Table221[[#This Row],[BDG]]/Table221[[#This Row],[Odds]]</f>
        <v>50.054545454545455</v>
      </c>
    </row>
    <row r="73" spans="1:25">
      <c r="A73" s="159" t="s">
        <v>106</v>
      </c>
      <c r="B73">
        <v>110</v>
      </c>
      <c r="C73">
        <v>120</v>
      </c>
      <c r="D73">
        <v>42</v>
      </c>
      <c r="E73">
        <v>181</v>
      </c>
      <c r="F73">
        <v>30</v>
      </c>
      <c r="G73">
        <v>88</v>
      </c>
      <c r="H73">
        <v>275.8</v>
      </c>
      <c r="I73" s="14">
        <v>365.97449234875847</v>
      </c>
      <c r="J73" s="259">
        <v>275.8</v>
      </c>
      <c r="K73" s="260">
        <v>365.97449234875847</v>
      </c>
      <c r="L73" s="16">
        <v>132</v>
      </c>
      <c r="M73" s="16">
        <v>98</v>
      </c>
      <c r="N73" s="230">
        <v>124</v>
      </c>
      <c r="O73" s="230">
        <v>90</v>
      </c>
      <c r="Q73">
        <v>71</v>
      </c>
      <c r="S73">
        <v>71</v>
      </c>
      <c r="T73">
        <v>46</v>
      </c>
      <c r="U73" s="15">
        <v>0</v>
      </c>
      <c r="V73" s="15">
        <v>0</v>
      </c>
      <c r="X73" t="e">
        <f>VLOOKUP(Table221[[#This Row],[Player]],OddsT5T10!$A:$B,2,FALSE)</f>
        <v>#N/A</v>
      </c>
      <c r="Y73" s="14" t="e">
        <f>Table221[[#This Row],[BDG]]/Table221[[#This Row],[Odds]]</f>
        <v>#N/A</v>
      </c>
    </row>
    <row r="74" spans="1:25">
      <c r="A74" s="159" t="s">
        <v>80</v>
      </c>
      <c r="B74">
        <v>31</v>
      </c>
      <c r="C74">
        <v>26</v>
      </c>
      <c r="D74">
        <v>145</v>
      </c>
      <c r="E74">
        <v>47</v>
      </c>
      <c r="F74">
        <v>96</v>
      </c>
      <c r="G74">
        <v>106</v>
      </c>
      <c r="H74">
        <v>209.20000000000002</v>
      </c>
      <c r="I74" s="14">
        <v>334.57604155297201</v>
      </c>
      <c r="J74" s="259">
        <v>276.06122126304211</v>
      </c>
      <c r="K74" s="260">
        <v>428.10863085671917</v>
      </c>
      <c r="L74" s="16">
        <v>42</v>
      </c>
      <c r="M74" s="16">
        <v>33</v>
      </c>
      <c r="N74" s="230"/>
      <c r="O74" s="230">
        <v>71</v>
      </c>
      <c r="Q74">
        <v>72</v>
      </c>
      <c r="S74">
        <v>72</v>
      </c>
      <c r="T74">
        <v>32</v>
      </c>
      <c r="U74" s="15">
        <v>0</v>
      </c>
      <c r="V74" s="15">
        <v>0</v>
      </c>
      <c r="W74">
        <v>37</v>
      </c>
      <c r="X74">
        <f>VLOOKUP(Table221[[#This Row],[Player]],OddsT5T10!$A:$B,2,FALSE)</f>
        <v>8.5</v>
      </c>
      <c r="Y74" s="14">
        <f>Table221[[#This Row],[BDG]]/Table221[[#This Row],[Odds]]</f>
        <v>32.477790736828481</v>
      </c>
    </row>
    <row r="75" spans="1:25">
      <c r="A75" s="159" t="s">
        <v>32</v>
      </c>
      <c r="B75">
        <v>19</v>
      </c>
      <c r="C75">
        <v>115</v>
      </c>
      <c r="D75">
        <v>150</v>
      </c>
      <c r="E75">
        <v>60</v>
      </c>
      <c r="F75">
        <v>73</v>
      </c>
      <c r="G75">
        <v>137</v>
      </c>
      <c r="H75">
        <v>240.1</v>
      </c>
      <c r="I75" s="14">
        <v>401.56020216370791</v>
      </c>
      <c r="J75" s="259">
        <v>277.62609854364473</v>
      </c>
      <c r="K75" s="260">
        <v>412.8863169446002</v>
      </c>
      <c r="L75" s="16">
        <v>84</v>
      </c>
      <c r="M75" s="16">
        <v>62</v>
      </c>
      <c r="N75" s="230"/>
      <c r="O75" s="230">
        <v>104</v>
      </c>
      <c r="Q75">
        <v>73</v>
      </c>
      <c r="S75">
        <v>73</v>
      </c>
      <c r="T75">
        <v>30</v>
      </c>
      <c r="U75" s="15">
        <v>0</v>
      </c>
      <c r="V75" s="15">
        <v>0</v>
      </c>
      <c r="W75">
        <v>-54</v>
      </c>
      <c r="X75">
        <f>VLOOKUP(Table221[[#This Row],[Player]],OddsT5T10!$A:$B,2,FALSE)</f>
        <v>6</v>
      </c>
      <c r="Y75" s="14">
        <f>Table221[[#This Row],[BDG]]/Table221[[#This Row],[Odds]]</f>
        <v>46.271016423940786</v>
      </c>
    </row>
    <row r="76" spans="1:25">
      <c r="A76" s="159" t="s">
        <v>8</v>
      </c>
      <c r="B76">
        <v>2</v>
      </c>
      <c r="C76">
        <v>57</v>
      </c>
      <c r="D76">
        <v>158</v>
      </c>
      <c r="E76">
        <v>135</v>
      </c>
      <c r="F76">
        <v>109</v>
      </c>
      <c r="G76">
        <v>87</v>
      </c>
      <c r="H76">
        <v>249.4</v>
      </c>
      <c r="I76" s="14">
        <v>379.91080596863344</v>
      </c>
      <c r="J76" s="259">
        <v>278.86211459264155</v>
      </c>
      <c r="K76" s="260">
        <v>457.48059887590205</v>
      </c>
      <c r="L76" s="16">
        <v>94</v>
      </c>
      <c r="M76" s="16">
        <v>73</v>
      </c>
      <c r="N76" s="230">
        <v>130</v>
      </c>
      <c r="O76" s="230">
        <v>94</v>
      </c>
      <c r="Q76">
        <v>74</v>
      </c>
      <c r="S76">
        <v>74</v>
      </c>
      <c r="T76">
        <v>38</v>
      </c>
      <c r="U76" s="15"/>
      <c r="V76" s="15"/>
      <c r="W76">
        <v>74</v>
      </c>
      <c r="X76" t="e">
        <f>VLOOKUP(Table221[[#This Row],[Player]],OddsT5T10!$A:$B,2,FALSE)</f>
        <v>#N/A</v>
      </c>
      <c r="Y76" s="14" t="e">
        <f>Table221[[#This Row],[BDG]]/Table221[[#This Row],[Odds]]</f>
        <v>#N/A</v>
      </c>
    </row>
    <row r="77" spans="1:25">
      <c r="A77" s="159" t="s">
        <v>108</v>
      </c>
      <c r="B77">
        <v>88</v>
      </c>
      <c r="C77">
        <v>115</v>
      </c>
      <c r="D77">
        <v>3</v>
      </c>
      <c r="E77">
        <v>122</v>
      </c>
      <c r="F77">
        <v>76</v>
      </c>
      <c r="G77">
        <v>41</v>
      </c>
      <c r="H77">
        <v>225.6</v>
      </c>
      <c r="I77" s="14">
        <v>258.72462973252055</v>
      </c>
      <c r="J77" s="259">
        <v>279.63504206538352</v>
      </c>
      <c r="K77" s="260">
        <v>352.59109888153534</v>
      </c>
      <c r="L77" s="16">
        <v>61</v>
      </c>
      <c r="M77" s="16">
        <v>46</v>
      </c>
      <c r="N77" s="230"/>
      <c r="O77" s="230">
        <v>37</v>
      </c>
      <c r="Q77">
        <v>75</v>
      </c>
      <c r="S77">
        <v>75</v>
      </c>
      <c r="T77">
        <v>9</v>
      </c>
      <c r="U77" s="15">
        <v>0</v>
      </c>
      <c r="V77" s="15">
        <v>0</v>
      </c>
      <c r="W77">
        <v>53</v>
      </c>
      <c r="X77" t="e">
        <f>VLOOKUP(Table221[[#This Row],[Player]],OddsT5T10!$A:$B,2,FALSE)</f>
        <v>#N/A</v>
      </c>
      <c r="Y77" s="14" t="e">
        <f>Table221[[#This Row],[BDG]]/Table221[[#This Row],[Odds]]</f>
        <v>#N/A</v>
      </c>
    </row>
    <row r="78" spans="1:25">
      <c r="A78" s="159" t="s">
        <v>100</v>
      </c>
      <c r="B78">
        <v>120</v>
      </c>
      <c r="C78">
        <v>158</v>
      </c>
      <c r="D78">
        <v>12</v>
      </c>
      <c r="E78">
        <v>41</v>
      </c>
      <c r="F78">
        <v>152</v>
      </c>
      <c r="G78">
        <v>139</v>
      </c>
      <c r="H78">
        <v>287.8</v>
      </c>
      <c r="I78" s="14">
        <v>395.81652660155584</v>
      </c>
      <c r="J78" s="259">
        <v>280.3074794785955</v>
      </c>
      <c r="K78" s="260">
        <v>362.41917501130251</v>
      </c>
      <c r="L78" s="16">
        <v>141</v>
      </c>
      <c r="M78" s="16">
        <v>105</v>
      </c>
      <c r="N78" s="230">
        <v>137</v>
      </c>
      <c r="O78" s="230">
        <v>101</v>
      </c>
      <c r="Q78">
        <v>76</v>
      </c>
      <c r="S78">
        <v>76</v>
      </c>
      <c r="T78">
        <v>2</v>
      </c>
      <c r="U78" s="15"/>
      <c r="V78" s="15"/>
      <c r="W78">
        <v>-63</v>
      </c>
      <c r="X78" t="e">
        <f>VLOOKUP(Table221[[#This Row],[Player]],OddsT5T10!$A:$B,2,FALSE)</f>
        <v>#N/A</v>
      </c>
      <c r="Y78" s="14" t="e">
        <f>Table221[[#This Row],[BDG]]/Table221[[#This Row],[Odds]]</f>
        <v>#N/A</v>
      </c>
    </row>
    <row r="79" spans="1:25">
      <c r="A79" s="159" t="s">
        <v>139</v>
      </c>
      <c r="B79">
        <v>134</v>
      </c>
      <c r="C79">
        <v>114</v>
      </c>
      <c r="D79">
        <v>22</v>
      </c>
      <c r="E79">
        <v>145</v>
      </c>
      <c r="F79">
        <v>89</v>
      </c>
      <c r="G79">
        <v>100</v>
      </c>
      <c r="H79">
        <v>295.5</v>
      </c>
      <c r="I79" s="14">
        <v>380.97174656141152</v>
      </c>
      <c r="J79" s="259">
        <v>282.16585330936482</v>
      </c>
      <c r="K79" s="260">
        <v>340.11993817912298</v>
      </c>
      <c r="L79" s="16">
        <v>146</v>
      </c>
      <c r="M79" s="16">
        <v>108</v>
      </c>
      <c r="N79" s="230">
        <v>131</v>
      </c>
      <c r="O79" s="230">
        <v>95</v>
      </c>
      <c r="Q79">
        <v>77</v>
      </c>
      <c r="S79">
        <v>77</v>
      </c>
      <c r="T79">
        <v>61</v>
      </c>
      <c r="U79" s="15">
        <v>0</v>
      </c>
      <c r="V79" s="15">
        <v>0</v>
      </c>
      <c r="W79">
        <v>-42</v>
      </c>
      <c r="X79" t="e">
        <f>VLOOKUP(Table221[[#This Row],[Player]],OddsT5T10!$A:$B,2,FALSE)</f>
        <v>#N/A</v>
      </c>
      <c r="Y79" s="14" t="e">
        <f>Table221[[#This Row],[BDG]]/Table221[[#This Row],[Odds]]</f>
        <v>#N/A</v>
      </c>
    </row>
    <row r="80" spans="1:25">
      <c r="A80" s="159" t="s">
        <v>151</v>
      </c>
      <c r="B80">
        <v>42</v>
      </c>
      <c r="C80">
        <v>33</v>
      </c>
      <c r="D80">
        <v>148</v>
      </c>
      <c r="E80">
        <v>134</v>
      </c>
      <c r="F80">
        <v>42</v>
      </c>
      <c r="G80">
        <v>87</v>
      </c>
      <c r="H80">
        <v>232.5</v>
      </c>
      <c r="I80" s="14">
        <v>351.23541927044124</v>
      </c>
      <c r="J80" s="259">
        <v>284.05870053712272</v>
      </c>
      <c r="K80" s="260">
        <v>383.96817093297125</v>
      </c>
      <c r="L80" s="16">
        <v>77</v>
      </c>
      <c r="M80" s="16">
        <v>55</v>
      </c>
      <c r="N80" s="230"/>
      <c r="O80" s="230">
        <v>80</v>
      </c>
      <c r="Q80">
        <v>78</v>
      </c>
      <c r="S80">
        <v>78</v>
      </c>
      <c r="T80">
        <v>10</v>
      </c>
      <c r="U80" s="15">
        <v>0</v>
      </c>
      <c r="V80" s="15">
        <v>0</v>
      </c>
      <c r="W80">
        <v>13</v>
      </c>
      <c r="X80">
        <f>VLOOKUP(Table221[[#This Row],[Player]],OddsT5T10!$A:$B,2,FALSE)</f>
        <v>4.75</v>
      </c>
      <c r="Y80" s="14">
        <f>Table221[[#This Row],[BDG]]/Table221[[#This Row],[Odds]]</f>
        <v>59.801831692025836</v>
      </c>
    </row>
    <row r="81" spans="1:25">
      <c r="A81" s="159" t="s">
        <v>165</v>
      </c>
      <c r="B81">
        <v>167</v>
      </c>
      <c r="C81">
        <v>75</v>
      </c>
      <c r="D81">
        <v>77</v>
      </c>
      <c r="E81">
        <v>42</v>
      </c>
      <c r="F81">
        <v>53</v>
      </c>
      <c r="G81">
        <v>85</v>
      </c>
      <c r="H81">
        <v>285</v>
      </c>
      <c r="I81" s="14">
        <v>338.70162660156041</v>
      </c>
      <c r="J81" s="259">
        <v>285</v>
      </c>
      <c r="K81" s="260">
        <v>338.70162660156041</v>
      </c>
      <c r="L81" s="16">
        <v>139</v>
      </c>
      <c r="M81" s="16">
        <v>104</v>
      </c>
      <c r="N81" s="230">
        <v>101</v>
      </c>
      <c r="O81" s="230">
        <v>74</v>
      </c>
      <c r="Q81">
        <v>79</v>
      </c>
      <c r="S81">
        <v>79</v>
      </c>
      <c r="T81">
        <v>80</v>
      </c>
      <c r="U81" s="15">
        <v>0</v>
      </c>
      <c r="V81" s="15">
        <v>1</v>
      </c>
      <c r="X81" t="e">
        <f>VLOOKUP(Table221[[#This Row],[Player]],OddsT5T10!$A:$B,2,FALSE)</f>
        <v>#N/A</v>
      </c>
      <c r="Y81" s="14" t="e">
        <f>Table221[[#This Row],[BDG]]/Table221[[#This Row],[Odds]]</f>
        <v>#N/A</v>
      </c>
    </row>
    <row r="82" spans="1:25">
      <c r="A82" s="159" t="s">
        <v>179</v>
      </c>
      <c r="B82">
        <v>155</v>
      </c>
      <c r="C82">
        <v>1</v>
      </c>
      <c r="D82">
        <v>71</v>
      </c>
      <c r="E82">
        <v>2</v>
      </c>
      <c r="F82">
        <v>160</v>
      </c>
      <c r="G82">
        <v>87</v>
      </c>
      <c r="H82">
        <v>270.5</v>
      </c>
      <c r="I82" s="14">
        <v>321.87846617612843</v>
      </c>
      <c r="J82" s="259">
        <v>287.13593539498299</v>
      </c>
      <c r="K82" s="260">
        <v>347.13965460350369</v>
      </c>
      <c r="L82" s="16">
        <v>125</v>
      </c>
      <c r="M82" s="16">
        <v>94</v>
      </c>
      <c r="N82" s="230">
        <v>85</v>
      </c>
      <c r="O82" s="230">
        <v>63</v>
      </c>
      <c r="Q82">
        <v>80</v>
      </c>
      <c r="S82">
        <v>80</v>
      </c>
      <c r="T82">
        <v>8</v>
      </c>
      <c r="U82" s="15"/>
      <c r="V82" s="15"/>
      <c r="W82">
        <v>2</v>
      </c>
      <c r="X82" t="e">
        <f>VLOOKUP(Table221[[#This Row],[Player]],OddsT5T10!$A:$B,2,FALSE)</f>
        <v>#N/A</v>
      </c>
      <c r="Y82" s="14" t="e">
        <f>Table221[[#This Row],[BDG]]/Table221[[#This Row],[Odds]]</f>
        <v>#N/A</v>
      </c>
    </row>
    <row r="83" spans="1:25">
      <c r="A83" s="159" t="s">
        <v>177</v>
      </c>
      <c r="B83">
        <v>128</v>
      </c>
      <c r="C83">
        <v>5</v>
      </c>
      <c r="D83">
        <v>37</v>
      </c>
      <c r="E83">
        <v>34</v>
      </c>
      <c r="F83">
        <v>141</v>
      </c>
      <c r="G83">
        <v>108</v>
      </c>
      <c r="H83">
        <v>227.7</v>
      </c>
      <c r="I83" s="14">
        <v>308.08222388752927</v>
      </c>
      <c r="J83" s="259">
        <v>288.52910728394522</v>
      </c>
      <c r="K83" s="260">
        <v>386.12286877540896</v>
      </c>
      <c r="L83" s="16">
        <v>68</v>
      </c>
      <c r="M83" s="16">
        <v>49</v>
      </c>
      <c r="N83" s="230"/>
      <c r="O83" s="230">
        <v>54</v>
      </c>
      <c r="Q83">
        <v>81</v>
      </c>
      <c r="S83">
        <v>81</v>
      </c>
      <c r="T83">
        <v>3</v>
      </c>
      <c r="U83" s="15">
        <v>0</v>
      </c>
      <c r="V83" s="15">
        <v>0</v>
      </c>
      <c r="W83">
        <v>20</v>
      </c>
      <c r="X83">
        <f>VLOOKUP(Table221[[#This Row],[Player]],OddsT5T10!$A:$B,2,FALSE)</f>
        <v>12</v>
      </c>
      <c r="Y83" s="14">
        <f>Table221[[#This Row],[BDG]]/Table221[[#This Row],[Odds]]</f>
        <v>24.044092273662102</v>
      </c>
    </row>
    <row r="84" spans="1:25">
      <c r="A84" s="159" t="s">
        <v>136</v>
      </c>
      <c r="B84">
        <v>130</v>
      </c>
      <c r="C84">
        <v>5</v>
      </c>
      <c r="D84">
        <v>37</v>
      </c>
      <c r="E84">
        <v>62</v>
      </c>
      <c r="F84">
        <v>145</v>
      </c>
      <c r="G84">
        <v>87</v>
      </c>
      <c r="H84">
        <v>242.70000000000002</v>
      </c>
      <c r="I84" s="14">
        <v>306.07836241940083</v>
      </c>
      <c r="J84" s="259">
        <v>288.54406624113619</v>
      </c>
      <c r="K84" s="260">
        <v>391.46336930940856</v>
      </c>
      <c r="L84" s="16">
        <v>87</v>
      </c>
      <c r="M84" s="16">
        <v>65</v>
      </c>
      <c r="N84" s="230"/>
      <c r="O84" s="230">
        <v>52</v>
      </c>
      <c r="Q84">
        <v>82</v>
      </c>
      <c r="S84">
        <v>82</v>
      </c>
      <c r="T84">
        <v>26</v>
      </c>
      <c r="U84" s="15">
        <v>0</v>
      </c>
      <c r="V84" s="15">
        <v>0</v>
      </c>
      <c r="W84">
        <v>36</v>
      </c>
      <c r="X84">
        <f>VLOOKUP(Table221[[#This Row],[Player]],OddsT5T10!$A:$B,2,FALSE)</f>
        <v>9.5</v>
      </c>
      <c r="Y84" s="14">
        <f>Table221[[#This Row],[BDG]]/Table221[[#This Row],[Odds]]</f>
        <v>30.373059604330127</v>
      </c>
    </row>
    <row r="85" spans="1:25">
      <c r="A85" s="159" t="s">
        <v>60</v>
      </c>
      <c r="B85">
        <v>68</v>
      </c>
      <c r="C85">
        <v>76</v>
      </c>
      <c r="D85">
        <v>118</v>
      </c>
      <c r="E85">
        <v>94</v>
      </c>
      <c r="F85">
        <v>158</v>
      </c>
      <c r="G85">
        <v>139</v>
      </c>
      <c r="H85">
        <v>298.39999999999998</v>
      </c>
      <c r="I85" s="14">
        <v>447.91285857323373</v>
      </c>
      <c r="J85" s="259">
        <v>288.8756095066891</v>
      </c>
      <c r="K85" s="260">
        <v>428.66069288219524</v>
      </c>
      <c r="L85" s="16">
        <v>148</v>
      </c>
      <c r="M85" s="16">
        <v>110</v>
      </c>
      <c r="N85" s="230">
        <v>155</v>
      </c>
      <c r="O85" s="230">
        <v>115</v>
      </c>
      <c r="Q85">
        <v>83</v>
      </c>
      <c r="S85">
        <v>83</v>
      </c>
      <c r="T85">
        <v>12</v>
      </c>
      <c r="U85" s="15"/>
      <c r="V85" s="15"/>
      <c r="W85">
        <v>-36</v>
      </c>
      <c r="X85">
        <f>VLOOKUP(Table221[[#This Row],[Player]],OddsT5T10!$A:$B,2,FALSE)</f>
        <v>15</v>
      </c>
      <c r="Y85" s="14">
        <f>Table221[[#This Row],[BDG]]/Table221[[#This Row],[Odds]]</f>
        <v>19.258373967112608</v>
      </c>
    </row>
    <row r="86" spans="1:25">
      <c r="A86" s="159" t="s">
        <v>137</v>
      </c>
      <c r="B86">
        <v>84</v>
      </c>
      <c r="C86">
        <v>33</v>
      </c>
      <c r="D86">
        <v>8</v>
      </c>
      <c r="E86">
        <v>147</v>
      </c>
      <c r="F86">
        <v>156</v>
      </c>
      <c r="G86">
        <v>106</v>
      </c>
      <c r="H86">
        <v>234.5</v>
      </c>
      <c r="I86" s="14">
        <v>338.9961563138591</v>
      </c>
      <c r="J86" s="259">
        <v>292.59878200919616</v>
      </c>
      <c r="K86" s="260">
        <v>399.18144960045288</v>
      </c>
      <c r="L86" s="16">
        <v>80</v>
      </c>
      <c r="M86" s="16">
        <v>58</v>
      </c>
      <c r="N86" s="230"/>
      <c r="O86" s="230">
        <v>75</v>
      </c>
      <c r="Q86">
        <v>84</v>
      </c>
      <c r="S86">
        <v>84</v>
      </c>
      <c r="T86">
        <v>22</v>
      </c>
      <c r="U86" s="15">
        <v>0</v>
      </c>
      <c r="V86" s="15">
        <v>0</v>
      </c>
      <c r="W86">
        <v>21</v>
      </c>
      <c r="X86">
        <f>VLOOKUP(Table221[[#This Row],[Player]],OddsT5T10!$A:$B,2,FALSE)</f>
        <v>6</v>
      </c>
      <c r="Y86" s="14">
        <f>Table221[[#This Row],[BDG]]/Table221[[#This Row],[Odds]]</f>
        <v>48.766463668199357</v>
      </c>
    </row>
    <row r="87" spans="1:25">
      <c r="A87" s="159" t="s">
        <v>147</v>
      </c>
      <c r="B87">
        <v>75</v>
      </c>
      <c r="C87">
        <v>57</v>
      </c>
      <c r="D87">
        <v>21</v>
      </c>
      <c r="E87">
        <v>129</v>
      </c>
      <c r="F87">
        <v>126</v>
      </c>
      <c r="G87">
        <v>121</v>
      </c>
      <c r="H87">
        <v>225.3</v>
      </c>
      <c r="I87" s="14">
        <v>346.41983244980389</v>
      </c>
      <c r="J87" s="259">
        <v>292.79618062926284</v>
      </c>
      <c r="K87" s="260">
        <v>401.90286320880057</v>
      </c>
      <c r="L87" s="16">
        <v>60</v>
      </c>
      <c r="M87" s="16">
        <v>45</v>
      </c>
      <c r="N87" s="230"/>
      <c r="O87" s="230">
        <v>79</v>
      </c>
      <c r="Q87">
        <v>85</v>
      </c>
      <c r="S87">
        <v>85</v>
      </c>
      <c r="T87">
        <v>16</v>
      </c>
      <c r="U87" s="15">
        <v>0</v>
      </c>
      <c r="V87" s="15">
        <v>0</v>
      </c>
      <c r="W87">
        <v>-14</v>
      </c>
      <c r="X87">
        <f>VLOOKUP(Table221[[#This Row],[Player]],OddsT5T10!$A:$B,2,FALSE)</f>
        <v>6</v>
      </c>
      <c r="Y87" s="14">
        <f>Table221[[#This Row],[BDG]]/Table221[[#This Row],[Odds]]</f>
        <v>48.79936343821047</v>
      </c>
    </row>
    <row r="88" spans="1:25">
      <c r="A88" s="159" t="s">
        <v>53</v>
      </c>
      <c r="B88">
        <v>110</v>
      </c>
      <c r="C88">
        <v>136</v>
      </c>
      <c r="D88">
        <v>100</v>
      </c>
      <c r="E88">
        <v>52</v>
      </c>
      <c r="F88">
        <v>7</v>
      </c>
      <c r="G88">
        <v>26</v>
      </c>
      <c r="H88">
        <v>261.3</v>
      </c>
      <c r="I88" s="14">
        <v>277.15394759781702</v>
      </c>
      <c r="J88" s="259">
        <v>294.76235859983211</v>
      </c>
      <c r="K88" s="260">
        <v>406.54168562552888</v>
      </c>
      <c r="L88" s="16">
        <v>111</v>
      </c>
      <c r="M88" s="16">
        <v>84</v>
      </c>
      <c r="N88" s="230">
        <v>61</v>
      </c>
      <c r="O88" s="230">
        <v>47</v>
      </c>
      <c r="Q88">
        <v>86</v>
      </c>
      <c r="S88">
        <v>86</v>
      </c>
      <c r="T88">
        <v>36</v>
      </c>
      <c r="U88" s="15">
        <v>0</v>
      </c>
      <c r="V88" s="15">
        <v>0</v>
      </c>
      <c r="W88">
        <v>129</v>
      </c>
      <c r="X88" t="e">
        <f>VLOOKUP(Table221[[#This Row],[Player]],OddsT5T10!$A:$B,2,FALSE)</f>
        <v>#N/A</v>
      </c>
      <c r="Y88" s="14" t="e">
        <f>Table221[[#This Row],[BDG]]/Table221[[#This Row],[Odds]]</f>
        <v>#N/A</v>
      </c>
    </row>
    <row r="89" spans="1:25">
      <c r="A89" s="159" t="s">
        <v>161</v>
      </c>
      <c r="B89">
        <v>37</v>
      </c>
      <c r="C89">
        <v>33</v>
      </c>
      <c r="D89">
        <v>152</v>
      </c>
      <c r="E89">
        <v>13</v>
      </c>
      <c r="F89">
        <v>155</v>
      </c>
      <c r="G89">
        <v>144</v>
      </c>
      <c r="H89">
        <v>238.89999999999998</v>
      </c>
      <c r="I89" s="14">
        <v>395.01110831340242</v>
      </c>
      <c r="J89" s="259">
        <v>295.47487953026643</v>
      </c>
      <c r="K89" s="260">
        <v>428.3804913111212</v>
      </c>
      <c r="L89" s="16">
        <v>83</v>
      </c>
      <c r="M89" s="16">
        <v>61</v>
      </c>
      <c r="N89" s="230"/>
      <c r="O89" s="230">
        <v>100</v>
      </c>
      <c r="Q89">
        <v>87</v>
      </c>
      <c r="S89">
        <v>87</v>
      </c>
      <c r="T89">
        <v>4</v>
      </c>
      <c r="U89" s="15"/>
      <c r="V89" s="15"/>
      <c r="W89">
        <v>-8</v>
      </c>
      <c r="X89" t="e">
        <f>VLOOKUP(Table221[[#This Row],[Player]],OddsT5T10!$A:$B,2,FALSE)</f>
        <v>#N/A</v>
      </c>
      <c r="Y89" s="14" t="e">
        <f>Table221[[#This Row],[BDG]]/Table221[[#This Row],[Odds]]</f>
        <v>#N/A</v>
      </c>
    </row>
    <row r="90" spans="1:25">
      <c r="A90" s="159" t="s">
        <v>71</v>
      </c>
      <c r="B90">
        <v>72</v>
      </c>
      <c r="C90">
        <v>57</v>
      </c>
      <c r="D90">
        <v>147</v>
      </c>
      <c r="E90">
        <v>72</v>
      </c>
      <c r="F90">
        <v>132</v>
      </c>
      <c r="G90">
        <v>144</v>
      </c>
      <c r="H90">
        <v>291</v>
      </c>
      <c r="I90" s="14">
        <v>445.93869361180361</v>
      </c>
      <c r="J90" s="259">
        <v>296.39715461287614</v>
      </c>
      <c r="K90" s="260">
        <v>437.35114269319217</v>
      </c>
      <c r="L90" s="16">
        <v>144</v>
      </c>
      <c r="M90" s="16">
        <v>106</v>
      </c>
      <c r="N90" s="230">
        <v>154</v>
      </c>
      <c r="O90" s="230">
        <v>114</v>
      </c>
      <c r="Q90">
        <v>88</v>
      </c>
      <c r="S90">
        <v>88</v>
      </c>
      <c r="T90">
        <v>5</v>
      </c>
      <c r="U90" s="15"/>
      <c r="V90" s="15"/>
      <c r="W90">
        <v>-24</v>
      </c>
      <c r="X90">
        <f>VLOOKUP(Table221[[#This Row],[Player]],OddsT5T10!$A:$B,2,FALSE)</f>
        <v>46</v>
      </c>
      <c r="Y90" s="14">
        <f>Table221[[#This Row],[BDG]]/Table221[[#This Row],[Odds]]</f>
        <v>6.443416404627742</v>
      </c>
    </row>
    <row r="91" spans="1:25">
      <c r="A91" s="159" t="s">
        <v>101</v>
      </c>
      <c r="B91">
        <v>127</v>
      </c>
      <c r="C91">
        <v>65</v>
      </c>
      <c r="D91">
        <v>80</v>
      </c>
      <c r="E91">
        <v>160</v>
      </c>
      <c r="F91">
        <v>147</v>
      </c>
      <c r="G91">
        <v>150</v>
      </c>
      <c r="H91">
        <v>340.3</v>
      </c>
      <c r="I91" s="14">
        <v>489.26414346031362</v>
      </c>
      <c r="J91" s="259">
        <v>298.26568995618817</v>
      </c>
      <c r="K91" s="260">
        <v>398.47227204768183</v>
      </c>
      <c r="L91" s="16">
        <v>165</v>
      </c>
      <c r="M91" s="16">
        <v>122</v>
      </c>
      <c r="N91" s="230">
        <v>165</v>
      </c>
      <c r="O91" s="230">
        <v>121</v>
      </c>
      <c r="Q91">
        <v>89</v>
      </c>
      <c r="S91">
        <v>89</v>
      </c>
      <c r="T91">
        <v>51</v>
      </c>
      <c r="U91" s="15">
        <v>0</v>
      </c>
      <c r="V91" s="15">
        <v>0</v>
      </c>
      <c r="W91">
        <v>-84</v>
      </c>
      <c r="X91" t="e">
        <f>VLOOKUP(Table221[[#This Row],[Player]],OddsT5T10!$A:$B,2,FALSE)</f>
        <v>#N/A</v>
      </c>
      <c r="Y91" s="14" t="e">
        <f>Table221[[#This Row],[BDG]]/Table221[[#This Row],[Odds]]</f>
        <v>#N/A</v>
      </c>
    </row>
    <row r="92" spans="1:25">
      <c r="A92" s="159" t="s">
        <v>104</v>
      </c>
      <c r="B92">
        <v>160</v>
      </c>
      <c r="C92">
        <v>138</v>
      </c>
      <c r="D92">
        <v>62</v>
      </c>
      <c r="E92">
        <v>85</v>
      </c>
      <c r="F92">
        <v>36</v>
      </c>
      <c r="G92">
        <v>62</v>
      </c>
      <c r="H92">
        <v>308.39999999999998</v>
      </c>
      <c r="I92" s="14">
        <v>345.00554304819667</v>
      </c>
      <c r="J92" s="259">
        <v>302.11390227441484</v>
      </c>
      <c r="K92" s="260">
        <v>364.79243539260295</v>
      </c>
      <c r="L92" s="16">
        <v>153</v>
      </c>
      <c r="M92" s="16">
        <v>114</v>
      </c>
      <c r="N92" s="230">
        <v>106</v>
      </c>
      <c r="O92" s="230">
        <v>78</v>
      </c>
      <c r="Q92">
        <v>90</v>
      </c>
      <c r="S92">
        <v>90</v>
      </c>
      <c r="T92">
        <v>71</v>
      </c>
      <c r="U92" s="15">
        <v>0</v>
      </c>
      <c r="V92" s="15">
        <v>0</v>
      </c>
      <c r="W92">
        <v>24</v>
      </c>
      <c r="X92" t="e">
        <f>VLOOKUP(Table221[[#This Row],[Player]],OddsT5T10!$A:$B,2,FALSE)</f>
        <v>#N/A</v>
      </c>
      <c r="Y92" s="14" t="e">
        <f>Table221[[#This Row],[BDG]]/Table221[[#This Row],[Odds]]</f>
        <v>#N/A</v>
      </c>
    </row>
    <row r="93" spans="1:25">
      <c r="A93" s="159" t="s">
        <v>13</v>
      </c>
      <c r="B93">
        <v>98</v>
      </c>
      <c r="C93">
        <v>110</v>
      </c>
      <c r="D93">
        <v>161</v>
      </c>
      <c r="E93">
        <v>97</v>
      </c>
      <c r="F93">
        <v>154</v>
      </c>
      <c r="G93">
        <v>158</v>
      </c>
      <c r="H93">
        <v>371.7</v>
      </c>
      <c r="I93" s="14">
        <v>538.17097776091646</v>
      </c>
      <c r="J93" s="259">
        <v>302.48942908194118</v>
      </c>
      <c r="K93" s="260">
        <v>431.31511495214829</v>
      </c>
      <c r="L93" s="16">
        <v>171</v>
      </c>
      <c r="M93" s="16">
        <v>125</v>
      </c>
      <c r="N93" s="230">
        <v>172</v>
      </c>
      <c r="O93" s="230">
        <v>126</v>
      </c>
      <c r="Q93">
        <v>91</v>
      </c>
      <c r="S93">
        <v>91</v>
      </c>
      <c r="T93">
        <v>49</v>
      </c>
      <c r="U93" s="15">
        <v>0</v>
      </c>
      <c r="V93" s="15">
        <v>0</v>
      </c>
      <c r="W93">
        <v>-78</v>
      </c>
      <c r="X93" t="e">
        <f>VLOOKUP(Table221[[#This Row],[Player]],OddsT5T10!$A:$B,2,FALSE)</f>
        <v>#N/A</v>
      </c>
      <c r="Y93" s="14" t="e">
        <f>Table221[[#This Row],[BDG]]/Table221[[#This Row],[Odds]]</f>
        <v>#N/A</v>
      </c>
    </row>
    <row r="94" spans="1:25">
      <c r="A94" s="159" t="s">
        <v>148</v>
      </c>
      <c r="B94">
        <v>47</v>
      </c>
      <c r="C94">
        <v>5</v>
      </c>
      <c r="D94">
        <v>164</v>
      </c>
      <c r="E94">
        <v>108</v>
      </c>
      <c r="F94">
        <v>1</v>
      </c>
      <c r="G94">
        <v>87</v>
      </c>
      <c r="H94">
        <v>203.3</v>
      </c>
      <c r="I94" s="14">
        <v>319.8898648779807</v>
      </c>
      <c r="J94" s="259">
        <v>303.87756360936254</v>
      </c>
      <c r="K94" s="260">
        <v>415.25977748355274</v>
      </c>
      <c r="L94" s="16">
        <v>38</v>
      </c>
      <c r="M94" s="16">
        <v>29</v>
      </c>
      <c r="N94" s="230"/>
      <c r="O94" s="230">
        <v>61</v>
      </c>
      <c r="Q94">
        <v>92</v>
      </c>
      <c r="S94">
        <v>92</v>
      </c>
      <c r="T94">
        <v>27</v>
      </c>
      <c r="U94" s="15"/>
      <c r="V94" s="15"/>
      <c r="W94">
        <v>19</v>
      </c>
      <c r="X94">
        <f>VLOOKUP(Table221[[#This Row],[Player]],OddsT5T10!$A:$B,2,FALSE)</f>
        <v>7</v>
      </c>
      <c r="Y94" s="14">
        <f>Table221[[#This Row],[BDG]]/Table221[[#This Row],[Odds]]</f>
        <v>43.411080515623219</v>
      </c>
    </row>
    <row r="95" spans="1:25">
      <c r="A95" s="159" t="s">
        <v>89</v>
      </c>
      <c r="B95">
        <v>78</v>
      </c>
      <c r="C95">
        <v>122</v>
      </c>
      <c r="D95">
        <v>31</v>
      </c>
      <c r="E95">
        <v>5</v>
      </c>
      <c r="F95">
        <v>125</v>
      </c>
      <c r="G95">
        <v>41</v>
      </c>
      <c r="H95">
        <v>217.39999999999998</v>
      </c>
      <c r="I95" s="14">
        <v>237.52573271695508</v>
      </c>
      <c r="J95" s="259">
        <v>305.27837628494802</v>
      </c>
      <c r="K95" s="260">
        <v>404.94242442648425</v>
      </c>
      <c r="L95" s="16">
        <v>52</v>
      </c>
      <c r="M95" s="16">
        <v>39</v>
      </c>
      <c r="N95" s="230"/>
      <c r="O95" s="230">
        <v>28</v>
      </c>
      <c r="Q95">
        <v>93</v>
      </c>
      <c r="S95">
        <v>93</v>
      </c>
      <c r="T95">
        <v>58</v>
      </c>
      <c r="U95" s="15">
        <v>0</v>
      </c>
      <c r="V95" s="15">
        <v>0</v>
      </c>
      <c r="W95">
        <v>100</v>
      </c>
      <c r="X95" t="e">
        <f>VLOOKUP(Table221[[#This Row],[Player]],OddsT5T10!$A:$B,2,FALSE)</f>
        <v>#N/A</v>
      </c>
      <c r="Y95" s="14" t="e">
        <f>Table221[[#This Row],[BDG]]/Table221[[#This Row],[Odds]]</f>
        <v>#N/A</v>
      </c>
    </row>
    <row r="96" spans="1:25">
      <c r="A96" s="159" t="s">
        <v>116</v>
      </c>
      <c r="B96">
        <v>106</v>
      </c>
      <c r="C96">
        <v>18</v>
      </c>
      <c r="D96">
        <v>125</v>
      </c>
      <c r="E96">
        <v>38</v>
      </c>
      <c r="F96">
        <v>117</v>
      </c>
      <c r="G96">
        <v>79</v>
      </c>
      <c r="H96">
        <v>265.60000000000002</v>
      </c>
      <c r="I96" s="14">
        <v>337.68144028831381</v>
      </c>
      <c r="J96" s="259">
        <v>307.18983848745739</v>
      </c>
      <c r="K96" s="260">
        <v>416.06066215718931</v>
      </c>
      <c r="L96" s="16">
        <v>117</v>
      </c>
      <c r="M96" s="16">
        <v>89</v>
      </c>
      <c r="N96" s="230">
        <v>100</v>
      </c>
      <c r="O96" s="230">
        <v>73</v>
      </c>
      <c r="Q96">
        <v>94</v>
      </c>
      <c r="S96">
        <v>94</v>
      </c>
      <c r="T96">
        <v>44</v>
      </c>
      <c r="U96" s="15">
        <v>0</v>
      </c>
      <c r="V96" s="15">
        <v>0</v>
      </c>
      <c r="W96">
        <v>36</v>
      </c>
      <c r="X96">
        <f>VLOOKUP(Table221[[#This Row],[Player]],OddsT5T10!$A:$B,2,FALSE)</f>
        <v>7</v>
      </c>
      <c r="Y96" s="14">
        <f>Table221[[#This Row],[BDG]]/Table221[[#This Row],[Odds]]</f>
        <v>43.884262641065341</v>
      </c>
    </row>
    <row r="97" spans="1:25">
      <c r="A97" s="159" t="s">
        <v>105</v>
      </c>
      <c r="B97">
        <v>122</v>
      </c>
      <c r="C97">
        <v>47</v>
      </c>
      <c r="D97">
        <v>83</v>
      </c>
      <c r="E97">
        <v>112</v>
      </c>
      <c r="F97">
        <v>129</v>
      </c>
      <c r="G97">
        <v>134</v>
      </c>
      <c r="H97">
        <v>300.70000000000005</v>
      </c>
      <c r="I97" s="14">
        <v>428.22249414308834</v>
      </c>
      <c r="J97" s="259">
        <v>311.04983766939779</v>
      </c>
      <c r="K97" s="260">
        <v>429.30967259485158</v>
      </c>
      <c r="L97" s="16">
        <v>150</v>
      </c>
      <c r="M97" s="16">
        <v>112</v>
      </c>
      <c r="N97" s="230">
        <v>147</v>
      </c>
      <c r="O97" s="230">
        <v>108</v>
      </c>
      <c r="Q97">
        <v>95</v>
      </c>
      <c r="S97">
        <v>95</v>
      </c>
      <c r="T97">
        <v>35</v>
      </c>
      <c r="U97" s="15">
        <v>0</v>
      </c>
      <c r="V97" s="15">
        <v>0</v>
      </c>
      <c r="W97">
        <v>-26</v>
      </c>
      <c r="X97" t="e">
        <f>VLOOKUP(Table221[[#This Row],[Player]],OddsT5T10!$A:$B,2,FALSE)</f>
        <v>#N/A</v>
      </c>
      <c r="Y97" s="14" t="e">
        <f>Table221[[#This Row],[BDG]]/Table221[[#This Row],[Odds]]</f>
        <v>#N/A</v>
      </c>
    </row>
    <row r="98" spans="1:25">
      <c r="A98" s="159" t="s">
        <v>142</v>
      </c>
      <c r="B98">
        <v>143</v>
      </c>
      <c r="C98">
        <v>122</v>
      </c>
      <c r="D98">
        <v>63</v>
      </c>
      <c r="E98">
        <v>31</v>
      </c>
      <c r="F98">
        <v>22</v>
      </c>
      <c r="G98">
        <v>127</v>
      </c>
      <c r="H98">
        <v>257.20000000000005</v>
      </c>
      <c r="I98" s="14">
        <v>355.41521910732115</v>
      </c>
      <c r="J98" s="259">
        <v>320.44195287558398</v>
      </c>
      <c r="K98" s="260">
        <v>426.30248824487614</v>
      </c>
      <c r="L98" s="16">
        <v>107</v>
      </c>
      <c r="M98" s="16">
        <v>81</v>
      </c>
      <c r="N98" s="230">
        <v>115</v>
      </c>
      <c r="O98" s="230">
        <v>85</v>
      </c>
      <c r="Q98">
        <v>96</v>
      </c>
      <c r="S98">
        <v>96</v>
      </c>
      <c r="T98">
        <v>6</v>
      </c>
      <c r="U98" s="15"/>
      <c r="V98" s="15"/>
      <c r="W98">
        <v>-1</v>
      </c>
      <c r="X98" t="e">
        <f>VLOOKUP(Table221[[#This Row],[Player]],OddsT5T10!$A:$B,2,FALSE)</f>
        <v>#N/A</v>
      </c>
      <c r="Y98" s="14" t="e">
        <f>Table221[[#This Row],[BDG]]/Table221[[#This Row],[Odds]]</f>
        <v>#N/A</v>
      </c>
    </row>
    <row r="99" spans="1:25">
      <c r="A99" s="159" t="s">
        <v>381</v>
      </c>
      <c r="B99">
        <v>164</v>
      </c>
      <c r="C99">
        <v>149</v>
      </c>
      <c r="D99">
        <v>93</v>
      </c>
      <c r="E99">
        <v>127</v>
      </c>
      <c r="F99">
        <v>85</v>
      </c>
      <c r="G99">
        <v>137</v>
      </c>
      <c r="H99">
        <v>380.5</v>
      </c>
      <c r="I99" s="14">
        <v>501.76595624164958</v>
      </c>
      <c r="J99" s="259">
        <v>326.8459335543489</v>
      </c>
      <c r="K99" s="260">
        <v>427.27299254629452</v>
      </c>
      <c r="L99" s="16">
        <v>172</v>
      </c>
      <c r="M99" s="16">
        <v>126</v>
      </c>
      <c r="N99" s="230">
        <v>169</v>
      </c>
      <c r="O99" s="230">
        <v>123</v>
      </c>
      <c r="Q99">
        <v>97</v>
      </c>
      <c r="S99">
        <v>97</v>
      </c>
      <c r="T99">
        <v>40</v>
      </c>
      <c r="U99" s="15">
        <v>0</v>
      </c>
      <c r="V99" s="15">
        <v>0</v>
      </c>
      <c r="W99">
        <v>-38</v>
      </c>
      <c r="X99" t="e">
        <f>VLOOKUP(Table221[[#This Row],[Player]],OddsT5T10!$A:$B,2,FALSE)</f>
        <v>#N/A</v>
      </c>
      <c r="Y99" s="14" t="e">
        <f>Table221[[#This Row],[BDG]]/Table221[[#This Row],[Odds]]</f>
        <v>#N/A</v>
      </c>
    </row>
    <row r="100" spans="1:25">
      <c r="A100" s="159" t="s">
        <v>182</v>
      </c>
      <c r="B100">
        <v>185</v>
      </c>
      <c r="C100">
        <v>134</v>
      </c>
      <c r="D100">
        <v>117</v>
      </c>
      <c r="E100">
        <v>2</v>
      </c>
      <c r="F100">
        <v>31</v>
      </c>
      <c r="G100">
        <v>83</v>
      </c>
      <c r="H100">
        <v>331.7</v>
      </c>
      <c r="I100" s="14">
        <v>377.04333670680569</v>
      </c>
      <c r="J100" s="259">
        <v>331.7</v>
      </c>
      <c r="K100" s="260">
        <v>377.04333670680569</v>
      </c>
      <c r="L100" s="16">
        <v>161</v>
      </c>
      <c r="M100" s="16">
        <v>120</v>
      </c>
      <c r="N100" s="230">
        <v>129</v>
      </c>
      <c r="O100" s="230">
        <v>93</v>
      </c>
      <c r="Q100">
        <v>98</v>
      </c>
      <c r="S100">
        <v>98</v>
      </c>
      <c r="T100">
        <v>24</v>
      </c>
      <c r="U100" s="15"/>
      <c r="V100" s="15"/>
      <c r="X100" t="e">
        <f>VLOOKUP(Table221[[#This Row],[Player]],OddsT5T10!$A:$B,2,FALSE)</f>
        <v>#N/A</v>
      </c>
      <c r="Y100" s="14" t="e">
        <f>Table221[[#This Row],[BDG]]/Table221[[#This Row],[Odds]]</f>
        <v>#N/A</v>
      </c>
    </row>
    <row r="101" spans="1:25">
      <c r="A101" s="159" t="s">
        <v>37</v>
      </c>
      <c r="B101">
        <v>58</v>
      </c>
      <c r="C101">
        <v>163</v>
      </c>
      <c r="D101">
        <v>160</v>
      </c>
      <c r="E101">
        <v>161</v>
      </c>
      <c r="F101">
        <v>43</v>
      </c>
      <c r="G101">
        <v>161</v>
      </c>
      <c r="H101">
        <v>331.6</v>
      </c>
      <c r="I101" s="14">
        <v>523.66624281302688</v>
      </c>
      <c r="J101" s="259">
        <v>351.41073222608651</v>
      </c>
      <c r="K101" s="260">
        <v>566.06838701680169</v>
      </c>
      <c r="L101" s="16">
        <v>160</v>
      </c>
      <c r="M101" s="16">
        <v>119</v>
      </c>
      <c r="N101" s="230">
        <v>171</v>
      </c>
      <c r="O101" s="230">
        <v>125</v>
      </c>
      <c r="Q101">
        <v>99</v>
      </c>
      <c r="S101">
        <v>99</v>
      </c>
      <c r="T101">
        <v>13</v>
      </c>
      <c r="U101" s="15"/>
      <c r="V101" s="15"/>
      <c r="W101">
        <v>23</v>
      </c>
      <c r="X101">
        <f>VLOOKUP(Table221[[#This Row],[Player]],OddsT5T10!$A:$B,2,FALSE)</f>
        <v>19</v>
      </c>
      <c r="Y101" s="14">
        <f>Table221[[#This Row],[BDG]]/Table221[[#This Row],[Odds]]</f>
        <v>18.495301696109816</v>
      </c>
    </row>
    <row r="102" spans="1:25">
      <c r="A102" s="159" t="s">
        <v>163</v>
      </c>
      <c r="B102">
        <v>161</v>
      </c>
      <c r="C102">
        <v>102</v>
      </c>
      <c r="D102">
        <v>98</v>
      </c>
      <c r="E102">
        <v>159</v>
      </c>
      <c r="F102">
        <v>143</v>
      </c>
      <c r="G102">
        <v>159</v>
      </c>
      <c r="H102">
        <v>399.6</v>
      </c>
      <c r="I102" s="14">
        <v>549.79333116131932</v>
      </c>
      <c r="J102" s="259">
        <v>352.35902315317821</v>
      </c>
      <c r="K102" s="260">
        <v>470.63021855241232</v>
      </c>
      <c r="L102" s="16">
        <v>174</v>
      </c>
      <c r="M102" s="16">
        <v>127</v>
      </c>
      <c r="N102" s="230">
        <v>173</v>
      </c>
      <c r="O102" s="230">
        <v>127</v>
      </c>
      <c r="Q102">
        <v>100</v>
      </c>
      <c r="S102">
        <v>100</v>
      </c>
      <c r="T102">
        <v>14</v>
      </c>
      <c r="U102" s="15"/>
      <c r="V102" s="15"/>
      <c r="W102">
        <v>-30</v>
      </c>
      <c r="X102">
        <f>VLOOKUP(Table221[[#This Row],[Player]],OddsT5T10!$A:$B,2,FALSE)</f>
        <v>11</v>
      </c>
      <c r="Y102" s="14">
        <f>Table221[[#This Row],[BDG]]/Table221[[#This Row],[Odds]]</f>
        <v>32.032638468470743</v>
      </c>
    </row>
    <row r="103" spans="1:25">
      <c r="A103" s="159" t="s">
        <v>103</v>
      </c>
      <c r="B103">
        <v>135</v>
      </c>
      <c r="C103">
        <v>45</v>
      </c>
      <c r="D103">
        <v>128</v>
      </c>
      <c r="E103">
        <v>60</v>
      </c>
      <c r="F103">
        <v>39</v>
      </c>
      <c r="G103">
        <v>76</v>
      </c>
      <c r="H103">
        <v>277.10000000000002</v>
      </c>
      <c r="I103" s="14">
        <v>342.60967676555072</v>
      </c>
      <c r="J103" s="259">
        <v>356.08894515785795</v>
      </c>
      <c r="K103" s="260">
        <v>503.29753192857135</v>
      </c>
      <c r="L103" s="16">
        <v>135</v>
      </c>
      <c r="M103" s="16">
        <v>101</v>
      </c>
      <c r="N103" s="230">
        <v>104</v>
      </c>
      <c r="O103" s="230">
        <v>77</v>
      </c>
      <c r="Q103">
        <v>101</v>
      </c>
      <c r="S103">
        <v>101</v>
      </c>
      <c r="T103">
        <v>21</v>
      </c>
      <c r="U103" s="15">
        <v>0</v>
      </c>
      <c r="V103" s="15">
        <v>0</v>
      </c>
      <c r="W103">
        <v>99</v>
      </c>
      <c r="X103">
        <f>VLOOKUP(Table221[[#This Row],[Player]],OddsT5T10!$A:$B,2,FALSE)</f>
        <v>11</v>
      </c>
      <c r="Y103" s="14">
        <f>Table221[[#This Row],[BDG]]/Table221[[#This Row],[Odds]]</f>
        <v>32.371722287077993</v>
      </c>
    </row>
    <row r="104" spans="1:25">
      <c r="A104" s="159" t="s">
        <v>107</v>
      </c>
      <c r="B104">
        <v>114</v>
      </c>
      <c r="C104">
        <v>113</v>
      </c>
      <c r="D104">
        <v>149</v>
      </c>
      <c r="E104">
        <v>131</v>
      </c>
      <c r="F104">
        <v>5</v>
      </c>
      <c r="G104">
        <v>101</v>
      </c>
      <c r="H104">
        <v>318.30000000000007</v>
      </c>
      <c r="I104" s="14">
        <v>429.08964389003523</v>
      </c>
      <c r="J104" s="259">
        <v>374.49390391053402</v>
      </c>
      <c r="K104" s="260">
        <v>529.21946288046991</v>
      </c>
      <c r="L104" s="16">
        <v>157</v>
      </c>
      <c r="M104" s="16">
        <v>117</v>
      </c>
      <c r="N104" s="230">
        <v>148</v>
      </c>
      <c r="O104" s="230">
        <v>109</v>
      </c>
      <c r="Q104">
        <v>102</v>
      </c>
      <c r="S104">
        <v>102</v>
      </c>
      <c r="T104">
        <v>18</v>
      </c>
      <c r="U104" s="15"/>
      <c r="V104" s="15"/>
      <c r="W104">
        <v>75</v>
      </c>
      <c r="X104">
        <f>VLOOKUP(Table221[[#This Row],[Player]],OddsT5T10!$A:$B,2,FALSE)</f>
        <v>12</v>
      </c>
      <c r="Y104" s="14">
        <f>Table221[[#This Row],[BDG]]/Table221[[#This Row],[Odds]]</f>
        <v>31.207825325877835</v>
      </c>
    </row>
    <row r="105" spans="1:25">
      <c r="A105" s="159" t="s">
        <v>361</v>
      </c>
      <c r="B105">
        <v>11</v>
      </c>
      <c r="C105">
        <v>48</v>
      </c>
      <c r="D105">
        <v>111</v>
      </c>
      <c r="E105">
        <v>99</v>
      </c>
      <c r="F105">
        <v>62</v>
      </c>
      <c r="G105">
        <v>32</v>
      </c>
      <c r="H105">
        <v>182.2</v>
      </c>
      <c r="I105" s="14">
        <v>242.76833514321416</v>
      </c>
      <c r="J105" s="231"/>
      <c r="K105" s="231"/>
      <c r="L105" s="16">
        <v>21</v>
      </c>
      <c r="M105" s="16">
        <v>17</v>
      </c>
      <c r="N105" s="230"/>
      <c r="O105" s="230">
        <v>33</v>
      </c>
      <c r="T105">
        <v>105</v>
      </c>
      <c r="U105" s="15"/>
      <c r="V105" s="15"/>
      <c r="X105" t="e">
        <f>VLOOKUP(Table221[[#This Row],[Player]],OddsT5T10!$A:$B,2,FALSE)</f>
        <v>#N/A</v>
      </c>
      <c r="Y105" s="14" t="e">
        <f>Table221[[#This Row],[BDG]]/Table221[[#This Row],[Odds]]</f>
        <v>#N/A</v>
      </c>
    </row>
    <row r="106" spans="1:25">
      <c r="A106" s="159" t="s">
        <v>489</v>
      </c>
      <c r="B106">
        <v>69</v>
      </c>
      <c r="C106">
        <v>76</v>
      </c>
      <c r="D106">
        <v>50</v>
      </c>
      <c r="E106">
        <v>63</v>
      </c>
      <c r="F106">
        <v>78</v>
      </c>
      <c r="G106">
        <v>65</v>
      </c>
      <c r="H106">
        <v>199.3</v>
      </c>
      <c r="I106" s="14">
        <v>260.07436396107698</v>
      </c>
      <c r="J106" s="231"/>
      <c r="K106" s="231"/>
      <c r="L106" s="16">
        <v>35</v>
      </c>
      <c r="M106" s="16">
        <v>27</v>
      </c>
      <c r="N106" s="230"/>
      <c r="O106" s="230">
        <v>38</v>
      </c>
      <c r="T106">
        <v>106</v>
      </c>
      <c r="U106" s="15">
        <v>0</v>
      </c>
      <c r="V106" s="15">
        <v>0</v>
      </c>
      <c r="X106" t="e">
        <f>VLOOKUP(Table221[[#This Row],[Player]],OddsT5T10!$A:$B,2,FALSE)</f>
        <v>#N/A</v>
      </c>
      <c r="Y106" s="14" t="e">
        <f>Table221[[#This Row],[BDG]]/Table221[[#This Row],[Odds]]</f>
        <v>#N/A</v>
      </c>
    </row>
    <row r="107" spans="1:25">
      <c r="A107" s="159" t="s">
        <v>419</v>
      </c>
      <c r="B107">
        <v>107</v>
      </c>
      <c r="C107">
        <v>26</v>
      </c>
      <c r="D107">
        <v>52</v>
      </c>
      <c r="E107">
        <v>123</v>
      </c>
      <c r="F107">
        <v>38</v>
      </c>
      <c r="G107">
        <v>56</v>
      </c>
      <c r="H107">
        <v>213.89999999999998</v>
      </c>
      <c r="I107" s="14">
        <v>266.49070804234043</v>
      </c>
      <c r="J107" s="231"/>
      <c r="K107" s="231"/>
      <c r="L107" s="16">
        <v>44</v>
      </c>
      <c r="M107" s="16">
        <v>35</v>
      </c>
      <c r="N107" s="230"/>
      <c r="O107" s="230">
        <v>40</v>
      </c>
      <c r="T107">
        <v>107</v>
      </c>
      <c r="U107" s="15">
        <v>0</v>
      </c>
      <c r="V107" s="15">
        <v>0</v>
      </c>
      <c r="X107">
        <f>VLOOKUP(Table221[[#This Row],[Player]],OddsT5T10!$A:$B,2,FALSE)</f>
        <v>12</v>
      </c>
      <c r="Y107" s="14">
        <f>Table221[[#This Row],[BDG]]/Table221[[#This Row],[Odds]]</f>
        <v>0</v>
      </c>
    </row>
    <row r="108" spans="1:25">
      <c r="A108" s="159" t="s">
        <v>493</v>
      </c>
      <c r="B108">
        <v>5</v>
      </c>
      <c r="C108">
        <v>33</v>
      </c>
      <c r="D108">
        <v>68</v>
      </c>
      <c r="E108">
        <v>151</v>
      </c>
      <c r="F108">
        <v>127</v>
      </c>
      <c r="G108">
        <v>108</v>
      </c>
      <c r="H108">
        <v>192.5</v>
      </c>
      <c r="I108" s="14">
        <v>332.05911462158986</v>
      </c>
      <c r="J108" s="231"/>
      <c r="K108" s="231"/>
      <c r="L108" s="16">
        <v>28</v>
      </c>
      <c r="M108" s="16">
        <v>23</v>
      </c>
      <c r="N108" s="230"/>
      <c r="O108" s="230">
        <v>68</v>
      </c>
      <c r="T108">
        <v>108</v>
      </c>
      <c r="U108" s="15">
        <v>0</v>
      </c>
      <c r="V108" s="15">
        <v>0</v>
      </c>
      <c r="X108">
        <f>VLOOKUP(Table221[[#This Row],[Player]],OddsT5T10!$A:$B,2,FALSE)</f>
        <v>7</v>
      </c>
      <c r="Y108" s="14">
        <f>Table221[[#This Row],[BDG]]/Table221[[#This Row],[Odds]]</f>
        <v>0</v>
      </c>
    </row>
    <row r="109" spans="1:25">
      <c r="A109" s="159" t="s">
        <v>496</v>
      </c>
      <c r="B109">
        <v>51</v>
      </c>
      <c r="C109">
        <v>57</v>
      </c>
      <c r="D109">
        <v>95</v>
      </c>
      <c r="E109">
        <v>74</v>
      </c>
      <c r="F109">
        <v>146</v>
      </c>
      <c r="G109">
        <v>87</v>
      </c>
      <c r="H109">
        <v>243.5</v>
      </c>
      <c r="I109" s="14">
        <v>339.56118202232489</v>
      </c>
      <c r="J109" s="231"/>
      <c r="K109" s="231"/>
      <c r="L109" s="16">
        <v>89</v>
      </c>
      <c r="M109" s="16">
        <v>67</v>
      </c>
      <c r="N109" s="230"/>
      <c r="O109" s="230">
        <v>76</v>
      </c>
      <c r="T109">
        <v>109</v>
      </c>
      <c r="U109" s="15">
        <v>0</v>
      </c>
      <c r="V109" s="15">
        <v>0</v>
      </c>
      <c r="X109">
        <f>VLOOKUP(Table221[[#This Row],[Player]],OddsT5T10!$A:$B,2,FALSE)</f>
        <v>7.5</v>
      </c>
      <c r="Y109" s="14">
        <f>Table221[[#This Row],[BDG]]/Table221[[#This Row],[Odds]]</f>
        <v>0</v>
      </c>
    </row>
    <row r="110" spans="1:25">
      <c r="A110" s="159" t="s">
        <v>241</v>
      </c>
      <c r="B110">
        <v>51</v>
      </c>
      <c r="C110">
        <v>76</v>
      </c>
      <c r="D110">
        <v>108</v>
      </c>
      <c r="E110">
        <v>21</v>
      </c>
      <c r="F110">
        <v>159</v>
      </c>
      <c r="G110">
        <v>108</v>
      </c>
      <c r="H110">
        <v>247.4</v>
      </c>
      <c r="I110" s="14">
        <v>357.16669874628064</v>
      </c>
      <c r="J110" s="231"/>
      <c r="K110" s="231"/>
      <c r="L110" s="16">
        <v>93</v>
      </c>
      <c r="M110" s="16">
        <v>72</v>
      </c>
      <c r="N110" s="230">
        <v>116</v>
      </c>
      <c r="O110" s="230">
        <v>86</v>
      </c>
      <c r="T110">
        <v>110</v>
      </c>
      <c r="U110" s="15"/>
      <c r="V110" s="15"/>
      <c r="X110">
        <f>VLOOKUP(Table221[[#This Row],[Player]],OddsT5T10!$A:$B,2,FALSE)</f>
        <v>6</v>
      </c>
      <c r="Y110" s="14">
        <f>Table221[[#This Row],[BDG]]/Table221[[#This Row],[Odds]]</f>
        <v>0</v>
      </c>
    </row>
    <row r="111" spans="1:25">
      <c r="A111" s="159" t="s">
        <v>444</v>
      </c>
      <c r="B111">
        <v>53</v>
      </c>
      <c r="C111">
        <v>158</v>
      </c>
      <c r="D111">
        <v>81</v>
      </c>
      <c r="E111">
        <v>26</v>
      </c>
      <c r="F111">
        <v>118</v>
      </c>
      <c r="G111">
        <v>108</v>
      </c>
      <c r="H111">
        <v>252.8</v>
      </c>
      <c r="I111" s="14">
        <v>357.75418908213214</v>
      </c>
      <c r="J111" s="231"/>
      <c r="K111" s="231"/>
      <c r="L111" s="16">
        <v>98.5</v>
      </c>
      <c r="M111" s="16">
        <v>76</v>
      </c>
      <c r="N111" s="230">
        <v>117</v>
      </c>
      <c r="O111" s="230">
        <v>87</v>
      </c>
      <c r="T111">
        <v>111</v>
      </c>
      <c r="U111" s="15"/>
      <c r="V111" s="15"/>
      <c r="X111">
        <f>VLOOKUP(Table221[[#This Row],[Player]],OddsT5T10!$A:$B,2,FALSE)</f>
        <v>17</v>
      </c>
      <c r="Y111" s="14">
        <f>Table221[[#This Row],[BDG]]/Table221[[#This Row],[Odds]]</f>
        <v>0</v>
      </c>
    </row>
    <row r="112" spans="1:25">
      <c r="A112" s="159" t="s">
        <v>497</v>
      </c>
      <c r="B112">
        <v>16</v>
      </c>
      <c r="C112">
        <v>149</v>
      </c>
      <c r="D112">
        <v>110</v>
      </c>
      <c r="E112">
        <v>51</v>
      </c>
      <c r="F112">
        <v>133</v>
      </c>
      <c r="G112">
        <v>121</v>
      </c>
      <c r="H112">
        <v>252.8</v>
      </c>
      <c r="I112" s="14">
        <v>389.94420482045524</v>
      </c>
      <c r="J112" s="231"/>
      <c r="K112" s="231"/>
      <c r="L112" s="16">
        <v>98.5</v>
      </c>
      <c r="M112" s="16">
        <v>77</v>
      </c>
      <c r="N112" s="230">
        <v>133</v>
      </c>
      <c r="O112" s="230">
        <v>97</v>
      </c>
      <c r="T112">
        <v>113</v>
      </c>
      <c r="U112" s="15">
        <v>0</v>
      </c>
      <c r="V112" s="15">
        <v>0</v>
      </c>
      <c r="X112">
        <f>VLOOKUP(Table221[[#This Row],[Player]],OddsT5T10!$A:$B,2,FALSE)</f>
        <v>9.5</v>
      </c>
      <c r="Y112" s="14">
        <f>Table221[[#This Row],[BDG]]/Table221[[#This Row],[Odds]]</f>
        <v>0</v>
      </c>
    </row>
    <row r="113" spans="1:25">
      <c r="A113" s="159" t="s">
        <v>495</v>
      </c>
      <c r="B113">
        <v>46</v>
      </c>
      <c r="C113">
        <v>151</v>
      </c>
      <c r="D113">
        <v>162</v>
      </c>
      <c r="E113">
        <v>64</v>
      </c>
      <c r="F113">
        <v>17</v>
      </c>
      <c r="G113">
        <v>108</v>
      </c>
      <c r="H113">
        <v>264.39999999999998</v>
      </c>
      <c r="I113" s="14">
        <v>391.78769124843518</v>
      </c>
      <c r="J113" s="231"/>
      <c r="K113" s="231"/>
      <c r="L113" s="16">
        <v>114.5</v>
      </c>
      <c r="M113" s="16">
        <v>87</v>
      </c>
      <c r="N113" s="230">
        <v>134</v>
      </c>
      <c r="O113" s="230">
        <v>98</v>
      </c>
      <c r="T113">
        <v>114</v>
      </c>
      <c r="U113" s="15">
        <v>0</v>
      </c>
      <c r="V113" s="15">
        <v>0</v>
      </c>
      <c r="X113">
        <f>VLOOKUP(Table221[[#This Row],[Player]],OddsT5T10!$A:$B,2,FALSE)</f>
        <v>7.5</v>
      </c>
      <c r="Y113" s="14">
        <f>Table221[[#This Row],[BDG]]/Table221[[#This Row],[Odds]]</f>
        <v>0</v>
      </c>
    </row>
    <row r="114" spans="1:25">
      <c r="A114" t="s">
        <v>445</v>
      </c>
      <c r="B114">
        <v>50</v>
      </c>
      <c r="C114">
        <v>69</v>
      </c>
      <c r="D114">
        <v>140</v>
      </c>
      <c r="E114">
        <v>118</v>
      </c>
      <c r="F114">
        <v>78</v>
      </c>
      <c r="G114">
        <v>104</v>
      </c>
      <c r="H114">
        <v>263.7</v>
      </c>
      <c r="I114" s="14">
        <v>392.06438482382657</v>
      </c>
      <c r="J114" s="231"/>
      <c r="K114" s="231"/>
      <c r="L114" s="16">
        <v>113</v>
      </c>
      <c r="M114" s="16">
        <v>86</v>
      </c>
      <c r="N114" s="230">
        <v>135</v>
      </c>
      <c r="O114" s="230">
        <v>99</v>
      </c>
      <c r="T114">
        <v>115</v>
      </c>
      <c r="U114" s="15">
        <v>0</v>
      </c>
      <c r="V114" s="15">
        <v>0</v>
      </c>
      <c r="X114" t="e">
        <f>VLOOKUP(Table221[[#This Row],[Player]],OddsT5T10!$A:$B,2,FALSE)</f>
        <v>#N/A</v>
      </c>
      <c r="Y114" s="14" t="e">
        <f>Table221[[#This Row],[BDG]]/Table221[[#This Row],[Odds]]</f>
        <v>#N/A</v>
      </c>
    </row>
    <row r="115" spans="1:25">
      <c r="A115" s="159" t="s">
        <v>494</v>
      </c>
      <c r="B115">
        <v>74</v>
      </c>
      <c r="C115">
        <v>69</v>
      </c>
      <c r="D115">
        <v>127</v>
      </c>
      <c r="E115">
        <v>71</v>
      </c>
      <c r="F115">
        <v>113</v>
      </c>
      <c r="G115">
        <v>126</v>
      </c>
      <c r="H115">
        <v>274.89999999999998</v>
      </c>
      <c r="I115" s="14">
        <v>408.06968199374262</v>
      </c>
      <c r="J115" s="231"/>
      <c r="K115" s="231"/>
      <c r="L115" s="16">
        <v>129</v>
      </c>
      <c r="M115" s="16">
        <v>96</v>
      </c>
      <c r="N115" s="230">
        <v>142</v>
      </c>
      <c r="O115" s="230">
        <v>105</v>
      </c>
      <c r="T115">
        <v>116</v>
      </c>
      <c r="U115" s="15">
        <v>0</v>
      </c>
      <c r="V115" s="15">
        <v>0</v>
      </c>
      <c r="X115" t="e">
        <f>VLOOKUP(Table221[[#This Row],[Player]],OddsT5T10!$A:$B,2,FALSE)</f>
        <v>#N/A</v>
      </c>
      <c r="Y115" s="14" t="e">
        <f>Table221[[#This Row],[BDG]]/Table221[[#This Row],[Odds]]</f>
        <v>#N/A</v>
      </c>
    </row>
    <row r="116" spans="1:25">
      <c r="A116" s="159" t="s">
        <v>554</v>
      </c>
      <c r="B116">
        <v>146</v>
      </c>
      <c r="C116">
        <v>5</v>
      </c>
      <c r="D116">
        <v>70</v>
      </c>
      <c r="E116">
        <v>163</v>
      </c>
      <c r="F116">
        <v>48</v>
      </c>
      <c r="G116">
        <v>144</v>
      </c>
      <c r="H116">
        <v>272.10000000000002</v>
      </c>
      <c r="I116" s="14">
        <v>411.11569299466277</v>
      </c>
      <c r="J116" s="231"/>
      <c r="K116" s="231"/>
      <c r="L116" s="16">
        <v>126</v>
      </c>
      <c r="M116" s="16">
        <v>95</v>
      </c>
      <c r="N116" s="230">
        <v>143</v>
      </c>
      <c r="O116" s="230">
        <v>106</v>
      </c>
      <c r="T116">
        <v>117</v>
      </c>
      <c r="U116" s="15">
        <v>0</v>
      </c>
      <c r="V116" s="15">
        <v>0</v>
      </c>
      <c r="X116" t="e">
        <f>VLOOKUP(Table221[[#This Row],[Player]],OddsT5T10!$A:$B,2,FALSE)</f>
        <v>#N/A</v>
      </c>
      <c r="Y116" s="14" t="e">
        <f>Table221[[#This Row],[BDG]]/Table221[[#This Row],[Odds]]</f>
        <v>#N/A</v>
      </c>
    </row>
    <row r="117" spans="1:25">
      <c r="A117" s="159" t="s">
        <v>424</v>
      </c>
      <c r="B117">
        <v>103</v>
      </c>
      <c r="C117">
        <v>122</v>
      </c>
      <c r="D117">
        <v>107</v>
      </c>
      <c r="E117">
        <v>124</v>
      </c>
      <c r="F117">
        <v>88</v>
      </c>
      <c r="G117">
        <v>87</v>
      </c>
      <c r="H117">
        <v>322.2</v>
      </c>
      <c r="I117" s="14">
        <v>413.1108780343182</v>
      </c>
      <c r="J117" s="231"/>
      <c r="K117" s="231"/>
      <c r="L117" s="16">
        <v>159</v>
      </c>
      <c r="M117" s="16">
        <v>118</v>
      </c>
      <c r="N117" s="230">
        <v>144</v>
      </c>
      <c r="O117" s="230">
        <v>107</v>
      </c>
      <c r="T117">
        <v>118</v>
      </c>
      <c r="U117" s="15">
        <v>0</v>
      </c>
      <c r="V117" s="15">
        <v>0</v>
      </c>
      <c r="X117">
        <f>VLOOKUP(Table221[[#This Row],[Player]],OddsT5T10!$A:$B,2,FALSE)</f>
        <v>5.75</v>
      </c>
      <c r="Y117" s="14">
        <f>Table221[[#This Row],[BDG]]/Table221[[#This Row],[Odds]]</f>
        <v>0</v>
      </c>
    </row>
    <row r="118" spans="1:25">
      <c r="A118" s="159" t="s">
        <v>485</v>
      </c>
      <c r="B118">
        <v>10</v>
      </c>
      <c r="C118">
        <v>102</v>
      </c>
      <c r="D118">
        <v>97</v>
      </c>
      <c r="E118">
        <v>144</v>
      </c>
      <c r="F118">
        <v>162</v>
      </c>
      <c r="G118">
        <v>144</v>
      </c>
      <c r="H118">
        <v>266.5</v>
      </c>
      <c r="I118" s="14">
        <v>442.16769895678601</v>
      </c>
      <c r="J118" s="231"/>
      <c r="K118" s="231"/>
      <c r="L118" s="16">
        <v>119</v>
      </c>
      <c r="M118" s="16">
        <v>91</v>
      </c>
      <c r="N118" s="230">
        <v>151</v>
      </c>
      <c r="O118" s="230">
        <v>111</v>
      </c>
      <c r="T118">
        <v>119</v>
      </c>
      <c r="U118" s="15"/>
      <c r="V118" s="15"/>
      <c r="X118">
        <f>VLOOKUP(Table221[[#This Row],[Player]],OddsT5T10!$A:$B,2,FALSE)</f>
        <v>8</v>
      </c>
      <c r="Y118" s="14">
        <f>Table221[[#This Row],[BDG]]/Table221[[#This Row],[Odds]]</f>
        <v>0</v>
      </c>
    </row>
    <row r="119" spans="1:25">
      <c r="A119" s="159" t="s">
        <v>552</v>
      </c>
      <c r="B119">
        <v>77</v>
      </c>
      <c r="C119">
        <v>140</v>
      </c>
      <c r="D119">
        <v>73</v>
      </c>
      <c r="E119">
        <v>101</v>
      </c>
      <c r="F119">
        <v>136</v>
      </c>
      <c r="G119">
        <v>144</v>
      </c>
      <c r="H119">
        <v>298.8</v>
      </c>
      <c r="I119" s="14">
        <v>444.08602711264888</v>
      </c>
      <c r="J119" s="231"/>
      <c r="K119" s="231"/>
      <c r="L119" s="16">
        <v>149</v>
      </c>
      <c r="M119" s="16">
        <v>111</v>
      </c>
      <c r="N119" s="230">
        <v>152</v>
      </c>
      <c r="O119" s="230">
        <v>112</v>
      </c>
      <c r="T119">
        <v>120</v>
      </c>
      <c r="U119" s="15">
        <v>0</v>
      </c>
      <c r="V119" s="15">
        <v>0</v>
      </c>
      <c r="X119" t="e">
        <f>VLOOKUP(Table221[[#This Row],[Player]],OddsT5T10!$A:$B,2,FALSE)</f>
        <v>#N/A</v>
      </c>
      <c r="Y119" s="14" t="e">
        <f>Table221[[#This Row],[BDG]]/Table221[[#This Row],[Odds]]</f>
        <v>#N/A</v>
      </c>
    </row>
    <row r="120" spans="1:25">
      <c r="A120" s="159" t="s">
        <v>233</v>
      </c>
      <c r="B120">
        <v>17</v>
      </c>
      <c r="C120">
        <v>140</v>
      </c>
      <c r="D120">
        <v>61</v>
      </c>
      <c r="E120">
        <v>142</v>
      </c>
      <c r="F120">
        <v>163</v>
      </c>
      <c r="G120">
        <v>155</v>
      </c>
      <c r="H120">
        <v>266.3</v>
      </c>
      <c r="I120" s="14">
        <v>444.35317143221039</v>
      </c>
      <c r="J120" s="231"/>
      <c r="K120" s="231"/>
      <c r="L120" s="16">
        <v>118</v>
      </c>
      <c r="M120" s="16">
        <v>90</v>
      </c>
      <c r="N120" s="230">
        <v>153</v>
      </c>
      <c r="O120" s="230">
        <v>113</v>
      </c>
      <c r="T120">
        <v>121</v>
      </c>
      <c r="U120" s="15">
        <v>0</v>
      </c>
      <c r="V120" s="15">
        <v>0</v>
      </c>
      <c r="X120" t="e">
        <f>VLOOKUP(Table221[[#This Row],[Player]],OddsT5T10!$A:$B,2,FALSE)</f>
        <v>#N/A</v>
      </c>
      <c r="Y120" s="14" t="e">
        <f>Table221[[#This Row],[BDG]]/Table221[[#This Row],[Odds]]</f>
        <v>#N/A</v>
      </c>
    </row>
    <row r="121" spans="1:25">
      <c r="A121" s="159" t="s">
        <v>488</v>
      </c>
      <c r="B121">
        <v>14</v>
      </c>
      <c r="C121">
        <v>18</v>
      </c>
      <c r="D121">
        <v>137</v>
      </c>
      <c r="E121">
        <v>153</v>
      </c>
      <c r="F121">
        <v>161</v>
      </c>
      <c r="G121">
        <v>155</v>
      </c>
      <c r="H121">
        <v>259.2</v>
      </c>
      <c r="I121" s="14">
        <v>453.93762330882282</v>
      </c>
      <c r="J121" s="231"/>
      <c r="K121" s="231"/>
      <c r="L121" s="16">
        <v>108</v>
      </c>
      <c r="M121" s="16">
        <v>82</v>
      </c>
      <c r="N121" s="230">
        <v>157</v>
      </c>
      <c r="O121" s="230">
        <v>116</v>
      </c>
      <c r="T121">
        <v>122</v>
      </c>
      <c r="U121" s="15"/>
      <c r="V121" s="15"/>
      <c r="X121" t="e">
        <f>VLOOKUP(Table221[[#This Row],[Player]],OddsT5T10!$A:$B,2,FALSE)</f>
        <v>#N/A</v>
      </c>
      <c r="Y121" s="14" t="e">
        <f>Table221[[#This Row],[BDG]]/Table221[[#This Row],[Odds]]</f>
        <v>#N/A</v>
      </c>
    </row>
    <row r="122" spans="1:25">
      <c r="A122" s="159" t="s">
        <v>490</v>
      </c>
      <c r="B122">
        <v>103</v>
      </c>
      <c r="C122">
        <v>140</v>
      </c>
      <c r="D122">
        <v>156</v>
      </c>
      <c r="E122">
        <v>102</v>
      </c>
      <c r="F122">
        <v>52</v>
      </c>
      <c r="G122">
        <v>108</v>
      </c>
      <c r="H122">
        <v>338.7</v>
      </c>
      <c r="I122" s="14">
        <v>454.74843797116318</v>
      </c>
      <c r="J122" s="231"/>
      <c r="K122" s="231"/>
      <c r="L122" s="16">
        <v>162</v>
      </c>
      <c r="M122" s="16">
        <v>121</v>
      </c>
      <c r="N122" s="230">
        <v>158</v>
      </c>
      <c r="O122" s="230">
        <v>117</v>
      </c>
      <c r="T122">
        <v>123</v>
      </c>
      <c r="U122" s="15"/>
      <c r="V122" s="15"/>
      <c r="X122">
        <f>VLOOKUP(Table221[[#This Row],[Player]],OddsT5T10!$A:$B,2,FALSE)</f>
        <v>15</v>
      </c>
      <c r="Y122" s="14">
        <f>Table221[[#This Row],[BDG]]/Table221[[#This Row],[Odds]]</f>
        <v>0</v>
      </c>
    </row>
    <row r="123" spans="1:25">
      <c r="A123" s="159" t="s">
        <v>486</v>
      </c>
      <c r="B123">
        <v>6</v>
      </c>
      <c r="C123">
        <v>163</v>
      </c>
      <c r="D123">
        <v>154</v>
      </c>
      <c r="E123">
        <v>164</v>
      </c>
      <c r="F123">
        <v>32</v>
      </c>
      <c r="G123">
        <v>162</v>
      </c>
      <c r="H123">
        <v>276.3</v>
      </c>
      <c r="I123" s="14">
        <v>484.04012037139057</v>
      </c>
      <c r="J123" s="231"/>
      <c r="K123" s="231"/>
      <c r="L123" s="16">
        <v>134</v>
      </c>
      <c r="M123" s="16">
        <v>100</v>
      </c>
      <c r="N123" s="230">
        <v>163</v>
      </c>
      <c r="O123" s="230">
        <v>119</v>
      </c>
      <c r="T123">
        <v>124</v>
      </c>
      <c r="U123" s="15"/>
      <c r="V123" s="15"/>
      <c r="X123">
        <f>VLOOKUP(Table221[[#This Row],[Player]],OddsT5T10!$A:$B,2,FALSE)</f>
        <v>15</v>
      </c>
      <c r="Y123" s="14">
        <f>Table221[[#This Row],[BDG]]/Table221[[#This Row],[Odds]]</f>
        <v>0</v>
      </c>
    </row>
    <row r="124" spans="1:25">
      <c r="A124" s="159" t="s">
        <v>410</v>
      </c>
      <c r="B124">
        <v>115</v>
      </c>
      <c r="C124">
        <v>151</v>
      </c>
      <c r="D124">
        <v>120</v>
      </c>
      <c r="E124">
        <v>126</v>
      </c>
      <c r="F124">
        <v>83</v>
      </c>
      <c r="G124">
        <v>127</v>
      </c>
      <c r="H124">
        <v>354.9</v>
      </c>
      <c r="I124" s="14">
        <v>484.24622447492425</v>
      </c>
      <c r="J124" s="231"/>
      <c r="K124" s="231"/>
      <c r="L124" s="16">
        <v>168</v>
      </c>
      <c r="M124" s="16">
        <v>123</v>
      </c>
      <c r="N124" s="239">
        <v>164</v>
      </c>
      <c r="O124" s="230">
        <v>120</v>
      </c>
      <c r="T124">
        <v>125</v>
      </c>
      <c r="U124" s="15"/>
      <c r="V124" s="15"/>
      <c r="X124" t="e">
        <f>VLOOKUP(Table221[[#This Row],[Player]],OddsT5T10!$A:$B,2,FALSE)</f>
        <v>#N/A</v>
      </c>
      <c r="Y124" s="14" t="e">
        <f>Table221[[#This Row],[BDG]]/Table221[[#This Row],[Odds]]</f>
        <v>#N/A</v>
      </c>
    </row>
    <row r="125" spans="1:25">
      <c r="A125" s="159" t="s">
        <v>401</v>
      </c>
      <c r="B125">
        <v>32</v>
      </c>
      <c r="C125">
        <v>122</v>
      </c>
      <c r="D125">
        <v>146</v>
      </c>
      <c r="E125">
        <v>140</v>
      </c>
      <c r="F125">
        <v>131</v>
      </c>
      <c r="G125">
        <v>152</v>
      </c>
      <c r="H125">
        <v>313.5</v>
      </c>
      <c r="I125" s="14">
        <v>497.84944154089749</v>
      </c>
      <c r="J125" s="231"/>
      <c r="K125" s="231"/>
      <c r="L125" s="16">
        <v>154</v>
      </c>
      <c r="M125" s="16">
        <v>115</v>
      </c>
      <c r="N125" s="230">
        <v>167</v>
      </c>
      <c r="O125" s="230">
        <v>122</v>
      </c>
      <c r="T125">
        <v>126</v>
      </c>
      <c r="U125" s="15">
        <v>0</v>
      </c>
      <c r="V125" s="15">
        <v>0</v>
      </c>
      <c r="X125">
        <f>VLOOKUP(Table221[[#This Row],[Player]],OddsT5T10!$A:$B,2,FALSE)</f>
        <v>19</v>
      </c>
      <c r="Y125" s="14">
        <f>Table221[[#This Row],[BDG]]/Table221[[#This Row],[Odds]]</f>
        <v>0</v>
      </c>
    </row>
    <row r="126" spans="1:25">
      <c r="A126" s="159" t="s">
        <v>247</v>
      </c>
      <c r="B126">
        <v>133</v>
      </c>
      <c r="C126">
        <v>102</v>
      </c>
      <c r="D126">
        <v>122</v>
      </c>
      <c r="E126">
        <v>162</v>
      </c>
      <c r="F126">
        <v>84</v>
      </c>
      <c r="G126">
        <v>152</v>
      </c>
      <c r="H126">
        <v>362.9</v>
      </c>
      <c r="I126" s="14">
        <v>519.21648122473152</v>
      </c>
      <c r="J126" s="231"/>
      <c r="K126" s="231"/>
      <c r="L126" s="16">
        <v>170</v>
      </c>
      <c r="M126" s="16">
        <v>124</v>
      </c>
      <c r="N126" s="230">
        <v>170</v>
      </c>
      <c r="O126" s="230">
        <v>124</v>
      </c>
      <c r="T126">
        <v>127</v>
      </c>
      <c r="U126" s="15"/>
      <c r="V126" s="15"/>
      <c r="X126" t="e">
        <f>VLOOKUP(Table221[[#This Row],[Player]],OddsT5T10!$A:$B,2,FALSE)</f>
        <v>#N/A</v>
      </c>
      <c r="Y126" s="14" t="e">
        <f>Table221[[#This Row],[BDG]]/Table221[[#This Row],[Odds]]</f>
        <v>#N/A</v>
      </c>
    </row>
    <row r="127" spans="1:25">
      <c r="A127" s="159" t="s">
        <v>522</v>
      </c>
      <c r="B127">
        <v>152</v>
      </c>
      <c r="C127">
        <v>151</v>
      </c>
      <c r="D127">
        <v>132</v>
      </c>
      <c r="E127">
        <v>147</v>
      </c>
      <c r="F127">
        <v>150</v>
      </c>
      <c r="G127">
        <v>164</v>
      </c>
      <c r="H127">
        <v>438.5</v>
      </c>
      <c r="I127" s="14">
        <v>598.55027459263795</v>
      </c>
      <c r="J127" s="231"/>
      <c r="K127" s="231"/>
      <c r="L127" s="16">
        <v>175</v>
      </c>
      <c r="M127" s="16">
        <v>128</v>
      </c>
      <c r="N127" s="230">
        <v>175</v>
      </c>
      <c r="O127" s="230">
        <v>128</v>
      </c>
      <c r="T127">
        <v>128</v>
      </c>
      <c r="U127" s="15">
        <v>0</v>
      </c>
      <c r="V127" s="15">
        <v>0</v>
      </c>
      <c r="X127">
        <f>VLOOKUP(Table221[[#This Row],[Player]],OddsT5T10!$A:$B,2,FALSE)</f>
        <v>7.5</v>
      </c>
      <c r="Y127" s="14">
        <f>Table221[[#This Row],[BDG]]/Table221[[#This Row],[Odds]]</f>
        <v>0</v>
      </c>
    </row>
    <row r="128" spans="1:25">
      <c r="A128" s="159" t="s">
        <v>138</v>
      </c>
      <c r="B128">
        <v>138</v>
      </c>
      <c r="C128">
        <v>190</v>
      </c>
      <c r="D128">
        <v>146</v>
      </c>
      <c r="E128">
        <v>156</v>
      </c>
      <c r="F128">
        <v>143</v>
      </c>
      <c r="G128">
        <v>192</v>
      </c>
      <c r="H128">
        <v>455.29999999999995</v>
      </c>
      <c r="I128" s="14">
        <v>650.415638635042</v>
      </c>
      <c r="J128" s="231"/>
      <c r="K128" s="231"/>
      <c r="L128" s="16">
        <v>177</v>
      </c>
      <c r="M128" s="16">
        <v>129</v>
      </c>
      <c r="N128" s="230">
        <v>178</v>
      </c>
      <c r="O128" s="230">
        <v>129</v>
      </c>
      <c r="T128">
        <v>129</v>
      </c>
      <c r="U128" s="15"/>
      <c r="V128" s="15"/>
      <c r="X128">
        <f>VLOOKUP(Table221[[#This Row],[Player]],OddsT5T10!$A:$B,2,FALSE)</f>
        <v>111</v>
      </c>
      <c r="Y128" s="14">
        <f>Table221[[#This Row],[BDG]]/Table221[[#This Row],[Odds]]</f>
        <v>0</v>
      </c>
    </row>
    <row r="129" spans="1:25">
      <c r="A129" s="159" t="s">
        <v>433</v>
      </c>
      <c r="B129">
        <v>89</v>
      </c>
      <c r="C129">
        <v>102</v>
      </c>
      <c r="D129">
        <v>84</v>
      </c>
      <c r="E129">
        <v>4</v>
      </c>
      <c r="F129">
        <v>47</v>
      </c>
      <c r="G129">
        <v>16</v>
      </c>
      <c r="H129">
        <v>215.00000000000003</v>
      </c>
      <c r="I129" s="14">
        <v>216.50856853911208</v>
      </c>
      <c r="J129" s="231"/>
      <c r="K129" s="231"/>
      <c r="L129" s="16">
        <v>48</v>
      </c>
      <c r="M129" s="16">
        <v>38</v>
      </c>
      <c r="N129" s="230"/>
      <c r="O129" s="230">
        <v>17</v>
      </c>
      <c r="T129">
        <v>103</v>
      </c>
      <c r="U129" s="15">
        <v>0</v>
      </c>
      <c r="V129" s="15">
        <v>0</v>
      </c>
      <c r="X129">
        <f>VLOOKUP(Table221[[#This Row],[Player]],OddsT5T10!$A:$B,2,FALSE)</f>
        <v>7.5</v>
      </c>
      <c r="Y129" s="14">
        <f>Table221[[#This Row],[BDG]]/Table221[[#This Row],[Odds]]</f>
        <v>0</v>
      </c>
    </row>
    <row r="130" spans="1:25">
      <c r="A130" s="159" t="s">
        <v>427</v>
      </c>
      <c r="B130">
        <v>63</v>
      </c>
      <c r="C130">
        <v>115</v>
      </c>
      <c r="D130">
        <v>114</v>
      </c>
      <c r="E130">
        <v>81</v>
      </c>
      <c r="F130">
        <v>2</v>
      </c>
      <c r="G130">
        <v>32</v>
      </c>
      <c r="H130">
        <v>227.4</v>
      </c>
      <c r="I130" s="14">
        <v>270.17600820759935</v>
      </c>
      <c r="J130" s="231"/>
      <c r="K130" s="231"/>
      <c r="L130" s="16">
        <v>66</v>
      </c>
      <c r="M130" s="16">
        <v>48</v>
      </c>
      <c r="N130" s="230"/>
      <c r="O130" s="230">
        <v>42</v>
      </c>
      <c r="T130">
        <v>104</v>
      </c>
      <c r="U130" s="15">
        <v>0</v>
      </c>
      <c r="V130" s="15">
        <v>0</v>
      </c>
      <c r="X130" t="e">
        <f>VLOOKUP(Table221[[#This Row],[Player]],OddsT5T10!$A:$B,2,FALSE)</f>
        <v>#N/A</v>
      </c>
      <c r="Y130" s="14" t="e">
        <f>Table221[[#This Row],[BDG]]/Table221[[#This Row],[Odds]]</f>
        <v>#N/A</v>
      </c>
    </row>
  </sheetData>
  <conditionalFormatting sqref="W2:W1048576">
    <cfRule type="cellIs" dxfId="204" priority="41" operator="between">
      <formula>-5</formula>
      <formula>-9</formula>
    </cfRule>
    <cfRule type="cellIs" dxfId="203" priority="42" operator="lessThanOrEqual">
      <formula>-10</formula>
    </cfRule>
    <cfRule type="cellIs" dxfId="202" priority="43" operator="between">
      <formula>5</formula>
      <formula>9</formula>
    </cfRule>
    <cfRule type="cellIs" dxfId="201" priority="44" operator="greaterThanOrEqual">
      <formula>10</formula>
    </cfRule>
  </conditionalFormatting>
  <conditionalFormatting sqref="U2:V1048576">
    <cfRule type="cellIs" dxfId="200" priority="45" operator="greaterThanOrEqual">
      <formula>20%</formula>
    </cfRule>
    <cfRule type="cellIs" dxfId="199" priority="46" operator="between">
      <formula>10%</formula>
      <formula>20%</formula>
    </cfRule>
    <cfRule type="cellIs" dxfId="198" priority="47" operator="between">
      <formula>0.01%</formula>
      <formula>10%</formula>
    </cfRule>
  </conditionalFormatting>
  <conditionalFormatting sqref="B2:G1048576 L2:T1048576">
    <cfRule type="cellIs" dxfId="197" priority="48" operator="between">
      <formula>101</formula>
      <formula>250</formula>
    </cfRule>
    <cfRule type="cellIs" dxfId="196" priority="49" operator="between">
      <formula>51</formula>
      <formula>100.5</formula>
    </cfRule>
    <cfRule type="cellIs" dxfId="195" priority="50" operator="between">
      <formula>21</formula>
      <formula>50.5</formula>
    </cfRule>
    <cfRule type="cellIs" dxfId="194" priority="51" operator="lessThanOrEqual">
      <formula>20.5</formula>
    </cfRule>
  </conditionalFormatting>
  <conditionalFormatting sqref="A2:A130">
    <cfRule type="expression" dxfId="193" priority="1">
      <formula>$T2=MIN($T$2:$T$8)</formula>
    </cfRule>
    <cfRule type="expression" dxfId="192" priority="4">
      <formula>$T2=MIN($T$36:$T$150)</formula>
    </cfRule>
    <cfRule type="expression" dxfId="191" priority="5">
      <formula>AND($M2&lt;=3, $O2&gt;3)</formula>
    </cfRule>
    <cfRule type="expression" dxfId="190" priority="6">
      <formula>AND($M2&gt;3, $O2&lt;=3)</formula>
    </cfRule>
    <cfRule type="expression" dxfId="189" priority="7">
      <formula>AND($Q2&lt;=3, $S2&gt;3)</formula>
    </cfRule>
    <cfRule type="expression" dxfId="188" priority="8">
      <formula>AND($Q2&gt;3, $S2&lt;=3)</formula>
    </cfRule>
    <cfRule type="expression" dxfId="187" priority="9">
      <formula>AND($M2&lt;=3, $O2&lt;=3)</formula>
    </cfRule>
    <cfRule type="expression" dxfId="186" priority="10">
      <formula>AND($Q2&lt;=3, $S2&lt;=3)</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C136-B6DE-4D36-A344-2AC66FA0EA02}">
  <sheetPr codeName="Sheet71">
    <tabColor rgb="FFFF0000"/>
  </sheetPr>
  <dimension ref="A1:W120"/>
  <sheetViews>
    <sheetView zoomScale="90" zoomScaleNormal="90" workbookViewId="0">
      <selection activeCell="W11" sqref="A2:W11"/>
    </sheetView>
  </sheetViews>
  <sheetFormatPr defaultRowHeight="15"/>
  <cols>
    <col min="1" max="1" width="25.85546875" bestFit="1" customWidth="1"/>
    <col min="6" max="6" width="10" customWidth="1"/>
    <col min="7" max="7" width="8.28515625" customWidth="1"/>
    <col min="8" max="8" width="12.5703125" bestFit="1" customWidth="1"/>
    <col min="9" max="9" width="15.85546875" style="14" customWidth="1"/>
    <col min="10" max="10" width="12.140625" customWidth="1"/>
    <col min="11" max="11" width="12.5703125" customWidth="1"/>
    <col min="12" max="12" width="3.140625" hidden="1" customWidth="1"/>
    <col min="13" max="13" width="9.28515625" bestFit="1" customWidth="1"/>
    <col min="14" max="14" width="13.28515625" style="120" hidden="1" customWidth="1"/>
    <col min="15" max="15" width="12.28515625" style="120" bestFit="1" customWidth="1"/>
    <col min="16" max="16" width="4.42578125" hidden="1" customWidth="1"/>
    <col min="17" max="17" width="10.28515625" bestFit="1" customWidth="1"/>
    <col min="18" max="18" width="2.7109375" hidden="1" customWidth="1"/>
    <col min="19" max="19" width="13.85546875" bestFit="1" customWidth="1"/>
    <col min="20" max="20" width="9.28515625" customWidth="1"/>
    <col min="23" max="23" width="10.7109375" bestFit="1" customWidth="1"/>
  </cols>
  <sheetData>
    <row r="1" spans="1:23" ht="15.75" thickBot="1">
      <c r="A1" s="6" t="s">
        <v>0</v>
      </c>
      <c r="B1" s="7" t="s">
        <v>195</v>
      </c>
      <c r="C1" s="7" t="s">
        <v>196</v>
      </c>
      <c r="D1" s="7" t="s">
        <v>197</v>
      </c>
      <c r="E1" s="7" t="s">
        <v>198</v>
      </c>
      <c r="F1" s="7" t="s">
        <v>199</v>
      </c>
      <c r="G1" s="7" t="s">
        <v>200</v>
      </c>
      <c r="H1" s="123" t="s">
        <v>201</v>
      </c>
      <c r="I1" s="124" t="s">
        <v>202</v>
      </c>
      <c r="J1" s="228" t="s">
        <v>532</v>
      </c>
      <c r="K1" s="229" t="s">
        <v>533</v>
      </c>
      <c r="L1" s="121" t="s">
        <v>326</v>
      </c>
      <c r="M1" s="121" t="s">
        <v>324</v>
      </c>
      <c r="N1" s="124" t="s">
        <v>327</v>
      </c>
      <c r="O1" s="124" t="s">
        <v>322</v>
      </c>
      <c r="P1" s="228" t="s">
        <v>531</v>
      </c>
      <c r="Q1" s="228" t="s">
        <v>528</v>
      </c>
      <c r="R1" s="229" t="s">
        <v>530</v>
      </c>
      <c r="S1" s="229" t="s">
        <v>529</v>
      </c>
      <c r="T1" s="122" t="s">
        <v>207</v>
      </c>
      <c r="U1" s="122" t="s">
        <v>208</v>
      </c>
      <c r="V1" s="227" t="s">
        <v>209</v>
      </c>
      <c r="W1" s="235" t="s">
        <v>210</v>
      </c>
    </row>
    <row r="2" spans="1:23">
      <c r="A2" t="s">
        <v>539</v>
      </c>
      <c r="B2">
        <v>26</v>
      </c>
      <c r="C2">
        <v>188</v>
      </c>
      <c r="D2">
        <v>194</v>
      </c>
      <c r="E2">
        <v>177</v>
      </c>
      <c r="F2">
        <v>14</v>
      </c>
      <c r="G2">
        <v>110</v>
      </c>
      <c r="H2">
        <v>331</v>
      </c>
      <c r="I2" s="14">
        <v>484.82139902589068</v>
      </c>
      <c r="J2" s="231">
        <v>331</v>
      </c>
      <c r="K2" s="231">
        <v>484.82139902589068</v>
      </c>
      <c r="L2" s="16"/>
      <c r="M2" s="16">
        <v>113</v>
      </c>
      <c r="N2" s="230"/>
      <c r="O2" s="230">
        <v>111</v>
      </c>
      <c r="Q2">
        <v>85</v>
      </c>
      <c r="S2">
        <v>84</v>
      </c>
      <c r="T2" s="15"/>
      <c r="U2" s="15"/>
      <c r="W2">
        <v>1</v>
      </c>
    </row>
    <row r="3" spans="1:23">
      <c r="A3" t="s">
        <v>165</v>
      </c>
      <c r="B3">
        <v>167</v>
      </c>
      <c r="C3">
        <v>75</v>
      </c>
      <c r="D3">
        <v>77</v>
      </c>
      <c r="E3">
        <v>42</v>
      </c>
      <c r="F3">
        <v>53</v>
      </c>
      <c r="G3">
        <v>85</v>
      </c>
      <c r="H3">
        <v>251.6</v>
      </c>
      <c r="I3" s="14">
        <v>338.7</v>
      </c>
      <c r="J3" s="231">
        <v>251.6</v>
      </c>
      <c r="K3" s="231">
        <v>338.7</v>
      </c>
      <c r="L3" s="16"/>
      <c r="M3" s="16">
        <v>79</v>
      </c>
      <c r="N3" s="230"/>
      <c r="O3" s="230">
        <v>62</v>
      </c>
      <c r="Q3">
        <v>52</v>
      </c>
      <c r="R3">
        <v>1</v>
      </c>
      <c r="S3">
        <v>43</v>
      </c>
      <c r="T3" s="15"/>
      <c r="U3" s="15"/>
      <c r="W3">
        <v>2</v>
      </c>
    </row>
    <row r="4" spans="1:23">
      <c r="A4" t="s">
        <v>42</v>
      </c>
      <c r="B4">
        <v>38</v>
      </c>
      <c r="C4">
        <v>154</v>
      </c>
      <c r="D4">
        <v>39</v>
      </c>
      <c r="E4">
        <v>4</v>
      </c>
      <c r="F4">
        <v>135</v>
      </c>
      <c r="G4">
        <v>27</v>
      </c>
      <c r="H4">
        <v>200</v>
      </c>
      <c r="I4" s="14">
        <v>225.6</v>
      </c>
      <c r="J4" s="231">
        <v>200</v>
      </c>
      <c r="K4" s="231">
        <v>225.6</v>
      </c>
      <c r="L4" s="16"/>
      <c r="M4" s="16">
        <v>35</v>
      </c>
      <c r="N4" s="230"/>
      <c r="O4" s="230">
        <v>21</v>
      </c>
      <c r="Q4">
        <v>11</v>
      </c>
      <c r="R4">
        <v>1</v>
      </c>
      <c r="S4">
        <v>8</v>
      </c>
      <c r="T4" s="15"/>
      <c r="U4" s="15"/>
      <c r="W4">
        <v>3</v>
      </c>
    </row>
    <row r="5" spans="1:23">
      <c r="A5" s="234" t="s">
        <v>73</v>
      </c>
      <c r="B5">
        <v>113</v>
      </c>
      <c r="C5">
        <v>95</v>
      </c>
      <c r="D5">
        <v>58</v>
      </c>
      <c r="E5">
        <v>29</v>
      </c>
      <c r="F5">
        <v>97</v>
      </c>
      <c r="G5">
        <v>21</v>
      </c>
      <c r="H5">
        <v>227.29999999999998</v>
      </c>
      <c r="I5" s="14">
        <v>249.01677523926662</v>
      </c>
      <c r="J5" s="231">
        <v>176.77782772557276</v>
      </c>
      <c r="K5" s="231">
        <v>190.40899996051192</v>
      </c>
      <c r="L5" s="16">
        <v>83</v>
      </c>
      <c r="M5" s="16">
        <v>57</v>
      </c>
      <c r="N5" s="230">
        <v>42</v>
      </c>
      <c r="O5" s="230">
        <v>30</v>
      </c>
      <c r="Q5">
        <v>4</v>
      </c>
      <c r="R5">
        <v>1</v>
      </c>
      <c r="S5">
        <v>3</v>
      </c>
      <c r="T5" s="15">
        <v>0</v>
      </c>
      <c r="U5" s="15">
        <v>1</v>
      </c>
      <c r="V5">
        <v>-18</v>
      </c>
      <c r="W5">
        <v>3</v>
      </c>
    </row>
    <row r="6" spans="1:23">
      <c r="A6" t="s">
        <v>26</v>
      </c>
      <c r="B6">
        <v>18</v>
      </c>
      <c r="C6">
        <v>18</v>
      </c>
      <c r="D6">
        <v>144</v>
      </c>
      <c r="E6">
        <v>152</v>
      </c>
      <c r="F6">
        <v>94</v>
      </c>
      <c r="G6">
        <v>87</v>
      </c>
      <c r="H6">
        <v>230.20000000000002</v>
      </c>
      <c r="I6" s="14">
        <v>361.29534615500614</v>
      </c>
      <c r="J6" s="231">
        <v>233.28899151134408</v>
      </c>
      <c r="K6" s="231">
        <v>344.22839577414038</v>
      </c>
      <c r="L6" s="16">
        <v>88</v>
      </c>
      <c r="M6" s="16">
        <v>61</v>
      </c>
      <c r="N6" s="230">
        <v>109</v>
      </c>
      <c r="O6" s="230">
        <v>74</v>
      </c>
      <c r="Q6">
        <v>35</v>
      </c>
      <c r="R6">
        <v>1</v>
      </c>
      <c r="S6">
        <v>44</v>
      </c>
      <c r="T6" s="15"/>
      <c r="U6" s="15"/>
      <c r="V6">
        <v>-6</v>
      </c>
      <c r="W6">
        <v>3</v>
      </c>
    </row>
    <row r="7" spans="1:23">
      <c r="A7" t="s">
        <v>62</v>
      </c>
      <c r="B7">
        <v>63</v>
      </c>
      <c r="C7">
        <v>115</v>
      </c>
      <c r="D7">
        <v>65</v>
      </c>
      <c r="E7">
        <v>54</v>
      </c>
      <c r="F7">
        <v>10</v>
      </c>
      <c r="G7">
        <v>41</v>
      </c>
      <c r="H7">
        <v>173.7</v>
      </c>
      <c r="I7" s="14">
        <v>225.92106265802451</v>
      </c>
      <c r="J7" s="231">
        <v>201.43227934628882</v>
      </c>
      <c r="K7" s="231">
        <v>277.68415918875348</v>
      </c>
      <c r="L7" s="16">
        <v>23</v>
      </c>
      <c r="M7" s="16">
        <v>17</v>
      </c>
      <c r="N7" s="230">
        <v>31</v>
      </c>
      <c r="O7" s="230">
        <v>22</v>
      </c>
      <c r="Q7">
        <v>12</v>
      </c>
      <c r="R7">
        <v>1</v>
      </c>
      <c r="S7">
        <v>23</v>
      </c>
      <c r="T7" s="15">
        <v>0</v>
      </c>
      <c r="U7" s="15">
        <v>0</v>
      </c>
      <c r="V7">
        <v>30</v>
      </c>
      <c r="W7">
        <v>6</v>
      </c>
    </row>
    <row r="8" spans="1:23">
      <c r="A8" t="s">
        <v>141</v>
      </c>
      <c r="B8">
        <v>131</v>
      </c>
      <c r="C8">
        <v>86</v>
      </c>
      <c r="D8">
        <v>115</v>
      </c>
      <c r="E8">
        <v>64</v>
      </c>
      <c r="F8">
        <v>40</v>
      </c>
      <c r="G8">
        <v>55</v>
      </c>
      <c r="H8">
        <v>260.79999999999995</v>
      </c>
      <c r="I8" s="14">
        <v>330.54754988483916</v>
      </c>
      <c r="J8" s="231">
        <v>225.58549677067774</v>
      </c>
      <c r="K8" s="231">
        <v>281.25171339336487</v>
      </c>
      <c r="L8" s="16">
        <v>124</v>
      </c>
      <c r="M8" s="16">
        <v>88</v>
      </c>
      <c r="N8" s="230">
        <v>83</v>
      </c>
      <c r="O8" s="230">
        <v>56</v>
      </c>
      <c r="Q8">
        <v>32</v>
      </c>
      <c r="R8">
        <v>1</v>
      </c>
      <c r="S8">
        <v>24</v>
      </c>
      <c r="T8" s="15">
        <v>0</v>
      </c>
      <c r="U8" s="15">
        <v>0</v>
      </c>
      <c r="V8">
        <v>-16</v>
      </c>
      <c r="W8">
        <v>6</v>
      </c>
    </row>
    <row r="9" spans="1:23">
      <c r="A9" t="s">
        <v>27</v>
      </c>
      <c r="B9">
        <v>85</v>
      </c>
      <c r="C9">
        <v>122</v>
      </c>
      <c r="D9">
        <v>86</v>
      </c>
      <c r="E9">
        <v>130</v>
      </c>
      <c r="F9">
        <v>59</v>
      </c>
      <c r="G9">
        <v>81</v>
      </c>
      <c r="H9">
        <v>262.2</v>
      </c>
      <c r="I9" s="14">
        <v>367.45906028801181</v>
      </c>
      <c r="J9" s="231">
        <v>231.03550786332886</v>
      </c>
      <c r="K9" s="231">
        <v>306.94253869999551</v>
      </c>
      <c r="L9" s="16">
        <v>125</v>
      </c>
      <c r="M9" s="16">
        <v>89</v>
      </c>
      <c r="N9" s="230">
        <v>115</v>
      </c>
      <c r="O9" s="230">
        <v>79</v>
      </c>
      <c r="Q9">
        <v>34</v>
      </c>
      <c r="R9">
        <v>1</v>
      </c>
      <c r="S9">
        <v>33</v>
      </c>
      <c r="T9" s="15">
        <v>0</v>
      </c>
      <c r="U9" s="15">
        <v>0</v>
      </c>
      <c r="V9">
        <v>-50</v>
      </c>
      <c r="W9">
        <v>6</v>
      </c>
    </row>
    <row r="10" spans="1:23">
      <c r="A10" t="s">
        <v>97</v>
      </c>
      <c r="B10">
        <v>55</v>
      </c>
      <c r="C10">
        <v>122</v>
      </c>
      <c r="D10">
        <v>91</v>
      </c>
      <c r="E10">
        <v>118</v>
      </c>
      <c r="F10">
        <v>9</v>
      </c>
      <c r="G10">
        <v>32</v>
      </c>
      <c r="H10">
        <v>214.89999999999998</v>
      </c>
      <c r="I10" s="14">
        <v>273.30738782871583</v>
      </c>
      <c r="J10" s="231">
        <v>222.8627336736869</v>
      </c>
      <c r="K10" s="231">
        <v>272.79160854928341</v>
      </c>
      <c r="L10" s="16">
        <v>66</v>
      </c>
      <c r="M10" s="16">
        <v>49</v>
      </c>
      <c r="N10" s="230">
        <v>53</v>
      </c>
      <c r="O10" s="230">
        <v>38</v>
      </c>
      <c r="Q10">
        <v>28</v>
      </c>
      <c r="R10">
        <v>1</v>
      </c>
      <c r="S10">
        <v>18</v>
      </c>
      <c r="T10" s="15">
        <v>0</v>
      </c>
      <c r="U10" s="15">
        <v>0</v>
      </c>
      <c r="V10">
        <v>10</v>
      </c>
      <c r="W10">
        <v>9</v>
      </c>
    </row>
    <row r="11" spans="1:23">
      <c r="A11" t="s">
        <v>14</v>
      </c>
      <c r="B11">
        <v>91</v>
      </c>
      <c r="C11">
        <v>140</v>
      </c>
      <c r="D11">
        <v>117</v>
      </c>
      <c r="E11">
        <v>3</v>
      </c>
      <c r="F11">
        <v>119</v>
      </c>
      <c r="G11">
        <v>32</v>
      </c>
      <c r="H11">
        <v>276.29999999999995</v>
      </c>
      <c r="I11" s="14">
        <v>314.6088572404563</v>
      </c>
      <c r="J11" s="231">
        <v>249.1168747001723</v>
      </c>
      <c r="K11" s="231">
        <v>328.65838933139923</v>
      </c>
      <c r="L11" s="16">
        <v>135</v>
      </c>
      <c r="M11" s="16">
        <v>98</v>
      </c>
      <c r="N11" s="230">
        <v>75</v>
      </c>
      <c r="O11" s="230">
        <v>51</v>
      </c>
      <c r="Q11">
        <v>49</v>
      </c>
      <c r="R11">
        <v>1</v>
      </c>
      <c r="S11">
        <v>39</v>
      </c>
      <c r="T11" s="15">
        <v>0</v>
      </c>
      <c r="U11" s="15">
        <v>0</v>
      </c>
      <c r="V11">
        <v>25</v>
      </c>
      <c r="W11">
        <v>9</v>
      </c>
    </row>
    <row r="12" spans="1:23">
      <c r="A12" s="20" t="s">
        <v>48</v>
      </c>
      <c r="B12">
        <v>1</v>
      </c>
      <c r="C12">
        <v>18</v>
      </c>
      <c r="D12">
        <v>31</v>
      </c>
      <c r="E12">
        <v>35</v>
      </c>
      <c r="F12">
        <v>29</v>
      </c>
      <c r="G12">
        <v>2</v>
      </c>
      <c r="H12">
        <v>59.9</v>
      </c>
      <c r="I12" s="14">
        <v>71.632800171105629</v>
      </c>
      <c r="J12" s="231">
        <v>254.71239798209859</v>
      </c>
      <c r="K12" s="231">
        <v>387.81849638156581</v>
      </c>
      <c r="L12" s="16">
        <v>1</v>
      </c>
      <c r="M12" s="16">
        <v>1</v>
      </c>
      <c r="N12" s="230">
        <v>1</v>
      </c>
      <c r="O12" s="230">
        <v>1</v>
      </c>
      <c r="Q12">
        <v>57</v>
      </c>
      <c r="R12">
        <v>1</v>
      </c>
      <c r="S12">
        <v>60</v>
      </c>
      <c r="T12" s="15">
        <v>0</v>
      </c>
      <c r="U12" s="15">
        <v>1</v>
      </c>
      <c r="V12">
        <v>147</v>
      </c>
    </row>
    <row r="13" spans="1:23">
      <c r="A13" s="20" t="s">
        <v>372</v>
      </c>
      <c r="B13">
        <v>22</v>
      </c>
      <c r="C13">
        <v>18</v>
      </c>
      <c r="D13">
        <v>39</v>
      </c>
      <c r="E13">
        <v>20</v>
      </c>
      <c r="F13">
        <v>35</v>
      </c>
      <c r="G13">
        <v>1</v>
      </c>
      <c r="H13">
        <v>77.199999999999989</v>
      </c>
      <c r="I13" s="14">
        <v>84.765564933843564</v>
      </c>
      <c r="J13" s="231" t="e">
        <v>#N/A</v>
      </c>
      <c r="K13" s="231" t="e">
        <v>#N/A</v>
      </c>
      <c r="L13" s="16">
        <v>2</v>
      </c>
      <c r="M13" s="16">
        <v>2</v>
      </c>
      <c r="N13" s="230">
        <v>2</v>
      </c>
      <c r="O13" s="230">
        <v>2</v>
      </c>
      <c r="Q13">
        <v>89</v>
      </c>
      <c r="S13">
        <v>89</v>
      </c>
      <c r="T13" s="15">
        <v>1</v>
      </c>
      <c r="U13" s="15">
        <v>1</v>
      </c>
    </row>
    <row r="14" spans="1:23">
      <c r="A14" s="20" t="s">
        <v>91</v>
      </c>
      <c r="B14">
        <v>8</v>
      </c>
      <c r="C14">
        <v>13</v>
      </c>
      <c r="D14">
        <v>47</v>
      </c>
      <c r="E14">
        <v>58</v>
      </c>
      <c r="F14">
        <v>63</v>
      </c>
      <c r="G14">
        <v>9</v>
      </c>
      <c r="H14">
        <v>99.7</v>
      </c>
      <c r="I14" s="14">
        <v>123.68562887870949</v>
      </c>
      <c r="J14" s="231">
        <v>239.18512780113608</v>
      </c>
      <c r="K14" s="231">
        <v>367.04516013826208</v>
      </c>
      <c r="L14" s="16">
        <v>3</v>
      </c>
      <c r="M14" s="16">
        <v>3</v>
      </c>
      <c r="N14" s="230">
        <v>4</v>
      </c>
      <c r="O14" s="230">
        <v>3</v>
      </c>
      <c r="Q14">
        <v>36</v>
      </c>
      <c r="R14">
        <v>1</v>
      </c>
      <c r="S14">
        <v>58</v>
      </c>
      <c r="T14" s="15">
        <v>0</v>
      </c>
      <c r="U14" s="15">
        <v>0</v>
      </c>
      <c r="V14">
        <v>144</v>
      </c>
    </row>
    <row r="15" spans="1:23">
      <c r="A15" t="s">
        <v>156</v>
      </c>
      <c r="B15">
        <v>40</v>
      </c>
      <c r="C15">
        <v>48</v>
      </c>
      <c r="D15">
        <v>40</v>
      </c>
      <c r="E15">
        <v>6</v>
      </c>
      <c r="F15">
        <v>56</v>
      </c>
      <c r="G15">
        <v>26</v>
      </c>
      <c r="H15">
        <v>110.4</v>
      </c>
      <c r="I15" s="14">
        <v>138.37396215457107</v>
      </c>
      <c r="J15" s="231">
        <v>248.2376656617526</v>
      </c>
      <c r="K15" s="231">
        <v>363.09183465129558</v>
      </c>
      <c r="L15" s="16">
        <v>4</v>
      </c>
      <c r="M15" s="16">
        <v>4</v>
      </c>
      <c r="N15" s="230">
        <v>5</v>
      </c>
      <c r="O15" s="230">
        <v>4</v>
      </c>
      <c r="Q15">
        <v>46</v>
      </c>
      <c r="R15">
        <v>1</v>
      </c>
      <c r="S15">
        <v>56</v>
      </c>
      <c r="T15" s="15">
        <v>0</v>
      </c>
      <c r="U15" s="15">
        <v>0</v>
      </c>
      <c r="V15">
        <v>119</v>
      </c>
    </row>
    <row r="16" spans="1:23">
      <c r="A16" t="s">
        <v>115</v>
      </c>
      <c r="B16">
        <v>40</v>
      </c>
      <c r="C16">
        <v>5</v>
      </c>
      <c r="D16">
        <v>66</v>
      </c>
      <c r="E16">
        <v>90</v>
      </c>
      <c r="F16">
        <v>13</v>
      </c>
      <c r="G16">
        <v>16</v>
      </c>
      <c r="H16">
        <v>119.19999999999999</v>
      </c>
      <c r="I16" s="14">
        <v>156.50344113123163</v>
      </c>
      <c r="J16" s="231">
        <v>216.53755473524163</v>
      </c>
      <c r="K16" s="231">
        <v>315.02114997639205</v>
      </c>
      <c r="L16" s="16">
        <v>6</v>
      </c>
      <c r="M16" s="16">
        <v>5</v>
      </c>
      <c r="N16" s="230">
        <v>6</v>
      </c>
      <c r="O16" s="230">
        <v>5</v>
      </c>
      <c r="Q16">
        <v>24</v>
      </c>
      <c r="R16">
        <v>1</v>
      </c>
      <c r="S16">
        <v>36</v>
      </c>
      <c r="T16" s="15">
        <v>0</v>
      </c>
      <c r="U16" s="15">
        <v>0</v>
      </c>
      <c r="V16">
        <v>86</v>
      </c>
    </row>
    <row r="17" spans="1:22">
      <c r="A17" t="s">
        <v>79</v>
      </c>
      <c r="B17">
        <v>6</v>
      </c>
      <c r="C17">
        <v>33</v>
      </c>
      <c r="D17">
        <v>10</v>
      </c>
      <c r="E17">
        <v>46</v>
      </c>
      <c r="F17">
        <v>164</v>
      </c>
      <c r="G17">
        <v>87</v>
      </c>
      <c r="H17">
        <v>128.1</v>
      </c>
      <c r="I17" s="14">
        <v>220.69935651143254</v>
      </c>
      <c r="J17" s="231">
        <v>214.79769508505655</v>
      </c>
      <c r="K17" s="231">
        <v>297.5721203746337</v>
      </c>
      <c r="L17" s="16">
        <v>7</v>
      </c>
      <c r="M17" s="16">
        <v>6</v>
      </c>
      <c r="N17" s="230">
        <v>26</v>
      </c>
      <c r="O17" s="230">
        <v>18</v>
      </c>
      <c r="Q17">
        <v>22</v>
      </c>
      <c r="R17">
        <v>1</v>
      </c>
      <c r="S17">
        <v>29</v>
      </c>
      <c r="T17" s="15"/>
      <c r="U17" s="15"/>
      <c r="V17">
        <v>-20</v>
      </c>
    </row>
    <row r="18" spans="1:22">
      <c r="A18" t="s">
        <v>152</v>
      </c>
      <c r="B18">
        <v>32</v>
      </c>
      <c r="C18">
        <v>1</v>
      </c>
      <c r="D18">
        <v>56</v>
      </c>
      <c r="E18">
        <v>32</v>
      </c>
      <c r="F18">
        <v>110</v>
      </c>
      <c r="G18">
        <v>65</v>
      </c>
      <c r="H18">
        <v>129.89999999999998</v>
      </c>
      <c r="I18" s="14">
        <v>204.40494667666869</v>
      </c>
      <c r="J18" s="231">
        <v>199.71120815637568</v>
      </c>
      <c r="K18" s="231">
        <v>255.41862735920805</v>
      </c>
      <c r="L18" s="16">
        <v>8</v>
      </c>
      <c r="M18" s="16">
        <v>7</v>
      </c>
      <c r="N18" s="230">
        <v>19</v>
      </c>
      <c r="O18" s="230">
        <v>15</v>
      </c>
      <c r="Q18">
        <v>10</v>
      </c>
      <c r="R18">
        <v>1</v>
      </c>
      <c r="S18">
        <v>14</v>
      </c>
      <c r="T18" s="15">
        <v>0</v>
      </c>
      <c r="U18" s="15">
        <v>0</v>
      </c>
      <c r="V18">
        <v>-17</v>
      </c>
    </row>
    <row r="19" spans="1:22">
      <c r="A19" t="s">
        <v>92</v>
      </c>
      <c r="B19">
        <v>29</v>
      </c>
      <c r="C19">
        <v>69</v>
      </c>
      <c r="D19">
        <v>6</v>
      </c>
      <c r="E19">
        <v>36</v>
      </c>
      <c r="F19">
        <v>128</v>
      </c>
      <c r="G19">
        <v>32</v>
      </c>
      <c r="H19">
        <v>137.4</v>
      </c>
      <c r="I19" s="14">
        <v>170.59301271823989</v>
      </c>
      <c r="J19" s="231">
        <v>207.76036220283686</v>
      </c>
      <c r="K19" s="231">
        <v>273.47723039905117</v>
      </c>
      <c r="L19" s="16">
        <v>9</v>
      </c>
      <c r="M19" s="16">
        <v>8</v>
      </c>
      <c r="N19" s="230">
        <v>10</v>
      </c>
      <c r="O19" s="230">
        <v>7</v>
      </c>
      <c r="Q19">
        <v>17</v>
      </c>
      <c r="R19">
        <v>1</v>
      </c>
      <c r="S19">
        <v>20</v>
      </c>
      <c r="T19" s="15">
        <v>0</v>
      </c>
      <c r="U19" s="15">
        <v>0</v>
      </c>
      <c r="V19">
        <v>41</v>
      </c>
    </row>
    <row r="20" spans="1:22">
      <c r="A20" t="s">
        <v>52</v>
      </c>
      <c r="B20">
        <v>19</v>
      </c>
      <c r="C20">
        <v>33</v>
      </c>
      <c r="D20">
        <v>119</v>
      </c>
      <c r="E20">
        <v>56</v>
      </c>
      <c r="F20">
        <v>24</v>
      </c>
      <c r="G20">
        <v>16</v>
      </c>
      <c r="H20">
        <v>147.5</v>
      </c>
      <c r="I20" s="14">
        <v>188.53147091805329</v>
      </c>
      <c r="J20" s="231">
        <v>182.98908025255287</v>
      </c>
      <c r="K20" s="231">
        <v>216.7511329279094</v>
      </c>
      <c r="L20" s="16">
        <v>11</v>
      </c>
      <c r="M20" s="16">
        <v>9</v>
      </c>
      <c r="N20" s="230">
        <v>13</v>
      </c>
      <c r="O20" s="230">
        <v>10</v>
      </c>
      <c r="Q20">
        <v>7</v>
      </c>
      <c r="R20">
        <v>1</v>
      </c>
      <c r="S20">
        <v>7</v>
      </c>
      <c r="T20" s="15">
        <v>0</v>
      </c>
      <c r="U20" s="15">
        <v>0</v>
      </c>
      <c r="V20">
        <v>12</v>
      </c>
    </row>
    <row r="21" spans="1:22">
      <c r="A21" t="s">
        <v>88</v>
      </c>
      <c r="B21">
        <v>15</v>
      </c>
      <c r="C21">
        <v>3</v>
      </c>
      <c r="D21">
        <v>96</v>
      </c>
      <c r="E21">
        <v>78</v>
      </c>
      <c r="F21">
        <v>77</v>
      </c>
      <c r="G21">
        <v>41</v>
      </c>
      <c r="H21">
        <v>148.89999999999998</v>
      </c>
      <c r="I21" s="14">
        <v>215.12903042310916</v>
      </c>
      <c r="J21" s="231">
        <v>212.05271534303407</v>
      </c>
      <c r="K21" s="231">
        <v>296.64021270653643</v>
      </c>
      <c r="L21" s="16">
        <v>12</v>
      </c>
      <c r="M21" s="16">
        <v>10</v>
      </c>
      <c r="N21" s="230">
        <v>23</v>
      </c>
      <c r="O21" s="230">
        <v>16</v>
      </c>
      <c r="Q21">
        <v>20</v>
      </c>
      <c r="R21">
        <v>1</v>
      </c>
      <c r="S21">
        <v>28</v>
      </c>
      <c r="T21" s="15">
        <v>0</v>
      </c>
      <c r="U21" s="15">
        <v>0</v>
      </c>
      <c r="V21">
        <v>24</v>
      </c>
    </row>
    <row r="22" spans="1:22">
      <c r="A22" t="s">
        <v>114</v>
      </c>
      <c r="B22">
        <v>87</v>
      </c>
      <c r="C22">
        <v>30</v>
      </c>
      <c r="D22">
        <v>44</v>
      </c>
      <c r="E22">
        <v>106</v>
      </c>
      <c r="F22">
        <v>20</v>
      </c>
      <c r="G22">
        <v>23</v>
      </c>
      <c r="H22">
        <v>159.10000000000002</v>
      </c>
      <c r="I22" s="14">
        <v>197.9835209183214</v>
      </c>
      <c r="J22" s="231">
        <v>178.11445885871788</v>
      </c>
      <c r="K22" s="231">
        <v>196.16882516181295</v>
      </c>
      <c r="L22" s="16">
        <v>14</v>
      </c>
      <c r="M22" s="16">
        <v>11</v>
      </c>
      <c r="N22" s="230">
        <v>16</v>
      </c>
      <c r="O22" s="230">
        <v>12</v>
      </c>
      <c r="Q22">
        <v>5</v>
      </c>
      <c r="R22">
        <v>1</v>
      </c>
      <c r="S22">
        <v>4</v>
      </c>
      <c r="T22" s="15">
        <v>0</v>
      </c>
      <c r="U22" s="15">
        <v>0</v>
      </c>
      <c r="V22">
        <v>-7</v>
      </c>
    </row>
    <row r="23" spans="1:22">
      <c r="A23" t="s">
        <v>133</v>
      </c>
      <c r="B23">
        <v>96</v>
      </c>
      <c r="C23">
        <v>26</v>
      </c>
      <c r="D23">
        <v>15</v>
      </c>
      <c r="E23">
        <v>88</v>
      </c>
      <c r="F23">
        <v>69</v>
      </c>
      <c r="G23">
        <v>16</v>
      </c>
      <c r="H23">
        <v>160.39999999999998</v>
      </c>
      <c r="I23" s="14">
        <v>183.38803638414393</v>
      </c>
      <c r="J23" s="231">
        <v>259.52230538624042</v>
      </c>
      <c r="K23" s="231">
        <v>345.33489524050088</v>
      </c>
      <c r="L23" s="16">
        <v>15</v>
      </c>
      <c r="M23" s="16">
        <v>12</v>
      </c>
      <c r="N23" s="230">
        <v>11</v>
      </c>
      <c r="O23" s="230">
        <v>8</v>
      </c>
      <c r="Q23">
        <v>60</v>
      </c>
      <c r="R23">
        <v>1</v>
      </c>
      <c r="S23">
        <v>46</v>
      </c>
      <c r="T23" s="15">
        <v>0</v>
      </c>
      <c r="U23" s="15">
        <v>0</v>
      </c>
      <c r="V23">
        <v>82</v>
      </c>
    </row>
    <row r="24" spans="1:22">
      <c r="A24" t="s">
        <v>187</v>
      </c>
      <c r="B24">
        <v>118</v>
      </c>
      <c r="C24">
        <v>5</v>
      </c>
      <c r="D24">
        <v>2</v>
      </c>
      <c r="E24">
        <v>58</v>
      </c>
      <c r="F24">
        <v>104</v>
      </c>
      <c r="G24">
        <v>32</v>
      </c>
      <c r="H24">
        <v>161.69999999999999</v>
      </c>
      <c r="I24" s="14">
        <v>191.66288225373791</v>
      </c>
      <c r="J24" s="231">
        <v>229.8637460169922</v>
      </c>
      <c r="K24" s="231">
        <v>309.54523739771821</v>
      </c>
      <c r="L24" s="16">
        <v>16</v>
      </c>
      <c r="M24" s="16">
        <v>13</v>
      </c>
      <c r="N24" s="230">
        <v>14</v>
      </c>
      <c r="O24" s="230">
        <v>11</v>
      </c>
      <c r="Q24">
        <v>33</v>
      </c>
      <c r="R24">
        <v>1</v>
      </c>
      <c r="S24">
        <v>34</v>
      </c>
      <c r="T24" s="15">
        <v>0</v>
      </c>
      <c r="U24" s="15">
        <v>0</v>
      </c>
      <c r="V24">
        <v>69</v>
      </c>
    </row>
    <row r="25" spans="1:22">
      <c r="A25" t="s">
        <v>149</v>
      </c>
      <c r="B25">
        <v>75</v>
      </c>
      <c r="C25">
        <v>26</v>
      </c>
      <c r="D25">
        <v>24</v>
      </c>
      <c r="E25">
        <v>149</v>
      </c>
      <c r="F25">
        <v>46</v>
      </c>
      <c r="G25">
        <v>65</v>
      </c>
      <c r="H25">
        <v>164.9</v>
      </c>
      <c r="I25" s="14">
        <v>250.54010382879693</v>
      </c>
      <c r="J25" s="231">
        <v>249.8815886898654</v>
      </c>
      <c r="K25" s="231">
        <v>355.84824667030591</v>
      </c>
      <c r="L25" s="16">
        <v>17</v>
      </c>
      <c r="M25" s="16">
        <v>14</v>
      </c>
      <c r="N25" s="230">
        <v>43</v>
      </c>
      <c r="O25" s="230">
        <v>31</v>
      </c>
      <c r="Q25">
        <v>51</v>
      </c>
      <c r="R25">
        <v>1</v>
      </c>
      <c r="S25">
        <v>50</v>
      </c>
      <c r="T25" s="15">
        <v>0</v>
      </c>
      <c r="U25" s="15">
        <v>0</v>
      </c>
      <c r="V25">
        <v>49</v>
      </c>
    </row>
    <row r="26" spans="1:22">
      <c r="A26" t="s">
        <v>126</v>
      </c>
      <c r="B26">
        <v>110</v>
      </c>
      <c r="C26">
        <v>68</v>
      </c>
      <c r="D26">
        <v>55</v>
      </c>
      <c r="E26">
        <v>9</v>
      </c>
      <c r="F26">
        <v>24</v>
      </c>
      <c r="G26">
        <v>6</v>
      </c>
      <c r="H26">
        <v>165.1</v>
      </c>
      <c r="I26" s="14">
        <v>169.88102819413518</v>
      </c>
      <c r="J26" s="231">
        <v>203.6780717638969</v>
      </c>
      <c r="K26" s="231">
        <v>244.52942012653293</v>
      </c>
      <c r="L26" s="16">
        <v>18</v>
      </c>
      <c r="M26" s="16">
        <v>15</v>
      </c>
      <c r="N26" s="230">
        <v>8</v>
      </c>
      <c r="O26" s="230">
        <v>6</v>
      </c>
      <c r="Q26">
        <v>13</v>
      </c>
      <c r="R26">
        <v>1</v>
      </c>
      <c r="S26">
        <v>12</v>
      </c>
      <c r="T26" s="15">
        <v>0</v>
      </c>
      <c r="U26" s="15">
        <v>1</v>
      </c>
      <c r="V26">
        <v>41</v>
      </c>
    </row>
    <row r="27" spans="1:22">
      <c r="A27" t="s">
        <v>30</v>
      </c>
      <c r="B27">
        <v>27</v>
      </c>
      <c r="C27">
        <v>157</v>
      </c>
      <c r="D27">
        <v>59</v>
      </c>
      <c r="E27">
        <v>17</v>
      </c>
      <c r="F27">
        <v>53</v>
      </c>
      <c r="G27">
        <v>26</v>
      </c>
      <c r="H27">
        <v>172</v>
      </c>
      <c r="I27" s="14">
        <v>203.91693747162034</v>
      </c>
      <c r="J27" s="231">
        <v>248.19512394648675</v>
      </c>
      <c r="K27" s="231">
        <v>336.52432451642409</v>
      </c>
      <c r="L27" s="16">
        <v>19</v>
      </c>
      <c r="M27" s="16">
        <v>16</v>
      </c>
      <c r="N27" s="230">
        <v>18</v>
      </c>
      <c r="O27" s="230">
        <v>14</v>
      </c>
      <c r="Q27">
        <v>45</v>
      </c>
      <c r="R27">
        <v>1</v>
      </c>
      <c r="S27">
        <v>41</v>
      </c>
      <c r="T27" s="15">
        <v>0</v>
      </c>
      <c r="U27" s="15">
        <v>0</v>
      </c>
      <c r="V27">
        <v>67</v>
      </c>
    </row>
    <row r="28" spans="1:22">
      <c r="A28" t="s">
        <v>132</v>
      </c>
      <c r="B28">
        <v>93</v>
      </c>
      <c r="C28">
        <v>74</v>
      </c>
      <c r="D28">
        <v>7</v>
      </c>
      <c r="E28">
        <v>86</v>
      </c>
      <c r="F28">
        <v>71</v>
      </c>
      <c r="G28">
        <v>6</v>
      </c>
      <c r="H28">
        <v>176.9</v>
      </c>
      <c r="I28" s="14">
        <v>187.67635624268934</v>
      </c>
      <c r="J28" s="231">
        <v>190.97207244056736</v>
      </c>
      <c r="K28" s="231">
        <v>210.57697442664553</v>
      </c>
      <c r="L28" s="16">
        <v>24</v>
      </c>
      <c r="M28" s="16">
        <v>18</v>
      </c>
      <c r="N28" s="230">
        <v>12</v>
      </c>
      <c r="O28" s="230">
        <v>9</v>
      </c>
      <c r="Q28">
        <v>8</v>
      </c>
      <c r="R28">
        <v>1</v>
      </c>
      <c r="S28">
        <v>5</v>
      </c>
      <c r="T28" s="15">
        <v>0.5</v>
      </c>
      <c r="U28" s="15">
        <v>0.5</v>
      </c>
      <c r="V28">
        <v>24</v>
      </c>
    </row>
    <row r="29" spans="1:22">
      <c r="A29" t="s">
        <v>22</v>
      </c>
      <c r="B29">
        <v>43</v>
      </c>
      <c r="C29">
        <v>33</v>
      </c>
      <c r="D29">
        <v>139</v>
      </c>
      <c r="E29">
        <v>27</v>
      </c>
      <c r="F29">
        <v>45</v>
      </c>
      <c r="G29">
        <v>41</v>
      </c>
      <c r="H29">
        <v>177.2</v>
      </c>
      <c r="I29" s="14">
        <v>239.11973522652204</v>
      </c>
      <c r="J29" s="231">
        <v>224.42724799566025</v>
      </c>
      <c r="K29" s="231">
        <v>346.8096237868923</v>
      </c>
      <c r="L29" s="16">
        <v>25</v>
      </c>
      <c r="M29" s="16">
        <v>19</v>
      </c>
      <c r="N29" s="230">
        <v>39</v>
      </c>
      <c r="O29" s="230">
        <v>27</v>
      </c>
      <c r="Q29">
        <v>29</v>
      </c>
      <c r="R29">
        <v>1</v>
      </c>
      <c r="S29">
        <v>47</v>
      </c>
      <c r="T29" s="15">
        <v>0</v>
      </c>
      <c r="U29" s="15">
        <v>0</v>
      </c>
      <c r="V29">
        <v>72</v>
      </c>
    </row>
    <row r="30" spans="1:22">
      <c r="A30" t="s">
        <v>361</v>
      </c>
      <c r="B30">
        <v>11</v>
      </c>
      <c r="C30">
        <v>48</v>
      </c>
      <c r="D30">
        <v>111</v>
      </c>
      <c r="E30">
        <v>99</v>
      </c>
      <c r="F30">
        <v>62</v>
      </c>
      <c r="G30">
        <v>32</v>
      </c>
      <c r="H30">
        <v>180</v>
      </c>
      <c r="I30" s="14">
        <v>242.76833514321416</v>
      </c>
      <c r="J30" s="231" t="e">
        <v>#N/A</v>
      </c>
      <c r="K30" s="231" t="e">
        <v>#N/A</v>
      </c>
      <c r="L30" s="16">
        <v>27</v>
      </c>
      <c r="M30" s="16">
        <v>20</v>
      </c>
      <c r="N30" s="230">
        <v>41</v>
      </c>
      <c r="O30" s="230">
        <v>29</v>
      </c>
      <c r="Q30">
        <v>91</v>
      </c>
      <c r="S30">
        <v>91</v>
      </c>
      <c r="T30" s="15"/>
      <c r="U30" s="15"/>
    </row>
    <row r="31" spans="1:22">
      <c r="A31" t="s">
        <v>370</v>
      </c>
      <c r="B31">
        <v>82</v>
      </c>
      <c r="C31">
        <v>56</v>
      </c>
      <c r="D31">
        <v>46</v>
      </c>
      <c r="E31">
        <v>117</v>
      </c>
      <c r="F31">
        <v>34</v>
      </c>
      <c r="G31">
        <v>23</v>
      </c>
      <c r="H31">
        <v>181.4</v>
      </c>
      <c r="I31" s="14">
        <v>222.16609223056787</v>
      </c>
      <c r="J31" s="231">
        <v>212.08398234601765</v>
      </c>
      <c r="K31" s="231">
        <v>291.25291110926457</v>
      </c>
      <c r="L31" s="16">
        <v>28</v>
      </c>
      <c r="M31" s="16">
        <v>21</v>
      </c>
      <c r="N31" s="230">
        <v>28</v>
      </c>
      <c r="O31" s="230">
        <v>20</v>
      </c>
      <c r="Q31">
        <v>21</v>
      </c>
      <c r="R31">
        <v>1</v>
      </c>
      <c r="S31">
        <v>26</v>
      </c>
      <c r="T31" s="15">
        <v>0</v>
      </c>
      <c r="U31" s="15">
        <v>0</v>
      </c>
      <c r="V31">
        <v>56</v>
      </c>
    </row>
    <row r="32" spans="1:22">
      <c r="A32" t="s">
        <v>122</v>
      </c>
      <c r="B32">
        <v>12</v>
      </c>
      <c r="C32">
        <v>18</v>
      </c>
      <c r="D32">
        <v>129</v>
      </c>
      <c r="E32">
        <v>21</v>
      </c>
      <c r="F32">
        <v>135</v>
      </c>
      <c r="G32">
        <v>127</v>
      </c>
      <c r="H32">
        <v>183.6</v>
      </c>
      <c r="I32" s="14">
        <v>330.63344661143401</v>
      </c>
      <c r="J32" s="231">
        <v>218.81450322932224</v>
      </c>
      <c r="K32" s="231">
        <v>317.95316154425439</v>
      </c>
      <c r="L32" s="16">
        <v>29</v>
      </c>
      <c r="M32" s="16">
        <v>22</v>
      </c>
      <c r="N32" s="230">
        <v>84</v>
      </c>
      <c r="O32" s="230">
        <v>57</v>
      </c>
      <c r="Q32">
        <v>26</v>
      </c>
      <c r="R32">
        <v>1</v>
      </c>
      <c r="S32">
        <v>37</v>
      </c>
      <c r="T32" s="15"/>
      <c r="U32" s="15"/>
      <c r="V32">
        <v>-57</v>
      </c>
    </row>
    <row r="33" spans="1:22">
      <c r="A33" t="s">
        <v>63</v>
      </c>
      <c r="B33">
        <v>78</v>
      </c>
      <c r="C33">
        <v>87</v>
      </c>
      <c r="D33">
        <v>1</v>
      </c>
      <c r="E33">
        <v>121</v>
      </c>
      <c r="F33">
        <v>74</v>
      </c>
      <c r="G33">
        <v>9</v>
      </c>
      <c r="H33">
        <v>184.2</v>
      </c>
      <c r="I33" s="14">
        <v>203.86501232605218</v>
      </c>
      <c r="J33" s="231">
        <v>239.73320294838535</v>
      </c>
      <c r="K33" s="231">
        <v>301.34507119042394</v>
      </c>
      <c r="L33" s="16">
        <v>30</v>
      </c>
      <c r="M33" s="16">
        <v>23</v>
      </c>
      <c r="N33" s="230">
        <v>17</v>
      </c>
      <c r="O33" s="230">
        <v>13</v>
      </c>
      <c r="Q33">
        <v>38</v>
      </c>
      <c r="R33">
        <v>1</v>
      </c>
      <c r="S33">
        <v>30</v>
      </c>
      <c r="T33" s="15">
        <v>0</v>
      </c>
      <c r="U33" s="15">
        <v>0</v>
      </c>
      <c r="V33">
        <v>50</v>
      </c>
    </row>
    <row r="34" spans="1:22">
      <c r="A34" t="s">
        <v>489</v>
      </c>
      <c r="B34">
        <v>69</v>
      </c>
      <c r="C34">
        <v>76</v>
      </c>
      <c r="D34">
        <v>50</v>
      </c>
      <c r="E34">
        <v>63</v>
      </c>
      <c r="F34">
        <v>78</v>
      </c>
      <c r="G34">
        <v>65</v>
      </c>
      <c r="H34">
        <v>185.5</v>
      </c>
      <c r="I34" s="14">
        <v>260.07436396107698</v>
      </c>
      <c r="J34" s="231" t="e">
        <v>#N/A</v>
      </c>
      <c r="K34" s="231" t="e">
        <v>#N/A</v>
      </c>
      <c r="L34" s="16">
        <v>31</v>
      </c>
      <c r="M34" s="16">
        <v>24</v>
      </c>
      <c r="N34" s="230">
        <v>47</v>
      </c>
      <c r="O34" s="230">
        <v>34</v>
      </c>
      <c r="Q34">
        <v>92</v>
      </c>
      <c r="S34">
        <v>92</v>
      </c>
      <c r="T34" s="15">
        <v>0</v>
      </c>
      <c r="U34" s="15">
        <v>0</v>
      </c>
    </row>
    <row r="35" spans="1:22">
      <c r="A35" t="s">
        <v>118</v>
      </c>
      <c r="B35">
        <v>96</v>
      </c>
      <c r="C35">
        <v>33</v>
      </c>
      <c r="D35">
        <v>33</v>
      </c>
      <c r="E35">
        <v>98</v>
      </c>
      <c r="F35">
        <v>81</v>
      </c>
      <c r="G35">
        <v>41</v>
      </c>
      <c r="H35">
        <v>186.5</v>
      </c>
      <c r="I35" s="14">
        <v>238.61778186165961</v>
      </c>
      <c r="J35" s="231">
        <v>215.39923169501884</v>
      </c>
      <c r="K35" s="231">
        <v>276.37307922257901</v>
      </c>
      <c r="L35" s="16">
        <v>32</v>
      </c>
      <c r="M35" s="16">
        <v>25</v>
      </c>
      <c r="N35" s="230">
        <v>37</v>
      </c>
      <c r="O35" s="230">
        <v>26</v>
      </c>
      <c r="Q35">
        <v>23</v>
      </c>
      <c r="R35">
        <v>1</v>
      </c>
      <c r="S35">
        <v>22</v>
      </c>
      <c r="T35" s="15">
        <v>0</v>
      </c>
      <c r="U35" s="15">
        <v>0</v>
      </c>
      <c r="V35">
        <v>10</v>
      </c>
    </row>
    <row r="36" spans="1:22">
      <c r="A36" t="s">
        <v>400</v>
      </c>
      <c r="B36">
        <v>9</v>
      </c>
      <c r="C36">
        <v>76</v>
      </c>
      <c r="D36">
        <v>89</v>
      </c>
      <c r="E36">
        <v>136</v>
      </c>
      <c r="F36">
        <v>60</v>
      </c>
      <c r="G36">
        <v>139</v>
      </c>
      <c r="H36">
        <v>191</v>
      </c>
      <c r="I36" s="14">
        <v>363.17944399425238</v>
      </c>
      <c r="J36" s="231" t="e">
        <v>#N/A</v>
      </c>
      <c r="K36" s="231" t="e">
        <v>#N/A</v>
      </c>
      <c r="L36" s="16">
        <v>35</v>
      </c>
      <c r="M36" s="16">
        <v>26</v>
      </c>
      <c r="N36" s="230">
        <v>111</v>
      </c>
      <c r="O36" s="230">
        <v>76</v>
      </c>
      <c r="Q36">
        <v>100</v>
      </c>
      <c r="S36">
        <v>100</v>
      </c>
      <c r="T36" s="15"/>
      <c r="U36" s="15"/>
    </row>
    <row r="37" spans="1:22">
      <c r="A37" t="s">
        <v>123</v>
      </c>
      <c r="B37">
        <v>28</v>
      </c>
      <c r="C37">
        <v>57</v>
      </c>
      <c r="D37">
        <v>17</v>
      </c>
      <c r="E37">
        <v>132</v>
      </c>
      <c r="F37">
        <v>157</v>
      </c>
      <c r="G37">
        <v>108</v>
      </c>
      <c r="H37">
        <v>191.3</v>
      </c>
      <c r="I37" s="14">
        <v>317.94492694963549</v>
      </c>
      <c r="J37" s="231">
        <v>248.068799552923</v>
      </c>
      <c r="K37" s="231">
        <v>354.84709359982861</v>
      </c>
      <c r="L37" s="16">
        <v>36</v>
      </c>
      <c r="M37" s="16">
        <v>27</v>
      </c>
      <c r="N37" s="230">
        <v>76</v>
      </c>
      <c r="O37" s="230">
        <v>52</v>
      </c>
      <c r="Q37">
        <v>44</v>
      </c>
      <c r="R37">
        <v>1</v>
      </c>
      <c r="S37">
        <v>49</v>
      </c>
      <c r="T37" s="15"/>
      <c r="U37" s="15"/>
      <c r="V37">
        <v>-18</v>
      </c>
    </row>
    <row r="38" spans="1:22">
      <c r="A38" t="s">
        <v>493</v>
      </c>
      <c r="B38">
        <v>5</v>
      </c>
      <c r="C38">
        <v>33</v>
      </c>
      <c r="D38">
        <v>68</v>
      </c>
      <c r="E38">
        <v>151</v>
      </c>
      <c r="F38">
        <v>127</v>
      </c>
      <c r="G38">
        <v>108</v>
      </c>
      <c r="H38">
        <v>191.5</v>
      </c>
      <c r="I38" s="14">
        <v>332.05911462158986</v>
      </c>
      <c r="J38" s="231" t="e">
        <v>#N/A</v>
      </c>
      <c r="K38" s="231" t="e">
        <v>#N/A</v>
      </c>
      <c r="L38" s="16">
        <v>37</v>
      </c>
      <c r="M38" s="16">
        <v>28</v>
      </c>
      <c r="N38" s="230">
        <v>87</v>
      </c>
      <c r="O38" s="230">
        <v>59</v>
      </c>
      <c r="Q38">
        <v>96</v>
      </c>
      <c r="S38">
        <v>96</v>
      </c>
      <c r="T38" s="15"/>
      <c r="U38" s="15"/>
    </row>
    <row r="39" spans="1:22">
      <c r="A39" t="s">
        <v>419</v>
      </c>
      <c r="B39">
        <v>107</v>
      </c>
      <c r="C39">
        <v>26</v>
      </c>
      <c r="D39">
        <v>52</v>
      </c>
      <c r="E39">
        <v>123</v>
      </c>
      <c r="F39">
        <v>38</v>
      </c>
      <c r="G39">
        <v>56</v>
      </c>
      <c r="H39">
        <v>192.5</v>
      </c>
      <c r="I39" s="14">
        <v>266.49070804234043</v>
      </c>
      <c r="J39" s="231" t="e">
        <v>#N/A</v>
      </c>
      <c r="K39" s="231" t="e">
        <v>#N/A</v>
      </c>
      <c r="L39" s="16">
        <v>38</v>
      </c>
      <c r="M39" s="16">
        <v>29</v>
      </c>
      <c r="N39" s="230">
        <v>50</v>
      </c>
      <c r="O39" s="230">
        <v>36</v>
      </c>
      <c r="Q39">
        <v>93</v>
      </c>
      <c r="S39">
        <v>93</v>
      </c>
      <c r="T39" s="15">
        <v>0</v>
      </c>
      <c r="U39" s="15">
        <v>0</v>
      </c>
    </row>
    <row r="40" spans="1:22">
      <c r="A40" t="s">
        <v>148</v>
      </c>
      <c r="B40">
        <v>47</v>
      </c>
      <c r="C40">
        <v>5</v>
      </c>
      <c r="D40">
        <v>164</v>
      </c>
      <c r="E40">
        <v>108</v>
      </c>
      <c r="F40">
        <v>1</v>
      </c>
      <c r="G40">
        <v>87</v>
      </c>
      <c r="H40">
        <v>193.89999999999998</v>
      </c>
      <c r="I40" s="14">
        <v>319.8898648779807</v>
      </c>
      <c r="J40" s="231">
        <v>288.76636152616641</v>
      </c>
      <c r="K40" s="231">
        <v>422.99247310022071</v>
      </c>
      <c r="L40" s="16">
        <v>39</v>
      </c>
      <c r="M40" s="16">
        <v>30</v>
      </c>
      <c r="N40" s="230">
        <v>77</v>
      </c>
      <c r="O40" s="230">
        <v>53</v>
      </c>
      <c r="Q40">
        <v>78</v>
      </c>
      <c r="R40">
        <v>1</v>
      </c>
      <c r="S40">
        <v>74</v>
      </c>
      <c r="T40" s="15"/>
      <c r="U40" s="15"/>
      <c r="V40">
        <v>19</v>
      </c>
    </row>
    <row r="41" spans="1:22">
      <c r="A41" t="s">
        <v>28</v>
      </c>
      <c r="B41">
        <v>78</v>
      </c>
      <c r="C41">
        <v>115</v>
      </c>
      <c r="D41">
        <v>44</v>
      </c>
      <c r="E41">
        <v>114</v>
      </c>
      <c r="F41">
        <v>12</v>
      </c>
      <c r="G41">
        <v>65</v>
      </c>
      <c r="H41">
        <v>194.49999999999997</v>
      </c>
      <c r="I41" s="14">
        <v>276.05747082746473</v>
      </c>
      <c r="J41" s="231">
        <v>248.52302932061718</v>
      </c>
      <c r="K41" s="231">
        <v>358.69471633983562</v>
      </c>
      <c r="L41" s="16">
        <v>40</v>
      </c>
      <c r="M41" s="16">
        <v>31</v>
      </c>
      <c r="N41" s="230">
        <v>55</v>
      </c>
      <c r="O41" s="230">
        <v>40</v>
      </c>
      <c r="Q41">
        <v>47</v>
      </c>
      <c r="R41">
        <v>1</v>
      </c>
      <c r="S41">
        <v>52</v>
      </c>
      <c r="T41" s="15">
        <v>0</v>
      </c>
      <c r="U41" s="15">
        <v>0</v>
      </c>
      <c r="V41">
        <v>27</v>
      </c>
    </row>
    <row r="42" spans="1:22">
      <c r="A42" t="s">
        <v>433</v>
      </c>
      <c r="B42">
        <v>89</v>
      </c>
      <c r="C42">
        <v>102</v>
      </c>
      <c r="D42">
        <v>84</v>
      </c>
      <c r="E42">
        <v>4</v>
      </c>
      <c r="F42">
        <v>47</v>
      </c>
      <c r="G42">
        <v>16</v>
      </c>
      <c r="H42">
        <v>197.2</v>
      </c>
      <c r="I42" s="14">
        <v>216.50856853911208</v>
      </c>
      <c r="J42" s="231" t="e">
        <v>#N/A</v>
      </c>
      <c r="K42" s="231" t="e">
        <v>#N/A</v>
      </c>
      <c r="L42" s="16">
        <v>41</v>
      </c>
      <c r="M42" s="16">
        <v>32</v>
      </c>
      <c r="N42" s="230">
        <v>24</v>
      </c>
      <c r="O42" s="230">
        <v>17</v>
      </c>
      <c r="Q42">
        <v>90</v>
      </c>
      <c r="S42">
        <v>90</v>
      </c>
      <c r="T42" s="15">
        <v>0</v>
      </c>
      <c r="U42" s="15">
        <v>0</v>
      </c>
    </row>
    <row r="43" spans="1:22">
      <c r="A43" t="s">
        <v>68</v>
      </c>
      <c r="B43">
        <v>110</v>
      </c>
      <c r="C43">
        <v>65</v>
      </c>
      <c r="D43">
        <v>79</v>
      </c>
      <c r="E43">
        <v>10</v>
      </c>
      <c r="F43">
        <v>58</v>
      </c>
      <c r="G43">
        <v>21</v>
      </c>
      <c r="H43">
        <v>197.8</v>
      </c>
      <c r="I43" s="14">
        <v>221.00716740455539</v>
      </c>
      <c r="J43" s="231">
        <v>194.98558551188651</v>
      </c>
      <c r="K43" s="231">
        <v>231.69999942509719</v>
      </c>
      <c r="L43" s="16">
        <v>42</v>
      </c>
      <c r="M43" s="16">
        <v>33</v>
      </c>
      <c r="N43" s="230">
        <v>27</v>
      </c>
      <c r="O43" s="230">
        <v>19</v>
      </c>
      <c r="Q43">
        <v>9</v>
      </c>
      <c r="R43">
        <v>1</v>
      </c>
      <c r="S43">
        <v>10</v>
      </c>
      <c r="T43" s="15">
        <v>0</v>
      </c>
      <c r="U43" s="15">
        <v>1</v>
      </c>
      <c r="V43">
        <v>5</v>
      </c>
    </row>
    <row r="44" spans="1:22">
      <c r="A44" t="s">
        <v>95</v>
      </c>
      <c r="B44">
        <v>108</v>
      </c>
      <c r="C44">
        <v>13</v>
      </c>
      <c r="D44">
        <v>64</v>
      </c>
      <c r="E44">
        <v>80</v>
      </c>
      <c r="F44">
        <v>82</v>
      </c>
      <c r="G44">
        <v>41</v>
      </c>
      <c r="H44">
        <v>199.89999999999998</v>
      </c>
      <c r="I44" s="14">
        <v>253.13429443144193</v>
      </c>
      <c r="J44" s="231">
        <v>206.76442558076457</v>
      </c>
      <c r="K44" s="231">
        <v>258.99326231203241</v>
      </c>
      <c r="L44" s="16">
        <v>43</v>
      </c>
      <c r="M44" s="16">
        <v>34</v>
      </c>
      <c r="N44" s="230">
        <v>44</v>
      </c>
      <c r="O44" s="230">
        <v>32</v>
      </c>
      <c r="Q44">
        <v>15</v>
      </c>
      <c r="R44">
        <v>1</v>
      </c>
      <c r="S44">
        <v>16</v>
      </c>
      <c r="T44" s="15">
        <v>0</v>
      </c>
      <c r="U44" s="15">
        <v>0</v>
      </c>
      <c r="V44">
        <v>9</v>
      </c>
    </row>
    <row r="45" spans="1:22">
      <c r="A45" t="s">
        <v>89</v>
      </c>
      <c r="B45">
        <v>78</v>
      </c>
      <c r="C45">
        <v>122</v>
      </c>
      <c r="D45">
        <v>31</v>
      </c>
      <c r="E45">
        <v>5</v>
      </c>
      <c r="F45">
        <v>125</v>
      </c>
      <c r="G45">
        <v>41</v>
      </c>
      <c r="H45">
        <v>201.79999999999998</v>
      </c>
      <c r="I45" s="14">
        <v>237.52573271695508</v>
      </c>
      <c r="J45" s="231">
        <v>295.43076492162874</v>
      </c>
      <c r="K45" s="231">
        <v>418.51675078131092</v>
      </c>
      <c r="L45" s="16">
        <v>46</v>
      </c>
      <c r="M45" s="16">
        <v>36</v>
      </c>
      <c r="N45" s="230">
        <v>36</v>
      </c>
      <c r="O45" s="230">
        <v>25</v>
      </c>
      <c r="Q45">
        <v>80</v>
      </c>
      <c r="R45">
        <v>1</v>
      </c>
      <c r="S45">
        <v>71</v>
      </c>
      <c r="T45" s="15">
        <v>0</v>
      </c>
      <c r="U45" s="15">
        <v>0</v>
      </c>
      <c r="V45">
        <v>100</v>
      </c>
    </row>
    <row r="46" spans="1:22">
      <c r="A46" t="s">
        <v>177</v>
      </c>
      <c r="B46">
        <v>128</v>
      </c>
      <c r="C46">
        <v>5</v>
      </c>
      <c r="D46">
        <v>37</v>
      </c>
      <c r="E46">
        <v>34</v>
      </c>
      <c r="F46">
        <v>141</v>
      </c>
      <c r="G46">
        <v>108</v>
      </c>
      <c r="H46">
        <v>202.1</v>
      </c>
      <c r="I46" s="14">
        <v>308.08222388752927</v>
      </c>
      <c r="J46" s="231">
        <v>260.99677148296001</v>
      </c>
      <c r="K46" s="231">
        <v>392.45048863118296</v>
      </c>
      <c r="L46" s="16">
        <v>47</v>
      </c>
      <c r="M46" s="16">
        <v>37</v>
      </c>
      <c r="N46" s="230">
        <v>70</v>
      </c>
      <c r="O46" s="230">
        <v>48</v>
      </c>
      <c r="Q46">
        <v>62</v>
      </c>
      <c r="R46">
        <v>1</v>
      </c>
      <c r="S46">
        <v>62</v>
      </c>
      <c r="T46" s="15"/>
      <c r="U46" s="15"/>
      <c r="V46">
        <v>20</v>
      </c>
    </row>
    <row r="47" spans="1:22">
      <c r="A47" t="s">
        <v>80</v>
      </c>
      <c r="B47">
        <v>31</v>
      </c>
      <c r="C47">
        <v>26</v>
      </c>
      <c r="D47">
        <v>145</v>
      </c>
      <c r="E47">
        <v>47</v>
      </c>
      <c r="F47">
        <v>96</v>
      </c>
      <c r="G47">
        <v>106</v>
      </c>
      <c r="H47">
        <v>203</v>
      </c>
      <c r="I47" s="14">
        <v>334.57604155297201</v>
      </c>
      <c r="J47" s="231">
        <v>268.41797578468635</v>
      </c>
      <c r="K47" s="231">
        <v>435.69235431377979</v>
      </c>
      <c r="L47" s="16">
        <v>49</v>
      </c>
      <c r="M47" s="16">
        <v>38</v>
      </c>
      <c r="N47" s="230">
        <v>90</v>
      </c>
      <c r="O47" s="230">
        <v>60</v>
      </c>
      <c r="Q47">
        <v>67</v>
      </c>
      <c r="R47">
        <v>1</v>
      </c>
      <c r="S47">
        <v>79</v>
      </c>
      <c r="T47" s="15">
        <v>0</v>
      </c>
      <c r="U47" s="15">
        <v>0</v>
      </c>
      <c r="V47">
        <v>37</v>
      </c>
    </row>
    <row r="48" spans="1:22">
      <c r="A48" t="s">
        <v>162</v>
      </c>
      <c r="B48">
        <v>85</v>
      </c>
      <c r="C48">
        <v>87</v>
      </c>
      <c r="D48">
        <v>77</v>
      </c>
      <c r="E48">
        <v>96</v>
      </c>
      <c r="F48">
        <v>16</v>
      </c>
      <c r="G48">
        <v>65</v>
      </c>
      <c r="H48">
        <v>203.3</v>
      </c>
      <c r="I48" s="14">
        <v>286.82164444555349</v>
      </c>
      <c r="J48" s="231">
        <v>221.01021799837258</v>
      </c>
      <c r="K48" s="231">
        <v>275.44152784042041</v>
      </c>
      <c r="L48" s="16">
        <v>50</v>
      </c>
      <c r="M48" s="16">
        <v>39</v>
      </c>
      <c r="N48" s="230">
        <v>59</v>
      </c>
      <c r="O48" s="230">
        <v>43</v>
      </c>
      <c r="Q48">
        <v>27</v>
      </c>
      <c r="R48">
        <v>1</v>
      </c>
      <c r="S48">
        <v>21</v>
      </c>
      <c r="T48" s="15">
        <v>0</v>
      </c>
      <c r="U48" s="15">
        <v>0</v>
      </c>
      <c r="V48">
        <v>-16</v>
      </c>
    </row>
    <row r="49" spans="1:22">
      <c r="A49" t="s">
        <v>434</v>
      </c>
      <c r="B49">
        <v>65</v>
      </c>
      <c r="C49">
        <v>158</v>
      </c>
      <c r="D49">
        <v>34</v>
      </c>
      <c r="E49">
        <v>108</v>
      </c>
      <c r="F49">
        <v>26</v>
      </c>
      <c r="G49">
        <v>56</v>
      </c>
      <c r="H49">
        <v>204.5</v>
      </c>
      <c r="I49" s="14">
        <v>274.66274896684234</v>
      </c>
      <c r="J49" s="231" t="e">
        <v>#N/A</v>
      </c>
      <c r="K49" s="231" t="e">
        <v>#N/A</v>
      </c>
      <c r="L49" s="16">
        <v>51</v>
      </c>
      <c r="M49" s="16">
        <v>40</v>
      </c>
      <c r="N49" s="230">
        <v>54</v>
      </c>
      <c r="O49" s="230">
        <v>39</v>
      </c>
      <c r="Q49">
        <v>95</v>
      </c>
      <c r="S49">
        <v>95</v>
      </c>
      <c r="T49" s="15">
        <v>0</v>
      </c>
      <c r="U49" s="15">
        <v>0</v>
      </c>
    </row>
    <row r="50" spans="1:22">
      <c r="A50" t="s">
        <v>65</v>
      </c>
      <c r="B50">
        <v>49</v>
      </c>
      <c r="C50">
        <v>90</v>
      </c>
      <c r="D50">
        <v>57</v>
      </c>
      <c r="E50">
        <v>150</v>
      </c>
      <c r="F50">
        <v>55</v>
      </c>
      <c r="G50">
        <v>53</v>
      </c>
      <c r="H50">
        <v>206.7</v>
      </c>
      <c r="I50" s="14">
        <v>286.5734470607872</v>
      </c>
      <c r="J50" s="231">
        <v>277.19765071445215</v>
      </c>
      <c r="K50" s="231">
        <v>433.25373998631375</v>
      </c>
      <c r="L50" s="16">
        <v>54</v>
      </c>
      <c r="M50" s="16">
        <v>41</v>
      </c>
      <c r="N50" s="230">
        <v>58</v>
      </c>
      <c r="O50" s="230">
        <v>42</v>
      </c>
      <c r="Q50">
        <v>74</v>
      </c>
      <c r="R50">
        <v>1</v>
      </c>
      <c r="S50">
        <v>78</v>
      </c>
      <c r="T50" s="15">
        <v>0</v>
      </c>
      <c r="U50" s="15">
        <v>0</v>
      </c>
      <c r="V50">
        <v>103</v>
      </c>
    </row>
    <row r="51" spans="1:22">
      <c r="A51" t="s">
        <v>108</v>
      </c>
      <c r="B51">
        <v>88</v>
      </c>
      <c r="C51">
        <v>115</v>
      </c>
      <c r="D51">
        <v>3</v>
      </c>
      <c r="E51">
        <v>122</v>
      </c>
      <c r="F51">
        <v>76</v>
      </c>
      <c r="G51">
        <v>41</v>
      </c>
      <c r="H51">
        <v>208</v>
      </c>
      <c r="I51" s="14">
        <v>258.72462973252055</v>
      </c>
      <c r="J51" s="231">
        <v>264.6315110413077</v>
      </c>
      <c r="K51" s="231">
        <v>360.20189367740136</v>
      </c>
      <c r="L51" s="16">
        <v>57</v>
      </c>
      <c r="M51" s="16">
        <v>42</v>
      </c>
      <c r="N51" s="230">
        <v>46</v>
      </c>
      <c r="O51" s="230">
        <v>33</v>
      </c>
      <c r="Q51">
        <v>65</v>
      </c>
      <c r="R51">
        <v>1</v>
      </c>
      <c r="S51">
        <v>54</v>
      </c>
      <c r="T51" s="15">
        <v>0</v>
      </c>
      <c r="U51" s="15">
        <v>0</v>
      </c>
      <c r="V51">
        <v>53</v>
      </c>
    </row>
    <row r="52" spans="1:22">
      <c r="A52" t="s">
        <v>50</v>
      </c>
      <c r="B52">
        <v>57</v>
      </c>
      <c r="C52">
        <v>136</v>
      </c>
      <c r="D52">
        <v>109</v>
      </c>
      <c r="E52">
        <v>33</v>
      </c>
      <c r="F52">
        <v>23</v>
      </c>
      <c r="G52">
        <v>41</v>
      </c>
      <c r="H52">
        <v>208.89999999999998</v>
      </c>
      <c r="I52" s="14">
        <v>264.39601915692924</v>
      </c>
      <c r="J52" s="231">
        <v>249.19417815908804</v>
      </c>
      <c r="K52" s="231">
        <v>358.045277090816</v>
      </c>
      <c r="L52" s="16">
        <v>58</v>
      </c>
      <c r="M52" s="16">
        <v>43</v>
      </c>
      <c r="N52" s="230">
        <v>49</v>
      </c>
      <c r="O52" s="230">
        <v>35</v>
      </c>
      <c r="Q52">
        <v>50</v>
      </c>
      <c r="R52">
        <v>1</v>
      </c>
      <c r="S52">
        <v>51</v>
      </c>
      <c r="T52" s="15">
        <v>0</v>
      </c>
      <c r="U52" s="15">
        <v>0</v>
      </c>
      <c r="V52">
        <v>78</v>
      </c>
    </row>
    <row r="53" spans="1:22">
      <c r="A53" t="s">
        <v>98</v>
      </c>
      <c r="B53">
        <v>25</v>
      </c>
      <c r="C53">
        <v>122</v>
      </c>
      <c r="D53">
        <v>112</v>
      </c>
      <c r="E53">
        <v>104</v>
      </c>
      <c r="F53">
        <v>21</v>
      </c>
      <c r="G53">
        <v>65</v>
      </c>
      <c r="H53">
        <v>208.99999999999997</v>
      </c>
      <c r="I53" s="14">
        <v>303.78065769574556</v>
      </c>
      <c r="J53" s="231">
        <v>260.27725908831138</v>
      </c>
      <c r="K53" s="231">
        <v>361.91935964520769</v>
      </c>
      <c r="L53" s="16">
        <v>59</v>
      </c>
      <c r="M53" s="16">
        <v>44</v>
      </c>
      <c r="N53" s="230">
        <v>66</v>
      </c>
      <c r="O53" s="230">
        <v>46</v>
      </c>
      <c r="Q53">
        <v>61</v>
      </c>
      <c r="R53">
        <v>1</v>
      </c>
      <c r="S53">
        <v>55</v>
      </c>
      <c r="T53" s="15">
        <v>0</v>
      </c>
      <c r="U53" s="15">
        <v>0</v>
      </c>
      <c r="V53">
        <v>17</v>
      </c>
    </row>
    <row r="54" spans="1:22">
      <c r="A54" t="s">
        <v>39</v>
      </c>
      <c r="B54">
        <v>129</v>
      </c>
      <c r="C54">
        <v>102</v>
      </c>
      <c r="D54">
        <v>48</v>
      </c>
      <c r="E54">
        <v>11</v>
      </c>
      <c r="F54">
        <v>61</v>
      </c>
      <c r="G54">
        <v>32</v>
      </c>
      <c r="H54">
        <v>209.8</v>
      </c>
      <c r="I54" s="14">
        <v>237.00183487021536</v>
      </c>
      <c r="J54" s="231">
        <v>241.99415597378584</v>
      </c>
      <c r="K54" s="231">
        <v>310.75479489973316</v>
      </c>
      <c r="L54" s="16">
        <v>61.5</v>
      </c>
      <c r="M54" s="16">
        <v>45</v>
      </c>
      <c r="N54" s="230">
        <v>35</v>
      </c>
      <c r="O54" s="230">
        <v>24</v>
      </c>
      <c r="Q54">
        <v>42</v>
      </c>
      <c r="R54">
        <v>1</v>
      </c>
      <c r="S54">
        <v>35</v>
      </c>
      <c r="T54" s="15">
        <v>0</v>
      </c>
      <c r="U54" s="15">
        <v>0</v>
      </c>
      <c r="V54">
        <v>29</v>
      </c>
    </row>
    <row r="55" spans="1:22">
      <c r="A55" t="s">
        <v>147</v>
      </c>
      <c r="B55">
        <v>75</v>
      </c>
      <c r="C55">
        <v>57</v>
      </c>
      <c r="D55">
        <v>21</v>
      </c>
      <c r="E55">
        <v>129</v>
      </c>
      <c r="F55">
        <v>126</v>
      </c>
      <c r="G55">
        <v>121</v>
      </c>
      <c r="H55">
        <v>210.3</v>
      </c>
      <c r="I55" s="14">
        <v>346.41983244980389</v>
      </c>
      <c r="J55" s="231">
        <v>272.97220555238056</v>
      </c>
      <c r="K55" s="231">
        <v>406.40148732439491</v>
      </c>
      <c r="L55" s="16">
        <v>63</v>
      </c>
      <c r="M55" s="16">
        <v>46</v>
      </c>
      <c r="N55" s="230">
        <v>97</v>
      </c>
      <c r="O55" s="230">
        <v>66</v>
      </c>
      <c r="Q55">
        <v>68</v>
      </c>
      <c r="R55">
        <v>1</v>
      </c>
      <c r="S55">
        <v>67</v>
      </c>
      <c r="T55" s="15">
        <v>0</v>
      </c>
      <c r="U55" s="15">
        <v>0</v>
      </c>
      <c r="V55">
        <v>-14</v>
      </c>
    </row>
    <row r="56" spans="1:22">
      <c r="A56" t="s">
        <v>21</v>
      </c>
      <c r="B56">
        <v>12</v>
      </c>
      <c r="C56">
        <v>151</v>
      </c>
      <c r="D56">
        <v>54</v>
      </c>
      <c r="E56">
        <v>73</v>
      </c>
      <c r="F56">
        <v>122</v>
      </c>
      <c r="G56">
        <v>127</v>
      </c>
      <c r="H56">
        <v>211.9</v>
      </c>
      <c r="I56" s="14">
        <v>353.70385918758939</v>
      </c>
      <c r="J56" s="231">
        <v>267.84506848323122</v>
      </c>
      <c r="K56" s="231">
        <v>410.08491318927634</v>
      </c>
      <c r="L56" s="16">
        <v>64</v>
      </c>
      <c r="M56" s="16">
        <v>47</v>
      </c>
      <c r="N56" s="230">
        <v>101</v>
      </c>
      <c r="O56" s="230">
        <v>68</v>
      </c>
      <c r="Q56">
        <v>66</v>
      </c>
      <c r="R56">
        <v>1</v>
      </c>
      <c r="S56">
        <v>69</v>
      </c>
      <c r="T56" s="15"/>
      <c r="U56" s="15"/>
      <c r="V56">
        <v>-16</v>
      </c>
    </row>
    <row r="57" spans="1:22">
      <c r="A57" t="s">
        <v>427</v>
      </c>
      <c r="B57">
        <v>63</v>
      </c>
      <c r="C57">
        <v>115</v>
      </c>
      <c r="D57">
        <v>114</v>
      </c>
      <c r="E57">
        <v>81</v>
      </c>
      <c r="F57">
        <v>2</v>
      </c>
      <c r="G57">
        <v>32</v>
      </c>
      <c r="H57">
        <v>214.79999999999998</v>
      </c>
      <c r="I57" s="14">
        <v>270.17600820759935</v>
      </c>
      <c r="J57" s="231" t="e">
        <v>#N/A</v>
      </c>
      <c r="K57" s="231" t="e">
        <v>#N/A</v>
      </c>
      <c r="L57" s="16">
        <v>65</v>
      </c>
      <c r="M57" s="16">
        <v>48</v>
      </c>
      <c r="N57" s="230">
        <v>52</v>
      </c>
      <c r="O57" s="230">
        <v>37</v>
      </c>
      <c r="Q57">
        <v>94</v>
      </c>
      <c r="S57">
        <v>94</v>
      </c>
      <c r="T57" s="15">
        <v>0</v>
      </c>
      <c r="U57" s="15">
        <v>0</v>
      </c>
    </row>
    <row r="58" spans="1:22">
      <c r="A58" t="s">
        <v>113</v>
      </c>
      <c r="B58">
        <v>153</v>
      </c>
      <c r="C58">
        <v>72</v>
      </c>
      <c r="D58">
        <v>20</v>
      </c>
      <c r="E58">
        <v>114</v>
      </c>
      <c r="F58">
        <v>27</v>
      </c>
      <c r="G58">
        <v>11</v>
      </c>
      <c r="H58">
        <v>216.2</v>
      </c>
      <c r="I58" s="14">
        <v>234.06131160198464</v>
      </c>
      <c r="J58" s="231">
        <v>206.24658290789137</v>
      </c>
      <c r="K58" s="231">
        <v>226.79739379355934</v>
      </c>
      <c r="L58" s="16">
        <v>69</v>
      </c>
      <c r="M58" s="16">
        <v>50</v>
      </c>
      <c r="N58" s="230">
        <v>34</v>
      </c>
      <c r="O58" s="230">
        <v>23</v>
      </c>
      <c r="Q58">
        <v>14</v>
      </c>
      <c r="R58">
        <v>1</v>
      </c>
      <c r="S58">
        <v>9</v>
      </c>
      <c r="T58" s="15">
        <v>0</v>
      </c>
      <c r="U58" s="15">
        <v>1</v>
      </c>
      <c r="V58">
        <v>6</v>
      </c>
    </row>
    <row r="59" spans="1:22">
      <c r="A59" t="s">
        <v>136</v>
      </c>
      <c r="B59">
        <v>130</v>
      </c>
      <c r="C59">
        <v>5</v>
      </c>
      <c r="D59">
        <v>37</v>
      </c>
      <c r="E59">
        <v>62</v>
      </c>
      <c r="F59">
        <v>145</v>
      </c>
      <c r="G59">
        <v>87</v>
      </c>
      <c r="H59">
        <v>216.70000000000002</v>
      </c>
      <c r="I59" s="14">
        <v>306.07836241940083</v>
      </c>
      <c r="J59" s="231">
        <v>264.61369055373672</v>
      </c>
      <c r="K59" s="231">
        <v>398.38647797616596</v>
      </c>
      <c r="L59" s="16">
        <v>71</v>
      </c>
      <c r="M59" s="16">
        <v>51</v>
      </c>
      <c r="N59" s="230">
        <v>67</v>
      </c>
      <c r="O59" s="230">
        <v>47</v>
      </c>
      <c r="Q59">
        <v>64</v>
      </c>
      <c r="R59">
        <v>1</v>
      </c>
      <c r="S59">
        <v>65</v>
      </c>
      <c r="T59" s="15"/>
      <c r="U59" s="15"/>
      <c r="V59">
        <v>36</v>
      </c>
    </row>
    <row r="60" spans="1:22">
      <c r="A60" t="s">
        <v>137</v>
      </c>
      <c r="B60">
        <v>84</v>
      </c>
      <c r="C60">
        <v>33</v>
      </c>
      <c r="D60">
        <v>8</v>
      </c>
      <c r="E60">
        <v>147</v>
      </c>
      <c r="F60">
        <v>156</v>
      </c>
      <c r="G60">
        <v>106</v>
      </c>
      <c r="H60">
        <v>217.7</v>
      </c>
      <c r="I60" s="14">
        <v>338.9961563138591</v>
      </c>
      <c r="J60" s="231">
        <v>273.37049146000061</v>
      </c>
      <c r="K60" s="231">
        <v>404.06133824531179</v>
      </c>
      <c r="L60" s="16">
        <v>72</v>
      </c>
      <c r="M60" s="16">
        <v>52</v>
      </c>
      <c r="N60" s="230">
        <v>92</v>
      </c>
      <c r="O60" s="230">
        <v>63</v>
      </c>
      <c r="Q60">
        <v>69</v>
      </c>
      <c r="R60">
        <v>1</v>
      </c>
      <c r="S60">
        <v>66</v>
      </c>
      <c r="T60" s="15">
        <v>0</v>
      </c>
      <c r="U60" s="15">
        <v>0</v>
      </c>
      <c r="V60">
        <v>21</v>
      </c>
    </row>
    <row r="61" spans="1:22">
      <c r="A61" t="s">
        <v>128</v>
      </c>
      <c r="B61">
        <v>142</v>
      </c>
      <c r="C61">
        <v>25</v>
      </c>
      <c r="D61">
        <v>49</v>
      </c>
      <c r="E61">
        <v>57</v>
      </c>
      <c r="F61">
        <v>105</v>
      </c>
      <c r="G61">
        <v>53</v>
      </c>
      <c r="H61">
        <v>221.5</v>
      </c>
      <c r="I61" s="14">
        <v>277.08372363284218</v>
      </c>
      <c r="J61" s="231">
        <v>224.86356853457465</v>
      </c>
      <c r="K61" s="231">
        <v>273.2561891540293</v>
      </c>
      <c r="L61" s="16">
        <v>75</v>
      </c>
      <c r="M61" s="16">
        <v>53</v>
      </c>
      <c r="N61" s="230">
        <v>56</v>
      </c>
      <c r="O61" s="230">
        <v>41</v>
      </c>
      <c r="Q61">
        <v>30</v>
      </c>
      <c r="R61">
        <v>1</v>
      </c>
      <c r="S61">
        <v>19</v>
      </c>
      <c r="T61" s="15">
        <v>0</v>
      </c>
      <c r="U61" s="15">
        <v>0</v>
      </c>
      <c r="V61">
        <v>-8</v>
      </c>
    </row>
    <row r="62" spans="1:22">
      <c r="A62" t="s">
        <v>29</v>
      </c>
      <c r="B62">
        <v>35</v>
      </c>
      <c r="C62">
        <v>84</v>
      </c>
      <c r="D62">
        <v>134</v>
      </c>
      <c r="E62">
        <v>146</v>
      </c>
      <c r="F62">
        <v>8</v>
      </c>
      <c r="G62">
        <v>103</v>
      </c>
      <c r="H62">
        <v>222.70000000000002</v>
      </c>
      <c r="I62" s="14">
        <v>365.83849259594211</v>
      </c>
      <c r="J62" s="231">
        <v>225.03390469745995</v>
      </c>
      <c r="K62" s="231">
        <v>302.41679708730248</v>
      </c>
      <c r="L62" s="16">
        <v>77</v>
      </c>
      <c r="M62" s="16">
        <v>54</v>
      </c>
      <c r="N62" s="230">
        <v>113</v>
      </c>
      <c r="O62" s="230">
        <v>78</v>
      </c>
      <c r="Q62">
        <v>31</v>
      </c>
      <c r="R62">
        <v>1</v>
      </c>
      <c r="S62">
        <v>31</v>
      </c>
      <c r="T62" s="15">
        <v>0</v>
      </c>
      <c r="U62" s="15">
        <v>0</v>
      </c>
      <c r="V62">
        <v>-68</v>
      </c>
    </row>
    <row r="63" spans="1:22">
      <c r="A63" t="s">
        <v>151</v>
      </c>
      <c r="B63">
        <v>42</v>
      </c>
      <c r="C63">
        <v>33</v>
      </c>
      <c r="D63">
        <v>148</v>
      </c>
      <c r="E63">
        <v>134</v>
      </c>
      <c r="F63">
        <v>42</v>
      </c>
      <c r="G63">
        <v>87</v>
      </c>
      <c r="H63">
        <v>224.1</v>
      </c>
      <c r="I63" s="14">
        <v>351.23541927044124</v>
      </c>
      <c r="J63" s="231">
        <v>264.4628224148957</v>
      </c>
      <c r="K63" s="231">
        <v>386.62217782452774</v>
      </c>
      <c r="L63" s="16">
        <v>80</v>
      </c>
      <c r="M63" s="16">
        <v>55</v>
      </c>
      <c r="N63" s="230">
        <v>98</v>
      </c>
      <c r="O63" s="230">
        <v>67</v>
      </c>
      <c r="Q63">
        <v>63</v>
      </c>
      <c r="R63">
        <v>1</v>
      </c>
      <c r="S63">
        <v>59</v>
      </c>
      <c r="T63" s="15"/>
      <c r="U63" s="15"/>
      <c r="V63">
        <v>13</v>
      </c>
    </row>
    <row r="64" spans="1:22">
      <c r="A64" t="s">
        <v>134</v>
      </c>
      <c r="B64">
        <v>141</v>
      </c>
      <c r="C64">
        <v>33</v>
      </c>
      <c r="D64">
        <v>36</v>
      </c>
      <c r="E64">
        <v>53</v>
      </c>
      <c r="F64">
        <v>130</v>
      </c>
      <c r="G64">
        <v>85</v>
      </c>
      <c r="H64">
        <v>226.59999999999997</v>
      </c>
      <c r="I64" s="14">
        <v>311.08485628001563</v>
      </c>
      <c r="J64" s="231">
        <v>249.11531590490776</v>
      </c>
      <c r="K64" s="231">
        <v>327.01766480093329</v>
      </c>
      <c r="L64" s="16">
        <v>82</v>
      </c>
      <c r="M64" s="16">
        <v>56</v>
      </c>
      <c r="N64" s="230">
        <v>71</v>
      </c>
      <c r="O64" s="230">
        <v>49</v>
      </c>
      <c r="Q64">
        <v>48</v>
      </c>
      <c r="R64">
        <v>1</v>
      </c>
      <c r="S64">
        <v>38</v>
      </c>
      <c r="T64" s="15">
        <v>0</v>
      </c>
      <c r="U64" s="15">
        <v>0</v>
      </c>
      <c r="V64">
        <v>-18</v>
      </c>
    </row>
    <row r="65" spans="1:22">
      <c r="A65" t="s">
        <v>11</v>
      </c>
      <c r="B65">
        <v>4</v>
      </c>
      <c r="C65">
        <v>158</v>
      </c>
      <c r="D65">
        <v>135</v>
      </c>
      <c r="E65">
        <v>15</v>
      </c>
      <c r="F65">
        <v>90</v>
      </c>
      <c r="G65">
        <v>108</v>
      </c>
      <c r="H65">
        <v>227.3</v>
      </c>
      <c r="I65" s="14">
        <v>354.07424801233617</v>
      </c>
      <c r="J65" s="231">
        <v>240.06783158022211</v>
      </c>
      <c r="K65" s="231">
        <v>395.68267310181233</v>
      </c>
      <c r="L65" s="16">
        <v>84</v>
      </c>
      <c r="M65" s="16">
        <v>58</v>
      </c>
      <c r="N65" s="230">
        <v>103</v>
      </c>
      <c r="O65" s="230">
        <v>69</v>
      </c>
      <c r="Q65">
        <v>39</v>
      </c>
      <c r="R65">
        <v>1</v>
      </c>
      <c r="S65">
        <v>63</v>
      </c>
      <c r="T65" s="15"/>
      <c r="U65" s="15"/>
      <c r="V65">
        <v>17</v>
      </c>
    </row>
    <row r="66" spans="1:22">
      <c r="A66" t="s">
        <v>183</v>
      </c>
      <c r="B66">
        <v>145</v>
      </c>
      <c r="C66">
        <v>4</v>
      </c>
      <c r="D66">
        <v>103</v>
      </c>
      <c r="E66">
        <v>95</v>
      </c>
      <c r="F66">
        <v>28</v>
      </c>
      <c r="G66">
        <v>49</v>
      </c>
      <c r="H66">
        <v>227.6</v>
      </c>
      <c r="I66" s="14">
        <v>295.07231746784691</v>
      </c>
      <c r="J66" s="231">
        <v>207.62452155997511</v>
      </c>
      <c r="K66" s="231">
        <v>257.65457726196121</v>
      </c>
      <c r="L66" s="16">
        <v>85</v>
      </c>
      <c r="M66" s="16">
        <v>59</v>
      </c>
      <c r="N66" s="230">
        <v>62</v>
      </c>
      <c r="O66" s="230">
        <v>45</v>
      </c>
      <c r="Q66">
        <v>16</v>
      </c>
      <c r="R66">
        <v>1</v>
      </c>
      <c r="S66">
        <v>15</v>
      </c>
      <c r="T66" s="15">
        <v>0</v>
      </c>
      <c r="U66" s="15">
        <v>0.5</v>
      </c>
      <c r="V66">
        <v>-6</v>
      </c>
    </row>
    <row r="67" spans="1:22">
      <c r="A67" t="s">
        <v>142</v>
      </c>
      <c r="B67">
        <v>143</v>
      </c>
      <c r="C67">
        <v>122</v>
      </c>
      <c r="D67">
        <v>63</v>
      </c>
      <c r="E67">
        <v>31</v>
      </c>
      <c r="F67">
        <v>22</v>
      </c>
      <c r="G67">
        <v>127</v>
      </c>
      <c r="H67">
        <v>228.6</v>
      </c>
      <c r="I67" s="14">
        <v>355.41521910732115</v>
      </c>
      <c r="J67" s="231">
        <v>296.83239027279984</v>
      </c>
      <c r="K67" s="231">
        <v>432.0501046614346</v>
      </c>
      <c r="L67" s="16">
        <v>87</v>
      </c>
      <c r="M67" s="16">
        <v>60</v>
      </c>
      <c r="N67" s="230">
        <v>105</v>
      </c>
      <c r="O67" s="230">
        <v>71</v>
      </c>
      <c r="Q67">
        <v>81</v>
      </c>
      <c r="R67">
        <v>1</v>
      </c>
      <c r="S67">
        <v>77</v>
      </c>
      <c r="T67" s="15"/>
      <c r="U67" s="15"/>
      <c r="V67">
        <v>-1</v>
      </c>
    </row>
    <row r="68" spans="1:22">
      <c r="A68" t="s">
        <v>161</v>
      </c>
      <c r="B68">
        <v>37</v>
      </c>
      <c r="C68">
        <v>33</v>
      </c>
      <c r="D68">
        <v>152</v>
      </c>
      <c r="E68">
        <v>13</v>
      </c>
      <c r="F68">
        <v>155</v>
      </c>
      <c r="G68">
        <v>144</v>
      </c>
      <c r="H68">
        <v>231.49999999999997</v>
      </c>
      <c r="I68" s="14">
        <v>395.01110831340242</v>
      </c>
      <c r="J68" s="231">
        <v>275.22639094947033</v>
      </c>
      <c r="K68" s="231">
        <v>431.08611695958484</v>
      </c>
      <c r="L68" s="16">
        <v>90</v>
      </c>
      <c r="M68" s="16">
        <v>62</v>
      </c>
      <c r="N68" s="230">
        <v>124</v>
      </c>
      <c r="O68" s="230">
        <v>88</v>
      </c>
      <c r="Q68">
        <v>72</v>
      </c>
      <c r="R68">
        <v>1</v>
      </c>
      <c r="S68">
        <v>76</v>
      </c>
      <c r="T68" s="15"/>
      <c r="U68" s="15"/>
      <c r="V68">
        <v>-8</v>
      </c>
    </row>
    <row r="69" spans="1:22">
      <c r="A69" s="232" t="s">
        <v>35</v>
      </c>
      <c r="B69">
        <v>121</v>
      </c>
      <c r="C69">
        <v>112</v>
      </c>
      <c r="D69">
        <v>5</v>
      </c>
      <c r="E69">
        <v>76</v>
      </c>
      <c r="F69">
        <v>114</v>
      </c>
      <c r="G69">
        <v>11</v>
      </c>
      <c r="H69">
        <v>231.6</v>
      </c>
      <c r="I69" s="14">
        <v>241.63753530670121</v>
      </c>
      <c r="J69" s="231">
        <v>166.93711102919775</v>
      </c>
      <c r="K69" s="231">
        <v>167.13836937171482</v>
      </c>
      <c r="L69" s="16">
        <v>91</v>
      </c>
      <c r="M69" s="16">
        <v>63</v>
      </c>
      <c r="N69" s="230">
        <v>40</v>
      </c>
      <c r="O69" s="230">
        <v>28</v>
      </c>
      <c r="Q69">
        <v>2</v>
      </c>
      <c r="R69">
        <v>1</v>
      </c>
      <c r="S69">
        <v>2</v>
      </c>
      <c r="T69" s="15">
        <v>0</v>
      </c>
      <c r="U69" s="15">
        <v>1</v>
      </c>
      <c r="V69">
        <v>-10</v>
      </c>
    </row>
    <row r="70" spans="1:22">
      <c r="A70" t="s">
        <v>496</v>
      </c>
      <c r="B70">
        <v>51</v>
      </c>
      <c r="C70">
        <v>57</v>
      </c>
      <c r="D70">
        <v>95</v>
      </c>
      <c r="E70">
        <v>74</v>
      </c>
      <c r="F70">
        <v>146</v>
      </c>
      <c r="G70">
        <v>87</v>
      </c>
      <c r="H70">
        <v>233.29999999999998</v>
      </c>
      <c r="I70" s="14">
        <v>339.56118202232489</v>
      </c>
      <c r="J70" s="231" t="e">
        <v>#N/A</v>
      </c>
      <c r="K70" s="231" t="e">
        <v>#N/A</v>
      </c>
      <c r="L70" s="16">
        <v>94</v>
      </c>
      <c r="M70" s="16">
        <v>64</v>
      </c>
      <c r="N70" s="230">
        <v>93</v>
      </c>
      <c r="O70" s="230">
        <v>64</v>
      </c>
      <c r="Q70">
        <v>97</v>
      </c>
      <c r="S70">
        <v>97</v>
      </c>
      <c r="T70" s="15"/>
      <c r="U70" s="15"/>
    </row>
    <row r="71" spans="1:22">
      <c r="A71" t="s">
        <v>56</v>
      </c>
      <c r="B71">
        <v>109</v>
      </c>
      <c r="C71">
        <v>52</v>
      </c>
      <c r="D71">
        <v>78</v>
      </c>
      <c r="E71">
        <v>41</v>
      </c>
      <c r="F71">
        <v>121</v>
      </c>
      <c r="G71">
        <v>74</v>
      </c>
      <c r="H71">
        <v>233.79999999999998</v>
      </c>
      <c r="I71" s="14">
        <v>314.37200604423066</v>
      </c>
      <c r="J71" s="231">
        <v>217.94317690843383</v>
      </c>
      <c r="K71" s="231">
        <v>283.63309217942714</v>
      </c>
      <c r="L71" s="16">
        <v>95</v>
      </c>
      <c r="M71" s="16">
        <v>65</v>
      </c>
      <c r="N71" s="230">
        <v>74</v>
      </c>
      <c r="O71" s="230">
        <v>50</v>
      </c>
      <c r="Q71">
        <v>25</v>
      </c>
      <c r="R71">
        <v>1</v>
      </c>
      <c r="S71">
        <v>25</v>
      </c>
      <c r="T71" s="15">
        <v>0</v>
      </c>
      <c r="U71" s="15">
        <v>0</v>
      </c>
      <c r="V71">
        <v>-33</v>
      </c>
    </row>
    <row r="72" spans="1:22">
      <c r="A72" t="s">
        <v>109</v>
      </c>
      <c r="B72">
        <v>37</v>
      </c>
      <c r="C72">
        <v>76</v>
      </c>
      <c r="D72">
        <v>155</v>
      </c>
      <c r="E72">
        <v>139</v>
      </c>
      <c r="F72">
        <v>15</v>
      </c>
      <c r="G72">
        <v>108</v>
      </c>
      <c r="H72">
        <v>235.5</v>
      </c>
      <c r="I72" s="14">
        <v>385.59412167089579</v>
      </c>
      <c r="J72" s="231">
        <v>255.6127669516402</v>
      </c>
      <c r="K72" s="231">
        <v>396.1252995520307</v>
      </c>
      <c r="L72" s="16">
        <v>96</v>
      </c>
      <c r="M72" s="16">
        <v>66</v>
      </c>
      <c r="N72" s="230">
        <v>120</v>
      </c>
      <c r="O72" s="230">
        <v>84</v>
      </c>
      <c r="Q72">
        <v>58</v>
      </c>
      <c r="R72">
        <v>1</v>
      </c>
      <c r="S72">
        <v>64</v>
      </c>
      <c r="T72" s="15"/>
      <c r="U72" s="15"/>
      <c r="V72">
        <v>-11</v>
      </c>
    </row>
    <row r="73" spans="1:22">
      <c r="A73" t="s">
        <v>32</v>
      </c>
      <c r="B73">
        <v>19</v>
      </c>
      <c r="C73">
        <v>115</v>
      </c>
      <c r="D73">
        <v>150</v>
      </c>
      <c r="E73">
        <v>60</v>
      </c>
      <c r="F73">
        <v>73</v>
      </c>
      <c r="G73">
        <v>137</v>
      </c>
      <c r="H73">
        <v>236.3</v>
      </c>
      <c r="I73" s="14">
        <v>401.56020216370791</v>
      </c>
      <c r="J73" s="231">
        <v>275.77044708939627</v>
      </c>
      <c r="K73" s="231">
        <v>413.80465057548338</v>
      </c>
      <c r="L73" s="16">
        <v>97</v>
      </c>
      <c r="M73" s="16">
        <v>67</v>
      </c>
      <c r="N73" s="230">
        <v>128</v>
      </c>
      <c r="O73" s="230">
        <v>91</v>
      </c>
      <c r="Q73">
        <v>73</v>
      </c>
      <c r="R73">
        <v>1</v>
      </c>
      <c r="S73">
        <v>70</v>
      </c>
      <c r="T73" s="15">
        <v>0</v>
      </c>
      <c r="U73" s="15">
        <v>0</v>
      </c>
      <c r="V73">
        <v>-54</v>
      </c>
    </row>
    <row r="74" spans="1:22">
      <c r="A74" t="s">
        <v>241</v>
      </c>
      <c r="B74">
        <v>51</v>
      </c>
      <c r="C74">
        <v>76</v>
      </c>
      <c r="D74">
        <v>108</v>
      </c>
      <c r="E74">
        <v>21</v>
      </c>
      <c r="F74">
        <v>159</v>
      </c>
      <c r="G74">
        <v>108</v>
      </c>
      <c r="H74">
        <v>237.2</v>
      </c>
      <c r="I74" s="14">
        <v>357.16669874628064</v>
      </c>
      <c r="J74" s="231" t="e">
        <v>#N/A</v>
      </c>
      <c r="K74" s="231" t="e">
        <v>#N/A</v>
      </c>
      <c r="L74" s="16">
        <v>98</v>
      </c>
      <c r="M74" s="16">
        <v>68</v>
      </c>
      <c r="N74" s="230">
        <v>106</v>
      </c>
      <c r="O74" s="230">
        <v>72</v>
      </c>
      <c r="Q74">
        <v>98</v>
      </c>
      <c r="S74">
        <v>98</v>
      </c>
      <c r="T74" s="15"/>
      <c r="U74" s="15"/>
    </row>
    <row r="75" spans="1:22">
      <c r="A75" t="s">
        <v>179</v>
      </c>
      <c r="B75">
        <v>155</v>
      </c>
      <c r="C75">
        <v>1</v>
      </c>
      <c r="D75">
        <v>71</v>
      </c>
      <c r="E75">
        <v>2</v>
      </c>
      <c r="F75">
        <v>160</v>
      </c>
      <c r="G75">
        <v>87</v>
      </c>
      <c r="H75">
        <v>239.5</v>
      </c>
      <c r="I75" s="14">
        <v>321.87846617612843</v>
      </c>
      <c r="J75" s="231">
        <v>253.77800520799025</v>
      </c>
      <c r="K75" s="231">
        <v>349.1878590705881</v>
      </c>
      <c r="L75" s="16">
        <v>101</v>
      </c>
      <c r="M75" s="16">
        <v>69</v>
      </c>
      <c r="N75" s="230">
        <v>79</v>
      </c>
      <c r="O75" s="230">
        <v>55</v>
      </c>
      <c r="Q75">
        <v>53</v>
      </c>
      <c r="R75">
        <v>1</v>
      </c>
      <c r="S75">
        <v>48</v>
      </c>
      <c r="T75" s="15"/>
      <c r="U75" s="15"/>
      <c r="V75">
        <v>2</v>
      </c>
    </row>
    <row r="76" spans="1:22">
      <c r="A76" t="s">
        <v>444</v>
      </c>
      <c r="B76">
        <v>53</v>
      </c>
      <c r="C76">
        <v>158</v>
      </c>
      <c r="D76">
        <v>81</v>
      </c>
      <c r="E76">
        <v>26</v>
      </c>
      <c r="F76">
        <v>118</v>
      </c>
      <c r="G76">
        <v>108</v>
      </c>
      <c r="H76">
        <v>242.2</v>
      </c>
      <c r="I76" s="14">
        <v>357.75418908213214</v>
      </c>
      <c r="J76" s="231" t="e">
        <v>#N/A</v>
      </c>
      <c r="K76" s="231" t="e">
        <v>#N/A</v>
      </c>
      <c r="L76" s="16">
        <v>102</v>
      </c>
      <c r="M76" s="16">
        <v>70</v>
      </c>
      <c r="N76" s="230">
        <v>107</v>
      </c>
      <c r="O76" s="230">
        <v>73</v>
      </c>
      <c r="Q76">
        <v>99</v>
      </c>
      <c r="S76">
        <v>99</v>
      </c>
      <c r="T76" s="15"/>
      <c r="U76" s="15"/>
    </row>
    <row r="77" spans="1:22">
      <c r="A77" t="s">
        <v>491</v>
      </c>
      <c r="B77">
        <v>146</v>
      </c>
      <c r="C77">
        <v>5</v>
      </c>
      <c r="D77">
        <v>70</v>
      </c>
      <c r="E77">
        <v>163</v>
      </c>
      <c r="F77">
        <v>48</v>
      </c>
      <c r="G77">
        <v>144</v>
      </c>
      <c r="H77">
        <v>242.89999999999998</v>
      </c>
      <c r="I77" s="14">
        <v>411.11569299466277</v>
      </c>
      <c r="J77" s="231" t="e">
        <v>#N/A</v>
      </c>
      <c r="K77" s="231" t="e">
        <v>#N/A</v>
      </c>
      <c r="L77" s="16">
        <v>103</v>
      </c>
      <c r="M77" s="16">
        <v>71</v>
      </c>
      <c r="N77" s="230">
        <v>131</v>
      </c>
      <c r="O77" s="230">
        <v>93</v>
      </c>
      <c r="Q77">
        <v>106</v>
      </c>
      <c r="S77">
        <v>106</v>
      </c>
      <c r="T77" s="15"/>
      <c r="U77" s="15"/>
    </row>
    <row r="78" spans="1:22">
      <c r="A78" t="s">
        <v>121</v>
      </c>
      <c r="B78">
        <v>47</v>
      </c>
      <c r="C78">
        <v>76</v>
      </c>
      <c r="D78">
        <v>151</v>
      </c>
      <c r="E78">
        <v>29</v>
      </c>
      <c r="F78">
        <v>112</v>
      </c>
      <c r="G78">
        <v>108</v>
      </c>
      <c r="H78">
        <v>244.2</v>
      </c>
      <c r="I78" s="14">
        <v>373.17880715140564</v>
      </c>
      <c r="J78" s="231">
        <v>243.99406723257707</v>
      </c>
      <c r="K78" s="231">
        <v>344.9012873359377</v>
      </c>
      <c r="L78" s="16">
        <v>104</v>
      </c>
      <c r="M78" s="16">
        <v>72</v>
      </c>
      <c r="N78" s="230">
        <v>116</v>
      </c>
      <c r="O78" s="230">
        <v>80</v>
      </c>
      <c r="Q78">
        <v>43</v>
      </c>
      <c r="R78">
        <v>1</v>
      </c>
      <c r="S78">
        <v>45</v>
      </c>
      <c r="T78" s="15"/>
      <c r="U78" s="15"/>
      <c r="V78">
        <v>-31</v>
      </c>
    </row>
    <row r="79" spans="1:22">
      <c r="A79" t="s">
        <v>116</v>
      </c>
      <c r="B79">
        <v>106</v>
      </c>
      <c r="C79">
        <v>18</v>
      </c>
      <c r="D79">
        <v>125</v>
      </c>
      <c r="E79">
        <v>38</v>
      </c>
      <c r="F79">
        <v>117</v>
      </c>
      <c r="G79">
        <v>79</v>
      </c>
      <c r="H79">
        <v>244.39999999999998</v>
      </c>
      <c r="I79" s="14">
        <v>337.68144028831381</v>
      </c>
      <c r="J79" s="231">
        <v>288.12639094947031</v>
      </c>
      <c r="K79" s="231">
        <v>422.41573420061161</v>
      </c>
      <c r="L79" s="16">
        <v>105</v>
      </c>
      <c r="M79" s="16">
        <v>73</v>
      </c>
      <c r="N79" s="230">
        <v>91</v>
      </c>
      <c r="O79" s="230">
        <v>61</v>
      </c>
      <c r="Q79">
        <v>77</v>
      </c>
      <c r="R79">
        <v>1</v>
      </c>
      <c r="S79">
        <v>73</v>
      </c>
      <c r="T79" s="15">
        <v>0</v>
      </c>
      <c r="U79" s="15">
        <v>0</v>
      </c>
      <c r="V79">
        <v>36</v>
      </c>
    </row>
    <row r="80" spans="1:22">
      <c r="A80" t="s">
        <v>170</v>
      </c>
      <c r="B80">
        <v>118</v>
      </c>
      <c r="C80">
        <v>76</v>
      </c>
      <c r="D80">
        <v>42</v>
      </c>
      <c r="E80">
        <v>87</v>
      </c>
      <c r="F80">
        <v>124</v>
      </c>
      <c r="G80">
        <v>108</v>
      </c>
      <c r="H80">
        <v>246.8</v>
      </c>
      <c r="I80" s="14">
        <v>362.14618169871738</v>
      </c>
      <c r="J80" s="231">
        <v>304.39253062261474</v>
      </c>
      <c r="K80" s="231">
        <v>469.80933995919605</v>
      </c>
      <c r="L80" s="16">
        <v>106</v>
      </c>
      <c r="M80" s="16">
        <v>74</v>
      </c>
      <c r="N80" s="230">
        <v>110</v>
      </c>
      <c r="O80" s="230">
        <v>75</v>
      </c>
      <c r="Q80">
        <v>82</v>
      </c>
      <c r="R80">
        <v>1</v>
      </c>
      <c r="S80">
        <v>83</v>
      </c>
      <c r="T80" s="15"/>
      <c r="U80" s="15"/>
      <c r="V80">
        <v>51</v>
      </c>
    </row>
    <row r="81" spans="1:22">
      <c r="A81" t="s">
        <v>158</v>
      </c>
      <c r="B81">
        <v>136</v>
      </c>
      <c r="C81">
        <v>100</v>
      </c>
      <c r="D81">
        <v>30</v>
      </c>
      <c r="E81">
        <v>133</v>
      </c>
      <c r="F81">
        <v>57</v>
      </c>
      <c r="G81">
        <v>71</v>
      </c>
      <c r="H81">
        <v>247.89999999999998</v>
      </c>
      <c r="I81" s="14">
        <v>330.97806078541566</v>
      </c>
      <c r="J81" s="231">
        <v>239.66268930308252</v>
      </c>
      <c r="K81" s="231">
        <v>295.30380347977484</v>
      </c>
      <c r="L81" s="16">
        <v>107</v>
      </c>
      <c r="M81" s="16">
        <v>75</v>
      </c>
      <c r="N81" s="230">
        <v>85</v>
      </c>
      <c r="O81" s="230">
        <v>58</v>
      </c>
      <c r="Q81">
        <v>37</v>
      </c>
      <c r="R81">
        <v>1</v>
      </c>
      <c r="S81">
        <v>27</v>
      </c>
      <c r="T81" s="15">
        <v>0</v>
      </c>
      <c r="U81" s="15">
        <v>0.5</v>
      </c>
      <c r="V81">
        <v>-25</v>
      </c>
    </row>
    <row r="82" spans="1:22">
      <c r="A82" t="s">
        <v>8</v>
      </c>
      <c r="B82">
        <v>2</v>
      </c>
      <c r="C82">
        <v>57</v>
      </c>
      <c r="D82">
        <v>158</v>
      </c>
      <c r="E82">
        <v>135</v>
      </c>
      <c r="F82">
        <v>109</v>
      </c>
      <c r="G82">
        <v>87</v>
      </c>
      <c r="H82">
        <v>249</v>
      </c>
      <c r="I82" s="14">
        <v>379.91080596863344</v>
      </c>
      <c r="J82" s="231">
        <v>280.57635767151703</v>
      </c>
      <c r="K82" s="231">
        <v>463.77004154405887</v>
      </c>
      <c r="L82" s="16">
        <v>108</v>
      </c>
      <c r="M82" s="16">
        <v>76</v>
      </c>
      <c r="N82" s="230">
        <v>118</v>
      </c>
      <c r="O82" s="230">
        <v>82</v>
      </c>
      <c r="Q82">
        <v>75</v>
      </c>
      <c r="R82">
        <v>1</v>
      </c>
      <c r="S82">
        <v>81</v>
      </c>
      <c r="T82" s="15"/>
      <c r="U82" s="15"/>
      <c r="V82">
        <v>74</v>
      </c>
    </row>
    <row r="83" spans="1:22">
      <c r="A83" t="s">
        <v>497</v>
      </c>
      <c r="B83">
        <v>16</v>
      </c>
      <c r="C83">
        <v>149</v>
      </c>
      <c r="D83">
        <v>110</v>
      </c>
      <c r="E83">
        <v>51</v>
      </c>
      <c r="F83">
        <v>133</v>
      </c>
      <c r="G83">
        <v>121</v>
      </c>
      <c r="H83">
        <v>249.6</v>
      </c>
      <c r="I83" s="14">
        <v>389.94420482045524</v>
      </c>
      <c r="J83" s="231" t="e">
        <v>#N/A</v>
      </c>
      <c r="K83" s="231" t="e">
        <v>#N/A</v>
      </c>
      <c r="L83" s="16">
        <v>109</v>
      </c>
      <c r="M83" s="16">
        <v>77</v>
      </c>
      <c r="N83" s="230">
        <v>121</v>
      </c>
      <c r="O83" s="230">
        <v>85</v>
      </c>
      <c r="Q83">
        <v>102</v>
      </c>
      <c r="S83">
        <v>102</v>
      </c>
      <c r="T83" s="15">
        <v>0</v>
      </c>
      <c r="U83" s="15">
        <v>0</v>
      </c>
    </row>
    <row r="84" spans="1:22">
      <c r="A84" t="s">
        <v>103</v>
      </c>
      <c r="B84">
        <v>135</v>
      </c>
      <c r="C84">
        <v>45</v>
      </c>
      <c r="D84">
        <v>128</v>
      </c>
      <c r="E84">
        <v>60</v>
      </c>
      <c r="F84">
        <v>39</v>
      </c>
      <c r="G84">
        <v>76</v>
      </c>
      <c r="H84">
        <v>250.1</v>
      </c>
      <c r="I84" s="14">
        <v>342.60967676555072</v>
      </c>
      <c r="J84" s="231">
        <v>339.20024403832412</v>
      </c>
      <c r="K84" s="231">
        <v>516.32627694178916</v>
      </c>
      <c r="L84" s="16">
        <v>110</v>
      </c>
      <c r="M84" s="16">
        <v>78</v>
      </c>
      <c r="N84" s="230">
        <v>94</v>
      </c>
      <c r="O84" s="230">
        <v>65</v>
      </c>
      <c r="Q84">
        <v>86</v>
      </c>
      <c r="S84">
        <v>86</v>
      </c>
      <c r="T84" s="15">
        <v>0</v>
      </c>
      <c r="U84" s="15">
        <v>0</v>
      </c>
      <c r="V84">
        <v>99</v>
      </c>
    </row>
    <row r="85" spans="1:22">
      <c r="A85" s="232" t="s">
        <v>40</v>
      </c>
      <c r="B85">
        <v>131</v>
      </c>
      <c r="C85">
        <v>95</v>
      </c>
      <c r="D85">
        <v>90</v>
      </c>
      <c r="E85">
        <v>44</v>
      </c>
      <c r="F85">
        <v>64</v>
      </c>
      <c r="G85">
        <v>29</v>
      </c>
      <c r="H85">
        <v>251.79999999999998</v>
      </c>
      <c r="I85" s="14">
        <v>287.85776274748076</v>
      </c>
      <c r="J85" s="231">
        <v>145.12682647491854</v>
      </c>
      <c r="K85" s="231">
        <v>163.63765001212175</v>
      </c>
      <c r="L85" s="16">
        <v>113</v>
      </c>
      <c r="M85" s="16">
        <v>80</v>
      </c>
      <c r="N85" s="230">
        <v>60</v>
      </c>
      <c r="O85" s="230">
        <v>44</v>
      </c>
      <c r="Q85">
        <v>1</v>
      </c>
      <c r="R85">
        <v>1</v>
      </c>
      <c r="S85">
        <v>1</v>
      </c>
      <c r="T85" s="15">
        <v>0</v>
      </c>
      <c r="U85" s="15">
        <v>0</v>
      </c>
      <c r="V85">
        <v>-26</v>
      </c>
    </row>
    <row r="86" spans="1:22">
      <c r="A86" t="s">
        <v>445</v>
      </c>
      <c r="B86">
        <v>50</v>
      </c>
      <c r="C86">
        <v>69</v>
      </c>
      <c r="D86">
        <v>140</v>
      </c>
      <c r="E86">
        <v>118</v>
      </c>
      <c r="F86">
        <v>78</v>
      </c>
      <c r="G86">
        <v>104</v>
      </c>
      <c r="H86">
        <v>253.7</v>
      </c>
      <c r="I86" s="14">
        <v>392.06438482382657</v>
      </c>
      <c r="J86" s="231" t="e">
        <v>#N/A</v>
      </c>
      <c r="K86" s="231" t="e">
        <v>#N/A</v>
      </c>
      <c r="L86" s="16">
        <v>115</v>
      </c>
      <c r="M86" s="16">
        <v>81</v>
      </c>
      <c r="N86" s="230">
        <v>123</v>
      </c>
      <c r="O86" s="230">
        <v>87</v>
      </c>
      <c r="Q86">
        <v>104</v>
      </c>
      <c r="S86">
        <v>104</v>
      </c>
      <c r="T86" s="15">
        <v>0</v>
      </c>
      <c r="U86" s="15">
        <v>0</v>
      </c>
    </row>
    <row r="87" spans="1:22">
      <c r="A87" t="s">
        <v>495</v>
      </c>
      <c r="B87">
        <v>46</v>
      </c>
      <c r="C87">
        <v>151</v>
      </c>
      <c r="D87">
        <v>162</v>
      </c>
      <c r="E87">
        <v>64</v>
      </c>
      <c r="F87">
        <v>17</v>
      </c>
      <c r="G87">
        <v>108</v>
      </c>
      <c r="H87">
        <v>255.19999999999996</v>
      </c>
      <c r="I87" s="14">
        <v>391.78769124843518</v>
      </c>
      <c r="J87" s="231" t="e">
        <v>#N/A</v>
      </c>
      <c r="K87" s="231" t="e">
        <v>#N/A</v>
      </c>
      <c r="L87" s="16">
        <v>116</v>
      </c>
      <c r="M87" s="16">
        <v>82</v>
      </c>
      <c r="N87" s="230">
        <v>122</v>
      </c>
      <c r="O87" s="230">
        <v>86</v>
      </c>
      <c r="Q87">
        <v>103</v>
      </c>
      <c r="S87">
        <v>103</v>
      </c>
      <c r="T87" s="15"/>
      <c r="U87" s="15"/>
    </row>
    <row r="88" spans="1:22">
      <c r="A88" t="s">
        <v>144</v>
      </c>
      <c r="B88">
        <v>66</v>
      </c>
      <c r="C88">
        <v>57</v>
      </c>
      <c r="D88">
        <v>88</v>
      </c>
      <c r="E88">
        <v>154</v>
      </c>
      <c r="F88">
        <v>116</v>
      </c>
      <c r="G88">
        <v>127</v>
      </c>
      <c r="H88">
        <v>255.89999999999998</v>
      </c>
      <c r="I88" s="14">
        <v>413.44136502030074</v>
      </c>
      <c r="J88" s="231">
        <v>241.553350536202</v>
      </c>
      <c r="K88" s="231">
        <v>328.84286276936825</v>
      </c>
      <c r="L88" s="16">
        <v>118</v>
      </c>
      <c r="M88" s="16">
        <v>83</v>
      </c>
      <c r="N88" s="230">
        <v>133</v>
      </c>
      <c r="O88" s="230">
        <v>95</v>
      </c>
      <c r="Q88">
        <v>41</v>
      </c>
      <c r="R88">
        <v>1</v>
      </c>
      <c r="S88">
        <v>40</v>
      </c>
      <c r="T88" s="15"/>
      <c r="U88" s="15"/>
      <c r="V88">
        <v>-74</v>
      </c>
    </row>
    <row r="89" spans="1:22">
      <c r="A89" t="s">
        <v>488</v>
      </c>
      <c r="B89">
        <v>14</v>
      </c>
      <c r="C89">
        <v>18</v>
      </c>
      <c r="D89">
        <v>137</v>
      </c>
      <c r="E89">
        <v>153</v>
      </c>
      <c r="F89">
        <v>161</v>
      </c>
      <c r="G89">
        <v>155</v>
      </c>
      <c r="H89">
        <v>256.39999999999998</v>
      </c>
      <c r="I89" s="14">
        <v>453.93762330882282</v>
      </c>
      <c r="J89" s="231" t="e">
        <v>#N/A</v>
      </c>
      <c r="K89" s="231" t="e">
        <v>#N/A</v>
      </c>
      <c r="L89" s="16">
        <v>119</v>
      </c>
      <c r="M89" s="16">
        <v>84</v>
      </c>
      <c r="N89" s="230">
        <v>145</v>
      </c>
      <c r="O89" s="230">
        <v>105</v>
      </c>
      <c r="Q89">
        <v>111</v>
      </c>
      <c r="S89">
        <v>111</v>
      </c>
      <c r="T89" s="15"/>
      <c r="U89" s="15"/>
    </row>
    <row r="90" spans="1:22">
      <c r="A90" t="s">
        <v>492</v>
      </c>
      <c r="B90">
        <v>55</v>
      </c>
      <c r="C90">
        <v>140</v>
      </c>
      <c r="D90">
        <v>136</v>
      </c>
      <c r="E90">
        <v>16</v>
      </c>
      <c r="F90">
        <v>95</v>
      </c>
      <c r="G90">
        <v>104</v>
      </c>
      <c r="H90">
        <v>257.60000000000002</v>
      </c>
      <c r="I90" s="14">
        <v>376.49417373302032</v>
      </c>
      <c r="J90" s="231" t="e">
        <v>#N/A</v>
      </c>
      <c r="K90" s="231" t="e">
        <v>#N/A</v>
      </c>
      <c r="L90" s="16">
        <v>120</v>
      </c>
      <c r="M90" s="16">
        <v>85</v>
      </c>
      <c r="N90" s="230">
        <v>117</v>
      </c>
      <c r="O90" s="230">
        <v>81</v>
      </c>
      <c r="Q90">
        <v>101</v>
      </c>
      <c r="S90">
        <v>101</v>
      </c>
      <c r="T90" s="15">
        <v>0</v>
      </c>
      <c r="U90" s="15">
        <v>0</v>
      </c>
    </row>
    <row r="91" spans="1:22">
      <c r="A91" s="233" t="s">
        <v>18</v>
      </c>
      <c r="B91">
        <v>43</v>
      </c>
      <c r="C91">
        <v>138</v>
      </c>
      <c r="D91">
        <v>113</v>
      </c>
      <c r="E91">
        <v>66</v>
      </c>
      <c r="F91">
        <v>111</v>
      </c>
      <c r="G91">
        <v>74</v>
      </c>
      <c r="H91">
        <v>260.10000000000002</v>
      </c>
      <c r="I91" s="14">
        <v>354.55598957113062</v>
      </c>
      <c r="J91" s="231">
        <v>174.98112279851932</v>
      </c>
      <c r="K91" s="231">
        <v>216.47178972891513</v>
      </c>
      <c r="L91" s="16">
        <v>121.5</v>
      </c>
      <c r="M91" s="16">
        <v>86</v>
      </c>
      <c r="N91" s="230">
        <v>104</v>
      </c>
      <c r="O91" s="230">
        <v>70</v>
      </c>
      <c r="Q91">
        <v>3</v>
      </c>
      <c r="R91">
        <v>1</v>
      </c>
      <c r="S91">
        <v>6</v>
      </c>
      <c r="T91" s="15">
        <v>0</v>
      </c>
      <c r="U91" s="15">
        <v>0</v>
      </c>
      <c r="V91">
        <v>-61</v>
      </c>
    </row>
    <row r="92" spans="1:22">
      <c r="A92" t="s">
        <v>494</v>
      </c>
      <c r="B92">
        <v>74</v>
      </c>
      <c r="C92">
        <v>69</v>
      </c>
      <c r="D92">
        <v>127</v>
      </c>
      <c r="E92">
        <v>71</v>
      </c>
      <c r="F92">
        <v>113</v>
      </c>
      <c r="G92">
        <v>126</v>
      </c>
      <c r="H92">
        <v>260.10000000000002</v>
      </c>
      <c r="I92" s="14">
        <v>408.06968199374262</v>
      </c>
      <c r="J92" s="231" t="e">
        <v>#N/A</v>
      </c>
      <c r="K92" s="231" t="e">
        <v>#N/A</v>
      </c>
      <c r="L92" s="16">
        <v>121.5</v>
      </c>
      <c r="M92" s="16">
        <v>87</v>
      </c>
      <c r="N92" s="230">
        <v>130</v>
      </c>
      <c r="O92" s="230">
        <v>92</v>
      </c>
      <c r="Q92">
        <v>105</v>
      </c>
      <c r="S92">
        <v>105</v>
      </c>
      <c r="T92" s="15">
        <v>0</v>
      </c>
      <c r="U92" s="15">
        <v>0</v>
      </c>
    </row>
    <row r="93" spans="1:22">
      <c r="A93" t="s">
        <v>233</v>
      </c>
      <c r="B93">
        <v>17</v>
      </c>
      <c r="C93">
        <v>140</v>
      </c>
      <c r="D93">
        <v>61</v>
      </c>
      <c r="E93">
        <v>142</v>
      </c>
      <c r="F93">
        <v>163</v>
      </c>
      <c r="G93">
        <v>155</v>
      </c>
      <c r="H93">
        <v>262.89999999999998</v>
      </c>
      <c r="I93" s="14">
        <v>444.35317143221039</v>
      </c>
      <c r="J93" s="231" t="e">
        <v>#N/A</v>
      </c>
      <c r="K93" s="231" t="e">
        <v>#N/A</v>
      </c>
      <c r="L93" s="16">
        <v>126</v>
      </c>
      <c r="M93" s="16">
        <v>90</v>
      </c>
      <c r="N93" s="230">
        <v>141</v>
      </c>
      <c r="O93" s="230">
        <v>101</v>
      </c>
      <c r="Q93">
        <v>110</v>
      </c>
      <c r="S93">
        <v>110</v>
      </c>
      <c r="T93" s="15"/>
      <c r="U93" s="15"/>
    </row>
    <row r="94" spans="1:22">
      <c r="A94" t="s">
        <v>100</v>
      </c>
      <c r="B94">
        <v>120</v>
      </c>
      <c r="C94">
        <v>158</v>
      </c>
      <c r="D94">
        <v>12</v>
      </c>
      <c r="E94">
        <v>41</v>
      </c>
      <c r="F94">
        <v>152</v>
      </c>
      <c r="G94">
        <v>139</v>
      </c>
      <c r="H94">
        <v>263.8</v>
      </c>
      <c r="I94" s="14">
        <v>395.81652660155584</v>
      </c>
      <c r="J94" s="231">
        <v>258.17117102377301</v>
      </c>
      <c r="K94" s="231">
        <v>359.71128163911987</v>
      </c>
      <c r="L94" s="16">
        <v>127</v>
      </c>
      <c r="M94" s="16">
        <v>91</v>
      </c>
      <c r="N94" s="230">
        <v>125</v>
      </c>
      <c r="O94" s="230">
        <v>89</v>
      </c>
      <c r="Q94">
        <v>59</v>
      </c>
      <c r="R94">
        <v>1</v>
      </c>
      <c r="S94">
        <v>53</v>
      </c>
      <c r="T94" s="15"/>
      <c r="U94" s="15"/>
      <c r="V94">
        <v>-63</v>
      </c>
    </row>
    <row r="95" spans="1:22">
      <c r="A95" t="s">
        <v>55</v>
      </c>
      <c r="B95">
        <v>60</v>
      </c>
      <c r="C95">
        <v>110</v>
      </c>
      <c r="D95">
        <v>126</v>
      </c>
      <c r="E95">
        <v>83</v>
      </c>
      <c r="F95">
        <v>91</v>
      </c>
      <c r="G95">
        <v>151</v>
      </c>
      <c r="H95">
        <v>263.89999999999998</v>
      </c>
      <c r="I95" s="14">
        <v>439.49842055790202</v>
      </c>
      <c r="J95" s="231">
        <v>254.4270926985449</v>
      </c>
      <c r="K95" s="231">
        <v>408.62571297945033</v>
      </c>
      <c r="L95" s="16">
        <v>128</v>
      </c>
      <c r="M95" s="16">
        <v>92</v>
      </c>
      <c r="N95" s="230">
        <v>138</v>
      </c>
      <c r="O95" s="230">
        <v>98</v>
      </c>
      <c r="Q95">
        <v>55</v>
      </c>
      <c r="R95">
        <v>1</v>
      </c>
      <c r="S95">
        <v>68</v>
      </c>
      <c r="T95" s="15">
        <v>0</v>
      </c>
      <c r="U95" s="15">
        <v>0</v>
      </c>
      <c r="V95">
        <v>-33</v>
      </c>
    </row>
    <row r="96" spans="1:22">
      <c r="A96" t="s">
        <v>485</v>
      </c>
      <c r="B96">
        <v>10</v>
      </c>
      <c r="C96">
        <v>102</v>
      </c>
      <c r="D96">
        <v>97</v>
      </c>
      <c r="E96">
        <v>144</v>
      </c>
      <c r="F96">
        <v>162</v>
      </c>
      <c r="G96">
        <v>144</v>
      </c>
      <c r="H96">
        <v>264.5</v>
      </c>
      <c r="I96" s="14">
        <v>442.16769895678601</v>
      </c>
      <c r="J96" s="231" t="e">
        <v>#N/A</v>
      </c>
      <c r="K96" s="231" t="e">
        <v>#N/A</v>
      </c>
      <c r="L96" s="16">
        <v>129</v>
      </c>
      <c r="M96" s="16">
        <v>93</v>
      </c>
      <c r="N96" s="230">
        <v>139</v>
      </c>
      <c r="O96" s="230">
        <v>99</v>
      </c>
      <c r="Q96">
        <v>108</v>
      </c>
      <c r="S96">
        <v>108</v>
      </c>
      <c r="T96" s="15"/>
      <c r="U96" s="15"/>
    </row>
    <row r="97" spans="1:22">
      <c r="A97" t="s">
        <v>20</v>
      </c>
      <c r="B97">
        <v>157</v>
      </c>
      <c r="C97">
        <v>115</v>
      </c>
      <c r="D97">
        <v>23</v>
      </c>
      <c r="E97">
        <v>79</v>
      </c>
      <c r="F97">
        <v>100</v>
      </c>
      <c r="G97">
        <v>56</v>
      </c>
      <c r="H97">
        <v>265.09999999999997</v>
      </c>
      <c r="I97" s="14">
        <v>320.42267417821529</v>
      </c>
      <c r="J97" s="231">
        <v>241.41773174636222</v>
      </c>
      <c r="K97" s="231">
        <v>306.40420108063813</v>
      </c>
      <c r="L97" s="16">
        <v>130.5</v>
      </c>
      <c r="M97" s="16">
        <v>94</v>
      </c>
      <c r="N97" s="230">
        <v>78</v>
      </c>
      <c r="O97" s="230">
        <v>54</v>
      </c>
      <c r="Q97">
        <v>40</v>
      </c>
      <c r="R97">
        <v>1</v>
      </c>
      <c r="S97">
        <v>32</v>
      </c>
      <c r="T97" s="15">
        <v>0</v>
      </c>
      <c r="U97" s="15">
        <v>0</v>
      </c>
      <c r="V97">
        <v>6</v>
      </c>
    </row>
    <row r="98" spans="1:22">
      <c r="A98" t="s">
        <v>82</v>
      </c>
      <c r="B98">
        <v>98</v>
      </c>
      <c r="C98">
        <v>147</v>
      </c>
      <c r="D98">
        <v>124</v>
      </c>
      <c r="E98">
        <v>68</v>
      </c>
      <c r="F98">
        <v>18</v>
      </c>
      <c r="G98">
        <v>80</v>
      </c>
      <c r="H98">
        <v>265.09999999999997</v>
      </c>
      <c r="I98" s="14">
        <v>363.99293596339811</v>
      </c>
      <c r="J98" s="231">
        <v>254.59742886143019</v>
      </c>
      <c r="K98" s="231">
        <v>364.16281049637468</v>
      </c>
      <c r="L98" s="16">
        <v>130.5</v>
      </c>
      <c r="M98" s="16">
        <v>95</v>
      </c>
      <c r="N98" s="230">
        <v>112</v>
      </c>
      <c r="O98" s="230">
        <v>77</v>
      </c>
      <c r="Q98">
        <v>56</v>
      </c>
      <c r="R98">
        <v>1</v>
      </c>
      <c r="S98">
        <v>57</v>
      </c>
      <c r="T98" s="15">
        <v>0</v>
      </c>
      <c r="U98" s="15">
        <v>0</v>
      </c>
      <c r="V98">
        <v>29</v>
      </c>
    </row>
    <row r="99" spans="1:22">
      <c r="A99" t="s">
        <v>139</v>
      </c>
      <c r="B99">
        <v>134</v>
      </c>
      <c r="C99">
        <v>114</v>
      </c>
      <c r="D99">
        <v>22</v>
      </c>
      <c r="E99">
        <v>145</v>
      </c>
      <c r="F99">
        <v>89</v>
      </c>
      <c r="G99">
        <v>100</v>
      </c>
      <c r="H99">
        <v>268.70000000000005</v>
      </c>
      <c r="I99" s="14">
        <v>380.97174656141152</v>
      </c>
      <c r="J99" s="231">
        <v>253.87284074554853</v>
      </c>
      <c r="K99" s="231">
        <v>336.80762939136986</v>
      </c>
      <c r="L99" s="16">
        <v>133</v>
      </c>
      <c r="M99" s="16">
        <v>96</v>
      </c>
      <c r="N99" s="230">
        <v>119</v>
      </c>
      <c r="O99" s="230">
        <v>83</v>
      </c>
      <c r="Q99">
        <v>54</v>
      </c>
      <c r="R99">
        <v>1</v>
      </c>
      <c r="S99">
        <v>42</v>
      </c>
      <c r="T99" s="15">
        <v>0</v>
      </c>
      <c r="U99" s="15">
        <v>0</v>
      </c>
      <c r="V99">
        <v>-42</v>
      </c>
    </row>
    <row r="100" spans="1:22">
      <c r="A100" t="s">
        <v>486</v>
      </c>
      <c r="B100">
        <v>6</v>
      </c>
      <c r="C100">
        <v>163</v>
      </c>
      <c r="D100">
        <v>154</v>
      </c>
      <c r="E100">
        <v>164</v>
      </c>
      <c r="F100">
        <v>32</v>
      </c>
      <c r="G100">
        <v>162</v>
      </c>
      <c r="H100">
        <v>275.10000000000002</v>
      </c>
      <c r="I100" s="14">
        <v>484.04012037139057</v>
      </c>
      <c r="J100" s="231" t="e">
        <v>#N/A</v>
      </c>
      <c r="K100" s="231" t="e">
        <v>#N/A</v>
      </c>
      <c r="L100" s="16">
        <v>134</v>
      </c>
      <c r="M100" s="16">
        <v>97</v>
      </c>
      <c r="N100" s="230">
        <v>151</v>
      </c>
      <c r="O100" s="230">
        <v>109</v>
      </c>
      <c r="Q100">
        <v>114</v>
      </c>
      <c r="S100">
        <v>114</v>
      </c>
      <c r="T100" s="15"/>
      <c r="U100" s="15"/>
    </row>
    <row r="101" spans="1:22">
      <c r="A101" t="s">
        <v>71</v>
      </c>
      <c r="B101">
        <v>72</v>
      </c>
      <c r="C101">
        <v>57</v>
      </c>
      <c r="D101">
        <v>147</v>
      </c>
      <c r="E101">
        <v>72</v>
      </c>
      <c r="F101">
        <v>132</v>
      </c>
      <c r="G101">
        <v>144</v>
      </c>
      <c r="H101">
        <v>276.60000000000002</v>
      </c>
      <c r="I101" s="14">
        <v>445.93869361180361</v>
      </c>
      <c r="J101" s="231">
        <v>282.98391579011104</v>
      </c>
      <c r="K101" s="231">
        <v>436.65485478087237</v>
      </c>
      <c r="L101" s="16">
        <v>138</v>
      </c>
      <c r="M101" s="16">
        <v>99</v>
      </c>
      <c r="N101" s="230">
        <v>142</v>
      </c>
      <c r="O101" s="230">
        <v>102</v>
      </c>
      <c r="Q101">
        <v>76</v>
      </c>
      <c r="R101">
        <v>1</v>
      </c>
      <c r="S101">
        <v>80</v>
      </c>
      <c r="T101" s="15"/>
      <c r="U101" s="15"/>
      <c r="V101">
        <v>-24</v>
      </c>
    </row>
    <row r="102" spans="1:22">
      <c r="A102" t="s">
        <v>223</v>
      </c>
      <c r="B102">
        <v>77</v>
      </c>
      <c r="C102">
        <v>140</v>
      </c>
      <c r="D102">
        <v>73</v>
      </c>
      <c r="E102">
        <v>101</v>
      </c>
      <c r="F102">
        <v>136</v>
      </c>
      <c r="G102">
        <v>144</v>
      </c>
      <c r="H102">
        <v>283.39999999999998</v>
      </c>
      <c r="I102" s="14">
        <v>444.08602711264888</v>
      </c>
      <c r="J102" s="231" t="e">
        <v>#N/A</v>
      </c>
      <c r="K102" s="231" t="e">
        <v>#N/A</v>
      </c>
      <c r="L102" s="16">
        <v>139</v>
      </c>
      <c r="M102" s="16">
        <v>100</v>
      </c>
      <c r="N102" s="230">
        <v>140</v>
      </c>
      <c r="O102" s="230">
        <v>100</v>
      </c>
      <c r="Q102">
        <v>109</v>
      </c>
      <c r="S102">
        <v>109</v>
      </c>
      <c r="T102" s="15"/>
      <c r="U102" s="15"/>
    </row>
    <row r="103" spans="1:22">
      <c r="A103" t="s">
        <v>60</v>
      </c>
      <c r="B103">
        <v>68</v>
      </c>
      <c r="C103">
        <v>76</v>
      </c>
      <c r="D103">
        <v>118</v>
      </c>
      <c r="E103">
        <v>94</v>
      </c>
      <c r="F103">
        <v>158</v>
      </c>
      <c r="G103">
        <v>139</v>
      </c>
      <c r="H103">
        <v>284.79999999999995</v>
      </c>
      <c r="I103" s="14">
        <v>447.91285857323373</v>
      </c>
      <c r="J103" s="231">
        <v>274.915227163699</v>
      </c>
      <c r="K103" s="231">
        <v>427.09970647481373</v>
      </c>
      <c r="L103" s="16">
        <v>140</v>
      </c>
      <c r="M103" s="16">
        <v>101</v>
      </c>
      <c r="N103" s="230">
        <v>143</v>
      </c>
      <c r="O103" s="230">
        <v>103</v>
      </c>
      <c r="Q103">
        <v>71</v>
      </c>
      <c r="R103">
        <v>1</v>
      </c>
      <c r="S103">
        <v>75</v>
      </c>
      <c r="T103" s="15"/>
      <c r="U103" s="15"/>
      <c r="V103">
        <v>-36</v>
      </c>
    </row>
    <row r="104" spans="1:22">
      <c r="A104" t="s">
        <v>69</v>
      </c>
      <c r="B104">
        <v>137</v>
      </c>
      <c r="C104">
        <v>72</v>
      </c>
      <c r="D104">
        <v>116</v>
      </c>
      <c r="E104">
        <v>39</v>
      </c>
      <c r="F104">
        <v>115</v>
      </c>
      <c r="G104">
        <v>102</v>
      </c>
      <c r="H104">
        <v>286.19999999999993</v>
      </c>
      <c r="I104" s="14">
        <v>397.59081767117374</v>
      </c>
      <c r="J104" s="231">
        <v>209.73029903028265</v>
      </c>
      <c r="K104" s="231">
        <v>254.74140152979732</v>
      </c>
      <c r="L104" s="16">
        <v>141</v>
      </c>
      <c r="M104" s="16">
        <v>102</v>
      </c>
      <c r="N104" s="230">
        <v>126</v>
      </c>
      <c r="O104" s="230">
        <v>90</v>
      </c>
      <c r="Q104">
        <v>19</v>
      </c>
      <c r="R104">
        <v>1</v>
      </c>
      <c r="S104">
        <v>13</v>
      </c>
      <c r="T104" s="15">
        <v>0</v>
      </c>
      <c r="U104" s="15">
        <v>0</v>
      </c>
      <c r="V104">
        <v>-87</v>
      </c>
    </row>
    <row r="105" spans="1:22">
      <c r="A105" t="s">
        <v>124</v>
      </c>
      <c r="B105">
        <v>155</v>
      </c>
      <c r="C105">
        <v>52</v>
      </c>
      <c r="D105">
        <v>74</v>
      </c>
      <c r="E105">
        <v>74</v>
      </c>
      <c r="F105">
        <v>149</v>
      </c>
      <c r="G105">
        <v>125</v>
      </c>
      <c r="H105">
        <v>290.39999999999998</v>
      </c>
      <c r="I105" s="14">
        <v>422.37839466993194</v>
      </c>
      <c r="J105" s="231">
        <v>208.7133355889016</v>
      </c>
      <c r="K105" s="231">
        <v>266.60855774305037</v>
      </c>
      <c r="L105" s="16">
        <v>143</v>
      </c>
      <c r="M105" s="16">
        <v>103</v>
      </c>
      <c r="N105" s="230">
        <v>134</v>
      </c>
      <c r="O105" s="230">
        <v>96</v>
      </c>
      <c r="Q105">
        <v>18</v>
      </c>
      <c r="R105">
        <v>1</v>
      </c>
      <c r="S105">
        <v>17</v>
      </c>
      <c r="T105" s="15">
        <v>0</v>
      </c>
      <c r="U105" s="15">
        <v>0</v>
      </c>
      <c r="V105">
        <v>-106</v>
      </c>
    </row>
    <row r="106" spans="1:22">
      <c r="A106" t="s">
        <v>107</v>
      </c>
      <c r="B106">
        <v>114</v>
      </c>
      <c r="C106">
        <v>113</v>
      </c>
      <c r="D106">
        <v>149</v>
      </c>
      <c r="E106">
        <v>131</v>
      </c>
      <c r="F106">
        <v>5</v>
      </c>
      <c r="G106">
        <v>101</v>
      </c>
      <c r="H106">
        <v>295.5</v>
      </c>
      <c r="I106" s="14">
        <v>429.08964389003523</v>
      </c>
      <c r="J106" s="231">
        <v>357.48576299430408</v>
      </c>
      <c r="K106" s="231">
        <v>537.33809685266726</v>
      </c>
      <c r="L106" s="16">
        <v>145</v>
      </c>
      <c r="M106" s="16">
        <v>104</v>
      </c>
      <c r="N106" s="230">
        <v>136</v>
      </c>
      <c r="O106" s="230">
        <v>97</v>
      </c>
      <c r="Q106">
        <v>88</v>
      </c>
      <c r="S106">
        <v>87</v>
      </c>
      <c r="T106" s="15"/>
      <c r="U106" s="15"/>
      <c r="V106">
        <v>75</v>
      </c>
    </row>
    <row r="107" spans="1:22">
      <c r="A107" t="s">
        <v>424</v>
      </c>
      <c r="B107">
        <v>103</v>
      </c>
      <c r="C107">
        <v>122</v>
      </c>
      <c r="D107">
        <v>107</v>
      </c>
      <c r="E107">
        <v>124</v>
      </c>
      <c r="F107">
        <v>88</v>
      </c>
      <c r="G107">
        <v>87</v>
      </c>
      <c r="H107">
        <v>301.60000000000002</v>
      </c>
      <c r="I107" s="14">
        <v>413.1108780343182</v>
      </c>
      <c r="J107" s="231" t="e">
        <v>#N/A</v>
      </c>
      <c r="K107" s="231" t="e">
        <v>#N/A</v>
      </c>
      <c r="L107" s="16">
        <v>146</v>
      </c>
      <c r="M107" s="16">
        <v>105</v>
      </c>
      <c r="N107" s="230">
        <v>132</v>
      </c>
      <c r="O107" s="230">
        <v>94</v>
      </c>
      <c r="Q107">
        <v>107</v>
      </c>
      <c r="S107">
        <v>107</v>
      </c>
      <c r="T107" s="15"/>
      <c r="U107" s="15"/>
    </row>
    <row r="108" spans="1:22">
      <c r="A108" t="s">
        <v>44</v>
      </c>
      <c r="B108">
        <v>165</v>
      </c>
      <c r="C108">
        <v>95</v>
      </c>
      <c r="D108">
        <v>66</v>
      </c>
      <c r="E108">
        <v>68</v>
      </c>
      <c r="F108">
        <v>139</v>
      </c>
      <c r="G108">
        <v>143</v>
      </c>
      <c r="H108">
        <v>305.89999999999998</v>
      </c>
      <c r="I108" s="14">
        <v>452.13853241953183</v>
      </c>
      <c r="J108" s="231">
        <v>179.04541526747073</v>
      </c>
      <c r="K108" s="231">
        <v>232.01977376238017</v>
      </c>
      <c r="L108" s="16">
        <v>148</v>
      </c>
      <c r="M108" s="16">
        <v>106</v>
      </c>
      <c r="N108" s="230">
        <v>144</v>
      </c>
      <c r="O108" s="230">
        <v>104</v>
      </c>
      <c r="Q108">
        <v>6</v>
      </c>
      <c r="R108">
        <v>1</v>
      </c>
      <c r="S108">
        <v>11</v>
      </c>
      <c r="T108" s="15">
        <v>0</v>
      </c>
      <c r="U108" s="15">
        <v>0</v>
      </c>
      <c r="V108">
        <v>-131</v>
      </c>
    </row>
    <row r="109" spans="1:22">
      <c r="A109" t="s">
        <v>401</v>
      </c>
      <c r="B109">
        <v>32</v>
      </c>
      <c r="C109">
        <v>122</v>
      </c>
      <c r="D109">
        <v>146</v>
      </c>
      <c r="E109">
        <v>140</v>
      </c>
      <c r="F109">
        <v>131</v>
      </c>
      <c r="G109">
        <v>152</v>
      </c>
      <c r="H109">
        <v>307.10000000000002</v>
      </c>
      <c r="I109" s="14">
        <v>497.84944154089749</v>
      </c>
      <c r="J109" s="231" t="e">
        <v>#N/A</v>
      </c>
      <c r="K109" s="231" t="e">
        <v>#N/A</v>
      </c>
      <c r="L109" s="16">
        <v>149</v>
      </c>
      <c r="M109" s="16">
        <v>107</v>
      </c>
      <c r="N109" s="230">
        <v>155</v>
      </c>
      <c r="O109" s="230">
        <v>113</v>
      </c>
      <c r="Q109">
        <v>116</v>
      </c>
      <c r="S109">
        <v>116</v>
      </c>
      <c r="T109" s="15"/>
      <c r="U109" s="15"/>
    </row>
    <row r="110" spans="1:22">
      <c r="A110" t="s">
        <v>190</v>
      </c>
      <c r="B110">
        <v>150</v>
      </c>
      <c r="C110">
        <v>102</v>
      </c>
      <c r="D110">
        <v>133</v>
      </c>
      <c r="E110">
        <v>136</v>
      </c>
      <c r="F110">
        <v>19</v>
      </c>
      <c r="G110">
        <v>127</v>
      </c>
      <c r="H110">
        <v>313</v>
      </c>
      <c r="I110" s="14">
        <v>467.79324670833591</v>
      </c>
      <c r="J110" s="231">
        <v>320.00171409237981</v>
      </c>
      <c r="K110" s="231">
        <v>496.94980993975423</v>
      </c>
      <c r="L110" s="16">
        <v>151</v>
      </c>
      <c r="M110" s="16">
        <v>108</v>
      </c>
      <c r="N110" s="230">
        <v>149</v>
      </c>
      <c r="O110" s="230">
        <v>108</v>
      </c>
      <c r="Q110">
        <v>84</v>
      </c>
      <c r="R110">
        <v>1</v>
      </c>
      <c r="S110">
        <v>85</v>
      </c>
      <c r="T110" s="15"/>
      <c r="U110" s="15"/>
      <c r="V110">
        <v>37</v>
      </c>
    </row>
    <row r="111" spans="1:22">
      <c r="A111" t="s">
        <v>222</v>
      </c>
      <c r="B111">
        <v>163</v>
      </c>
      <c r="C111">
        <v>99</v>
      </c>
      <c r="D111">
        <v>142</v>
      </c>
      <c r="E111">
        <v>43</v>
      </c>
      <c r="F111">
        <v>67</v>
      </c>
      <c r="G111">
        <v>136</v>
      </c>
      <c r="H111">
        <v>313.7</v>
      </c>
      <c r="I111" s="14">
        <v>461.71526376747875</v>
      </c>
      <c r="J111" s="231" t="e">
        <v>#N/A</v>
      </c>
      <c r="K111" s="231" t="e">
        <v>#N/A</v>
      </c>
      <c r="L111" s="16">
        <v>152</v>
      </c>
      <c r="M111" s="16">
        <v>109</v>
      </c>
      <c r="N111" s="230">
        <v>147</v>
      </c>
      <c r="O111" s="230">
        <v>107</v>
      </c>
      <c r="Q111">
        <v>113</v>
      </c>
      <c r="S111">
        <v>113</v>
      </c>
      <c r="T111" s="15">
        <v>0</v>
      </c>
      <c r="U111" s="15">
        <v>0</v>
      </c>
    </row>
    <row r="112" spans="1:22">
      <c r="A112" t="s">
        <v>101</v>
      </c>
      <c r="B112">
        <v>127</v>
      </c>
      <c r="C112">
        <v>65</v>
      </c>
      <c r="D112">
        <v>80</v>
      </c>
      <c r="E112">
        <v>160</v>
      </c>
      <c r="F112">
        <v>147</v>
      </c>
      <c r="G112">
        <v>150</v>
      </c>
      <c r="H112">
        <v>314.89999999999998</v>
      </c>
      <c r="I112" s="14">
        <v>489.26414346031362</v>
      </c>
      <c r="J112" s="231">
        <v>273.85073502702784</v>
      </c>
      <c r="K112" s="231">
        <v>391.11076896017119</v>
      </c>
      <c r="L112" s="16">
        <v>153</v>
      </c>
      <c r="M112" s="16">
        <v>110</v>
      </c>
      <c r="N112" s="230">
        <v>153</v>
      </c>
      <c r="O112" s="230">
        <v>112</v>
      </c>
      <c r="Q112">
        <v>70</v>
      </c>
      <c r="R112">
        <v>1</v>
      </c>
      <c r="S112">
        <v>61</v>
      </c>
      <c r="T112" s="15">
        <v>0</v>
      </c>
      <c r="U112" s="15">
        <v>0</v>
      </c>
      <c r="V112">
        <v>-84</v>
      </c>
    </row>
    <row r="113" spans="1:22">
      <c r="A113" t="s">
        <v>490</v>
      </c>
      <c r="B113">
        <v>103</v>
      </c>
      <c r="C113">
        <v>140</v>
      </c>
      <c r="D113">
        <v>156</v>
      </c>
      <c r="E113">
        <v>102</v>
      </c>
      <c r="F113">
        <v>52</v>
      </c>
      <c r="G113">
        <v>108</v>
      </c>
      <c r="H113">
        <v>318.09999999999997</v>
      </c>
      <c r="I113" s="14">
        <v>454.74843797116318</v>
      </c>
      <c r="J113" s="231" t="e">
        <v>#N/A</v>
      </c>
      <c r="K113" s="231" t="e">
        <v>#N/A</v>
      </c>
      <c r="L113" s="16">
        <v>154</v>
      </c>
      <c r="M113" s="16">
        <v>111</v>
      </c>
      <c r="N113" s="230">
        <v>146</v>
      </c>
      <c r="O113" s="230">
        <v>106</v>
      </c>
      <c r="Q113">
        <v>112</v>
      </c>
      <c r="S113">
        <v>112</v>
      </c>
      <c r="T113" s="15"/>
      <c r="U113" s="15"/>
    </row>
    <row r="114" spans="1:22">
      <c r="A114" t="s">
        <v>37</v>
      </c>
      <c r="B114">
        <v>58</v>
      </c>
      <c r="C114">
        <v>163</v>
      </c>
      <c r="D114">
        <v>160</v>
      </c>
      <c r="E114">
        <v>161</v>
      </c>
      <c r="F114">
        <v>43</v>
      </c>
      <c r="G114">
        <v>161</v>
      </c>
      <c r="H114">
        <v>320</v>
      </c>
      <c r="I114" s="14">
        <v>523.66624281302688</v>
      </c>
      <c r="J114" s="231">
        <v>344.02548953267603</v>
      </c>
      <c r="K114" s="231">
        <v>569.50639870899954</v>
      </c>
      <c r="L114" s="16">
        <v>155</v>
      </c>
      <c r="M114" s="16">
        <v>112</v>
      </c>
      <c r="N114" s="230">
        <v>159</v>
      </c>
      <c r="O114" s="230">
        <v>116</v>
      </c>
      <c r="Q114">
        <v>87</v>
      </c>
      <c r="S114">
        <v>88</v>
      </c>
      <c r="T114" s="15"/>
      <c r="U114" s="15"/>
      <c r="V114">
        <v>23</v>
      </c>
    </row>
    <row r="115" spans="1:22">
      <c r="A115" t="s">
        <v>410</v>
      </c>
      <c r="B115">
        <v>115</v>
      </c>
      <c r="C115">
        <v>151</v>
      </c>
      <c r="D115">
        <v>120</v>
      </c>
      <c r="E115">
        <v>126</v>
      </c>
      <c r="F115">
        <v>83</v>
      </c>
      <c r="G115">
        <v>127</v>
      </c>
      <c r="H115">
        <v>331.9</v>
      </c>
      <c r="I115" s="14">
        <v>484.24622447492425</v>
      </c>
      <c r="J115" s="231" t="e">
        <v>#N/A</v>
      </c>
      <c r="K115" s="231" t="e">
        <v>#N/A</v>
      </c>
      <c r="L115" s="16">
        <v>156</v>
      </c>
      <c r="M115" s="16">
        <v>114</v>
      </c>
      <c r="N115" s="230">
        <v>152</v>
      </c>
      <c r="O115" s="230">
        <v>110</v>
      </c>
      <c r="Q115">
        <v>115</v>
      </c>
      <c r="S115">
        <v>115</v>
      </c>
      <c r="T115" s="15"/>
      <c r="U115" s="15"/>
    </row>
    <row r="116" spans="1:22">
      <c r="A116" t="s">
        <v>247</v>
      </c>
      <c r="B116">
        <v>133</v>
      </c>
      <c r="C116">
        <v>102</v>
      </c>
      <c r="D116">
        <v>122</v>
      </c>
      <c r="E116">
        <v>162</v>
      </c>
      <c r="F116">
        <v>84</v>
      </c>
      <c r="G116">
        <v>152</v>
      </c>
      <c r="H116">
        <v>336.3</v>
      </c>
      <c r="I116" s="14">
        <v>519.21648122473152</v>
      </c>
      <c r="J116" s="231" t="e">
        <v>#N/A</v>
      </c>
      <c r="K116" s="231" t="e">
        <v>#N/A</v>
      </c>
      <c r="L116" s="16">
        <v>158</v>
      </c>
      <c r="M116" s="16">
        <v>115</v>
      </c>
      <c r="N116" s="230">
        <v>158</v>
      </c>
      <c r="O116" s="230">
        <v>115</v>
      </c>
      <c r="Q116">
        <v>117</v>
      </c>
      <c r="S116">
        <v>117</v>
      </c>
      <c r="T116" s="15"/>
      <c r="U116" s="15"/>
    </row>
    <row r="117" spans="1:22">
      <c r="A117" t="s">
        <v>443</v>
      </c>
      <c r="B117">
        <v>164</v>
      </c>
      <c r="C117">
        <v>149</v>
      </c>
      <c r="D117">
        <v>93</v>
      </c>
      <c r="E117">
        <v>127</v>
      </c>
      <c r="F117">
        <v>85</v>
      </c>
      <c r="G117">
        <v>137</v>
      </c>
      <c r="H117">
        <v>347.7</v>
      </c>
      <c r="I117" s="14">
        <v>501.76595624164958</v>
      </c>
      <c r="J117" s="231">
        <v>294.63799026068983</v>
      </c>
      <c r="K117" s="231">
        <v>421.23302251694145</v>
      </c>
      <c r="L117" s="16">
        <v>159</v>
      </c>
      <c r="M117" s="16">
        <v>116</v>
      </c>
      <c r="N117" s="230">
        <v>157</v>
      </c>
      <c r="O117" s="230">
        <v>114</v>
      </c>
      <c r="Q117">
        <v>79</v>
      </c>
      <c r="R117">
        <v>1</v>
      </c>
      <c r="S117">
        <v>72</v>
      </c>
      <c r="T117" s="15">
        <v>0</v>
      </c>
      <c r="U117" s="15">
        <v>0</v>
      </c>
      <c r="V117">
        <v>-38</v>
      </c>
    </row>
    <row r="118" spans="1:22">
      <c r="A118" t="s">
        <v>242</v>
      </c>
      <c r="B118">
        <v>148</v>
      </c>
      <c r="C118">
        <v>102</v>
      </c>
      <c r="D118">
        <v>159</v>
      </c>
      <c r="E118">
        <v>158</v>
      </c>
      <c r="F118">
        <v>68</v>
      </c>
      <c r="G118">
        <v>159</v>
      </c>
      <c r="H118">
        <v>363.09999999999997</v>
      </c>
      <c r="I118" s="14">
        <v>556.99900762126379</v>
      </c>
      <c r="J118" s="231" t="e">
        <v>#N/A</v>
      </c>
      <c r="K118" s="231" t="e">
        <v>#N/A</v>
      </c>
      <c r="L118" s="16">
        <v>161</v>
      </c>
      <c r="M118" s="16">
        <v>117</v>
      </c>
      <c r="N118" s="230">
        <v>162</v>
      </c>
      <c r="O118" s="230">
        <v>118</v>
      </c>
      <c r="Q118">
        <v>118</v>
      </c>
      <c r="S118">
        <v>118</v>
      </c>
      <c r="T118" s="15"/>
      <c r="U118" s="15"/>
    </row>
    <row r="119" spans="1:22">
      <c r="A119" t="s">
        <v>163</v>
      </c>
      <c r="B119">
        <v>161</v>
      </c>
      <c r="C119">
        <v>102</v>
      </c>
      <c r="D119">
        <v>98</v>
      </c>
      <c r="E119">
        <v>159</v>
      </c>
      <c r="F119">
        <v>143</v>
      </c>
      <c r="G119">
        <v>159</v>
      </c>
      <c r="H119">
        <v>367.4</v>
      </c>
      <c r="I119" s="14">
        <v>549.79333116131932</v>
      </c>
      <c r="J119" s="231">
        <v>316.19138516749626</v>
      </c>
      <c r="K119" s="231">
        <v>464.21158780033875</v>
      </c>
      <c r="L119" s="16">
        <v>162</v>
      </c>
      <c r="M119" s="16">
        <v>118</v>
      </c>
      <c r="N119" s="230">
        <v>161</v>
      </c>
      <c r="O119" s="230">
        <v>117</v>
      </c>
      <c r="Q119">
        <v>83</v>
      </c>
      <c r="R119">
        <v>1</v>
      </c>
      <c r="S119">
        <v>82</v>
      </c>
      <c r="T119" s="15"/>
      <c r="U119" s="15"/>
      <c r="V119">
        <v>-30</v>
      </c>
    </row>
    <row r="120" spans="1:22">
      <c r="A120" t="s">
        <v>522</v>
      </c>
      <c r="B120">
        <v>152</v>
      </c>
      <c r="C120">
        <v>151</v>
      </c>
      <c r="D120">
        <v>132</v>
      </c>
      <c r="E120">
        <v>147</v>
      </c>
      <c r="F120">
        <v>150</v>
      </c>
      <c r="G120">
        <v>164</v>
      </c>
      <c r="H120">
        <v>408.09999999999997</v>
      </c>
      <c r="I120" s="14">
        <v>598.55027459263795</v>
      </c>
      <c r="J120" s="231" t="e">
        <v>#N/A</v>
      </c>
      <c r="K120" s="231" t="e">
        <v>#N/A</v>
      </c>
      <c r="L120" s="16">
        <v>163</v>
      </c>
      <c r="M120" s="16">
        <v>119</v>
      </c>
      <c r="N120" s="230">
        <v>163</v>
      </c>
      <c r="O120" s="230">
        <v>119</v>
      </c>
      <c r="Q120">
        <v>119</v>
      </c>
      <c r="S120">
        <v>119</v>
      </c>
      <c r="T120" s="15"/>
      <c r="U120" s="15"/>
    </row>
  </sheetData>
  <conditionalFormatting sqref="V2:V1048576">
    <cfRule type="cellIs" dxfId="185" priority="1" operator="between">
      <formula>-5</formula>
      <formula>-9</formula>
    </cfRule>
    <cfRule type="cellIs" dxfId="184" priority="2" operator="lessThanOrEqual">
      <formula>-10</formula>
    </cfRule>
    <cfRule type="cellIs" dxfId="183" priority="3" operator="between">
      <formula>5</formula>
      <formula>9</formula>
    </cfRule>
    <cfRule type="cellIs" dxfId="182" priority="4" operator="greaterThanOrEqual">
      <formula>10</formula>
    </cfRule>
  </conditionalFormatting>
  <conditionalFormatting sqref="T2:U1048576">
    <cfRule type="cellIs" dxfId="181" priority="5" operator="greaterThanOrEqual">
      <formula>20%</formula>
    </cfRule>
    <cfRule type="cellIs" dxfId="180" priority="6" operator="between">
      <formula>10%</formula>
      <formula>20%</formula>
    </cfRule>
    <cfRule type="cellIs" dxfId="179" priority="7" operator="between">
      <formula>0.01%</formula>
      <formula>10%</formula>
    </cfRule>
  </conditionalFormatting>
  <conditionalFormatting sqref="B2:G1048576 L2:S1048576">
    <cfRule type="cellIs" dxfId="178" priority="8" operator="between">
      <formula>101</formula>
      <formula>250</formula>
    </cfRule>
    <cfRule type="cellIs" dxfId="177" priority="9" operator="between">
      <formula>51</formula>
      <formula>100.5</formula>
    </cfRule>
    <cfRule type="cellIs" dxfId="176" priority="10" operator="between">
      <formula>21</formula>
      <formula>50.5</formula>
    </cfRule>
    <cfRule type="cellIs" dxfId="175"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D8C30-E413-4FE0-AA52-BBAD34D3105E}">
  <sheetPr codeName="Sheet70">
    <tabColor rgb="FFFF0000"/>
  </sheetPr>
  <dimension ref="A1:W105"/>
  <sheetViews>
    <sheetView zoomScale="80" zoomScaleNormal="80" workbookViewId="0">
      <selection activeCell="Q10" sqref="A10:Q10"/>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3" bestFit="1" customWidth="1"/>
    <col min="20" max="20" width="14.5703125" bestFit="1" customWidth="1"/>
  </cols>
  <sheetData>
    <row r="1" spans="1:23"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532</v>
      </c>
      <c r="S1" s="138" t="s">
        <v>802</v>
      </c>
      <c r="T1" s="173" t="s">
        <v>540</v>
      </c>
      <c r="V1" t="s">
        <v>213</v>
      </c>
      <c r="W1" t="s">
        <v>214</v>
      </c>
    </row>
    <row r="2" spans="1:23">
      <c r="A2" t="s">
        <v>58</v>
      </c>
      <c r="B2">
        <v>54</v>
      </c>
      <c r="C2">
        <v>114</v>
      </c>
      <c r="D2">
        <v>57</v>
      </c>
      <c r="E2">
        <v>113</v>
      </c>
      <c r="F2">
        <v>20</v>
      </c>
      <c r="G2">
        <v>24</v>
      </c>
      <c r="H2">
        <v>177.10000000000002</v>
      </c>
      <c r="I2" s="14">
        <v>234.29744589366524</v>
      </c>
      <c r="J2">
        <v>28</v>
      </c>
      <c r="K2">
        <v>10</v>
      </c>
      <c r="L2">
        <v>11</v>
      </c>
      <c r="M2">
        <v>11</v>
      </c>
      <c r="N2" s="143">
        <v>0</v>
      </c>
      <c r="O2" s="143">
        <v>0</v>
      </c>
      <c r="P2">
        <v>-3</v>
      </c>
      <c r="Q2">
        <v>2</v>
      </c>
      <c r="R2" s="14">
        <f>('Raw Data'!$Z$14*VLOOKUP(Table219[[#This Row],[Player]],'2023'!$A$2:$I$192,8,FALSE))+('Raw Data'!$Z$16*Table219[[#This Row],[DGSCORE]])</f>
        <v>187.22502773162773</v>
      </c>
      <c r="S2" s="16" t="e">
        <f>_xlfn.RANK.AVG(Table219[[#This Row],[BDG]],Table219[BDG],1)</f>
        <v>#N/A</v>
      </c>
      <c r="T2" s="14">
        <f>('Raw Data'!$Z$14*VLOOKUP(Table219[[#This Row],[Player]],'2023'!$A$2:$I$192,8,FALSE))+('Raw Data'!$Z$16*Table219[[#This Row],[RADARSCORE]])</f>
        <v>219.88324795361339</v>
      </c>
    </row>
    <row r="3" spans="1:23">
      <c r="A3" t="s">
        <v>10</v>
      </c>
      <c r="B3">
        <v>8</v>
      </c>
      <c r="C3">
        <v>179</v>
      </c>
      <c r="D3">
        <v>98</v>
      </c>
      <c r="E3">
        <v>6</v>
      </c>
      <c r="F3">
        <v>144</v>
      </c>
      <c r="G3">
        <v>40</v>
      </c>
      <c r="H3">
        <v>222.1</v>
      </c>
      <c r="I3" s="14">
        <v>288.1366775064082</v>
      </c>
      <c r="J3">
        <v>71</v>
      </c>
      <c r="K3">
        <v>43</v>
      </c>
      <c r="L3">
        <v>27</v>
      </c>
      <c r="M3">
        <v>27</v>
      </c>
      <c r="N3" s="143">
        <v>0</v>
      </c>
      <c r="O3" s="143">
        <v>1</v>
      </c>
      <c r="P3">
        <v>-5</v>
      </c>
      <c r="Q3">
        <v>2</v>
      </c>
      <c r="R3" s="14">
        <f>('Raw Data'!$Z$14*VLOOKUP(Table219[[#This Row],[Player]],'2023'!$A$2:$I$192,8,FALSE))+('Raw Data'!$Z$16*Table219[[#This Row],[DGSCORE]])</f>
        <v>229.65086813884102</v>
      </c>
      <c r="S3" s="16" t="e">
        <f>_xlfn.RANK.AVG(Table219[[#This Row],[BDG]],Table219[BDG],1)</f>
        <v>#N/A</v>
      </c>
      <c r="T3" s="14">
        <f>('Raw Data'!$Z$14*VLOOKUP(Table219[[#This Row],[Player]],'2023'!$A$2:$I$192,8,FALSE))+('Raw Data'!$Z$16*Table219[[#This Row],[RADARSCORE]])</f>
        <v>267.35605449876869</v>
      </c>
    </row>
    <row r="4" spans="1:23">
      <c r="A4" t="s">
        <v>166</v>
      </c>
      <c r="B4">
        <v>168</v>
      </c>
      <c r="C4">
        <v>1</v>
      </c>
      <c r="D4">
        <v>18</v>
      </c>
      <c r="E4">
        <v>29</v>
      </c>
      <c r="F4">
        <v>120</v>
      </c>
      <c r="G4">
        <v>25</v>
      </c>
      <c r="H4">
        <v>156.69999999999999</v>
      </c>
      <c r="I4" s="14">
        <v>218.40889867758122</v>
      </c>
      <c r="J4">
        <v>19</v>
      </c>
      <c r="K4">
        <v>5</v>
      </c>
      <c r="L4">
        <v>5</v>
      </c>
      <c r="M4">
        <v>5</v>
      </c>
      <c r="N4" s="143">
        <v>0</v>
      </c>
      <c r="O4" s="143">
        <v>0</v>
      </c>
      <c r="P4">
        <v>-3</v>
      </c>
      <c r="Q4">
        <v>4</v>
      </c>
      <c r="R4" s="14">
        <f>('Raw Data'!$Z$14*VLOOKUP(Table219[[#This Row],[Player]],'2023'!$A$2:$I$192,8,FALSE))+('Raw Data'!$Z$16*Table219[[#This Row],[DGSCORE]])</f>
        <v>190.67890662478462</v>
      </c>
      <c r="S4" s="16" t="e">
        <f>_xlfn.RANK.AVG(Table219[[#This Row],[BDG]],Table219[BDG],1)</f>
        <v>#N/A</v>
      </c>
      <c r="T4" s="14">
        <f>('Raw Data'!$Z$14*VLOOKUP(Table219[[#This Row],[Player]],'2023'!$A$2:$I$192,8,FALSE))+('Raw Data'!$Z$16*Table219[[#This Row],[RADARSCORE]])</f>
        <v>225.91304638716599</v>
      </c>
    </row>
    <row r="5" spans="1:23">
      <c r="A5" t="s">
        <v>48</v>
      </c>
      <c r="B5">
        <v>47</v>
      </c>
      <c r="C5">
        <v>162</v>
      </c>
      <c r="D5">
        <v>142</v>
      </c>
      <c r="E5">
        <v>161</v>
      </c>
      <c r="F5">
        <v>132</v>
      </c>
      <c r="G5">
        <v>149</v>
      </c>
      <c r="H5">
        <v>321.09999999999997</v>
      </c>
      <c r="I5" s="14">
        <v>532.24773799849322</v>
      </c>
      <c r="J5">
        <v>171</v>
      </c>
      <c r="K5">
        <v>98</v>
      </c>
      <c r="L5">
        <v>98</v>
      </c>
      <c r="M5">
        <v>98</v>
      </c>
      <c r="N5" s="143"/>
      <c r="O5" s="143"/>
      <c r="P5">
        <v>1</v>
      </c>
      <c r="Q5">
        <v>4</v>
      </c>
      <c r="R5" s="14">
        <f>('Raw Data'!$Z$14*VLOOKUP(Table219[[#This Row],[Player]],'2023'!$A$2:$I$192,8,FALSE))+('Raw Data'!$Z$16*Table219[[#This Row],[DGSCORE]])</f>
        <v>334.82885116152914</v>
      </c>
      <c r="S5" s="16" t="e">
        <f>_xlfn.RANK.AVG(Table219[[#This Row],[BDG]],Table219[BDG],1)</f>
        <v>#N/A</v>
      </c>
      <c r="T5" s="14">
        <f>('Raw Data'!$Z$14*VLOOKUP(Table219[[#This Row],[Player]],'2023'!$A$2:$I$192,8,FALSE))+('Raw Data'!$Z$16*Table219[[#This Row],[RADARSCORE]])</f>
        <v>455.3885932826829</v>
      </c>
    </row>
    <row r="6" spans="1:23">
      <c r="A6" t="s">
        <v>126</v>
      </c>
      <c r="B6">
        <v>129</v>
      </c>
      <c r="C6">
        <v>88</v>
      </c>
      <c r="D6">
        <v>47</v>
      </c>
      <c r="E6">
        <v>99</v>
      </c>
      <c r="F6">
        <v>29</v>
      </c>
      <c r="G6">
        <v>47</v>
      </c>
      <c r="H6">
        <v>192.6</v>
      </c>
      <c r="I6" s="14">
        <v>278.62777044388258</v>
      </c>
      <c r="J6">
        <v>42</v>
      </c>
      <c r="K6">
        <v>21</v>
      </c>
      <c r="L6">
        <v>24</v>
      </c>
      <c r="M6">
        <v>24</v>
      </c>
      <c r="N6" s="143">
        <v>0</v>
      </c>
      <c r="O6" s="143">
        <v>1</v>
      </c>
      <c r="P6">
        <v>1</v>
      </c>
      <c r="Q6">
        <v>6</v>
      </c>
      <c r="R6" s="14">
        <f>('Raw Data'!$Z$14*VLOOKUP(Table219[[#This Row],[Player]],'2023'!$A$2:$I$192,8,FALSE))+('Raw Data'!$Z$16*Table219[[#This Row],[DGSCORE]])</f>
        <v>215.98194963447932</v>
      </c>
      <c r="S6" s="16" t="e">
        <f>_xlfn.RANK.AVG(Table219[[#This Row],[BDG]],Table219[BDG],1)</f>
        <v>#N/A</v>
      </c>
      <c r="T6" s="14">
        <f>('Raw Data'!$Z$14*VLOOKUP(Table219[[#This Row],[Player]],'2023'!$A$2:$I$192,8,FALSE))+('Raw Data'!$Z$16*Table219[[#This Row],[RADARSCORE]])</f>
        <v>265.10151832266627</v>
      </c>
    </row>
    <row r="7" spans="1:23">
      <c r="A7" t="s">
        <v>158</v>
      </c>
      <c r="B7">
        <v>155</v>
      </c>
      <c r="C7">
        <v>114</v>
      </c>
      <c r="D7">
        <v>36</v>
      </c>
      <c r="E7">
        <v>48</v>
      </c>
      <c r="F7">
        <v>52</v>
      </c>
      <c r="G7">
        <v>46</v>
      </c>
      <c r="H7">
        <v>199.7</v>
      </c>
      <c r="I7" s="14">
        <v>279.00829742224818</v>
      </c>
      <c r="J7">
        <v>48</v>
      </c>
      <c r="K7">
        <v>25</v>
      </c>
      <c r="L7">
        <v>26</v>
      </c>
      <c r="M7">
        <v>26</v>
      </c>
      <c r="N7" s="143">
        <v>0</v>
      </c>
      <c r="O7" s="143">
        <v>0</v>
      </c>
      <c r="P7">
        <v>-9</v>
      </c>
      <c r="Q7">
        <v>7</v>
      </c>
      <c r="R7" s="14">
        <f>('Raw Data'!$Z$14*VLOOKUP(Table219[[#This Row],[Player]],'2023'!$A$2:$I$192,8,FALSE))+('Raw Data'!$Z$16*Table219[[#This Row],[DGSCORE]])</f>
        <v>228.53058743921116</v>
      </c>
      <c r="S7" s="16" t="e">
        <f>_xlfn.RANK.AVG(Table219[[#This Row],[BDG]],Table219[BDG],1)</f>
        <v>#N/A</v>
      </c>
      <c r="T7" s="14">
        <f>('Raw Data'!$Z$14*VLOOKUP(Table219[[#This Row],[Player]],'2023'!$A$2:$I$192,8,FALSE))+('Raw Data'!$Z$16*Table219[[#This Row],[RADARSCORE]])</f>
        <v>273.81351576194902</v>
      </c>
    </row>
    <row r="8" spans="1:23">
      <c r="A8" t="s">
        <v>90</v>
      </c>
      <c r="B8">
        <v>86</v>
      </c>
      <c r="C8">
        <v>79</v>
      </c>
      <c r="D8">
        <v>62</v>
      </c>
      <c r="E8">
        <v>158</v>
      </c>
      <c r="F8">
        <v>84</v>
      </c>
      <c r="G8">
        <v>78</v>
      </c>
      <c r="H8">
        <v>222.70000000000002</v>
      </c>
      <c r="I8" s="14">
        <v>351.80909894775567</v>
      </c>
      <c r="J8">
        <v>74.5</v>
      </c>
      <c r="K8">
        <v>46</v>
      </c>
      <c r="L8">
        <v>49</v>
      </c>
      <c r="M8">
        <v>49</v>
      </c>
      <c r="N8" s="143">
        <v>0</v>
      </c>
      <c r="O8" s="143">
        <v>0</v>
      </c>
      <c r="P8">
        <v>-23</v>
      </c>
      <c r="Q8">
        <v>7</v>
      </c>
      <c r="R8" s="14">
        <f>('Raw Data'!$Z$14*VLOOKUP(Table219[[#This Row],[Player]],'2023'!$A$2:$I$192,8,FALSE))+('Raw Data'!$Z$16*Table219[[#This Row],[DGSCORE]])</f>
        <v>241.06233842854522</v>
      </c>
      <c r="S8" s="16" t="e">
        <f>_xlfn.RANK.AVG(Table219[[#This Row],[BDG]],Table219[BDG],1)</f>
        <v>#N/A</v>
      </c>
      <c r="T8" s="14">
        <f>('Raw Data'!$Z$14*VLOOKUP(Table219[[#This Row],[Player]],'2023'!$A$2:$I$192,8,FALSE))+('Raw Data'!$Z$16*Table219[[#This Row],[RADARSCORE]])</f>
        <v>314.7801997808985</v>
      </c>
    </row>
    <row r="9" spans="1:23">
      <c r="A9" t="s">
        <v>183</v>
      </c>
      <c r="B9">
        <v>184</v>
      </c>
      <c r="C9">
        <v>34</v>
      </c>
      <c r="D9">
        <v>25</v>
      </c>
      <c r="E9">
        <v>73</v>
      </c>
      <c r="F9">
        <v>12</v>
      </c>
      <c r="G9">
        <v>43</v>
      </c>
      <c r="H9">
        <v>160.5</v>
      </c>
      <c r="I9" s="14">
        <v>240.56267239173542</v>
      </c>
      <c r="J9">
        <v>20</v>
      </c>
      <c r="K9">
        <v>6</v>
      </c>
      <c r="L9">
        <v>12</v>
      </c>
      <c r="M9">
        <v>12</v>
      </c>
      <c r="N9" s="143">
        <v>0</v>
      </c>
      <c r="O9" s="143">
        <v>0</v>
      </c>
      <c r="P9">
        <v>-11</v>
      </c>
      <c r="Q9">
        <v>10</v>
      </c>
      <c r="R9" s="14">
        <f>('Raw Data'!$Z$14*VLOOKUP(Table219[[#This Row],[Player]],'2023'!$A$2:$I$192,8,FALSE))+('Raw Data'!$Z$16*Table219[[#This Row],[DGSCORE]])</f>
        <v>192.59118959007438</v>
      </c>
      <c r="S9" s="16" t="e">
        <f>_xlfn.RANK.AVG(Table219[[#This Row],[BDG]],Table219[BDG],1)</f>
        <v>#N/A</v>
      </c>
      <c r="T9" s="14">
        <f>('Raw Data'!$Z$14*VLOOKUP(Table219[[#This Row],[Player]],'2023'!$A$2:$I$192,8,FALSE))+('Raw Data'!$Z$16*Table219[[#This Row],[RADARSCORE]])</f>
        <v>238.3048459549222</v>
      </c>
    </row>
    <row r="10" spans="1:23">
      <c r="A10" t="s">
        <v>33</v>
      </c>
      <c r="B10">
        <v>30</v>
      </c>
      <c r="C10">
        <v>149</v>
      </c>
      <c r="D10">
        <v>103</v>
      </c>
      <c r="E10">
        <v>144</v>
      </c>
      <c r="F10">
        <v>102</v>
      </c>
      <c r="G10">
        <v>87</v>
      </c>
      <c r="H10">
        <v>260</v>
      </c>
      <c r="I10" s="14">
        <v>396.07616805727156</v>
      </c>
      <c r="J10">
        <v>118</v>
      </c>
      <c r="K10">
        <v>76</v>
      </c>
      <c r="L10">
        <v>64</v>
      </c>
      <c r="M10">
        <v>64</v>
      </c>
      <c r="N10" s="143"/>
      <c r="O10" s="143"/>
      <c r="P10">
        <v>7</v>
      </c>
      <c r="Q10">
        <v>10</v>
      </c>
      <c r="R10" s="14">
        <f>('Raw Data'!$Z$14*VLOOKUP(Table219[[#This Row],[Player]],'2023'!$A$2:$I$192,8,FALSE))+('Raw Data'!$Z$16*Table219[[#This Row],[DGSCORE]])</f>
        <v>269.52439049331088</v>
      </c>
      <c r="S10" s="16" t="e">
        <f>_xlfn.RANK.AVG(Table219[[#This Row],[BDG]],Table219[BDG],1)</f>
        <v>#N/A</v>
      </c>
      <c r="T10" s="14">
        <f>('Raw Data'!$Z$14*VLOOKUP(Table219[[#This Row],[Player]],'2023'!$A$2:$I$192,8,FALSE))+('Raw Data'!$Z$16*Table219[[#This Row],[RADARSCORE]])</f>
        <v>347.22026299153526</v>
      </c>
    </row>
    <row r="11" spans="1:23">
      <c r="A11" s="20" t="s">
        <v>51</v>
      </c>
      <c r="B11">
        <v>48</v>
      </c>
      <c r="C11">
        <v>101</v>
      </c>
      <c r="D11">
        <v>30</v>
      </c>
      <c r="E11">
        <v>63</v>
      </c>
      <c r="F11">
        <v>7</v>
      </c>
      <c r="G11">
        <v>7</v>
      </c>
      <c r="H11">
        <v>123.5</v>
      </c>
      <c r="I11" s="14">
        <v>149.71119891137695</v>
      </c>
      <c r="J11">
        <v>9</v>
      </c>
      <c r="K11">
        <v>1</v>
      </c>
      <c r="L11">
        <v>1</v>
      </c>
      <c r="M11">
        <v>1</v>
      </c>
      <c r="N11" s="143">
        <v>0</v>
      </c>
      <c r="O11" s="143">
        <v>0</v>
      </c>
      <c r="P11">
        <v>0</v>
      </c>
      <c r="Q11">
        <v>13</v>
      </c>
      <c r="R11" s="14">
        <f>('Raw Data'!$Z$14*VLOOKUP(Table219[[#This Row],[Player]],'2023'!$A$2:$I$192,8,FALSE))+('Raw Data'!$Z$16*Table219[[#This Row],[DGSCORE]])</f>
        <v>132.03762931607594</v>
      </c>
      <c r="S11" s="16" t="e">
        <f>_xlfn.RANK.AVG(Table219[[#This Row],[BDG]],Table219[BDG],1)</f>
        <v>#N/A</v>
      </c>
      <c r="T11" s="14">
        <f>('Raw Data'!$Z$14*VLOOKUP(Table219[[#This Row],[Player]],'2023'!$A$2:$I$192,8,FALSE))+('Raw Data'!$Z$16*Table219[[#This Row],[RADARSCORE]])</f>
        <v>147.00352670809261</v>
      </c>
    </row>
    <row r="12" spans="1:23">
      <c r="A12" s="200" t="s">
        <v>132</v>
      </c>
      <c r="B12">
        <v>133</v>
      </c>
      <c r="C12">
        <v>79</v>
      </c>
      <c r="D12">
        <v>34</v>
      </c>
      <c r="E12">
        <v>15</v>
      </c>
      <c r="F12">
        <v>70</v>
      </c>
      <c r="G12">
        <v>30</v>
      </c>
      <c r="H12">
        <v>163.80000000000001</v>
      </c>
      <c r="I12" s="14">
        <v>221.03765925998493</v>
      </c>
      <c r="J12">
        <v>22</v>
      </c>
      <c r="K12">
        <v>8</v>
      </c>
      <c r="L12">
        <v>6</v>
      </c>
      <c r="M12">
        <v>6</v>
      </c>
      <c r="N12" s="143">
        <v>1</v>
      </c>
      <c r="O12" s="143">
        <v>1</v>
      </c>
      <c r="P12">
        <v>0</v>
      </c>
      <c r="Q12">
        <v>18</v>
      </c>
      <c r="R12" s="14">
        <f>('Raw Data'!$Z$14*VLOOKUP(Table219[[#This Row],[Player]],'2023'!$A$2:$I$192,8,FALSE))+('Raw Data'!$Z$16*Table219[[#This Row],[DGSCORE]])</f>
        <v>189.62740124762669</v>
      </c>
      <c r="S12" s="16" t="e">
        <f>_xlfn.RANK.AVG(Table219[[#This Row],[BDG]],Table219[BDG],1)</f>
        <v>#N/A</v>
      </c>
      <c r="T12" s="14">
        <f>('Raw Data'!$Z$14*VLOOKUP(Table219[[#This Row],[Player]],'2023'!$A$2:$I$192,8,FALSE))+('Raw Data'!$Z$16*Table219[[#This Row],[RADARSCORE]])</f>
        <v>222.3085822321537</v>
      </c>
    </row>
    <row r="13" spans="1:23">
      <c r="A13" s="20" t="s">
        <v>439</v>
      </c>
      <c r="B13">
        <v>6</v>
      </c>
      <c r="C13">
        <v>27</v>
      </c>
      <c r="D13">
        <v>107</v>
      </c>
      <c r="E13">
        <v>39</v>
      </c>
      <c r="F13">
        <v>42</v>
      </c>
      <c r="G13">
        <v>10</v>
      </c>
      <c r="H13">
        <v>123.8</v>
      </c>
      <c r="I13" s="14">
        <v>160.54508784295001</v>
      </c>
      <c r="J13">
        <v>10</v>
      </c>
      <c r="K13">
        <v>2</v>
      </c>
      <c r="L13">
        <v>2</v>
      </c>
      <c r="M13">
        <v>2</v>
      </c>
      <c r="N13" s="143">
        <v>0</v>
      </c>
      <c r="O13" s="143">
        <v>0</v>
      </c>
      <c r="Q13">
        <v>30</v>
      </c>
      <c r="R13" s="14">
        <f>('Raw Data'!$Z$14*VLOOKUP(Table219[[#This Row],[Player]],'2023'!$A$2:$I$192,8,FALSE))+('Raw Data'!$Z$16*Table219[[#This Row],[DGSCORE]])</f>
        <v>126.63157555206539</v>
      </c>
      <c r="S13" s="16" t="e">
        <f>_xlfn.RANK.AVG(Table219[[#This Row],[BDG]],Table219[BDG],1)</f>
        <v>#N/A</v>
      </c>
      <c r="T13" s="14">
        <f>('Raw Data'!$Z$14*VLOOKUP(Table219[[#This Row],[Player]],'2023'!$A$2:$I$192,8,FALSE))+('Raw Data'!$Z$16*Table219[[#This Row],[RADARSCORE]])</f>
        <v>147.61204333522869</v>
      </c>
    </row>
    <row r="14" spans="1:23">
      <c r="A14" s="20" t="s">
        <v>143</v>
      </c>
      <c r="B14">
        <v>144</v>
      </c>
      <c r="C14">
        <v>54</v>
      </c>
      <c r="D14">
        <v>17</v>
      </c>
      <c r="E14">
        <v>20</v>
      </c>
      <c r="F14">
        <v>26</v>
      </c>
      <c r="G14">
        <v>14</v>
      </c>
      <c r="H14">
        <v>129.30000000000001</v>
      </c>
      <c r="I14" s="14">
        <v>166.68407813398841</v>
      </c>
      <c r="J14">
        <v>11</v>
      </c>
      <c r="K14">
        <v>3</v>
      </c>
      <c r="L14">
        <v>3</v>
      </c>
      <c r="M14">
        <v>3</v>
      </c>
      <c r="N14" s="143">
        <v>0</v>
      </c>
      <c r="O14" s="143">
        <v>0</v>
      </c>
      <c r="P14">
        <v>-1</v>
      </c>
      <c r="Q14">
        <v>57</v>
      </c>
      <c r="R14" s="14">
        <f>('Raw Data'!$Z$14*VLOOKUP(Table219[[#This Row],[Player]],'2023'!$A$2:$I$192,8,FALSE))+('Raw Data'!$Z$16*Table219[[#This Row],[DGSCORE]])</f>
        <v>155.12740124762672</v>
      </c>
      <c r="S14" s="16" t="e">
        <f>_xlfn.RANK.AVG(Table219[[#This Row],[BDG]],Table219[BDG],1)</f>
        <v>#N/A</v>
      </c>
      <c r="T14" s="14">
        <f>('Raw Data'!$Z$14*VLOOKUP(Table219[[#This Row],[Player]],'2023'!$A$2:$I$192,8,FALSE))+('Raw Data'!$Z$16*Table219[[#This Row],[RADARSCORE]])</f>
        <v>176.4727154905994</v>
      </c>
    </row>
    <row r="15" spans="1:23">
      <c r="A15" s="200" t="s">
        <v>114</v>
      </c>
      <c r="B15">
        <v>113</v>
      </c>
      <c r="C15">
        <v>163</v>
      </c>
      <c r="D15">
        <v>19</v>
      </c>
      <c r="E15">
        <v>16</v>
      </c>
      <c r="F15">
        <v>13</v>
      </c>
      <c r="G15">
        <v>16</v>
      </c>
      <c r="H15">
        <v>162.9</v>
      </c>
      <c r="I15" s="14">
        <v>195.33989730385093</v>
      </c>
      <c r="J15">
        <v>21</v>
      </c>
      <c r="K15">
        <v>7</v>
      </c>
      <c r="L15">
        <v>4</v>
      </c>
      <c r="M15">
        <v>4</v>
      </c>
      <c r="N15" s="143">
        <v>0</v>
      </c>
      <c r="O15" s="143">
        <v>0</v>
      </c>
      <c r="P15">
        <v>9</v>
      </c>
      <c r="Q15">
        <v>61</v>
      </c>
      <c r="R15" s="14">
        <f>('Raw Data'!$Z$14*VLOOKUP(Table219[[#This Row],[Player]],'2023'!$A$2:$I$192,8,FALSE))+('Raw Data'!$Z$16*Table219[[#This Row],[DGSCORE]])</f>
        <v>182.84973684409704</v>
      </c>
      <c r="S15" s="16" t="e">
        <f>_xlfn.RANK.AVG(Table219[[#This Row],[BDG]],Table219[BDG],1)</f>
        <v>#N/A</v>
      </c>
      <c r="T15" s="14">
        <f>('Raw Data'!$Z$14*VLOOKUP(Table219[[#This Row],[Player]],'2023'!$A$2:$I$192,8,FALSE))+('Raw Data'!$Z$16*Table219[[#This Row],[RADARSCORE]])</f>
        <v>201.37205534232734</v>
      </c>
    </row>
    <row r="16" spans="1:23">
      <c r="A16" t="s">
        <v>188</v>
      </c>
      <c r="B16">
        <v>189</v>
      </c>
      <c r="C16">
        <v>9</v>
      </c>
      <c r="D16">
        <v>67</v>
      </c>
      <c r="E16">
        <v>3</v>
      </c>
      <c r="F16">
        <v>22</v>
      </c>
      <c r="G16">
        <v>36</v>
      </c>
      <c r="H16">
        <v>155.9</v>
      </c>
      <c r="I16" s="14">
        <v>225.75021599241072</v>
      </c>
      <c r="J16">
        <v>17</v>
      </c>
      <c r="K16">
        <v>4</v>
      </c>
      <c r="L16">
        <v>8</v>
      </c>
      <c r="M16">
        <v>8</v>
      </c>
      <c r="N16" s="143">
        <v>0</v>
      </c>
      <c r="O16" s="143">
        <v>0</v>
      </c>
      <c r="P16">
        <v>3</v>
      </c>
      <c r="R16" s="14">
        <f>('Raw Data'!$Z$14*VLOOKUP(Table219[[#This Row],[Player]],'2023'!$A$2:$I$192,8,FALSE))+('Raw Data'!$Z$16*Table219[[#This Row],[DGSCORE]])</f>
        <v>189.27826938646771</v>
      </c>
      <c r="S16" s="16" t="e">
        <f>_xlfn.RANK.AVG(Table219[[#This Row],[BDG]],Table219[BDG],1)</f>
        <v>#N/A</v>
      </c>
      <c r="T16" s="14">
        <f>('Raw Data'!$Z$14*VLOOKUP(Table219[[#This Row],[Player]],'2023'!$A$2:$I$192,8,FALSE))+('Raw Data'!$Z$16*Table219[[#This Row],[RADARSCORE]])</f>
        <v>229.16088478636377</v>
      </c>
    </row>
    <row r="17" spans="1:20">
      <c r="A17" t="s">
        <v>129</v>
      </c>
      <c r="B17">
        <v>127</v>
      </c>
      <c r="C17">
        <v>100</v>
      </c>
      <c r="D17">
        <v>12</v>
      </c>
      <c r="E17">
        <v>13</v>
      </c>
      <c r="F17">
        <v>119</v>
      </c>
      <c r="G17">
        <v>23</v>
      </c>
      <c r="H17">
        <v>174.70000000000002</v>
      </c>
      <c r="I17" s="14">
        <v>224.32301137114413</v>
      </c>
      <c r="J17">
        <v>24</v>
      </c>
      <c r="K17">
        <v>9</v>
      </c>
      <c r="L17">
        <v>7</v>
      </c>
      <c r="M17">
        <v>7</v>
      </c>
      <c r="N17" s="143">
        <v>0</v>
      </c>
      <c r="O17" s="143">
        <v>0</v>
      </c>
      <c r="P17">
        <v>0</v>
      </c>
      <c r="R17" s="14">
        <f>('Raw Data'!$Z$14*VLOOKUP(Table219[[#This Row],[Player]],'2023'!$A$2:$I$192,8,FALSE))+('Raw Data'!$Z$16*Table219[[#This Row],[DGSCORE]])</f>
        <v>201.59996774462115</v>
      </c>
      <c r="S17" s="16" t="e">
        <f>_xlfn.RANK.AVG(Table219[[#This Row],[BDG]],Table219[BDG],1)</f>
        <v>#N/A</v>
      </c>
      <c r="T17" s="14">
        <f>('Raw Data'!$Z$14*VLOOKUP(Table219[[#This Row],[Player]],'2023'!$A$2:$I$192,8,FALSE))+('Raw Data'!$Z$16*Table219[[#This Row],[RADARSCORE]])</f>
        <v>229.93338732509949</v>
      </c>
    </row>
    <row r="18" spans="1:20">
      <c r="A18" t="s">
        <v>52</v>
      </c>
      <c r="B18">
        <v>50</v>
      </c>
      <c r="C18">
        <v>126</v>
      </c>
      <c r="D18">
        <v>62</v>
      </c>
      <c r="E18">
        <v>7</v>
      </c>
      <c r="F18">
        <v>110</v>
      </c>
      <c r="G18">
        <v>28</v>
      </c>
      <c r="H18">
        <v>178.20000000000002</v>
      </c>
      <c r="I18" s="14">
        <v>229.64148322401081</v>
      </c>
      <c r="J18">
        <v>30</v>
      </c>
      <c r="K18">
        <v>11</v>
      </c>
      <c r="L18">
        <v>9</v>
      </c>
      <c r="M18">
        <v>9</v>
      </c>
      <c r="N18" s="143"/>
      <c r="O18" s="143"/>
      <c r="P18">
        <v>0</v>
      </c>
      <c r="R18" s="14">
        <f>('Raw Data'!$Z$14*VLOOKUP(Table219[[#This Row],[Player]],'2023'!$A$2:$I$192,8,FALSE))+('Raw Data'!$Z$16*Table219[[#This Row],[DGSCORE]])</f>
        <v>191.49982456273136</v>
      </c>
      <c r="S18" s="16" t="e">
        <f>_xlfn.RANK.AVG(Table219[[#This Row],[BDG]],Table219[BDG],1)</f>
        <v>#N/A</v>
      </c>
      <c r="T18" s="14">
        <f>('Raw Data'!$Z$14*VLOOKUP(Table219[[#This Row],[Player]],'2023'!$A$2:$I$192,8,FALSE))+('Raw Data'!$Z$16*Table219[[#This Row],[RADARSCORE]])</f>
        <v>220.87154320203146</v>
      </c>
    </row>
    <row r="19" spans="1:20">
      <c r="A19" t="s">
        <v>130</v>
      </c>
      <c r="B19">
        <v>134</v>
      </c>
      <c r="C19">
        <v>39</v>
      </c>
      <c r="D19">
        <v>50</v>
      </c>
      <c r="E19">
        <v>85</v>
      </c>
      <c r="F19">
        <v>59</v>
      </c>
      <c r="G19">
        <v>34</v>
      </c>
      <c r="H19">
        <v>179.1</v>
      </c>
      <c r="I19" s="14">
        <v>254.29145044371631</v>
      </c>
      <c r="J19">
        <v>32</v>
      </c>
      <c r="K19">
        <v>12</v>
      </c>
      <c r="L19">
        <v>15</v>
      </c>
      <c r="M19">
        <v>15</v>
      </c>
      <c r="N19" s="143">
        <v>0</v>
      </c>
      <c r="O19" s="143">
        <v>0</v>
      </c>
      <c r="P19">
        <v>6</v>
      </c>
      <c r="R19" s="14">
        <f>('Raw Data'!$Z$14*VLOOKUP(Table219[[#This Row],[Player]],'2023'!$A$2:$I$192,8,FALSE))+('Raw Data'!$Z$16*Table219[[#This Row],[DGSCORE]])</f>
        <v>204.62708262846826</v>
      </c>
      <c r="S19" s="16" t="e">
        <f>_xlfn.RANK.AVG(Table219[[#This Row],[BDG]],Table219[BDG],1)</f>
        <v>#N/A</v>
      </c>
      <c r="T19" s="14">
        <f>('Raw Data'!$Z$14*VLOOKUP(Table219[[#This Row],[Player]],'2023'!$A$2:$I$192,8,FALSE))+('Raw Data'!$Z$16*Table219[[#This Row],[RADARSCORE]])</f>
        <v>247.55940082964469</v>
      </c>
    </row>
    <row r="20" spans="1:20">
      <c r="A20" t="s">
        <v>141</v>
      </c>
      <c r="B20">
        <v>140</v>
      </c>
      <c r="C20">
        <v>46</v>
      </c>
      <c r="D20">
        <v>64</v>
      </c>
      <c r="E20">
        <v>83</v>
      </c>
      <c r="F20">
        <v>21</v>
      </c>
      <c r="G20">
        <v>39</v>
      </c>
      <c r="H20">
        <v>179.4</v>
      </c>
      <c r="I20" s="14">
        <v>258.73405884837047</v>
      </c>
      <c r="J20">
        <v>33</v>
      </c>
      <c r="K20">
        <v>13</v>
      </c>
      <c r="L20">
        <v>16</v>
      </c>
      <c r="M20">
        <v>16</v>
      </c>
      <c r="N20" s="143">
        <v>0</v>
      </c>
      <c r="O20" s="143">
        <v>0</v>
      </c>
      <c r="P20">
        <v>4</v>
      </c>
      <c r="R20" s="14">
        <f>('Raw Data'!$Z$14*VLOOKUP(Table219[[#This Row],[Player]],'2023'!$A$2:$I$192,8,FALSE))+('Raw Data'!$Z$16*Table219[[#This Row],[DGSCORE]])</f>
        <v>204.32644539015138</v>
      </c>
      <c r="S20" s="16" t="e">
        <f>_xlfn.RANK.AVG(Table219[[#This Row],[BDG]],Table219[BDG],1)</f>
        <v>#N/A</v>
      </c>
      <c r="T20" s="14">
        <f>('Raw Data'!$Z$14*VLOOKUP(Table219[[#This Row],[Player]],'2023'!$A$2:$I$192,8,FALSE))+('Raw Data'!$Z$16*Table219[[#This Row],[RADARSCORE]])</f>
        <v>249.62408280198207</v>
      </c>
    </row>
    <row r="21" spans="1:20">
      <c r="A21" t="s">
        <v>64</v>
      </c>
      <c r="B21">
        <v>59</v>
      </c>
      <c r="C21">
        <v>172</v>
      </c>
      <c r="D21">
        <v>69</v>
      </c>
      <c r="E21">
        <v>22</v>
      </c>
      <c r="F21">
        <v>17</v>
      </c>
      <c r="G21">
        <v>32</v>
      </c>
      <c r="H21">
        <v>179.40000000000003</v>
      </c>
      <c r="I21" s="14">
        <v>230.65198223940442</v>
      </c>
      <c r="J21">
        <v>34</v>
      </c>
      <c r="K21">
        <v>14</v>
      </c>
      <c r="L21">
        <v>10</v>
      </c>
      <c r="M21">
        <v>10</v>
      </c>
      <c r="N21" s="143">
        <v>0</v>
      </c>
      <c r="O21" s="143">
        <v>1</v>
      </c>
      <c r="P21">
        <v>10</v>
      </c>
      <c r="R21" s="14">
        <f>('Raw Data'!$Z$14*VLOOKUP(Table219[[#This Row],[Player]],'2023'!$A$2:$I$192,8,FALSE))+('Raw Data'!$Z$16*Table219[[#This Row],[DGSCORE]])</f>
        <v>190.254372949584</v>
      </c>
      <c r="S21" s="16" t="e">
        <f>_xlfn.RANK.AVG(Table219[[#This Row],[BDG]],Table219[BDG],1)</f>
        <v>#N/A</v>
      </c>
      <c r="T21" s="14">
        <f>('Raw Data'!$Z$14*VLOOKUP(Table219[[#This Row],[Player]],'2023'!$A$2:$I$192,8,FALSE))+('Raw Data'!$Z$16*Table219[[#This Row],[RADARSCORE]])</f>
        <v>219.51789156717217</v>
      </c>
    </row>
    <row r="22" spans="1:20">
      <c r="A22" t="s">
        <v>128</v>
      </c>
      <c r="B22">
        <v>130</v>
      </c>
      <c r="C22">
        <v>11</v>
      </c>
      <c r="D22">
        <v>44</v>
      </c>
      <c r="E22">
        <v>44</v>
      </c>
      <c r="F22">
        <v>163</v>
      </c>
      <c r="G22">
        <v>45</v>
      </c>
      <c r="H22">
        <v>184.10000000000002</v>
      </c>
      <c r="I22" s="14">
        <v>271.5078244788935</v>
      </c>
      <c r="J22">
        <v>36</v>
      </c>
      <c r="K22">
        <v>15</v>
      </c>
      <c r="L22">
        <v>19</v>
      </c>
      <c r="M22">
        <v>19</v>
      </c>
      <c r="N22" s="143">
        <v>0</v>
      </c>
      <c r="O22" s="143">
        <v>0</v>
      </c>
      <c r="P22">
        <v>-19</v>
      </c>
      <c r="R22" s="14">
        <f>('Raw Data'!$Z$14*VLOOKUP(Table219[[#This Row],[Player]],'2023'!$A$2:$I$192,8,FALSE))+('Raw Data'!$Z$16*Table219[[#This Row],[DGSCORE]])</f>
        <v>213.40251669788876</v>
      </c>
      <c r="S22" s="16" t="e">
        <f>_xlfn.RANK.AVG(Table219[[#This Row],[BDG]],Table219[BDG],1)</f>
        <v>#N/A</v>
      </c>
      <c r="T22" s="14">
        <f>('Raw Data'!$Z$14*VLOOKUP(Table219[[#This Row],[Player]],'2023'!$A$2:$I$192,8,FALSE))+('Raw Data'!$Z$16*Table219[[#This Row],[RADARSCORE]])</f>
        <v>263.31005953228873</v>
      </c>
    </row>
    <row r="23" spans="1:20">
      <c r="A23" t="s">
        <v>112</v>
      </c>
      <c r="B23">
        <v>115</v>
      </c>
      <c r="C23">
        <v>41</v>
      </c>
      <c r="D23">
        <v>51</v>
      </c>
      <c r="E23">
        <v>32</v>
      </c>
      <c r="F23">
        <v>149</v>
      </c>
      <c r="G23">
        <v>52</v>
      </c>
      <c r="H23">
        <v>186.1</v>
      </c>
      <c r="I23" s="14">
        <v>276.17431923782499</v>
      </c>
      <c r="J23">
        <v>37</v>
      </c>
      <c r="K23">
        <v>16</v>
      </c>
      <c r="L23">
        <v>23</v>
      </c>
      <c r="M23">
        <v>23</v>
      </c>
      <c r="N23" s="143"/>
      <c r="O23" s="143"/>
      <c r="P23">
        <v>10</v>
      </c>
      <c r="R23" s="14">
        <f>('Raw Data'!$Z$14*VLOOKUP(Table219[[#This Row],[Player]],'2023'!$A$2:$I$192,8,FALSE))+('Raw Data'!$Z$16*Table219[[#This Row],[DGSCORE]])</f>
        <v>212.22771986678515</v>
      </c>
      <c r="S23" s="16" t="e">
        <f>_xlfn.RANK.AVG(Table219[[#This Row],[BDG]],Table219[BDG],1)</f>
        <v>#N/A</v>
      </c>
      <c r="T23" s="14">
        <f>('Raw Data'!$Z$14*VLOOKUP(Table219[[#This Row],[Player]],'2023'!$A$2:$I$192,8,FALSE))+('Raw Data'!$Z$16*Table219[[#This Row],[RADARSCORE]])</f>
        <v>263.65776028298012</v>
      </c>
    </row>
    <row r="24" spans="1:20">
      <c r="A24" t="s">
        <v>152</v>
      </c>
      <c r="B24">
        <v>151</v>
      </c>
      <c r="C24">
        <v>6</v>
      </c>
      <c r="D24">
        <v>35</v>
      </c>
      <c r="E24">
        <v>56</v>
      </c>
      <c r="F24">
        <v>152</v>
      </c>
      <c r="G24">
        <v>48</v>
      </c>
      <c r="H24">
        <v>186.20000000000002</v>
      </c>
      <c r="I24" s="14">
        <v>278.72096931006922</v>
      </c>
      <c r="J24">
        <v>38</v>
      </c>
      <c r="K24">
        <v>17</v>
      </c>
      <c r="L24">
        <v>25</v>
      </c>
      <c r="M24">
        <v>25</v>
      </c>
      <c r="N24" s="143"/>
      <c r="O24" s="143"/>
      <c r="P24">
        <v>-4</v>
      </c>
      <c r="R24" s="14">
        <f>('Raw Data'!$Z$14*VLOOKUP(Table219[[#This Row],[Player]],'2023'!$A$2:$I$192,8,FALSE))+('Raw Data'!$Z$16*Table219[[#This Row],[DGSCORE]])</f>
        <v>218.63441086911263</v>
      </c>
      <c r="S24" s="16" t="e">
        <f>_xlfn.RANK.AVG(Table219[[#This Row],[BDG]],Table219[BDG],1)</f>
        <v>#N/A</v>
      </c>
      <c r="T24" s="14">
        <f>('Raw Data'!$Z$14*VLOOKUP(Table219[[#This Row],[Player]],'2023'!$A$2:$I$192,8,FALSE))+('Raw Data'!$Z$16*Table219[[#This Row],[RADARSCORE]])</f>
        <v>271.46142339860853</v>
      </c>
    </row>
    <row r="25" spans="1:20">
      <c r="A25" t="s">
        <v>162</v>
      </c>
      <c r="B25">
        <v>163</v>
      </c>
      <c r="C25">
        <v>83</v>
      </c>
      <c r="D25">
        <v>14</v>
      </c>
      <c r="E25">
        <v>43</v>
      </c>
      <c r="F25">
        <v>93</v>
      </c>
      <c r="G25">
        <v>49</v>
      </c>
      <c r="H25">
        <v>187.2</v>
      </c>
      <c r="I25" s="14">
        <v>270.24324837841232</v>
      </c>
      <c r="J25">
        <v>39</v>
      </c>
      <c r="K25">
        <v>18</v>
      </c>
      <c r="L25">
        <v>18</v>
      </c>
      <c r="M25">
        <v>18</v>
      </c>
      <c r="N25" s="143"/>
      <c r="O25" s="143"/>
      <c r="P25">
        <v>2</v>
      </c>
      <c r="R25" s="14">
        <f>('Raw Data'!$Z$14*VLOOKUP(Table219[[#This Row],[Player]],'2023'!$A$2:$I$192,8,FALSE))+('Raw Data'!$Z$16*Table219[[#This Row],[DGSCORE]])</f>
        <v>219.16248161043507</v>
      </c>
      <c r="S25" s="16" t="e">
        <f>_xlfn.RANK.AVG(Table219[[#This Row],[BDG]],Table219[BDG],1)</f>
        <v>#N/A</v>
      </c>
      <c r="T25" s="14">
        <f>('Raw Data'!$Z$14*VLOOKUP(Table219[[#This Row],[Player]],'2023'!$A$2:$I$192,8,FALSE))+('Raw Data'!$Z$16*Table219[[#This Row],[RADARSCORE]])</f>
        <v>266.57796758393738</v>
      </c>
    </row>
    <row r="26" spans="1:20">
      <c r="A26" t="s">
        <v>95</v>
      </c>
      <c r="B26">
        <v>96</v>
      </c>
      <c r="C26">
        <v>155</v>
      </c>
      <c r="D26">
        <v>74</v>
      </c>
      <c r="E26">
        <v>11</v>
      </c>
      <c r="F26">
        <v>18</v>
      </c>
      <c r="G26">
        <v>50</v>
      </c>
      <c r="H26">
        <v>188.9</v>
      </c>
      <c r="I26" s="14">
        <v>261.66955759608084</v>
      </c>
      <c r="J26">
        <v>40</v>
      </c>
      <c r="K26">
        <v>19</v>
      </c>
      <c r="L26">
        <v>17</v>
      </c>
      <c r="M26">
        <v>17</v>
      </c>
      <c r="N26" s="143"/>
      <c r="O26" s="143"/>
      <c r="P26">
        <v>-3</v>
      </c>
      <c r="R26" s="14">
        <f>('Raw Data'!$Z$14*VLOOKUP(Table219[[#This Row],[Player]],'2023'!$A$2:$I$192,8,FALSE))+('Raw Data'!$Z$16*Table219[[#This Row],[DGSCORE]])</f>
        <v>206.14686927167099</v>
      </c>
      <c r="S26" s="16" t="e">
        <f>_xlfn.RANK.AVG(Table219[[#This Row],[BDG]],Table219[BDG],1)</f>
        <v>#N/A</v>
      </c>
      <c r="T26" s="14">
        <f>('Raw Data'!$Z$14*VLOOKUP(Table219[[#This Row],[Player]],'2023'!$A$2:$I$192,8,FALSE))+('Raw Data'!$Z$16*Table219[[#This Row],[RADARSCORE]])</f>
        <v>247.69635107628568</v>
      </c>
    </row>
    <row r="27" spans="1:20">
      <c r="A27" t="s">
        <v>140</v>
      </c>
      <c r="B27">
        <v>143</v>
      </c>
      <c r="C27">
        <v>73</v>
      </c>
      <c r="D27">
        <v>85</v>
      </c>
      <c r="E27">
        <v>58</v>
      </c>
      <c r="F27">
        <v>3</v>
      </c>
      <c r="G27">
        <v>18</v>
      </c>
      <c r="H27">
        <v>191.89999999999998</v>
      </c>
      <c r="I27" s="14">
        <v>247.65597597301354</v>
      </c>
      <c r="J27">
        <v>41</v>
      </c>
      <c r="K27">
        <v>20</v>
      </c>
      <c r="L27">
        <v>13</v>
      </c>
      <c r="M27">
        <v>13</v>
      </c>
      <c r="N27" s="143">
        <v>0</v>
      </c>
      <c r="O27" s="143">
        <v>0</v>
      </c>
      <c r="P27">
        <v>0</v>
      </c>
      <c r="R27" s="14">
        <f>('Raw Data'!$Z$14*VLOOKUP(Table219[[#This Row],[Player]],'2023'!$A$2:$I$192,8,FALSE))+('Raw Data'!$Z$16*Table219[[#This Row],[DGSCORE]])</f>
        <v>216.56902943087266</v>
      </c>
      <c r="S27" s="16" t="e">
        <f>_xlfn.RANK.AVG(Table219[[#This Row],[BDG]],Table219[BDG],1)</f>
        <v>#N/A</v>
      </c>
      <c r="T27" s="14">
        <f>('Raw Data'!$Z$14*VLOOKUP(Table219[[#This Row],[Player]],'2023'!$A$2:$I$192,8,FALSE))+('Raw Data'!$Z$16*Table219[[#This Row],[RADARSCORE]])</f>
        <v>248.40420866953318</v>
      </c>
    </row>
    <row r="28" spans="1:20">
      <c r="A28" t="s">
        <v>62</v>
      </c>
      <c r="B28">
        <v>58</v>
      </c>
      <c r="C28">
        <v>112</v>
      </c>
      <c r="D28">
        <v>59</v>
      </c>
      <c r="E28">
        <v>93</v>
      </c>
      <c r="F28">
        <v>78</v>
      </c>
      <c r="G28">
        <v>71</v>
      </c>
      <c r="H28">
        <v>194.7</v>
      </c>
      <c r="I28" s="14">
        <v>301.32882390723813</v>
      </c>
      <c r="J28">
        <v>43</v>
      </c>
      <c r="K28">
        <v>22</v>
      </c>
      <c r="L28">
        <v>31</v>
      </c>
      <c r="M28">
        <v>31</v>
      </c>
      <c r="N28" s="143"/>
      <c r="O28" s="143"/>
      <c r="P28">
        <v>8</v>
      </c>
      <c r="R28" s="14">
        <f>('Raw Data'!$Z$14*VLOOKUP(Table219[[#This Row],[Player]],'2023'!$A$2:$I$192,8,FALSE))+('Raw Data'!$Z$16*Table219[[#This Row],[DGSCORE]])</f>
        <v>207.99982456273136</v>
      </c>
      <c r="S28" s="16" t="e">
        <f>_xlfn.RANK.AVG(Table219[[#This Row],[BDG]],Table219[BDG],1)</f>
        <v>#N/A</v>
      </c>
      <c r="T28" s="14">
        <f>('Raw Data'!$Z$14*VLOOKUP(Table219[[#This Row],[Player]],'2023'!$A$2:$I$192,8,FALSE))+('Raw Data'!$Z$16*Table219[[#This Row],[RADARSCORE]])</f>
        <v>268.88204681523911</v>
      </c>
    </row>
    <row r="29" spans="1:20">
      <c r="A29" t="s">
        <v>370</v>
      </c>
      <c r="B29">
        <v>59</v>
      </c>
      <c r="C29">
        <v>38</v>
      </c>
      <c r="D29">
        <v>33</v>
      </c>
      <c r="E29">
        <v>128</v>
      </c>
      <c r="F29">
        <v>183</v>
      </c>
      <c r="G29">
        <v>79</v>
      </c>
      <c r="H29">
        <v>196</v>
      </c>
      <c r="I29" s="14">
        <v>322.81081197564185</v>
      </c>
      <c r="J29">
        <v>44</v>
      </c>
      <c r="K29">
        <v>23</v>
      </c>
      <c r="L29">
        <v>37</v>
      </c>
      <c r="M29">
        <v>37</v>
      </c>
      <c r="N29" s="143">
        <v>0</v>
      </c>
      <c r="O29" s="143">
        <v>0</v>
      </c>
      <c r="P29">
        <v>4</v>
      </c>
      <c r="R29" s="14">
        <f>('Raw Data'!$Z$14*VLOOKUP(Table219[[#This Row],[Player]],'2023'!$A$2:$I$192,8,FALSE))+('Raw Data'!$Z$16*Table219[[#This Row],[DGSCORE]])</f>
        <v>213.97621448962721</v>
      </c>
      <c r="S29" s="16" t="e">
        <f>_xlfn.RANK.AVG(Table219[[#This Row],[BDG]],Table219[BDG],1)</f>
        <v>#N/A</v>
      </c>
      <c r="T29" s="14">
        <f>('Raw Data'!$Z$14*VLOOKUP(Table219[[#This Row],[Player]],'2023'!$A$2:$I$192,8,FALSE))+('Raw Data'!$Z$16*Table219[[#This Row],[RADARSCORE]])</f>
        <v>286.38181511257392</v>
      </c>
    </row>
    <row r="30" spans="1:20">
      <c r="A30" t="s">
        <v>144</v>
      </c>
      <c r="B30">
        <v>147</v>
      </c>
      <c r="C30">
        <v>49</v>
      </c>
      <c r="D30">
        <v>100</v>
      </c>
      <c r="E30">
        <v>9</v>
      </c>
      <c r="F30">
        <v>68</v>
      </c>
      <c r="G30">
        <v>53</v>
      </c>
      <c r="H30">
        <v>198.8</v>
      </c>
      <c r="I30" s="14">
        <v>290.19944003244211</v>
      </c>
      <c r="J30">
        <v>47</v>
      </c>
      <c r="K30">
        <v>24</v>
      </c>
      <c r="L30">
        <v>28</v>
      </c>
      <c r="M30">
        <v>28</v>
      </c>
      <c r="N30" s="143"/>
      <c r="O30" s="143"/>
      <c r="P30">
        <v>-1</v>
      </c>
      <c r="R30" s="14">
        <f>('Raw Data'!$Z$14*VLOOKUP(Table219[[#This Row],[Player]],'2023'!$A$2:$I$192,8,FALSE))+('Raw Data'!$Z$16*Table219[[#This Row],[DGSCORE]])</f>
        <v>226.94414488113475</v>
      </c>
      <c r="S30" s="16" t="e">
        <f>_xlfn.RANK.AVG(Table219[[#This Row],[BDG]],Table219[BDG],1)</f>
        <v>#N/A</v>
      </c>
      <c r="T30" s="14">
        <f>('Raw Data'!$Z$14*VLOOKUP(Table219[[#This Row],[Player]],'2023'!$A$2:$I$192,8,FALSE))+('Raw Data'!$Z$16*Table219[[#This Row],[RADARSCORE]])</f>
        <v>279.13079402443606</v>
      </c>
    </row>
    <row r="31" spans="1:20">
      <c r="A31" t="s">
        <v>72</v>
      </c>
      <c r="B31">
        <v>68</v>
      </c>
      <c r="C31">
        <v>138</v>
      </c>
      <c r="D31">
        <v>116</v>
      </c>
      <c r="E31">
        <v>31</v>
      </c>
      <c r="F31">
        <v>11</v>
      </c>
      <c r="G31">
        <v>21</v>
      </c>
      <c r="H31">
        <v>201</v>
      </c>
      <c r="I31" s="14">
        <v>251.12704575098289</v>
      </c>
      <c r="J31">
        <v>49.5</v>
      </c>
      <c r="K31">
        <v>26</v>
      </c>
      <c r="L31">
        <v>14</v>
      </c>
      <c r="M31">
        <v>14</v>
      </c>
      <c r="N31" s="143">
        <v>0</v>
      </c>
      <c r="O31" s="143">
        <v>0</v>
      </c>
      <c r="P31">
        <v>-2</v>
      </c>
      <c r="R31" s="14">
        <f>('Raw Data'!$Z$14*VLOOKUP(Table219[[#This Row],[Player]],'2023'!$A$2:$I$192,8,FALSE))+('Raw Data'!$Z$16*Table219[[#This Row],[DGSCORE]])</f>
        <v>213.14145274597735</v>
      </c>
      <c r="S31" s="16" t="e">
        <f>_xlfn.RANK.AVG(Table219[[#This Row],[BDG]],Table219[BDG],1)</f>
        <v>#N/A</v>
      </c>
      <c r="T31" s="14">
        <f>('Raw Data'!$Z$14*VLOOKUP(Table219[[#This Row],[Player]],'2023'!$A$2:$I$192,8,FALSE))+('Raw Data'!$Z$16*Table219[[#This Row],[RADARSCORE]])</f>
        <v>241.76266255063504</v>
      </c>
    </row>
    <row r="32" spans="1:20">
      <c r="A32" t="s">
        <v>118</v>
      </c>
      <c r="B32">
        <v>118</v>
      </c>
      <c r="C32">
        <v>89</v>
      </c>
      <c r="D32">
        <v>53</v>
      </c>
      <c r="E32">
        <v>111</v>
      </c>
      <c r="F32">
        <v>40</v>
      </c>
      <c r="G32">
        <v>51</v>
      </c>
      <c r="H32">
        <v>201</v>
      </c>
      <c r="I32" s="14">
        <v>293.61917552046327</v>
      </c>
      <c r="J32">
        <v>49.5</v>
      </c>
      <c r="K32">
        <v>27</v>
      </c>
      <c r="L32">
        <v>29</v>
      </c>
      <c r="M32">
        <v>29</v>
      </c>
      <c r="N32" s="143"/>
      <c r="O32" s="143"/>
      <c r="P32">
        <v>-10</v>
      </c>
      <c r="R32" s="14">
        <f>('Raw Data'!$Z$14*VLOOKUP(Table219[[#This Row],[Player]],'2023'!$A$2:$I$192,8,FALSE))+('Raw Data'!$Z$16*Table219[[#This Row],[DGSCORE]])</f>
        <v>222.96616185844664</v>
      </c>
      <c r="S32" s="16" t="e">
        <f>_xlfn.RANK.AVG(Table219[[#This Row],[BDG]],Table219[BDG],1)</f>
        <v>#N/A</v>
      </c>
      <c r="T32" s="14">
        <f>('Raw Data'!$Z$14*VLOOKUP(Table219[[#This Row],[Player]],'2023'!$A$2:$I$192,8,FALSE))+('Raw Data'!$Z$16*Table219[[#This Row],[RADARSCORE]])</f>
        <v>275.8492475219104</v>
      </c>
    </row>
    <row r="33" spans="1:20">
      <c r="A33" t="s">
        <v>122</v>
      </c>
      <c r="B33">
        <v>124</v>
      </c>
      <c r="C33">
        <v>85</v>
      </c>
      <c r="D33">
        <v>45</v>
      </c>
      <c r="E33">
        <v>84</v>
      </c>
      <c r="F33">
        <v>81</v>
      </c>
      <c r="G33">
        <v>70</v>
      </c>
      <c r="H33">
        <v>202</v>
      </c>
      <c r="I33" s="14">
        <v>312.16098315766419</v>
      </c>
      <c r="J33">
        <v>51</v>
      </c>
      <c r="K33">
        <v>28</v>
      </c>
      <c r="L33">
        <v>33</v>
      </c>
      <c r="M33">
        <v>33</v>
      </c>
      <c r="N33" s="143"/>
      <c r="O33" s="143"/>
      <c r="P33">
        <v>1</v>
      </c>
      <c r="R33" s="14">
        <f>('Raw Data'!$Z$14*VLOOKUP(Table219[[#This Row],[Player]],'2023'!$A$2:$I$192,8,FALSE))+('Raw Data'!$Z$16*Table219[[#This Row],[DGSCORE]])</f>
        <v>226.75483475063226</v>
      </c>
      <c r="S33" s="16" t="e">
        <f>_xlfn.RANK.AVG(Table219[[#This Row],[BDG]],Table219[BDG],1)</f>
        <v>#N/A</v>
      </c>
      <c r="T33" s="14">
        <f>('Raw Data'!$Z$14*VLOOKUP(Table219[[#This Row],[Player]],'2023'!$A$2:$I$192,8,FALSE))+('Raw Data'!$Z$16*Table219[[#This Row],[RADARSCORE]])</f>
        <v>289.65382598394365</v>
      </c>
    </row>
    <row r="34" spans="1:20">
      <c r="A34" t="s">
        <v>97</v>
      </c>
      <c r="B34">
        <v>97</v>
      </c>
      <c r="C34">
        <v>144</v>
      </c>
      <c r="D34">
        <v>89</v>
      </c>
      <c r="E34">
        <v>12</v>
      </c>
      <c r="F34">
        <v>39</v>
      </c>
      <c r="G34">
        <v>42</v>
      </c>
      <c r="H34">
        <v>203.20000000000002</v>
      </c>
      <c r="I34" s="14">
        <v>272.55600772652963</v>
      </c>
      <c r="J34">
        <v>52</v>
      </c>
      <c r="K34">
        <v>29</v>
      </c>
      <c r="L34">
        <v>21</v>
      </c>
      <c r="M34">
        <v>21</v>
      </c>
      <c r="N34" s="143"/>
      <c r="O34" s="143"/>
      <c r="P34">
        <v>4</v>
      </c>
      <c r="R34" s="14">
        <f>('Raw Data'!$Z$14*VLOOKUP(Table219[[#This Row],[Player]],'2023'!$A$2:$I$192,8,FALSE))+('Raw Data'!$Z$16*Table219[[#This Row],[DGSCORE]])</f>
        <v>221.51943576866546</v>
      </c>
      <c r="S34" s="16" t="e">
        <f>_xlfn.RANK.AVG(Table219[[#This Row],[BDG]],Table219[BDG],1)</f>
        <v>#N/A</v>
      </c>
      <c r="T34" s="14">
        <f>('Raw Data'!$Z$14*VLOOKUP(Table219[[#This Row],[Player]],'2023'!$A$2:$I$192,8,FALSE))+('Raw Data'!$Z$16*Table219[[#This Row],[RADARSCORE]])</f>
        <v>261.11987139408916</v>
      </c>
    </row>
    <row r="35" spans="1:20">
      <c r="A35" t="s">
        <v>93</v>
      </c>
      <c r="B35">
        <v>92</v>
      </c>
      <c r="C35">
        <v>78</v>
      </c>
      <c r="D35">
        <v>21</v>
      </c>
      <c r="E35">
        <v>135</v>
      </c>
      <c r="F35">
        <v>128</v>
      </c>
      <c r="G35">
        <v>22</v>
      </c>
      <c r="H35">
        <v>204.89999999999998</v>
      </c>
      <c r="I35" s="14">
        <v>272.31363125571193</v>
      </c>
      <c r="J35">
        <v>53</v>
      </c>
      <c r="K35">
        <v>30</v>
      </c>
      <c r="L35">
        <v>20</v>
      </c>
      <c r="M35">
        <v>20</v>
      </c>
      <c r="N35" s="143">
        <v>0</v>
      </c>
      <c r="O35" s="143">
        <v>0</v>
      </c>
      <c r="P35">
        <v>-6</v>
      </c>
      <c r="R35" s="14">
        <f>('Raw Data'!$Z$14*VLOOKUP(Table219[[#This Row],[Player]],'2023'!$A$2:$I$192,8,FALSE))+('Raw Data'!$Z$16*Table219[[#This Row],[DGSCORE]])</f>
        <v>226.17971930037015</v>
      </c>
      <c r="S35" s="16" t="e">
        <f>_xlfn.RANK.AVG(Table219[[#This Row],[BDG]],Table219[BDG],1)</f>
        <v>#N/A</v>
      </c>
      <c r="T35" s="14">
        <f>('Raw Data'!$Z$14*VLOOKUP(Table219[[#This Row],[Player]],'2023'!$A$2:$I$192,8,FALSE))+('Raw Data'!$Z$16*Table219[[#This Row],[RADARSCORE]])</f>
        <v>264.67110962583592</v>
      </c>
    </row>
    <row r="36" spans="1:20">
      <c r="A36" t="s">
        <v>121</v>
      </c>
      <c r="B36">
        <v>119</v>
      </c>
      <c r="C36">
        <v>10</v>
      </c>
      <c r="D36">
        <v>70</v>
      </c>
      <c r="E36">
        <v>79</v>
      </c>
      <c r="F36">
        <v>150</v>
      </c>
      <c r="G36">
        <v>77</v>
      </c>
      <c r="H36">
        <v>205.1</v>
      </c>
      <c r="I36" s="14">
        <v>331.9845083965223</v>
      </c>
      <c r="J36">
        <v>54</v>
      </c>
      <c r="K36">
        <v>31</v>
      </c>
      <c r="L36">
        <v>40</v>
      </c>
      <c r="M36">
        <v>40</v>
      </c>
      <c r="N36" s="143"/>
      <c r="O36" s="143"/>
      <c r="P36">
        <v>3</v>
      </c>
      <c r="R36" s="14">
        <f>('Raw Data'!$Z$14*VLOOKUP(Table219[[#This Row],[Player]],'2023'!$A$2:$I$192,8,FALSE))+('Raw Data'!$Z$16*Table219[[#This Row],[DGSCORE]])</f>
        <v>231.9570650847414</v>
      </c>
      <c r="S36" s="16" t="e">
        <f>_xlfn.RANK.AVG(Table219[[#This Row],[BDG]],Table219[BDG],1)</f>
        <v>#N/A</v>
      </c>
      <c r="T36" s="14">
        <f>('Raw Data'!$Z$14*VLOOKUP(Table219[[#This Row],[Player]],'2023'!$A$2:$I$192,8,FALSE))+('Raw Data'!$Z$16*Table219[[#This Row],[RADARSCORE]])</f>
        <v>304.40474440377466</v>
      </c>
    </row>
    <row r="37" spans="1:20">
      <c r="A37" t="s">
        <v>145</v>
      </c>
      <c r="B37">
        <v>146</v>
      </c>
      <c r="C37">
        <v>5</v>
      </c>
      <c r="D37">
        <v>15</v>
      </c>
      <c r="E37">
        <v>133</v>
      </c>
      <c r="F37">
        <v>169</v>
      </c>
      <c r="G37">
        <v>64</v>
      </c>
      <c r="H37">
        <v>206.8</v>
      </c>
      <c r="I37" s="14">
        <v>325.86648479325805</v>
      </c>
      <c r="J37">
        <v>55</v>
      </c>
      <c r="K37">
        <v>32</v>
      </c>
      <c r="L37">
        <v>38</v>
      </c>
      <c r="M37">
        <v>38</v>
      </c>
      <c r="N37" s="143">
        <v>0</v>
      </c>
      <c r="O37" s="143">
        <v>0</v>
      </c>
      <c r="P37">
        <v>-10</v>
      </c>
      <c r="R37" s="14">
        <f>('Raw Data'!$Z$14*VLOOKUP(Table219[[#This Row],[Player]],'2023'!$A$2:$I$192,8,FALSE))+('Raw Data'!$Z$16*Table219[[#This Row],[DGSCORE]])</f>
        <v>239.10570288947329</v>
      </c>
      <c r="S37" s="16" t="e">
        <f>_xlfn.RANK.AVG(Table219[[#This Row],[BDG]],Table219[BDG],1)</f>
        <v>#N/A</v>
      </c>
      <c r="T37" s="14">
        <f>('Raw Data'!$Z$14*VLOOKUP(Table219[[#This Row],[Player]],'2023'!$A$2:$I$192,8,FALSE))+('Raw Data'!$Z$16*Table219[[#This Row],[RADARSCORE]])</f>
        <v>307.08949868107152</v>
      </c>
    </row>
    <row r="38" spans="1:20">
      <c r="A38" t="s">
        <v>29</v>
      </c>
      <c r="B38">
        <v>26</v>
      </c>
      <c r="C38">
        <v>151</v>
      </c>
      <c r="D38">
        <v>75</v>
      </c>
      <c r="E38">
        <v>46</v>
      </c>
      <c r="F38">
        <v>123</v>
      </c>
      <c r="G38">
        <v>35</v>
      </c>
      <c r="H38">
        <v>208.60000000000002</v>
      </c>
      <c r="I38" s="14">
        <v>273.44664602052103</v>
      </c>
      <c r="J38">
        <v>56</v>
      </c>
      <c r="K38">
        <v>33</v>
      </c>
      <c r="L38">
        <v>22</v>
      </c>
      <c r="M38">
        <v>22</v>
      </c>
      <c r="N38" s="143">
        <v>0</v>
      </c>
      <c r="O38" s="143">
        <v>0</v>
      </c>
      <c r="P38">
        <v>18</v>
      </c>
      <c r="R38" s="14">
        <f>('Raw Data'!$Z$14*VLOOKUP(Table219[[#This Row],[Player]],'2023'!$A$2:$I$192,8,FALSE))+('Raw Data'!$Z$16*Table219[[#This Row],[DGSCORE]])</f>
        <v>218.33890379270974</v>
      </c>
      <c r="S38" s="16" t="e">
        <f>_xlfn.RANK.AVG(Table219[[#This Row],[BDG]],Table219[BDG],1)</f>
        <v>#N/A</v>
      </c>
      <c r="T38" s="14">
        <f>('Raw Data'!$Z$14*VLOOKUP(Table219[[#This Row],[Player]],'2023'!$A$2:$I$192,8,FALSE))+('Raw Data'!$Z$16*Table219[[#This Row],[RADARSCORE]])</f>
        <v>255.36461382760268</v>
      </c>
    </row>
    <row r="39" spans="1:20">
      <c r="A39" t="s">
        <v>20</v>
      </c>
      <c r="B39">
        <v>18</v>
      </c>
      <c r="C39">
        <v>181</v>
      </c>
      <c r="D39">
        <v>37</v>
      </c>
      <c r="E39">
        <v>54</v>
      </c>
      <c r="F39">
        <v>160</v>
      </c>
      <c r="G39">
        <v>62</v>
      </c>
      <c r="H39">
        <v>211</v>
      </c>
      <c r="I39" s="14">
        <v>300.00075695784426</v>
      </c>
      <c r="J39">
        <v>57.5</v>
      </c>
      <c r="K39">
        <v>34</v>
      </c>
      <c r="L39">
        <v>30</v>
      </c>
      <c r="M39">
        <v>30</v>
      </c>
      <c r="N39" s="143"/>
      <c r="O39" s="143"/>
      <c r="P39">
        <v>-2</v>
      </c>
      <c r="R39" s="14">
        <f>('Raw Data'!$Z$14*VLOOKUP(Table219[[#This Row],[Player]],'2023'!$A$2:$I$192,8,FALSE))+('Raw Data'!$Z$16*Table219[[#This Row],[DGSCORE]])</f>
        <v>220.95341709210862</v>
      </c>
      <c r="S39" s="16" t="e">
        <f>_xlfn.RANK.AVG(Table219[[#This Row],[BDG]],Table219[BDG],1)</f>
        <v>#N/A</v>
      </c>
      <c r="T39" s="14">
        <f>('Raw Data'!$Z$14*VLOOKUP(Table219[[#This Row],[Player]],'2023'!$A$2:$I$192,8,FALSE))+('Raw Data'!$Z$16*Table219[[#This Row],[RADARSCORE]])</f>
        <v>271.77048200190063</v>
      </c>
    </row>
    <row r="40" spans="1:20">
      <c r="A40" t="s">
        <v>26</v>
      </c>
      <c r="B40">
        <v>23</v>
      </c>
      <c r="C40">
        <v>73</v>
      </c>
      <c r="D40">
        <v>66</v>
      </c>
      <c r="E40">
        <v>101</v>
      </c>
      <c r="F40">
        <v>191</v>
      </c>
      <c r="G40">
        <v>81</v>
      </c>
      <c r="H40">
        <v>211</v>
      </c>
      <c r="I40" s="14">
        <v>336.43244950027275</v>
      </c>
      <c r="J40">
        <v>57.5</v>
      </c>
      <c r="K40">
        <v>35</v>
      </c>
      <c r="L40">
        <v>45</v>
      </c>
      <c r="M40">
        <v>45</v>
      </c>
      <c r="N40" s="143"/>
      <c r="O40" s="143"/>
      <c r="P40">
        <v>-25</v>
      </c>
      <c r="R40" s="14">
        <f>('Raw Data'!$Z$14*VLOOKUP(Table219[[#This Row],[Player]],'2023'!$A$2:$I$192,8,FALSE))+('Raw Data'!$Z$16*Table219[[#This Row],[DGSCORE]])</f>
        <v>223.14145274597735</v>
      </c>
      <c r="S40" s="16" t="e">
        <f>_xlfn.RANK.AVG(Table219[[#This Row],[BDG]],Table219[BDG],1)</f>
        <v>#N/A</v>
      </c>
      <c r="T40" s="14">
        <f>('Raw Data'!$Z$14*VLOOKUP(Table219[[#This Row],[Player]],'2023'!$A$2:$I$192,8,FALSE))+('Raw Data'!$Z$16*Table219[[#This Row],[RADARSCORE]])</f>
        <v>294.76004505827308</v>
      </c>
    </row>
    <row r="41" spans="1:20">
      <c r="A41" t="s">
        <v>92</v>
      </c>
      <c r="B41">
        <v>91</v>
      </c>
      <c r="C41">
        <v>99</v>
      </c>
      <c r="D41">
        <v>94</v>
      </c>
      <c r="E41">
        <v>26</v>
      </c>
      <c r="F41">
        <v>101</v>
      </c>
      <c r="G41">
        <v>73</v>
      </c>
      <c r="H41">
        <v>211.60000000000002</v>
      </c>
      <c r="I41" s="14">
        <v>320.4733143841396</v>
      </c>
      <c r="J41">
        <v>59</v>
      </c>
      <c r="K41">
        <v>36</v>
      </c>
      <c r="L41">
        <v>36</v>
      </c>
      <c r="M41">
        <v>36</v>
      </c>
      <c r="N41" s="143"/>
      <c r="O41" s="143"/>
      <c r="P41">
        <v>2</v>
      </c>
      <c r="R41" s="14">
        <f>('Raw Data'!$Z$14*VLOOKUP(Table219[[#This Row],[Player]],'2023'!$A$2:$I$192,8,FALSE))+('Raw Data'!$Z$16*Table219[[#This Row],[DGSCORE]])</f>
        <v>231.54973684409705</v>
      </c>
      <c r="S41" s="16" t="e">
        <f>_xlfn.RANK.AVG(Table219[[#This Row],[BDG]],Table219[BDG],1)</f>
        <v>#N/A</v>
      </c>
      <c r="T41" s="14">
        <f>('Raw Data'!$Z$14*VLOOKUP(Table219[[#This Row],[Player]],'2023'!$A$2:$I$192,8,FALSE))+('Raw Data'!$Z$16*Table219[[#This Row],[RADARSCORE]])</f>
        <v>293.71350345816717</v>
      </c>
    </row>
    <row r="42" spans="1:20">
      <c r="A42" t="s">
        <v>139</v>
      </c>
      <c r="B42">
        <v>137</v>
      </c>
      <c r="C42">
        <v>103</v>
      </c>
      <c r="D42">
        <v>9</v>
      </c>
      <c r="E42">
        <v>151</v>
      </c>
      <c r="F42">
        <v>66</v>
      </c>
      <c r="G42">
        <v>58</v>
      </c>
      <c r="H42">
        <v>213.1</v>
      </c>
      <c r="I42" s="14">
        <v>316.63407307304573</v>
      </c>
      <c r="J42">
        <v>62</v>
      </c>
      <c r="K42">
        <v>37</v>
      </c>
      <c r="L42">
        <v>34</v>
      </c>
      <c r="M42">
        <v>34</v>
      </c>
      <c r="N42" s="143">
        <v>0</v>
      </c>
      <c r="O42" s="143">
        <v>0</v>
      </c>
      <c r="P42">
        <v>1</v>
      </c>
      <c r="R42" s="14">
        <f>('Raw Data'!$Z$14*VLOOKUP(Table219[[#This Row],[Player]],'2023'!$A$2:$I$192,8,FALSE))+('Raw Data'!$Z$16*Table219[[#This Row],[DGSCORE]])</f>
        <v>239.44223316618405</v>
      </c>
      <c r="S42" s="16" t="e">
        <f>_xlfn.RANK.AVG(Table219[[#This Row],[BDG]],Table219[BDG],1)</f>
        <v>#N/A</v>
      </c>
      <c r="T42" s="14">
        <f>('Raw Data'!$Z$14*VLOOKUP(Table219[[#This Row],[Player]],'2023'!$A$2:$I$192,8,FALSE))+('Raw Data'!$Z$16*Table219[[#This Row],[RADARSCORE]])</f>
        <v>298.55743500901957</v>
      </c>
    </row>
    <row r="43" spans="1:20">
      <c r="A43" t="s">
        <v>154</v>
      </c>
      <c r="B43">
        <v>156</v>
      </c>
      <c r="C43">
        <v>16</v>
      </c>
      <c r="D43">
        <v>105</v>
      </c>
      <c r="E43">
        <v>107</v>
      </c>
      <c r="F43">
        <v>27</v>
      </c>
      <c r="G43">
        <v>44</v>
      </c>
      <c r="H43">
        <v>213.10000000000002</v>
      </c>
      <c r="I43" s="14">
        <v>310.60027245603578</v>
      </c>
      <c r="J43">
        <v>63</v>
      </c>
      <c r="K43">
        <v>38</v>
      </c>
      <c r="L43">
        <v>32</v>
      </c>
      <c r="M43">
        <v>32</v>
      </c>
      <c r="N43" s="143">
        <v>0</v>
      </c>
      <c r="O43" s="143">
        <v>1</v>
      </c>
      <c r="P43">
        <v>-13</v>
      </c>
      <c r="R43" s="14">
        <f>('Raw Data'!$Z$14*VLOOKUP(Table219[[#This Row],[Player]],'2023'!$A$2:$I$192,8,FALSE))+('Raw Data'!$Z$16*Table219[[#This Row],[DGSCORE]])</f>
        <v>241.02963158173586</v>
      </c>
      <c r="S43" s="16" t="e">
        <f>_xlfn.RANK.AVG(Table219[[#This Row],[BDG]],Table219[BDG],1)</f>
        <v>#N/A</v>
      </c>
      <c r="T43" s="14">
        <f>('Raw Data'!$Z$14*VLOOKUP(Table219[[#This Row],[Player]],'2023'!$A$2:$I$192,8,FALSE))+('Raw Data'!$Z$16*Table219[[#This Row],[RADARSCORE]])</f>
        <v>296.69969376410114</v>
      </c>
    </row>
    <row r="44" spans="1:20">
      <c r="A44" t="s">
        <v>187</v>
      </c>
      <c r="B44">
        <v>190</v>
      </c>
      <c r="C44">
        <v>7</v>
      </c>
      <c r="D44">
        <v>88</v>
      </c>
      <c r="E44">
        <v>36</v>
      </c>
      <c r="F44">
        <v>97</v>
      </c>
      <c r="G44">
        <v>101</v>
      </c>
      <c r="H44">
        <v>213.3</v>
      </c>
      <c r="I44" s="14">
        <v>363.3922626032155</v>
      </c>
      <c r="J44">
        <v>64</v>
      </c>
      <c r="K44">
        <v>39</v>
      </c>
      <c r="L44">
        <v>52</v>
      </c>
      <c r="M44">
        <v>52</v>
      </c>
      <c r="N44" s="143"/>
      <c r="O44" s="143"/>
      <c r="P44">
        <v>0</v>
      </c>
      <c r="R44" s="14">
        <f>('Raw Data'!$Z$14*VLOOKUP(Table219[[#This Row],[Player]],'2023'!$A$2:$I$192,8,FALSE))+('Raw Data'!$Z$16*Table219[[#This Row],[DGSCORE]])</f>
        <v>250.06757951697023</v>
      </c>
      <c r="S44" s="16" t="e">
        <f>_xlfn.RANK.AVG(Table219[[#This Row],[BDG]],Table219[BDG],1)</f>
        <v>#N/A</v>
      </c>
      <c r="T44" s="14">
        <f>('Raw Data'!$Z$14*VLOOKUP(Table219[[#This Row],[Player]],'2023'!$A$2:$I$192,8,FALSE))+('Raw Data'!$Z$16*Table219[[#This Row],[RADARSCORE]])</f>
        <v>335.76626918966406</v>
      </c>
    </row>
    <row r="45" spans="1:20">
      <c r="A45" t="s">
        <v>179</v>
      </c>
      <c r="B45">
        <v>182</v>
      </c>
      <c r="C45">
        <v>4</v>
      </c>
      <c r="D45">
        <v>22</v>
      </c>
      <c r="E45">
        <v>160</v>
      </c>
      <c r="F45">
        <v>103</v>
      </c>
      <c r="G45">
        <v>89</v>
      </c>
      <c r="H45">
        <v>213.60000000000002</v>
      </c>
      <c r="I45" s="14">
        <v>361.66241105708951</v>
      </c>
      <c r="J45">
        <v>65</v>
      </c>
      <c r="K45">
        <v>40</v>
      </c>
      <c r="L45">
        <v>51</v>
      </c>
      <c r="M45">
        <v>51</v>
      </c>
      <c r="N45" s="143"/>
      <c r="O45" s="143"/>
      <c r="P45">
        <v>24</v>
      </c>
      <c r="R45" s="14">
        <f>('Raw Data'!$Z$14*VLOOKUP(Table219[[#This Row],[Player]],'2023'!$A$2:$I$192,8,FALSE))+('Raw Data'!$Z$16*Table219[[#This Row],[DGSCORE]])</f>
        <v>249.25211036009603</v>
      </c>
      <c r="S45" s="16" t="e">
        <f>_xlfn.RANK.AVG(Table219[[#This Row],[BDG]],Table219[BDG],1)</f>
        <v>#N/A</v>
      </c>
      <c r="T45" s="14">
        <f>('Raw Data'!$Z$14*VLOOKUP(Table219[[#This Row],[Player]],'2023'!$A$2:$I$192,8,FALSE))+('Raw Data'!$Z$16*Table219[[#This Row],[RADARSCORE]])</f>
        <v>333.79180879156274</v>
      </c>
    </row>
    <row r="46" spans="1:20">
      <c r="A46" t="s">
        <v>88</v>
      </c>
      <c r="B46">
        <v>88</v>
      </c>
      <c r="C46">
        <v>35</v>
      </c>
      <c r="D46">
        <v>102</v>
      </c>
      <c r="E46">
        <v>131</v>
      </c>
      <c r="F46">
        <v>76</v>
      </c>
      <c r="G46">
        <v>65</v>
      </c>
      <c r="H46">
        <v>215.7</v>
      </c>
      <c r="I46" s="14">
        <v>333.87339049285356</v>
      </c>
      <c r="J46">
        <v>67</v>
      </c>
      <c r="K46">
        <v>41</v>
      </c>
      <c r="L46">
        <v>42</v>
      </c>
      <c r="M46">
        <v>42</v>
      </c>
      <c r="N46" s="143"/>
      <c r="O46" s="143"/>
      <c r="P46">
        <v>-3</v>
      </c>
      <c r="R46" s="14">
        <f>('Raw Data'!$Z$14*VLOOKUP(Table219[[#This Row],[Player]],'2023'!$A$2:$I$192,8,FALSE))+('Raw Data'!$Z$16*Table219[[#This Row],[DGSCORE]])</f>
        <v>234.06233842854522</v>
      </c>
      <c r="S46" s="16" t="e">
        <f>_xlfn.RANK.AVG(Table219[[#This Row],[BDG]],Table219[BDG],1)</f>
        <v>#N/A</v>
      </c>
      <c r="T46" s="14">
        <f>('Raw Data'!$Z$14*VLOOKUP(Table219[[#This Row],[Player]],'2023'!$A$2:$I$192,8,FALSE))+('Raw Data'!$Z$16*Table219[[#This Row],[RADARSCORE]])</f>
        <v>301.53620112984726</v>
      </c>
    </row>
    <row r="47" spans="1:20">
      <c r="A47" t="s">
        <v>17</v>
      </c>
      <c r="B47">
        <v>13</v>
      </c>
      <c r="C47">
        <v>121</v>
      </c>
      <c r="D47">
        <v>6</v>
      </c>
      <c r="E47">
        <v>178</v>
      </c>
      <c r="F47">
        <v>186</v>
      </c>
      <c r="G47">
        <v>69</v>
      </c>
      <c r="H47">
        <v>216.8</v>
      </c>
      <c r="I47" s="14">
        <v>331.263348610675</v>
      </c>
      <c r="J47">
        <v>69</v>
      </c>
      <c r="K47">
        <v>42</v>
      </c>
      <c r="L47">
        <v>39</v>
      </c>
      <c r="M47">
        <v>39</v>
      </c>
      <c r="N47" s="143"/>
      <c r="O47" s="143"/>
      <c r="P47">
        <v>0</v>
      </c>
      <c r="R47" s="14">
        <f>('Raw Data'!$Z$14*VLOOKUP(Table219[[#This Row],[Player]],'2023'!$A$2:$I$192,8,FALSE))+('Raw Data'!$Z$16*Table219[[#This Row],[DGSCORE]])</f>
        <v>227.01083305138732</v>
      </c>
      <c r="S47" s="16" t="e">
        <f>_xlfn.RANK.AVG(Table219[[#This Row],[BDG]],Table219[BDG],1)</f>
        <v>#N/A</v>
      </c>
      <c r="T47" s="14">
        <f>('Raw Data'!$Z$14*VLOOKUP(Table219[[#This Row],[Player]],'2023'!$A$2:$I$192,8,FALSE))+('Raw Data'!$Z$16*Table219[[#This Row],[RADARSCORE]])</f>
        <v>292.36636052061914</v>
      </c>
    </row>
    <row r="48" spans="1:20">
      <c r="A48" t="s">
        <v>134</v>
      </c>
      <c r="B48">
        <v>138</v>
      </c>
      <c r="C48">
        <v>77</v>
      </c>
      <c r="D48">
        <v>65</v>
      </c>
      <c r="E48">
        <v>77</v>
      </c>
      <c r="F48">
        <v>96</v>
      </c>
      <c r="G48">
        <v>67</v>
      </c>
      <c r="H48">
        <v>222.20000000000002</v>
      </c>
      <c r="I48" s="14">
        <v>334.29555079983743</v>
      </c>
      <c r="J48">
        <v>72</v>
      </c>
      <c r="K48">
        <v>44</v>
      </c>
      <c r="L48">
        <v>43</v>
      </c>
      <c r="M48">
        <v>43</v>
      </c>
      <c r="N48" s="143"/>
      <c r="O48" s="143"/>
      <c r="P48">
        <v>11</v>
      </c>
      <c r="R48" s="14">
        <f>('Raw Data'!$Z$14*VLOOKUP(Table219[[#This Row],[Player]],'2023'!$A$2:$I$192,8,FALSE))+('Raw Data'!$Z$16*Table219[[#This Row],[DGSCORE]])</f>
        <v>250.00092360209652</v>
      </c>
      <c r="S48" s="16" t="e">
        <f>_xlfn.RANK.AVG(Table219[[#This Row],[BDG]],Table219[BDG],1)</f>
        <v>#N/A</v>
      </c>
      <c r="T48" s="14">
        <f>('Raw Data'!$Z$14*VLOOKUP(Table219[[#This Row],[Player]],'2023'!$A$2:$I$192,8,FALSE))+('Raw Data'!$Z$16*Table219[[#This Row],[RADARSCORE]])</f>
        <v>314.00450150191529</v>
      </c>
    </row>
    <row r="49" spans="1:20">
      <c r="A49" t="s">
        <v>131</v>
      </c>
      <c r="B49">
        <v>132</v>
      </c>
      <c r="C49">
        <v>75</v>
      </c>
      <c r="D49">
        <v>55</v>
      </c>
      <c r="E49">
        <v>91</v>
      </c>
      <c r="F49">
        <v>110</v>
      </c>
      <c r="G49">
        <v>104</v>
      </c>
      <c r="H49">
        <v>222.4</v>
      </c>
      <c r="I49" s="14">
        <v>372.81887758509782</v>
      </c>
      <c r="J49">
        <v>73</v>
      </c>
      <c r="K49">
        <v>45</v>
      </c>
      <c r="L49">
        <v>57</v>
      </c>
      <c r="M49">
        <v>57</v>
      </c>
      <c r="N49" s="143"/>
      <c r="O49" s="143"/>
      <c r="R49" s="14">
        <f>('Raw Data'!$Z$14*VLOOKUP(Table219[[#This Row],[Player]],'2023'!$A$2:$I$192,8,FALSE))+('Raw Data'!$Z$16*Table219[[#This Row],[DGSCORE]])</f>
        <v>249.77189700329876</v>
      </c>
      <c r="S49" s="16" t="e">
        <f>_xlfn.RANK.AVG(Table219[[#This Row],[BDG]],Table219[BDG],1)</f>
        <v>#N/A</v>
      </c>
      <c r="T49" s="14">
        <f>('Raw Data'!$Z$14*VLOOKUP(Table219[[#This Row],[Player]],'2023'!$A$2:$I$192,8,FALSE))+('Raw Data'!$Z$16*Table219[[#This Row],[RADARSCORE]])</f>
        <v>335.65707514308156</v>
      </c>
    </row>
    <row r="50" spans="1:20">
      <c r="A50" t="s">
        <v>79</v>
      </c>
      <c r="B50">
        <v>78</v>
      </c>
      <c r="C50">
        <v>109</v>
      </c>
      <c r="D50">
        <v>32</v>
      </c>
      <c r="E50">
        <v>106</v>
      </c>
      <c r="F50">
        <v>161</v>
      </c>
      <c r="G50">
        <v>67</v>
      </c>
      <c r="H50">
        <v>222.70000000000002</v>
      </c>
      <c r="I50" s="14">
        <v>332.68653294555878</v>
      </c>
      <c r="J50">
        <v>74.5</v>
      </c>
      <c r="K50">
        <v>47</v>
      </c>
      <c r="L50">
        <v>41</v>
      </c>
      <c r="M50">
        <v>41</v>
      </c>
      <c r="N50" s="143"/>
      <c r="O50" s="143"/>
      <c r="P50">
        <v>-1</v>
      </c>
      <c r="R50" s="14">
        <f>('Raw Data'!$Z$14*VLOOKUP(Table219[[#This Row],[Player]],'2023'!$A$2:$I$192,8,FALSE))+('Raw Data'!$Z$16*Table219[[#This Row],[DGSCORE]])</f>
        <v>242.99295812313528</v>
      </c>
      <c r="S50" s="16" t="e">
        <f>_xlfn.RANK.AVG(Table219[[#This Row],[BDG]],Table219[BDG],1)</f>
        <v>#N/A</v>
      </c>
      <c r="T50" s="14">
        <f>('Raw Data'!$Z$14*VLOOKUP(Table219[[#This Row],[Player]],'2023'!$A$2:$I$192,8,FALSE))+('Raw Data'!$Z$16*Table219[[#This Row],[RADARSCORE]])</f>
        <v>305.79234292550035</v>
      </c>
    </row>
    <row r="51" spans="1:20">
      <c r="A51" t="s">
        <v>82</v>
      </c>
      <c r="B51">
        <v>79</v>
      </c>
      <c r="C51">
        <v>157</v>
      </c>
      <c r="D51">
        <v>72</v>
      </c>
      <c r="E51">
        <v>34</v>
      </c>
      <c r="F51">
        <v>104</v>
      </c>
      <c r="G51">
        <v>109</v>
      </c>
      <c r="H51">
        <v>223.6</v>
      </c>
      <c r="I51" s="14">
        <v>364.24040682746079</v>
      </c>
      <c r="J51">
        <v>76</v>
      </c>
      <c r="K51">
        <v>48</v>
      </c>
      <c r="L51">
        <v>53</v>
      </c>
      <c r="M51">
        <v>53</v>
      </c>
      <c r="N51" s="143">
        <v>0</v>
      </c>
      <c r="O51" s="143">
        <v>0</v>
      </c>
      <c r="P51">
        <v>8</v>
      </c>
      <c r="R51" s="14">
        <f>('Raw Data'!$Z$14*VLOOKUP(Table219[[#This Row],[Player]],'2023'!$A$2:$I$192,8,FALSE))+('Raw Data'!$Z$16*Table219[[#This Row],[DGSCORE]])</f>
        <v>241.61911714950702</v>
      </c>
      <c r="S51" s="16" t="e">
        <f>_xlfn.RANK.AVG(Table219[[#This Row],[BDG]],Table219[BDG],1)</f>
        <v>#N/A</v>
      </c>
      <c r="T51" s="14">
        <f>('Raw Data'!$Z$14*VLOOKUP(Table219[[#This Row],[Player]],'2023'!$A$2:$I$192,8,FALSE))+('Raw Data'!$Z$16*Table219[[#This Row],[RADARSCORE]])</f>
        <v>321.92104858224542</v>
      </c>
    </row>
    <row r="52" spans="1:20">
      <c r="A52" t="s">
        <v>14</v>
      </c>
      <c r="B52">
        <v>14</v>
      </c>
      <c r="C52">
        <v>48</v>
      </c>
      <c r="D52">
        <v>160</v>
      </c>
      <c r="E52">
        <v>121</v>
      </c>
      <c r="F52">
        <v>85</v>
      </c>
      <c r="G52">
        <v>57</v>
      </c>
      <c r="H52">
        <v>225.4</v>
      </c>
      <c r="I52" s="14">
        <v>335.07602077168082</v>
      </c>
      <c r="J52">
        <v>77</v>
      </c>
      <c r="K52">
        <v>49</v>
      </c>
      <c r="L52">
        <v>44</v>
      </c>
      <c r="M52">
        <v>44</v>
      </c>
      <c r="N52" s="143"/>
      <c r="O52" s="143"/>
      <c r="P52">
        <v>-19</v>
      </c>
      <c r="R52" s="14">
        <f>('Raw Data'!$Z$14*VLOOKUP(Table219[[#This Row],[Player]],'2023'!$A$2:$I$192,8,FALSE))+('Raw Data'!$Z$16*Table219[[#This Row],[DGSCORE]])</f>
        <v>231.44927504304877</v>
      </c>
      <c r="S52" s="16" t="e">
        <f>_xlfn.RANK.AVG(Table219[[#This Row],[BDG]],Table219[BDG],1)</f>
        <v>#N/A</v>
      </c>
      <c r="T52" s="14">
        <f>('Raw Data'!$Z$14*VLOOKUP(Table219[[#This Row],[Player]],'2023'!$A$2:$I$192,8,FALSE))+('Raw Data'!$Z$16*Table219[[#This Row],[RADARSCORE]])</f>
        <v>294.0713656533801</v>
      </c>
    </row>
    <row r="53" spans="1:20">
      <c r="A53" t="s">
        <v>36</v>
      </c>
      <c r="B53">
        <v>34</v>
      </c>
      <c r="C53">
        <v>132</v>
      </c>
      <c r="D53">
        <v>61</v>
      </c>
      <c r="E53">
        <v>164</v>
      </c>
      <c r="F53">
        <v>87</v>
      </c>
      <c r="G53">
        <v>95</v>
      </c>
      <c r="H53">
        <v>226.10000000000002</v>
      </c>
      <c r="I53" s="14">
        <v>366.47609618054082</v>
      </c>
      <c r="J53">
        <v>78</v>
      </c>
      <c r="K53">
        <v>50</v>
      </c>
      <c r="L53">
        <v>54</v>
      </c>
      <c r="M53">
        <v>54</v>
      </c>
      <c r="N53" s="143">
        <v>0</v>
      </c>
      <c r="O53" s="143">
        <v>0</v>
      </c>
      <c r="P53">
        <v>-12</v>
      </c>
      <c r="R53" s="14">
        <f>('Raw Data'!$Z$14*VLOOKUP(Table219[[#This Row],[Player]],'2023'!$A$2:$I$192,8,FALSE))+('Raw Data'!$Z$16*Table219[[#This Row],[DGSCORE]])</f>
        <v>235.66729315319063</v>
      </c>
      <c r="S53" s="16" t="e">
        <f>_xlfn.RANK.AVG(Table219[[#This Row],[BDG]],Table219[BDG],1)</f>
        <v>#N/A</v>
      </c>
      <c r="T53" s="14">
        <f>('Raw Data'!$Z$14*VLOOKUP(Table219[[#This Row],[Player]],'2023'!$A$2:$I$192,8,FALSE))+('Raw Data'!$Z$16*Table219[[#This Row],[RADARSCORE]])</f>
        <v>315.81831023688318</v>
      </c>
    </row>
    <row r="54" spans="1:20">
      <c r="A54" t="s">
        <v>55</v>
      </c>
      <c r="B54">
        <v>52</v>
      </c>
      <c r="C54">
        <v>108</v>
      </c>
      <c r="D54">
        <v>40</v>
      </c>
      <c r="E54">
        <v>173</v>
      </c>
      <c r="F54">
        <v>125</v>
      </c>
      <c r="G54">
        <v>118</v>
      </c>
      <c r="H54">
        <v>227.2</v>
      </c>
      <c r="I54" s="14">
        <v>394.52348825626422</v>
      </c>
      <c r="J54">
        <v>79</v>
      </c>
      <c r="K54">
        <v>51</v>
      </c>
      <c r="L54">
        <v>62</v>
      </c>
      <c r="M54">
        <v>62</v>
      </c>
      <c r="N54" s="143">
        <v>0</v>
      </c>
      <c r="O54" s="143">
        <v>0</v>
      </c>
      <c r="P54">
        <v>-2</v>
      </c>
      <c r="R54" s="14">
        <f>('Raw Data'!$Z$14*VLOOKUP(Table219[[#This Row],[Player]],'2023'!$A$2:$I$192,8,FALSE))+('Raw Data'!$Z$16*Table219[[#This Row],[DGSCORE]])</f>
        <v>241.48658573996624</v>
      </c>
      <c r="S54" s="16" t="e">
        <f>_xlfn.RANK.AVG(Table219[[#This Row],[BDG]],Table219[BDG],1)</f>
        <v>#N/A</v>
      </c>
      <c r="T54" s="14">
        <f>('Raw Data'!$Z$14*VLOOKUP(Table219[[#This Row],[Player]],'2023'!$A$2:$I$192,8,FALSE))+('Raw Data'!$Z$16*Table219[[#This Row],[RADARSCORE]])</f>
        <v>337.02384693066421</v>
      </c>
    </row>
    <row r="55" spans="1:20">
      <c r="A55" t="s">
        <v>22</v>
      </c>
      <c r="B55">
        <v>21</v>
      </c>
      <c r="C55">
        <v>70</v>
      </c>
      <c r="D55">
        <v>76</v>
      </c>
      <c r="E55">
        <v>184</v>
      </c>
      <c r="F55">
        <v>139</v>
      </c>
      <c r="G55">
        <v>113</v>
      </c>
      <c r="H55">
        <v>227.9</v>
      </c>
      <c r="I55" s="14">
        <v>396.00087159157766</v>
      </c>
      <c r="J55">
        <v>81</v>
      </c>
      <c r="K55">
        <v>52</v>
      </c>
      <c r="L55">
        <v>63</v>
      </c>
      <c r="M55">
        <v>63</v>
      </c>
      <c r="N55" s="143"/>
      <c r="O55" s="143"/>
      <c r="P55">
        <v>-1</v>
      </c>
      <c r="R55" s="14">
        <f>('Raw Data'!$Z$14*VLOOKUP(Table219[[#This Row],[Player]],'2023'!$A$2:$I$192,8,FALSE))+('Raw Data'!$Z$16*Table219[[#This Row],[DGSCORE]])</f>
        <v>237.46729315319061</v>
      </c>
      <c r="S55" s="16" t="e">
        <f>_xlfn.RANK.AVG(Table219[[#This Row],[BDG]],Table219[BDG],1)</f>
        <v>#N/A</v>
      </c>
      <c r="T55" s="14">
        <f>('Raw Data'!$Z$14*VLOOKUP(Table219[[#This Row],[Player]],'2023'!$A$2:$I$192,8,FALSE))+('Raw Data'!$Z$16*Table219[[#This Row],[RADARSCORE]])</f>
        <v>333.44841955089038</v>
      </c>
    </row>
    <row r="56" spans="1:20">
      <c r="A56" t="s">
        <v>100</v>
      </c>
      <c r="B56">
        <v>102</v>
      </c>
      <c r="C56">
        <v>117</v>
      </c>
      <c r="D56">
        <v>99</v>
      </c>
      <c r="E56">
        <v>51</v>
      </c>
      <c r="F56">
        <v>72</v>
      </c>
      <c r="G56">
        <v>76</v>
      </c>
      <c r="H56">
        <v>228.00000000000003</v>
      </c>
      <c r="I56" s="14">
        <v>343.21890639629095</v>
      </c>
      <c r="J56">
        <v>82</v>
      </c>
      <c r="K56">
        <v>53</v>
      </c>
      <c r="L56">
        <v>46</v>
      </c>
      <c r="M56">
        <v>46</v>
      </c>
      <c r="N56" s="143"/>
      <c r="O56" s="143"/>
      <c r="P56">
        <v>-31</v>
      </c>
      <c r="R56" s="14">
        <f>('Raw Data'!$Z$14*VLOOKUP(Table219[[#This Row],[Player]],'2023'!$A$2:$I$192,8,FALSE))+('Raw Data'!$Z$16*Table219[[#This Row],[DGSCORE]])</f>
        <v>248.59327674229371</v>
      </c>
      <c r="S56" s="16" t="e">
        <f>_xlfn.RANK.AVG(Table219[[#This Row],[BDG]],Table219[BDG],1)</f>
        <v>#N/A</v>
      </c>
      <c r="T56" s="14">
        <f>('Raw Data'!$Z$14*VLOOKUP(Table219[[#This Row],[Player]],'2023'!$A$2:$I$192,8,FALSE))+('Raw Data'!$Z$16*Table219[[#This Row],[RADARSCORE]])</f>
        <v>314.3802076101835</v>
      </c>
    </row>
    <row r="57" spans="1:20">
      <c r="A57" t="s">
        <v>38</v>
      </c>
      <c r="B57">
        <v>35</v>
      </c>
      <c r="C57">
        <v>164</v>
      </c>
      <c r="D57">
        <v>120</v>
      </c>
      <c r="E57">
        <v>47</v>
      </c>
      <c r="F57">
        <v>67</v>
      </c>
      <c r="G57">
        <v>56</v>
      </c>
      <c r="H57">
        <v>229.10000000000002</v>
      </c>
      <c r="I57" s="14">
        <v>318.07024917300561</v>
      </c>
      <c r="J57">
        <v>84</v>
      </c>
      <c r="K57">
        <v>54</v>
      </c>
      <c r="L57">
        <v>35</v>
      </c>
      <c r="M57">
        <v>35</v>
      </c>
      <c r="N57" s="143">
        <v>0</v>
      </c>
      <c r="O57" s="143">
        <v>0</v>
      </c>
      <c r="P57">
        <v>-7</v>
      </c>
      <c r="R57" s="14">
        <f>('Raw Data'!$Z$14*VLOOKUP(Table219[[#This Row],[Player]],'2023'!$A$2:$I$192,8,FALSE))+('Raw Data'!$Z$16*Table219[[#This Row],[DGSCORE]])</f>
        <v>237.98085059511419</v>
      </c>
      <c r="S57" s="16" t="e">
        <f>_xlfn.RANK.AVG(Table219[[#This Row],[BDG]],Table219[BDG],1)</f>
        <v>#N/A</v>
      </c>
      <c r="T57" s="14">
        <f>('Raw Data'!$Z$14*VLOOKUP(Table219[[#This Row],[Player]],'2023'!$A$2:$I$192,8,FALSE))+('Raw Data'!$Z$16*Table219[[#This Row],[RADARSCORE]])</f>
        <v>288.78049637123365</v>
      </c>
    </row>
    <row r="58" spans="1:20">
      <c r="A58" t="s">
        <v>54</v>
      </c>
      <c r="B58">
        <v>49</v>
      </c>
      <c r="C58">
        <v>183</v>
      </c>
      <c r="D58">
        <v>49</v>
      </c>
      <c r="E58">
        <v>70</v>
      </c>
      <c r="F58">
        <v>133</v>
      </c>
      <c r="G58">
        <v>96</v>
      </c>
      <c r="H58">
        <v>231.5</v>
      </c>
      <c r="I58" s="14">
        <v>360.15562845162088</v>
      </c>
      <c r="J58">
        <v>86</v>
      </c>
      <c r="K58">
        <v>55</v>
      </c>
      <c r="L58">
        <v>50</v>
      </c>
      <c r="M58">
        <v>50</v>
      </c>
      <c r="N58" s="143">
        <v>0</v>
      </c>
      <c r="O58" s="143">
        <v>0</v>
      </c>
      <c r="P58">
        <v>-6</v>
      </c>
      <c r="R58" s="14">
        <f>('Raw Data'!$Z$14*VLOOKUP(Table219[[#This Row],[Player]],'2023'!$A$2:$I$192,8,FALSE))+('Raw Data'!$Z$16*Table219[[#This Row],[DGSCORE]])</f>
        <v>245.61497510044717</v>
      </c>
      <c r="S58" s="16" t="e">
        <f>_xlfn.RANK.AVG(Table219[[#This Row],[BDG]],Table219[BDG],1)</f>
        <v>#N/A</v>
      </c>
      <c r="T58" s="14">
        <f>('Raw Data'!$Z$14*VLOOKUP(Table219[[#This Row],[Player]],'2023'!$A$2:$I$192,8,FALSE))+('Raw Data'!$Z$16*Table219[[#This Row],[RADARSCORE]])</f>
        <v>319.0739168612775</v>
      </c>
    </row>
    <row r="59" spans="1:20">
      <c r="A59" t="s">
        <v>443</v>
      </c>
      <c r="B59">
        <v>128</v>
      </c>
      <c r="C59">
        <v>60</v>
      </c>
      <c r="D59">
        <v>56</v>
      </c>
      <c r="E59">
        <v>124</v>
      </c>
      <c r="F59">
        <v>124</v>
      </c>
      <c r="G59">
        <v>99</v>
      </c>
      <c r="H59">
        <v>232.39999999999998</v>
      </c>
      <c r="I59" s="14">
        <v>384.44669510729221</v>
      </c>
      <c r="J59">
        <v>88</v>
      </c>
      <c r="K59">
        <v>56</v>
      </c>
      <c r="L59">
        <v>59</v>
      </c>
      <c r="M59">
        <v>59</v>
      </c>
      <c r="N59" s="143"/>
      <c r="O59" s="143"/>
      <c r="P59">
        <v>5</v>
      </c>
      <c r="R59" s="14">
        <f>('Raw Data'!$Z$14*VLOOKUP(Table219[[#This Row],[Player]],'2023'!$A$2:$I$192,8,FALSE))+('Raw Data'!$Z$16*Table219[[#This Row],[DGSCORE]])</f>
        <v>259.68609168353913</v>
      </c>
      <c r="S59" s="16" t="e">
        <f>_xlfn.RANK.AVG(Table219[[#This Row],[BDG]],Table219[BDG],1)</f>
        <v>#N/A</v>
      </c>
      <c r="T59" s="14">
        <f>('Raw Data'!$Z$14*VLOOKUP(Table219[[#This Row],[Player]],'2023'!$A$2:$I$192,8,FALSE))+('Raw Data'!$Z$16*Table219[[#This Row],[RADARSCORE]])</f>
        <v>346.50071033050591</v>
      </c>
    </row>
    <row r="60" spans="1:20">
      <c r="A60" t="s">
        <v>115</v>
      </c>
      <c r="B60">
        <v>117</v>
      </c>
      <c r="C60">
        <v>55</v>
      </c>
      <c r="D60">
        <v>133</v>
      </c>
      <c r="E60">
        <v>95</v>
      </c>
      <c r="F60">
        <v>41</v>
      </c>
      <c r="G60">
        <v>102</v>
      </c>
      <c r="H60">
        <v>233.5</v>
      </c>
      <c r="I60" s="14">
        <v>387.42984127949347</v>
      </c>
      <c r="J60">
        <v>89</v>
      </c>
      <c r="K60">
        <v>57</v>
      </c>
      <c r="L60">
        <v>60</v>
      </c>
      <c r="M60">
        <v>60</v>
      </c>
      <c r="N60" s="143"/>
      <c r="O60" s="143"/>
      <c r="P60">
        <v>-5</v>
      </c>
      <c r="R60" s="14">
        <f>('Raw Data'!$Z$14*VLOOKUP(Table219[[#This Row],[Player]],'2023'!$A$2:$I$192,8,FALSE))+('Raw Data'!$Z$16*Table219[[#This Row],[DGSCORE]])</f>
        <v>255.33745387880728</v>
      </c>
      <c r="S60" s="16" t="e">
        <f>_xlfn.RANK.AVG(Table219[[#This Row],[BDG]],Table219[BDG],1)</f>
        <v>#N/A</v>
      </c>
      <c r="T60" s="14">
        <f>('Raw Data'!$Z$14*VLOOKUP(Table219[[#This Row],[Player]],'2023'!$A$2:$I$192,8,FALSE))+('Raw Data'!$Z$16*Table219[[#This Row],[RADARSCORE]])</f>
        <v>343.22729890067671</v>
      </c>
    </row>
    <row r="61" spans="1:20">
      <c r="A61" t="s">
        <v>11</v>
      </c>
      <c r="B61">
        <v>10</v>
      </c>
      <c r="C61">
        <v>95</v>
      </c>
      <c r="D61">
        <v>108</v>
      </c>
      <c r="E61">
        <v>187</v>
      </c>
      <c r="F61">
        <v>82</v>
      </c>
      <c r="G61">
        <v>125</v>
      </c>
      <c r="H61">
        <v>235.7</v>
      </c>
      <c r="I61" s="14">
        <v>414.68882471642473</v>
      </c>
      <c r="J61">
        <v>90</v>
      </c>
      <c r="K61">
        <v>58</v>
      </c>
      <c r="L61">
        <v>73</v>
      </c>
      <c r="M61">
        <v>73</v>
      </c>
      <c r="N61" s="143"/>
      <c r="O61" s="143"/>
      <c r="P61">
        <v>5</v>
      </c>
      <c r="R61" s="14">
        <f>('Raw Data'!$Z$14*VLOOKUP(Table219[[#This Row],[Player]],'2023'!$A$2:$I$192,8,FALSE))+('Raw Data'!$Z$16*Table219[[#This Row],[DGSCORE]])</f>
        <v>240.93412450533296</v>
      </c>
      <c r="S61" s="16" t="e">
        <f>_xlfn.RANK.AVG(Table219[[#This Row],[BDG]],Table219[BDG],1)</f>
        <v>#N/A</v>
      </c>
      <c r="T61" s="14">
        <f>('Raw Data'!$Z$14*VLOOKUP(Table219[[#This Row],[Player]],'2023'!$A$2:$I$192,8,FALSE))+('Raw Data'!$Z$16*Table219[[#This Row],[RADARSCORE]])</f>
        <v>343.13198253085693</v>
      </c>
    </row>
    <row r="62" spans="1:20">
      <c r="A62" t="s">
        <v>123</v>
      </c>
      <c r="B62">
        <v>125</v>
      </c>
      <c r="C62">
        <v>97</v>
      </c>
      <c r="D62">
        <v>78</v>
      </c>
      <c r="E62">
        <v>61</v>
      </c>
      <c r="F62">
        <v>118</v>
      </c>
      <c r="G62">
        <v>90</v>
      </c>
      <c r="H62">
        <v>237.2</v>
      </c>
      <c r="I62" s="14">
        <v>371.70349161905227</v>
      </c>
      <c r="J62">
        <v>92</v>
      </c>
      <c r="K62">
        <v>59</v>
      </c>
      <c r="L62">
        <v>56</v>
      </c>
      <c r="M62">
        <v>56</v>
      </c>
      <c r="N62" s="143"/>
      <c r="O62" s="143"/>
      <c r="P62">
        <v>-17</v>
      </c>
      <c r="R62" s="14">
        <f>('Raw Data'!$Z$14*VLOOKUP(Table219[[#This Row],[Player]],'2023'!$A$2:$I$192,8,FALSE))+('Raw Data'!$Z$16*Table219[[#This Row],[DGSCORE]])</f>
        <v>263.71384380570316</v>
      </c>
      <c r="S62" s="16" t="e">
        <f>_xlfn.RANK.AVG(Table219[[#This Row],[BDG]],Table219[BDG],1)</f>
        <v>#N/A</v>
      </c>
      <c r="T62" s="14">
        <f>('Raw Data'!$Z$14*VLOOKUP(Table219[[#This Row],[Player]],'2023'!$A$2:$I$192,8,FALSE))+('Raw Data'!$Z$16*Table219[[#This Row],[RADARSCORE]])</f>
        <v>340.51175988900695</v>
      </c>
    </row>
    <row r="63" spans="1:20">
      <c r="A63" t="s">
        <v>50</v>
      </c>
      <c r="B63">
        <v>50</v>
      </c>
      <c r="C63">
        <v>148</v>
      </c>
      <c r="D63">
        <v>31</v>
      </c>
      <c r="E63">
        <v>116</v>
      </c>
      <c r="F63">
        <v>181</v>
      </c>
      <c r="G63">
        <v>119</v>
      </c>
      <c r="H63">
        <v>239.50000000000003</v>
      </c>
      <c r="I63" s="14">
        <v>400.82295952075202</v>
      </c>
      <c r="J63">
        <v>94</v>
      </c>
      <c r="K63">
        <v>60</v>
      </c>
      <c r="L63">
        <v>67</v>
      </c>
      <c r="M63">
        <v>67</v>
      </c>
      <c r="N63" s="143"/>
      <c r="O63" s="143"/>
      <c r="P63">
        <v>-9</v>
      </c>
      <c r="R63" s="14">
        <f>('Raw Data'!$Z$14*VLOOKUP(Table219[[#This Row],[Player]],'2023'!$A$2:$I$192,8,FALSE))+('Raw Data'!$Z$16*Table219[[#This Row],[DGSCORE]])</f>
        <v>255.84591341419568</v>
      </c>
      <c r="S63" s="16" t="e">
        <f>_xlfn.RANK.AVG(Table219[[#This Row],[BDG]],Table219[BDG],1)</f>
        <v>#N/A</v>
      </c>
      <c r="T63" s="14">
        <f>('Raw Data'!$Z$14*VLOOKUP(Table219[[#This Row],[Player]],'2023'!$A$2:$I$192,8,FALSE))+('Raw Data'!$Z$16*Table219[[#This Row],[RADARSCORE]])</f>
        <v>347.9570323037666</v>
      </c>
    </row>
    <row r="64" spans="1:20">
      <c r="A64" t="s">
        <v>109</v>
      </c>
      <c r="B64">
        <v>108</v>
      </c>
      <c r="C64">
        <v>47</v>
      </c>
      <c r="D64">
        <v>125</v>
      </c>
      <c r="E64">
        <v>183</v>
      </c>
      <c r="F64">
        <v>10</v>
      </c>
      <c r="G64">
        <v>97</v>
      </c>
      <c r="H64">
        <v>242.2</v>
      </c>
      <c r="I64" s="14">
        <v>400.9357955767872</v>
      </c>
      <c r="J64">
        <v>98</v>
      </c>
      <c r="K64">
        <v>61</v>
      </c>
      <c r="L64">
        <v>68</v>
      </c>
      <c r="M64">
        <v>68</v>
      </c>
      <c r="N64" s="143"/>
      <c r="O64" s="143"/>
      <c r="P64">
        <v>-8</v>
      </c>
      <c r="R64" s="14">
        <f>('Raw Data'!$Z$14*VLOOKUP(Table219[[#This Row],[Player]],'2023'!$A$2:$I$192,8,FALSE))+('Raw Data'!$Z$16*Table219[[#This Row],[DGSCORE]])</f>
        <v>261.16297566686211</v>
      </c>
      <c r="S64" s="16" t="e">
        <f>_xlfn.RANK.AVG(Table219[[#This Row],[BDG]],Table219[BDG],1)</f>
        <v>#N/A</v>
      </c>
      <c r="T64" s="14">
        <f>('Raw Data'!$Z$14*VLOOKUP(Table219[[#This Row],[Player]],'2023'!$A$2:$I$192,8,FALSE))+('Raw Data'!$Z$16*Table219[[#This Row],[RADARSCORE]])</f>
        <v>351.79689275987971</v>
      </c>
    </row>
    <row r="65" spans="1:20">
      <c r="A65" t="s">
        <v>163</v>
      </c>
      <c r="B65">
        <v>162</v>
      </c>
      <c r="C65">
        <v>50</v>
      </c>
      <c r="D65" t="s">
        <v>503</v>
      </c>
      <c r="E65">
        <v>87</v>
      </c>
      <c r="F65">
        <v>179</v>
      </c>
      <c r="G65">
        <v>129</v>
      </c>
      <c r="H65">
        <v>242.5</v>
      </c>
      <c r="I65" s="14">
        <v>425.1190341585272</v>
      </c>
      <c r="J65">
        <v>99</v>
      </c>
      <c r="K65">
        <v>62</v>
      </c>
      <c r="L65">
        <v>78</v>
      </c>
      <c r="M65">
        <v>78</v>
      </c>
      <c r="N65" s="143"/>
      <c r="O65" s="143"/>
      <c r="P65">
        <v>-4</v>
      </c>
      <c r="R65" s="14">
        <f>('Raw Data'!$Z$14*VLOOKUP(Table219[[#This Row],[Player]],'2023'!$A$2:$I$192,8,FALSE))+('Raw Data'!$Z$16*Table219[[#This Row],[DGSCORE]])</f>
        <v>277.98049972057686</v>
      </c>
      <c r="S65" s="16" t="e">
        <f>_xlfn.RANK.AVG(Table219[[#This Row],[BDG]],Table219[BDG],1)</f>
        <v>#N/A</v>
      </c>
      <c r="T65" s="14">
        <f>('Raw Data'!$Z$14*VLOOKUP(Table219[[#This Row],[Player]],'2023'!$A$2:$I$192,8,FALSE))+('Raw Data'!$Z$16*Table219[[#This Row],[RADARSCORE]])</f>
        <v>382.25111077833452</v>
      </c>
    </row>
    <row r="66" spans="1:20">
      <c r="A66" t="s">
        <v>151</v>
      </c>
      <c r="B66">
        <v>154</v>
      </c>
      <c r="C66">
        <v>57</v>
      </c>
      <c r="D66">
        <v>45</v>
      </c>
      <c r="E66">
        <v>174</v>
      </c>
      <c r="F66">
        <v>91</v>
      </c>
      <c r="G66">
        <v>100</v>
      </c>
      <c r="H66">
        <v>243.00000000000003</v>
      </c>
      <c r="I66" s="14">
        <v>402.78635843896672</v>
      </c>
      <c r="J66">
        <v>100</v>
      </c>
      <c r="K66">
        <v>63</v>
      </c>
      <c r="L66">
        <v>70</v>
      </c>
      <c r="M66">
        <v>70</v>
      </c>
      <c r="N66" s="143"/>
      <c r="O66" s="143"/>
      <c r="P66">
        <v>-2</v>
      </c>
      <c r="R66" s="14">
        <f>('Raw Data'!$Z$14*VLOOKUP(Table219[[#This Row],[Player]],'2023'!$A$2:$I$192,8,FALSE))+('Raw Data'!$Z$16*Table219[[#This Row],[DGSCORE]])</f>
        <v>273.33218053500343</v>
      </c>
      <c r="S66" s="16" t="e">
        <f>_xlfn.RANK.AVG(Table219[[#This Row],[BDG]],Table219[BDG],1)</f>
        <v>#N/A</v>
      </c>
      <c r="T66" s="14">
        <f>('Raw Data'!$Z$14*VLOOKUP(Table219[[#This Row],[Player]],'2023'!$A$2:$I$192,8,FALSE))+('Raw Data'!$Z$16*Table219[[#This Row],[RADARSCORE]])</f>
        <v>364.56594107861639</v>
      </c>
    </row>
    <row r="67" spans="1:20">
      <c r="A67" t="s">
        <v>13</v>
      </c>
      <c r="B67">
        <v>9</v>
      </c>
      <c r="C67">
        <v>127</v>
      </c>
      <c r="D67">
        <v>90</v>
      </c>
      <c r="E67">
        <v>124</v>
      </c>
      <c r="F67">
        <v>157</v>
      </c>
      <c r="G67">
        <v>80</v>
      </c>
      <c r="H67">
        <v>243.4</v>
      </c>
      <c r="I67" s="14">
        <v>369.88325969042944</v>
      </c>
      <c r="J67">
        <v>101</v>
      </c>
      <c r="K67">
        <v>64</v>
      </c>
      <c r="L67">
        <v>55</v>
      </c>
      <c r="M67">
        <v>55</v>
      </c>
      <c r="N67" s="143">
        <v>0</v>
      </c>
      <c r="O67" s="143">
        <v>0</v>
      </c>
      <c r="P67">
        <v>-3</v>
      </c>
      <c r="R67" s="14">
        <f>('Raw Data'!$Z$14*VLOOKUP(Table219[[#This Row],[Player]],'2023'!$A$2:$I$192,8,FALSE))+('Raw Data'!$Z$16*Table219[[#This Row],[DGSCORE]])</f>
        <v>251.68021335679725</v>
      </c>
      <c r="S67" s="16" t="e">
        <f>_xlfn.RANK.AVG(Table219[[#This Row],[BDG]],Table219[BDG],1)</f>
        <v>#N/A</v>
      </c>
      <c r="T67" s="14">
        <f>('Raw Data'!$Z$14*VLOOKUP(Table219[[#This Row],[Player]],'2023'!$A$2:$I$192,8,FALSE))+('Raw Data'!$Z$16*Table219[[#This Row],[RADARSCORE]])</f>
        <v>323.8987903373847</v>
      </c>
    </row>
    <row r="68" spans="1:20">
      <c r="A68" t="s">
        <v>39</v>
      </c>
      <c r="B68">
        <v>36</v>
      </c>
      <c r="C68">
        <v>140</v>
      </c>
      <c r="D68">
        <v>174</v>
      </c>
      <c r="E68">
        <v>38</v>
      </c>
      <c r="F68">
        <v>49</v>
      </c>
      <c r="G68">
        <v>61</v>
      </c>
      <c r="H68">
        <v>244.6</v>
      </c>
      <c r="I68" s="14">
        <v>344.44412434041908</v>
      </c>
      <c r="J68">
        <v>102</v>
      </c>
      <c r="K68">
        <v>65</v>
      </c>
      <c r="L68">
        <v>47</v>
      </c>
      <c r="M68">
        <v>47</v>
      </c>
      <c r="N68" s="143"/>
      <c r="O68" s="143"/>
      <c r="P68">
        <v>7</v>
      </c>
      <c r="R68" s="14">
        <f>('Raw Data'!$Z$14*VLOOKUP(Table219[[#This Row],[Player]],'2023'!$A$2:$I$192,8,FALSE))+('Raw Data'!$Z$16*Table219[[#This Row],[DGSCORE]])</f>
        <v>252.88021335679724</v>
      </c>
      <c r="S68" s="16" t="e">
        <f>_xlfn.RANK.AVG(Table219[[#This Row],[BDG]],Table219[BDG],1)</f>
        <v>#N/A</v>
      </c>
      <c r="T68" s="14">
        <f>('Raw Data'!$Z$14*VLOOKUP(Table219[[#This Row],[Player]],'2023'!$A$2:$I$192,8,FALSE))+('Raw Data'!$Z$16*Table219[[#This Row],[RADARSCORE]])</f>
        <v>309.88855262150315</v>
      </c>
    </row>
    <row r="69" spans="1:20">
      <c r="A69" t="s">
        <v>149</v>
      </c>
      <c r="B69">
        <v>151</v>
      </c>
      <c r="C69">
        <v>105</v>
      </c>
      <c r="D69">
        <v>80</v>
      </c>
      <c r="E69">
        <v>35</v>
      </c>
      <c r="F69">
        <v>121</v>
      </c>
      <c r="G69">
        <v>114</v>
      </c>
      <c r="H69">
        <v>246.4</v>
      </c>
      <c r="I69" s="14">
        <v>403.95154605726611</v>
      </c>
      <c r="J69">
        <v>104</v>
      </c>
      <c r="K69">
        <v>66</v>
      </c>
      <c r="L69">
        <v>71</v>
      </c>
      <c r="M69">
        <v>71</v>
      </c>
      <c r="N69" s="143"/>
      <c r="O69" s="143"/>
      <c r="P69">
        <v>-7</v>
      </c>
      <c r="R69" s="14">
        <f>('Raw Data'!$Z$14*VLOOKUP(Table219[[#This Row],[Player]],'2023'!$A$2:$I$192,8,FALSE))+('Raw Data'!$Z$16*Table219[[#This Row],[DGSCORE]])</f>
        <v>277.50442841283945</v>
      </c>
      <c r="S69" s="16" t="e">
        <f>_xlfn.RANK.AVG(Table219[[#This Row],[BDG]],Table219[BDG],1)</f>
        <v>#N/A</v>
      </c>
      <c r="T69" s="14">
        <f>('Raw Data'!$Z$14*VLOOKUP(Table219[[#This Row],[Player]],'2023'!$A$2:$I$192,8,FALSE))+('Raw Data'!$Z$16*Table219[[#This Row],[RADARSCORE]])</f>
        <v>367.46217052982399</v>
      </c>
    </row>
    <row r="70" spans="1:20">
      <c r="A70" t="s">
        <v>87</v>
      </c>
      <c r="B70">
        <v>87</v>
      </c>
      <c r="C70">
        <v>66</v>
      </c>
      <c r="D70">
        <v>60</v>
      </c>
      <c r="E70">
        <v>154</v>
      </c>
      <c r="F70">
        <v>168</v>
      </c>
      <c r="G70">
        <v>112</v>
      </c>
      <c r="H70">
        <v>247.3</v>
      </c>
      <c r="I70" s="14">
        <v>416.94666812808765</v>
      </c>
      <c r="J70">
        <v>106</v>
      </c>
      <c r="K70">
        <v>67</v>
      </c>
      <c r="L70">
        <v>74</v>
      </c>
      <c r="M70">
        <v>74</v>
      </c>
      <c r="N70" s="143"/>
      <c r="O70" s="143"/>
      <c r="P70">
        <v>-20</v>
      </c>
      <c r="R70" s="14">
        <f>('Raw Data'!$Z$14*VLOOKUP(Table219[[#This Row],[Player]],'2023'!$A$2:$I$192,8,FALSE))+('Raw Data'!$Z$16*Table219[[#This Row],[DGSCORE]])</f>
        <v>269.43777249796574</v>
      </c>
      <c r="S70" s="16" t="e">
        <f>_xlfn.RANK.AVG(Table219[[#This Row],[BDG]],Table219[BDG],1)</f>
        <v>#N/A</v>
      </c>
      <c r="T70" s="14">
        <f>('Raw Data'!$Z$14*VLOOKUP(Table219[[#This Row],[Player]],'2023'!$A$2:$I$192,8,FALSE))+('Raw Data'!$Z$16*Table219[[#This Row],[RADARSCORE]])</f>
        <v>366.30150760168323</v>
      </c>
    </row>
    <row r="71" spans="1:20">
      <c r="A71" t="s">
        <v>60</v>
      </c>
      <c r="B71">
        <v>65</v>
      </c>
      <c r="C71">
        <v>29</v>
      </c>
      <c r="D71">
        <v>130</v>
      </c>
      <c r="E71">
        <v>191</v>
      </c>
      <c r="F71">
        <v>86</v>
      </c>
      <c r="G71">
        <v>103</v>
      </c>
      <c r="H71">
        <v>248.8</v>
      </c>
      <c r="I71" s="14">
        <v>417.59254720334661</v>
      </c>
      <c r="J71">
        <v>108</v>
      </c>
      <c r="K71">
        <v>68</v>
      </c>
      <c r="L71">
        <v>75</v>
      </c>
      <c r="M71">
        <v>75</v>
      </c>
      <c r="N71" s="143"/>
      <c r="O71" s="143"/>
      <c r="P71">
        <v>-21</v>
      </c>
      <c r="R71" s="14">
        <f>('Raw Data'!$Z$14*VLOOKUP(Table219[[#This Row],[Player]],'2023'!$A$2:$I$192,8,FALSE))+('Raw Data'!$Z$16*Table219[[#This Row],[DGSCORE]])</f>
        <v>263.6443203184034</v>
      </c>
      <c r="S71" s="16" t="e">
        <f>_xlfn.RANK.AVG(Table219[[#This Row],[BDG]],Table219[BDG],1)</f>
        <v>#N/A</v>
      </c>
      <c r="T71" s="14">
        <f>('Raw Data'!$Z$14*VLOOKUP(Table219[[#This Row],[Player]],'2023'!$A$2:$I$192,8,FALSE))+('Raw Data'!$Z$16*Table219[[#This Row],[RADARSCORE]])</f>
        <v>360.02037509268348</v>
      </c>
    </row>
    <row r="72" spans="1:20">
      <c r="A72" t="s">
        <v>102</v>
      </c>
      <c r="B72">
        <v>103</v>
      </c>
      <c r="C72">
        <v>62</v>
      </c>
      <c r="D72">
        <v>97</v>
      </c>
      <c r="E72">
        <v>142</v>
      </c>
      <c r="F72">
        <v>105</v>
      </c>
      <c r="G72">
        <v>144</v>
      </c>
      <c r="H72">
        <v>249.2</v>
      </c>
      <c r="I72" s="14">
        <v>451.08710755520599</v>
      </c>
      <c r="J72">
        <v>109</v>
      </c>
      <c r="K72">
        <v>69</v>
      </c>
      <c r="L72">
        <v>85</v>
      </c>
      <c r="M72">
        <v>85</v>
      </c>
      <c r="N72" s="143"/>
      <c r="O72" s="143"/>
      <c r="P72">
        <v>-11</v>
      </c>
      <c r="R72" s="14">
        <f>('Raw Data'!$Z$14*VLOOKUP(Table219[[#This Row],[Player]],'2023'!$A$2:$I$192,8,FALSE))+('Raw Data'!$Z$16*Table219[[#This Row],[DGSCORE]])</f>
        <v>271.38067515784553</v>
      </c>
      <c r="S72" s="16" t="e">
        <f>_xlfn.RANK.AVG(Table219[[#This Row],[BDG]],Table219[BDG],1)</f>
        <v>#N/A</v>
      </c>
      <c r="T72" s="14">
        <f>('Raw Data'!$Z$14*VLOOKUP(Table219[[#This Row],[Player]],'2023'!$A$2:$I$192,8,FALSE))+('Raw Data'!$Z$16*Table219[[#This Row],[RADARSCORE]])</f>
        <v>386.65284361751878</v>
      </c>
    </row>
    <row r="73" spans="1:20">
      <c r="A73" t="s">
        <v>63</v>
      </c>
      <c r="B73">
        <v>71</v>
      </c>
      <c r="C73">
        <v>161</v>
      </c>
      <c r="D73">
        <v>181</v>
      </c>
      <c r="E73">
        <v>18</v>
      </c>
      <c r="F73">
        <v>2</v>
      </c>
      <c r="G73">
        <v>59</v>
      </c>
      <c r="H73">
        <v>250.7</v>
      </c>
      <c r="I73" s="14">
        <v>345.87261036532504</v>
      </c>
      <c r="J73">
        <v>110</v>
      </c>
      <c r="K73">
        <v>70</v>
      </c>
      <c r="L73">
        <v>48</v>
      </c>
      <c r="M73">
        <v>48</v>
      </c>
      <c r="N73" s="143"/>
      <c r="O73" s="143"/>
      <c r="P73">
        <v>6</v>
      </c>
      <c r="R73" s="14">
        <f>('Raw Data'!$Z$14*VLOOKUP(Table219[[#This Row],[Player]],'2023'!$A$2:$I$192,8,FALSE))+('Raw Data'!$Z$16*Table219[[#This Row],[DGSCORE]])</f>
        <v>262.97016072561667</v>
      </c>
      <c r="S73" s="16" t="e">
        <f>_xlfn.RANK.AVG(Table219[[#This Row],[BDG]],Table219[BDG],1)</f>
        <v>#N/A</v>
      </c>
      <c r="T73" s="14">
        <f>('Raw Data'!$Z$14*VLOOKUP(Table219[[#This Row],[Player]],'2023'!$A$2:$I$192,8,FALSE))+('Raw Data'!$Z$16*Table219[[#This Row],[RADARSCORE]])</f>
        <v>317.31118976719944</v>
      </c>
    </row>
    <row r="74" spans="1:20">
      <c r="A74" t="s">
        <v>136</v>
      </c>
      <c r="B74">
        <v>142</v>
      </c>
      <c r="C74">
        <v>25</v>
      </c>
      <c r="D74">
        <v>93</v>
      </c>
      <c r="E74">
        <v>185</v>
      </c>
      <c r="F74">
        <v>71</v>
      </c>
      <c r="G74">
        <v>123</v>
      </c>
      <c r="H74">
        <v>251</v>
      </c>
      <c r="I74" s="14">
        <v>440.55154516528137</v>
      </c>
      <c r="J74">
        <v>111</v>
      </c>
      <c r="K74">
        <v>71</v>
      </c>
      <c r="L74">
        <v>83</v>
      </c>
      <c r="M74">
        <v>83</v>
      </c>
      <c r="N74" s="143"/>
      <c r="O74" s="143"/>
      <c r="P74">
        <v>-8</v>
      </c>
      <c r="R74" s="14">
        <f>('Raw Data'!$Z$14*VLOOKUP(Table219[[#This Row],[Player]],'2023'!$A$2:$I$192,8,FALSE))+('Raw Data'!$Z$16*Table219[[#This Row],[DGSCORE]])</f>
        <v>278.41479966317854</v>
      </c>
      <c r="S74" s="16" t="e">
        <f>_xlfn.RANK.AVG(Table219[[#This Row],[BDG]],Table219[BDG],1)</f>
        <v>#N/A</v>
      </c>
      <c r="T74" s="14">
        <f>('Raw Data'!$Z$14*VLOOKUP(Table219[[#This Row],[Player]],'2023'!$A$2:$I$192,8,FALSE))+('Raw Data'!$Z$16*Table219[[#This Row],[RADARSCORE]])</f>
        <v>386.64369010933433</v>
      </c>
    </row>
    <row r="75" spans="1:20">
      <c r="A75" t="s">
        <v>161</v>
      </c>
      <c r="B75">
        <v>164</v>
      </c>
      <c r="C75">
        <v>22</v>
      </c>
      <c r="D75">
        <v>113</v>
      </c>
      <c r="E75">
        <v>92</v>
      </c>
      <c r="F75">
        <v>107</v>
      </c>
      <c r="G75">
        <v>136</v>
      </c>
      <c r="H75">
        <v>251.70000000000002</v>
      </c>
      <c r="I75" s="14">
        <v>447.56468067242326</v>
      </c>
      <c r="J75">
        <v>112</v>
      </c>
      <c r="K75">
        <v>72</v>
      </c>
      <c r="L75">
        <v>84</v>
      </c>
      <c r="M75">
        <v>84</v>
      </c>
      <c r="N75" s="143"/>
      <c r="O75" s="143"/>
      <c r="P75">
        <v>-1</v>
      </c>
      <c r="R75" s="14">
        <f>('Raw Data'!$Z$14*VLOOKUP(Table219[[#This Row],[Player]],'2023'!$A$2:$I$192,8,FALSE))+('Raw Data'!$Z$16*Table219[[#This Row],[DGSCORE]])</f>
        <v>284.43472948827105</v>
      </c>
      <c r="S75" s="16" t="e">
        <f>_xlfn.RANK.AVG(Table219[[#This Row],[BDG]],Table219[BDG],1)</f>
        <v>#N/A</v>
      </c>
      <c r="T75" s="14">
        <f>('Raw Data'!$Z$14*VLOOKUP(Table219[[#This Row],[Player]],'2023'!$A$2:$I$192,8,FALSE))+('Raw Data'!$Z$16*Table219[[#This Row],[RADARSCORE]])</f>
        <v>396.26825238719016</v>
      </c>
    </row>
    <row r="76" spans="1:20">
      <c r="A76" t="s">
        <v>137</v>
      </c>
      <c r="B76">
        <v>136</v>
      </c>
      <c r="C76">
        <v>51</v>
      </c>
      <c r="D76">
        <v>83</v>
      </c>
      <c r="E76">
        <v>65</v>
      </c>
      <c r="F76">
        <v>188</v>
      </c>
      <c r="G76">
        <v>127</v>
      </c>
      <c r="H76">
        <v>252.8</v>
      </c>
      <c r="I76" s="14">
        <v>433.78221112050994</v>
      </c>
      <c r="J76">
        <v>113</v>
      </c>
      <c r="K76">
        <v>73</v>
      </c>
      <c r="L76">
        <v>80</v>
      </c>
      <c r="M76">
        <v>80</v>
      </c>
      <c r="N76" s="143"/>
      <c r="O76" s="143"/>
      <c r="P76">
        <v>19</v>
      </c>
      <c r="R76" s="14">
        <f>('Raw Data'!$Z$14*VLOOKUP(Table219[[#This Row],[Player]],'2023'!$A$2:$I$192,8,FALSE))+('Raw Data'!$Z$16*Table219[[#This Row],[DGSCORE]])</f>
        <v>284.20474703199795</v>
      </c>
      <c r="S76" s="16" t="e">
        <f>_xlfn.RANK.AVG(Table219[[#This Row],[BDG]],Table219[BDG],1)</f>
        <v>#N/A</v>
      </c>
      <c r="T76" s="14">
        <f>('Raw Data'!$Z$14*VLOOKUP(Table219[[#This Row],[Player]],'2023'!$A$2:$I$192,8,FALSE))+('Raw Data'!$Z$16*Table219[[#This Row],[RADARSCORE]])</f>
        <v>387.54077567257269</v>
      </c>
    </row>
    <row r="77" spans="1:20">
      <c r="A77" t="s">
        <v>28</v>
      </c>
      <c r="B77">
        <v>31</v>
      </c>
      <c r="C77">
        <v>90</v>
      </c>
      <c r="D77">
        <v>149</v>
      </c>
      <c r="E77">
        <v>88</v>
      </c>
      <c r="F77">
        <v>134</v>
      </c>
      <c r="G77">
        <v>92</v>
      </c>
      <c r="H77">
        <v>253.6</v>
      </c>
      <c r="I77" s="14">
        <v>396.44226419449632</v>
      </c>
      <c r="J77">
        <v>115</v>
      </c>
      <c r="K77">
        <v>74</v>
      </c>
      <c r="L77">
        <v>65</v>
      </c>
      <c r="M77">
        <v>65</v>
      </c>
      <c r="N77" s="143"/>
      <c r="O77" s="143"/>
      <c r="P77">
        <v>1</v>
      </c>
      <c r="R77" s="14">
        <f>('Raw Data'!$Z$14*VLOOKUP(Table219[[#This Row],[Player]],'2023'!$A$2:$I$192,8,FALSE))+('Raw Data'!$Z$16*Table219[[#This Row],[DGSCORE]])</f>
        <v>264.66888624898286</v>
      </c>
      <c r="S77" s="16" t="e">
        <f>_xlfn.RANK.AVG(Table219[[#This Row],[BDG]],Table219[BDG],1)</f>
        <v>#N/A</v>
      </c>
      <c r="T77" s="14">
        <f>('Raw Data'!$Z$14*VLOOKUP(Table219[[#This Row],[Player]],'2023'!$A$2:$I$192,8,FALSE))+('Raw Data'!$Z$16*Table219[[#This Row],[RADARSCORE]])</f>
        <v>346.2280196715397</v>
      </c>
    </row>
    <row r="78" spans="1:20">
      <c r="A78" t="s">
        <v>182</v>
      </c>
      <c r="B78">
        <v>185</v>
      </c>
      <c r="C78">
        <v>134</v>
      </c>
      <c r="D78">
        <v>117</v>
      </c>
      <c r="E78">
        <v>2</v>
      </c>
      <c r="F78">
        <v>31</v>
      </c>
      <c r="G78">
        <v>83</v>
      </c>
      <c r="H78">
        <v>254.6</v>
      </c>
      <c r="I78" s="14">
        <v>377.04333670680569</v>
      </c>
      <c r="J78">
        <v>116</v>
      </c>
      <c r="K78">
        <v>75</v>
      </c>
      <c r="L78">
        <v>58</v>
      </c>
      <c r="M78">
        <v>58</v>
      </c>
      <c r="N78" s="143"/>
      <c r="O78" s="143"/>
      <c r="P78">
        <v>-13</v>
      </c>
      <c r="R78" s="14">
        <f>('Raw Data'!$Z$14*VLOOKUP(Table219[[#This Row],[Player]],'2023'!$A$2:$I$192,8,FALSE))+('Raw Data'!$Z$16*Table219[[#This Row],[DGSCORE]])</f>
        <v>287.67795076730926</v>
      </c>
      <c r="S78" s="16" t="e">
        <f>_xlfn.RANK.AVG(Table219[[#This Row],[BDG]],Table219[BDG],1)</f>
        <v>#N/A</v>
      </c>
      <c r="T78" s="14">
        <f>('Raw Data'!$Z$14*VLOOKUP(Table219[[#This Row],[Player]],'2023'!$A$2:$I$192,8,FALSE))+('Raw Data'!$Z$16*Table219[[#This Row],[RADARSCORE]])</f>
        <v>357.58983918134209</v>
      </c>
    </row>
    <row r="79" spans="1:20">
      <c r="A79" t="s">
        <v>30</v>
      </c>
      <c r="B79">
        <v>28</v>
      </c>
      <c r="C79">
        <v>147</v>
      </c>
      <c r="D79">
        <v>115</v>
      </c>
      <c r="E79">
        <v>66</v>
      </c>
      <c r="F79">
        <v>166</v>
      </c>
      <c r="G79">
        <v>93</v>
      </c>
      <c r="H79">
        <v>260.8</v>
      </c>
      <c r="I79" s="14">
        <v>397.09754010848906</v>
      </c>
      <c r="J79">
        <v>119</v>
      </c>
      <c r="K79">
        <v>77</v>
      </c>
      <c r="L79">
        <v>66</v>
      </c>
      <c r="M79">
        <v>66</v>
      </c>
      <c r="N79" s="143"/>
      <c r="O79" s="143"/>
      <c r="P79">
        <v>-12</v>
      </c>
      <c r="R79" s="14">
        <f>('Raw Data'!$Z$14*VLOOKUP(Table219[[#This Row],[Player]],'2023'!$A$2:$I$192,8,FALSE))+('Raw Data'!$Z$16*Table219[[#This Row],[DGSCORE]])</f>
        <v>272.72693944657846</v>
      </c>
      <c r="S79" s="16" t="e">
        <f>_xlfn.RANK.AVG(Table219[[#This Row],[BDG]],Table219[BDG],1)</f>
        <v>#N/A</v>
      </c>
      <c r="T79" s="14">
        <f>('Raw Data'!$Z$14*VLOOKUP(Table219[[#This Row],[Player]],'2023'!$A$2:$I$192,8,FALSE))+('Raw Data'!$Z$16*Table219[[#This Row],[RADARSCORE]])</f>
        <v>350.54920949781769</v>
      </c>
    </row>
    <row r="80" spans="1:20">
      <c r="A80" t="s">
        <v>23</v>
      </c>
      <c r="B80">
        <v>23</v>
      </c>
      <c r="C80">
        <v>160</v>
      </c>
      <c r="D80">
        <v>52</v>
      </c>
      <c r="E80">
        <v>147</v>
      </c>
      <c r="F80">
        <v>189</v>
      </c>
      <c r="G80">
        <v>91</v>
      </c>
      <c r="H80">
        <v>262.3</v>
      </c>
      <c r="I80" s="14">
        <v>401.41508418585516</v>
      </c>
      <c r="J80">
        <v>120</v>
      </c>
      <c r="K80">
        <v>78</v>
      </c>
      <c r="L80">
        <v>69</v>
      </c>
      <c r="M80">
        <v>69</v>
      </c>
      <c r="N80" s="143">
        <v>0</v>
      </c>
      <c r="O80" s="143">
        <v>0</v>
      </c>
      <c r="P80">
        <v>35</v>
      </c>
      <c r="R80" s="14">
        <f>('Raw Data'!$Z$14*VLOOKUP(Table219[[#This Row],[Player]],'2023'!$A$2:$I$192,8,FALSE))+('Raw Data'!$Z$16*Table219[[#This Row],[DGSCORE]])</f>
        <v>274.35564742621779</v>
      </c>
      <c r="S80" s="16" t="e">
        <f>_xlfn.RANK.AVG(Table219[[#This Row],[BDG]],Table219[BDG],1)</f>
        <v>#N/A</v>
      </c>
      <c r="T80" s="14">
        <f>('Raw Data'!$Z$14*VLOOKUP(Table219[[#This Row],[Player]],'2023'!$A$2:$I$192,8,FALSE))+('Raw Data'!$Z$16*Table219[[#This Row],[RADARSCORE]])</f>
        <v>353.78666020234789</v>
      </c>
    </row>
    <row r="81" spans="1:20">
      <c r="A81" t="s">
        <v>156</v>
      </c>
      <c r="B81">
        <v>158</v>
      </c>
      <c r="C81">
        <v>20</v>
      </c>
      <c r="D81">
        <v>126</v>
      </c>
      <c r="E81">
        <v>41</v>
      </c>
      <c r="F81">
        <v>172</v>
      </c>
      <c r="G81">
        <v>145</v>
      </c>
      <c r="H81">
        <v>262.39999999999998</v>
      </c>
      <c r="I81" s="14">
        <v>465.73984274103532</v>
      </c>
      <c r="J81">
        <v>121</v>
      </c>
      <c r="K81">
        <v>79</v>
      </c>
      <c r="L81">
        <v>87</v>
      </c>
      <c r="M81">
        <v>87</v>
      </c>
      <c r="N81" s="143"/>
      <c r="O81" s="143"/>
      <c r="P81">
        <v>13</v>
      </c>
      <c r="R81" s="14">
        <f>('Raw Data'!$Z$14*VLOOKUP(Table219[[#This Row],[Player]],'2023'!$A$2:$I$192,8,FALSE))+('Raw Data'!$Z$16*Table219[[#This Row],[DGSCORE]])</f>
        <v>296.89373854334195</v>
      </c>
      <c r="S81" s="16" t="e">
        <f>_xlfn.RANK.AVG(Table219[[#This Row],[BDG]],Table219[BDG],1)</f>
        <v>#N/A</v>
      </c>
      <c r="T81" s="14">
        <f>('Raw Data'!$Z$14*VLOOKUP(Table219[[#This Row],[Player]],'2023'!$A$2:$I$192,8,FALSE))+('Raw Data'!$Z$16*Table219[[#This Row],[RADARSCORE]])</f>
        <v>412.9953801531143</v>
      </c>
    </row>
    <row r="82" spans="1:20">
      <c r="A82" t="s">
        <v>133</v>
      </c>
      <c r="B82">
        <v>140</v>
      </c>
      <c r="C82">
        <v>69</v>
      </c>
      <c r="D82">
        <v>84</v>
      </c>
      <c r="E82">
        <v>115</v>
      </c>
      <c r="F82">
        <v>135</v>
      </c>
      <c r="G82">
        <v>98</v>
      </c>
      <c r="H82">
        <v>263.3</v>
      </c>
      <c r="I82" s="14">
        <v>419.30997471815823</v>
      </c>
      <c r="J82">
        <v>122</v>
      </c>
      <c r="K82">
        <v>80</v>
      </c>
      <c r="L82">
        <v>76</v>
      </c>
      <c r="M82">
        <v>76</v>
      </c>
      <c r="N82" s="143"/>
      <c r="O82" s="143"/>
      <c r="P82">
        <v>-10</v>
      </c>
      <c r="R82" s="14">
        <f>('Raw Data'!$Z$14*VLOOKUP(Table219[[#This Row],[Player]],'2023'!$A$2:$I$192,8,FALSE))+('Raw Data'!$Z$16*Table219[[#This Row],[DGSCORE]])</f>
        <v>293.11734861644612</v>
      </c>
      <c r="S82" s="16" t="e">
        <f>_xlfn.RANK.AVG(Table219[[#This Row],[BDG]],Table219[BDG],1)</f>
        <v>#N/A</v>
      </c>
      <c r="T82" s="14">
        <f>('Raw Data'!$Z$14*VLOOKUP(Table219[[#This Row],[Player]],'2023'!$A$2:$I$192,8,FALSE))+('Raw Data'!$Z$16*Table219[[#This Row],[RADARSCORE]])</f>
        <v>382.19489450274443</v>
      </c>
    </row>
    <row r="83" spans="1:20">
      <c r="A83" t="s">
        <v>98</v>
      </c>
      <c r="B83">
        <v>99</v>
      </c>
      <c r="C83">
        <v>158</v>
      </c>
      <c r="D83">
        <v>159</v>
      </c>
      <c r="E83">
        <v>59</v>
      </c>
      <c r="F83">
        <v>1</v>
      </c>
      <c r="G83">
        <v>82</v>
      </c>
      <c r="H83">
        <v>263.8</v>
      </c>
      <c r="I83" s="14">
        <v>388.47631251117235</v>
      </c>
      <c r="J83">
        <v>123</v>
      </c>
      <c r="K83">
        <v>81</v>
      </c>
      <c r="L83">
        <v>61</v>
      </c>
      <c r="M83">
        <v>61</v>
      </c>
      <c r="N83" s="143"/>
      <c r="O83" s="143"/>
      <c r="P83">
        <v>-10</v>
      </c>
      <c r="R83" s="14">
        <f>('Raw Data'!$Z$14*VLOOKUP(Table219[[#This Row],[Player]],'2023'!$A$2:$I$192,8,FALSE))+('Raw Data'!$Z$16*Table219[[#This Row],[DGSCORE]])</f>
        <v>280.83235597227213</v>
      </c>
      <c r="S83" s="16" t="e">
        <f>_xlfn.RANK.AVG(Table219[[#This Row],[BDG]],Table219[BDG],1)</f>
        <v>#N/A</v>
      </c>
      <c r="T83" s="14">
        <f>('Raw Data'!$Z$14*VLOOKUP(Table219[[#This Row],[Player]],'2023'!$A$2:$I$192,8,FALSE))+('Raw Data'!$Z$16*Table219[[#This Row],[RADARSCORE]])</f>
        <v>352.01921417612641</v>
      </c>
    </row>
    <row r="84" spans="1:20">
      <c r="A84" t="s">
        <v>147</v>
      </c>
      <c r="B84">
        <v>150</v>
      </c>
      <c r="C84">
        <v>102</v>
      </c>
      <c r="D84">
        <v>91</v>
      </c>
      <c r="E84">
        <v>161</v>
      </c>
      <c r="F84">
        <v>35</v>
      </c>
      <c r="G84">
        <v>107</v>
      </c>
      <c r="H84">
        <v>268.10000000000002</v>
      </c>
      <c r="I84" s="14">
        <v>433.80027553111728</v>
      </c>
      <c r="J84">
        <v>125</v>
      </c>
      <c r="K84">
        <v>82</v>
      </c>
      <c r="L84">
        <v>81</v>
      </c>
      <c r="M84">
        <v>81</v>
      </c>
      <c r="N84" s="143"/>
      <c r="O84" s="143"/>
      <c r="P84">
        <v>-7</v>
      </c>
      <c r="R84" s="14">
        <f>('Raw Data'!$Z$14*VLOOKUP(Table219[[#This Row],[Player]],'2023'!$A$2:$I$192,8,FALSE))+('Raw Data'!$Z$16*Table219[[#This Row],[DGSCORE]])</f>
        <v>295.34318902365942</v>
      </c>
      <c r="S84" s="16" t="e">
        <f>_xlfn.RANK.AVG(Table219[[#This Row],[BDG]],Table219[BDG],1)</f>
        <v>#N/A</v>
      </c>
      <c r="T84" s="14">
        <f>('Raw Data'!$Z$14*VLOOKUP(Table219[[#This Row],[Player]],'2023'!$A$2:$I$192,8,FALSE))+('Raw Data'!$Z$16*Table219[[#This Row],[RADARSCORE]])</f>
        <v>389.95363892380544</v>
      </c>
    </row>
    <row r="85" spans="1:20">
      <c r="A85" t="s">
        <v>71</v>
      </c>
      <c r="B85">
        <v>68</v>
      </c>
      <c r="C85">
        <v>186</v>
      </c>
      <c r="D85">
        <v>127</v>
      </c>
      <c r="E85">
        <v>101</v>
      </c>
      <c r="F85">
        <v>32</v>
      </c>
      <c r="G85">
        <v>120</v>
      </c>
      <c r="H85">
        <v>269.09999999999997</v>
      </c>
      <c r="I85" s="14">
        <v>432.41412593793098</v>
      </c>
      <c r="J85">
        <v>127</v>
      </c>
      <c r="K85">
        <v>83</v>
      </c>
      <c r="L85">
        <v>79</v>
      </c>
      <c r="M85">
        <v>79</v>
      </c>
      <c r="N85" s="143"/>
      <c r="O85" s="143"/>
      <c r="P85">
        <v>-12</v>
      </c>
      <c r="R85" s="14">
        <f>('Raw Data'!$Z$14*VLOOKUP(Table219[[#This Row],[Player]],'2023'!$A$2:$I$192,8,FALSE))+('Raw Data'!$Z$16*Table219[[#This Row],[DGSCORE]])</f>
        <v>282.14240860345262</v>
      </c>
      <c r="S85" s="16" t="e">
        <f>_xlfn.RANK.AVG(Table219[[#This Row],[BDG]],Table219[BDG],1)</f>
        <v>#N/A</v>
      </c>
      <c r="T85" s="14">
        <f>('Raw Data'!$Z$14*VLOOKUP(Table219[[#This Row],[Player]],'2023'!$A$2:$I$192,8,FALSE))+('Raw Data'!$Z$16*Table219[[#This Row],[RADARSCORE]])</f>
        <v>375.3904305545999</v>
      </c>
    </row>
    <row r="86" spans="1:20">
      <c r="A86" t="s">
        <v>108</v>
      </c>
      <c r="B86">
        <v>101</v>
      </c>
      <c r="C86">
        <v>165</v>
      </c>
      <c r="D86">
        <v>163</v>
      </c>
      <c r="E86">
        <v>53</v>
      </c>
      <c r="F86">
        <v>4</v>
      </c>
      <c r="G86">
        <v>94</v>
      </c>
      <c r="H86">
        <v>269.90000000000003</v>
      </c>
      <c r="I86" s="14">
        <v>406.55530070554335</v>
      </c>
      <c r="J86">
        <v>128</v>
      </c>
      <c r="K86">
        <v>84</v>
      </c>
      <c r="L86">
        <v>72</v>
      </c>
      <c r="M86">
        <v>72</v>
      </c>
      <c r="N86" s="143"/>
      <c r="O86" s="143"/>
      <c r="P86">
        <v>-3</v>
      </c>
      <c r="R86" s="14">
        <f>('Raw Data'!$Z$14*VLOOKUP(Table219[[#This Row],[Player]],'2023'!$A$2:$I$192,8,FALSE))+('Raw Data'!$Z$16*Table219[[#This Row],[DGSCORE]])</f>
        <v>287.40428523094965</v>
      </c>
      <c r="S86" s="16" t="e">
        <f>_xlfn.RANK.AVG(Table219[[#This Row],[BDG]],Table219[BDG],1)</f>
        <v>#N/A</v>
      </c>
      <c r="T86" s="14">
        <f>('Raw Data'!$Z$14*VLOOKUP(Table219[[#This Row],[Player]],'2023'!$A$2:$I$192,8,FALSE))+('Raw Data'!$Z$16*Table219[[#This Row],[RADARSCORE]])</f>
        <v>365.4308270671051</v>
      </c>
    </row>
    <row r="87" spans="1:20">
      <c r="A87" t="s">
        <v>91</v>
      </c>
      <c r="B87">
        <v>90</v>
      </c>
      <c r="C87">
        <v>125</v>
      </c>
      <c r="D87">
        <v>111</v>
      </c>
      <c r="E87">
        <v>103</v>
      </c>
      <c r="F87">
        <v>117</v>
      </c>
      <c r="G87">
        <v>153</v>
      </c>
      <c r="H87">
        <v>273.2</v>
      </c>
      <c r="I87" s="14">
        <v>478.20841945494124</v>
      </c>
      <c r="J87">
        <v>133.5</v>
      </c>
      <c r="K87">
        <v>86</v>
      </c>
      <c r="L87">
        <v>90</v>
      </c>
      <c r="M87">
        <v>90</v>
      </c>
      <c r="N87" s="143"/>
      <c r="O87" s="143"/>
      <c r="P87">
        <v>-5</v>
      </c>
      <c r="R87" s="14">
        <f>('Raw Data'!$Z$14*VLOOKUP(Table219[[#This Row],[Player]],'2023'!$A$2:$I$192,8,FALSE))+('Raw Data'!$Z$16*Table219[[#This Row],[DGSCORE]])</f>
        <v>293.66456876265437</v>
      </c>
      <c r="S87" s="16" t="e">
        <f>_xlfn.RANK.AVG(Table219[[#This Row],[BDG]],Table219[BDG],1)</f>
        <v>#N/A</v>
      </c>
      <c r="T87" s="14">
        <f>('Raw Data'!$Z$14*VLOOKUP(Table219[[#This Row],[Player]],'2023'!$A$2:$I$192,8,FALSE))+('Raw Data'!$Z$16*Table219[[#This Row],[RADARSCORE]])</f>
        <v>410.71892329393239</v>
      </c>
    </row>
    <row r="88" spans="1:20">
      <c r="A88" t="s">
        <v>80</v>
      </c>
      <c r="B88">
        <v>81</v>
      </c>
      <c r="C88">
        <v>42</v>
      </c>
      <c r="D88">
        <v>171</v>
      </c>
      <c r="E88">
        <v>141</v>
      </c>
      <c r="F88">
        <v>89</v>
      </c>
      <c r="G88">
        <v>143</v>
      </c>
      <c r="H88">
        <v>273.2</v>
      </c>
      <c r="I88" s="14">
        <v>481.88088384619306</v>
      </c>
      <c r="J88">
        <v>133.5</v>
      </c>
      <c r="K88">
        <v>85</v>
      </c>
      <c r="L88">
        <v>92</v>
      </c>
      <c r="M88">
        <v>92</v>
      </c>
      <c r="N88" s="143"/>
      <c r="O88" s="143"/>
      <c r="R88" s="14">
        <f>('Raw Data'!$Z$14*VLOOKUP(Table219[[#This Row],[Player]],'2023'!$A$2:$I$192,8,FALSE))+('Raw Data'!$Z$16*Table219[[#This Row],[DGSCORE]])</f>
        <v>290.91879853034857</v>
      </c>
      <c r="S88" s="16" t="e">
        <f>_xlfn.RANK.AVG(Table219[[#This Row],[BDG]],Table219[BDG],1)</f>
        <v>#N/A</v>
      </c>
      <c r="T88" s="14">
        <f>('Raw Data'!$Z$14*VLOOKUP(Table219[[#This Row],[Player]],'2023'!$A$2:$I$192,8,FALSE))+('Raw Data'!$Z$16*Table219[[#This Row],[RADARSCORE]])</f>
        <v>410.07003254589358</v>
      </c>
    </row>
    <row r="89" spans="1:20">
      <c r="A89" t="s">
        <v>116</v>
      </c>
      <c r="B89">
        <v>115</v>
      </c>
      <c r="C89">
        <v>13</v>
      </c>
      <c r="D89">
        <v>134</v>
      </c>
      <c r="E89">
        <v>177</v>
      </c>
      <c r="F89">
        <v>113</v>
      </c>
      <c r="G89">
        <v>115</v>
      </c>
      <c r="H89">
        <v>273.8</v>
      </c>
      <c r="I89" s="14">
        <v>461.12118468548442</v>
      </c>
      <c r="J89">
        <v>135</v>
      </c>
      <c r="K89">
        <v>87</v>
      </c>
      <c r="L89">
        <v>86</v>
      </c>
      <c r="M89">
        <v>86</v>
      </c>
      <c r="N89" s="143"/>
      <c r="O89" s="143"/>
      <c r="P89">
        <v>23</v>
      </c>
      <c r="R89" s="14">
        <f>('Raw Data'!$Z$14*VLOOKUP(Table219[[#This Row],[Player]],'2023'!$A$2:$I$192,8,FALSE))+('Raw Data'!$Z$16*Table219[[#This Row],[DGSCORE]])</f>
        <v>298.38322411111312</v>
      </c>
      <c r="S89" s="16" t="e">
        <f>_xlfn.RANK.AVG(Table219[[#This Row],[BDG]],Table219[BDG],1)</f>
        <v>#N/A</v>
      </c>
      <c r="T89" s="14">
        <f>('Raw Data'!$Z$14*VLOOKUP(Table219[[#This Row],[Player]],'2023'!$A$2:$I$192,8,FALSE))+('Raw Data'!$Z$16*Table219[[#This Row],[RADARSCORE]])</f>
        <v>405.33863804821226</v>
      </c>
    </row>
    <row r="90" spans="1:20">
      <c r="A90" t="s">
        <v>21</v>
      </c>
      <c r="B90">
        <v>19</v>
      </c>
      <c r="C90">
        <v>185</v>
      </c>
      <c r="D90">
        <v>73</v>
      </c>
      <c r="E90">
        <v>165</v>
      </c>
      <c r="F90">
        <v>141</v>
      </c>
      <c r="G90">
        <v>111</v>
      </c>
      <c r="H90">
        <v>275.5</v>
      </c>
      <c r="I90" s="14">
        <v>435.83899684525068</v>
      </c>
      <c r="J90">
        <v>136</v>
      </c>
      <c r="K90">
        <v>88</v>
      </c>
      <c r="L90">
        <v>82</v>
      </c>
      <c r="M90">
        <v>82</v>
      </c>
      <c r="N90" s="143"/>
      <c r="O90" s="143"/>
      <c r="P90">
        <v>21</v>
      </c>
      <c r="R90" s="14">
        <f>('Raw Data'!$Z$14*VLOOKUP(Table219[[#This Row],[Player]],'2023'!$A$2:$I$192,8,FALSE))+('Raw Data'!$Z$16*Table219[[#This Row],[DGSCORE]])</f>
        <v>284.80987719391192</v>
      </c>
      <c r="S90" s="16" t="e">
        <f>_xlfn.RANK.AVG(Table219[[#This Row],[BDG]],Table219[BDG],1)</f>
        <v>#N/A</v>
      </c>
      <c r="T90" s="14">
        <f>('Raw Data'!$Z$14*VLOOKUP(Table219[[#This Row],[Player]],'2023'!$A$2:$I$192,8,FALSE))+('Raw Data'!$Z$16*Table219[[#This Row],[RADARSCORE]])</f>
        <v>376.35917956799585</v>
      </c>
    </row>
    <row r="91" spans="1:20">
      <c r="A91" t="s">
        <v>190</v>
      </c>
      <c r="B91">
        <v>192</v>
      </c>
      <c r="C91">
        <v>15</v>
      </c>
      <c r="D91">
        <v>122</v>
      </c>
      <c r="E91">
        <v>136</v>
      </c>
      <c r="F91">
        <v>83</v>
      </c>
      <c r="G91">
        <v>164</v>
      </c>
      <c r="H91">
        <v>276.5</v>
      </c>
      <c r="I91" s="14">
        <v>510.26812372225618</v>
      </c>
      <c r="J91">
        <v>137</v>
      </c>
      <c r="K91">
        <v>89</v>
      </c>
      <c r="L91">
        <v>96</v>
      </c>
      <c r="M91">
        <v>96</v>
      </c>
      <c r="N91" s="143"/>
      <c r="O91" s="143"/>
      <c r="P91">
        <v>-10</v>
      </c>
      <c r="R91" s="14">
        <f>('Raw Data'!$Z$14*VLOOKUP(Table219[[#This Row],[Player]],'2023'!$A$2:$I$192,8,FALSE))+('Raw Data'!$Z$16*Table219[[#This Row],[DGSCORE]])</f>
        <v>313.01016355769161</v>
      </c>
      <c r="S91" s="16" t="e">
        <f>_xlfn.RANK.AVG(Table219[[#This Row],[BDG]],Table219[BDG],1)</f>
        <v>#N/A</v>
      </c>
      <c r="T91" s="14">
        <f>('Raw Data'!$Z$14*VLOOKUP(Table219[[#This Row],[Player]],'2023'!$A$2:$I$192,8,FALSE))+('Raw Data'!$Z$16*Table219[[#This Row],[RADARSCORE]])</f>
        <v>446.48554425204827</v>
      </c>
    </row>
    <row r="92" spans="1:20">
      <c r="A92" t="s">
        <v>8</v>
      </c>
      <c r="B92">
        <v>4</v>
      </c>
      <c r="C92">
        <v>95</v>
      </c>
      <c r="D92">
        <v>122</v>
      </c>
      <c r="E92">
        <v>192</v>
      </c>
      <c r="F92">
        <v>165</v>
      </c>
      <c r="G92">
        <v>161</v>
      </c>
      <c r="H92">
        <v>277.7</v>
      </c>
      <c r="I92" s="14">
        <v>502.07577751470865</v>
      </c>
      <c r="J92">
        <v>138</v>
      </c>
      <c r="K92">
        <v>90</v>
      </c>
      <c r="L92">
        <v>95</v>
      </c>
      <c r="M92">
        <v>95</v>
      </c>
      <c r="N92" s="143"/>
      <c r="O92" s="143"/>
      <c r="P92">
        <v>2</v>
      </c>
      <c r="R92" s="14">
        <f>('Raw Data'!$Z$14*VLOOKUP(Table219[[#This Row],[Player]],'2023'!$A$2:$I$192,8,FALSE))+('Raw Data'!$Z$16*Table219[[#This Row],[DGSCORE]])</f>
        <v>285.46538143823989</v>
      </c>
      <c r="S92" s="16" t="e">
        <f>_xlfn.RANK.AVG(Table219[[#This Row],[BDG]],Table219[BDG],1)</f>
        <v>#N/A</v>
      </c>
      <c r="T92" s="14">
        <f>('Raw Data'!$Z$14*VLOOKUP(Table219[[#This Row],[Player]],'2023'!$A$2:$I$192,8,FALSE))+('Raw Data'!$Z$16*Table219[[#This Row],[RADARSCORE]])</f>
        <v>413.57798227320444</v>
      </c>
    </row>
    <row r="93" spans="1:20">
      <c r="A93" t="s">
        <v>32</v>
      </c>
      <c r="B93">
        <v>27</v>
      </c>
      <c r="C93">
        <v>133</v>
      </c>
      <c r="D93">
        <v>161</v>
      </c>
      <c r="E93">
        <v>143</v>
      </c>
      <c r="F93">
        <v>77</v>
      </c>
      <c r="G93">
        <v>83</v>
      </c>
      <c r="H93">
        <v>280.7</v>
      </c>
      <c r="I93" s="14">
        <v>419.39774482144571</v>
      </c>
      <c r="J93">
        <v>141.5</v>
      </c>
      <c r="K93">
        <v>91</v>
      </c>
      <c r="L93">
        <v>77</v>
      </c>
      <c r="M93">
        <v>77</v>
      </c>
      <c r="N93" s="143"/>
      <c r="O93" s="143"/>
      <c r="P93">
        <v>2</v>
      </c>
      <c r="R93" s="14">
        <f>('Raw Data'!$Z$14*VLOOKUP(Table219[[#This Row],[Player]],'2023'!$A$2:$I$192,8,FALSE))+('Raw Data'!$Z$16*Table219[[#This Row],[DGSCORE]])</f>
        <v>288.63699207775903</v>
      </c>
      <c r="S93" s="16" t="e">
        <f>_xlfn.RANK.AVG(Table219[[#This Row],[BDG]],Table219[BDG],1)</f>
        <v>#N/A</v>
      </c>
      <c r="T93" s="14">
        <f>('Raw Data'!$Z$14*VLOOKUP(Table219[[#This Row],[Player]],'2023'!$A$2:$I$192,8,FALSE))+('Raw Data'!$Z$16*Table219[[#This Row],[RADARSCORE]])</f>
        <v>367.82971517753674</v>
      </c>
    </row>
    <row r="94" spans="1:20">
      <c r="A94" t="s">
        <v>53</v>
      </c>
      <c r="B94">
        <v>56</v>
      </c>
      <c r="C94">
        <v>174</v>
      </c>
      <c r="D94">
        <v>131</v>
      </c>
      <c r="E94">
        <v>76</v>
      </c>
      <c r="F94">
        <v>109</v>
      </c>
      <c r="G94">
        <v>155</v>
      </c>
      <c r="H94">
        <v>280.7</v>
      </c>
      <c r="I94" s="14">
        <v>480.92720445648411</v>
      </c>
      <c r="J94">
        <v>141.5</v>
      </c>
      <c r="K94">
        <v>92</v>
      </c>
      <c r="L94">
        <v>91</v>
      </c>
      <c r="M94">
        <v>91</v>
      </c>
      <c r="N94" s="143"/>
      <c r="O94" s="143"/>
      <c r="P94">
        <v>-15</v>
      </c>
      <c r="R94" s="14">
        <f>('Raw Data'!$Z$14*VLOOKUP(Table219[[#This Row],[Player]],'2023'!$A$2:$I$192,8,FALSE))+('Raw Data'!$Z$16*Table219[[#This Row],[DGSCORE]])</f>
        <v>294.98658573996624</v>
      </c>
      <c r="S94" s="16" t="e">
        <f>_xlfn.RANK.AVG(Table219[[#This Row],[BDG]],Table219[BDG],1)</f>
        <v>#N/A</v>
      </c>
      <c r="T94" s="14">
        <f>('Raw Data'!$Z$14*VLOOKUP(Table219[[#This Row],[Player]],'2023'!$A$2:$I$192,8,FALSE))+('Raw Data'!$Z$16*Table219[[#This Row],[RADARSCORE]])</f>
        <v>409.31099368169612</v>
      </c>
    </row>
    <row r="95" spans="1:20">
      <c r="A95" t="s">
        <v>65</v>
      </c>
      <c r="B95">
        <v>59</v>
      </c>
      <c r="C95">
        <v>122</v>
      </c>
      <c r="D95">
        <v>95</v>
      </c>
      <c r="E95">
        <v>179</v>
      </c>
      <c r="F95">
        <v>138</v>
      </c>
      <c r="G95">
        <v>156</v>
      </c>
      <c r="H95">
        <v>283.8</v>
      </c>
      <c r="I95" s="14">
        <v>500.25526384171741</v>
      </c>
      <c r="J95">
        <v>143</v>
      </c>
      <c r="K95">
        <v>93</v>
      </c>
      <c r="L95">
        <v>93</v>
      </c>
      <c r="M95">
        <v>93</v>
      </c>
      <c r="N95" s="143">
        <v>0</v>
      </c>
      <c r="O95" s="143">
        <v>0</v>
      </c>
      <c r="P95">
        <v>11</v>
      </c>
      <c r="R95" s="14">
        <f>('Raw Data'!$Z$14*VLOOKUP(Table219[[#This Row],[Player]],'2023'!$A$2:$I$192,8,FALSE))+('Raw Data'!$Z$16*Table219[[#This Row],[DGSCORE]])</f>
        <v>299.84559479503719</v>
      </c>
      <c r="S95" s="16" t="e">
        <f>_xlfn.RANK.AVG(Table219[[#This Row],[BDG]],Table219[BDG],1)</f>
        <v>#N/A</v>
      </c>
      <c r="T95" s="14">
        <f>('Raw Data'!$Z$14*VLOOKUP(Table219[[#This Row],[Player]],'2023'!$A$2:$I$192,8,FALSE))+('Raw Data'!$Z$16*Table219[[#This Row],[RADARSCORE]])</f>
        <v>423.43579299886522</v>
      </c>
    </row>
    <row r="96" spans="1:20">
      <c r="A96" t="s">
        <v>170</v>
      </c>
      <c r="B96">
        <v>171</v>
      </c>
      <c r="C96">
        <v>19</v>
      </c>
      <c r="D96">
        <v>164</v>
      </c>
      <c r="E96">
        <v>123</v>
      </c>
      <c r="F96">
        <v>75</v>
      </c>
      <c r="G96">
        <v>159</v>
      </c>
      <c r="H96">
        <v>289</v>
      </c>
      <c r="I96" s="14">
        <v>518.98837773354853</v>
      </c>
      <c r="J96">
        <v>147</v>
      </c>
      <c r="K96">
        <v>94</v>
      </c>
      <c r="L96">
        <v>97</v>
      </c>
      <c r="M96">
        <v>97</v>
      </c>
      <c r="N96" s="143"/>
      <c r="O96" s="143"/>
      <c r="P96">
        <v>-16</v>
      </c>
      <c r="R96" s="14">
        <f>('Raw Data'!$Z$14*VLOOKUP(Table219[[#This Row],[Player]],'2023'!$A$2:$I$192,8,FALSE))+('Raw Data'!$Z$16*Table219[[#This Row],[DGSCORE]])</f>
        <v>321.56311884875197</v>
      </c>
      <c r="S96" s="16" t="e">
        <f>_xlfn.RANK.AVG(Table219[[#This Row],[BDG]],Table219[BDG],1)</f>
        <v>#N/A</v>
      </c>
      <c r="T96" s="14">
        <f>('Raw Data'!$Z$14*VLOOKUP(Table219[[#This Row],[Player]],'2023'!$A$2:$I$192,8,FALSE))+('Raw Data'!$Z$16*Table219[[#This Row],[RADARSCORE]])</f>
        <v>452.88036512025576</v>
      </c>
    </row>
    <row r="97" spans="1:20">
      <c r="A97" t="s">
        <v>142</v>
      </c>
      <c r="B97">
        <v>144</v>
      </c>
      <c r="C97">
        <v>182</v>
      </c>
      <c r="D97">
        <v>165</v>
      </c>
      <c r="E97">
        <v>23</v>
      </c>
      <c r="F97">
        <v>23</v>
      </c>
      <c r="G97">
        <v>126</v>
      </c>
      <c r="H97">
        <v>296.89999999999998</v>
      </c>
      <c r="I97" s="14">
        <v>467.05585771932539</v>
      </c>
      <c r="J97">
        <v>153</v>
      </c>
      <c r="K97">
        <v>95</v>
      </c>
      <c r="L97">
        <v>88</v>
      </c>
      <c r="M97">
        <v>88</v>
      </c>
      <c r="N97" s="143"/>
      <c r="O97" s="143"/>
      <c r="P97">
        <v>3</v>
      </c>
      <c r="R97" s="14">
        <f>('Raw Data'!$Z$14*VLOOKUP(Table219[[#This Row],[Player]],'2023'!$A$2:$I$192,8,FALSE))+('Raw Data'!$Z$16*Table219[[#This Row],[DGSCORE]])</f>
        <v>322.5986932679873</v>
      </c>
      <c r="S97" s="16" t="e">
        <f>_xlfn.RANK.AVG(Table219[[#This Row],[BDG]],Table219[BDG],1)</f>
        <v>#N/A</v>
      </c>
      <c r="T97" s="14">
        <f>('Raw Data'!$Z$14*VLOOKUP(Table219[[#This Row],[Player]],'2023'!$A$2:$I$192,8,FALSE))+('Raw Data'!$Z$16*Table219[[#This Row],[RADARSCORE]])</f>
        <v>419.75316208447066</v>
      </c>
    </row>
    <row r="98" spans="1:20">
      <c r="A98" t="s">
        <v>148</v>
      </c>
      <c r="B98">
        <v>148</v>
      </c>
      <c r="C98">
        <v>84</v>
      </c>
      <c r="D98">
        <v>155</v>
      </c>
      <c r="E98">
        <v>140</v>
      </c>
      <c r="F98">
        <v>44</v>
      </c>
      <c r="G98">
        <v>106</v>
      </c>
      <c r="H98">
        <v>298.10000000000002</v>
      </c>
      <c r="I98" s="14">
        <v>470.08831485630543</v>
      </c>
      <c r="J98">
        <v>155</v>
      </c>
      <c r="K98">
        <v>96</v>
      </c>
      <c r="L98">
        <v>89</v>
      </c>
      <c r="M98">
        <v>89</v>
      </c>
      <c r="N98" s="143"/>
      <c r="O98" s="143"/>
      <c r="P98">
        <v>16</v>
      </c>
      <c r="R98" s="14">
        <f>('Raw Data'!$Z$14*VLOOKUP(Table219[[#This Row],[Player]],'2023'!$A$2:$I$192,8,FALSE))+('Raw Data'!$Z$16*Table219[[#This Row],[DGSCORE]])</f>
        <v>325.38609168353923</v>
      </c>
      <c r="S98" s="16" t="e">
        <f>_xlfn.RANK.AVG(Table219[[#This Row],[BDG]],Table219[BDG],1)</f>
        <v>#N/A</v>
      </c>
      <c r="T98" s="14">
        <f>('Raw Data'!$Z$14*VLOOKUP(Table219[[#This Row],[Player]],'2023'!$A$2:$I$192,8,FALSE))+('Raw Data'!$Z$16*Table219[[#This Row],[RADARSCORE]])</f>
        <v>423.58684478408122</v>
      </c>
    </row>
    <row r="99" spans="1:20">
      <c r="A99" t="s">
        <v>89</v>
      </c>
      <c r="B99">
        <v>88</v>
      </c>
      <c r="C99">
        <v>143</v>
      </c>
      <c r="D99">
        <v>138</v>
      </c>
      <c r="E99">
        <v>80</v>
      </c>
      <c r="F99">
        <v>153</v>
      </c>
      <c r="G99">
        <v>141</v>
      </c>
      <c r="H99">
        <v>305.3</v>
      </c>
      <c r="I99" s="14">
        <v>501.19093810795994</v>
      </c>
      <c r="J99">
        <v>159</v>
      </c>
      <c r="K99">
        <v>97</v>
      </c>
      <c r="L99">
        <v>94</v>
      </c>
      <c r="M99">
        <v>94</v>
      </c>
      <c r="N99" s="143"/>
      <c r="O99" s="143"/>
      <c r="P99">
        <v>10</v>
      </c>
      <c r="R99" s="14">
        <f>('Raw Data'!$Z$14*VLOOKUP(Table219[[#This Row],[Player]],'2023'!$A$2:$I$192,8,FALSE))+('Raw Data'!$Z$16*Table219[[#This Row],[DGSCORE]])</f>
        <v>326.96584323928812</v>
      </c>
      <c r="S99" s="16" t="e">
        <f>_xlfn.RANK.AVG(Table219[[#This Row],[BDG]],Table219[BDG],1)</f>
        <v>#N/A</v>
      </c>
      <c r="T99" s="14">
        <f>('Raw Data'!$Z$14*VLOOKUP(Table219[[#This Row],[Player]],'2023'!$A$2:$I$192,8,FALSE))+('Raw Data'!$Z$16*Table219[[#This Row],[RADARSCORE]])</f>
        <v>438.81435843548252</v>
      </c>
    </row>
    <row r="100" spans="1:20">
      <c r="A100" t="s">
        <v>83</v>
      </c>
      <c r="B100">
        <v>83</v>
      </c>
      <c r="C100">
        <v>141</v>
      </c>
      <c r="D100">
        <v>187</v>
      </c>
      <c r="E100">
        <v>126</v>
      </c>
      <c r="F100">
        <v>108</v>
      </c>
      <c r="G100">
        <v>183</v>
      </c>
      <c r="H100">
        <v>336.5</v>
      </c>
      <c r="I100" s="14">
        <v>585.20812165900065</v>
      </c>
      <c r="J100">
        <v>177</v>
      </c>
      <c r="K100">
        <v>99</v>
      </c>
      <c r="L100">
        <v>100</v>
      </c>
      <c r="M100">
        <v>100</v>
      </c>
      <c r="N100" s="143"/>
      <c r="O100" s="143"/>
      <c r="P100">
        <v>-5</v>
      </c>
      <c r="R100" s="14">
        <f>('Raw Data'!$Z$14*VLOOKUP(Table219[[#This Row],[Player]],'2023'!$A$2:$I$192,8,FALSE))+('Raw Data'!$Z$16*Table219[[#This Row],[DGSCORE]])</f>
        <v>355.37717034710255</v>
      </c>
      <c r="S100" s="16" t="e">
        <f>_xlfn.RANK.AVG(Table219[[#This Row],[BDG]],Table219[BDG],1)</f>
        <v>#N/A</v>
      </c>
      <c r="T100" s="14">
        <f>('Raw Data'!$Z$14*VLOOKUP(Table219[[#This Row],[Player]],'2023'!$A$2:$I$192,8,FALSE))+('Raw Data'!$Z$16*Table219[[#This Row],[RADARSCORE]])</f>
        <v>497.38289247735622</v>
      </c>
    </row>
    <row r="101" spans="1:20">
      <c r="A101" t="s">
        <v>37</v>
      </c>
      <c r="B101">
        <v>39</v>
      </c>
      <c r="C101">
        <v>188</v>
      </c>
      <c r="D101">
        <v>184</v>
      </c>
      <c r="E101">
        <v>186</v>
      </c>
      <c r="F101">
        <v>61</v>
      </c>
      <c r="G101">
        <v>184</v>
      </c>
      <c r="H101">
        <v>341.09999999999997</v>
      </c>
      <c r="I101" s="14">
        <v>590.44554627641583</v>
      </c>
      <c r="J101">
        <v>178</v>
      </c>
      <c r="K101">
        <v>100</v>
      </c>
      <c r="L101">
        <v>102</v>
      </c>
      <c r="M101">
        <v>102</v>
      </c>
      <c r="N101" s="143"/>
      <c r="O101" s="143"/>
      <c r="P101">
        <v>-10</v>
      </c>
      <c r="R101" s="14" t="e">
        <f>('Raw Data'!$Z$14*VLOOKUP(Table219[[#This Row],[Player]],'2023'!$A$2:$I$192,8,FALSE))+('Raw Data'!$Z$16*Table219[[#This Row],[DGSCORE]])</f>
        <v>#N/A</v>
      </c>
      <c r="S101" s="16" t="e">
        <f>_xlfn.RANK.AVG(Table219[[#This Row],[BDG]],Table219[BDG],1)</f>
        <v>#N/A</v>
      </c>
      <c r="T101" s="14" t="e">
        <f>('Raw Data'!$Z$14*VLOOKUP(Table219[[#This Row],[Player]],'2023'!$A$2:$I$192,8,FALSE))+('Raw Data'!$Z$16*Table219[[#This Row],[RADARSCORE]])</f>
        <v>#N/A</v>
      </c>
    </row>
    <row r="102" spans="1:20">
      <c r="A102" t="s">
        <v>103</v>
      </c>
      <c r="B102">
        <v>108</v>
      </c>
      <c r="C102">
        <v>98</v>
      </c>
      <c r="D102">
        <v>172</v>
      </c>
      <c r="E102">
        <v>166</v>
      </c>
      <c r="F102">
        <v>137</v>
      </c>
      <c r="G102">
        <v>175</v>
      </c>
      <c r="H102">
        <v>344.59999999999997</v>
      </c>
      <c r="I102" s="14">
        <v>595.67761104839224</v>
      </c>
      <c r="J102">
        <v>183</v>
      </c>
      <c r="K102">
        <v>101</v>
      </c>
      <c r="L102">
        <v>103</v>
      </c>
      <c r="M102">
        <v>103</v>
      </c>
      <c r="N102" s="143">
        <v>0</v>
      </c>
      <c r="O102" s="143">
        <v>0</v>
      </c>
      <c r="P102">
        <v>-4</v>
      </c>
      <c r="R102" s="14" t="e">
        <f>('Raw Data'!$Z$14*VLOOKUP(Table219[[#This Row],[Player]],'2023'!$A$2:$I$192,8,FALSE))+('Raw Data'!$Z$16*Table219[[#This Row],[DGSCORE]])</f>
        <v>#N/A</v>
      </c>
      <c r="S102" s="16" t="e">
        <f>_xlfn.RANK.AVG(Table219[[#This Row],[BDG]],Table219[BDG],1)</f>
        <v>#N/A</v>
      </c>
      <c r="T102" s="14" t="e">
        <f>('Raw Data'!$Z$14*VLOOKUP(Table219[[#This Row],[Player]],'2023'!$A$2:$I$192,8,FALSE))+('Raw Data'!$Z$16*Table219[[#This Row],[RADARSCORE]])</f>
        <v>#N/A</v>
      </c>
    </row>
    <row r="103" spans="1:20">
      <c r="A103" t="s">
        <v>119</v>
      </c>
      <c r="B103">
        <v>121</v>
      </c>
      <c r="C103">
        <v>136</v>
      </c>
      <c r="D103">
        <v>153</v>
      </c>
      <c r="E103">
        <v>105</v>
      </c>
      <c r="F103">
        <v>175</v>
      </c>
      <c r="G103">
        <v>168</v>
      </c>
      <c r="H103">
        <v>347.6</v>
      </c>
      <c r="I103" s="14">
        <v>582.66278869556925</v>
      </c>
      <c r="J103">
        <v>185</v>
      </c>
      <c r="K103">
        <v>102</v>
      </c>
      <c r="L103">
        <v>99</v>
      </c>
      <c r="M103">
        <v>99</v>
      </c>
      <c r="N103" s="143"/>
      <c r="O103" s="143"/>
      <c r="P103">
        <v>-8</v>
      </c>
      <c r="R103" s="14">
        <v>582.66278869556925</v>
      </c>
      <c r="S103" s="16" t="e">
        <f>_xlfn.RANK.AVG(Table219[[#This Row],[BDG]],Table219[BDG],1)</f>
        <v>#N/A</v>
      </c>
      <c r="T103" s="14" t="e">
        <f>('Raw Data'!$Z$14*VLOOKUP(Table219[[#This Row],[Player]],'2023'!$A$2:$I$192,8,FALSE))+('Raw Data'!$Z$16*Table219[[#This Row],[RADARSCORE]])</f>
        <v>#N/A</v>
      </c>
    </row>
    <row r="104" spans="1:20">
      <c r="A104" t="s">
        <v>107</v>
      </c>
      <c r="B104">
        <v>105</v>
      </c>
      <c r="C104">
        <v>169</v>
      </c>
      <c r="D104">
        <v>161</v>
      </c>
      <c r="E104">
        <v>89</v>
      </c>
      <c r="F104">
        <v>159</v>
      </c>
      <c r="G104">
        <v>176</v>
      </c>
      <c r="H104">
        <v>348.90000000000003</v>
      </c>
      <c r="I104" s="14">
        <v>586.78448913093177</v>
      </c>
      <c r="J104">
        <v>186</v>
      </c>
      <c r="K104">
        <v>103</v>
      </c>
      <c r="L104">
        <v>101</v>
      </c>
      <c r="M104">
        <v>101</v>
      </c>
      <c r="N104" s="143"/>
      <c r="O104" s="143"/>
      <c r="P104">
        <v>-4</v>
      </c>
      <c r="R104" s="14">
        <v>586.78448913093177</v>
      </c>
      <c r="S104" s="16" t="e">
        <f>_xlfn.RANK.AVG(Table219[[#This Row],[BDG]],Table219[BDG],1)</f>
        <v>#N/A</v>
      </c>
      <c r="T104" s="14" t="e">
        <f>('Raw Data'!$Z$14*VLOOKUP(Table219[[#This Row],[Player]],'2023'!$A$2:$I$192,8,FALSE))+('Raw Data'!$Z$16*Table219[[#This Row],[RADARSCORE]])</f>
        <v>#N/A</v>
      </c>
    </row>
    <row r="105" spans="1:20">
      <c r="A105" t="s">
        <v>372</v>
      </c>
      <c r="B105">
        <v>35</v>
      </c>
      <c r="C105">
        <v>149</v>
      </c>
      <c r="D105">
        <v>172</v>
      </c>
      <c r="E105">
        <v>173</v>
      </c>
      <c r="F105">
        <v>192</v>
      </c>
      <c r="G105">
        <v>188</v>
      </c>
      <c r="H105">
        <v>391.59999999999997</v>
      </c>
      <c r="I105" s="14">
        <v>614.97447966659342</v>
      </c>
      <c r="N105" s="143"/>
      <c r="O105" s="143"/>
      <c r="R105" s="14" t="e">
        <f>('Raw Data'!$Z$14*VLOOKUP(Table219[[#This Row],[Player]],'2023'!$A$2:$I$192,8,FALSE))+('Raw Data'!$Z$16*Table219[[#This Row],[DGSCORE]])</f>
        <v>#N/A</v>
      </c>
      <c r="S105" s="16" t="e">
        <f>_xlfn.RANK.AVG(Table219[[#This Row],[BDG]],Table219[BDG],1)</f>
        <v>#N/A</v>
      </c>
      <c r="T105" s="14" t="e">
        <f>('Raw Data'!$Z$14*VLOOKUP(Table219[[#This Row],[Player]],'2023'!$A$2:$I$192,8,FALSE))+('Raw Data'!$Z$16*Table219[[#This Row],[RADARSCORE]])</f>
        <v>#N/A</v>
      </c>
    </row>
  </sheetData>
  <conditionalFormatting sqref="N2:O1048576">
    <cfRule type="cellIs" dxfId="174" priority="5" operator="greaterThanOrEqual">
      <formula>20%</formula>
    </cfRule>
    <cfRule type="cellIs" dxfId="173" priority="6" operator="between">
      <formula>10%</formula>
      <formula>20%</formula>
    </cfRule>
    <cfRule type="cellIs" dxfId="172" priority="7" operator="between">
      <formula>0.01%</formula>
      <formula>10%</formula>
    </cfRule>
  </conditionalFormatting>
  <conditionalFormatting sqref="B2:G1048576 J2:M1048576">
    <cfRule type="cellIs" dxfId="171" priority="8" operator="between">
      <formula>101</formula>
      <formula>250</formula>
    </cfRule>
    <cfRule type="cellIs" dxfId="170" priority="9" operator="between">
      <formula>51</formula>
      <formula>100.5</formula>
    </cfRule>
    <cfRule type="cellIs" dxfId="169" priority="10" operator="between">
      <formula>21</formula>
      <formula>50.5</formula>
    </cfRule>
    <cfRule type="cellIs" dxfId="168"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B6ABF-C320-4F34-86AD-6AD6CAE9A76D}">
  <sheetPr codeName="Sheet63">
    <tabColor rgb="FFFF0000"/>
  </sheetPr>
  <dimension ref="A1:V57"/>
  <sheetViews>
    <sheetView zoomScaleNormal="100" workbookViewId="0">
      <selection activeCell="T32" sqref="T3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hidden="1" customWidth="1"/>
    <col min="11" max="11" width="19.5703125" customWidth="1"/>
    <col min="12" max="12" width="14" hidden="1"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132</v>
      </c>
      <c r="B2">
        <v>133</v>
      </c>
      <c r="C2">
        <v>79</v>
      </c>
      <c r="D2">
        <v>34</v>
      </c>
      <c r="E2">
        <v>15</v>
      </c>
      <c r="F2">
        <v>70</v>
      </c>
      <c r="G2">
        <v>30</v>
      </c>
      <c r="H2">
        <v>181.6</v>
      </c>
      <c r="I2" s="14">
        <v>211.78290828342162</v>
      </c>
      <c r="J2">
        <v>26</v>
      </c>
      <c r="K2">
        <v>18</v>
      </c>
      <c r="L2">
        <v>19</v>
      </c>
      <c r="M2">
        <v>16</v>
      </c>
      <c r="N2" s="143"/>
      <c r="O2" s="143"/>
      <c r="P2">
        <v>0</v>
      </c>
      <c r="Q2">
        <v>1</v>
      </c>
    </row>
    <row r="3" spans="1:22">
      <c r="A3" t="s">
        <v>64</v>
      </c>
      <c r="B3">
        <v>59</v>
      </c>
      <c r="C3">
        <v>172</v>
      </c>
      <c r="D3">
        <v>69</v>
      </c>
      <c r="E3">
        <v>22</v>
      </c>
      <c r="F3">
        <v>17</v>
      </c>
      <c r="G3">
        <v>32</v>
      </c>
      <c r="H3">
        <v>158.5</v>
      </c>
      <c r="I3" s="14">
        <v>219.57230275002385</v>
      </c>
      <c r="J3">
        <v>17</v>
      </c>
      <c r="K3">
        <v>14</v>
      </c>
      <c r="L3">
        <v>25</v>
      </c>
      <c r="M3">
        <v>20</v>
      </c>
      <c r="N3" s="143"/>
      <c r="O3" s="143"/>
      <c r="P3">
        <v>10</v>
      </c>
      <c r="Q3">
        <v>2</v>
      </c>
    </row>
    <row r="4" spans="1:22">
      <c r="A4" t="s">
        <v>76</v>
      </c>
      <c r="B4">
        <v>74</v>
      </c>
      <c r="C4">
        <v>137</v>
      </c>
      <c r="D4">
        <v>71</v>
      </c>
      <c r="E4">
        <v>28</v>
      </c>
      <c r="F4">
        <v>79</v>
      </c>
      <c r="G4">
        <v>38</v>
      </c>
      <c r="H4">
        <v>193.29999999999998</v>
      </c>
      <c r="I4" s="14">
        <v>251.07058471184433</v>
      </c>
      <c r="J4">
        <v>36</v>
      </c>
      <c r="K4">
        <v>26</v>
      </c>
      <c r="L4">
        <v>36</v>
      </c>
      <c r="M4">
        <v>27</v>
      </c>
      <c r="N4" s="143"/>
      <c r="O4" s="143"/>
      <c r="P4">
        <v>-11</v>
      </c>
      <c r="Q4">
        <v>3</v>
      </c>
    </row>
    <row r="5" spans="1:22">
      <c r="A5" t="s">
        <v>10</v>
      </c>
      <c r="B5">
        <v>8</v>
      </c>
      <c r="C5">
        <v>179</v>
      </c>
      <c r="D5">
        <v>98</v>
      </c>
      <c r="E5">
        <v>6</v>
      </c>
      <c r="F5">
        <v>144</v>
      </c>
      <c r="G5">
        <v>40</v>
      </c>
      <c r="H5">
        <v>202.29999999999998</v>
      </c>
      <c r="I5" s="14">
        <v>270.96657601848017</v>
      </c>
      <c r="J5">
        <v>44</v>
      </c>
      <c r="K5">
        <v>32</v>
      </c>
      <c r="L5">
        <v>49</v>
      </c>
      <c r="M5">
        <v>36</v>
      </c>
      <c r="N5" s="143"/>
      <c r="O5" s="143"/>
      <c r="P5">
        <v>-5</v>
      </c>
      <c r="Q5">
        <v>4</v>
      </c>
    </row>
    <row r="6" spans="1:22">
      <c r="A6" s="136" t="s">
        <v>35</v>
      </c>
      <c r="B6">
        <v>31</v>
      </c>
      <c r="C6">
        <v>64</v>
      </c>
      <c r="D6">
        <v>1</v>
      </c>
      <c r="E6">
        <v>5</v>
      </c>
      <c r="F6">
        <v>162</v>
      </c>
      <c r="G6">
        <v>1</v>
      </c>
      <c r="H6">
        <v>124.6</v>
      </c>
      <c r="I6" s="14">
        <v>123.52639681224646</v>
      </c>
      <c r="J6">
        <v>11</v>
      </c>
      <c r="K6">
        <v>9</v>
      </c>
      <c r="L6">
        <v>4</v>
      </c>
      <c r="M6">
        <v>3</v>
      </c>
      <c r="N6" s="143"/>
      <c r="O6" s="143"/>
      <c r="P6">
        <v>0</v>
      </c>
      <c r="Q6">
        <v>5</v>
      </c>
    </row>
    <row r="7" spans="1:22">
      <c r="A7" t="s">
        <v>113</v>
      </c>
      <c r="B7">
        <v>110</v>
      </c>
      <c r="C7">
        <v>52</v>
      </c>
      <c r="D7">
        <v>87</v>
      </c>
      <c r="E7">
        <v>17</v>
      </c>
      <c r="F7">
        <v>62</v>
      </c>
      <c r="G7">
        <v>17</v>
      </c>
      <c r="H7">
        <v>191.3</v>
      </c>
      <c r="I7" s="14">
        <v>212.9373965390964</v>
      </c>
      <c r="J7">
        <v>31</v>
      </c>
      <c r="K7">
        <v>22</v>
      </c>
      <c r="L7">
        <v>21</v>
      </c>
      <c r="M7">
        <v>17</v>
      </c>
      <c r="N7" s="143"/>
      <c r="O7" s="143"/>
      <c r="P7">
        <v>-2</v>
      </c>
      <c r="Q7">
        <v>5</v>
      </c>
    </row>
    <row r="8" spans="1:22">
      <c r="A8" t="s">
        <v>135</v>
      </c>
      <c r="B8">
        <v>134</v>
      </c>
      <c r="C8">
        <v>8</v>
      </c>
      <c r="D8">
        <v>2</v>
      </c>
      <c r="E8">
        <v>96</v>
      </c>
      <c r="F8">
        <v>114</v>
      </c>
      <c r="G8">
        <v>11</v>
      </c>
      <c r="H8">
        <v>193</v>
      </c>
      <c r="I8" s="14">
        <v>198.47548265800026</v>
      </c>
      <c r="J8">
        <v>35</v>
      </c>
      <c r="K8">
        <v>25</v>
      </c>
      <c r="L8">
        <v>16</v>
      </c>
      <c r="M8">
        <v>14</v>
      </c>
      <c r="N8" s="143"/>
      <c r="O8" s="143"/>
      <c r="P8">
        <v>0</v>
      </c>
      <c r="Q8">
        <v>5</v>
      </c>
    </row>
    <row r="9" spans="1:22">
      <c r="A9" t="s">
        <v>126</v>
      </c>
      <c r="B9">
        <v>129</v>
      </c>
      <c r="C9">
        <v>88</v>
      </c>
      <c r="D9">
        <v>47</v>
      </c>
      <c r="E9">
        <v>99</v>
      </c>
      <c r="F9">
        <v>29</v>
      </c>
      <c r="G9">
        <v>47</v>
      </c>
      <c r="H9">
        <v>203.7</v>
      </c>
      <c r="I9" s="14">
        <v>267.64696144186928</v>
      </c>
      <c r="J9">
        <v>45</v>
      </c>
      <c r="K9">
        <v>33</v>
      </c>
      <c r="L9">
        <v>47</v>
      </c>
      <c r="M9">
        <v>34</v>
      </c>
      <c r="N9" s="143"/>
      <c r="O9" s="143"/>
      <c r="P9">
        <v>1</v>
      </c>
      <c r="Q9">
        <v>5</v>
      </c>
    </row>
    <row r="10" spans="1:22">
      <c r="A10" t="s">
        <v>154</v>
      </c>
      <c r="B10">
        <v>156</v>
      </c>
      <c r="C10">
        <v>16</v>
      </c>
      <c r="D10">
        <v>105</v>
      </c>
      <c r="E10">
        <v>107</v>
      </c>
      <c r="F10">
        <v>27</v>
      </c>
      <c r="G10">
        <v>44</v>
      </c>
      <c r="H10">
        <v>243.8</v>
      </c>
      <c r="I10" s="14">
        <v>298.49365272939633</v>
      </c>
      <c r="J10">
        <v>85</v>
      </c>
      <c r="K10">
        <v>50</v>
      </c>
      <c r="L10">
        <v>56</v>
      </c>
      <c r="M10">
        <v>38</v>
      </c>
      <c r="N10" s="143"/>
      <c r="O10" s="143"/>
      <c r="P10">
        <v>-13</v>
      </c>
      <c r="Q10">
        <v>5</v>
      </c>
    </row>
    <row r="11" spans="1:22">
      <c r="A11" t="s">
        <v>73</v>
      </c>
      <c r="B11">
        <v>68</v>
      </c>
      <c r="C11">
        <v>131</v>
      </c>
      <c r="D11">
        <v>3</v>
      </c>
      <c r="E11">
        <v>90</v>
      </c>
      <c r="F11">
        <v>5</v>
      </c>
      <c r="G11">
        <v>3</v>
      </c>
      <c r="H11">
        <v>127.49999999999999</v>
      </c>
      <c r="I11" s="14">
        <v>155.53717319880016</v>
      </c>
      <c r="J11">
        <v>12</v>
      </c>
      <c r="K11">
        <v>10</v>
      </c>
      <c r="L11">
        <v>12</v>
      </c>
      <c r="M11">
        <v>10</v>
      </c>
      <c r="N11" s="143"/>
      <c r="O11" s="143"/>
      <c r="P11">
        <v>3</v>
      </c>
      <c r="Q11">
        <v>10</v>
      </c>
    </row>
    <row r="12" spans="1:22">
      <c r="A12" t="s">
        <v>68</v>
      </c>
      <c r="B12">
        <v>66</v>
      </c>
      <c r="C12">
        <v>68</v>
      </c>
      <c r="D12">
        <v>110</v>
      </c>
      <c r="E12">
        <v>45</v>
      </c>
      <c r="F12">
        <v>37</v>
      </c>
      <c r="G12">
        <v>26</v>
      </c>
      <c r="H12">
        <v>180.1</v>
      </c>
      <c r="I12" s="14">
        <v>225.08243036462821</v>
      </c>
      <c r="J12">
        <v>24.5</v>
      </c>
      <c r="K12">
        <v>17</v>
      </c>
      <c r="L12">
        <v>27</v>
      </c>
      <c r="M12">
        <v>22</v>
      </c>
      <c r="N12" s="143"/>
      <c r="O12" s="143"/>
      <c r="P12">
        <v>-9</v>
      </c>
      <c r="Q12">
        <v>10</v>
      </c>
    </row>
    <row r="13" spans="1:22">
      <c r="A13" s="20" t="s">
        <v>40</v>
      </c>
      <c r="B13">
        <v>37</v>
      </c>
      <c r="C13">
        <v>26</v>
      </c>
      <c r="D13">
        <v>16</v>
      </c>
      <c r="E13">
        <v>57</v>
      </c>
      <c r="F13">
        <v>47</v>
      </c>
      <c r="G13">
        <v>3</v>
      </c>
      <c r="H13">
        <v>91.199999999999989</v>
      </c>
      <c r="I13" s="14">
        <v>101.04465414220144</v>
      </c>
      <c r="J13">
        <v>1</v>
      </c>
      <c r="K13">
        <v>1</v>
      </c>
      <c r="L13">
        <v>1</v>
      </c>
      <c r="M13">
        <v>1</v>
      </c>
      <c r="N13" s="143"/>
      <c r="O13" s="143"/>
      <c r="P13">
        <v>0</v>
      </c>
      <c r="Q13">
        <v>12</v>
      </c>
    </row>
    <row r="14" spans="1:22">
      <c r="A14" s="137" t="s">
        <v>44</v>
      </c>
      <c r="B14">
        <v>39</v>
      </c>
      <c r="C14">
        <v>113</v>
      </c>
      <c r="D14">
        <v>7</v>
      </c>
      <c r="E14">
        <v>21</v>
      </c>
      <c r="F14">
        <v>48</v>
      </c>
      <c r="G14">
        <v>12</v>
      </c>
      <c r="H14">
        <v>98.5</v>
      </c>
      <c r="I14" s="14">
        <v>124.35094834486878</v>
      </c>
      <c r="J14">
        <v>4</v>
      </c>
      <c r="K14">
        <v>2</v>
      </c>
      <c r="L14">
        <v>5</v>
      </c>
      <c r="M14">
        <v>4</v>
      </c>
      <c r="N14" s="143"/>
      <c r="O14" s="143"/>
      <c r="P14">
        <v>-2</v>
      </c>
      <c r="Q14">
        <v>56</v>
      </c>
    </row>
    <row r="15" spans="1:22">
      <c r="A15" s="137" t="s">
        <v>18</v>
      </c>
      <c r="B15">
        <v>15</v>
      </c>
      <c r="C15">
        <v>156</v>
      </c>
      <c r="D15">
        <v>29</v>
      </c>
      <c r="E15">
        <v>27</v>
      </c>
      <c r="F15">
        <v>33</v>
      </c>
      <c r="G15">
        <v>13</v>
      </c>
      <c r="H15">
        <v>104.89999999999999</v>
      </c>
      <c r="I15" s="14">
        <v>144.52334242660706</v>
      </c>
      <c r="J15">
        <v>5</v>
      </c>
      <c r="K15">
        <v>3</v>
      </c>
      <c r="L15">
        <v>10</v>
      </c>
      <c r="M15">
        <v>8</v>
      </c>
      <c r="N15" s="143"/>
      <c r="O15" s="143"/>
      <c r="P15">
        <v>1</v>
      </c>
      <c r="Q15">
        <v>29</v>
      </c>
    </row>
    <row r="16" spans="1:22">
      <c r="A16" t="s">
        <v>66</v>
      </c>
      <c r="B16">
        <v>62</v>
      </c>
      <c r="C16">
        <v>93</v>
      </c>
      <c r="D16">
        <v>26</v>
      </c>
      <c r="E16">
        <v>33</v>
      </c>
      <c r="F16">
        <v>6</v>
      </c>
      <c r="G16">
        <v>9</v>
      </c>
      <c r="H16">
        <v>105.7</v>
      </c>
      <c r="I16" s="14">
        <v>129.29523841561263</v>
      </c>
      <c r="J16">
        <v>6</v>
      </c>
      <c r="K16">
        <v>4</v>
      </c>
      <c r="L16">
        <v>7</v>
      </c>
      <c r="M16">
        <v>5</v>
      </c>
      <c r="N16" s="143"/>
      <c r="O16" s="143"/>
      <c r="P16">
        <v>-1</v>
      </c>
    </row>
    <row r="17" spans="1:17">
      <c r="A17" s="136" t="s">
        <v>85</v>
      </c>
      <c r="B17">
        <v>81</v>
      </c>
      <c r="C17">
        <v>67</v>
      </c>
      <c r="D17">
        <v>27</v>
      </c>
      <c r="E17">
        <v>10</v>
      </c>
      <c r="F17">
        <v>14</v>
      </c>
      <c r="G17">
        <v>5</v>
      </c>
      <c r="H17">
        <v>106.69999999999999</v>
      </c>
      <c r="I17" s="14">
        <v>117.06768865849621</v>
      </c>
      <c r="J17">
        <v>7</v>
      </c>
      <c r="K17">
        <v>5</v>
      </c>
      <c r="L17">
        <v>2</v>
      </c>
      <c r="M17">
        <v>2</v>
      </c>
      <c r="N17" s="143"/>
      <c r="O17" s="143"/>
      <c r="P17">
        <v>0</v>
      </c>
      <c r="Q17">
        <v>47</v>
      </c>
    </row>
    <row r="18" spans="1:17">
      <c r="A18" t="s">
        <v>47</v>
      </c>
      <c r="B18">
        <v>44</v>
      </c>
      <c r="C18">
        <v>40</v>
      </c>
      <c r="D18">
        <v>11</v>
      </c>
      <c r="E18">
        <v>86</v>
      </c>
      <c r="F18">
        <v>54</v>
      </c>
      <c r="G18">
        <v>8</v>
      </c>
      <c r="H18">
        <v>111.9</v>
      </c>
      <c r="I18" s="14">
        <v>131.12802760725592</v>
      </c>
      <c r="J18">
        <v>8</v>
      </c>
      <c r="K18">
        <v>6</v>
      </c>
      <c r="L18">
        <v>8</v>
      </c>
      <c r="M18">
        <v>6</v>
      </c>
      <c r="N18" s="143"/>
      <c r="O18" s="143"/>
      <c r="P18">
        <v>1</v>
      </c>
    </row>
    <row r="19" spans="1:17">
      <c r="A19" t="s">
        <v>51</v>
      </c>
      <c r="B19">
        <v>48</v>
      </c>
      <c r="C19">
        <v>101</v>
      </c>
      <c r="D19">
        <v>30</v>
      </c>
      <c r="E19">
        <v>63</v>
      </c>
      <c r="F19">
        <v>7</v>
      </c>
      <c r="G19">
        <v>7</v>
      </c>
      <c r="H19">
        <v>113.6</v>
      </c>
      <c r="I19" s="14">
        <v>142.17021776906643</v>
      </c>
      <c r="J19">
        <v>9</v>
      </c>
      <c r="K19">
        <v>7</v>
      </c>
      <c r="L19">
        <v>9</v>
      </c>
      <c r="M19">
        <v>7</v>
      </c>
      <c r="N19" s="143"/>
      <c r="O19" s="143"/>
      <c r="P19">
        <v>0</v>
      </c>
    </row>
    <row r="20" spans="1:17">
      <c r="A20" t="s">
        <v>439</v>
      </c>
      <c r="B20">
        <v>6</v>
      </c>
      <c r="C20">
        <v>27</v>
      </c>
      <c r="D20">
        <v>107</v>
      </c>
      <c r="E20">
        <v>39</v>
      </c>
      <c r="F20">
        <v>42</v>
      </c>
      <c r="G20">
        <v>10</v>
      </c>
      <c r="H20">
        <v>123.79999999999998</v>
      </c>
      <c r="I20" s="14">
        <v>151.16181672864525</v>
      </c>
      <c r="J20">
        <v>10</v>
      </c>
      <c r="K20">
        <v>8</v>
      </c>
      <c r="L20">
        <v>11</v>
      </c>
      <c r="M20">
        <v>9</v>
      </c>
      <c r="N20" s="143"/>
      <c r="O20" s="143"/>
    </row>
    <row r="21" spans="1:17">
      <c r="A21" t="s">
        <v>143</v>
      </c>
      <c r="B21">
        <v>144</v>
      </c>
      <c r="C21">
        <v>54</v>
      </c>
      <c r="D21">
        <v>17</v>
      </c>
      <c r="E21">
        <v>20</v>
      </c>
      <c r="F21">
        <v>26</v>
      </c>
      <c r="G21">
        <v>14</v>
      </c>
      <c r="H21">
        <v>149.9</v>
      </c>
      <c r="I21" s="14">
        <v>160.7058275080343</v>
      </c>
      <c r="J21">
        <v>14</v>
      </c>
      <c r="K21">
        <v>11</v>
      </c>
      <c r="L21">
        <v>13</v>
      </c>
      <c r="M21">
        <v>11</v>
      </c>
      <c r="N21" s="143"/>
      <c r="O21" s="143"/>
      <c r="P21">
        <v>-1</v>
      </c>
    </row>
    <row r="22" spans="1:17">
      <c r="A22" t="s">
        <v>114</v>
      </c>
      <c r="B22">
        <v>113</v>
      </c>
      <c r="C22">
        <v>163</v>
      </c>
      <c r="D22">
        <v>19</v>
      </c>
      <c r="E22">
        <v>16</v>
      </c>
      <c r="F22">
        <v>13</v>
      </c>
      <c r="G22">
        <v>16</v>
      </c>
      <c r="H22">
        <v>154.20000000000002</v>
      </c>
      <c r="I22" s="14">
        <v>186.8261843199688</v>
      </c>
      <c r="J22">
        <v>15</v>
      </c>
      <c r="K22">
        <v>12</v>
      </c>
      <c r="L22">
        <v>15</v>
      </c>
      <c r="M22">
        <v>13</v>
      </c>
      <c r="N22" s="143"/>
      <c r="O22" s="143"/>
      <c r="P22">
        <v>9</v>
      </c>
    </row>
    <row r="23" spans="1:17">
      <c r="A23" t="s">
        <v>69</v>
      </c>
      <c r="B23">
        <v>66</v>
      </c>
      <c r="C23">
        <v>86</v>
      </c>
      <c r="D23">
        <v>5</v>
      </c>
      <c r="E23">
        <v>49</v>
      </c>
      <c r="F23">
        <v>125</v>
      </c>
      <c r="G23">
        <v>15</v>
      </c>
      <c r="H23">
        <v>157.6</v>
      </c>
      <c r="I23" s="14">
        <v>178.83828001279275</v>
      </c>
      <c r="J23">
        <v>16</v>
      </c>
      <c r="K23">
        <v>13</v>
      </c>
      <c r="L23">
        <v>14</v>
      </c>
      <c r="M23">
        <v>12</v>
      </c>
      <c r="N23" s="143"/>
      <c r="O23" s="143"/>
      <c r="P23">
        <v>-3</v>
      </c>
    </row>
    <row r="24" spans="1:17">
      <c r="A24" t="s">
        <v>58</v>
      </c>
      <c r="B24">
        <v>54</v>
      </c>
      <c r="C24">
        <v>114</v>
      </c>
      <c r="D24">
        <v>57</v>
      </c>
      <c r="E24">
        <v>113</v>
      </c>
      <c r="F24">
        <v>20</v>
      </c>
      <c r="G24">
        <v>24</v>
      </c>
      <c r="H24">
        <v>167.10000000000002</v>
      </c>
      <c r="I24" s="14">
        <v>222.79782890015471</v>
      </c>
      <c r="J24">
        <v>18</v>
      </c>
      <c r="K24">
        <v>15</v>
      </c>
      <c r="L24">
        <v>26</v>
      </c>
      <c r="M24">
        <v>21</v>
      </c>
      <c r="N24" s="143"/>
      <c r="O24" s="143"/>
      <c r="P24">
        <v>-3</v>
      </c>
    </row>
    <row r="25" spans="1:17">
      <c r="A25" t="s">
        <v>56</v>
      </c>
      <c r="B25">
        <v>54</v>
      </c>
      <c r="C25">
        <v>153</v>
      </c>
      <c r="D25">
        <v>48</v>
      </c>
      <c r="E25">
        <v>112</v>
      </c>
      <c r="F25">
        <v>36</v>
      </c>
      <c r="G25">
        <v>41</v>
      </c>
      <c r="H25">
        <v>180.1</v>
      </c>
      <c r="I25" s="14">
        <v>256.6485292537181</v>
      </c>
      <c r="J25">
        <v>24.5</v>
      </c>
      <c r="K25">
        <v>16</v>
      </c>
      <c r="L25">
        <v>38</v>
      </c>
      <c r="M25">
        <v>29</v>
      </c>
      <c r="N25" s="143"/>
      <c r="O25" s="143"/>
      <c r="P25">
        <v>-5</v>
      </c>
    </row>
    <row r="26" spans="1:17">
      <c r="A26" t="s">
        <v>72</v>
      </c>
      <c r="B26">
        <v>68</v>
      </c>
      <c r="C26">
        <v>138</v>
      </c>
      <c r="D26">
        <v>116</v>
      </c>
      <c r="E26">
        <v>31</v>
      </c>
      <c r="F26">
        <v>11</v>
      </c>
      <c r="G26">
        <v>21</v>
      </c>
      <c r="H26">
        <v>188.1</v>
      </c>
      <c r="I26" s="14">
        <v>238.6183679703266</v>
      </c>
      <c r="J26">
        <v>28</v>
      </c>
      <c r="K26">
        <v>19</v>
      </c>
      <c r="L26">
        <v>31</v>
      </c>
      <c r="M26">
        <v>25</v>
      </c>
      <c r="N26" s="143"/>
      <c r="O26" s="143"/>
      <c r="P26">
        <v>-2</v>
      </c>
    </row>
    <row r="27" spans="1:17">
      <c r="A27" t="s">
        <v>27</v>
      </c>
      <c r="B27">
        <v>21</v>
      </c>
      <c r="C27">
        <v>138</v>
      </c>
      <c r="D27">
        <v>129</v>
      </c>
      <c r="E27">
        <v>97</v>
      </c>
      <c r="F27">
        <v>8</v>
      </c>
      <c r="G27">
        <v>31</v>
      </c>
      <c r="H27">
        <v>189.2</v>
      </c>
      <c r="I27" s="14">
        <v>264.76364515958812</v>
      </c>
      <c r="J27">
        <v>29</v>
      </c>
      <c r="K27">
        <v>20</v>
      </c>
      <c r="L27">
        <v>45</v>
      </c>
      <c r="M27">
        <v>33</v>
      </c>
      <c r="N27" s="143"/>
      <c r="O27" s="143"/>
      <c r="P27">
        <v>2</v>
      </c>
    </row>
    <row r="28" spans="1:17">
      <c r="A28" t="s">
        <v>125</v>
      </c>
      <c r="B28">
        <v>125</v>
      </c>
      <c r="C28">
        <v>65</v>
      </c>
      <c r="D28">
        <v>79</v>
      </c>
      <c r="E28">
        <v>49</v>
      </c>
      <c r="F28">
        <v>16</v>
      </c>
      <c r="G28">
        <v>55</v>
      </c>
      <c r="H28">
        <v>189.9</v>
      </c>
      <c r="I28" s="14">
        <v>256.14016706462326</v>
      </c>
      <c r="J28">
        <v>30</v>
      </c>
      <c r="K28">
        <v>21</v>
      </c>
      <c r="L28">
        <v>37</v>
      </c>
      <c r="M28">
        <v>28</v>
      </c>
      <c r="N28" s="143"/>
      <c r="O28" s="143"/>
      <c r="P28">
        <v>3</v>
      </c>
    </row>
    <row r="29" spans="1:17">
      <c r="A29" t="s">
        <v>183</v>
      </c>
      <c r="B29">
        <v>184</v>
      </c>
      <c r="C29">
        <v>34</v>
      </c>
      <c r="D29">
        <v>25</v>
      </c>
      <c r="E29">
        <v>73</v>
      </c>
      <c r="F29">
        <v>12</v>
      </c>
      <c r="G29">
        <v>43</v>
      </c>
      <c r="H29">
        <v>191.7</v>
      </c>
      <c r="I29" s="14">
        <v>233.32365044406947</v>
      </c>
      <c r="J29">
        <v>32.5</v>
      </c>
      <c r="K29">
        <v>23</v>
      </c>
      <c r="L29">
        <v>29</v>
      </c>
      <c r="M29">
        <v>23</v>
      </c>
      <c r="N29" s="143"/>
      <c r="O29" s="143"/>
      <c r="P29">
        <v>-11</v>
      </c>
    </row>
    <row r="30" spans="1:17">
      <c r="A30" t="s">
        <v>129</v>
      </c>
      <c r="B30">
        <v>127</v>
      </c>
      <c r="C30">
        <v>100</v>
      </c>
      <c r="D30">
        <v>12</v>
      </c>
      <c r="E30">
        <v>13</v>
      </c>
      <c r="F30">
        <v>119</v>
      </c>
      <c r="G30">
        <v>23</v>
      </c>
      <c r="H30">
        <v>191.99999999999997</v>
      </c>
      <c r="I30" s="14">
        <v>213.53697467970221</v>
      </c>
      <c r="J30">
        <v>34</v>
      </c>
      <c r="K30">
        <v>24</v>
      </c>
      <c r="L30">
        <v>22</v>
      </c>
      <c r="M30">
        <v>18</v>
      </c>
      <c r="N30" s="143"/>
      <c r="O30" s="143"/>
      <c r="P30">
        <v>0</v>
      </c>
    </row>
    <row r="31" spans="1:17">
      <c r="A31" t="s">
        <v>188</v>
      </c>
      <c r="B31">
        <v>189</v>
      </c>
      <c r="C31">
        <v>9</v>
      </c>
      <c r="D31">
        <v>67</v>
      </c>
      <c r="E31">
        <v>3</v>
      </c>
      <c r="F31">
        <v>22</v>
      </c>
      <c r="G31">
        <v>36</v>
      </c>
      <c r="H31">
        <v>194.09999999999997</v>
      </c>
      <c r="I31" s="14">
        <v>218.84282363540632</v>
      </c>
      <c r="J31">
        <v>37</v>
      </c>
      <c r="K31">
        <v>27</v>
      </c>
      <c r="L31">
        <v>24</v>
      </c>
      <c r="M31">
        <v>19</v>
      </c>
      <c r="N31" s="143"/>
      <c r="O31" s="143"/>
      <c r="P31">
        <v>3</v>
      </c>
    </row>
    <row r="32" spans="1:17">
      <c r="A32" t="s">
        <v>29</v>
      </c>
      <c r="B32">
        <v>26</v>
      </c>
      <c r="C32">
        <v>151</v>
      </c>
      <c r="D32">
        <v>75</v>
      </c>
      <c r="E32">
        <v>46</v>
      </c>
      <c r="F32">
        <v>123</v>
      </c>
      <c r="G32">
        <v>35</v>
      </c>
      <c r="H32">
        <v>195.9</v>
      </c>
      <c r="I32" s="14">
        <v>257.80266635631233</v>
      </c>
      <c r="J32">
        <v>39</v>
      </c>
      <c r="K32">
        <v>28</v>
      </c>
      <c r="L32">
        <v>39</v>
      </c>
      <c r="M32">
        <v>30</v>
      </c>
      <c r="N32" s="143"/>
      <c r="O32" s="143"/>
      <c r="P32">
        <v>18</v>
      </c>
    </row>
    <row r="33" spans="1:16">
      <c r="A33" t="s">
        <v>110</v>
      </c>
      <c r="B33">
        <v>105</v>
      </c>
      <c r="C33">
        <v>33</v>
      </c>
      <c r="D33">
        <v>23</v>
      </c>
      <c r="E33">
        <v>167</v>
      </c>
      <c r="F33">
        <v>60</v>
      </c>
      <c r="G33">
        <v>60</v>
      </c>
      <c r="H33">
        <v>196.3</v>
      </c>
      <c r="I33" s="14">
        <v>272.24165362688063</v>
      </c>
      <c r="J33">
        <v>40</v>
      </c>
      <c r="K33">
        <v>29</v>
      </c>
      <c r="L33">
        <v>50</v>
      </c>
      <c r="M33">
        <v>37</v>
      </c>
      <c r="N33" s="143"/>
      <c r="O33" s="143"/>
      <c r="P33">
        <v>1</v>
      </c>
    </row>
    <row r="34" spans="1:16">
      <c r="A34" t="s">
        <v>141</v>
      </c>
      <c r="B34">
        <v>140</v>
      </c>
      <c r="C34">
        <v>46</v>
      </c>
      <c r="D34">
        <v>64</v>
      </c>
      <c r="E34">
        <v>83</v>
      </c>
      <c r="F34">
        <v>21</v>
      </c>
      <c r="G34">
        <v>39</v>
      </c>
      <c r="H34">
        <v>200.3</v>
      </c>
      <c r="I34" s="14">
        <v>248.93902873252262</v>
      </c>
      <c r="J34">
        <v>42</v>
      </c>
      <c r="K34">
        <v>30</v>
      </c>
      <c r="L34">
        <v>33</v>
      </c>
      <c r="M34">
        <v>26</v>
      </c>
      <c r="N34" s="143"/>
      <c r="O34" s="143"/>
      <c r="P34">
        <v>4</v>
      </c>
    </row>
    <row r="35" spans="1:16">
      <c r="A35" t="s">
        <v>166</v>
      </c>
      <c r="B35">
        <v>168</v>
      </c>
      <c r="C35">
        <v>1</v>
      </c>
      <c r="D35">
        <v>18</v>
      </c>
      <c r="E35">
        <v>29</v>
      </c>
      <c r="F35">
        <v>120</v>
      </c>
      <c r="G35">
        <v>25</v>
      </c>
      <c r="H35">
        <v>202.1</v>
      </c>
      <c r="I35" s="14">
        <v>209.46481110102317</v>
      </c>
      <c r="J35">
        <v>43</v>
      </c>
      <c r="K35">
        <v>31</v>
      </c>
      <c r="L35">
        <v>18</v>
      </c>
      <c r="M35">
        <v>15</v>
      </c>
      <c r="N35" s="143"/>
      <c r="O35" s="143"/>
      <c r="P35">
        <v>-3</v>
      </c>
    </row>
    <row r="36" spans="1:16">
      <c r="A36" t="s">
        <v>140</v>
      </c>
      <c r="B36">
        <v>143</v>
      </c>
      <c r="C36">
        <v>73</v>
      </c>
      <c r="D36">
        <v>85</v>
      </c>
      <c r="E36">
        <v>58</v>
      </c>
      <c r="F36">
        <v>3</v>
      </c>
      <c r="G36">
        <v>18</v>
      </c>
      <c r="H36">
        <v>206.2</v>
      </c>
      <c r="I36" s="14">
        <v>237.44483052926324</v>
      </c>
      <c r="J36">
        <v>46</v>
      </c>
      <c r="K36">
        <v>34</v>
      </c>
      <c r="L36">
        <v>30</v>
      </c>
      <c r="M36">
        <v>24</v>
      </c>
      <c r="N36" s="143"/>
      <c r="O36" s="143"/>
      <c r="P36">
        <v>0</v>
      </c>
    </row>
    <row r="37" spans="1:16">
      <c r="A37" t="s">
        <v>38</v>
      </c>
      <c r="B37">
        <v>35</v>
      </c>
      <c r="C37">
        <v>164</v>
      </c>
      <c r="D37">
        <v>120</v>
      </c>
      <c r="E37">
        <v>47</v>
      </c>
      <c r="F37">
        <v>67</v>
      </c>
      <c r="G37">
        <v>56</v>
      </c>
      <c r="H37">
        <v>210</v>
      </c>
      <c r="I37" s="14">
        <v>302.0024078028672</v>
      </c>
      <c r="J37">
        <v>48</v>
      </c>
      <c r="K37">
        <v>35</v>
      </c>
      <c r="L37">
        <v>57</v>
      </c>
      <c r="M37">
        <v>39</v>
      </c>
      <c r="N37" s="143"/>
      <c r="O37" s="143"/>
      <c r="P37">
        <v>-7</v>
      </c>
    </row>
    <row r="38" spans="1:16">
      <c r="A38" t="s">
        <v>49</v>
      </c>
      <c r="B38">
        <v>46</v>
      </c>
      <c r="C38">
        <v>145</v>
      </c>
      <c r="D38">
        <v>112</v>
      </c>
      <c r="E38">
        <v>110</v>
      </c>
      <c r="F38">
        <v>25</v>
      </c>
      <c r="G38">
        <v>72</v>
      </c>
      <c r="H38">
        <v>210.59999999999997</v>
      </c>
      <c r="I38" s="14">
        <v>324.74358628345703</v>
      </c>
      <c r="J38">
        <v>49</v>
      </c>
      <c r="K38">
        <v>36</v>
      </c>
      <c r="L38">
        <v>71</v>
      </c>
      <c r="M38">
        <v>43</v>
      </c>
      <c r="N38" s="143"/>
      <c r="O38" s="143"/>
      <c r="P38">
        <v>-22</v>
      </c>
    </row>
    <row r="39" spans="1:16">
      <c r="A39" t="s">
        <v>158</v>
      </c>
      <c r="B39">
        <v>155</v>
      </c>
      <c r="C39">
        <v>114</v>
      </c>
      <c r="D39">
        <v>36</v>
      </c>
      <c r="E39">
        <v>48</v>
      </c>
      <c r="F39">
        <v>52</v>
      </c>
      <c r="G39">
        <v>46</v>
      </c>
      <c r="H39">
        <v>213.09999999999997</v>
      </c>
      <c r="I39" s="14">
        <v>268.04127343758728</v>
      </c>
      <c r="J39">
        <v>52</v>
      </c>
      <c r="K39">
        <v>37</v>
      </c>
      <c r="L39">
        <v>48</v>
      </c>
      <c r="M39">
        <v>35</v>
      </c>
      <c r="N39" s="143"/>
      <c r="O39" s="143"/>
      <c r="P39">
        <v>-9</v>
      </c>
    </row>
    <row r="40" spans="1:16">
      <c r="A40" t="s">
        <v>36</v>
      </c>
      <c r="B40">
        <v>34</v>
      </c>
      <c r="C40">
        <v>132</v>
      </c>
      <c r="D40">
        <v>61</v>
      </c>
      <c r="E40">
        <v>164</v>
      </c>
      <c r="F40">
        <v>87</v>
      </c>
      <c r="G40">
        <v>95</v>
      </c>
      <c r="H40">
        <v>215.2</v>
      </c>
      <c r="I40" s="14">
        <v>349.96927670414664</v>
      </c>
      <c r="J40">
        <v>54</v>
      </c>
      <c r="K40">
        <v>38</v>
      </c>
      <c r="L40">
        <v>82</v>
      </c>
      <c r="M40">
        <v>49</v>
      </c>
      <c r="N40" s="143"/>
      <c r="O40" s="143"/>
      <c r="P40">
        <v>-12</v>
      </c>
    </row>
    <row r="41" spans="1:16">
      <c r="A41" t="s">
        <v>54</v>
      </c>
      <c r="B41">
        <v>49</v>
      </c>
      <c r="C41">
        <v>183</v>
      </c>
      <c r="D41">
        <v>49</v>
      </c>
      <c r="E41">
        <v>70</v>
      </c>
      <c r="F41">
        <v>133</v>
      </c>
      <c r="G41">
        <v>96</v>
      </c>
      <c r="H41">
        <v>218</v>
      </c>
      <c r="I41" s="14">
        <v>343.37838437707836</v>
      </c>
      <c r="J41">
        <v>56</v>
      </c>
      <c r="K41">
        <v>39</v>
      </c>
      <c r="L41">
        <v>79</v>
      </c>
      <c r="M41">
        <v>47</v>
      </c>
      <c r="N41" s="143"/>
      <c r="O41" s="143"/>
      <c r="P41">
        <v>-6</v>
      </c>
    </row>
    <row r="42" spans="1:16">
      <c r="A42" t="s">
        <v>82</v>
      </c>
      <c r="B42">
        <v>79</v>
      </c>
      <c r="C42">
        <v>157</v>
      </c>
      <c r="D42">
        <v>72</v>
      </c>
      <c r="E42">
        <v>34</v>
      </c>
      <c r="F42">
        <v>104</v>
      </c>
      <c r="G42">
        <v>109</v>
      </c>
      <c r="H42">
        <v>218.4</v>
      </c>
      <c r="I42" s="14">
        <v>349.13725497551923</v>
      </c>
      <c r="J42">
        <v>57</v>
      </c>
      <c r="K42">
        <v>40</v>
      </c>
      <c r="L42">
        <v>81</v>
      </c>
      <c r="M42">
        <v>48</v>
      </c>
      <c r="N42" s="143"/>
      <c r="O42" s="143"/>
      <c r="P42">
        <v>8</v>
      </c>
    </row>
    <row r="43" spans="1:16">
      <c r="A43" t="s">
        <v>370</v>
      </c>
      <c r="B43">
        <v>59</v>
      </c>
      <c r="C43">
        <v>38</v>
      </c>
      <c r="D43">
        <v>33</v>
      </c>
      <c r="E43">
        <v>128</v>
      </c>
      <c r="F43">
        <v>183</v>
      </c>
      <c r="G43">
        <v>79</v>
      </c>
      <c r="H43">
        <v>218.5</v>
      </c>
      <c r="I43" s="14">
        <v>307.40976959969373</v>
      </c>
      <c r="J43">
        <v>58</v>
      </c>
      <c r="K43">
        <v>41</v>
      </c>
      <c r="L43">
        <v>60</v>
      </c>
      <c r="M43">
        <v>41</v>
      </c>
      <c r="N43" s="143"/>
      <c r="O43" s="143"/>
      <c r="P43">
        <v>4</v>
      </c>
    </row>
    <row r="44" spans="1:16">
      <c r="A44" t="s">
        <v>93</v>
      </c>
      <c r="B44">
        <v>92</v>
      </c>
      <c r="C44">
        <v>78</v>
      </c>
      <c r="D44">
        <v>21</v>
      </c>
      <c r="E44">
        <v>135</v>
      </c>
      <c r="F44">
        <v>128</v>
      </c>
      <c r="G44">
        <v>22</v>
      </c>
      <c r="H44">
        <v>220.5</v>
      </c>
      <c r="I44" s="14">
        <v>258.02270991197065</v>
      </c>
      <c r="J44">
        <v>62</v>
      </c>
      <c r="K44">
        <v>42</v>
      </c>
      <c r="L44">
        <v>40</v>
      </c>
      <c r="M44">
        <v>31</v>
      </c>
      <c r="N44" s="143"/>
      <c r="O44" s="143"/>
      <c r="P44">
        <v>-6</v>
      </c>
    </row>
    <row r="45" spans="1:16">
      <c r="A45" t="s">
        <v>128</v>
      </c>
      <c r="B45">
        <v>130</v>
      </c>
      <c r="C45">
        <v>11</v>
      </c>
      <c r="D45">
        <v>44</v>
      </c>
      <c r="E45">
        <v>44</v>
      </c>
      <c r="F45">
        <v>163</v>
      </c>
      <c r="G45">
        <v>45</v>
      </c>
      <c r="H45">
        <v>224.2</v>
      </c>
      <c r="I45" s="14">
        <v>259.04425341343608</v>
      </c>
      <c r="J45">
        <v>63</v>
      </c>
      <c r="K45">
        <v>43</v>
      </c>
      <c r="L45">
        <v>41</v>
      </c>
      <c r="M45">
        <v>32</v>
      </c>
      <c r="N45" s="143"/>
      <c r="O45" s="143"/>
      <c r="P45">
        <v>-19</v>
      </c>
    </row>
    <row r="46" spans="1:16">
      <c r="A46" t="s">
        <v>139</v>
      </c>
      <c r="B46">
        <v>137</v>
      </c>
      <c r="C46">
        <v>103</v>
      </c>
      <c r="D46">
        <v>9</v>
      </c>
      <c r="E46">
        <v>151</v>
      </c>
      <c r="F46">
        <v>66</v>
      </c>
      <c r="G46">
        <v>58</v>
      </c>
      <c r="H46">
        <v>226.5</v>
      </c>
      <c r="I46" s="14">
        <v>303.81738192273457</v>
      </c>
      <c r="J46">
        <v>65</v>
      </c>
      <c r="K46">
        <v>44</v>
      </c>
      <c r="L46">
        <v>58</v>
      </c>
      <c r="M46">
        <v>40</v>
      </c>
      <c r="N46" s="143"/>
      <c r="O46" s="143"/>
      <c r="P46">
        <v>1</v>
      </c>
    </row>
    <row r="47" spans="1:16">
      <c r="A47" t="s">
        <v>9</v>
      </c>
      <c r="B47">
        <v>7</v>
      </c>
      <c r="C47">
        <v>106</v>
      </c>
      <c r="D47">
        <v>92</v>
      </c>
      <c r="E47">
        <v>119</v>
      </c>
      <c r="F47">
        <v>158</v>
      </c>
      <c r="G47">
        <v>74</v>
      </c>
      <c r="H47">
        <v>227.7</v>
      </c>
      <c r="I47" s="14">
        <v>333.29357030355521</v>
      </c>
      <c r="J47">
        <v>69</v>
      </c>
      <c r="K47">
        <v>45</v>
      </c>
      <c r="L47">
        <v>77</v>
      </c>
      <c r="M47">
        <v>45</v>
      </c>
      <c r="N47" s="143"/>
      <c r="O47" s="143"/>
      <c r="P47">
        <v>-7</v>
      </c>
    </row>
    <row r="48" spans="1:16">
      <c r="A48" t="s">
        <v>55</v>
      </c>
      <c r="B48">
        <v>52</v>
      </c>
      <c r="C48">
        <v>108</v>
      </c>
      <c r="D48">
        <v>40</v>
      </c>
      <c r="E48">
        <v>173</v>
      </c>
      <c r="F48">
        <v>125</v>
      </c>
      <c r="G48">
        <v>118</v>
      </c>
      <c r="H48">
        <v>228.5</v>
      </c>
      <c r="I48" s="14">
        <v>377.72742007733348</v>
      </c>
      <c r="J48">
        <v>70</v>
      </c>
      <c r="K48">
        <v>46</v>
      </c>
      <c r="L48">
        <v>95</v>
      </c>
      <c r="M48">
        <v>52</v>
      </c>
      <c r="N48" s="143"/>
      <c r="O48" s="143"/>
      <c r="P48">
        <v>-2</v>
      </c>
    </row>
    <row r="49" spans="1:16">
      <c r="A49" t="s">
        <v>90</v>
      </c>
      <c r="B49">
        <v>86</v>
      </c>
      <c r="C49">
        <v>79</v>
      </c>
      <c r="D49">
        <v>62</v>
      </c>
      <c r="E49">
        <v>158</v>
      </c>
      <c r="F49">
        <v>84</v>
      </c>
      <c r="G49">
        <v>78</v>
      </c>
      <c r="H49">
        <v>232.5</v>
      </c>
      <c r="I49" s="14">
        <v>336.65696200623495</v>
      </c>
      <c r="J49">
        <v>76</v>
      </c>
      <c r="K49">
        <v>47</v>
      </c>
      <c r="L49">
        <v>78</v>
      </c>
      <c r="M49">
        <v>46</v>
      </c>
      <c r="N49" s="143"/>
      <c r="O49" s="143"/>
      <c r="P49">
        <v>-23</v>
      </c>
    </row>
    <row r="50" spans="1:16">
      <c r="A50" t="s">
        <v>13</v>
      </c>
      <c r="B50">
        <v>9</v>
      </c>
      <c r="C50">
        <v>127</v>
      </c>
      <c r="D50">
        <v>90</v>
      </c>
      <c r="E50">
        <v>124</v>
      </c>
      <c r="F50">
        <v>157</v>
      </c>
      <c r="G50">
        <v>80</v>
      </c>
      <c r="H50">
        <v>235.5</v>
      </c>
      <c r="I50" s="14">
        <v>350.56593019723692</v>
      </c>
      <c r="J50">
        <v>80</v>
      </c>
      <c r="K50">
        <v>48</v>
      </c>
      <c r="L50">
        <v>83</v>
      </c>
      <c r="M50">
        <v>50</v>
      </c>
      <c r="N50" s="143"/>
      <c r="O50" s="143"/>
      <c r="P50">
        <v>-3</v>
      </c>
    </row>
    <row r="51" spans="1:16">
      <c r="A51" t="s">
        <v>101</v>
      </c>
      <c r="B51">
        <v>95</v>
      </c>
      <c r="C51">
        <v>94</v>
      </c>
      <c r="D51">
        <v>68</v>
      </c>
      <c r="E51">
        <v>155</v>
      </c>
      <c r="F51">
        <v>64</v>
      </c>
      <c r="G51">
        <v>66</v>
      </c>
      <c r="H51">
        <v>236.3</v>
      </c>
      <c r="I51" s="14">
        <v>331.19125373446167</v>
      </c>
      <c r="J51">
        <v>81</v>
      </c>
      <c r="K51">
        <v>49</v>
      </c>
      <c r="L51">
        <v>76</v>
      </c>
      <c r="M51">
        <v>44</v>
      </c>
      <c r="N51" s="143"/>
      <c r="O51" s="143"/>
      <c r="P51">
        <v>-2</v>
      </c>
    </row>
    <row r="52" spans="1:16">
      <c r="A52" t="s">
        <v>104</v>
      </c>
      <c r="B52">
        <v>105</v>
      </c>
      <c r="C52">
        <v>152</v>
      </c>
      <c r="D52">
        <v>154</v>
      </c>
      <c r="E52">
        <v>8</v>
      </c>
      <c r="F52">
        <v>34</v>
      </c>
      <c r="G52">
        <v>86</v>
      </c>
      <c r="H52">
        <v>247.09999999999997</v>
      </c>
      <c r="I52" s="14">
        <v>360.57371515617962</v>
      </c>
      <c r="J52">
        <v>89</v>
      </c>
      <c r="K52">
        <v>51</v>
      </c>
      <c r="L52">
        <v>87</v>
      </c>
      <c r="M52">
        <v>51</v>
      </c>
      <c r="N52" s="143"/>
      <c r="O52" s="143"/>
      <c r="P52">
        <v>13</v>
      </c>
    </row>
    <row r="53" spans="1:16">
      <c r="A53" t="s">
        <v>145</v>
      </c>
      <c r="B53">
        <v>146</v>
      </c>
      <c r="C53">
        <v>5</v>
      </c>
      <c r="D53">
        <v>15</v>
      </c>
      <c r="E53">
        <v>133</v>
      </c>
      <c r="F53">
        <v>169</v>
      </c>
      <c r="G53">
        <v>64</v>
      </c>
      <c r="H53">
        <v>251.89999999999998</v>
      </c>
      <c r="I53" s="14">
        <v>311.88123182969457</v>
      </c>
      <c r="J53">
        <v>93</v>
      </c>
      <c r="K53">
        <v>52</v>
      </c>
      <c r="L53">
        <v>61</v>
      </c>
      <c r="M53">
        <v>42</v>
      </c>
      <c r="N53" s="143"/>
      <c r="O53" s="143"/>
      <c r="P53">
        <v>-10</v>
      </c>
    </row>
    <row r="54" spans="1:16">
      <c r="A54" t="s">
        <v>23</v>
      </c>
      <c r="B54">
        <v>23</v>
      </c>
      <c r="C54">
        <v>160</v>
      </c>
      <c r="D54">
        <v>52</v>
      </c>
      <c r="E54">
        <v>147</v>
      </c>
      <c r="F54">
        <v>189</v>
      </c>
      <c r="G54">
        <v>91</v>
      </c>
      <c r="H54">
        <v>253.8</v>
      </c>
      <c r="I54" s="14">
        <v>380.72916563081122</v>
      </c>
      <c r="J54">
        <v>97</v>
      </c>
      <c r="K54">
        <v>53</v>
      </c>
      <c r="L54">
        <v>97</v>
      </c>
      <c r="M54">
        <v>53</v>
      </c>
      <c r="N54" s="143"/>
      <c r="O54" s="143"/>
      <c r="P54">
        <v>35</v>
      </c>
    </row>
    <row r="55" spans="1:16">
      <c r="A55" t="s">
        <v>105</v>
      </c>
      <c r="B55">
        <v>98</v>
      </c>
      <c r="C55">
        <v>110</v>
      </c>
      <c r="D55">
        <v>169</v>
      </c>
      <c r="E55">
        <v>60</v>
      </c>
      <c r="F55">
        <v>63</v>
      </c>
      <c r="G55">
        <v>108</v>
      </c>
      <c r="H55">
        <v>275.39999999999998</v>
      </c>
      <c r="I55" s="14">
        <v>412.14312293186174</v>
      </c>
      <c r="J55">
        <v>115</v>
      </c>
      <c r="K55">
        <v>54</v>
      </c>
      <c r="L55">
        <v>114</v>
      </c>
      <c r="M55">
        <v>54</v>
      </c>
      <c r="N55" s="143"/>
      <c r="O55" s="143"/>
      <c r="P55">
        <v>-2</v>
      </c>
    </row>
    <row r="56" spans="1:16">
      <c r="A56" t="s">
        <v>65</v>
      </c>
      <c r="B56">
        <v>59</v>
      </c>
      <c r="C56">
        <v>122</v>
      </c>
      <c r="D56">
        <v>95</v>
      </c>
      <c r="E56">
        <v>179</v>
      </c>
      <c r="F56">
        <v>138</v>
      </c>
      <c r="G56">
        <v>156</v>
      </c>
      <c r="H56">
        <v>285</v>
      </c>
      <c r="I56" s="14">
        <v>479.39047383433274</v>
      </c>
      <c r="J56">
        <v>126</v>
      </c>
      <c r="K56">
        <v>55</v>
      </c>
      <c r="L56">
        <v>144</v>
      </c>
      <c r="M56">
        <v>55</v>
      </c>
      <c r="N56" s="143"/>
      <c r="O56" s="143"/>
      <c r="P56">
        <v>11</v>
      </c>
    </row>
    <row r="57" spans="1:16">
      <c r="A57" t="s">
        <v>103</v>
      </c>
      <c r="B57">
        <v>108</v>
      </c>
      <c r="C57">
        <v>98</v>
      </c>
      <c r="D57">
        <v>172</v>
      </c>
      <c r="E57">
        <v>166</v>
      </c>
      <c r="F57">
        <v>137</v>
      </c>
      <c r="G57">
        <v>175</v>
      </c>
      <c r="H57">
        <v>360.29999999999995</v>
      </c>
      <c r="I57" s="14">
        <v>571.54280187342783</v>
      </c>
      <c r="J57">
        <v>179</v>
      </c>
      <c r="K57">
        <v>56</v>
      </c>
      <c r="L57">
        <v>180</v>
      </c>
      <c r="M57">
        <v>56</v>
      </c>
      <c r="N57" s="143"/>
      <c r="O57" s="143"/>
      <c r="P57">
        <v>-4</v>
      </c>
    </row>
  </sheetData>
  <conditionalFormatting sqref="N2:O1048576">
    <cfRule type="cellIs" dxfId="167" priority="5" operator="greaterThanOrEqual">
      <formula>20%</formula>
    </cfRule>
    <cfRule type="cellIs" dxfId="166" priority="6" operator="between">
      <formula>10%</formula>
      <formula>20%</formula>
    </cfRule>
    <cfRule type="cellIs" dxfId="165" priority="7" operator="between">
      <formula>0.01%</formula>
      <formula>10%</formula>
    </cfRule>
  </conditionalFormatting>
  <conditionalFormatting sqref="B2:G1048576 J2:M1048576">
    <cfRule type="cellIs" dxfId="164" priority="8" operator="between">
      <formula>101</formula>
      <formula>250</formula>
    </cfRule>
    <cfRule type="cellIs" dxfId="163" priority="9" operator="between">
      <formula>51</formula>
      <formula>100.5</formula>
    </cfRule>
    <cfRule type="cellIs" dxfId="162" priority="10" operator="between">
      <formula>21</formula>
      <formula>50.5</formula>
    </cfRule>
    <cfRule type="cellIs" dxfId="161"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EDF-2F15-4902-9209-583BDDB4CBA5}">
  <sheetPr codeName="Sheet17">
    <tabColor theme="0"/>
  </sheetPr>
  <dimension ref="A1"/>
  <sheetViews>
    <sheetView workbookViewId="0">
      <selection activeCell="R1" sqref="R1"/>
    </sheetView>
  </sheetViews>
  <sheetFormatPr defaultRowHeight="15"/>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1E965-4913-4999-8ECF-012BAC6C510A}">
  <sheetPr codeName="Sheet44">
    <tabColor rgb="FF92D050"/>
  </sheetPr>
  <dimension ref="A1:V37"/>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customWidth="1"/>
    <col min="10" max="10" width="15.85546875" bestFit="1" customWidth="1"/>
    <col min="11" max="11" width="19.140625" bestFit="1" customWidth="1"/>
    <col min="12" max="12" width="19.140625" customWidth="1"/>
    <col min="13" max="13" width="23.42578125" bestFit="1" customWidth="1"/>
    <col min="14" max="14" width="9" customWidth="1"/>
    <col min="15" max="15" width="9.28515625"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8" t="s">
        <v>201</v>
      </c>
      <c r="I1" s="8" t="s">
        <v>202</v>
      </c>
      <c r="J1" s="9" t="s">
        <v>203</v>
      </c>
      <c r="K1" s="10" t="s">
        <v>204</v>
      </c>
      <c r="L1" s="9" t="s">
        <v>205</v>
      </c>
      <c r="M1" s="10" t="s">
        <v>206</v>
      </c>
      <c r="N1" s="11" t="s">
        <v>207</v>
      </c>
      <c r="O1" s="11" t="s">
        <v>208</v>
      </c>
      <c r="P1" s="12" t="s">
        <v>209</v>
      </c>
      <c r="Q1" s="1" t="s">
        <v>210</v>
      </c>
      <c r="R1" s="1" t="s">
        <v>211</v>
      </c>
      <c r="S1" s="1" t="s">
        <v>212</v>
      </c>
      <c r="U1" t="s">
        <v>213</v>
      </c>
      <c r="V1" t="s">
        <v>214</v>
      </c>
    </row>
    <row r="2" spans="1:22">
      <c r="A2" t="s">
        <v>40</v>
      </c>
      <c r="B2">
        <v>2</v>
      </c>
      <c r="C2">
        <v>5</v>
      </c>
      <c r="D2">
        <v>76</v>
      </c>
      <c r="E2">
        <v>176</v>
      </c>
      <c r="F2">
        <v>1</v>
      </c>
      <c r="G2">
        <v>3</v>
      </c>
      <c r="H2" s="14">
        <v>127</v>
      </c>
      <c r="I2" s="14">
        <v>145.44501648126931</v>
      </c>
      <c r="J2" s="16">
        <v>7</v>
      </c>
      <c r="K2">
        <v>4</v>
      </c>
      <c r="L2">
        <v>10</v>
      </c>
      <c r="M2">
        <v>6</v>
      </c>
      <c r="N2" s="15"/>
      <c r="O2" s="15"/>
      <c r="P2">
        <v>1</v>
      </c>
    </row>
    <row r="3" spans="1:22">
      <c r="A3" t="s">
        <v>42</v>
      </c>
      <c r="B3">
        <v>6</v>
      </c>
      <c r="C3">
        <v>10</v>
      </c>
      <c r="D3">
        <v>166</v>
      </c>
      <c r="E3">
        <v>19</v>
      </c>
      <c r="F3">
        <v>205</v>
      </c>
      <c r="G3">
        <v>116</v>
      </c>
      <c r="H3" s="14">
        <v>233.5</v>
      </c>
      <c r="I3" s="14">
        <v>348.84390298647605</v>
      </c>
      <c r="J3" s="16">
        <v>55</v>
      </c>
      <c r="K3">
        <v>20</v>
      </c>
      <c r="L3">
        <v>86</v>
      </c>
      <c r="M3">
        <v>23</v>
      </c>
      <c r="N3" s="13"/>
      <c r="O3" s="13"/>
      <c r="P3" s="16">
        <v>-76</v>
      </c>
    </row>
    <row r="4" spans="1:22">
      <c r="A4" t="s">
        <v>76</v>
      </c>
      <c r="B4">
        <v>7</v>
      </c>
      <c r="C4">
        <v>51</v>
      </c>
      <c r="D4">
        <v>195</v>
      </c>
      <c r="E4">
        <v>85</v>
      </c>
      <c r="F4">
        <v>122</v>
      </c>
      <c r="G4">
        <v>160</v>
      </c>
      <c r="H4" s="14">
        <v>251.7</v>
      </c>
      <c r="I4" s="14">
        <v>425.55509931558885</v>
      </c>
      <c r="J4" s="16">
        <v>81</v>
      </c>
      <c r="K4">
        <v>26</v>
      </c>
      <c r="L4">
        <v>121</v>
      </c>
      <c r="M4">
        <v>30</v>
      </c>
      <c r="N4" s="15"/>
      <c r="O4" s="15"/>
      <c r="P4">
        <v>-141</v>
      </c>
    </row>
    <row r="5" spans="1:22">
      <c r="A5" t="s">
        <v>72</v>
      </c>
      <c r="B5">
        <v>10</v>
      </c>
      <c r="C5">
        <v>3</v>
      </c>
      <c r="D5">
        <v>114</v>
      </c>
      <c r="E5">
        <v>114</v>
      </c>
      <c r="F5">
        <v>30</v>
      </c>
      <c r="G5">
        <v>16</v>
      </c>
      <c r="H5" s="14">
        <v>148.30000000000001</v>
      </c>
      <c r="I5" s="14">
        <v>174.71102615890729</v>
      </c>
      <c r="J5" s="16">
        <v>12</v>
      </c>
      <c r="K5">
        <v>7</v>
      </c>
      <c r="L5">
        <v>13</v>
      </c>
      <c r="M5">
        <v>8</v>
      </c>
      <c r="N5" s="15"/>
      <c r="O5" s="15"/>
      <c r="P5">
        <v>17</v>
      </c>
      <c r="Q5">
        <v>7</v>
      </c>
    </row>
    <row r="6" spans="1:22">
      <c r="A6" t="s">
        <v>15</v>
      </c>
      <c r="B6">
        <v>17</v>
      </c>
      <c r="C6">
        <v>3</v>
      </c>
      <c r="D6">
        <v>48</v>
      </c>
      <c r="E6">
        <v>3</v>
      </c>
      <c r="F6">
        <v>74</v>
      </c>
      <c r="G6">
        <v>4</v>
      </c>
      <c r="H6">
        <v>84.6</v>
      </c>
      <c r="I6" s="14">
        <v>84.981234419120014</v>
      </c>
      <c r="J6" s="16">
        <v>2</v>
      </c>
      <c r="K6">
        <v>1</v>
      </c>
      <c r="L6">
        <v>2</v>
      </c>
      <c r="M6">
        <v>1</v>
      </c>
      <c r="N6" s="13"/>
      <c r="O6" s="13"/>
      <c r="P6">
        <v>-1</v>
      </c>
      <c r="Q6">
        <v>1</v>
      </c>
    </row>
    <row r="7" spans="1:22">
      <c r="A7" t="s">
        <v>27</v>
      </c>
      <c r="B7">
        <v>19</v>
      </c>
      <c r="C7">
        <v>99</v>
      </c>
      <c r="D7">
        <v>153</v>
      </c>
      <c r="E7">
        <v>137</v>
      </c>
      <c r="F7">
        <v>48</v>
      </c>
      <c r="G7">
        <v>69</v>
      </c>
      <c r="H7" s="14">
        <v>228.9</v>
      </c>
      <c r="I7" s="14">
        <v>320.14407834636097</v>
      </c>
      <c r="J7" s="16">
        <v>50</v>
      </c>
      <c r="K7">
        <v>19</v>
      </c>
      <c r="L7">
        <v>69</v>
      </c>
      <c r="M7">
        <v>20</v>
      </c>
      <c r="N7" s="15"/>
      <c r="O7" s="15"/>
      <c r="P7">
        <v>-32</v>
      </c>
    </row>
    <row r="8" spans="1:22">
      <c r="A8" t="s">
        <v>24</v>
      </c>
      <c r="B8">
        <v>20</v>
      </c>
      <c r="C8">
        <v>230</v>
      </c>
      <c r="D8">
        <v>36</v>
      </c>
      <c r="E8">
        <v>185</v>
      </c>
      <c r="F8">
        <v>127</v>
      </c>
      <c r="G8">
        <v>120</v>
      </c>
      <c r="H8">
        <v>245.7</v>
      </c>
      <c r="I8" s="14">
        <v>395.22915107288361</v>
      </c>
      <c r="J8" s="16">
        <v>70</v>
      </c>
      <c r="K8">
        <v>22</v>
      </c>
      <c r="L8">
        <v>109</v>
      </c>
      <c r="M8">
        <v>29</v>
      </c>
      <c r="N8" s="13"/>
      <c r="O8" s="13"/>
      <c r="P8">
        <v>35</v>
      </c>
    </row>
    <row r="9" spans="1:22">
      <c r="A9" t="s">
        <v>23</v>
      </c>
      <c r="B9">
        <v>32</v>
      </c>
      <c r="C9">
        <v>181</v>
      </c>
      <c r="D9">
        <v>80</v>
      </c>
      <c r="E9">
        <v>83</v>
      </c>
      <c r="F9">
        <v>207</v>
      </c>
      <c r="G9">
        <v>145</v>
      </c>
      <c r="H9">
        <v>269.39999999999998</v>
      </c>
      <c r="I9" s="14">
        <v>428.06715925554755</v>
      </c>
      <c r="J9" s="16">
        <v>96</v>
      </c>
      <c r="K9">
        <v>28</v>
      </c>
      <c r="L9">
        <v>123</v>
      </c>
      <c r="M9">
        <v>31</v>
      </c>
      <c r="N9" s="13"/>
      <c r="O9" s="13"/>
      <c r="P9">
        <v>-18</v>
      </c>
    </row>
    <row r="10" spans="1:22">
      <c r="A10" t="s">
        <v>9</v>
      </c>
      <c r="B10">
        <v>34</v>
      </c>
      <c r="C10">
        <v>145</v>
      </c>
      <c r="D10">
        <v>4</v>
      </c>
      <c r="E10">
        <v>78</v>
      </c>
      <c r="F10">
        <v>168</v>
      </c>
      <c r="G10">
        <v>47</v>
      </c>
      <c r="H10" s="14">
        <v>185.3</v>
      </c>
      <c r="I10" s="14">
        <v>239.34191555942516</v>
      </c>
      <c r="J10" s="16">
        <v>19</v>
      </c>
      <c r="K10">
        <v>10</v>
      </c>
      <c r="L10">
        <v>29</v>
      </c>
      <c r="M10">
        <v>16</v>
      </c>
      <c r="N10" s="15"/>
      <c r="O10" s="15"/>
      <c r="P10">
        <v>21</v>
      </c>
    </row>
    <row r="11" spans="1:22">
      <c r="A11" t="s">
        <v>47</v>
      </c>
      <c r="B11">
        <v>40</v>
      </c>
      <c r="C11">
        <v>30</v>
      </c>
      <c r="D11">
        <v>177</v>
      </c>
      <c r="E11">
        <v>8</v>
      </c>
      <c r="F11">
        <v>90</v>
      </c>
      <c r="G11">
        <v>28</v>
      </c>
      <c r="H11" s="14">
        <v>209.09999999999997</v>
      </c>
      <c r="I11" s="14">
        <v>238.97208991534293</v>
      </c>
      <c r="J11" s="16">
        <v>35</v>
      </c>
      <c r="K11">
        <v>17</v>
      </c>
      <c r="L11">
        <v>28</v>
      </c>
      <c r="M11">
        <v>15</v>
      </c>
      <c r="N11" s="15"/>
      <c r="O11" s="15"/>
      <c r="P11">
        <v>-17</v>
      </c>
    </row>
    <row r="12" spans="1:22">
      <c r="A12" t="s">
        <v>66</v>
      </c>
      <c r="B12">
        <v>43</v>
      </c>
      <c r="C12">
        <v>32</v>
      </c>
      <c r="D12">
        <v>46</v>
      </c>
      <c r="E12">
        <v>12</v>
      </c>
      <c r="F12">
        <v>53</v>
      </c>
      <c r="G12">
        <v>14</v>
      </c>
      <c r="H12">
        <v>103.19999999999999</v>
      </c>
      <c r="I12" s="14">
        <v>114.11578336059021</v>
      </c>
      <c r="J12" s="16">
        <v>3</v>
      </c>
      <c r="K12">
        <v>2</v>
      </c>
      <c r="L12">
        <v>4</v>
      </c>
      <c r="M12">
        <v>3</v>
      </c>
      <c r="N12" s="13"/>
      <c r="O12" s="13"/>
      <c r="P12">
        <v>-6</v>
      </c>
      <c r="Q12">
        <v>3</v>
      </c>
    </row>
    <row r="13" spans="1:22">
      <c r="A13" t="s">
        <v>35</v>
      </c>
      <c r="B13">
        <v>55</v>
      </c>
      <c r="C13">
        <v>47</v>
      </c>
      <c r="D13">
        <v>59</v>
      </c>
      <c r="E13">
        <v>48</v>
      </c>
      <c r="F13">
        <v>190</v>
      </c>
      <c r="G13">
        <v>52</v>
      </c>
      <c r="H13" s="14">
        <v>208.10000000000002</v>
      </c>
      <c r="I13" s="14">
        <v>252.54420938154439</v>
      </c>
      <c r="J13" s="16">
        <v>34</v>
      </c>
      <c r="K13">
        <v>16</v>
      </c>
      <c r="L13">
        <v>33</v>
      </c>
      <c r="M13">
        <v>17</v>
      </c>
      <c r="N13" s="13"/>
      <c r="O13" s="13"/>
      <c r="P13" s="16">
        <v>-51</v>
      </c>
      <c r="Q13">
        <v>7</v>
      </c>
    </row>
    <row r="14" spans="1:22">
      <c r="A14" t="s">
        <v>231</v>
      </c>
      <c r="B14">
        <v>64</v>
      </c>
      <c r="C14">
        <v>68</v>
      </c>
      <c r="D14">
        <v>171</v>
      </c>
      <c r="E14">
        <v>9</v>
      </c>
      <c r="F14">
        <v>17</v>
      </c>
      <c r="G14">
        <v>22</v>
      </c>
      <c r="H14" s="14">
        <v>196.99999999999997</v>
      </c>
      <c r="I14" s="14">
        <v>224.73842356616044</v>
      </c>
      <c r="J14" s="16">
        <v>26</v>
      </c>
      <c r="K14">
        <v>14</v>
      </c>
      <c r="L14">
        <v>25</v>
      </c>
      <c r="M14">
        <v>14</v>
      </c>
      <c r="N14" s="15"/>
      <c r="O14" s="15"/>
      <c r="P14">
        <v>114</v>
      </c>
    </row>
    <row r="15" spans="1:22">
      <c r="A15" t="s">
        <v>113</v>
      </c>
      <c r="B15">
        <v>71</v>
      </c>
      <c r="C15">
        <v>29</v>
      </c>
      <c r="D15">
        <v>105</v>
      </c>
      <c r="E15">
        <v>72</v>
      </c>
      <c r="F15">
        <v>66</v>
      </c>
      <c r="G15">
        <v>18</v>
      </c>
      <c r="H15" s="14">
        <v>193.7</v>
      </c>
      <c r="I15" s="14">
        <v>209.93582228662657</v>
      </c>
      <c r="J15" s="16">
        <v>25</v>
      </c>
      <c r="K15">
        <v>13</v>
      </c>
      <c r="L15">
        <v>18</v>
      </c>
      <c r="M15">
        <v>11</v>
      </c>
      <c r="N15" s="15"/>
      <c r="O15" s="15"/>
      <c r="P15">
        <v>-2</v>
      </c>
    </row>
    <row r="16" spans="1:22">
      <c r="A16" t="s">
        <v>37</v>
      </c>
      <c r="B16">
        <v>77</v>
      </c>
      <c r="C16">
        <v>241</v>
      </c>
      <c r="D16">
        <v>203</v>
      </c>
      <c r="E16">
        <v>196</v>
      </c>
      <c r="F16">
        <v>56</v>
      </c>
      <c r="G16">
        <v>197</v>
      </c>
      <c r="H16">
        <v>374.69999999999993</v>
      </c>
      <c r="I16" s="14">
        <v>606.26568316770067</v>
      </c>
      <c r="J16" s="16">
        <v>184</v>
      </c>
      <c r="K16">
        <v>35</v>
      </c>
      <c r="L16">
        <v>199</v>
      </c>
      <c r="M16">
        <v>35</v>
      </c>
      <c r="N16" s="13"/>
      <c r="O16" s="13"/>
      <c r="P16">
        <v>-20</v>
      </c>
    </row>
    <row r="17" spans="1:17">
      <c r="A17" t="s">
        <v>105</v>
      </c>
      <c r="B17">
        <v>79</v>
      </c>
      <c r="C17">
        <v>76</v>
      </c>
      <c r="D17">
        <v>201</v>
      </c>
      <c r="E17">
        <v>20</v>
      </c>
      <c r="F17">
        <v>40</v>
      </c>
      <c r="G17">
        <v>104</v>
      </c>
      <c r="H17">
        <v>246.79999999999998</v>
      </c>
      <c r="I17" s="14">
        <v>356.04214543176232</v>
      </c>
      <c r="J17" s="16">
        <v>73</v>
      </c>
      <c r="K17">
        <v>23</v>
      </c>
      <c r="L17">
        <v>89</v>
      </c>
      <c r="M17">
        <v>24</v>
      </c>
      <c r="N17" s="13"/>
      <c r="O17" s="13"/>
      <c r="P17">
        <v>-22</v>
      </c>
    </row>
    <row r="18" spans="1:17">
      <c r="A18" t="s">
        <v>89</v>
      </c>
      <c r="B18">
        <v>80</v>
      </c>
      <c r="C18">
        <v>135</v>
      </c>
      <c r="D18">
        <v>160</v>
      </c>
      <c r="E18">
        <v>65</v>
      </c>
      <c r="F18">
        <v>76</v>
      </c>
      <c r="G18">
        <v>95</v>
      </c>
      <c r="H18" s="14">
        <v>272.5</v>
      </c>
      <c r="I18" s="14">
        <v>378.0229910969519</v>
      </c>
      <c r="J18" s="16">
        <v>100.5</v>
      </c>
      <c r="K18">
        <v>29</v>
      </c>
      <c r="L18">
        <v>98</v>
      </c>
      <c r="M18">
        <v>27</v>
      </c>
      <c r="N18" s="15"/>
      <c r="O18" s="15"/>
      <c r="P18">
        <v>58</v>
      </c>
    </row>
    <row r="19" spans="1:17">
      <c r="A19" t="s">
        <v>92</v>
      </c>
      <c r="B19">
        <v>91</v>
      </c>
      <c r="C19">
        <v>22</v>
      </c>
      <c r="D19">
        <v>15</v>
      </c>
      <c r="E19">
        <v>39</v>
      </c>
      <c r="F19">
        <v>115</v>
      </c>
      <c r="G19">
        <v>13</v>
      </c>
      <c r="H19">
        <v>153.9</v>
      </c>
      <c r="I19" s="14">
        <v>151.66101800223575</v>
      </c>
      <c r="J19" s="16">
        <v>14</v>
      </c>
      <c r="K19">
        <v>8</v>
      </c>
      <c r="L19">
        <v>11</v>
      </c>
      <c r="M19">
        <v>7</v>
      </c>
      <c r="P19">
        <v>62</v>
      </c>
      <c r="Q19">
        <v>7</v>
      </c>
    </row>
    <row r="20" spans="1:17">
      <c r="A20" t="s">
        <v>58</v>
      </c>
      <c r="B20">
        <v>91</v>
      </c>
      <c r="C20">
        <v>63</v>
      </c>
      <c r="D20">
        <v>40</v>
      </c>
      <c r="E20">
        <v>167</v>
      </c>
      <c r="F20">
        <v>16</v>
      </c>
      <c r="G20">
        <v>15</v>
      </c>
      <c r="H20">
        <v>185.39999999999998</v>
      </c>
      <c r="I20" s="14">
        <v>204.43609282141199</v>
      </c>
      <c r="J20" s="16">
        <v>20</v>
      </c>
      <c r="K20">
        <v>11</v>
      </c>
      <c r="L20">
        <v>17</v>
      </c>
      <c r="M20">
        <v>10</v>
      </c>
      <c r="P20">
        <v>5</v>
      </c>
    </row>
    <row r="21" spans="1:17">
      <c r="A21" t="s">
        <v>104</v>
      </c>
      <c r="B21">
        <v>104</v>
      </c>
      <c r="C21">
        <v>217</v>
      </c>
      <c r="D21">
        <v>61</v>
      </c>
      <c r="E21">
        <v>15</v>
      </c>
      <c r="F21">
        <v>9</v>
      </c>
      <c r="G21">
        <v>10</v>
      </c>
      <c r="H21">
        <v>191.09999999999997</v>
      </c>
      <c r="I21" s="14">
        <v>211.94497158866227</v>
      </c>
      <c r="J21" s="16">
        <v>24</v>
      </c>
      <c r="K21">
        <v>12</v>
      </c>
      <c r="L21">
        <v>19</v>
      </c>
      <c r="M21">
        <v>12</v>
      </c>
      <c r="P21">
        <v>91</v>
      </c>
    </row>
    <row r="22" spans="1:17">
      <c r="A22" t="s">
        <v>129</v>
      </c>
      <c r="B22">
        <v>106</v>
      </c>
      <c r="C22">
        <v>123</v>
      </c>
      <c r="D22">
        <v>95</v>
      </c>
      <c r="E22">
        <v>32</v>
      </c>
      <c r="F22">
        <v>62</v>
      </c>
      <c r="G22">
        <v>61</v>
      </c>
      <c r="H22">
        <v>221.4</v>
      </c>
      <c r="I22" s="14">
        <v>282.50866352977789</v>
      </c>
      <c r="J22" s="16">
        <v>44</v>
      </c>
      <c r="K22">
        <v>18</v>
      </c>
      <c r="L22">
        <v>51</v>
      </c>
      <c r="M22">
        <v>19</v>
      </c>
      <c r="P22">
        <v>-39</v>
      </c>
    </row>
    <row r="23" spans="1:17">
      <c r="A23" t="s">
        <v>154</v>
      </c>
      <c r="B23">
        <v>109</v>
      </c>
      <c r="C23">
        <v>17</v>
      </c>
      <c r="D23">
        <v>47</v>
      </c>
      <c r="E23">
        <v>127</v>
      </c>
      <c r="F23">
        <v>76</v>
      </c>
      <c r="G23">
        <v>26</v>
      </c>
      <c r="H23">
        <v>203.1</v>
      </c>
      <c r="I23" s="14">
        <v>219.69841286946328</v>
      </c>
      <c r="J23" s="16">
        <v>31</v>
      </c>
      <c r="K23">
        <v>15</v>
      </c>
      <c r="L23">
        <v>21</v>
      </c>
      <c r="M23">
        <v>13</v>
      </c>
      <c r="P23">
        <v>13</v>
      </c>
    </row>
    <row r="24" spans="1:17">
      <c r="A24" t="s">
        <v>64</v>
      </c>
      <c r="B24">
        <v>111</v>
      </c>
      <c r="C24">
        <v>214</v>
      </c>
      <c r="D24">
        <v>67</v>
      </c>
      <c r="E24">
        <v>87</v>
      </c>
      <c r="F24">
        <v>65</v>
      </c>
      <c r="G24">
        <v>93</v>
      </c>
      <c r="H24">
        <v>256.10000000000002</v>
      </c>
      <c r="I24" s="14">
        <v>360.4581236547811</v>
      </c>
      <c r="J24" s="16">
        <v>85</v>
      </c>
      <c r="K24">
        <v>27</v>
      </c>
      <c r="L24">
        <v>92</v>
      </c>
      <c r="M24">
        <v>25</v>
      </c>
      <c r="P24">
        <v>-47</v>
      </c>
    </row>
    <row r="25" spans="1:17">
      <c r="A25" t="s">
        <v>139</v>
      </c>
      <c r="B25">
        <v>112</v>
      </c>
      <c r="C25">
        <v>55</v>
      </c>
      <c r="D25">
        <v>3</v>
      </c>
      <c r="E25">
        <v>170</v>
      </c>
      <c r="F25">
        <v>23</v>
      </c>
      <c r="G25">
        <v>12</v>
      </c>
      <c r="H25">
        <v>176.5</v>
      </c>
      <c r="I25" s="14">
        <v>186.07027832378407</v>
      </c>
      <c r="J25" s="16">
        <v>16.5</v>
      </c>
      <c r="K25">
        <v>9</v>
      </c>
      <c r="L25">
        <v>15</v>
      </c>
      <c r="M25">
        <v>9</v>
      </c>
      <c r="P25">
        <v>48</v>
      </c>
      <c r="Q25">
        <v>3</v>
      </c>
    </row>
    <row r="26" spans="1:17">
      <c r="A26" t="s">
        <v>126</v>
      </c>
      <c r="B26">
        <v>117</v>
      </c>
      <c r="C26">
        <v>119</v>
      </c>
      <c r="D26">
        <v>138</v>
      </c>
      <c r="E26">
        <v>159</v>
      </c>
      <c r="F26">
        <v>159</v>
      </c>
      <c r="G26">
        <v>175</v>
      </c>
      <c r="H26">
        <v>357.3</v>
      </c>
      <c r="I26" s="14">
        <v>535.47468042923106</v>
      </c>
      <c r="J26" s="16">
        <v>170</v>
      </c>
      <c r="K26">
        <v>34</v>
      </c>
      <c r="L26">
        <v>171</v>
      </c>
      <c r="M26">
        <v>34</v>
      </c>
      <c r="P26">
        <v>-122</v>
      </c>
    </row>
    <row r="27" spans="1:17">
      <c r="A27" t="s">
        <v>115</v>
      </c>
      <c r="B27">
        <v>124</v>
      </c>
      <c r="C27">
        <v>17</v>
      </c>
      <c r="D27">
        <v>1</v>
      </c>
      <c r="E27">
        <v>18</v>
      </c>
      <c r="F27">
        <v>89</v>
      </c>
      <c r="G27">
        <v>8</v>
      </c>
      <c r="H27">
        <v>144.30000000000001</v>
      </c>
      <c r="I27" s="14">
        <v>130.35149724124659</v>
      </c>
      <c r="J27" s="16">
        <v>11</v>
      </c>
      <c r="K27">
        <v>6</v>
      </c>
      <c r="L27">
        <v>9</v>
      </c>
      <c r="M27">
        <v>5</v>
      </c>
      <c r="P27">
        <v>91</v>
      </c>
    </row>
    <row r="28" spans="1:17">
      <c r="A28" t="s">
        <v>93</v>
      </c>
      <c r="B28">
        <v>125</v>
      </c>
      <c r="C28">
        <v>66</v>
      </c>
      <c r="D28">
        <v>43</v>
      </c>
      <c r="E28">
        <v>171</v>
      </c>
      <c r="F28">
        <v>87</v>
      </c>
      <c r="G28">
        <v>81</v>
      </c>
      <c r="H28">
        <v>249.3</v>
      </c>
      <c r="I28" s="14">
        <v>325.77885517257005</v>
      </c>
      <c r="J28" s="16">
        <v>74</v>
      </c>
      <c r="K28">
        <v>24</v>
      </c>
      <c r="L28">
        <v>72</v>
      </c>
      <c r="M28">
        <v>21</v>
      </c>
      <c r="P28">
        <v>-64</v>
      </c>
    </row>
    <row r="29" spans="1:17">
      <c r="A29" t="s">
        <v>110</v>
      </c>
      <c r="B29">
        <v>136</v>
      </c>
      <c r="C29">
        <v>54</v>
      </c>
      <c r="D29">
        <v>75</v>
      </c>
      <c r="E29">
        <v>138</v>
      </c>
      <c r="F29">
        <v>51</v>
      </c>
      <c r="G29">
        <v>96</v>
      </c>
      <c r="H29">
        <v>244.59999999999997</v>
      </c>
      <c r="I29" s="14">
        <v>334.37519272650331</v>
      </c>
      <c r="J29" s="16">
        <v>69</v>
      </c>
      <c r="K29">
        <v>21</v>
      </c>
      <c r="L29">
        <v>78</v>
      </c>
      <c r="M29">
        <v>22</v>
      </c>
      <c r="P29">
        <v>-42</v>
      </c>
    </row>
    <row r="30" spans="1:17">
      <c r="A30" t="s">
        <v>69</v>
      </c>
      <c r="B30">
        <v>137</v>
      </c>
      <c r="C30">
        <v>15</v>
      </c>
      <c r="D30">
        <v>5</v>
      </c>
      <c r="E30">
        <v>53</v>
      </c>
      <c r="F30">
        <v>2</v>
      </c>
      <c r="G30">
        <v>1</v>
      </c>
      <c r="H30">
        <v>126.1</v>
      </c>
      <c r="I30" s="14">
        <v>109.79084222828445</v>
      </c>
      <c r="J30" s="16">
        <v>6</v>
      </c>
      <c r="K30">
        <v>3</v>
      </c>
      <c r="L30">
        <v>3</v>
      </c>
      <c r="M30">
        <v>2</v>
      </c>
      <c r="P30">
        <v>11</v>
      </c>
      <c r="Q30">
        <v>7</v>
      </c>
    </row>
    <row r="31" spans="1:17">
      <c r="A31" t="s">
        <v>112</v>
      </c>
      <c r="B31">
        <v>138</v>
      </c>
      <c r="C31">
        <v>50</v>
      </c>
      <c r="D31">
        <v>136</v>
      </c>
      <c r="E31">
        <v>61</v>
      </c>
      <c r="F31">
        <v>100</v>
      </c>
      <c r="G31">
        <v>108</v>
      </c>
      <c r="H31">
        <v>281.2</v>
      </c>
      <c r="I31" s="14">
        <v>377.90529390657332</v>
      </c>
      <c r="J31" s="16">
        <v>109</v>
      </c>
      <c r="K31">
        <v>30</v>
      </c>
      <c r="L31">
        <v>97</v>
      </c>
      <c r="M31">
        <v>26</v>
      </c>
      <c r="P31">
        <v>-46</v>
      </c>
      <c r="Q31">
        <v>5</v>
      </c>
    </row>
    <row r="32" spans="1:17">
      <c r="A32" t="s">
        <v>148</v>
      </c>
      <c r="B32">
        <v>149</v>
      </c>
      <c r="C32">
        <v>165</v>
      </c>
      <c r="D32">
        <v>94</v>
      </c>
      <c r="E32">
        <v>180</v>
      </c>
      <c r="F32">
        <v>93</v>
      </c>
      <c r="G32">
        <v>145</v>
      </c>
      <c r="H32">
        <v>338.1</v>
      </c>
      <c r="I32" s="14">
        <v>488.63981825509393</v>
      </c>
      <c r="J32" s="16">
        <v>154</v>
      </c>
      <c r="K32">
        <v>33</v>
      </c>
      <c r="L32">
        <v>157</v>
      </c>
      <c r="M32">
        <v>33</v>
      </c>
      <c r="P32">
        <v>-22</v>
      </c>
    </row>
    <row r="33" spans="1:17">
      <c r="A33" t="s">
        <v>124</v>
      </c>
      <c r="B33">
        <v>157</v>
      </c>
      <c r="C33">
        <v>9</v>
      </c>
      <c r="D33">
        <v>6</v>
      </c>
      <c r="E33">
        <v>26</v>
      </c>
      <c r="F33">
        <v>32</v>
      </c>
      <c r="G33">
        <v>6</v>
      </c>
      <c r="H33">
        <v>143.19999999999999</v>
      </c>
      <c r="I33" s="14">
        <v>124.68319716169842</v>
      </c>
      <c r="J33" s="16">
        <v>10</v>
      </c>
      <c r="K33">
        <v>5</v>
      </c>
      <c r="L33">
        <v>8</v>
      </c>
      <c r="M33">
        <v>4</v>
      </c>
      <c r="P33">
        <v>20</v>
      </c>
      <c r="Q33">
        <v>5</v>
      </c>
    </row>
    <row r="34" spans="1:17">
      <c r="A34" t="s">
        <v>166</v>
      </c>
      <c r="B34">
        <v>167</v>
      </c>
      <c r="C34">
        <v>6</v>
      </c>
      <c r="D34">
        <v>147</v>
      </c>
      <c r="E34">
        <v>33</v>
      </c>
      <c r="F34">
        <v>206</v>
      </c>
      <c r="G34">
        <v>167</v>
      </c>
      <c r="H34">
        <v>337.79999999999995</v>
      </c>
      <c r="I34" s="14">
        <v>477.05503639685401</v>
      </c>
      <c r="J34" s="16">
        <v>152</v>
      </c>
      <c r="K34">
        <v>32</v>
      </c>
      <c r="L34">
        <v>147</v>
      </c>
      <c r="M34">
        <v>32</v>
      </c>
      <c r="P34">
        <v>-139</v>
      </c>
    </row>
    <row r="35" spans="1:17">
      <c r="A35" t="s">
        <v>135</v>
      </c>
      <c r="B35">
        <v>171</v>
      </c>
      <c r="C35">
        <v>7</v>
      </c>
      <c r="D35">
        <v>11</v>
      </c>
      <c r="E35">
        <v>36</v>
      </c>
      <c r="F35">
        <v>214</v>
      </c>
      <c r="G35">
        <v>64</v>
      </c>
      <c r="H35">
        <v>250.89999999999998</v>
      </c>
      <c r="I35" s="14">
        <v>279.24280581912797</v>
      </c>
      <c r="J35" s="16">
        <v>77</v>
      </c>
      <c r="K35">
        <v>25</v>
      </c>
      <c r="L35">
        <v>49</v>
      </c>
      <c r="M35">
        <v>18</v>
      </c>
      <c r="P35">
        <v>-54</v>
      </c>
      <c r="Q35">
        <v>2</v>
      </c>
    </row>
    <row r="36" spans="1:17">
      <c r="A36" t="s">
        <v>130</v>
      </c>
      <c r="B36">
        <v>190</v>
      </c>
      <c r="C36">
        <v>143</v>
      </c>
      <c r="D36">
        <v>71</v>
      </c>
      <c r="E36">
        <v>88</v>
      </c>
      <c r="F36">
        <v>103</v>
      </c>
      <c r="G36">
        <v>82</v>
      </c>
      <c r="H36">
        <v>312.3</v>
      </c>
      <c r="I36" s="14">
        <v>383.00899474526773</v>
      </c>
      <c r="J36" s="16">
        <v>134</v>
      </c>
      <c r="K36">
        <v>31</v>
      </c>
      <c r="L36">
        <v>102</v>
      </c>
      <c r="M36">
        <v>28</v>
      </c>
      <c r="P36">
        <v>-40</v>
      </c>
    </row>
    <row r="37" spans="1:17">
      <c r="A37" t="s">
        <v>177</v>
      </c>
      <c r="B37">
        <v>215</v>
      </c>
      <c r="C37">
        <v>16</v>
      </c>
      <c r="D37">
        <v>173</v>
      </c>
      <c r="E37">
        <v>151</v>
      </c>
      <c r="F37">
        <v>209</v>
      </c>
      <c r="G37">
        <v>205</v>
      </c>
      <c r="H37">
        <v>441.29999999999995</v>
      </c>
      <c r="I37" s="14">
        <v>620.54490536186768</v>
      </c>
      <c r="J37" s="16">
        <v>210</v>
      </c>
      <c r="K37">
        <v>36</v>
      </c>
      <c r="L37">
        <v>204</v>
      </c>
      <c r="M37">
        <v>36</v>
      </c>
      <c r="P37">
        <v>-101</v>
      </c>
    </row>
  </sheetData>
  <autoFilter ref="A1:S37" xr:uid="{FE4BF24C-8AB4-4AD9-B2BE-5159F7BEF651}">
    <sortState xmlns:xlrd2="http://schemas.microsoft.com/office/spreadsheetml/2017/richdata2" ref="A2:S37">
      <sortCondition ref="B1:B37"/>
    </sortState>
  </autoFilter>
  <conditionalFormatting sqref="N2:O1048576">
    <cfRule type="cellIs" dxfId="160" priority="12" operator="greaterThanOrEqual">
      <formula>20%</formula>
    </cfRule>
    <cfRule type="cellIs" dxfId="159" priority="13" operator="between">
      <formula>10%</formula>
      <formula>20%</formula>
    </cfRule>
    <cfRule type="cellIs" dxfId="158" priority="15" operator="between">
      <formula>0.01%</formula>
      <formula>10%</formula>
    </cfRule>
  </conditionalFormatting>
  <conditionalFormatting sqref="B1:F1 B2:G1048576 J1:J1048576">
    <cfRule type="cellIs" dxfId="157" priority="17" operator="between">
      <formula>101</formula>
      <formula>250</formula>
    </cfRule>
    <cfRule type="cellIs" dxfId="156" priority="18" operator="between">
      <formula>51</formula>
      <formula>100.5</formula>
    </cfRule>
    <cfRule type="cellIs" dxfId="155" priority="19" operator="between">
      <formula>21</formula>
      <formula>50.5</formula>
    </cfRule>
    <cfRule type="cellIs" dxfId="154"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3142-EECF-410D-B2E5-49EFC6A869BE}">
  <sheetPr codeName="Sheet47">
    <tabColor rgb="FFFF0000"/>
  </sheetPr>
  <dimension ref="A1:V126"/>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128</v>
      </c>
      <c r="B2">
        <v>107</v>
      </c>
      <c r="C2">
        <v>7</v>
      </c>
      <c r="D2">
        <v>9</v>
      </c>
      <c r="E2">
        <v>96</v>
      </c>
      <c r="F2">
        <v>173</v>
      </c>
      <c r="G2">
        <v>51</v>
      </c>
      <c r="H2">
        <v>170.9</v>
      </c>
      <c r="I2" s="14">
        <v>238.03896795096563</v>
      </c>
      <c r="J2">
        <v>20</v>
      </c>
      <c r="K2">
        <v>8</v>
      </c>
      <c r="L2">
        <v>38</v>
      </c>
      <c r="M2">
        <v>17</v>
      </c>
      <c r="N2" s="120">
        <v>0</v>
      </c>
      <c r="O2" s="120">
        <v>3.3333333333333333E-2</v>
      </c>
      <c r="P2">
        <v>7</v>
      </c>
      <c r="Q2">
        <v>1</v>
      </c>
    </row>
    <row r="3" spans="1:22">
      <c r="A3" t="s">
        <v>60</v>
      </c>
      <c r="B3">
        <v>63</v>
      </c>
      <c r="C3">
        <v>30</v>
      </c>
      <c r="D3">
        <v>105</v>
      </c>
      <c r="E3">
        <v>153</v>
      </c>
      <c r="F3">
        <v>77</v>
      </c>
      <c r="G3">
        <v>50</v>
      </c>
      <c r="H3">
        <v>212</v>
      </c>
      <c r="I3" s="14">
        <v>278.05845482998177</v>
      </c>
      <c r="J3">
        <v>55</v>
      </c>
      <c r="K3">
        <v>27</v>
      </c>
      <c r="L3">
        <v>58</v>
      </c>
      <c r="M3">
        <v>28</v>
      </c>
      <c r="N3" s="120">
        <v>0</v>
      </c>
      <c r="O3" s="120">
        <v>3.5714285714285712E-2</v>
      </c>
      <c r="P3">
        <v>3</v>
      </c>
      <c r="Q3">
        <v>2</v>
      </c>
    </row>
    <row r="4" spans="1:22">
      <c r="A4" t="s">
        <v>132</v>
      </c>
      <c r="B4">
        <v>131</v>
      </c>
      <c r="C4">
        <v>85</v>
      </c>
      <c r="D4">
        <v>93</v>
      </c>
      <c r="E4">
        <v>74</v>
      </c>
      <c r="F4">
        <v>62</v>
      </c>
      <c r="G4">
        <v>95</v>
      </c>
      <c r="H4">
        <v>227.5</v>
      </c>
      <c r="I4" s="14">
        <v>329.88107576203555</v>
      </c>
      <c r="J4">
        <v>73</v>
      </c>
      <c r="K4">
        <v>39</v>
      </c>
      <c r="L4">
        <v>85</v>
      </c>
      <c r="M4">
        <v>45</v>
      </c>
      <c r="N4" s="120">
        <v>0</v>
      </c>
      <c r="O4" s="120">
        <v>0</v>
      </c>
      <c r="P4">
        <v>4</v>
      </c>
      <c r="Q4">
        <v>3</v>
      </c>
    </row>
    <row r="5" spans="1:22">
      <c r="A5" t="s">
        <v>71</v>
      </c>
      <c r="B5">
        <v>71</v>
      </c>
      <c r="C5">
        <v>127</v>
      </c>
      <c r="D5">
        <v>52</v>
      </c>
      <c r="E5">
        <v>114</v>
      </c>
      <c r="F5">
        <v>30</v>
      </c>
      <c r="G5">
        <v>12</v>
      </c>
      <c r="H5">
        <v>193</v>
      </c>
      <c r="I5" s="14">
        <v>206.67576897281543</v>
      </c>
      <c r="J5">
        <v>38</v>
      </c>
      <c r="K5">
        <v>17</v>
      </c>
      <c r="L5">
        <v>21</v>
      </c>
      <c r="M5">
        <v>8</v>
      </c>
      <c r="N5" s="120">
        <v>0</v>
      </c>
      <c r="O5" s="120">
        <v>2.8571428571428571E-2</v>
      </c>
      <c r="P5">
        <v>8</v>
      </c>
      <c r="Q5">
        <v>4</v>
      </c>
    </row>
    <row r="6" spans="1:22">
      <c r="A6" t="s">
        <v>183</v>
      </c>
      <c r="B6">
        <v>193</v>
      </c>
      <c r="C6">
        <v>39</v>
      </c>
      <c r="D6">
        <v>39</v>
      </c>
      <c r="E6">
        <v>49</v>
      </c>
      <c r="F6">
        <v>29</v>
      </c>
      <c r="G6">
        <v>43</v>
      </c>
      <c r="H6">
        <v>174.5</v>
      </c>
      <c r="I6" s="14">
        <v>226.20459211115997</v>
      </c>
      <c r="J6">
        <v>24.5</v>
      </c>
      <c r="K6">
        <v>10</v>
      </c>
      <c r="L6">
        <v>29</v>
      </c>
      <c r="M6">
        <v>11</v>
      </c>
      <c r="N6" s="120">
        <v>0</v>
      </c>
      <c r="O6" s="120">
        <v>3.0303030303030304E-2</v>
      </c>
      <c r="P6">
        <v>-1</v>
      </c>
      <c r="Q6">
        <v>4</v>
      </c>
    </row>
    <row r="7" spans="1:22">
      <c r="A7" t="s">
        <v>163</v>
      </c>
      <c r="B7">
        <v>158</v>
      </c>
      <c r="C7">
        <v>13</v>
      </c>
      <c r="D7">
        <v>119</v>
      </c>
      <c r="E7">
        <v>27</v>
      </c>
      <c r="F7">
        <v>199</v>
      </c>
      <c r="G7">
        <v>158</v>
      </c>
      <c r="H7">
        <v>259.20000000000005</v>
      </c>
      <c r="I7" s="14">
        <v>434.82643187308582</v>
      </c>
      <c r="J7">
        <v>108</v>
      </c>
      <c r="K7">
        <v>60</v>
      </c>
      <c r="L7">
        <v>132</v>
      </c>
      <c r="M7">
        <v>76</v>
      </c>
      <c r="N7" s="120">
        <v>0</v>
      </c>
      <c r="O7" s="120">
        <v>2.8571428571428571E-2</v>
      </c>
      <c r="P7">
        <v>-24</v>
      </c>
      <c r="Q7">
        <v>4</v>
      </c>
    </row>
    <row r="8" spans="1:22">
      <c r="A8" t="s">
        <v>144</v>
      </c>
      <c r="B8">
        <v>170</v>
      </c>
      <c r="C8">
        <v>28</v>
      </c>
      <c r="D8">
        <v>27</v>
      </c>
      <c r="E8">
        <v>31</v>
      </c>
      <c r="F8">
        <v>151</v>
      </c>
      <c r="G8">
        <v>28</v>
      </c>
      <c r="H8">
        <v>190.70000000000002</v>
      </c>
      <c r="I8" s="14">
        <v>230.65337580917134</v>
      </c>
      <c r="J8">
        <v>33</v>
      </c>
      <c r="K8">
        <v>15</v>
      </c>
      <c r="L8">
        <v>33</v>
      </c>
      <c r="M8">
        <v>13</v>
      </c>
      <c r="N8" s="120">
        <v>0</v>
      </c>
      <c r="O8" s="120">
        <v>0</v>
      </c>
      <c r="P8">
        <v>2</v>
      </c>
      <c r="Q8">
        <v>7</v>
      </c>
    </row>
    <row r="9" spans="1:22">
      <c r="A9" t="s">
        <v>98</v>
      </c>
      <c r="B9">
        <v>27</v>
      </c>
      <c r="C9">
        <v>131</v>
      </c>
      <c r="D9">
        <v>143</v>
      </c>
      <c r="E9">
        <v>83</v>
      </c>
      <c r="F9">
        <v>4</v>
      </c>
      <c r="G9">
        <v>19</v>
      </c>
      <c r="H9">
        <v>213.9</v>
      </c>
      <c r="I9" s="14">
        <v>232.90220305130771</v>
      </c>
      <c r="J9">
        <v>60</v>
      </c>
      <c r="K9">
        <v>32</v>
      </c>
      <c r="L9">
        <v>34</v>
      </c>
      <c r="M9">
        <v>14</v>
      </c>
      <c r="N9" s="120">
        <v>0</v>
      </c>
      <c r="O9" s="120">
        <v>9.5238095238095233E-2</v>
      </c>
      <c r="P9">
        <v>5</v>
      </c>
      <c r="Q9">
        <v>7</v>
      </c>
    </row>
    <row r="10" spans="1:22">
      <c r="A10" t="s">
        <v>158</v>
      </c>
      <c r="B10">
        <v>129</v>
      </c>
      <c r="C10">
        <v>154</v>
      </c>
      <c r="D10">
        <v>31</v>
      </c>
      <c r="E10">
        <v>29</v>
      </c>
      <c r="F10">
        <v>144</v>
      </c>
      <c r="G10">
        <v>64</v>
      </c>
      <c r="H10">
        <v>232.39999999999998</v>
      </c>
      <c r="I10" s="14">
        <v>295.72086831196032</v>
      </c>
      <c r="J10">
        <v>77</v>
      </c>
      <c r="K10">
        <v>42</v>
      </c>
      <c r="L10">
        <v>70</v>
      </c>
      <c r="M10">
        <v>36</v>
      </c>
      <c r="N10" s="120">
        <v>0</v>
      </c>
      <c r="O10" s="120">
        <v>3.3333333333333333E-2</v>
      </c>
      <c r="P10">
        <v>13</v>
      </c>
      <c r="Q10">
        <v>7</v>
      </c>
    </row>
    <row r="11" spans="1:22">
      <c r="A11" t="s">
        <v>182</v>
      </c>
      <c r="B11">
        <v>192</v>
      </c>
      <c r="C11">
        <v>137</v>
      </c>
      <c r="D11">
        <v>109</v>
      </c>
      <c r="E11">
        <v>20</v>
      </c>
      <c r="F11">
        <v>38</v>
      </c>
      <c r="G11">
        <v>53</v>
      </c>
      <c r="H11">
        <v>264</v>
      </c>
      <c r="I11" s="14">
        <v>317.99394395437378</v>
      </c>
      <c r="J11">
        <v>113</v>
      </c>
      <c r="K11">
        <v>64</v>
      </c>
      <c r="L11">
        <v>76</v>
      </c>
      <c r="M11">
        <v>41</v>
      </c>
      <c r="N11" s="120">
        <v>0</v>
      </c>
      <c r="O11" s="120">
        <v>3.8461538461538464E-2</v>
      </c>
      <c r="P11">
        <v>-3</v>
      </c>
      <c r="Q11">
        <v>7</v>
      </c>
    </row>
    <row r="12" spans="1:22">
      <c r="A12" t="s">
        <v>122</v>
      </c>
      <c r="B12">
        <v>153</v>
      </c>
      <c r="C12">
        <v>73</v>
      </c>
      <c r="D12">
        <v>172</v>
      </c>
      <c r="E12">
        <v>85</v>
      </c>
      <c r="F12">
        <v>78</v>
      </c>
      <c r="G12">
        <v>124</v>
      </c>
      <c r="H12">
        <v>298.59999999999997</v>
      </c>
      <c r="I12" s="14">
        <v>435.83694222524991</v>
      </c>
      <c r="J12">
        <v>144</v>
      </c>
      <c r="K12">
        <v>83</v>
      </c>
      <c r="L12">
        <v>135</v>
      </c>
      <c r="M12">
        <v>79</v>
      </c>
      <c r="N12" s="120">
        <v>0</v>
      </c>
      <c r="O12" s="120">
        <v>0</v>
      </c>
      <c r="P12">
        <v>1</v>
      </c>
      <c r="Q12">
        <v>7</v>
      </c>
    </row>
    <row r="13" spans="1:22">
      <c r="A13" t="s">
        <v>54</v>
      </c>
      <c r="B13">
        <v>3</v>
      </c>
      <c r="C13">
        <v>122</v>
      </c>
      <c r="D13">
        <v>14</v>
      </c>
      <c r="E13">
        <v>9</v>
      </c>
      <c r="F13">
        <v>75</v>
      </c>
      <c r="G13">
        <v>5</v>
      </c>
      <c r="H13" s="14">
        <v>105.89999999999999</v>
      </c>
      <c r="I13" s="14">
        <v>104.27801180729213</v>
      </c>
      <c r="J13" s="16">
        <v>4</v>
      </c>
      <c r="K13">
        <v>2</v>
      </c>
      <c r="L13">
        <v>3</v>
      </c>
      <c r="M13">
        <v>1</v>
      </c>
      <c r="N13" s="120">
        <v>0</v>
      </c>
      <c r="O13" s="120">
        <v>0.04</v>
      </c>
      <c r="P13">
        <v>2</v>
      </c>
    </row>
    <row r="14" spans="1:22">
      <c r="A14" t="s">
        <v>124</v>
      </c>
      <c r="B14">
        <v>145</v>
      </c>
      <c r="C14">
        <v>6</v>
      </c>
      <c r="D14">
        <v>5</v>
      </c>
      <c r="E14">
        <v>18</v>
      </c>
      <c r="F14">
        <v>46</v>
      </c>
      <c r="G14">
        <v>4</v>
      </c>
      <c r="H14">
        <v>104.60000000000001</v>
      </c>
      <c r="I14" s="14">
        <v>116.02455898005846</v>
      </c>
      <c r="J14">
        <v>3</v>
      </c>
      <c r="K14">
        <v>1</v>
      </c>
      <c r="L14">
        <v>6</v>
      </c>
      <c r="M14">
        <v>2</v>
      </c>
      <c r="N14" s="120">
        <v>3.7037037037037035E-2</v>
      </c>
      <c r="O14" s="120">
        <v>7.407407407407407E-2</v>
      </c>
      <c r="P14">
        <v>2</v>
      </c>
    </row>
    <row r="15" spans="1:22">
      <c r="A15" t="s">
        <v>92</v>
      </c>
      <c r="B15">
        <v>86</v>
      </c>
      <c r="C15">
        <v>25</v>
      </c>
      <c r="D15">
        <v>24</v>
      </c>
      <c r="E15">
        <v>23</v>
      </c>
      <c r="F15">
        <v>72</v>
      </c>
      <c r="G15">
        <v>10</v>
      </c>
      <c r="H15">
        <v>110.3</v>
      </c>
      <c r="I15" s="14">
        <v>126.07060706542671</v>
      </c>
      <c r="J15">
        <v>6</v>
      </c>
      <c r="K15">
        <v>3</v>
      </c>
      <c r="L15">
        <v>8</v>
      </c>
      <c r="M15">
        <v>3</v>
      </c>
      <c r="N15" s="120">
        <v>0</v>
      </c>
      <c r="O15" s="120">
        <v>6.0606060606060608E-2</v>
      </c>
      <c r="P15">
        <v>3</v>
      </c>
    </row>
    <row r="16" spans="1:22">
      <c r="A16" t="s">
        <v>139</v>
      </c>
      <c r="B16">
        <v>118</v>
      </c>
      <c r="C16">
        <v>42</v>
      </c>
      <c r="D16">
        <v>1</v>
      </c>
      <c r="E16">
        <v>188</v>
      </c>
      <c r="F16">
        <v>32</v>
      </c>
      <c r="G16">
        <v>8</v>
      </c>
      <c r="H16">
        <v>168.70000000000002</v>
      </c>
      <c r="I16" s="14">
        <v>190.50628983158461</v>
      </c>
      <c r="J16">
        <v>18</v>
      </c>
      <c r="K16">
        <v>7</v>
      </c>
      <c r="L16">
        <v>12</v>
      </c>
      <c r="M16">
        <v>4</v>
      </c>
      <c r="N16" s="120">
        <v>0</v>
      </c>
      <c r="O16" s="120">
        <v>9.0909090909090912E-2</v>
      </c>
      <c r="P16">
        <v>4</v>
      </c>
    </row>
    <row r="17" spans="1:16">
      <c r="A17" t="s">
        <v>188</v>
      </c>
      <c r="B17">
        <v>188</v>
      </c>
      <c r="C17">
        <v>17</v>
      </c>
      <c r="D17">
        <v>30</v>
      </c>
      <c r="E17">
        <v>30</v>
      </c>
      <c r="F17">
        <v>41</v>
      </c>
      <c r="G17">
        <v>32</v>
      </c>
      <c r="H17">
        <v>151.9</v>
      </c>
      <c r="I17" s="14">
        <v>193.26272482333849</v>
      </c>
      <c r="J17">
        <v>11</v>
      </c>
      <c r="K17">
        <v>4</v>
      </c>
      <c r="L17">
        <v>15</v>
      </c>
      <c r="M17">
        <v>5</v>
      </c>
      <c r="N17" s="120">
        <v>0</v>
      </c>
      <c r="O17" s="120">
        <v>6.4516129032258063E-2</v>
      </c>
      <c r="P17">
        <v>-9</v>
      </c>
    </row>
    <row r="18" spans="1:16">
      <c r="A18" t="s">
        <v>154</v>
      </c>
      <c r="B18">
        <v>138</v>
      </c>
      <c r="C18">
        <v>5</v>
      </c>
      <c r="D18">
        <v>35</v>
      </c>
      <c r="E18">
        <v>95</v>
      </c>
      <c r="F18">
        <v>69</v>
      </c>
      <c r="G18">
        <v>20</v>
      </c>
      <c r="H18">
        <v>161.6</v>
      </c>
      <c r="I18" s="14">
        <v>195.82454844315717</v>
      </c>
      <c r="J18">
        <v>16</v>
      </c>
      <c r="K18">
        <v>6</v>
      </c>
      <c r="L18">
        <v>17</v>
      </c>
      <c r="M18">
        <v>6</v>
      </c>
      <c r="N18" s="120">
        <v>0</v>
      </c>
      <c r="O18" s="120">
        <v>7.1428571428571425E-2</v>
      </c>
      <c r="P18">
        <v>6</v>
      </c>
    </row>
    <row r="19" spans="1:16">
      <c r="A19" t="s">
        <v>63</v>
      </c>
      <c r="B19">
        <v>26</v>
      </c>
      <c r="C19">
        <v>101</v>
      </c>
      <c r="D19">
        <v>139</v>
      </c>
      <c r="E19">
        <v>64</v>
      </c>
      <c r="F19">
        <v>11</v>
      </c>
      <c r="G19">
        <v>14</v>
      </c>
      <c r="H19">
        <v>190.8</v>
      </c>
      <c r="I19" s="14">
        <v>206.27584962938553</v>
      </c>
      <c r="J19">
        <v>34</v>
      </c>
      <c r="K19">
        <v>16</v>
      </c>
      <c r="L19">
        <v>20</v>
      </c>
      <c r="M19">
        <v>7</v>
      </c>
      <c r="N19" s="120">
        <v>0</v>
      </c>
      <c r="O19" s="120">
        <v>9.375E-2</v>
      </c>
      <c r="P19">
        <v>7</v>
      </c>
    </row>
    <row r="20" spans="1:16">
      <c r="A20" t="s">
        <v>113</v>
      </c>
      <c r="B20">
        <v>75</v>
      </c>
      <c r="C20">
        <v>24</v>
      </c>
      <c r="D20">
        <v>66</v>
      </c>
      <c r="E20">
        <v>108</v>
      </c>
      <c r="F20">
        <v>82</v>
      </c>
      <c r="G20">
        <v>24</v>
      </c>
      <c r="H20">
        <v>171.7</v>
      </c>
      <c r="I20" s="14">
        <v>208.58077349791114</v>
      </c>
      <c r="J20">
        <v>21</v>
      </c>
      <c r="K20">
        <v>9</v>
      </c>
      <c r="L20">
        <v>22</v>
      </c>
      <c r="M20">
        <v>9</v>
      </c>
      <c r="N20" s="120">
        <v>0</v>
      </c>
      <c r="O20" s="120">
        <v>3.2258064516129031E-2</v>
      </c>
      <c r="P20">
        <v>-6</v>
      </c>
    </row>
    <row r="21" spans="1:16">
      <c r="A21" t="s">
        <v>104</v>
      </c>
      <c r="B21">
        <v>107</v>
      </c>
      <c r="C21">
        <v>171</v>
      </c>
      <c r="D21">
        <v>75</v>
      </c>
      <c r="E21">
        <v>7</v>
      </c>
      <c r="F21">
        <v>15</v>
      </c>
      <c r="G21">
        <v>17</v>
      </c>
      <c r="H21">
        <v>200.3</v>
      </c>
      <c r="I21" s="14">
        <v>209.57706762559724</v>
      </c>
      <c r="J21">
        <v>41.5</v>
      </c>
      <c r="K21">
        <v>20</v>
      </c>
      <c r="L21">
        <v>24</v>
      </c>
      <c r="M21">
        <v>10</v>
      </c>
      <c r="N21" s="120">
        <v>3.3333333333333333E-2</v>
      </c>
      <c r="O21" s="120">
        <v>3.3333333333333333E-2</v>
      </c>
      <c r="P21">
        <v>-7</v>
      </c>
    </row>
    <row r="22" spans="1:16">
      <c r="A22" t="s">
        <v>149</v>
      </c>
      <c r="B22">
        <v>170</v>
      </c>
      <c r="C22">
        <v>93</v>
      </c>
      <c r="D22">
        <v>41</v>
      </c>
      <c r="E22">
        <v>24</v>
      </c>
      <c r="F22">
        <v>51</v>
      </c>
      <c r="G22">
        <v>35</v>
      </c>
      <c r="H22">
        <v>190.2</v>
      </c>
      <c r="I22" s="14">
        <v>227.69536566828907</v>
      </c>
      <c r="J22">
        <v>32</v>
      </c>
      <c r="K22">
        <v>14</v>
      </c>
      <c r="L22">
        <v>30</v>
      </c>
      <c r="M22">
        <v>12</v>
      </c>
      <c r="N22" s="120">
        <v>0</v>
      </c>
      <c r="O22" s="120">
        <v>2.8571428571428571E-2</v>
      </c>
      <c r="P22">
        <v>30</v>
      </c>
    </row>
    <row r="23" spans="1:16">
      <c r="A23" t="s">
        <v>115</v>
      </c>
      <c r="B23">
        <v>125</v>
      </c>
      <c r="C23">
        <v>44</v>
      </c>
      <c r="D23">
        <v>3</v>
      </c>
      <c r="E23">
        <v>112</v>
      </c>
      <c r="F23">
        <v>66</v>
      </c>
      <c r="G23">
        <v>67</v>
      </c>
      <c r="H23">
        <v>157.80000000000001</v>
      </c>
      <c r="I23" s="14">
        <v>235.0681316223654</v>
      </c>
      <c r="J23">
        <v>14</v>
      </c>
      <c r="K23">
        <v>5</v>
      </c>
      <c r="L23">
        <v>36</v>
      </c>
      <c r="M23">
        <v>15</v>
      </c>
      <c r="N23" s="120">
        <v>0</v>
      </c>
      <c r="O23" s="120">
        <v>4.3478260869565216E-2</v>
      </c>
      <c r="P23">
        <v>-59</v>
      </c>
    </row>
    <row r="24" spans="1:16">
      <c r="A24" t="s">
        <v>162</v>
      </c>
      <c r="B24">
        <v>160</v>
      </c>
      <c r="C24">
        <v>155</v>
      </c>
      <c r="D24">
        <v>29</v>
      </c>
      <c r="E24">
        <v>28</v>
      </c>
      <c r="F24">
        <v>53</v>
      </c>
      <c r="G24">
        <v>30</v>
      </c>
      <c r="H24">
        <v>210.2</v>
      </c>
      <c r="I24" s="14">
        <v>236.86710125849581</v>
      </c>
      <c r="J24">
        <v>53</v>
      </c>
      <c r="K24">
        <v>25</v>
      </c>
      <c r="L24">
        <v>37</v>
      </c>
      <c r="M24">
        <v>16</v>
      </c>
      <c r="N24" s="120">
        <v>0</v>
      </c>
      <c r="O24" s="120">
        <v>2.564102564102564E-2</v>
      </c>
      <c r="P24">
        <v>5</v>
      </c>
    </row>
    <row r="25" spans="1:16">
      <c r="A25" t="s">
        <v>181</v>
      </c>
      <c r="B25">
        <v>202</v>
      </c>
      <c r="C25">
        <v>72</v>
      </c>
      <c r="D25">
        <v>6</v>
      </c>
      <c r="E25">
        <v>73</v>
      </c>
      <c r="F25">
        <v>57</v>
      </c>
      <c r="G25">
        <v>40</v>
      </c>
      <c r="H25">
        <v>193.2</v>
      </c>
      <c r="I25" s="14">
        <v>240.81118035179185</v>
      </c>
      <c r="J25">
        <v>39.5</v>
      </c>
      <c r="K25">
        <v>19</v>
      </c>
      <c r="L25">
        <v>41</v>
      </c>
      <c r="M25">
        <v>18</v>
      </c>
      <c r="N25" s="120">
        <v>0</v>
      </c>
      <c r="O25" s="120">
        <v>0</v>
      </c>
      <c r="P25">
        <v>1</v>
      </c>
    </row>
    <row r="26" spans="1:16">
      <c r="A26" t="s">
        <v>152</v>
      </c>
      <c r="B26">
        <v>153</v>
      </c>
      <c r="C26">
        <v>12</v>
      </c>
      <c r="D26">
        <v>87</v>
      </c>
      <c r="E26">
        <v>46</v>
      </c>
      <c r="F26">
        <v>64</v>
      </c>
      <c r="G26">
        <v>47</v>
      </c>
      <c r="H26">
        <v>187.4</v>
      </c>
      <c r="I26" s="14">
        <v>246.93102192007126</v>
      </c>
      <c r="J26">
        <v>28</v>
      </c>
      <c r="K26">
        <v>11</v>
      </c>
      <c r="L26">
        <v>42</v>
      </c>
      <c r="M26">
        <v>19</v>
      </c>
      <c r="N26" s="120">
        <v>0</v>
      </c>
      <c r="O26" s="120">
        <v>3.125E-2</v>
      </c>
      <c r="P26">
        <v>-18</v>
      </c>
    </row>
    <row r="27" spans="1:16">
      <c r="A27" t="s">
        <v>29</v>
      </c>
      <c r="B27">
        <v>4</v>
      </c>
      <c r="C27">
        <v>167</v>
      </c>
      <c r="D27">
        <v>103</v>
      </c>
      <c r="E27">
        <v>97</v>
      </c>
      <c r="F27">
        <v>42</v>
      </c>
      <c r="G27">
        <v>44</v>
      </c>
      <c r="H27">
        <v>213.20000000000002</v>
      </c>
      <c r="I27" s="14">
        <v>254.26213348129966</v>
      </c>
      <c r="J27">
        <v>59</v>
      </c>
      <c r="K27">
        <v>31</v>
      </c>
      <c r="L27">
        <v>45</v>
      </c>
      <c r="M27">
        <v>20</v>
      </c>
      <c r="N27" s="120">
        <v>0</v>
      </c>
      <c r="O27" s="120">
        <v>0</v>
      </c>
      <c r="P27">
        <v>11</v>
      </c>
    </row>
    <row r="28" spans="1:16">
      <c r="A28" t="s">
        <v>79</v>
      </c>
      <c r="B28">
        <v>65</v>
      </c>
      <c r="C28">
        <v>108</v>
      </c>
      <c r="D28">
        <v>118</v>
      </c>
      <c r="E28">
        <v>70</v>
      </c>
      <c r="F28">
        <v>40</v>
      </c>
      <c r="G28">
        <v>45</v>
      </c>
      <c r="H28">
        <v>213.1</v>
      </c>
      <c r="I28" s="14">
        <v>261.03542446401582</v>
      </c>
      <c r="J28">
        <v>57</v>
      </c>
      <c r="K28">
        <v>29</v>
      </c>
      <c r="L28">
        <v>47</v>
      </c>
      <c r="M28">
        <v>21</v>
      </c>
      <c r="N28" s="120">
        <v>0</v>
      </c>
      <c r="O28" s="120">
        <v>6.0606060606060608E-2</v>
      </c>
      <c r="P28">
        <v>26</v>
      </c>
    </row>
    <row r="29" spans="1:16">
      <c r="A29" t="s">
        <v>134</v>
      </c>
      <c r="B29">
        <v>136</v>
      </c>
      <c r="C29">
        <v>77</v>
      </c>
      <c r="D29">
        <v>116</v>
      </c>
      <c r="E29">
        <v>98</v>
      </c>
      <c r="F29">
        <v>14</v>
      </c>
      <c r="G29">
        <v>21</v>
      </c>
      <c r="H29">
        <v>232.49999999999997</v>
      </c>
      <c r="I29" s="14">
        <v>262.28386262717947</v>
      </c>
      <c r="J29">
        <v>78</v>
      </c>
      <c r="K29">
        <v>43</v>
      </c>
      <c r="L29">
        <v>48</v>
      </c>
      <c r="M29">
        <v>22</v>
      </c>
      <c r="N29" s="120">
        <v>0</v>
      </c>
      <c r="O29" s="120">
        <v>2.9411764705882353E-2</v>
      </c>
      <c r="P29">
        <v>25</v>
      </c>
    </row>
    <row r="30" spans="1:16">
      <c r="A30" t="s">
        <v>22</v>
      </c>
      <c r="B30">
        <v>31</v>
      </c>
      <c r="C30">
        <v>69</v>
      </c>
      <c r="D30">
        <v>74</v>
      </c>
      <c r="E30">
        <v>138</v>
      </c>
      <c r="F30">
        <v>111</v>
      </c>
      <c r="G30">
        <v>57</v>
      </c>
      <c r="H30">
        <v>201.4</v>
      </c>
      <c r="I30" s="14">
        <v>269.22218427890323</v>
      </c>
      <c r="J30">
        <v>45</v>
      </c>
      <c r="K30">
        <v>22</v>
      </c>
      <c r="L30">
        <v>52</v>
      </c>
      <c r="M30">
        <v>23</v>
      </c>
      <c r="N30" s="120">
        <v>0</v>
      </c>
      <c r="O30" s="120">
        <v>2.8571428571428571E-2</v>
      </c>
      <c r="P30">
        <v>8</v>
      </c>
    </row>
    <row r="31" spans="1:16">
      <c r="A31" t="s">
        <v>125</v>
      </c>
      <c r="B31">
        <v>122</v>
      </c>
      <c r="C31">
        <v>98</v>
      </c>
      <c r="D31">
        <v>96</v>
      </c>
      <c r="E31">
        <v>17</v>
      </c>
      <c r="F31">
        <v>43</v>
      </c>
      <c r="G31">
        <v>69</v>
      </c>
      <c r="H31">
        <v>201.2</v>
      </c>
      <c r="I31" s="14">
        <v>271.80316729725899</v>
      </c>
      <c r="J31">
        <v>44</v>
      </c>
      <c r="K31">
        <v>21</v>
      </c>
      <c r="L31">
        <v>54</v>
      </c>
      <c r="M31">
        <v>24</v>
      </c>
      <c r="N31" s="120">
        <v>0</v>
      </c>
      <c r="O31" s="120">
        <v>3.3333333333333333E-2</v>
      </c>
      <c r="P31">
        <v>10</v>
      </c>
    </row>
    <row r="32" spans="1:16">
      <c r="A32" t="s">
        <v>20</v>
      </c>
      <c r="B32">
        <v>13</v>
      </c>
      <c r="C32">
        <v>159</v>
      </c>
      <c r="D32">
        <v>65</v>
      </c>
      <c r="E32">
        <v>51</v>
      </c>
      <c r="F32">
        <v>153</v>
      </c>
      <c r="G32">
        <v>61</v>
      </c>
      <c r="H32">
        <v>213.10000000000002</v>
      </c>
      <c r="I32" s="14">
        <v>272.06771165708039</v>
      </c>
      <c r="J32" s="16">
        <v>58</v>
      </c>
      <c r="K32">
        <v>30</v>
      </c>
      <c r="L32">
        <v>55</v>
      </c>
      <c r="M32">
        <v>25</v>
      </c>
      <c r="N32" s="120">
        <v>0</v>
      </c>
      <c r="O32" s="120">
        <v>3.8461538461538464E-2</v>
      </c>
      <c r="P32">
        <v>-27</v>
      </c>
    </row>
    <row r="33" spans="1:16">
      <c r="A33" t="s">
        <v>28</v>
      </c>
      <c r="B33">
        <v>15</v>
      </c>
      <c r="C33">
        <v>84</v>
      </c>
      <c r="D33">
        <v>72</v>
      </c>
      <c r="E33">
        <v>127</v>
      </c>
      <c r="F33">
        <v>132</v>
      </c>
      <c r="G33">
        <v>63</v>
      </c>
      <c r="H33">
        <v>203.50000000000003</v>
      </c>
      <c r="I33" s="14">
        <v>275.48993606483339</v>
      </c>
      <c r="J33">
        <v>48</v>
      </c>
      <c r="K33">
        <v>23</v>
      </c>
      <c r="L33">
        <v>56</v>
      </c>
      <c r="M33">
        <v>26</v>
      </c>
      <c r="N33" s="120">
        <v>0</v>
      </c>
      <c r="O33" s="120">
        <v>3.3333333333333333E-2</v>
      </c>
      <c r="P33">
        <v>-14</v>
      </c>
    </row>
    <row r="34" spans="1:16">
      <c r="A34" t="s">
        <v>14</v>
      </c>
      <c r="B34">
        <v>20</v>
      </c>
      <c r="C34">
        <v>4</v>
      </c>
      <c r="D34">
        <v>136</v>
      </c>
      <c r="E34">
        <v>101</v>
      </c>
      <c r="F34">
        <v>101</v>
      </c>
      <c r="G34">
        <v>74</v>
      </c>
      <c r="H34">
        <v>188</v>
      </c>
      <c r="I34" s="14">
        <v>277.48791341614577</v>
      </c>
      <c r="J34">
        <v>29</v>
      </c>
      <c r="K34">
        <v>12</v>
      </c>
      <c r="L34">
        <v>57</v>
      </c>
      <c r="M34">
        <v>27</v>
      </c>
      <c r="N34" s="120">
        <v>0</v>
      </c>
      <c r="O34" s="120">
        <v>3.3333333333333333E-2</v>
      </c>
      <c r="P34">
        <v>-7</v>
      </c>
    </row>
    <row r="35" spans="1:16">
      <c r="A35" t="s">
        <v>36</v>
      </c>
      <c r="B35">
        <v>59</v>
      </c>
      <c r="C35">
        <v>134</v>
      </c>
      <c r="D35">
        <v>8</v>
      </c>
      <c r="E35">
        <v>131</v>
      </c>
      <c r="F35">
        <v>161</v>
      </c>
      <c r="G35">
        <v>54</v>
      </c>
      <c r="H35">
        <v>218.9</v>
      </c>
      <c r="I35" s="14">
        <v>278.13692309713377</v>
      </c>
      <c r="J35">
        <v>64</v>
      </c>
      <c r="K35">
        <v>35</v>
      </c>
      <c r="L35">
        <v>59</v>
      </c>
      <c r="M35">
        <v>29</v>
      </c>
      <c r="N35" s="120">
        <v>0</v>
      </c>
      <c r="O35" s="120">
        <v>2.7027027027027029E-2</v>
      </c>
      <c r="P35">
        <v>22</v>
      </c>
    </row>
    <row r="36" spans="1:16">
      <c r="A36" t="s">
        <v>90</v>
      </c>
      <c r="B36">
        <v>49</v>
      </c>
      <c r="C36">
        <v>55</v>
      </c>
      <c r="D36">
        <v>64</v>
      </c>
      <c r="E36">
        <v>149</v>
      </c>
      <c r="F36">
        <v>81</v>
      </c>
      <c r="G36">
        <v>79</v>
      </c>
      <c r="H36">
        <v>188.8</v>
      </c>
      <c r="I36" s="14">
        <v>279.67408460990492</v>
      </c>
      <c r="J36">
        <v>30</v>
      </c>
      <c r="K36">
        <v>13</v>
      </c>
      <c r="L36">
        <v>60</v>
      </c>
      <c r="M36">
        <v>30</v>
      </c>
      <c r="N36" s="120">
        <v>0</v>
      </c>
      <c r="O36" s="120">
        <v>6.0606060606060608E-2</v>
      </c>
      <c r="P36">
        <v>8</v>
      </c>
    </row>
    <row r="37" spans="1:16">
      <c r="A37" t="s">
        <v>112</v>
      </c>
      <c r="B37">
        <v>128</v>
      </c>
      <c r="C37">
        <v>33</v>
      </c>
      <c r="D37">
        <v>117</v>
      </c>
      <c r="E37">
        <v>59</v>
      </c>
      <c r="F37">
        <v>67</v>
      </c>
      <c r="G37">
        <v>56</v>
      </c>
      <c r="H37">
        <v>212.79999999999998</v>
      </c>
      <c r="I37" s="14">
        <v>280.66688925110964</v>
      </c>
      <c r="J37">
        <v>56</v>
      </c>
      <c r="K37">
        <v>28</v>
      </c>
      <c r="L37">
        <v>61</v>
      </c>
      <c r="M37">
        <v>31</v>
      </c>
      <c r="N37" s="120">
        <v>0</v>
      </c>
      <c r="O37" s="120">
        <v>3.125E-2</v>
      </c>
      <c r="P37">
        <v>52</v>
      </c>
    </row>
    <row r="38" spans="1:16">
      <c r="A38" t="s">
        <v>146</v>
      </c>
      <c r="B38">
        <v>122</v>
      </c>
      <c r="C38">
        <v>146</v>
      </c>
      <c r="D38">
        <v>20</v>
      </c>
      <c r="E38">
        <v>168</v>
      </c>
      <c r="F38">
        <v>21</v>
      </c>
      <c r="G38">
        <v>55</v>
      </c>
      <c r="H38">
        <v>223.6</v>
      </c>
      <c r="I38" s="14">
        <v>282.39249376990892</v>
      </c>
      <c r="J38">
        <v>69</v>
      </c>
      <c r="K38">
        <v>38</v>
      </c>
      <c r="L38">
        <v>62</v>
      </c>
      <c r="M38">
        <v>32</v>
      </c>
      <c r="N38" s="120">
        <v>0</v>
      </c>
      <c r="O38" s="120">
        <v>2.8571428571428571E-2</v>
      </c>
      <c r="P38">
        <v>23</v>
      </c>
    </row>
    <row r="39" spans="1:16">
      <c r="A39" t="s">
        <v>52</v>
      </c>
      <c r="B39">
        <v>88</v>
      </c>
      <c r="C39">
        <v>151</v>
      </c>
      <c r="D39">
        <v>145</v>
      </c>
      <c r="E39">
        <v>6</v>
      </c>
      <c r="F39">
        <v>44</v>
      </c>
      <c r="G39">
        <v>52</v>
      </c>
      <c r="H39">
        <v>241</v>
      </c>
      <c r="I39" s="14">
        <v>289.86034599757824</v>
      </c>
      <c r="J39">
        <v>88</v>
      </c>
      <c r="K39">
        <v>48</v>
      </c>
      <c r="L39">
        <v>64</v>
      </c>
      <c r="M39">
        <v>33</v>
      </c>
      <c r="N39" s="120">
        <v>0</v>
      </c>
      <c r="O39" s="120">
        <v>3.0303030303030304E-2</v>
      </c>
      <c r="P39">
        <v>-14</v>
      </c>
    </row>
    <row r="40" spans="1:16">
      <c r="A40" t="s">
        <v>129</v>
      </c>
      <c r="B40">
        <v>113</v>
      </c>
      <c r="C40">
        <v>98</v>
      </c>
      <c r="D40">
        <v>110</v>
      </c>
      <c r="E40">
        <v>21</v>
      </c>
      <c r="F40">
        <v>49</v>
      </c>
      <c r="G40">
        <v>78</v>
      </c>
      <c r="H40">
        <v>210.5</v>
      </c>
      <c r="I40" s="14">
        <v>290.77856317679584</v>
      </c>
      <c r="J40">
        <v>54</v>
      </c>
      <c r="K40">
        <v>26</v>
      </c>
      <c r="L40">
        <v>65</v>
      </c>
      <c r="M40">
        <v>34</v>
      </c>
      <c r="N40" s="120">
        <v>0</v>
      </c>
      <c r="O40" s="120">
        <v>0</v>
      </c>
      <c r="P40">
        <v>-17</v>
      </c>
    </row>
    <row r="41" spans="1:16">
      <c r="A41" t="s">
        <v>26</v>
      </c>
      <c r="B41">
        <v>20</v>
      </c>
      <c r="C41">
        <v>67</v>
      </c>
      <c r="D41">
        <v>59</v>
      </c>
      <c r="E41">
        <v>81</v>
      </c>
      <c r="F41">
        <v>190</v>
      </c>
      <c r="G41">
        <v>91</v>
      </c>
      <c r="H41">
        <v>193.2</v>
      </c>
      <c r="I41" s="14">
        <v>293.59661585446224</v>
      </c>
      <c r="J41">
        <v>39.5</v>
      </c>
      <c r="K41">
        <v>18</v>
      </c>
      <c r="L41">
        <v>66</v>
      </c>
      <c r="M41">
        <v>35</v>
      </c>
      <c r="N41" s="120">
        <v>0</v>
      </c>
      <c r="O41" s="120">
        <v>4.3478260869565216E-2</v>
      </c>
      <c r="P41">
        <v>-28</v>
      </c>
    </row>
    <row r="42" spans="1:16">
      <c r="A42" t="s">
        <v>39</v>
      </c>
      <c r="B42">
        <v>82</v>
      </c>
      <c r="C42">
        <v>82</v>
      </c>
      <c r="D42">
        <v>173</v>
      </c>
      <c r="E42">
        <v>90</v>
      </c>
      <c r="F42">
        <v>17</v>
      </c>
      <c r="G42">
        <v>46</v>
      </c>
      <c r="H42">
        <v>245.9</v>
      </c>
      <c r="I42" s="14">
        <v>300.01448912986154</v>
      </c>
      <c r="J42">
        <v>96</v>
      </c>
      <c r="K42">
        <v>52</v>
      </c>
      <c r="L42">
        <v>72</v>
      </c>
      <c r="M42">
        <v>37</v>
      </c>
      <c r="N42" s="120">
        <v>0</v>
      </c>
      <c r="O42" s="120">
        <v>2.7777777777777776E-2</v>
      </c>
      <c r="P42">
        <v>11</v>
      </c>
    </row>
    <row r="43" spans="1:16">
      <c r="A43" t="s">
        <v>58</v>
      </c>
      <c r="B43">
        <v>93</v>
      </c>
      <c r="C43">
        <v>48</v>
      </c>
      <c r="D43">
        <v>77</v>
      </c>
      <c r="E43">
        <v>164</v>
      </c>
      <c r="F43">
        <v>70</v>
      </c>
      <c r="G43">
        <v>71</v>
      </c>
      <c r="H43">
        <v>218</v>
      </c>
      <c r="I43" s="14">
        <v>303.9679863281001</v>
      </c>
      <c r="J43">
        <v>63</v>
      </c>
      <c r="K43">
        <v>34</v>
      </c>
      <c r="L43">
        <v>73</v>
      </c>
      <c r="M43">
        <v>38</v>
      </c>
      <c r="N43" s="120">
        <v>4.1666666666666664E-2</v>
      </c>
      <c r="O43" s="120">
        <v>8.3333333333333329E-2</v>
      </c>
      <c r="P43">
        <v>-56</v>
      </c>
    </row>
    <row r="44" spans="1:16">
      <c r="A44" t="s">
        <v>235</v>
      </c>
      <c r="B44">
        <v>37</v>
      </c>
      <c r="C44">
        <v>190</v>
      </c>
      <c r="D44">
        <v>59</v>
      </c>
      <c r="E44">
        <v>54</v>
      </c>
      <c r="F44">
        <v>117</v>
      </c>
      <c r="G44">
        <v>88</v>
      </c>
      <c r="H44">
        <v>223.20000000000002</v>
      </c>
      <c r="I44" s="14">
        <v>305.87819356149214</v>
      </c>
      <c r="J44">
        <v>68</v>
      </c>
      <c r="K44">
        <v>37</v>
      </c>
      <c r="L44">
        <v>74</v>
      </c>
      <c r="M44">
        <v>39</v>
      </c>
      <c r="N44" s="120">
        <v>0</v>
      </c>
      <c r="O44" s="120">
        <v>6.6666666666666666E-2</v>
      </c>
      <c r="P44">
        <v>35</v>
      </c>
    </row>
    <row r="45" spans="1:16">
      <c r="A45" t="s">
        <v>97</v>
      </c>
      <c r="B45">
        <v>80</v>
      </c>
      <c r="C45">
        <v>180</v>
      </c>
      <c r="D45">
        <v>28</v>
      </c>
      <c r="E45">
        <v>60</v>
      </c>
      <c r="F45">
        <v>156</v>
      </c>
      <c r="G45">
        <v>73</v>
      </c>
      <c r="H45">
        <v>236</v>
      </c>
      <c r="I45" s="14">
        <v>306.78976067006056</v>
      </c>
      <c r="J45">
        <v>83</v>
      </c>
      <c r="K45">
        <v>46</v>
      </c>
      <c r="L45">
        <v>75</v>
      </c>
      <c r="M45">
        <v>40</v>
      </c>
      <c r="N45" s="120">
        <v>0</v>
      </c>
      <c r="O45" s="120">
        <v>2.7027027027027029E-2</v>
      </c>
      <c r="P45">
        <v>-3</v>
      </c>
    </row>
    <row r="46" spans="1:16">
      <c r="A46" t="s">
        <v>130</v>
      </c>
      <c r="B46">
        <v>176</v>
      </c>
      <c r="C46">
        <v>87</v>
      </c>
      <c r="D46">
        <v>56</v>
      </c>
      <c r="E46">
        <v>85</v>
      </c>
      <c r="F46">
        <v>95</v>
      </c>
      <c r="G46">
        <v>72</v>
      </c>
      <c r="H46">
        <v>242.7</v>
      </c>
      <c r="I46" s="14">
        <v>324.10091095009437</v>
      </c>
      <c r="J46">
        <v>91</v>
      </c>
      <c r="K46">
        <v>50</v>
      </c>
      <c r="L46">
        <v>81</v>
      </c>
      <c r="M46">
        <v>42</v>
      </c>
      <c r="N46" s="120">
        <v>2.8571428571428571E-2</v>
      </c>
      <c r="O46" s="120">
        <v>2.8571428571428571E-2</v>
      </c>
      <c r="P46">
        <v>10</v>
      </c>
    </row>
    <row r="47" spans="1:16">
      <c r="A47" t="s">
        <v>140</v>
      </c>
      <c r="B47">
        <v>102</v>
      </c>
      <c r="C47">
        <v>88</v>
      </c>
      <c r="D47">
        <v>94</v>
      </c>
      <c r="E47">
        <v>116</v>
      </c>
      <c r="F47">
        <v>59</v>
      </c>
      <c r="G47">
        <v>86</v>
      </c>
      <c r="H47">
        <v>230.8</v>
      </c>
      <c r="I47" s="14">
        <v>325.61269216434812</v>
      </c>
      <c r="J47">
        <v>76</v>
      </c>
      <c r="K47">
        <v>41</v>
      </c>
      <c r="L47">
        <v>82</v>
      </c>
      <c r="M47">
        <v>43</v>
      </c>
      <c r="N47" s="120">
        <v>0</v>
      </c>
      <c r="O47" s="120">
        <v>3.3333333333333333E-2</v>
      </c>
      <c r="P47">
        <v>8</v>
      </c>
    </row>
    <row r="48" spans="1:16">
      <c r="A48" t="s">
        <v>17</v>
      </c>
      <c r="B48">
        <v>13</v>
      </c>
      <c r="C48">
        <v>94</v>
      </c>
      <c r="D48">
        <v>12</v>
      </c>
      <c r="E48">
        <v>200</v>
      </c>
      <c r="F48">
        <v>166</v>
      </c>
      <c r="G48">
        <v>109</v>
      </c>
      <c r="H48">
        <v>208.3</v>
      </c>
      <c r="I48" s="14">
        <v>329.32768604870296</v>
      </c>
      <c r="J48">
        <v>51</v>
      </c>
      <c r="K48">
        <v>24</v>
      </c>
      <c r="L48">
        <v>84</v>
      </c>
      <c r="M48">
        <v>44</v>
      </c>
      <c r="N48" s="120">
        <v>0</v>
      </c>
      <c r="O48" s="120">
        <v>4.1666666666666664E-2</v>
      </c>
      <c r="P48">
        <v>9</v>
      </c>
    </row>
    <row r="49" spans="1:16">
      <c r="A49" t="s">
        <v>175</v>
      </c>
      <c r="B49">
        <v>181</v>
      </c>
      <c r="C49">
        <v>111</v>
      </c>
      <c r="D49">
        <v>94</v>
      </c>
      <c r="E49">
        <v>75</v>
      </c>
      <c r="F49">
        <v>25</v>
      </c>
      <c r="G49">
        <v>81</v>
      </c>
      <c r="H49">
        <v>251.8</v>
      </c>
      <c r="I49" s="14">
        <v>338.27173151659451</v>
      </c>
      <c r="J49">
        <v>101</v>
      </c>
      <c r="K49">
        <v>53</v>
      </c>
      <c r="L49">
        <v>88</v>
      </c>
      <c r="M49">
        <v>46</v>
      </c>
      <c r="N49" s="120">
        <v>0</v>
      </c>
      <c r="O49" s="120">
        <v>0</v>
      </c>
      <c r="P49">
        <v>7</v>
      </c>
    </row>
    <row r="50" spans="1:16">
      <c r="A50" t="s">
        <v>93</v>
      </c>
      <c r="B50">
        <v>132</v>
      </c>
      <c r="C50">
        <v>71</v>
      </c>
      <c r="D50">
        <v>45</v>
      </c>
      <c r="E50">
        <v>156</v>
      </c>
      <c r="F50">
        <v>107</v>
      </c>
      <c r="G50">
        <v>87</v>
      </c>
      <c r="H50">
        <v>238.20000000000002</v>
      </c>
      <c r="I50" s="14">
        <v>339.23880538638673</v>
      </c>
      <c r="J50">
        <v>84</v>
      </c>
      <c r="K50">
        <v>47</v>
      </c>
      <c r="L50">
        <v>89</v>
      </c>
      <c r="M50">
        <v>47</v>
      </c>
      <c r="N50" s="120">
        <v>0</v>
      </c>
      <c r="O50" s="120">
        <v>0</v>
      </c>
      <c r="P50">
        <v>-6</v>
      </c>
    </row>
    <row r="51" spans="1:16">
      <c r="A51" t="s">
        <v>186</v>
      </c>
      <c r="B51">
        <v>203</v>
      </c>
      <c r="C51">
        <v>40</v>
      </c>
      <c r="D51">
        <v>48</v>
      </c>
      <c r="E51">
        <v>78</v>
      </c>
      <c r="F51">
        <v>91</v>
      </c>
      <c r="G51">
        <v>105</v>
      </c>
      <c r="H51">
        <v>222.70000000000002</v>
      </c>
      <c r="I51" s="14">
        <v>341.2204877169757</v>
      </c>
      <c r="J51">
        <v>67</v>
      </c>
      <c r="K51">
        <v>36</v>
      </c>
      <c r="L51">
        <v>91</v>
      </c>
      <c r="M51">
        <v>48</v>
      </c>
      <c r="N51" s="120">
        <v>0</v>
      </c>
      <c r="O51" s="120">
        <v>0</v>
      </c>
      <c r="P51">
        <v>-15</v>
      </c>
    </row>
    <row r="52" spans="1:16">
      <c r="A52" t="s">
        <v>187</v>
      </c>
      <c r="B52">
        <v>205</v>
      </c>
      <c r="C52">
        <v>18</v>
      </c>
      <c r="D52">
        <v>51</v>
      </c>
      <c r="E52">
        <v>53</v>
      </c>
      <c r="F52">
        <v>154</v>
      </c>
      <c r="G52">
        <v>97</v>
      </c>
      <c r="H52">
        <v>229.99999999999997</v>
      </c>
      <c r="I52" s="14">
        <v>343.38119810649965</v>
      </c>
      <c r="J52">
        <v>74</v>
      </c>
      <c r="K52">
        <v>40</v>
      </c>
      <c r="L52">
        <v>92</v>
      </c>
      <c r="M52">
        <v>49</v>
      </c>
      <c r="N52" s="120">
        <v>0</v>
      </c>
      <c r="O52" s="120">
        <v>0</v>
      </c>
      <c r="P52">
        <v>31</v>
      </c>
    </row>
    <row r="53" spans="1:16">
      <c r="A53" t="s">
        <v>184</v>
      </c>
      <c r="B53">
        <v>191</v>
      </c>
      <c r="C53">
        <v>53</v>
      </c>
      <c r="D53">
        <v>132</v>
      </c>
      <c r="E53">
        <v>42</v>
      </c>
      <c r="F53">
        <v>55</v>
      </c>
      <c r="G53">
        <v>80</v>
      </c>
      <c r="H53">
        <v>253.2</v>
      </c>
      <c r="I53" s="14">
        <v>344.37976475551335</v>
      </c>
      <c r="J53">
        <v>102</v>
      </c>
      <c r="K53">
        <v>54</v>
      </c>
      <c r="L53">
        <v>93</v>
      </c>
      <c r="M53">
        <v>50</v>
      </c>
      <c r="N53" s="120">
        <v>0</v>
      </c>
      <c r="O53" s="120">
        <v>0</v>
      </c>
      <c r="P53">
        <v>17</v>
      </c>
    </row>
    <row r="54" spans="1:16">
      <c r="A54" t="s">
        <v>191</v>
      </c>
      <c r="B54">
        <v>206</v>
      </c>
      <c r="C54">
        <v>57</v>
      </c>
      <c r="D54">
        <v>38</v>
      </c>
      <c r="E54">
        <v>120</v>
      </c>
      <c r="F54">
        <v>71</v>
      </c>
      <c r="G54">
        <v>98</v>
      </c>
      <c r="H54">
        <v>234.5</v>
      </c>
      <c r="I54" s="14">
        <v>346.26905938841958</v>
      </c>
      <c r="J54">
        <v>79</v>
      </c>
      <c r="K54">
        <v>44</v>
      </c>
      <c r="L54">
        <v>94</v>
      </c>
      <c r="M54">
        <v>51</v>
      </c>
      <c r="N54" s="120">
        <v>0</v>
      </c>
      <c r="O54" s="120">
        <v>0</v>
      </c>
      <c r="P54">
        <v>-42</v>
      </c>
    </row>
    <row r="55" spans="1:16">
      <c r="A55" t="s">
        <v>123</v>
      </c>
      <c r="B55">
        <v>134</v>
      </c>
      <c r="C55">
        <v>83</v>
      </c>
      <c r="D55">
        <v>99</v>
      </c>
      <c r="E55">
        <v>151</v>
      </c>
      <c r="F55">
        <v>50</v>
      </c>
      <c r="G55">
        <v>76</v>
      </c>
      <c r="H55">
        <v>258.20000000000005</v>
      </c>
      <c r="I55" s="14">
        <v>346.63507626846211</v>
      </c>
      <c r="J55">
        <v>107</v>
      </c>
      <c r="K55">
        <v>59</v>
      </c>
      <c r="L55">
        <v>95</v>
      </c>
      <c r="M55">
        <v>52</v>
      </c>
      <c r="N55" s="120">
        <v>0</v>
      </c>
      <c r="O55" s="120">
        <v>0</v>
      </c>
      <c r="P55">
        <v>3</v>
      </c>
    </row>
    <row r="56" spans="1:16">
      <c r="A56" t="s">
        <v>16</v>
      </c>
      <c r="B56">
        <v>7</v>
      </c>
      <c r="C56">
        <v>200</v>
      </c>
      <c r="D56">
        <v>104</v>
      </c>
      <c r="E56">
        <v>123</v>
      </c>
      <c r="F56">
        <v>86</v>
      </c>
      <c r="G56">
        <v>92</v>
      </c>
      <c r="H56">
        <v>259.89999999999998</v>
      </c>
      <c r="I56" s="14">
        <v>349.58969869958753</v>
      </c>
      <c r="J56">
        <v>110</v>
      </c>
      <c r="K56">
        <v>61</v>
      </c>
      <c r="L56">
        <v>96</v>
      </c>
      <c r="M56">
        <v>53</v>
      </c>
      <c r="N56" s="120">
        <v>0</v>
      </c>
      <c r="O56" s="120">
        <v>0</v>
      </c>
      <c r="P56">
        <v>6</v>
      </c>
    </row>
    <row r="57" spans="1:16">
      <c r="A57" t="s">
        <v>56</v>
      </c>
      <c r="B57">
        <v>58</v>
      </c>
      <c r="C57">
        <v>139</v>
      </c>
      <c r="D57">
        <v>55</v>
      </c>
      <c r="E57">
        <v>143</v>
      </c>
      <c r="F57">
        <v>121</v>
      </c>
      <c r="G57">
        <v>103</v>
      </c>
      <c r="H57">
        <v>242.6</v>
      </c>
      <c r="I57" s="14">
        <v>351.25894116739158</v>
      </c>
      <c r="J57">
        <v>90</v>
      </c>
      <c r="K57">
        <v>49</v>
      </c>
      <c r="L57">
        <v>97</v>
      </c>
      <c r="M57">
        <v>54</v>
      </c>
      <c r="N57" s="120">
        <v>0</v>
      </c>
      <c r="O57" s="120">
        <v>0</v>
      </c>
      <c r="P57">
        <v>7</v>
      </c>
    </row>
    <row r="58" spans="1:16">
      <c r="A58" t="s">
        <v>185</v>
      </c>
      <c r="B58">
        <v>199</v>
      </c>
      <c r="C58">
        <v>11</v>
      </c>
      <c r="D58">
        <v>70</v>
      </c>
      <c r="E58">
        <v>150</v>
      </c>
      <c r="F58">
        <v>52</v>
      </c>
      <c r="G58">
        <v>100</v>
      </c>
      <c r="H58">
        <v>234.8</v>
      </c>
      <c r="I58" s="14">
        <v>354.69892135675582</v>
      </c>
      <c r="J58">
        <v>80</v>
      </c>
      <c r="K58">
        <v>45</v>
      </c>
      <c r="L58">
        <v>98</v>
      </c>
      <c r="M58">
        <v>55</v>
      </c>
      <c r="N58" s="120">
        <v>0</v>
      </c>
      <c r="O58" s="120">
        <v>0</v>
      </c>
      <c r="P58">
        <v>12</v>
      </c>
    </row>
    <row r="59" spans="1:16">
      <c r="A59" t="s">
        <v>53</v>
      </c>
      <c r="B59">
        <v>45</v>
      </c>
      <c r="C59">
        <v>196</v>
      </c>
      <c r="D59">
        <v>40</v>
      </c>
      <c r="E59">
        <v>145</v>
      </c>
      <c r="F59">
        <v>122</v>
      </c>
      <c r="G59">
        <v>104</v>
      </c>
      <c r="H59">
        <v>255.3</v>
      </c>
      <c r="I59" s="14">
        <v>359.19413293529601</v>
      </c>
      <c r="J59">
        <v>103</v>
      </c>
      <c r="K59">
        <v>55</v>
      </c>
      <c r="L59">
        <v>100</v>
      </c>
      <c r="M59">
        <v>56</v>
      </c>
      <c r="N59" s="120">
        <v>0</v>
      </c>
      <c r="O59" s="120">
        <v>0</v>
      </c>
      <c r="P59">
        <v>10</v>
      </c>
    </row>
    <row r="60" spans="1:16">
      <c r="A60" t="s">
        <v>155</v>
      </c>
      <c r="B60">
        <v>147</v>
      </c>
      <c r="C60">
        <v>166</v>
      </c>
      <c r="D60">
        <v>100</v>
      </c>
      <c r="E60">
        <v>12</v>
      </c>
      <c r="F60">
        <v>84</v>
      </c>
      <c r="G60">
        <v>102</v>
      </c>
      <c r="H60">
        <v>264.90000000000003</v>
      </c>
      <c r="I60" s="14">
        <v>364.77515317780404</v>
      </c>
      <c r="J60">
        <v>114.5</v>
      </c>
      <c r="K60">
        <v>65</v>
      </c>
      <c r="L60">
        <v>103</v>
      </c>
      <c r="M60">
        <v>57</v>
      </c>
      <c r="N60" s="120">
        <v>0</v>
      </c>
      <c r="O60" s="120">
        <v>0</v>
      </c>
      <c r="P60">
        <v>-2</v>
      </c>
    </row>
    <row r="61" spans="1:16">
      <c r="A61" t="s">
        <v>10</v>
      </c>
      <c r="B61">
        <v>17</v>
      </c>
      <c r="C61">
        <v>187</v>
      </c>
      <c r="D61">
        <v>154</v>
      </c>
      <c r="E61">
        <v>3</v>
      </c>
      <c r="F61">
        <v>171</v>
      </c>
      <c r="G61">
        <v>96</v>
      </c>
      <c r="H61">
        <v>279.39999999999998</v>
      </c>
      <c r="I61" s="14">
        <v>371.6997670214202</v>
      </c>
      <c r="J61">
        <v>125</v>
      </c>
      <c r="K61">
        <v>75</v>
      </c>
      <c r="L61">
        <v>107</v>
      </c>
      <c r="M61">
        <v>58</v>
      </c>
      <c r="N61" s="120">
        <v>0</v>
      </c>
      <c r="O61" s="120">
        <v>3.2258064516129031E-2</v>
      </c>
      <c r="P61">
        <v>5</v>
      </c>
    </row>
    <row r="62" spans="1:16">
      <c r="A62" t="s">
        <v>108</v>
      </c>
      <c r="B62">
        <v>71</v>
      </c>
      <c r="C62">
        <v>197</v>
      </c>
      <c r="D62">
        <v>162</v>
      </c>
      <c r="E62">
        <v>108</v>
      </c>
      <c r="F62">
        <v>9</v>
      </c>
      <c r="G62">
        <v>85</v>
      </c>
      <c r="H62">
        <v>294.2</v>
      </c>
      <c r="I62" s="14">
        <v>377.39207792015935</v>
      </c>
      <c r="J62">
        <v>141</v>
      </c>
      <c r="K62">
        <v>81</v>
      </c>
      <c r="L62">
        <v>108</v>
      </c>
      <c r="M62">
        <v>59</v>
      </c>
      <c r="N62" s="120">
        <v>0</v>
      </c>
      <c r="O62" s="120">
        <v>0</v>
      </c>
      <c r="P62">
        <v>6</v>
      </c>
    </row>
    <row r="63" spans="1:16">
      <c r="A63" t="s">
        <v>106</v>
      </c>
      <c r="B63">
        <v>114</v>
      </c>
      <c r="C63">
        <v>178</v>
      </c>
      <c r="D63">
        <v>42</v>
      </c>
      <c r="E63">
        <v>125</v>
      </c>
      <c r="F63">
        <v>89</v>
      </c>
      <c r="G63">
        <v>116</v>
      </c>
      <c r="H63">
        <v>261</v>
      </c>
      <c r="I63" s="14">
        <v>378.27834556663157</v>
      </c>
      <c r="J63">
        <v>111</v>
      </c>
      <c r="K63">
        <v>62</v>
      </c>
      <c r="L63">
        <v>109</v>
      </c>
      <c r="M63">
        <v>60</v>
      </c>
      <c r="N63" s="120">
        <v>0</v>
      </c>
      <c r="O63" s="120">
        <v>0</v>
      </c>
      <c r="P63">
        <v>11</v>
      </c>
    </row>
    <row r="64" spans="1:16">
      <c r="A64" t="s">
        <v>76</v>
      </c>
      <c r="B64">
        <v>54</v>
      </c>
      <c r="C64">
        <v>119</v>
      </c>
      <c r="D64">
        <v>177</v>
      </c>
      <c r="E64">
        <v>44</v>
      </c>
      <c r="F64">
        <v>104</v>
      </c>
      <c r="G64">
        <v>107</v>
      </c>
      <c r="H64">
        <v>269.59999999999997</v>
      </c>
      <c r="I64" s="14">
        <v>380.99801162054564</v>
      </c>
      <c r="J64">
        <v>119</v>
      </c>
      <c r="K64">
        <v>69</v>
      </c>
      <c r="L64">
        <v>111</v>
      </c>
      <c r="M64">
        <v>61</v>
      </c>
      <c r="N64" s="120">
        <v>0</v>
      </c>
      <c r="O64" s="120">
        <v>0</v>
      </c>
      <c r="P64">
        <v>53</v>
      </c>
    </row>
    <row r="65" spans="1:16">
      <c r="A65" t="s">
        <v>107</v>
      </c>
      <c r="B65">
        <v>94</v>
      </c>
      <c r="C65">
        <v>172</v>
      </c>
      <c r="D65">
        <v>171</v>
      </c>
      <c r="E65">
        <v>11</v>
      </c>
      <c r="F65">
        <v>73</v>
      </c>
      <c r="G65">
        <v>99</v>
      </c>
      <c r="H65">
        <v>286.29999999999995</v>
      </c>
      <c r="I65" s="14">
        <v>382.86182423111217</v>
      </c>
      <c r="J65">
        <v>131</v>
      </c>
      <c r="K65">
        <v>78</v>
      </c>
      <c r="L65">
        <v>112</v>
      </c>
      <c r="M65">
        <v>62</v>
      </c>
      <c r="N65" s="120">
        <v>0</v>
      </c>
      <c r="O65" s="120">
        <v>2.8571428571428571E-2</v>
      </c>
      <c r="P65">
        <v>-8</v>
      </c>
    </row>
    <row r="66" spans="1:16">
      <c r="A66" t="s">
        <v>118</v>
      </c>
      <c r="B66">
        <v>132</v>
      </c>
      <c r="C66">
        <v>132</v>
      </c>
      <c r="D66">
        <v>46</v>
      </c>
      <c r="E66">
        <v>34</v>
      </c>
      <c r="F66">
        <v>195</v>
      </c>
      <c r="G66">
        <v>127</v>
      </c>
      <c r="H66" s="14">
        <v>255.79999999999998</v>
      </c>
      <c r="I66" s="14">
        <v>386.93353108549854</v>
      </c>
      <c r="J66" s="16">
        <v>104</v>
      </c>
      <c r="K66">
        <v>56</v>
      </c>
      <c r="L66">
        <v>114</v>
      </c>
      <c r="M66">
        <v>63</v>
      </c>
      <c r="N66" s="120">
        <v>0</v>
      </c>
      <c r="O66" s="120">
        <v>0</v>
      </c>
      <c r="P66">
        <v>24</v>
      </c>
    </row>
    <row r="67" spans="1:16">
      <c r="A67" t="s">
        <v>165</v>
      </c>
      <c r="B67">
        <v>149</v>
      </c>
      <c r="C67">
        <v>50</v>
      </c>
      <c r="D67">
        <v>170</v>
      </c>
      <c r="E67">
        <v>1</v>
      </c>
      <c r="F67">
        <v>129</v>
      </c>
      <c r="G67">
        <v>106</v>
      </c>
      <c r="H67">
        <v>270.5</v>
      </c>
      <c r="I67" s="14">
        <v>388.00088267794422</v>
      </c>
      <c r="J67">
        <v>120</v>
      </c>
      <c r="K67">
        <v>70</v>
      </c>
      <c r="L67">
        <v>115</v>
      </c>
      <c r="M67">
        <v>64</v>
      </c>
      <c r="N67" s="120">
        <v>0</v>
      </c>
      <c r="O67" s="120">
        <v>0</v>
      </c>
      <c r="P67">
        <v>9</v>
      </c>
    </row>
    <row r="68" spans="1:16">
      <c r="A68" t="s">
        <v>237</v>
      </c>
      <c r="B68">
        <v>51</v>
      </c>
      <c r="C68">
        <v>102</v>
      </c>
      <c r="D68">
        <v>108</v>
      </c>
      <c r="E68">
        <v>99</v>
      </c>
      <c r="F68">
        <v>178</v>
      </c>
      <c r="G68">
        <v>118</v>
      </c>
      <c r="H68">
        <v>262.89999999999998</v>
      </c>
      <c r="I68" s="14">
        <v>390.6965632039587</v>
      </c>
      <c r="J68">
        <v>112</v>
      </c>
      <c r="K68">
        <v>63</v>
      </c>
      <c r="L68">
        <v>117</v>
      </c>
      <c r="M68">
        <v>65</v>
      </c>
      <c r="N68" s="120">
        <v>0</v>
      </c>
      <c r="O68" s="120">
        <v>0</v>
      </c>
      <c r="P68">
        <v>6</v>
      </c>
    </row>
    <row r="69" spans="1:16">
      <c r="A69" t="s">
        <v>179</v>
      </c>
      <c r="B69">
        <v>201</v>
      </c>
      <c r="C69">
        <v>45</v>
      </c>
      <c r="D69">
        <v>43</v>
      </c>
      <c r="E69">
        <v>119</v>
      </c>
      <c r="F69">
        <v>140</v>
      </c>
      <c r="G69">
        <v>125</v>
      </c>
      <c r="H69">
        <v>256.7</v>
      </c>
      <c r="I69" s="14">
        <v>399.0877584690964</v>
      </c>
      <c r="J69">
        <v>106</v>
      </c>
      <c r="K69">
        <v>58</v>
      </c>
      <c r="L69">
        <v>118</v>
      </c>
      <c r="M69">
        <v>66</v>
      </c>
      <c r="N69" s="120">
        <v>0</v>
      </c>
      <c r="O69" s="120">
        <v>0</v>
      </c>
      <c r="P69">
        <v>5</v>
      </c>
    </row>
    <row r="70" spans="1:16">
      <c r="A70" t="s">
        <v>114</v>
      </c>
      <c r="B70">
        <v>136</v>
      </c>
      <c r="C70">
        <v>181</v>
      </c>
      <c r="D70">
        <v>125</v>
      </c>
      <c r="E70">
        <v>63</v>
      </c>
      <c r="F70">
        <v>34</v>
      </c>
      <c r="G70">
        <v>120</v>
      </c>
      <c r="H70">
        <v>284.8</v>
      </c>
      <c r="I70" s="14">
        <v>403.29083513165745</v>
      </c>
      <c r="J70">
        <v>130</v>
      </c>
      <c r="K70">
        <v>77</v>
      </c>
      <c r="L70">
        <v>119</v>
      </c>
      <c r="M70">
        <v>67</v>
      </c>
      <c r="N70" s="120">
        <v>0</v>
      </c>
      <c r="O70" s="120">
        <v>0</v>
      </c>
      <c r="P70">
        <v>12</v>
      </c>
    </row>
    <row r="71" spans="1:16">
      <c r="A71" t="s">
        <v>13</v>
      </c>
      <c r="B71">
        <v>40</v>
      </c>
      <c r="C71">
        <v>164</v>
      </c>
      <c r="D71">
        <v>107</v>
      </c>
      <c r="E71">
        <v>154</v>
      </c>
      <c r="F71">
        <v>100</v>
      </c>
      <c r="G71">
        <v>123</v>
      </c>
      <c r="H71">
        <v>278.5</v>
      </c>
      <c r="I71" s="14">
        <v>406.09857965860073</v>
      </c>
      <c r="J71">
        <v>124</v>
      </c>
      <c r="K71">
        <v>74</v>
      </c>
      <c r="L71">
        <v>120</v>
      </c>
      <c r="M71">
        <v>68</v>
      </c>
      <c r="N71" s="120">
        <v>0</v>
      </c>
      <c r="O71" s="120">
        <v>0</v>
      </c>
      <c r="P71">
        <v>8</v>
      </c>
    </row>
    <row r="72" spans="1:16">
      <c r="A72" t="s">
        <v>126</v>
      </c>
      <c r="B72">
        <v>117</v>
      </c>
      <c r="C72">
        <v>29</v>
      </c>
      <c r="D72">
        <v>91</v>
      </c>
      <c r="E72">
        <v>161</v>
      </c>
      <c r="F72">
        <v>137</v>
      </c>
      <c r="G72">
        <v>130</v>
      </c>
      <c r="H72">
        <v>255.9</v>
      </c>
      <c r="I72" s="14">
        <v>406.17316924545111</v>
      </c>
      <c r="J72">
        <v>105</v>
      </c>
      <c r="K72">
        <v>57</v>
      </c>
      <c r="L72">
        <v>121</v>
      </c>
      <c r="M72">
        <v>69</v>
      </c>
      <c r="N72" s="120">
        <v>0</v>
      </c>
      <c r="O72" s="120">
        <v>0</v>
      </c>
      <c r="P72">
        <v>45</v>
      </c>
    </row>
    <row r="73" spans="1:16">
      <c r="A73" t="s">
        <v>48</v>
      </c>
      <c r="B73">
        <v>95</v>
      </c>
      <c r="C73">
        <v>142</v>
      </c>
      <c r="D73">
        <v>15</v>
      </c>
      <c r="E73">
        <v>197</v>
      </c>
      <c r="F73">
        <v>175</v>
      </c>
      <c r="G73">
        <v>120</v>
      </c>
      <c r="H73">
        <v>277.8</v>
      </c>
      <c r="I73" s="14">
        <v>408.62788521049663</v>
      </c>
      <c r="J73">
        <v>123</v>
      </c>
      <c r="K73">
        <v>73</v>
      </c>
      <c r="L73">
        <v>122</v>
      </c>
      <c r="M73">
        <v>70</v>
      </c>
      <c r="N73" s="120">
        <v>0</v>
      </c>
      <c r="O73" s="120">
        <v>0</v>
      </c>
      <c r="P73">
        <v>19</v>
      </c>
    </row>
    <row r="74" spans="1:16">
      <c r="A74" t="s">
        <v>102</v>
      </c>
      <c r="B74">
        <v>50</v>
      </c>
      <c r="C74">
        <v>31</v>
      </c>
      <c r="D74">
        <v>50</v>
      </c>
      <c r="E74">
        <v>163</v>
      </c>
      <c r="F74">
        <v>189</v>
      </c>
      <c r="G74">
        <v>181</v>
      </c>
      <c r="H74">
        <v>216.3</v>
      </c>
      <c r="I74" s="14">
        <v>415.84688672017137</v>
      </c>
      <c r="J74">
        <v>62</v>
      </c>
      <c r="K74">
        <v>33</v>
      </c>
      <c r="L74">
        <v>124</v>
      </c>
      <c r="M74">
        <v>71</v>
      </c>
      <c r="N74" s="120">
        <v>0</v>
      </c>
      <c r="O74" s="120">
        <v>0</v>
      </c>
      <c r="P74">
        <v>-29</v>
      </c>
    </row>
    <row r="75" spans="1:16">
      <c r="A75" t="s">
        <v>87</v>
      </c>
      <c r="B75">
        <v>54</v>
      </c>
      <c r="C75">
        <v>95</v>
      </c>
      <c r="D75">
        <v>163</v>
      </c>
      <c r="E75">
        <v>104</v>
      </c>
      <c r="F75">
        <v>93</v>
      </c>
      <c r="G75">
        <v>141</v>
      </c>
      <c r="H75">
        <v>267.39999999999998</v>
      </c>
      <c r="I75" s="14">
        <v>417.90624888482034</v>
      </c>
      <c r="J75">
        <v>116</v>
      </c>
      <c r="K75">
        <v>66</v>
      </c>
      <c r="L75">
        <v>126</v>
      </c>
      <c r="M75">
        <v>72</v>
      </c>
      <c r="N75" s="120">
        <v>0</v>
      </c>
      <c r="O75" s="120">
        <v>0</v>
      </c>
      <c r="P75">
        <v>14</v>
      </c>
    </row>
    <row r="76" spans="1:16">
      <c r="A76" t="s">
        <v>45</v>
      </c>
      <c r="B76">
        <v>46</v>
      </c>
      <c r="C76">
        <v>172</v>
      </c>
      <c r="D76">
        <v>15</v>
      </c>
      <c r="E76">
        <v>192</v>
      </c>
      <c r="F76">
        <v>179</v>
      </c>
      <c r="G76">
        <v>149</v>
      </c>
      <c r="H76">
        <v>267.90000000000003</v>
      </c>
      <c r="I76" s="14">
        <v>423.29610261529331</v>
      </c>
      <c r="J76">
        <v>117</v>
      </c>
      <c r="K76">
        <v>67</v>
      </c>
      <c r="L76">
        <v>128</v>
      </c>
      <c r="M76">
        <v>73</v>
      </c>
      <c r="N76" s="120">
        <v>0</v>
      </c>
      <c r="O76" s="120">
        <v>0</v>
      </c>
      <c r="P76">
        <v>9</v>
      </c>
    </row>
    <row r="77" spans="1:16">
      <c r="A77" t="s">
        <v>166</v>
      </c>
      <c r="B77">
        <v>165</v>
      </c>
      <c r="C77">
        <v>1</v>
      </c>
      <c r="D77">
        <v>84</v>
      </c>
      <c r="E77">
        <v>56</v>
      </c>
      <c r="F77">
        <v>201</v>
      </c>
      <c r="G77">
        <v>166</v>
      </c>
      <c r="H77">
        <v>244.60000000000002</v>
      </c>
      <c r="I77" s="14">
        <v>430.26227618903579</v>
      </c>
      <c r="J77">
        <v>94</v>
      </c>
      <c r="K77">
        <v>51</v>
      </c>
      <c r="L77">
        <v>130</v>
      </c>
      <c r="M77">
        <v>74</v>
      </c>
      <c r="N77" s="120">
        <v>0.04</v>
      </c>
      <c r="O77" s="120">
        <v>0.04</v>
      </c>
      <c r="P77">
        <v>1</v>
      </c>
    </row>
    <row r="78" spans="1:16">
      <c r="A78" t="s">
        <v>151</v>
      </c>
      <c r="B78">
        <v>120</v>
      </c>
      <c r="C78">
        <v>96</v>
      </c>
      <c r="D78">
        <v>37</v>
      </c>
      <c r="E78">
        <v>189</v>
      </c>
      <c r="F78">
        <v>149</v>
      </c>
      <c r="G78">
        <v>150</v>
      </c>
      <c r="H78">
        <v>269.10000000000002</v>
      </c>
      <c r="I78" s="14">
        <v>434.03185107679269</v>
      </c>
      <c r="J78">
        <v>118</v>
      </c>
      <c r="K78">
        <v>68</v>
      </c>
      <c r="L78">
        <v>131</v>
      </c>
      <c r="M78">
        <v>75</v>
      </c>
      <c r="N78" s="120">
        <v>0</v>
      </c>
      <c r="O78" s="120">
        <v>0</v>
      </c>
      <c r="P78">
        <v>22</v>
      </c>
    </row>
    <row r="79" spans="1:16">
      <c r="A79" t="s">
        <v>88</v>
      </c>
      <c r="B79">
        <v>115</v>
      </c>
      <c r="C79">
        <v>141</v>
      </c>
      <c r="D79">
        <v>114</v>
      </c>
      <c r="E79">
        <v>154</v>
      </c>
      <c r="F79">
        <v>105</v>
      </c>
      <c r="G79">
        <v>114</v>
      </c>
      <c r="H79">
        <v>311.40000000000003</v>
      </c>
      <c r="I79" s="14">
        <v>434.94774750470242</v>
      </c>
      <c r="J79">
        <v>153</v>
      </c>
      <c r="K79">
        <v>88</v>
      </c>
      <c r="L79">
        <v>133</v>
      </c>
      <c r="M79">
        <v>77</v>
      </c>
      <c r="N79" s="120">
        <v>0</v>
      </c>
      <c r="O79" s="120">
        <v>0</v>
      </c>
      <c r="P79">
        <v>7</v>
      </c>
    </row>
    <row r="80" spans="1:16">
      <c r="A80" t="s">
        <v>11</v>
      </c>
      <c r="B80">
        <v>19</v>
      </c>
      <c r="C80">
        <v>144</v>
      </c>
      <c r="D80">
        <v>92</v>
      </c>
      <c r="E80">
        <v>195</v>
      </c>
      <c r="F80">
        <v>125</v>
      </c>
      <c r="G80">
        <v>153</v>
      </c>
      <c r="H80">
        <v>273.89999999999998</v>
      </c>
      <c r="I80" s="14">
        <v>435.65206773305977</v>
      </c>
      <c r="J80">
        <v>121</v>
      </c>
      <c r="K80">
        <v>71</v>
      </c>
      <c r="L80">
        <v>134</v>
      </c>
      <c r="M80">
        <v>78</v>
      </c>
      <c r="N80" s="120">
        <v>0</v>
      </c>
      <c r="O80" s="120">
        <v>0</v>
      </c>
      <c r="P80">
        <v>-12</v>
      </c>
    </row>
    <row r="81" spans="1:16">
      <c r="A81" t="s">
        <v>99</v>
      </c>
      <c r="B81">
        <v>86</v>
      </c>
      <c r="C81">
        <v>106</v>
      </c>
      <c r="D81">
        <v>83</v>
      </c>
      <c r="E81">
        <v>184</v>
      </c>
      <c r="F81">
        <v>120</v>
      </c>
      <c r="G81">
        <v>148</v>
      </c>
      <c r="H81">
        <v>275.7</v>
      </c>
      <c r="I81" s="14">
        <v>436.78859725347746</v>
      </c>
      <c r="J81">
        <v>122</v>
      </c>
      <c r="K81">
        <v>72</v>
      </c>
      <c r="L81">
        <v>137</v>
      </c>
      <c r="M81">
        <v>80</v>
      </c>
      <c r="N81" s="120">
        <v>0</v>
      </c>
      <c r="O81" s="120">
        <v>0</v>
      </c>
      <c r="P81">
        <v>-12</v>
      </c>
    </row>
    <row r="82" spans="1:16">
      <c r="A82" t="s">
        <v>100</v>
      </c>
      <c r="B82">
        <v>196</v>
      </c>
      <c r="C82">
        <v>191</v>
      </c>
      <c r="D82">
        <v>49</v>
      </c>
      <c r="E82">
        <v>10</v>
      </c>
      <c r="F82">
        <v>180</v>
      </c>
      <c r="G82">
        <v>135</v>
      </c>
      <c r="H82">
        <v>303.8</v>
      </c>
      <c r="I82" s="14">
        <v>437.8856142644326</v>
      </c>
      <c r="J82">
        <v>148</v>
      </c>
      <c r="K82">
        <v>86</v>
      </c>
      <c r="L82">
        <v>139</v>
      </c>
      <c r="M82">
        <v>81</v>
      </c>
      <c r="N82" s="120">
        <v>0</v>
      </c>
      <c r="O82" s="120">
        <v>0</v>
      </c>
      <c r="P82" t="e">
        <v>#N/A</v>
      </c>
    </row>
    <row r="83" spans="1:16">
      <c r="A83" t="s">
        <v>127</v>
      </c>
      <c r="B83">
        <v>88</v>
      </c>
      <c r="C83">
        <v>130</v>
      </c>
      <c r="D83">
        <v>127</v>
      </c>
      <c r="E83">
        <v>58</v>
      </c>
      <c r="F83">
        <v>183</v>
      </c>
      <c r="G83">
        <v>137</v>
      </c>
      <c r="H83">
        <v>294.29999999999995</v>
      </c>
      <c r="I83" s="14">
        <v>438.06141377769893</v>
      </c>
      <c r="J83">
        <v>142</v>
      </c>
      <c r="K83">
        <v>82</v>
      </c>
      <c r="L83">
        <v>140</v>
      </c>
      <c r="M83">
        <v>82</v>
      </c>
      <c r="N83" s="120">
        <v>0</v>
      </c>
      <c r="O83" s="120">
        <v>0</v>
      </c>
      <c r="P83">
        <v>13</v>
      </c>
    </row>
    <row r="84" spans="1:16">
      <c r="A84" t="s">
        <v>91</v>
      </c>
      <c r="B84">
        <v>76</v>
      </c>
      <c r="C84">
        <v>117</v>
      </c>
      <c r="D84">
        <v>141</v>
      </c>
      <c r="E84">
        <v>43</v>
      </c>
      <c r="F84">
        <v>170</v>
      </c>
      <c r="G84">
        <v>154</v>
      </c>
      <c r="H84">
        <v>280.39999999999998</v>
      </c>
      <c r="I84" s="14">
        <v>440.90714025370278</v>
      </c>
      <c r="J84">
        <v>128</v>
      </c>
      <c r="K84">
        <v>76</v>
      </c>
      <c r="L84">
        <v>142</v>
      </c>
      <c r="M84">
        <v>83</v>
      </c>
      <c r="N84" s="120">
        <v>0</v>
      </c>
      <c r="O84" s="120">
        <v>3.0303030303030304E-2</v>
      </c>
      <c r="P84">
        <v>32</v>
      </c>
    </row>
    <row r="85" spans="1:16">
      <c r="A85" t="s">
        <v>12</v>
      </c>
      <c r="B85">
        <v>10</v>
      </c>
      <c r="C85">
        <v>189</v>
      </c>
      <c r="D85">
        <v>151</v>
      </c>
      <c r="E85">
        <v>148</v>
      </c>
      <c r="F85">
        <v>147</v>
      </c>
      <c r="G85">
        <v>122</v>
      </c>
      <c r="H85">
        <v>323.2</v>
      </c>
      <c r="I85" s="14">
        <v>449.54046812223396</v>
      </c>
      <c r="J85">
        <v>166</v>
      </c>
      <c r="K85">
        <v>97</v>
      </c>
      <c r="L85">
        <v>145</v>
      </c>
      <c r="M85">
        <v>84</v>
      </c>
      <c r="N85" s="120">
        <v>0</v>
      </c>
      <c r="O85" s="120">
        <v>0</v>
      </c>
      <c r="P85">
        <v>0</v>
      </c>
    </row>
    <row r="86" spans="1:16">
      <c r="A86" t="s">
        <v>133</v>
      </c>
      <c r="B86">
        <v>156</v>
      </c>
      <c r="C86">
        <v>89</v>
      </c>
      <c r="D86">
        <v>187</v>
      </c>
      <c r="E86">
        <v>65</v>
      </c>
      <c r="F86">
        <v>94</v>
      </c>
      <c r="G86">
        <v>128</v>
      </c>
      <c r="H86">
        <v>317</v>
      </c>
      <c r="I86" s="14">
        <v>456.76480935083163</v>
      </c>
      <c r="J86">
        <v>161</v>
      </c>
      <c r="K86">
        <v>93</v>
      </c>
      <c r="L86">
        <v>147</v>
      </c>
      <c r="M86">
        <v>85</v>
      </c>
      <c r="N86" s="120">
        <v>0</v>
      </c>
      <c r="O86" s="120">
        <v>0</v>
      </c>
      <c r="P86">
        <v>9</v>
      </c>
    </row>
    <row r="87" spans="1:16">
      <c r="A87" t="s">
        <v>86</v>
      </c>
      <c r="B87">
        <v>67</v>
      </c>
      <c r="C87">
        <v>198</v>
      </c>
      <c r="D87">
        <v>166</v>
      </c>
      <c r="E87">
        <v>72</v>
      </c>
      <c r="F87">
        <v>58</v>
      </c>
      <c r="G87">
        <v>161</v>
      </c>
      <c r="H87">
        <v>300.7</v>
      </c>
      <c r="I87" s="14">
        <v>459.32658485415078</v>
      </c>
      <c r="J87">
        <v>146</v>
      </c>
      <c r="K87">
        <v>84</v>
      </c>
      <c r="L87">
        <v>149</v>
      </c>
      <c r="M87">
        <v>86</v>
      </c>
      <c r="N87" s="120">
        <v>0</v>
      </c>
      <c r="O87" s="120">
        <v>0</v>
      </c>
      <c r="P87">
        <v>38</v>
      </c>
    </row>
    <row r="88" spans="1:16">
      <c r="A88" t="s">
        <v>145</v>
      </c>
      <c r="B88">
        <v>155</v>
      </c>
      <c r="C88">
        <v>42</v>
      </c>
      <c r="D88">
        <v>76</v>
      </c>
      <c r="E88">
        <v>194</v>
      </c>
      <c r="F88">
        <v>146</v>
      </c>
      <c r="G88">
        <v>157</v>
      </c>
      <c r="H88">
        <v>287.70000000000005</v>
      </c>
      <c r="I88" s="14">
        <v>467.08465827859459</v>
      </c>
      <c r="J88">
        <v>133</v>
      </c>
      <c r="K88">
        <v>79</v>
      </c>
      <c r="L88">
        <v>151</v>
      </c>
      <c r="M88">
        <v>87</v>
      </c>
      <c r="N88" s="120">
        <v>0</v>
      </c>
      <c r="O88" s="120">
        <v>0</v>
      </c>
      <c r="P88">
        <v>4</v>
      </c>
    </row>
    <row r="89" spans="1:16">
      <c r="A89" t="s">
        <v>142</v>
      </c>
      <c r="B89">
        <v>162</v>
      </c>
      <c r="C89">
        <v>153</v>
      </c>
      <c r="D89">
        <v>183</v>
      </c>
      <c r="E89">
        <v>32</v>
      </c>
      <c r="F89">
        <v>87</v>
      </c>
      <c r="G89">
        <v>134</v>
      </c>
      <c r="H89">
        <v>333.20000000000005</v>
      </c>
      <c r="I89" s="14">
        <v>471.01562226561492</v>
      </c>
      <c r="J89">
        <v>176</v>
      </c>
      <c r="K89">
        <v>106</v>
      </c>
      <c r="L89">
        <v>152</v>
      </c>
      <c r="M89">
        <v>88</v>
      </c>
      <c r="N89" s="120">
        <v>0</v>
      </c>
      <c r="O89" s="120">
        <v>0</v>
      </c>
      <c r="P89">
        <v>25</v>
      </c>
    </row>
    <row r="90" spans="1:16">
      <c r="A90" t="s">
        <v>190</v>
      </c>
      <c r="B90">
        <v>204</v>
      </c>
      <c r="C90">
        <v>26</v>
      </c>
      <c r="D90">
        <v>124</v>
      </c>
      <c r="E90">
        <v>167</v>
      </c>
      <c r="F90">
        <v>56</v>
      </c>
      <c r="G90">
        <v>160</v>
      </c>
      <c r="H90">
        <v>291</v>
      </c>
      <c r="I90" s="14">
        <v>472.89459332839385</v>
      </c>
      <c r="J90">
        <v>137</v>
      </c>
      <c r="K90">
        <v>80</v>
      </c>
      <c r="L90">
        <v>154</v>
      </c>
      <c r="M90">
        <v>89</v>
      </c>
      <c r="N90" s="120">
        <v>0</v>
      </c>
      <c r="O90" s="120">
        <v>6.25E-2</v>
      </c>
      <c r="P90">
        <v>31</v>
      </c>
    </row>
    <row r="91" spans="1:16">
      <c r="A91" t="s">
        <v>320</v>
      </c>
      <c r="B91">
        <v>165</v>
      </c>
      <c r="C91">
        <v>90</v>
      </c>
      <c r="D91">
        <v>122</v>
      </c>
      <c r="E91">
        <v>158</v>
      </c>
      <c r="F91">
        <v>92</v>
      </c>
      <c r="G91">
        <v>145</v>
      </c>
      <c r="H91">
        <v>312.89999999999998</v>
      </c>
      <c r="I91" s="14">
        <v>473.61657117060406</v>
      </c>
      <c r="J91">
        <v>155</v>
      </c>
      <c r="K91">
        <v>89</v>
      </c>
      <c r="L91">
        <v>156</v>
      </c>
      <c r="M91">
        <v>90</v>
      </c>
      <c r="N91" s="120" t="e">
        <v>#N/A</v>
      </c>
      <c r="O91" s="120" t="e">
        <v>#N/A</v>
      </c>
      <c r="P91">
        <v>33</v>
      </c>
    </row>
    <row r="92" spans="1:16">
      <c r="A92" t="s">
        <v>236</v>
      </c>
      <c r="B92">
        <v>184</v>
      </c>
      <c r="C92">
        <v>62</v>
      </c>
      <c r="D92">
        <v>137</v>
      </c>
      <c r="E92">
        <v>142</v>
      </c>
      <c r="F92">
        <v>97</v>
      </c>
      <c r="G92">
        <v>144</v>
      </c>
      <c r="H92">
        <v>314.5</v>
      </c>
      <c r="I92" s="14">
        <v>476.96380273801662</v>
      </c>
      <c r="J92">
        <v>156</v>
      </c>
      <c r="K92">
        <v>90</v>
      </c>
      <c r="L92">
        <v>157</v>
      </c>
      <c r="M92">
        <v>91</v>
      </c>
      <c r="N92" s="120">
        <v>0</v>
      </c>
      <c r="O92" s="120">
        <v>0</v>
      </c>
      <c r="P92">
        <v>-11</v>
      </c>
    </row>
    <row r="93" spans="1:16">
      <c r="A93" t="s">
        <v>25</v>
      </c>
      <c r="B93">
        <v>61</v>
      </c>
      <c r="C93">
        <v>81</v>
      </c>
      <c r="D93">
        <v>194</v>
      </c>
      <c r="E93">
        <v>128</v>
      </c>
      <c r="F93">
        <v>142</v>
      </c>
      <c r="G93">
        <v>151</v>
      </c>
      <c r="H93">
        <v>314.8</v>
      </c>
      <c r="I93" s="14">
        <v>481.27425768888367</v>
      </c>
      <c r="J93">
        <v>157</v>
      </c>
      <c r="K93">
        <v>91</v>
      </c>
      <c r="L93">
        <v>159</v>
      </c>
      <c r="M93">
        <v>92</v>
      </c>
      <c r="N93" s="120">
        <v>0</v>
      </c>
      <c r="O93" s="120">
        <v>0</v>
      </c>
      <c r="P93">
        <v>23</v>
      </c>
    </row>
    <row r="94" spans="1:16">
      <c r="A94" t="s">
        <v>160</v>
      </c>
      <c r="B94">
        <v>156</v>
      </c>
      <c r="C94">
        <v>104</v>
      </c>
      <c r="D94">
        <v>158</v>
      </c>
      <c r="E94">
        <v>111</v>
      </c>
      <c r="F94">
        <v>135</v>
      </c>
      <c r="G94">
        <v>129</v>
      </c>
      <c r="H94">
        <v>339</v>
      </c>
      <c r="I94" s="14">
        <v>482.01345214072211</v>
      </c>
      <c r="J94">
        <v>178</v>
      </c>
      <c r="K94">
        <v>108</v>
      </c>
      <c r="L94">
        <v>160</v>
      </c>
      <c r="M94">
        <v>93</v>
      </c>
      <c r="N94" s="120">
        <v>0</v>
      </c>
      <c r="O94" s="120">
        <v>3.0303030303030304E-2</v>
      </c>
      <c r="P94">
        <v>-18</v>
      </c>
    </row>
    <row r="95" spans="1:16">
      <c r="A95" t="s">
        <v>41</v>
      </c>
      <c r="B95">
        <v>60</v>
      </c>
      <c r="C95">
        <v>202</v>
      </c>
      <c r="D95">
        <v>152</v>
      </c>
      <c r="E95">
        <v>179</v>
      </c>
      <c r="F95">
        <v>85</v>
      </c>
      <c r="G95">
        <v>136</v>
      </c>
      <c r="H95">
        <v>343</v>
      </c>
      <c r="I95" s="14">
        <v>483.57266049581614</v>
      </c>
      <c r="J95">
        <v>180</v>
      </c>
      <c r="K95">
        <v>110</v>
      </c>
      <c r="L95">
        <v>162</v>
      </c>
      <c r="M95">
        <v>94</v>
      </c>
      <c r="N95" s="120">
        <v>0</v>
      </c>
      <c r="O95" s="120">
        <v>0</v>
      </c>
      <c r="P95">
        <v>20</v>
      </c>
    </row>
    <row r="96" spans="1:16">
      <c r="A96" t="s">
        <v>81</v>
      </c>
      <c r="B96">
        <v>78</v>
      </c>
      <c r="C96">
        <v>175</v>
      </c>
      <c r="D96">
        <v>125</v>
      </c>
      <c r="E96">
        <v>85</v>
      </c>
      <c r="F96">
        <v>191</v>
      </c>
      <c r="G96">
        <v>159</v>
      </c>
      <c r="H96">
        <v>324.39999999999998</v>
      </c>
      <c r="I96" s="14">
        <v>487.89568212164266</v>
      </c>
      <c r="J96">
        <v>168</v>
      </c>
      <c r="K96">
        <v>98</v>
      </c>
      <c r="L96">
        <v>163</v>
      </c>
      <c r="M96">
        <v>95</v>
      </c>
      <c r="N96" s="120">
        <v>0</v>
      </c>
      <c r="O96" s="120">
        <v>0</v>
      </c>
      <c r="P96">
        <v>-17</v>
      </c>
    </row>
    <row r="97" spans="1:16">
      <c r="A97" t="s">
        <v>150</v>
      </c>
      <c r="B97">
        <v>178</v>
      </c>
      <c r="C97">
        <v>70</v>
      </c>
      <c r="D97">
        <v>135</v>
      </c>
      <c r="E97">
        <v>166</v>
      </c>
      <c r="F97">
        <v>102</v>
      </c>
      <c r="G97">
        <v>147</v>
      </c>
      <c r="H97">
        <v>325.7</v>
      </c>
      <c r="I97" s="14">
        <v>491.95280520384614</v>
      </c>
      <c r="J97">
        <v>169</v>
      </c>
      <c r="K97">
        <v>99</v>
      </c>
      <c r="L97">
        <v>164</v>
      </c>
      <c r="M97">
        <v>96</v>
      </c>
      <c r="N97" s="120">
        <v>0</v>
      </c>
      <c r="O97" s="120">
        <v>0</v>
      </c>
      <c r="P97">
        <v>18</v>
      </c>
    </row>
    <row r="98" spans="1:16">
      <c r="A98" t="s">
        <v>62</v>
      </c>
      <c r="B98">
        <v>88</v>
      </c>
      <c r="C98">
        <v>113</v>
      </c>
      <c r="D98">
        <v>144</v>
      </c>
      <c r="E98">
        <v>113</v>
      </c>
      <c r="F98">
        <v>182</v>
      </c>
      <c r="G98">
        <v>162</v>
      </c>
      <c r="H98">
        <v>319.3</v>
      </c>
      <c r="I98" s="14">
        <v>493.68990235764863</v>
      </c>
      <c r="J98">
        <v>163</v>
      </c>
      <c r="K98">
        <v>95</v>
      </c>
      <c r="L98">
        <v>166</v>
      </c>
      <c r="M98">
        <v>97</v>
      </c>
      <c r="N98" s="120">
        <v>0</v>
      </c>
      <c r="O98" s="120">
        <v>0</v>
      </c>
      <c r="P98">
        <v>27</v>
      </c>
    </row>
    <row r="99" spans="1:16">
      <c r="A99" t="s">
        <v>109</v>
      </c>
      <c r="B99">
        <v>144</v>
      </c>
      <c r="C99">
        <v>10</v>
      </c>
      <c r="D99">
        <v>155</v>
      </c>
      <c r="E99">
        <v>196</v>
      </c>
      <c r="F99">
        <v>99</v>
      </c>
      <c r="G99">
        <v>168</v>
      </c>
      <c r="H99">
        <v>303.5</v>
      </c>
      <c r="I99" s="14">
        <v>497.39567656917512</v>
      </c>
      <c r="J99">
        <v>147</v>
      </c>
      <c r="K99">
        <v>85</v>
      </c>
      <c r="L99">
        <v>167</v>
      </c>
      <c r="M99">
        <v>98</v>
      </c>
      <c r="N99" s="120">
        <v>0</v>
      </c>
      <c r="O99" s="120">
        <v>0</v>
      </c>
      <c r="P99">
        <v>-11</v>
      </c>
    </row>
    <row r="100" spans="1:16">
      <c r="A100" t="s">
        <v>240</v>
      </c>
      <c r="B100">
        <v>168</v>
      </c>
      <c r="C100">
        <v>65</v>
      </c>
      <c r="D100">
        <v>62</v>
      </c>
      <c r="E100">
        <v>185</v>
      </c>
      <c r="F100">
        <v>177</v>
      </c>
      <c r="G100">
        <v>175</v>
      </c>
      <c r="H100">
        <v>304.7</v>
      </c>
      <c r="I100" s="14">
        <v>500.61784368986957</v>
      </c>
      <c r="J100">
        <v>149</v>
      </c>
      <c r="K100">
        <v>87</v>
      </c>
      <c r="L100">
        <v>168</v>
      </c>
      <c r="M100">
        <v>99</v>
      </c>
      <c r="N100" s="120">
        <v>0</v>
      </c>
      <c r="O100" s="120">
        <v>0</v>
      </c>
      <c r="P100">
        <v>28</v>
      </c>
    </row>
    <row r="101" spans="1:16">
      <c r="A101" t="s">
        <v>61</v>
      </c>
      <c r="B101">
        <v>77</v>
      </c>
      <c r="C101">
        <v>148</v>
      </c>
      <c r="D101">
        <v>140</v>
      </c>
      <c r="E101">
        <v>162</v>
      </c>
      <c r="F101">
        <v>148</v>
      </c>
      <c r="G101">
        <v>156</v>
      </c>
      <c r="H101">
        <v>334.5</v>
      </c>
      <c r="I101" s="14">
        <v>501.2305940772581</v>
      </c>
      <c r="J101">
        <v>177</v>
      </c>
      <c r="K101">
        <v>107</v>
      </c>
      <c r="L101">
        <v>169</v>
      </c>
      <c r="M101">
        <v>100</v>
      </c>
      <c r="N101" s="120">
        <v>0</v>
      </c>
      <c r="O101" s="120">
        <v>0</v>
      </c>
      <c r="P101">
        <v>-8</v>
      </c>
    </row>
    <row r="102" spans="1:16">
      <c r="A102" t="s">
        <v>119</v>
      </c>
      <c r="B102">
        <v>124</v>
      </c>
      <c r="C102">
        <v>168</v>
      </c>
      <c r="D102">
        <v>54</v>
      </c>
      <c r="E102">
        <v>177</v>
      </c>
      <c r="F102">
        <v>186</v>
      </c>
      <c r="G102">
        <v>164</v>
      </c>
      <c r="H102">
        <v>329</v>
      </c>
      <c r="I102" s="14">
        <v>502.99472420512126</v>
      </c>
      <c r="J102">
        <v>172.5</v>
      </c>
      <c r="K102">
        <v>103</v>
      </c>
      <c r="L102">
        <v>170</v>
      </c>
      <c r="M102">
        <v>101</v>
      </c>
      <c r="N102" s="120">
        <v>0</v>
      </c>
      <c r="O102" s="120">
        <v>0</v>
      </c>
      <c r="P102">
        <v>17</v>
      </c>
    </row>
    <row r="103" spans="1:16">
      <c r="A103" t="s">
        <v>31</v>
      </c>
      <c r="B103">
        <v>34</v>
      </c>
      <c r="C103">
        <v>112</v>
      </c>
      <c r="D103">
        <v>134</v>
      </c>
      <c r="E103">
        <v>174</v>
      </c>
      <c r="F103">
        <v>197</v>
      </c>
      <c r="G103">
        <v>177</v>
      </c>
      <c r="H103">
        <v>315.20000000000005</v>
      </c>
      <c r="I103" s="14">
        <v>507.07967545686955</v>
      </c>
      <c r="J103" s="16">
        <v>158</v>
      </c>
      <c r="K103">
        <v>92</v>
      </c>
      <c r="L103">
        <v>172</v>
      </c>
      <c r="M103">
        <v>102</v>
      </c>
      <c r="N103" s="120">
        <v>0</v>
      </c>
      <c r="O103" s="120">
        <v>0</v>
      </c>
      <c r="P103">
        <v>-15</v>
      </c>
    </row>
    <row r="104" spans="1:16">
      <c r="A104" t="s">
        <v>7</v>
      </c>
      <c r="B104">
        <v>1</v>
      </c>
      <c r="C104">
        <v>206</v>
      </c>
      <c r="D104">
        <v>113</v>
      </c>
      <c r="E104">
        <v>193</v>
      </c>
      <c r="F104">
        <v>173</v>
      </c>
      <c r="G104">
        <v>173</v>
      </c>
      <c r="H104">
        <v>329</v>
      </c>
      <c r="I104" s="14">
        <v>507.16404391554317</v>
      </c>
      <c r="J104">
        <v>172.5</v>
      </c>
      <c r="K104">
        <v>102</v>
      </c>
      <c r="L104">
        <v>173</v>
      </c>
      <c r="M104">
        <v>103</v>
      </c>
      <c r="N104" s="120">
        <v>0</v>
      </c>
      <c r="O104" s="120">
        <v>0</v>
      </c>
      <c r="P104">
        <v>6</v>
      </c>
    </row>
    <row r="105" spans="1:16">
      <c r="A105" t="s">
        <v>75</v>
      </c>
      <c r="B105">
        <v>97</v>
      </c>
      <c r="C105">
        <v>182</v>
      </c>
      <c r="D105">
        <v>85</v>
      </c>
      <c r="E105">
        <v>106</v>
      </c>
      <c r="F105">
        <v>196</v>
      </c>
      <c r="G105">
        <v>184</v>
      </c>
      <c r="H105">
        <v>319.8</v>
      </c>
      <c r="I105" s="14">
        <v>508.49156281370142</v>
      </c>
      <c r="J105">
        <v>164</v>
      </c>
      <c r="K105">
        <v>96</v>
      </c>
      <c r="L105">
        <v>174</v>
      </c>
      <c r="M105">
        <v>104</v>
      </c>
      <c r="N105" s="120">
        <v>0</v>
      </c>
      <c r="O105" s="120">
        <v>0</v>
      </c>
      <c r="P105">
        <v>11</v>
      </c>
    </row>
    <row r="106" spans="1:16">
      <c r="A106" t="s">
        <v>34</v>
      </c>
      <c r="B106">
        <v>22</v>
      </c>
      <c r="C106">
        <v>178</v>
      </c>
      <c r="D106">
        <v>157</v>
      </c>
      <c r="E106">
        <v>133</v>
      </c>
      <c r="F106">
        <v>172</v>
      </c>
      <c r="G106">
        <v>171</v>
      </c>
      <c r="H106">
        <v>331.9</v>
      </c>
      <c r="I106" s="14">
        <v>508.78388188521205</v>
      </c>
      <c r="J106">
        <v>175</v>
      </c>
      <c r="K106">
        <v>105</v>
      </c>
      <c r="L106">
        <v>175</v>
      </c>
      <c r="M106">
        <v>105</v>
      </c>
      <c r="N106" s="120">
        <v>0</v>
      </c>
      <c r="O106" s="120">
        <v>0</v>
      </c>
      <c r="P106">
        <v>-33</v>
      </c>
    </row>
    <row r="107" spans="1:16">
      <c r="A107" t="s">
        <v>245</v>
      </c>
      <c r="B107">
        <v>158</v>
      </c>
      <c r="C107">
        <v>126</v>
      </c>
      <c r="D107">
        <v>197</v>
      </c>
      <c r="E107">
        <v>41</v>
      </c>
      <c r="F107">
        <v>79</v>
      </c>
      <c r="G107">
        <v>176</v>
      </c>
      <c r="H107">
        <v>327.9</v>
      </c>
      <c r="I107" s="14">
        <v>510.70905960799143</v>
      </c>
      <c r="J107">
        <v>170</v>
      </c>
      <c r="K107">
        <v>100</v>
      </c>
      <c r="L107">
        <v>176</v>
      </c>
      <c r="M107">
        <v>106</v>
      </c>
      <c r="N107" s="120">
        <v>0</v>
      </c>
      <c r="O107" s="120">
        <v>0</v>
      </c>
      <c r="P107">
        <v>7</v>
      </c>
    </row>
    <row r="108" spans="1:16">
      <c r="A108" t="s">
        <v>170</v>
      </c>
      <c r="B108">
        <v>195</v>
      </c>
      <c r="C108">
        <v>22</v>
      </c>
      <c r="D108">
        <v>159</v>
      </c>
      <c r="E108">
        <v>134</v>
      </c>
      <c r="F108">
        <v>109</v>
      </c>
      <c r="G108">
        <v>172</v>
      </c>
      <c r="H108">
        <v>317.00000000000006</v>
      </c>
      <c r="I108" s="14">
        <v>512.02393754819559</v>
      </c>
      <c r="J108">
        <v>162</v>
      </c>
      <c r="K108">
        <v>94</v>
      </c>
      <c r="L108">
        <v>177</v>
      </c>
      <c r="M108">
        <v>107</v>
      </c>
      <c r="N108" s="120">
        <v>0</v>
      </c>
      <c r="O108" s="120">
        <v>0</v>
      </c>
      <c r="P108">
        <v>-27</v>
      </c>
    </row>
    <row r="109" spans="1:16">
      <c r="A109" t="s">
        <v>167</v>
      </c>
      <c r="B109">
        <v>165</v>
      </c>
      <c r="C109">
        <v>147</v>
      </c>
      <c r="D109">
        <v>188</v>
      </c>
      <c r="E109">
        <v>181</v>
      </c>
      <c r="F109">
        <v>5</v>
      </c>
      <c r="G109">
        <v>139</v>
      </c>
      <c r="H109">
        <v>362</v>
      </c>
      <c r="I109" s="14">
        <v>512.21808388460852</v>
      </c>
      <c r="J109">
        <v>194</v>
      </c>
      <c r="K109">
        <v>119</v>
      </c>
      <c r="L109">
        <v>178</v>
      </c>
      <c r="M109">
        <v>108</v>
      </c>
      <c r="N109" s="120">
        <v>0</v>
      </c>
      <c r="O109" s="120">
        <v>0</v>
      </c>
      <c r="P109">
        <v>14</v>
      </c>
    </row>
    <row r="110" spans="1:16">
      <c r="A110" t="s">
        <v>180</v>
      </c>
      <c r="B110">
        <v>179</v>
      </c>
      <c r="C110">
        <v>60</v>
      </c>
      <c r="D110">
        <v>185</v>
      </c>
      <c r="E110">
        <v>203</v>
      </c>
      <c r="F110">
        <v>3</v>
      </c>
      <c r="G110">
        <v>170</v>
      </c>
      <c r="H110">
        <v>331.4</v>
      </c>
      <c r="I110" s="14">
        <v>521.93994181485698</v>
      </c>
      <c r="J110">
        <v>174</v>
      </c>
      <c r="K110">
        <v>104</v>
      </c>
      <c r="L110">
        <v>180</v>
      </c>
      <c r="M110">
        <v>109</v>
      </c>
      <c r="N110" s="120" t="e">
        <v>#N/A</v>
      </c>
      <c r="O110" s="120" t="e">
        <v>#N/A</v>
      </c>
      <c r="P110">
        <v>1</v>
      </c>
    </row>
    <row r="111" spans="1:16">
      <c r="A111" t="s">
        <v>156</v>
      </c>
      <c r="B111">
        <v>162</v>
      </c>
      <c r="C111">
        <v>46</v>
      </c>
      <c r="D111">
        <v>168</v>
      </c>
      <c r="E111">
        <v>115</v>
      </c>
      <c r="F111">
        <v>152</v>
      </c>
      <c r="G111">
        <v>178</v>
      </c>
      <c r="H111">
        <v>328.40000000000003</v>
      </c>
      <c r="I111" s="14">
        <v>526.93564065268936</v>
      </c>
      <c r="J111">
        <v>171</v>
      </c>
      <c r="K111">
        <v>101</v>
      </c>
      <c r="L111">
        <v>181</v>
      </c>
      <c r="M111">
        <v>110</v>
      </c>
      <c r="N111" s="120">
        <v>0</v>
      </c>
      <c r="O111" s="120">
        <v>2.9411764705882353E-2</v>
      </c>
      <c r="P111">
        <v>2</v>
      </c>
    </row>
    <row r="112" spans="1:16">
      <c r="A112" t="s">
        <v>78</v>
      </c>
      <c r="B112">
        <v>54</v>
      </c>
      <c r="C112">
        <v>150</v>
      </c>
      <c r="D112">
        <v>199</v>
      </c>
      <c r="E112">
        <v>93</v>
      </c>
      <c r="F112">
        <v>167</v>
      </c>
      <c r="G112">
        <v>183</v>
      </c>
      <c r="H112">
        <v>345.3</v>
      </c>
      <c r="I112" s="14">
        <v>536.35542452854247</v>
      </c>
      <c r="J112" s="16">
        <v>181</v>
      </c>
      <c r="K112">
        <v>111</v>
      </c>
      <c r="L112">
        <v>182</v>
      </c>
      <c r="M112">
        <v>111</v>
      </c>
      <c r="N112" s="120">
        <v>0</v>
      </c>
      <c r="O112" s="120">
        <v>0</v>
      </c>
      <c r="P112">
        <v>-13</v>
      </c>
    </row>
    <row r="113" spans="1:16">
      <c r="A113" t="s">
        <v>148</v>
      </c>
      <c r="B113">
        <v>151</v>
      </c>
      <c r="C113">
        <v>109</v>
      </c>
      <c r="D113">
        <v>131</v>
      </c>
      <c r="E113">
        <v>176</v>
      </c>
      <c r="F113">
        <v>136</v>
      </c>
      <c r="G113">
        <v>174</v>
      </c>
      <c r="H113">
        <v>346.5</v>
      </c>
      <c r="I113" s="14">
        <v>537.2541090690554</v>
      </c>
      <c r="J113">
        <v>182</v>
      </c>
      <c r="K113">
        <v>112</v>
      </c>
      <c r="L113">
        <v>183</v>
      </c>
      <c r="M113">
        <v>112</v>
      </c>
      <c r="N113" s="120">
        <v>0</v>
      </c>
      <c r="O113" s="120">
        <v>0</v>
      </c>
      <c r="P113">
        <v>-29</v>
      </c>
    </row>
    <row r="114" spans="1:16">
      <c r="A114" t="s">
        <v>116</v>
      </c>
      <c r="B114">
        <v>101</v>
      </c>
      <c r="C114">
        <v>64</v>
      </c>
      <c r="D114">
        <v>180</v>
      </c>
      <c r="E114">
        <v>199</v>
      </c>
      <c r="F114">
        <v>131</v>
      </c>
      <c r="G114">
        <v>189</v>
      </c>
      <c r="H114">
        <v>340.5</v>
      </c>
      <c r="I114" s="14">
        <v>551.52642231193477</v>
      </c>
      <c r="J114">
        <v>179</v>
      </c>
      <c r="K114">
        <v>109</v>
      </c>
      <c r="L114">
        <v>184</v>
      </c>
      <c r="M114">
        <v>113</v>
      </c>
      <c r="N114" s="120">
        <v>0</v>
      </c>
      <c r="O114" s="120">
        <v>0</v>
      </c>
      <c r="P114">
        <v>-7</v>
      </c>
    </row>
    <row r="115" spans="1:16">
      <c r="A115" t="s">
        <v>57</v>
      </c>
      <c r="B115">
        <v>51</v>
      </c>
      <c r="C115">
        <v>204</v>
      </c>
      <c r="D115">
        <v>201</v>
      </c>
      <c r="E115">
        <v>45</v>
      </c>
      <c r="F115">
        <v>164</v>
      </c>
      <c r="G115">
        <v>200</v>
      </c>
      <c r="H115">
        <v>351.8</v>
      </c>
      <c r="I115" s="14">
        <v>551.86014579074595</v>
      </c>
      <c r="J115">
        <v>184</v>
      </c>
      <c r="K115">
        <v>114</v>
      </c>
      <c r="L115">
        <v>185</v>
      </c>
      <c r="M115">
        <v>114</v>
      </c>
      <c r="N115" s="120">
        <v>0</v>
      </c>
      <c r="O115" s="120">
        <v>0</v>
      </c>
      <c r="P115">
        <v>2</v>
      </c>
    </row>
    <row r="116" spans="1:16">
      <c r="A116" t="s">
        <v>43</v>
      </c>
      <c r="B116">
        <v>32</v>
      </c>
      <c r="C116">
        <v>199</v>
      </c>
      <c r="D116">
        <v>161</v>
      </c>
      <c r="E116">
        <v>160</v>
      </c>
      <c r="F116">
        <v>185</v>
      </c>
      <c r="G116">
        <v>186</v>
      </c>
      <c r="H116">
        <v>366.2</v>
      </c>
      <c r="I116" s="14">
        <v>558.98157085716207</v>
      </c>
      <c r="J116">
        <v>195</v>
      </c>
      <c r="K116">
        <v>120</v>
      </c>
      <c r="L116">
        <v>189</v>
      </c>
      <c r="M116">
        <v>115</v>
      </c>
      <c r="N116" s="120">
        <v>0</v>
      </c>
      <c r="O116" s="120">
        <v>0</v>
      </c>
      <c r="P116">
        <v>-2</v>
      </c>
    </row>
    <row r="117" spans="1:16">
      <c r="A117" t="s">
        <v>168</v>
      </c>
      <c r="B117">
        <v>179</v>
      </c>
      <c r="C117">
        <v>19</v>
      </c>
      <c r="D117">
        <v>196</v>
      </c>
      <c r="E117">
        <v>108</v>
      </c>
      <c r="F117">
        <v>168</v>
      </c>
      <c r="G117">
        <v>188</v>
      </c>
      <c r="H117">
        <v>346.59999999999997</v>
      </c>
      <c r="I117" s="14">
        <v>559.18719257584485</v>
      </c>
      <c r="J117">
        <v>183</v>
      </c>
      <c r="K117">
        <v>113</v>
      </c>
      <c r="L117">
        <v>190</v>
      </c>
      <c r="M117">
        <v>116</v>
      </c>
      <c r="N117" s="120">
        <v>0</v>
      </c>
      <c r="O117" s="120">
        <v>0</v>
      </c>
      <c r="P117">
        <v>6</v>
      </c>
    </row>
    <row r="118" spans="1:16">
      <c r="A118" t="s">
        <v>103</v>
      </c>
      <c r="B118">
        <v>127</v>
      </c>
      <c r="C118">
        <v>79</v>
      </c>
      <c r="D118">
        <v>189</v>
      </c>
      <c r="E118">
        <v>146</v>
      </c>
      <c r="F118">
        <v>158</v>
      </c>
      <c r="G118">
        <v>185</v>
      </c>
      <c r="H118">
        <v>356.9</v>
      </c>
      <c r="I118" s="14">
        <v>561.36629882910154</v>
      </c>
      <c r="J118">
        <v>188</v>
      </c>
      <c r="K118">
        <v>116</v>
      </c>
      <c r="L118">
        <v>191</v>
      </c>
      <c r="M118">
        <v>117</v>
      </c>
      <c r="N118" s="120">
        <v>0</v>
      </c>
      <c r="O118" s="120">
        <v>0</v>
      </c>
      <c r="P118">
        <v>13</v>
      </c>
    </row>
    <row r="119" spans="1:16">
      <c r="A119" t="s">
        <v>136</v>
      </c>
      <c r="B119">
        <v>152</v>
      </c>
      <c r="C119">
        <v>110</v>
      </c>
      <c r="D119">
        <v>165</v>
      </c>
      <c r="E119">
        <v>191</v>
      </c>
      <c r="F119">
        <v>96</v>
      </c>
      <c r="G119">
        <v>193</v>
      </c>
      <c r="H119">
        <v>361.29999999999995</v>
      </c>
      <c r="I119" s="14">
        <v>571.63655660148584</v>
      </c>
      <c r="J119">
        <v>193</v>
      </c>
      <c r="K119">
        <v>118</v>
      </c>
      <c r="L119">
        <v>193</v>
      </c>
      <c r="M119">
        <v>118</v>
      </c>
      <c r="N119" s="120">
        <v>0</v>
      </c>
      <c r="O119" s="120">
        <v>0</v>
      </c>
      <c r="P119">
        <v>2</v>
      </c>
    </row>
    <row r="120" spans="1:16">
      <c r="A120" t="s">
        <v>173</v>
      </c>
      <c r="B120">
        <v>186</v>
      </c>
      <c r="C120">
        <v>62</v>
      </c>
      <c r="D120">
        <v>206</v>
      </c>
      <c r="E120">
        <v>22</v>
      </c>
      <c r="F120">
        <v>202</v>
      </c>
      <c r="G120">
        <v>204</v>
      </c>
      <c r="H120">
        <v>357.8</v>
      </c>
      <c r="I120" s="14">
        <v>578.89341145295703</v>
      </c>
      <c r="J120">
        <v>191</v>
      </c>
      <c r="K120">
        <v>117</v>
      </c>
      <c r="L120">
        <v>194</v>
      </c>
      <c r="M120">
        <v>119</v>
      </c>
      <c r="N120" s="120">
        <v>0</v>
      </c>
      <c r="O120" s="120">
        <v>0</v>
      </c>
      <c r="P120" t="e">
        <v>#N/A</v>
      </c>
    </row>
    <row r="121" spans="1:16">
      <c r="A121" t="s">
        <v>94</v>
      </c>
      <c r="B121">
        <v>141</v>
      </c>
      <c r="C121">
        <v>201</v>
      </c>
      <c r="D121">
        <v>200</v>
      </c>
      <c r="E121">
        <v>173</v>
      </c>
      <c r="F121">
        <v>35</v>
      </c>
      <c r="G121">
        <v>179</v>
      </c>
      <c r="H121">
        <v>394.2</v>
      </c>
      <c r="I121" s="14">
        <v>579.93776647118875</v>
      </c>
      <c r="J121">
        <v>202</v>
      </c>
      <c r="K121">
        <v>122</v>
      </c>
      <c r="L121">
        <v>195</v>
      </c>
      <c r="M121">
        <v>120</v>
      </c>
      <c r="N121" s="120">
        <v>0</v>
      </c>
      <c r="O121" s="120">
        <v>0</v>
      </c>
      <c r="P121">
        <v>-11</v>
      </c>
    </row>
    <row r="122" spans="1:16">
      <c r="A122" t="s">
        <v>177</v>
      </c>
      <c r="B122">
        <v>185</v>
      </c>
      <c r="C122">
        <v>8</v>
      </c>
      <c r="D122">
        <v>164</v>
      </c>
      <c r="E122">
        <v>159</v>
      </c>
      <c r="F122">
        <v>200</v>
      </c>
      <c r="G122">
        <v>201</v>
      </c>
      <c r="H122">
        <v>354.90000000000003</v>
      </c>
      <c r="I122" s="14">
        <v>585.08628516655494</v>
      </c>
      <c r="J122">
        <v>185</v>
      </c>
      <c r="K122">
        <v>115</v>
      </c>
      <c r="L122">
        <v>197</v>
      </c>
      <c r="M122">
        <v>121</v>
      </c>
      <c r="N122" s="120">
        <v>0</v>
      </c>
      <c r="O122" s="120">
        <v>0</v>
      </c>
      <c r="P122">
        <v>4</v>
      </c>
    </row>
    <row r="123" spans="1:16">
      <c r="A123" t="s">
        <v>37</v>
      </c>
      <c r="B123">
        <v>78</v>
      </c>
      <c r="C123">
        <v>194</v>
      </c>
      <c r="D123">
        <v>192</v>
      </c>
      <c r="E123">
        <v>190</v>
      </c>
      <c r="F123">
        <v>109</v>
      </c>
      <c r="G123">
        <v>194</v>
      </c>
      <c r="H123">
        <v>390</v>
      </c>
      <c r="I123" s="14">
        <v>592.89545811346829</v>
      </c>
      <c r="J123">
        <v>201</v>
      </c>
      <c r="K123">
        <v>121</v>
      </c>
      <c r="L123">
        <v>201</v>
      </c>
      <c r="M123">
        <v>122</v>
      </c>
      <c r="N123" s="120">
        <v>0</v>
      </c>
      <c r="O123" s="120">
        <v>0</v>
      </c>
      <c r="P123">
        <v>3</v>
      </c>
    </row>
    <row r="124" spans="1:16">
      <c r="A124" t="s">
        <v>153</v>
      </c>
      <c r="B124">
        <v>150</v>
      </c>
      <c r="C124">
        <v>158</v>
      </c>
      <c r="D124">
        <v>203</v>
      </c>
      <c r="E124">
        <v>164</v>
      </c>
      <c r="F124">
        <v>114</v>
      </c>
      <c r="G124">
        <v>199</v>
      </c>
      <c r="H124">
        <v>407.30000000000007</v>
      </c>
      <c r="I124" s="14">
        <v>619.62088690685823</v>
      </c>
      <c r="J124">
        <v>203</v>
      </c>
      <c r="K124">
        <v>123</v>
      </c>
      <c r="L124">
        <v>202</v>
      </c>
      <c r="M124">
        <v>123</v>
      </c>
      <c r="N124" s="120">
        <v>0</v>
      </c>
      <c r="O124" s="120">
        <v>0</v>
      </c>
      <c r="P124">
        <v>10</v>
      </c>
    </row>
    <row r="125" spans="1:16">
      <c r="A125" t="s">
        <v>169</v>
      </c>
      <c r="B125">
        <v>189</v>
      </c>
      <c r="C125">
        <v>174</v>
      </c>
      <c r="D125">
        <v>190</v>
      </c>
      <c r="E125">
        <v>100</v>
      </c>
      <c r="F125">
        <v>163</v>
      </c>
      <c r="G125">
        <v>202</v>
      </c>
      <c r="H125">
        <v>419.7</v>
      </c>
      <c r="I125" s="14">
        <v>632.16373896747791</v>
      </c>
      <c r="J125">
        <v>204</v>
      </c>
      <c r="K125">
        <v>124</v>
      </c>
      <c r="L125">
        <v>204</v>
      </c>
      <c r="M125">
        <v>124</v>
      </c>
      <c r="N125" s="120">
        <v>0</v>
      </c>
      <c r="O125" s="120">
        <v>2.7027027027027029E-2</v>
      </c>
      <c r="P125">
        <v>-1</v>
      </c>
    </row>
    <row r="126" spans="1:16">
      <c r="A126" t="s">
        <v>248</v>
      </c>
      <c r="B126">
        <v>118</v>
      </c>
      <c r="C126">
        <v>203</v>
      </c>
      <c r="D126">
        <v>202</v>
      </c>
      <c r="E126">
        <v>146</v>
      </c>
      <c r="F126">
        <v>184</v>
      </c>
      <c r="G126">
        <v>198</v>
      </c>
      <c r="H126">
        <v>433.9</v>
      </c>
      <c r="I126" s="14">
        <v>641.6788553660366</v>
      </c>
      <c r="J126">
        <v>206</v>
      </c>
      <c r="K126">
        <v>125</v>
      </c>
      <c r="L126">
        <v>205</v>
      </c>
      <c r="M126">
        <v>125</v>
      </c>
      <c r="N126" s="120" t="e">
        <v>#N/A</v>
      </c>
      <c r="O126" s="120" t="e">
        <v>#N/A</v>
      </c>
      <c r="P126">
        <v>6</v>
      </c>
    </row>
  </sheetData>
  <autoFilter ref="A1:S126" xr:uid="{FE4BF24C-8AB4-4AD9-B2BE-5159F7BEF651}">
    <sortState xmlns:xlrd2="http://schemas.microsoft.com/office/spreadsheetml/2017/richdata2" ref="A2:S126">
      <sortCondition ref="Q1:Q126"/>
    </sortState>
  </autoFilter>
  <conditionalFormatting sqref="N2:O1048576">
    <cfRule type="cellIs" dxfId="153" priority="16" operator="greaterThanOrEqual">
      <formula>20%</formula>
    </cfRule>
    <cfRule type="cellIs" dxfId="152" priority="17" operator="between">
      <formula>10%</formula>
      <formula>20%</formula>
    </cfRule>
    <cfRule type="cellIs" dxfId="151" priority="19" operator="between">
      <formula>0.01%</formula>
      <formula>10%</formula>
    </cfRule>
  </conditionalFormatting>
  <conditionalFormatting sqref="B1:F1 B2:G1048576 J1 J3:J1048576">
    <cfRule type="cellIs" dxfId="150" priority="21" operator="between">
      <formula>101</formula>
      <formula>250</formula>
    </cfRule>
    <cfRule type="cellIs" dxfId="149" priority="22" operator="between">
      <formula>51</formula>
      <formula>100.5</formula>
    </cfRule>
    <cfRule type="cellIs" dxfId="148" priority="23" operator="between">
      <formula>21</formula>
      <formula>50.5</formula>
    </cfRule>
    <cfRule type="cellIs" dxfId="147" priority="24"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0ACE3-5665-4991-BFDD-8C1027B0C91F}">
  <sheetPr codeName="Sheet45">
    <tabColor rgb="FF92D050"/>
  </sheetPr>
  <dimension ref="A1:V144"/>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20" t="s">
        <v>15</v>
      </c>
      <c r="B2">
        <v>13</v>
      </c>
      <c r="C2">
        <v>27</v>
      </c>
      <c r="D2">
        <v>121</v>
      </c>
      <c r="E2">
        <v>4</v>
      </c>
      <c r="F2">
        <v>16</v>
      </c>
      <c r="G2">
        <v>3</v>
      </c>
      <c r="H2">
        <v>116.89999999999998</v>
      </c>
      <c r="I2" s="14">
        <v>122.06235715660739</v>
      </c>
      <c r="J2">
        <v>3</v>
      </c>
      <c r="K2">
        <v>1</v>
      </c>
      <c r="L2">
        <v>5</v>
      </c>
      <c r="M2">
        <v>2</v>
      </c>
      <c r="N2" s="120">
        <v>0.05</v>
      </c>
      <c r="O2" s="120">
        <v>0.1</v>
      </c>
      <c r="P2">
        <v>1</v>
      </c>
      <c r="Q2">
        <v>1</v>
      </c>
    </row>
    <row r="3" spans="1:22">
      <c r="A3" t="s">
        <v>28</v>
      </c>
      <c r="B3">
        <v>11</v>
      </c>
      <c r="C3">
        <v>103</v>
      </c>
      <c r="D3">
        <v>75</v>
      </c>
      <c r="E3">
        <v>108</v>
      </c>
      <c r="F3">
        <v>157</v>
      </c>
      <c r="G3">
        <v>75</v>
      </c>
      <c r="H3">
        <v>233.4</v>
      </c>
      <c r="I3" s="14">
        <v>299.86195593484183</v>
      </c>
      <c r="J3">
        <v>47</v>
      </c>
      <c r="K3">
        <v>28</v>
      </c>
      <c r="L3">
        <v>67</v>
      </c>
      <c r="M3">
        <v>42</v>
      </c>
      <c r="N3" s="120">
        <v>0</v>
      </c>
      <c r="O3" s="120">
        <v>3.3333333333333333E-2</v>
      </c>
      <c r="P3">
        <v>-26</v>
      </c>
      <c r="Q3">
        <v>2</v>
      </c>
    </row>
    <row r="4" spans="1:22">
      <c r="A4" t="s">
        <v>132</v>
      </c>
      <c r="B4">
        <v>127</v>
      </c>
      <c r="C4">
        <v>97</v>
      </c>
      <c r="D4">
        <v>54</v>
      </c>
      <c r="E4">
        <v>60</v>
      </c>
      <c r="F4">
        <v>51</v>
      </c>
      <c r="G4">
        <v>62</v>
      </c>
      <c r="H4">
        <v>224.7</v>
      </c>
      <c r="I4" s="14">
        <v>261.90748842871307</v>
      </c>
      <c r="J4">
        <v>38</v>
      </c>
      <c r="K4">
        <v>25</v>
      </c>
      <c r="L4">
        <v>42</v>
      </c>
      <c r="M4">
        <v>24</v>
      </c>
      <c r="N4" s="120">
        <v>0</v>
      </c>
      <c r="O4" s="120">
        <v>3.4482758620689655E-2</v>
      </c>
      <c r="P4">
        <v>37</v>
      </c>
      <c r="Q4">
        <v>3</v>
      </c>
    </row>
    <row r="5" spans="1:22">
      <c r="A5" t="s">
        <v>73</v>
      </c>
      <c r="B5">
        <v>169</v>
      </c>
      <c r="C5">
        <v>132</v>
      </c>
      <c r="D5">
        <v>199</v>
      </c>
      <c r="E5">
        <v>84</v>
      </c>
      <c r="F5">
        <v>137</v>
      </c>
      <c r="G5">
        <v>197</v>
      </c>
      <c r="H5">
        <v>425.70000000000005</v>
      </c>
      <c r="I5" s="14">
        <v>592.48506670663915</v>
      </c>
      <c r="J5">
        <v>202</v>
      </c>
      <c r="K5">
        <v>136</v>
      </c>
      <c r="L5">
        <v>200</v>
      </c>
      <c r="M5">
        <v>136</v>
      </c>
      <c r="N5" s="120">
        <v>0</v>
      </c>
      <c r="O5" s="120">
        <v>4.3478260869565216E-2</v>
      </c>
      <c r="P5" t="e">
        <v>#N/A</v>
      </c>
      <c r="Q5">
        <v>3</v>
      </c>
    </row>
    <row r="6" spans="1:22">
      <c r="A6" t="s">
        <v>63</v>
      </c>
      <c r="B6">
        <v>38</v>
      </c>
      <c r="C6">
        <v>100</v>
      </c>
      <c r="D6">
        <v>163</v>
      </c>
      <c r="E6">
        <v>54</v>
      </c>
      <c r="F6">
        <v>7</v>
      </c>
      <c r="G6">
        <v>13</v>
      </c>
      <c r="H6">
        <v>215.79999999999998</v>
      </c>
      <c r="I6" s="14">
        <v>227.93131862062492</v>
      </c>
      <c r="J6">
        <v>28</v>
      </c>
      <c r="K6">
        <v>18</v>
      </c>
      <c r="L6">
        <v>27</v>
      </c>
      <c r="M6">
        <v>15</v>
      </c>
      <c r="N6" s="120">
        <v>0</v>
      </c>
      <c r="O6" s="120">
        <v>9.375E-2</v>
      </c>
      <c r="P6">
        <v>8</v>
      </c>
      <c r="Q6">
        <v>5</v>
      </c>
    </row>
    <row r="7" spans="1:22">
      <c r="A7" t="s">
        <v>124</v>
      </c>
      <c r="B7">
        <v>149</v>
      </c>
      <c r="C7">
        <v>4</v>
      </c>
      <c r="D7">
        <v>7</v>
      </c>
      <c r="E7">
        <v>19</v>
      </c>
      <c r="F7">
        <v>129</v>
      </c>
      <c r="G7">
        <v>5</v>
      </c>
      <c r="H7">
        <v>183.3</v>
      </c>
      <c r="I7" s="14">
        <v>155.55433196308741</v>
      </c>
      <c r="J7">
        <v>13</v>
      </c>
      <c r="K7">
        <v>8</v>
      </c>
      <c r="L7">
        <v>7</v>
      </c>
      <c r="M7">
        <v>4</v>
      </c>
      <c r="N7" s="120">
        <v>3.7037037037037035E-2</v>
      </c>
      <c r="O7" s="120">
        <v>7.407407407407407E-2</v>
      </c>
      <c r="P7">
        <v>1</v>
      </c>
      <c r="Q7">
        <v>6</v>
      </c>
    </row>
    <row r="8" spans="1:22">
      <c r="A8" t="s">
        <v>149</v>
      </c>
      <c r="B8">
        <v>180</v>
      </c>
      <c r="C8">
        <v>108</v>
      </c>
      <c r="D8">
        <v>53</v>
      </c>
      <c r="E8">
        <v>26</v>
      </c>
      <c r="F8">
        <v>61</v>
      </c>
      <c r="G8">
        <v>56</v>
      </c>
      <c r="H8">
        <v>258</v>
      </c>
      <c r="I8" s="14">
        <v>276.41307492510964</v>
      </c>
      <c r="J8">
        <v>67</v>
      </c>
      <c r="K8">
        <v>41</v>
      </c>
      <c r="L8">
        <v>48</v>
      </c>
      <c r="M8">
        <v>29</v>
      </c>
      <c r="N8" s="120">
        <v>0</v>
      </c>
      <c r="O8" s="120">
        <v>2.8571428571428571E-2</v>
      </c>
      <c r="P8">
        <v>9</v>
      </c>
      <c r="Q8">
        <v>6</v>
      </c>
    </row>
    <row r="9" spans="1:22">
      <c r="A9" t="s">
        <v>126</v>
      </c>
      <c r="B9">
        <v>105</v>
      </c>
      <c r="C9">
        <v>26</v>
      </c>
      <c r="D9">
        <v>90</v>
      </c>
      <c r="E9">
        <v>153</v>
      </c>
      <c r="F9">
        <v>133</v>
      </c>
      <c r="G9">
        <v>112</v>
      </c>
      <c r="H9">
        <v>277.2</v>
      </c>
      <c r="I9" s="14">
        <v>375.94982161367398</v>
      </c>
      <c r="J9">
        <v>91</v>
      </c>
      <c r="K9">
        <v>61</v>
      </c>
      <c r="L9">
        <v>104</v>
      </c>
      <c r="M9">
        <v>70</v>
      </c>
      <c r="N9" s="120">
        <v>0</v>
      </c>
      <c r="O9" s="120">
        <v>0</v>
      </c>
      <c r="P9">
        <v>63</v>
      </c>
      <c r="Q9">
        <v>6</v>
      </c>
    </row>
    <row r="10" spans="1:22">
      <c r="A10" t="s">
        <v>11</v>
      </c>
      <c r="B10">
        <v>20</v>
      </c>
      <c r="C10">
        <v>140</v>
      </c>
      <c r="D10">
        <v>114</v>
      </c>
      <c r="E10">
        <v>207</v>
      </c>
      <c r="F10">
        <v>99</v>
      </c>
      <c r="G10">
        <v>148</v>
      </c>
      <c r="H10">
        <v>296.10000000000002</v>
      </c>
      <c r="I10" s="14">
        <v>444.37507165003257</v>
      </c>
      <c r="J10">
        <v>110</v>
      </c>
      <c r="K10">
        <v>74</v>
      </c>
      <c r="L10">
        <v>135</v>
      </c>
      <c r="M10">
        <v>89</v>
      </c>
      <c r="N10" s="120">
        <v>0</v>
      </c>
      <c r="O10" s="120">
        <v>0</v>
      </c>
      <c r="P10">
        <v>-7</v>
      </c>
      <c r="Q10">
        <v>6</v>
      </c>
    </row>
    <row r="11" spans="1:22">
      <c r="A11" t="s">
        <v>65</v>
      </c>
      <c r="B11">
        <v>118</v>
      </c>
      <c r="C11">
        <v>145</v>
      </c>
      <c r="D11">
        <v>212</v>
      </c>
      <c r="E11">
        <v>193</v>
      </c>
      <c r="F11">
        <v>206</v>
      </c>
      <c r="G11">
        <v>211</v>
      </c>
      <c r="H11">
        <v>483.7</v>
      </c>
      <c r="I11" s="14">
        <v>675.46429872018825</v>
      </c>
      <c r="J11">
        <v>211</v>
      </c>
      <c r="K11">
        <v>142</v>
      </c>
      <c r="L11">
        <v>212</v>
      </c>
      <c r="M11">
        <v>143</v>
      </c>
      <c r="N11" s="120">
        <v>0</v>
      </c>
      <c r="O11" s="120">
        <v>0</v>
      </c>
      <c r="P11">
        <v>-1</v>
      </c>
      <c r="Q11">
        <v>6</v>
      </c>
    </row>
    <row r="12" spans="1:22">
      <c r="A12" s="20" t="s">
        <v>92</v>
      </c>
      <c r="B12">
        <v>73</v>
      </c>
      <c r="C12">
        <v>35</v>
      </c>
      <c r="D12">
        <v>17</v>
      </c>
      <c r="E12">
        <v>21</v>
      </c>
      <c r="F12">
        <v>79</v>
      </c>
      <c r="G12">
        <v>11</v>
      </c>
      <c r="H12">
        <v>128.4</v>
      </c>
      <c r="I12" s="14">
        <v>121.45415318452592</v>
      </c>
      <c r="J12">
        <v>5</v>
      </c>
      <c r="K12">
        <v>2</v>
      </c>
      <c r="L12">
        <v>4</v>
      </c>
      <c r="M12">
        <v>1</v>
      </c>
      <c r="N12" s="120">
        <v>0</v>
      </c>
      <c r="O12" s="120">
        <v>6.0606060606060608E-2</v>
      </c>
      <c r="P12">
        <v>2</v>
      </c>
    </row>
    <row r="13" spans="1:22">
      <c r="A13" s="20" t="s">
        <v>69</v>
      </c>
      <c r="B13">
        <v>130</v>
      </c>
      <c r="C13">
        <v>18</v>
      </c>
      <c r="D13">
        <v>12</v>
      </c>
      <c r="E13">
        <v>87</v>
      </c>
      <c r="F13">
        <v>7</v>
      </c>
      <c r="G13">
        <v>2</v>
      </c>
      <c r="H13">
        <v>146.70000000000002</v>
      </c>
      <c r="I13" s="14">
        <v>131.51949259749679</v>
      </c>
      <c r="J13">
        <v>6</v>
      </c>
      <c r="K13">
        <v>3</v>
      </c>
      <c r="L13">
        <v>6</v>
      </c>
      <c r="M13">
        <v>3</v>
      </c>
      <c r="N13" s="120">
        <v>4.1666666666666664E-2</v>
      </c>
      <c r="O13" s="120">
        <v>8.3333333333333329E-2</v>
      </c>
      <c r="P13">
        <v>-1</v>
      </c>
    </row>
    <row r="14" spans="1:22">
      <c r="A14" t="s">
        <v>68</v>
      </c>
      <c r="B14">
        <v>61</v>
      </c>
      <c r="C14">
        <v>24</v>
      </c>
      <c r="D14">
        <v>9</v>
      </c>
      <c r="E14">
        <v>123</v>
      </c>
      <c r="F14">
        <v>105</v>
      </c>
      <c r="G14">
        <v>30</v>
      </c>
      <c r="H14">
        <v>162.69999999999999</v>
      </c>
      <c r="I14" s="14">
        <v>182.16396471899446</v>
      </c>
      <c r="J14">
        <v>7</v>
      </c>
      <c r="K14">
        <v>4</v>
      </c>
      <c r="L14">
        <v>9</v>
      </c>
      <c r="M14">
        <v>6</v>
      </c>
      <c r="N14" s="120">
        <v>0</v>
      </c>
      <c r="O14" s="120">
        <v>4.1666666666666664E-2</v>
      </c>
      <c r="P14">
        <v>-12</v>
      </c>
    </row>
    <row r="15" spans="1:22">
      <c r="A15" t="s">
        <v>44</v>
      </c>
      <c r="B15">
        <v>28</v>
      </c>
      <c r="C15">
        <v>54</v>
      </c>
      <c r="D15">
        <v>20</v>
      </c>
      <c r="E15">
        <v>61</v>
      </c>
      <c r="F15">
        <v>175</v>
      </c>
      <c r="G15">
        <v>41</v>
      </c>
      <c r="H15">
        <v>172.5</v>
      </c>
      <c r="I15" s="14">
        <v>197.96677129379043</v>
      </c>
      <c r="J15">
        <v>8</v>
      </c>
      <c r="K15">
        <v>5</v>
      </c>
      <c r="L15">
        <v>17</v>
      </c>
      <c r="M15">
        <v>11</v>
      </c>
      <c r="N15" s="120">
        <v>0</v>
      </c>
      <c r="O15" s="120">
        <v>7.6923076923076927E-2</v>
      </c>
      <c r="P15">
        <v>3</v>
      </c>
    </row>
    <row r="16" spans="1:22">
      <c r="A16" t="s">
        <v>40</v>
      </c>
      <c r="B16">
        <v>21</v>
      </c>
      <c r="C16">
        <v>23</v>
      </c>
      <c r="D16">
        <v>125</v>
      </c>
      <c r="E16">
        <v>146</v>
      </c>
      <c r="F16">
        <v>5</v>
      </c>
      <c r="G16">
        <v>8</v>
      </c>
      <c r="H16">
        <v>174.60000000000002</v>
      </c>
      <c r="I16" s="14">
        <v>194.26691362572191</v>
      </c>
      <c r="J16">
        <v>9</v>
      </c>
      <c r="K16">
        <v>6</v>
      </c>
      <c r="L16">
        <v>10</v>
      </c>
      <c r="M16">
        <v>7</v>
      </c>
      <c r="N16" s="120">
        <v>0</v>
      </c>
      <c r="O16" s="120">
        <v>4.7619047619047616E-2</v>
      </c>
      <c r="P16">
        <v>-5</v>
      </c>
    </row>
    <row r="17" spans="1:16">
      <c r="A17" t="s">
        <v>128</v>
      </c>
      <c r="B17">
        <v>98</v>
      </c>
      <c r="C17">
        <v>7</v>
      </c>
      <c r="D17">
        <v>3</v>
      </c>
      <c r="E17">
        <v>64</v>
      </c>
      <c r="F17">
        <v>158</v>
      </c>
      <c r="G17">
        <v>18</v>
      </c>
      <c r="H17">
        <v>178.79999999999998</v>
      </c>
      <c r="I17" s="14">
        <v>173.22668103213283</v>
      </c>
      <c r="J17">
        <v>10</v>
      </c>
      <c r="K17">
        <v>7</v>
      </c>
      <c r="L17">
        <v>8</v>
      </c>
      <c r="M17">
        <v>5</v>
      </c>
      <c r="N17" s="120">
        <v>3.3333333333333333E-2</v>
      </c>
      <c r="O17" s="120">
        <v>6.6666666666666666E-2</v>
      </c>
      <c r="P17">
        <v>40</v>
      </c>
    </row>
    <row r="18" spans="1:16">
      <c r="A18" t="s">
        <v>141</v>
      </c>
      <c r="B18">
        <v>124</v>
      </c>
      <c r="C18">
        <v>32</v>
      </c>
      <c r="D18">
        <v>10</v>
      </c>
      <c r="E18">
        <v>145</v>
      </c>
      <c r="F18">
        <v>37</v>
      </c>
      <c r="G18">
        <v>32</v>
      </c>
      <c r="H18">
        <v>186.3</v>
      </c>
      <c r="I18" s="14">
        <v>202.81827691254921</v>
      </c>
      <c r="J18">
        <v>14</v>
      </c>
      <c r="K18">
        <v>9</v>
      </c>
      <c r="L18">
        <v>20</v>
      </c>
      <c r="M18">
        <v>13</v>
      </c>
      <c r="N18" s="120">
        <v>0</v>
      </c>
      <c r="O18" s="120">
        <v>7.1428571428571425E-2</v>
      </c>
      <c r="P18">
        <v>5</v>
      </c>
    </row>
    <row r="19" spans="1:16">
      <c r="A19" t="s">
        <v>154</v>
      </c>
      <c r="B19">
        <v>114</v>
      </c>
      <c r="C19">
        <v>8</v>
      </c>
      <c r="D19">
        <v>51</v>
      </c>
      <c r="E19">
        <v>72</v>
      </c>
      <c r="F19">
        <v>80</v>
      </c>
      <c r="G19">
        <v>25</v>
      </c>
      <c r="H19">
        <v>188.3</v>
      </c>
      <c r="I19" s="14">
        <v>195.76076817563106</v>
      </c>
      <c r="J19">
        <v>17</v>
      </c>
      <c r="K19">
        <v>10</v>
      </c>
      <c r="L19">
        <v>12</v>
      </c>
      <c r="M19">
        <v>8</v>
      </c>
      <c r="N19" s="120">
        <v>0</v>
      </c>
      <c r="O19" s="120">
        <v>7.1428571428571425E-2</v>
      </c>
      <c r="P19">
        <v>1</v>
      </c>
    </row>
    <row r="20" spans="1:16">
      <c r="A20" t="s">
        <v>139</v>
      </c>
      <c r="B20">
        <v>114</v>
      </c>
      <c r="C20">
        <v>40</v>
      </c>
      <c r="D20">
        <v>1</v>
      </c>
      <c r="E20">
        <v>197</v>
      </c>
      <c r="F20">
        <v>39</v>
      </c>
      <c r="G20">
        <v>10</v>
      </c>
      <c r="H20">
        <v>198.8</v>
      </c>
      <c r="I20" s="14">
        <v>197.25852774581955</v>
      </c>
      <c r="J20">
        <v>20</v>
      </c>
      <c r="K20">
        <v>11</v>
      </c>
      <c r="L20">
        <v>15</v>
      </c>
      <c r="M20">
        <v>9</v>
      </c>
      <c r="N20" s="120">
        <v>0</v>
      </c>
      <c r="O20" s="120">
        <v>9.0909090909090912E-2</v>
      </c>
      <c r="P20">
        <v>2</v>
      </c>
    </row>
    <row r="21" spans="1:16">
      <c r="A21" t="s">
        <v>71</v>
      </c>
      <c r="B21">
        <v>70</v>
      </c>
      <c r="C21">
        <v>136</v>
      </c>
      <c r="D21">
        <v>44</v>
      </c>
      <c r="E21">
        <v>103</v>
      </c>
      <c r="F21">
        <v>27</v>
      </c>
      <c r="G21">
        <v>9</v>
      </c>
      <c r="H21">
        <v>202.5</v>
      </c>
      <c r="I21" s="14">
        <v>197.48646783786577</v>
      </c>
      <c r="J21">
        <v>21</v>
      </c>
      <c r="K21">
        <v>12</v>
      </c>
      <c r="L21">
        <v>16</v>
      </c>
      <c r="M21">
        <v>10</v>
      </c>
      <c r="N21" s="120">
        <v>0</v>
      </c>
      <c r="O21" s="120">
        <v>5.7142857142857141E-2</v>
      </c>
      <c r="P21">
        <v>11</v>
      </c>
    </row>
    <row r="22" spans="1:16">
      <c r="A22" t="s">
        <v>188</v>
      </c>
      <c r="B22">
        <v>197</v>
      </c>
      <c r="C22">
        <v>17</v>
      </c>
      <c r="D22">
        <v>47</v>
      </c>
      <c r="E22">
        <v>17</v>
      </c>
      <c r="F22">
        <v>35</v>
      </c>
      <c r="G22">
        <v>28</v>
      </c>
      <c r="H22">
        <v>203.6</v>
      </c>
      <c r="I22" s="14">
        <v>198.58128633248663</v>
      </c>
      <c r="J22">
        <v>22</v>
      </c>
      <c r="K22">
        <v>13</v>
      </c>
      <c r="L22">
        <v>18</v>
      </c>
      <c r="M22">
        <v>12</v>
      </c>
      <c r="N22" s="120">
        <v>0</v>
      </c>
      <c r="O22" s="120">
        <v>6.4516129032258063E-2</v>
      </c>
      <c r="P22">
        <v>-5</v>
      </c>
    </row>
    <row r="23" spans="1:16">
      <c r="A23" t="s">
        <v>46</v>
      </c>
      <c r="B23">
        <v>5</v>
      </c>
      <c r="C23">
        <v>161</v>
      </c>
      <c r="D23">
        <v>91</v>
      </c>
      <c r="E23">
        <v>46</v>
      </c>
      <c r="F23">
        <v>78</v>
      </c>
      <c r="G23">
        <v>36</v>
      </c>
      <c r="H23">
        <v>205.1</v>
      </c>
      <c r="I23" s="14">
        <v>231.64599786245998</v>
      </c>
      <c r="J23">
        <v>24</v>
      </c>
      <c r="K23">
        <v>14</v>
      </c>
      <c r="L23">
        <v>30</v>
      </c>
      <c r="M23">
        <v>18</v>
      </c>
      <c r="N23" s="120">
        <v>0</v>
      </c>
      <c r="O23" s="120">
        <v>6.8965517241379309E-2</v>
      </c>
      <c r="P23">
        <v>4</v>
      </c>
    </row>
    <row r="24" spans="1:16">
      <c r="A24" t="s">
        <v>22</v>
      </c>
      <c r="B24">
        <v>26</v>
      </c>
      <c r="C24">
        <v>63</v>
      </c>
      <c r="D24">
        <v>87</v>
      </c>
      <c r="E24">
        <v>114</v>
      </c>
      <c r="F24">
        <v>106</v>
      </c>
      <c r="G24">
        <v>53</v>
      </c>
      <c r="H24">
        <v>209.2</v>
      </c>
      <c r="I24" s="14">
        <v>258.69006858540331</v>
      </c>
      <c r="J24">
        <v>25</v>
      </c>
      <c r="K24">
        <v>15</v>
      </c>
      <c r="L24">
        <v>40</v>
      </c>
      <c r="M24">
        <v>23</v>
      </c>
      <c r="N24" s="120">
        <v>0</v>
      </c>
      <c r="O24" s="120">
        <v>2.8571428571428571E-2</v>
      </c>
      <c r="P24">
        <v>12</v>
      </c>
    </row>
    <row r="25" spans="1:16">
      <c r="A25" t="s">
        <v>21</v>
      </c>
      <c r="B25">
        <v>28</v>
      </c>
      <c r="C25">
        <v>173</v>
      </c>
      <c r="D25">
        <v>42</v>
      </c>
      <c r="E25">
        <v>159</v>
      </c>
      <c r="F25">
        <v>28</v>
      </c>
      <c r="G25">
        <v>24</v>
      </c>
      <c r="H25">
        <v>213.1</v>
      </c>
      <c r="I25" s="14">
        <v>231.08480122757854</v>
      </c>
      <c r="J25">
        <v>26</v>
      </c>
      <c r="K25">
        <v>16</v>
      </c>
      <c r="L25">
        <v>28</v>
      </c>
      <c r="M25">
        <v>16</v>
      </c>
      <c r="N25" s="120">
        <v>0</v>
      </c>
      <c r="O25" s="120">
        <v>2.8571428571428571E-2</v>
      </c>
      <c r="P25">
        <v>48</v>
      </c>
    </row>
    <row r="26" spans="1:16">
      <c r="A26" t="s">
        <v>29</v>
      </c>
      <c r="B26">
        <v>3</v>
      </c>
      <c r="C26">
        <v>137</v>
      </c>
      <c r="D26">
        <v>73</v>
      </c>
      <c r="E26">
        <v>118</v>
      </c>
      <c r="F26">
        <v>90</v>
      </c>
      <c r="G26">
        <v>47</v>
      </c>
      <c r="H26">
        <v>213.89999999999998</v>
      </c>
      <c r="I26" s="14">
        <v>256.47083734640796</v>
      </c>
      <c r="J26">
        <v>27</v>
      </c>
      <c r="K26">
        <v>17</v>
      </c>
      <c r="L26">
        <v>38</v>
      </c>
      <c r="M26">
        <v>22</v>
      </c>
      <c r="N26" s="120">
        <v>0</v>
      </c>
      <c r="O26" s="120">
        <v>0</v>
      </c>
      <c r="P26">
        <v>8</v>
      </c>
    </row>
    <row r="27" spans="1:16">
      <c r="A27" t="s">
        <v>35</v>
      </c>
      <c r="B27">
        <v>81</v>
      </c>
      <c r="C27">
        <v>49</v>
      </c>
      <c r="D27">
        <v>61</v>
      </c>
      <c r="E27">
        <v>36</v>
      </c>
      <c r="F27">
        <v>156</v>
      </c>
      <c r="G27">
        <v>37</v>
      </c>
      <c r="H27">
        <v>216.29999999999998</v>
      </c>
      <c r="I27" s="14">
        <v>231.24109500315765</v>
      </c>
      <c r="J27">
        <v>29</v>
      </c>
      <c r="K27">
        <v>19</v>
      </c>
      <c r="L27">
        <v>29</v>
      </c>
      <c r="M27">
        <v>17</v>
      </c>
      <c r="N27" s="120">
        <v>0</v>
      </c>
      <c r="O27" s="120">
        <v>0.13043478260869565</v>
      </c>
      <c r="P27">
        <v>15</v>
      </c>
    </row>
    <row r="28" spans="1:16">
      <c r="A28" t="s">
        <v>18</v>
      </c>
      <c r="B28">
        <v>8</v>
      </c>
      <c r="C28">
        <v>115</v>
      </c>
      <c r="D28">
        <v>116</v>
      </c>
      <c r="E28">
        <v>91</v>
      </c>
      <c r="F28">
        <v>73</v>
      </c>
      <c r="G28">
        <v>68</v>
      </c>
      <c r="H28">
        <v>217.2</v>
      </c>
      <c r="I28" s="14">
        <v>283.4286277616481</v>
      </c>
      <c r="J28">
        <v>30</v>
      </c>
      <c r="K28">
        <v>20</v>
      </c>
      <c r="L28">
        <v>56</v>
      </c>
      <c r="M28">
        <v>34</v>
      </c>
      <c r="N28" s="120">
        <v>0</v>
      </c>
      <c r="O28" s="120">
        <v>3.5714285714285712E-2</v>
      </c>
      <c r="P28">
        <v>17</v>
      </c>
    </row>
    <row r="29" spans="1:16">
      <c r="A29" t="s">
        <v>231</v>
      </c>
      <c r="B29">
        <v>86</v>
      </c>
      <c r="C29">
        <v>57</v>
      </c>
      <c r="D29">
        <v>165</v>
      </c>
      <c r="E29">
        <v>15</v>
      </c>
      <c r="F29">
        <v>18</v>
      </c>
      <c r="G29">
        <v>38</v>
      </c>
      <c r="H29">
        <v>219.2</v>
      </c>
      <c r="I29" s="14">
        <v>248.06350288337737</v>
      </c>
      <c r="J29">
        <v>31</v>
      </c>
      <c r="K29">
        <v>21</v>
      </c>
      <c r="L29">
        <v>34</v>
      </c>
      <c r="M29">
        <v>20</v>
      </c>
      <c r="N29" s="120">
        <v>0</v>
      </c>
      <c r="O29" s="120">
        <v>6.6666666666666666E-2</v>
      </c>
      <c r="P29">
        <v>-16</v>
      </c>
    </row>
    <row r="30" spans="1:16">
      <c r="A30" t="s">
        <v>183</v>
      </c>
      <c r="B30">
        <v>199</v>
      </c>
      <c r="C30">
        <v>52</v>
      </c>
      <c r="D30">
        <v>49</v>
      </c>
      <c r="E30">
        <v>39</v>
      </c>
      <c r="F30">
        <v>15</v>
      </c>
      <c r="G30">
        <v>29</v>
      </c>
      <c r="H30">
        <v>222.69999999999996</v>
      </c>
      <c r="I30" s="14">
        <v>218.80109920832081</v>
      </c>
      <c r="J30">
        <v>33</v>
      </c>
      <c r="K30">
        <v>22</v>
      </c>
      <c r="L30">
        <v>25</v>
      </c>
      <c r="M30">
        <v>14</v>
      </c>
      <c r="N30" s="120">
        <v>0</v>
      </c>
      <c r="O30" s="120">
        <v>6.0606060606060608E-2</v>
      </c>
      <c r="P30">
        <v>13</v>
      </c>
    </row>
    <row r="31" spans="1:16">
      <c r="A31" t="s">
        <v>90</v>
      </c>
      <c r="B31">
        <v>54</v>
      </c>
      <c r="C31">
        <v>55</v>
      </c>
      <c r="D31">
        <v>60</v>
      </c>
      <c r="E31">
        <v>165</v>
      </c>
      <c r="F31">
        <v>100</v>
      </c>
      <c r="G31">
        <v>93</v>
      </c>
      <c r="H31">
        <v>223.3</v>
      </c>
      <c r="I31" s="14">
        <v>310.89514716909036</v>
      </c>
      <c r="J31">
        <v>34</v>
      </c>
      <c r="K31">
        <v>23</v>
      </c>
      <c r="L31">
        <v>74</v>
      </c>
      <c r="M31">
        <v>48</v>
      </c>
      <c r="N31" s="120">
        <v>0</v>
      </c>
      <c r="O31" s="120">
        <v>6.0606060606060608E-2</v>
      </c>
      <c r="P31">
        <v>-6</v>
      </c>
    </row>
    <row r="32" spans="1:16">
      <c r="A32" t="s">
        <v>14</v>
      </c>
      <c r="B32">
        <v>16</v>
      </c>
      <c r="C32">
        <v>9</v>
      </c>
      <c r="D32">
        <v>140</v>
      </c>
      <c r="E32">
        <v>112</v>
      </c>
      <c r="F32">
        <v>132</v>
      </c>
      <c r="G32">
        <v>85</v>
      </c>
      <c r="H32">
        <v>224.5</v>
      </c>
      <c r="I32" s="14">
        <v>312.78065262916044</v>
      </c>
      <c r="J32">
        <v>36.5</v>
      </c>
      <c r="K32">
        <v>24</v>
      </c>
      <c r="L32">
        <v>76</v>
      </c>
      <c r="M32">
        <v>49</v>
      </c>
      <c r="N32" s="120">
        <v>0</v>
      </c>
      <c r="O32" s="120">
        <v>3.3333333333333333E-2</v>
      </c>
      <c r="P32">
        <v>-18</v>
      </c>
    </row>
    <row r="33" spans="1:16">
      <c r="A33" t="s">
        <v>9</v>
      </c>
      <c r="B33">
        <v>18</v>
      </c>
      <c r="C33">
        <v>143</v>
      </c>
      <c r="D33">
        <v>32</v>
      </c>
      <c r="E33">
        <v>136</v>
      </c>
      <c r="F33">
        <v>134</v>
      </c>
      <c r="G33">
        <v>50</v>
      </c>
      <c r="H33">
        <v>227.9</v>
      </c>
      <c r="I33" s="14">
        <v>266.22587281444157</v>
      </c>
      <c r="J33">
        <v>40</v>
      </c>
      <c r="K33">
        <v>26</v>
      </c>
      <c r="L33">
        <v>44</v>
      </c>
      <c r="M33">
        <v>26</v>
      </c>
      <c r="N33" s="120">
        <v>0</v>
      </c>
      <c r="O33" s="120">
        <v>0</v>
      </c>
      <c r="P33">
        <v>-3</v>
      </c>
    </row>
    <row r="34" spans="1:16">
      <c r="A34" t="s">
        <v>113</v>
      </c>
      <c r="B34">
        <v>76</v>
      </c>
      <c r="C34">
        <v>34</v>
      </c>
      <c r="D34">
        <v>108</v>
      </c>
      <c r="E34">
        <v>109</v>
      </c>
      <c r="F34">
        <v>86</v>
      </c>
      <c r="G34">
        <v>52</v>
      </c>
      <c r="H34">
        <v>232.39999999999998</v>
      </c>
      <c r="I34" s="14">
        <v>276.8427534432596</v>
      </c>
      <c r="J34">
        <v>45</v>
      </c>
      <c r="K34">
        <v>27</v>
      </c>
      <c r="L34">
        <v>49</v>
      </c>
      <c r="M34">
        <v>30</v>
      </c>
      <c r="N34" s="120">
        <v>0</v>
      </c>
      <c r="O34" s="120">
        <v>3.2258064516129031E-2</v>
      </c>
      <c r="P34">
        <v>-34</v>
      </c>
    </row>
    <row r="35" spans="1:16">
      <c r="A35" t="s">
        <v>161</v>
      </c>
      <c r="B35">
        <v>132</v>
      </c>
      <c r="C35">
        <v>68</v>
      </c>
      <c r="D35">
        <v>68</v>
      </c>
      <c r="E35">
        <v>38</v>
      </c>
      <c r="F35">
        <v>101</v>
      </c>
      <c r="G35">
        <v>77</v>
      </c>
      <c r="H35">
        <v>239.7</v>
      </c>
      <c r="I35" s="14">
        <v>289.02855431782973</v>
      </c>
      <c r="J35">
        <v>49.5</v>
      </c>
      <c r="K35">
        <v>29</v>
      </c>
      <c r="L35">
        <v>59</v>
      </c>
      <c r="M35">
        <v>36</v>
      </c>
      <c r="N35" s="120">
        <v>0</v>
      </c>
      <c r="O35" s="120">
        <v>0</v>
      </c>
      <c r="P35">
        <v>6</v>
      </c>
    </row>
    <row r="36" spans="1:16">
      <c r="A36" t="s">
        <v>38</v>
      </c>
      <c r="B36">
        <v>50</v>
      </c>
      <c r="C36">
        <v>149</v>
      </c>
      <c r="D36">
        <v>88</v>
      </c>
      <c r="E36">
        <v>67</v>
      </c>
      <c r="F36">
        <v>84</v>
      </c>
      <c r="G36">
        <v>39</v>
      </c>
      <c r="H36">
        <v>239.9</v>
      </c>
      <c r="I36" s="14">
        <v>263.53307615511784</v>
      </c>
      <c r="J36">
        <v>51</v>
      </c>
      <c r="K36">
        <v>30</v>
      </c>
      <c r="L36">
        <v>43</v>
      </c>
      <c r="M36">
        <v>25</v>
      </c>
      <c r="N36" s="120">
        <v>0</v>
      </c>
      <c r="O36" s="120">
        <v>6.0606060606060608E-2</v>
      </c>
      <c r="P36">
        <v>20</v>
      </c>
    </row>
    <row r="37" spans="1:16">
      <c r="A37" t="s">
        <v>26</v>
      </c>
      <c r="B37">
        <v>24</v>
      </c>
      <c r="C37">
        <v>60</v>
      </c>
      <c r="D37">
        <v>94</v>
      </c>
      <c r="E37">
        <v>99</v>
      </c>
      <c r="F37">
        <v>179</v>
      </c>
      <c r="G37">
        <v>70</v>
      </c>
      <c r="H37">
        <v>241.7</v>
      </c>
      <c r="I37" s="14">
        <v>303.06647302705767</v>
      </c>
      <c r="J37" s="16">
        <v>52</v>
      </c>
      <c r="K37">
        <v>31</v>
      </c>
      <c r="L37">
        <v>70</v>
      </c>
      <c r="M37">
        <v>44</v>
      </c>
      <c r="N37" s="120">
        <v>0</v>
      </c>
      <c r="O37" s="120">
        <v>4.3478260869565216E-2</v>
      </c>
      <c r="P37">
        <v>-7</v>
      </c>
    </row>
    <row r="38" spans="1:16">
      <c r="A38" t="s">
        <v>79</v>
      </c>
      <c r="B38">
        <v>74</v>
      </c>
      <c r="C38">
        <v>120</v>
      </c>
      <c r="D38">
        <v>115</v>
      </c>
      <c r="E38">
        <v>76</v>
      </c>
      <c r="F38">
        <v>47</v>
      </c>
      <c r="G38">
        <v>57</v>
      </c>
      <c r="H38">
        <v>246.20000000000002</v>
      </c>
      <c r="I38" s="14">
        <v>290.65899397682824</v>
      </c>
      <c r="J38">
        <v>54</v>
      </c>
      <c r="K38">
        <v>32</v>
      </c>
      <c r="L38">
        <v>61</v>
      </c>
      <c r="M38">
        <v>37</v>
      </c>
      <c r="N38" s="120">
        <v>0</v>
      </c>
      <c r="O38" s="120">
        <v>6.0606060606060608E-2</v>
      </c>
      <c r="P38">
        <v>14</v>
      </c>
    </row>
    <row r="39" spans="1:16">
      <c r="A39" t="s">
        <v>158</v>
      </c>
      <c r="B39">
        <v>135</v>
      </c>
      <c r="C39">
        <v>144</v>
      </c>
      <c r="D39">
        <v>22</v>
      </c>
      <c r="E39">
        <v>43</v>
      </c>
      <c r="F39">
        <v>96</v>
      </c>
      <c r="G39">
        <v>45</v>
      </c>
      <c r="H39">
        <v>247.1</v>
      </c>
      <c r="I39" s="14">
        <v>256.38108796868869</v>
      </c>
      <c r="J39">
        <v>55</v>
      </c>
      <c r="K39">
        <v>33</v>
      </c>
      <c r="L39">
        <v>37</v>
      </c>
      <c r="M39">
        <v>21</v>
      </c>
      <c r="N39" s="120">
        <v>0</v>
      </c>
      <c r="O39" s="120">
        <v>6.6666666666666666E-2</v>
      </c>
      <c r="P39">
        <v>32</v>
      </c>
    </row>
    <row r="40" spans="1:16">
      <c r="A40" t="s">
        <v>143</v>
      </c>
      <c r="B40">
        <v>184</v>
      </c>
      <c r="C40">
        <v>15</v>
      </c>
      <c r="D40">
        <v>89</v>
      </c>
      <c r="E40">
        <v>122</v>
      </c>
      <c r="F40">
        <v>9</v>
      </c>
      <c r="G40">
        <v>12</v>
      </c>
      <c r="H40">
        <v>251.89999999999998</v>
      </c>
      <c r="I40" s="14">
        <v>244.58867067338858</v>
      </c>
      <c r="J40">
        <v>57</v>
      </c>
      <c r="K40">
        <v>34</v>
      </c>
      <c r="L40">
        <v>33</v>
      </c>
      <c r="M40">
        <v>19</v>
      </c>
      <c r="N40" s="120">
        <v>0</v>
      </c>
      <c r="O40" s="120">
        <v>0.05</v>
      </c>
      <c r="P40">
        <v>-3</v>
      </c>
    </row>
    <row r="41" spans="1:16">
      <c r="A41" t="s">
        <v>237</v>
      </c>
      <c r="B41">
        <v>40</v>
      </c>
      <c r="C41">
        <v>67</v>
      </c>
      <c r="D41">
        <v>81</v>
      </c>
      <c r="E41">
        <v>110</v>
      </c>
      <c r="F41">
        <v>182</v>
      </c>
      <c r="G41">
        <v>109</v>
      </c>
      <c r="H41">
        <v>253.2</v>
      </c>
      <c r="I41" s="14">
        <v>350.11977752992044</v>
      </c>
      <c r="J41">
        <v>59</v>
      </c>
      <c r="K41">
        <v>35</v>
      </c>
      <c r="L41">
        <v>92</v>
      </c>
      <c r="M41">
        <v>60</v>
      </c>
      <c r="N41" s="120">
        <v>0</v>
      </c>
      <c r="O41" s="120">
        <v>0</v>
      </c>
      <c r="P41">
        <v>15</v>
      </c>
    </row>
    <row r="42" spans="1:16">
      <c r="A42" t="s">
        <v>20</v>
      </c>
      <c r="B42">
        <v>35</v>
      </c>
      <c r="C42">
        <v>171</v>
      </c>
      <c r="D42">
        <v>58</v>
      </c>
      <c r="E42">
        <v>52</v>
      </c>
      <c r="F42">
        <v>164</v>
      </c>
      <c r="G42">
        <v>74</v>
      </c>
      <c r="H42">
        <v>253.4</v>
      </c>
      <c r="I42" s="14">
        <v>304.61848467816287</v>
      </c>
      <c r="J42">
        <v>60</v>
      </c>
      <c r="K42">
        <v>36</v>
      </c>
      <c r="L42">
        <v>72</v>
      </c>
      <c r="M42">
        <v>46</v>
      </c>
      <c r="N42" s="120">
        <v>0</v>
      </c>
      <c r="O42" s="120">
        <v>3.8461538461538464E-2</v>
      </c>
      <c r="P42">
        <v>-40</v>
      </c>
    </row>
    <row r="43" spans="1:16">
      <c r="A43" t="s">
        <v>117</v>
      </c>
      <c r="B43">
        <v>91</v>
      </c>
      <c r="C43">
        <v>102</v>
      </c>
      <c r="D43">
        <v>25</v>
      </c>
      <c r="E43">
        <v>175</v>
      </c>
      <c r="F43">
        <v>106</v>
      </c>
      <c r="G43">
        <v>63</v>
      </c>
      <c r="H43">
        <v>255.2</v>
      </c>
      <c r="I43" s="14">
        <v>301.32654552502203</v>
      </c>
      <c r="J43">
        <v>61</v>
      </c>
      <c r="K43">
        <v>37</v>
      </c>
      <c r="L43">
        <v>68</v>
      </c>
      <c r="M43">
        <v>43</v>
      </c>
      <c r="N43" s="120">
        <v>0</v>
      </c>
      <c r="O43" s="120">
        <v>0</v>
      </c>
      <c r="P43">
        <v>10</v>
      </c>
    </row>
    <row r="44" spans="1:16">
      <c r="A44" t="s">
        <v>125</v>
      </c>
      <c r="B44">
        <v>142</v>
      </c>
      <c r="C44">
        <v>93</v>
      </c>
      <c r="D44">
        <v>100</v>
      </c>
      <c r="E44">
        <v>25</v>
      </c>
      <c r="F44">
        <v>59</v>
      </c>
      <c r="G44">
        <v>90</v>
      </c>
      <c r="H44">
        <v>255.39999999999998</v>
      </c>
      <c r="I44" s="14">
        <v>318.17057170718238</v>
      </c>
      <c r="J44">
        <v>62</v>
      </c>
      <c r="K44">
        <v>38</v>
      </c>
      <c r="L44">
        <v>77</v>
      </c>
      <c r="M44">
        <v>50</v>
      </c>
      <c r="N44" s="120">
        <v>0</v>
      </c>
      <c r="O44" s="120">
        <v>3.3333333333333333E-2</v>
      </c>
      <c r="P44">
        <v>-11</v>
      </c>
    </row>
    <row r="45" spans="1:16">
      <c r="A45" t="s">
        <v>134</v>
      </c>
      <c r="B45">
        <v>136</v>
      </c>
      <c r="C45">
        <v>75</v>
      </c>
      <c r="D45">
        <v>120</v>
      </c>
      <c r="E45">
        <v>70</v>
      </c>
      <c r="F45">
        <v>24</v>
      </c>
      <c r="G45">
        <v>35</v>
      </c>
      <c r="H45">
        <v>256.7</v>
      </c>
      <c r="I45" s="14">
        <v>273.43847259733457</v>
      </c>
      <c r="J45">
        <v>64</v>
      </c>
      <c r="K45">
        <v>39</v>
      </c>
      <c r="L45">
        <v>47</v>
      </c>
      <c r="M45">
        <v>28</v>
      </c>
      <c r="N45" s="120">
        <v>0</v>
      </c>
      <c r="O45" s="120">
        <v>2.9411764705882353E-2</v>
      </c>
      <c r="P45">
        <v>11</v>
      </c>
    </row>
    <row r="46" spans="1:16">
      <c r="A46" t="s">
        <v>53</v>
      </c>
      <c r="B46">
        <v>32</v>
      </c>
      <c r="C46">
        <v>202</v>
      </c>
      <c r="D46">
        <v>26</v>
      </c>
      <c r="E46">
        <v>137</v>
      </c>
      <c r="F46">
        <v>123</v>
      </c>
      <c r="G46">
        <v>88</v>
      </c>
      <c r="H46">
        <v>257.89999999999998</v>
      </c>
      <c r="I46" s="14">
        <v>328.06628986012964</v>
      </c>
      <c r="J46">
        <v>65.5</v>
      </c>
      <c r="K46">
        <v>40</v>
      </c>
      <c r="L46">
        <v>80</v>
      </c>
      <c r="M46">
        <v>52</v>
      </c>
      <c r="N46" s="120">
        <v>0</v>
      </c>
      <c r="O46" s="120">
        <v>0</v>
      </c>
      <c r="P46">
        <v>26</v>
      </c>
    </row>
    <row r="47" spans="1:16">
      <c r="A47" t="s">
        <v>101</v>
      </c>
      <c r="B47">
        <v>96</v>
      </c>
      <c r="C47">
        <v>87</v>
      </c>
      <c r="D47">
        <v>45</v>
      </c>
      <c r="E47">
        <v>182</v>
      </c>
      <c r="F47">
        <v>87</v>
      </c>
      <c r="G47">
        <v>65</v>
      </c>
      <c r="H47">
        <v>258.5</v>
      </c>
      <c r="I47" s="14">
        <v>309.84583858560785</v>
      </c>
      <c r="J47">
        <v>69</v>
      </c>
      <c r="K47">
        <v>42</v>
      </c>
      <c r="L47">
        <v>73</v>
      </c>
      <c r="M47">
        <v>47</v>
      </c>
      <c r="N47" s="120">
        <v>0</v>
      </c>
      <c r="O47" s="120">
        <v>2.9411764705882353E-2</v>
      </c>
      <c r="P47">
        <v>2</v>
      </c>
    </row>
    <row r="48" spans="1:16">
      <c r="A48" t="s">
        <v>152</v>
      </c>
      <c r="B48">
        <v>159</v>
      </c>
      <c r="C48">
        <v>6</v>
      </c>
      <c r="D48">
        <v>100</v>
      </c>
      <c r="E48">
        <v>74</v>
      </c>
      <c r="F48">
        <v>92</v>
      </c>
      <c r="G48">
        <v>67</v>
      </c>
      <c r="H48">
        <v>259.89999999999998</v>
      </c>
      <c r="I48" s="14">
        <v>304.10250080233004</v>
      </c>
      <c r="J48">
        <v>70</v>
      </c>
      <c r="K48">
        <v>43</v>
      </c>
      <c r="L48">
        <v>71</v>
      </c>
      <c r="M48">
        <v>45</v>
      </c>
      <c r="N48" s="120">
        <v>0</v>
      </c>
      <c r="O48" s="120">
        <v>3.125E-2</v>
      </c>
      <c r="P48">
        <v>-38</v>
      </c>
    </row>
    <row r="49" spans="1:16">
      <c r="A49" t="s">
        <v>39</v>
      </c>
      <c r="B49">
        <v>87</v>
      </c>
      <c r="C49">
        <v>90</v>
      </c>
      <c r="D49">
        <v>160</v>
      </c>
      <c r="E49">
        <v>84</v>
      </c>
      <c r="F49">
        <v>18</v>
      </c>
      <c r="G49">
        <v>42</v>
      </c>
      <c r="H49">
        <v>260.5</v>
      </c>
      <c r="I49" s="14">
        <v>295.15591828135871</v>
      </c>
      <c r="J49">
        <v>71</v>
      </c>
      <c r="K49">
        <v>44</v>
      </c>
      <c r="L49">
        <v>62</v>
      </c>
      <c r="M49">
        <v>38</v>
      </c>
      <c r="N49" s="120">
        <v>0</v>
      </c>
      <c r="O49" s="120">
        <v>2.7777777777777776E-2</v>
      </c>
      <c r="P49">
        <v>15</v>
      </c>
    </row>
    <row r="50" spans="1:16">
      <c r="A50" t="s">
        <v>97</v>
      </c>
      <c r="B50">
        <v>76</v>
      </c>
      <c r="C50">
        <v>185</v>
      </c>
      <c r="D50">
        <v>30</v>
      </c>
      <c r="E50">
        <v>86</v>
      </c>
      <c r="F50">
        <v>120</v>
      </c>
      <c r="G50">
        <v>54</v>
      </c>
      <c r="H50">
        <v>261.10000000000002</v>
      </c>
      <c r="I50" s="14">
        <v>288.07595472647495</v>
      </c>
      <c r="J50">
        <v>72</v>
      </c>
      <c r="K50">
        <v>45</v>
      </c>
      <c r="L50">
        <v>58</v>
      </c>
      <c r="M50">
        <v>35</v>
      </c>
      <c r="N50" s="120">
        <v>0</v>
      </c>
      <c r="O50" s="120">
        <v>2.7027027027027029E-2</v>
      </c>
      <c r="P50">
        <v>16</v>
      </c>
    </row>
    <row r="51" spans="1:16">
      <c r="A51" t="s">
        <v>319</v>
      </c>
      <c r="B51">
        <v>23</v>
      </c>
      <c r="C51">
        <v>96</v>
      </c>
      <c r="D51">
        <v>177</v>
      </c>
      <c r="E51">
        <v>12</v>
      </c>
      <c r="F51">
        <v>142</v>
      </c>
      <c r="G51">
        <v>83</v>
      </c>
      <c r="H51">
        <v>263.8</v>
      </c>
      <c r="I51" s="14">
        <v>337.35500323218423</v>
      </c>
      <c r="J51">
        <v>73</v>
      </c>
      <c r="K51">
        <v>46</v>
      </c>
      <c r="L51">
        <v>86</v>
      </c>
      <c r="M51">
        <v>56</v>
      </c>
      <c r="N51" s="120">
        <v>0</v>
      </c>
      <c r="O51" s="120">
        <v>0.1111111111111111</v>
      </c>
      <c r="P51">
        <v>-8</v>
      </c>
    </row>
    <row r="52" spans="1:16">
      <c r="A52" t="s">
        <v>140</v>
      </c>
      <c r="B52">
        <v>96</v>
      </c>
      <c r="C52">
        <v>93</v>
      </c>
      <c r="D52">
        <v>117</v>
      </c>
      <c r="E52">
        <v>116</v>
      </c>
      <c r="F52">
        <v>46</v>
      </c>
      <c r="G52">
        <v>79</v>
      </c>
      <c r="H52">
        <v>265</v>
      </c>
      <c r="I52" s="14">
        <v>332.58027734872474</v>
      </c>
      <c r="J52">
        <v>75</v>
      </c>
      <c r="K52">
        <v>47</v>
      </c>
      <c r="L52">
        <v>82</v>
      </c>
      <c r="M52">
        <v>53</v>
      </c>
      <c r="N52" s="120">
        <v>0</v>
      </c>
      <c r="O52" s="120">
        <v>3.3333333333333333E-2</v>
      </c>
      <c r="P52">
        <v>15</v>
      </c>
    </row>
    <row r="53" spans="1:16">
      <c r="A53" t="s">
        <v>175</v>
      </c>
      <c r="B53">
        <v>167</v>
      </c>
      <c r="C53">
        <v>97</v>
      </c>
      <c r="D53">
        <v>77</v>
      </c>
      <c r="E53">
        <v>82</v>
      </c>
      <c r="F53">
        <v>26</v>
      </c>
      <c r="G53">
        <v>59</v>
      </c>
      <c r="H53">
        <v>265.10000000000002</v>
      </c>
      <c r="I53" s="14">
        <v>297.13388880818377</v>
      </c>
      <c r="J53">
        <v>76</v>
      </c>
      <c r="K53">
        <v>48</v>
      </c>
      <c r="L53">
        <v>64</v>
      </c>
      <c r="M53">
        <v>40</v>
      </c>
      <c r="N53" s="120">
        <v>0</v>
      </c>
      <c r="O53" s="120">
        <v>0</v>
      </c>
      <c r="P53">
        <v>29</v>
      </c>
    </row>
    <row r="54" spans="1:16">
      <c r="A54" t="s">
        <v>59</v>
      </c>
      <c r="B54">
        <v>99</v>
      </c>
      <c r="C54">
        <v>134</v>
      </c>
      <c r="D54">
        <v>153</v>
      </c>
      <c r="E54">
        <v>36</v>
      </c>
      <c r="F54">
        <v>17</v>
      </c>
      <c r="G54">
        <v>84</v>
      </c>
      <c r="H54">
        <v>266.3</v>
      </c>
      <c r="I54" s="14">
        <v>334.16499043598856</v>
      </c>
      <c r="J54">
        <v>77</v>
      </c>
      <c r="K54">
        <v>49</v>
      </c>
      <c r="L54">
        <v>83</v>
      </c>
      <c r="M54">
        <v>54</v>
      </c>
      <c r="N54" s="120">
        <v>0</v>
      </c>
      <c r="O54" s="120">
        <v>0</v>
      </c>
      <c r="P54">
        <v>23</v>
      </c>
    </row>
    <row r="55" spans="1:16">
      <c r="A55" t="s">
        <v>146</v>
      </c>
      <c r="B55">
        <v>128</v>
      </c>
      <c r="C55">
        <v>172</v>
      </c>
      <c r="D55">
        <v>18</v>
      </c>
      <c r="E55">
        <v>158</v>
      </c>
      <c r="F55">
        <v>31</v>
      </c>
      <c r="G55">
        <v>78</v>
      </c>
      <c r="H55">
        <v>266.89999999999998</v>
      </c>
      <c r="I55" s="14">
        <v>320.36976112799709</v>
      </c>
      <c r="J55">
        <v>78</v>
      </c>
      <c r="K55">
        <v>50</v>
      </c>
      <c r="L55">
        <v>78</v>
      </c>
      <c r="M55">
        <v>51</v>
      </c>
      <c r="N55" s="120">
        <v>0</v>
      </c>
      <c r="O55" s="120">
        <v>2.8571428571428571E-2</v>
      </c>
      <c r="P55">
        <v>0</v>
      </c>
    </row>
    <row r="56" spans="1:16">
      <c r="A56" t="s">
        <v>235</v>
      </c>
      <c r="B56">
        <v>28</v>
      </c>
      <c r="C56">
        <v>194</v>
      </c>
      <c r="D56">
        <v>86</v>
      </c>
      <c r="E56">
        <v>75</v>
      </c>
      <c r="F56">
        <v>122</v>
      </c>
      <c r="G56">
        <v>100</v>
      </c>
      <c r="H56">
        <v>267.79999999999995</v>
      </c>
      <c r="I56" s="14">
        <v>350.66484592627876</v>
      </c>
      <c r="J56">
        <v>79</v>
      </c>
      <c r="K56">
        <v>51</v>
      </c>
      <c r="L56">
        <v>93</v>
      </c>
      <c r="M56">
        <v>61</v>
      </c>
      <c r="N56" s="120">
        <v>0</v>
      </c>
      <c r="O56" s="120">
        <v>6.6666666666666666E-2</v>
      </c>
      <c r="P56">
        <v>23</v>
      </c>
    </row>
    <row r="57" spans="1:16">
      <c r="A57" t="s">
        <v>52</v>
      </c>
      <c r="B57">
        <v>81</v>
      </c>
      <c r="C57">
        <v>167</v>
      </c>
      <c r="D57">
        <v>149</v>
      </c>
      <c r="E57">
        <v>9</v>
      </c>
      <c r="F57">
        <v>41</v>
      </c>
      <c r="G57">
        <v>49</v>
      </c>
      <c r="H57">
        <v>268.60000000000002</v>
      </c>
      <c r="I57" s="14">
        <v>298.38937515836415</v>
      </c>
      <c r="J57">
        <v>80</v>
      </c>
      <c r="K57">
        <v>52</v>
      </c>
      <c r="L57">
        <v>65</v>
      </c>
      <c r="M57">
        <v>41</v>
      </c>
      <c r="N57" s="120">
        <v>0</v>
      </c>
      <c r="O57" s="120">
        <v>3.0303030303030304E-2</v>
      </c>
      <c r="P57">
        <v>-11</v>
      </c>
    </row>
    <row r="58" spans="1:16">
      <c r="A58" t="s">
        <v>163</v>
      </c>
      <c r="B58">
        <v>159</v>
      </c>
      <c r="C58">
        <v>14</v>
      </c>
      <c r="D58">
        <v>64</v>
      </c>
      <c r="E58">
        <v>32</v>
      </c>
      <c r="F58">
        <v>192</v>
      </c>
      <c r="G58">
        <v>117</v>
      </c>
      <c r="H58">
        <v>271.89999999999998</v>
      </c>
      <c r="I58" s="14">
        <v>353.60225513814777</v>
      </c>
      <c r="J58">
        <v>82</v>
      </c>
      <c r="K58">
        <v>53</v>
      </c>
      <c r="L58">
        <v>94</v>
      </c>
      <c r="M58">
        <v>62</v>
      </c>
      <c r="N58" s="120">
        <v>0</v>
      </c>
      <c r="O58" s="120">
        <v>5.7142857142857141E-2</v>
      </c>
      <c r="P58">
        <v>17</v>
      </c>
    </row>
    <row r="59" spans="1:16">
      <c r="A59" t="s">
        <v>10</v>
      </c>
      <c r="B59">
        <v>11</v>
      </c>
      <c r="C59">
        <v>193</v>
      </c>
      <c r="D59">
        <v>146</v>
      </c>
      <c r="E59">
        <v>8</v>
      </c>
      <c r="F59">
        <v>126</v>
      </c>
      <c r="G59">
        <v>81</v>
      </c>
      <c r="H59">
        <v>272.59999999999997</v>
      </c>
      <c r="I59" s="14">
        <v>338.16744486177822</v>
      </c>
      <c r="J59">
        <v>83</v>
      </c>
      <c r="K59">
        <v>54</v>
      </c>
      <c r="L59">
        <v>87</v>
      </c>
      <c r="M59">
        <v>57</v>
      </c>
      <c r="N59" s="120">
        <v>0</v>
      </c>
      <c r="O59" s="120">
        <v>3.2258064516129031E-2</v>
      </c>
      <c r="P59">
        <v>20</v>
      </c>
    </row>
    <row r="60" spans="1:16">
      <c r="A60" t="s">
        <v>147</v>
      </c>
      <c r="B60">
        <v>184</v>
      </c>
      <c r="C60">
        <v>69</v>
      </c>
      <c r="D60">
        <v>82</v>
      </c>
      <c r="E60">
        <v>96</v>
      </c>
      <c r="F60">
        <v>29</v>
      </c>
      <c r="G60">
        <v>31</v>
      </c>
      <c r="H60">
        <v>273.60000000000002</v>
      </c>
      <c r="I60" s="14">
        <v>277.82005479621625</v>
      </c>
      <c r="J60">
        <v>84</v>
      </c>
      <c r="K60">
        <v>55</v>
      </c>
      <c r="L60">
        <v>50</v>
      </c>
      <c r="M60">
        <v>31</v>
      </c>
      <c r="N60" s="120">
        <v>0</v>
      </c>
      <c r="O60" s="120">
        <v>5.4054054054054057E-2</v>
      </c>
      <c r="P60">
        <v>5</v>
      </c>
    </row>
    <row r="61" spans="1:16">
      <c r="A61" t="s">
        <v>49</v>
      </c>
      <c r="B61">
        <v>99</v>
      </c>
      <c r="C61">
        <v>156</v>
      </c>
      <c r="D61">
        <v>104</v>
      </c>
      <c r="E61">
        <v>88</v>
      </c>
      <c r="F61">
        <v>38</v>
      </c>
      <c r="G61">
        <v>87</v>
      </c>
      <c r="H61">
        <v>274.3</v>
      </c>
      <c r="I61" s="14">
        <v>342.71292023036165</v>
      </c>
      <c r="J61">
        <v>85</v>
      </c>
      <c r="K61">
        <v>56</v>
      </c>
      <c r="L61">
        <v>89</v>
      </c>
      <c r="M61">
        <v>58</v>
      </c>
      <c r="N61" s="120">
        <v>0</v>
      </c>
      <c r="O61" s="120">
        <v>0</v>
      </c>
      <c r="P61">
        <v>2</v>
      </c>
    </row>
    <row r="62" spans="1:16">
      <c r="A62" t="s">
        <v>162</v>
      </c>
      <c r="B62">
        <v>177</v>
      </c>
      <c r="C62">
        <v>159</v>
      </c>
      <c r="D62">
        <v>40</v>
      </c>
      <c r="E62">
        <v>20</v>
      </c>
      <c r="F62">
        <v>70</v>
      </c>
      <c r="G62">
        <v>46</v>
      </c>
      <c r="H62">
        <v>274.39999999999998</v>
      </c>
      <c r="I62" s="14">
        <v>277.82638011341237</v>
      </c>
      <c r="J62">
        <v>86.5</v>
      </c>
      <c r="K62">
        <v>57</v>
      </c>
      <c r="L62">
        <v>51</v>
      </c>
      <c r="M62">
        <v>32</v>
      </c>
      <c r="N62" s="120">
        <v>0</v>
      </c>
      <c r="O62" s="120">
        <v>2.564102564102564E-2</v>
      </c>
      <c r="P62">
        <v>-11</v>
      </c>
    </row>
    <row r="63" spans="1:16">
      <c r="A63" t="s">
        <v>181</v>
      </c>
      <c r="B63">
        <v>203</v>
      </c>
      <c r="C63">
        <v>91</v>
      </c>
      <c r="D63">
        <v>8</v>
      </c>
      <c r="E63">
        <v>98</v>
      </c>
      <c r="F63">
        <v>85</v>
      </c>
      <c r="G63">
        <v>61</v>
      </c>
      <c r="H63">
        <v>274.89999999999998</v>
      </c>
      <c r="I63" s="14">
        <v>296.17529421585471</v>
      </c>
      <c r="J63">
        <v>88</v>
      </c>
      <c r="K63">
        <v>58</v>
      </c>
      <c r="L63">
        <v>63</v>
      </c>
      <c r="M63">
        <v>39</v>
      </c>
      <c r="N63" s="120">
        <v>0</v>
      </c>
      <c r="O63" s="120">
        <v>0</v>
      </c>
      <c r="P63">
        <v>-20</v>
      </c>
    </row>
    <row r="64" spans="1:16">
      <c r="A64" t="s">
        <v>27</v>
      </c>
      <c r="B64">
        <v>22</v>
      </c>
      <c r="C64">
        <v>130</v>
      </c>
      <c r="D64">
        <v>184</v>
      </c>
      <c r="E64">
        <v>134</v>
      </c>
      <c r="F64">
        <v>25</v>
      </c>
      <c r="G64">
        <v>103</v>
      </c>
      <c r="H64">
        <v>275.3</v>
      </c>
      <c r="I64" s="14">
        <v>383.33830508805107</v>
      </c>
      <c r="J64">
        <v>89</v>
      </c>
      <c r="K64">
        <v>59</v>
      </c>
      <c r="L64">
        <v>108</v>
      </c>
      <c r="M64">
        <v>74</v>
      </c>
      <c r="N64" s="120">
        <v>0</v>
      </c>
      <c r="O64" s="120">
        <v>3.8461538461538464E-2</v>
      </c>
      <c r="P64">
        <v>-34</v>
      </c>
    </row>
    <row r="65" spans="1:16">
      <c r="A65" t="s">
        <v>64</v>
      </c>
      <c r="B65">
        <v>109</v>
      </c>
      <c r="C65">
        <v>165</v>
      </c>
      <c r="D65">
        <v>72</v>
      </c>
      <c r="E65">
        <v>83</v>
      </c>
      <c r="F65">
        <v>67</v>
      </c>
      <c r="G65">
        <v>86</v>
      </c>
      <c r="H65">
        <v>275.90000000000003</v>
      </c>
      <c r="I65" s="14">
        <v>336.7230060854871</v>
      </c>
      <c r="J65">
        <v>90</v>
      </c>
      <c r="K65">
        <v>60</v>
      </c>
      <c r="L65">
        <v>84</v>
      </c>
      <c r="M65">
        <v>55</v>
      </c>
      <c r="N65" s="120">
        <v>0</v>
      </c>
      <c r="O65" s="120">
        <v>9.6774193548387094E-2</v>
      </c>
      <c r="P65">
        <v>7</v>
      </c>
    </row>
    <row r="66" spans="1:16">
      <c r="A66" t="s">
        <v>23</v>
      </c>
      <c r="B66">
        <v>32</v>
      </c>
      <c r="C66">
        <v>163</v>
      </c>
      <c r="D66">
        <v>66</v>
      </c>
      <c r="E66">
        <v>66</v>
      </c>
      <c r="F66">
        <v>202</v>
      </c>
      <c r="G66">
        <v>118</v>
      </c>
      <c r="H66">
        <v>277.5</v>
      </c>
      <c r="I66" s="14">
        <v>372.57507557146755</v>
      </c>
      <c r="J66">
        <v>93</v>
      </c>
      <c r="K66">
        <v>62</v>
      </c>
      <c r="L66">
        <v>102</v>
      </c>
      <c r="M66">
        <v>68</v>
      </c>
      <c r="N66" s="120">
        <v>0</v>
      </c>
      <c r="O66" s="120">
        <v>0</v>
      </c>
      <c r="P66">
        <v>27</v>
      </c>
    </row>
    <row r="67" spans="1:16">
      <c r="A67" t="s">
        <v>33</v>
      </c>
      <c r="B67">
        <v>6</v>
      </c>
      <c r="C67">
        <v>53</v>
      </c>
      <c r="D67">
        <v>150</v>
      </c>
      <c r="E67">
        <v>194</v>
      </c>
      <c r="F67">
        <v>130</v>
      </c>
      <c r="G67">
        <v>114</v>
      </c>
      <c r="H67">
        <v>278.3</v>
      </c>
      <c r="I67" s="14">
        <v>400.3366413613316</v>
      </c>
      <c r="J67">
        <v>94</v>
      </c>
      <c r="K67">
        <v>63</v>
      </c>
      <c r="L67">
        <v>120</v>
      </c>
      <c r="M67">
        <v>81</v>
      </c>
      <c r="N67" s="120">
        <v>0</v>
      </c>
      <c r="O67" s="120">
        <v>0</v>
      </c>
      <c r="P67">
        <v>30</v>
      </c>
    </row>
    <row r="68" spans="1:16">
      <c r="A68" t="s">
        <v>182</v>
      </c>
      <c r="B68">
        <v>193</v>
      </c>
      <c r="C68">
        <v>127</v>
      </c>
      <c r="D68">
        <v>78</v>
      </c>
      <c r="E68">
        <v>41</v>
      </c>
      <c r="F68">
        <v>22</v>
      </c>
      <c r="G68">
        <v>27</v>
      </c>
      <c r="H68">
        <v>280.59999999999997</v>
      </c>
      <c r="I68" s="14">
        <v>271.64570180774655</v>
      </c>
      <c r="J68">
        <v>96</v>
      </c>
      <c r="K68">
        <v>64</v>
      </c>
      <c r="L68">
        <v>46</v>
      </c>
      <c r="M68">
        <v>27</v>
      </c>
      <c r="N68" s="120">
        <v>0</v>
      </c>
      <c r="O68" s="120">
        <v>7.6923076923076927E-2</v>
      </c>
      <c r="P68">
        <v>23</v>
      </c>
    </row>
    <row r="69" spans="1:16">
      <c r="A69" t="s">
        <v>187</v>
      </c>
      <c r="B69">
        <v>205</v>
      </c>
      <c r="C69">
        <v>33</v>
      </c>
      <c r="D69">
        <v>83</v>
      </c>
      <c r="E69">
        <v>44</v>
      </c>
      <c r="F69">
        <v>97</v>
      </c>
      <c r="G69">
        <v>98</v>
      </c>
      <c r="H69">
        <v>284.2</v>
      </c>
      <c r="I69" s="14">
        <v>346.30266411234442</v>
      </c>
      <c r="J69">
        <v>98</v>
      </c>
      <c r="K69">
        <v>65</v>
      </c>
      <c r="L69">
        <v>91</v>
      </c>
      <c r="M69">
        <v>59</v>
      </c>
      <c r="N69" s="120">
        <v>0</v>
      </c>
      <c r="O69" s="120">
        <v>0</v>
      </c>
      <c r="P69">
        <v>30</v>
      </c>
    </row>
    <row r="70" spans="1:16">
      <c r="A70" t="s">
        <v>118</v>
      </c>
      <c r="B70">
        <v>116</v>
      </c>
      <c r="C70">
        <v>114</v>
      </c>
      <c r="D70">
        <v>50</v>
      </c>
      <c r="E70">
        <v>34</v>
      </c>
      <c r="F70">
        <v>197</v>
      </c>
      <c r="G70">
        <v>132</v>
      </c>
      <c r="H70">
        <v>285.29999999999995</v>
      </c>
      <c r="I70" s="14">
        <v>380.98146293442505</v>
      </c>
      <c r="J70">
        <v>100</v>
      </c>
      <c r="K70">
        <v>66</v>
      </c>
      <c r="L70">
        <v>106</v>
      </c>
      <c r="M70">
        <v>72</v>
      </c>
      <c r="N70" s="120">
        <v>0</v>
      </c>
      <c r="O70" s="120">
        <v>0</v>
      </c>
      <c r="P70">
        <v>19</v>
      </c>
    </row>
    <row r="71" spans="1:16">
      <c r="A71" t="s">
        <v>56</v>
      </c>
      <c r="B71">
        <v>62</v>
      </c>
      <c r="C71">
        <v>164</v>
      </c>
      <c r="D71">
        <v>80</v>
      </c>
      <c r="E71">
        <v>101</v>
      </c>
      <c r="F71">
        <v>135</v>
      </c>
      <c r="G71">
        <v>120</v>
      </c>
      <c r="H71" s="14">
        <v>289.3</v>
      </c>
      <c r="I71" s="14">
        <v>389.08552176644542</v>
      </c>
      <c r="J71" s="16">
        <v>101</v>
      </c>
      <c r="K71">
        <v>67</v>
      </c>
      <c r="L71">
        <v>112</v>
      </c>
      <c r="M71">
        <v>75</v>
      </c>
      <c r="N71" s="120">
        <v>0</v>
      </c>
      <c r="O71" s="120">
        <v>0</v>
      </c>
      <c r="P71">
        <v>-10</v>
      </c>
    </row>
    <row r="72" spans="1:16">
      <c r="A72" t="s">
        <v>48</v>
      </c>
      <c r="B72">
        <v>69</v>
      </c>
      <c r="C72">
        <v>146</v>
      </c>
      <c r="D72">
        <v>16</v>
      </c>
      <c r="E72">
        <v>200</v>
      </c>
      <c r="F72">
        <v>154</v>
      </c>
      <c r="G72">
        <v>99</v>
      </c>
      <c r="H72">
        <v>289.5</v>
      </c>
      <c r="I72" s="14">
        <v>369.96532796242127</v>
      </c>
      <c r="J72">
        <v>102</v>
      </c>
      <c r="K72">
        <v>68</v>
      </c>
      <c r="L72">
        <v>101</v>
      </c>
      <c r="M72">
        <v>67</v>
      </c>
      <c r="N72" s="120">
        <v>0</v>
      </c>
      <c r="O72" s="120">
        <v>0</v>
      </c>
      <c r="P72">
        <v>40</v>
      </c>
    </row>
    <row r="73" spans="1:16">
      <c r="A73" t="s">
        <v>191</v>
      </c>
      <c r="B73">
        <v>212</v>
      </c>
      <c r="C73">
        <v>78</v>
      </c>
      <c r="D73">
        <v>71</v>
      </c>
      <c r="E73">
        <v>80</v>
      </c>
      <c r="F73">
        <v>42</v>
      </c>
      <c r="G73">
        <v>110</v>
      </c>
      <c r="H73">
        <v>290.09999999999997</v>
      </c>
      <c r="I73" s="14">
        <v>365.30517335480613</v>
      </c>
      <c r="J73">
        <v>103</v>
      </c>
      <c r="K73">
        <v>69</v>
      </c>
      <c r="L73">
        <v>97</v>
      </c>
      <c r="M73">
        <v>63</v>
      </c>
      <c r="N73" s="120">
        <v>0</v>
      </c>
      <c r="O73" s="120">
        <v>0</v>
      </c>
      <c r="P73">
        <v>-54</v>
      </c>
    </row>
    <row r="74" spans="1:16">
      <c r="A74" t="s">
        <v>185</v>
      </c>
      <c r="B74">
        <v>206</v>
      </c>
      <c r="C74">
        <v>12</v>
      </c>
      <c r="D74">
        <v>57</v>
      </c>
      <c r="E74">
        <v>160</v>
      </c>
      <c r="F74">
        <v>72</v>
      </c>
      <c r="G74">
        <v>105</v>
      </c>
      <c r="H74">
        <v>290.10000000000002</v>
      </c>
      <c r="I74" s="14">
        <v>368.56969779306866</v>
      </c>
      <c r="J74">
        <v>104</v>
      </c>
      <c r="K74">
        <v>70</v>
      </c>
      <c r="L74">
        <v>99</v>
      </c>
      <c r="M74">
        <v>65</v>
      </c>
      <c r="N74" s="120">
        <v>0</v>
      </c>
      <c r="O74" s="120">
        <v>0</v>
      </c>
      <c r="P74">
        <v>7</v>
      </c>
    </row>
    <row r="75" spans="1:16">
      <c r="A75" t="s">
        <v>16</v>
      </c>
      <c r="B75">
        <v>10</v>
      </c>
      <c r="C75">
        <v>211</v>
      </c>
      <c r="D75">
        <v>102</v>
      </c>
      <c r="E75">
        <v>154</v>
      </c>
      <c r="F75">
        <v>93</v>
      </c>
      <c r="G75">
        <v>107</v>
      </c>
      <c r="H75">
        <v>292</v>
      </c>
      <c r="I75" s="14">
        <v>391.96036946533212</v>
      </c>
      <c r="J75">
        <v>106</v>
      </c>
      <c r="K75">
        <v>71</v>
      </c>
      <c r="L75">
        <v>115</v>
      </c>
      <c r="M75">
        <v>78</v>
      </c>
      <c r="N75" s="120">
        <v>0</v>
      </c>
      <c r="O75" s="120">
        <v>0</v>
      </c>
      <c r="P75">
        <v>-9</v>
      </c>
    </row>
    <row r="76" spans="1:16">
      <c r="A76" t="s">
        <v>55</v>
      </c>
      <c r="B76">
        <v>121</v>
      </c>
      <c r="C76">
        <v>125</v>
      </c>
      <c r="D76">
        <v>15</v>
      </c>
      <c r="E76">
        <v>132</v>
      </c>
      <c r="F76">
        <v>165</v>
      </c>
      <c r="G76">
        <v>111</v>
      </c>
      <c r="H76">
        <v>293</v>
      </c>
      <c r="I76" s="14">
        <v>372.79789536340104</v>
      </c>
      <c r="J76">
        <v>108</v>
      </c>
      <c r="K76">
        <v>72</v>
      </c>
      <c r="L76">
        <v>103</v>
      </c>
      <c r="M76">
        <v>69</v>
      </c>
      <c r="N76" s="120">
        <v>0</v>
      </c>
      <c r="O76" s="120">
        <v>0</v>
      </c>
      <c r="P76">
        <v>2</v>
      </c>
    </row>
    <row r="77" spans="1:16">
      <c r="A77" t="s">
        <v>107</v>
      </c>
      <c r="B77">
        <v>91</v>
      </c>
      <c r="C77">
        <v>176</v>
      </c>
      <c r="D77">
        <v>157</v>
      </c>
      <c r="E77">
        <v>18</v>
      </c>
      <c r="F77">
        <v>50</v>
      </c>
      <c r="G77">
        <v>96</v>
      </c>
      <c r="H77">
        <v>293.79999999999995</v>
      </c>
      <c r="I77" s="14">
        <v>368.70121880866787</v>
      </c>
      <c r="J77">
        <v>109</v>
      </c>
      <c r="K77">
        <v>73</v>
      </c>
      <c r="L77">
        <v>100</v>
      </c>
      <c r="M77">
        <v>66</v>
      </c>
      <c r="N77" s="120">
        <v>0</v>
      </c>
      <c r="O77" s="120">
        <v>2.8571428571428571E-2</v>
      </c>
      <c r="P77">
        <v>-5</v>
      </c>
    </row>
    <row r="78" spans="1:16">
      <c r="A78" t="s">
        <v>50</v>
      </c>
      <c r="B78">
        <v>76</v>
      </c>
      <c r="C78">
        <v>160</v>
      </c>
      <c r="D78">
        <v>62</v>
      </c>
      <c r="E78">
        <v>51</v>
      </c>
      <c r="F78">
        <v>200</v>
      </c>
      <c r="G78">
        <v>148</v>
      </c>
      <c r="H78">
        <v>297</v>
      </c>
      <c r="I78" s="14">
        <v>413.75249004122429</v>
      </c>
      <c r="J78">
        <v>112</v>
      </c>
      <c r="K78">
        <v>75</v>
      </c>
      <c r="L78">
        <v>124</v>
      </c>
      <c r="M78">
        <v>83</v>
      </c>
      <c r="N78" s="120">
        <v>0</v>
      </c>
      <c r="O78" s="120">
        <v>0</v>
      </c>
      <c r="P78">
        <v>21</v>
      </c>
    </row>
    <row r="79" spans="1:16">
      <c r="A79" t="s">
        <v>244</v>
      </c>
      <c r="B79">
        <v>124</v>
      </c>
      <c r="C79">
        <v>20</v>
      </c>
      <c r="D79">
        <v>126</v>
      </c>
      <c r="E79">
        <v>56</v>
      </c>
      <c r="F79">
        <v>181</v>
      </c>
      <c r="G79">
        <v>115</v>
      </c>
      <c r="H79">
        <v>297.89999999999998</v>
      </c>
      <c r="I79" s="14">
        <v>389.12984893442797</v>
      </c>
      <c r="J79">
        <v>113</v>
      </c>
      <c r="K79">
        <v>76</v>
      </c>
      <c r="L79">
        <v>113</v>
      </c>
      <c r="M79">
        <v>76</v>
      </c>
      <c r="N79" s="120">
        <v>0</v>
      </c>
      <c r="O79" s="120">
        <v>0</v>
      </c>
      <c r="P79">
        <v>4</v>
      </c>
    </row>
    <row r="80" spans="1:16">
      <c r="A80" t="s">
        <v>122</v>
      </c>
      <c r="B80">
        <v>146</v>
      </c>
      <c r="C80">
        <v>74</v>
      </c>
      <c r="D80">
        <v>132</v>
      </c>
      <c r="E80">
        <v>56</v>
      </c>
      <c r="F80">
        <v>90</v>
      </c>
      <c r="G80">
        <v>94</v>
      </c>
      <c r="H80">
        <v>299</v>
      </c>
      <c r="I80" s="14">
        <v>368.29357445782802</v>
      </c>
      <c r="J80">
        <v>114</v>
      </c>
      <c r="K80">
        <v>77</v>
      </c>
      <c r="L80">
        <v>98</v>
      </c>
      <c r="M80">
        <v>64</v>
      </c>
      <c r="N80" s="120">
        <v>0</v>
      </c>
      <c r="O80" s="120">
        <v>3.125E-2</v>
      </c>
      <c r="P80">
        <v>31</v>
      </c>
    </row>
    <row r="81" spans="1:16">
      <c r="A81" t="s">
        <v>100</v>
      </c>
      <c r="B81">
        <v>147</v>
      </c>
      <c r="C81">
        <v>182</v>
      </c>
      <c r="D81">
        <v>29</v>
      </c>
      <c r="E81">
        <v>3</v>
      </c>
      <c r="F81">
        <v>177</v>
      </c>
      <c r="G81">
        <v>23</v>
      </c>
      <c r="H81">
        <v>303.89999999999998</v>
      </c>
      <c r="I81" s="14">
        <v>278.48255263969065</v>
      </c>
      <c r="J81">
        <v>117</v>
      </c>
      <c r="K81">
        <v>78</v>
      </c>
      <c r="L81">
        <v>52</v>
      </c>
      <c r="M81">
        <v>33</v>
      </c>
      <c r="N81" s="120">
        <v>0</v>
      </c>
      <c r="O81" s="120">
        <v>0</v>
      </c>
      <c r="P81" t="e">
        <v>#N/A</v>
      </c>
    </row>
    <row r="82" spans="1:16">
      <c r="A82" t="s">
        <v>151</v>
      </c>
      <c r="B82">
        <v>130</v>
      </c>
      <c r="C82">
        <v>118</v>
      </c>
      <c r="D82">
        <v>14</v>
      </c>
      <c r="E82">
        <v>189</v>
      </c>
      <c r="F82">
        <v>143</v>
      </c>
      <c r="G82">
        <v>135</v>
      </c>
      <c r="H82">
        <v>306.90000000000003</v>
      </c>
      <c r="I82" s="14">
        <v>414.99614938615821</v>
      </c>
      <c r="J82">
        <v>119</v>
      </c>
      <c r="K82">
        <v>79</v>
      </c>
      <c r="L82">
        <v>125</v>
      </c>
      <c r="M82">
        <v>84</v>
      </c>
      <c r="N82" s="120">
        <v>0</v>
      </c>
      <c r="O82" s="120">
        <v>0</v>
      </c>
      <c r="P82">
        <v>37</v>
      </c>
    </row>
    <row r="83" spans="1:16">
      <c r="A83" t="s">
        <v>34</v>
      </c>
      <c r="B83">
        <v>24</v>
      </c>
      <c r="C83">
        <v>155</v>
      </c>
      <c r="D83">
        <v>118</v>
      </c>
      <c r="E83">
        <v>141</v>
      </c>
      <c r="F83">
        <v>155</v>
      </c>
      <c r="G83">
        <v>146</v>
      </c>
      <c r="H83">
        <v>310.79999999999995</v>
      </c>
      <c r="I83" s="14">
        <v>447.20564519909954</v>
      </c>
      <c r="J83">
        <v>124</v>
      </c>
      <c r="K83">
        <v>80</v>
      </c>
      <c r="L83">
        <v>137</v>
      </c>
      <c r="M83">
        <v>90</v>
      </c>
      <c r="N83" s="120">
        <v>0</v>
      </c>
      <c r="O83" s="120">
        <v>0</v>
      </c>
      <c r="P83">
        <v>-8</v>
      </c>
    </row>
    <row r="84" spans="1:16">
      <c r="A84" t="s">
        <v>45</v>
      </c>
      <c r="B84">
        <v>42</v>
      </c>
      <c r="C84">
        <v>186</v>
      </c>
      <c r="D84">
        <v>33</v>
      </c>
      <c r="E84">
        <v>201</v>
      </c>
      <c r="F84">
        <v>177</v>
      </c>
      <c r="G84">
        <v>160</v>
      </c>
      <c r="H84">
        <v>314.39999999999998</v>
      </c>
      <c r="I84" s="14">
        <v>457.00073456029401</v>
      </c>
      <c r="J84">
        <v>125</v>
      </c>
      <c r="K84">
        <v>81</v>
      </c>
      <c r="L84">
        <v>140</v>
      </c>
      <c r="M84">
        <v>93</v>
      </c>
      <c r="N84" s="120">
        <v>0</v>
      </c>
      <c r="O84" s="120">
        <v>0</v>
      </c>
      <c r="P84">
        <v>-2</v>
      </c>
    </row>
    <row r="85" spans="1:16">
      <c r="A85" t="s">
        <v>186</v>
      </c>
      <c r="B85">
        <v>209</v>
      </c>
      <c r="C85">
        <v>37</v>
      </c>
      <c r="D85">
        <v>54</v>
      </c>
      <c r="E85">
        <v>126</v>
      </c>
      <c r="F85">
        <v>125</v>
      </c>
      <c r="G85">
        <v>136</v>
      </c>
      <c r="H85">
        <v>315.5</v>
      </c>
      <c r="I85" s="14">
        <v>416.49489014444828</v>
      </c>
      <c r="J85">
        <v>126</v>
      </c>
      <c r="K85">
        <v>82</v>
      </c>
      <c r="L85">
        <v>126</v>
      </c>
      <c r="M85">
        <v>85</v>
      </c>
      <c r="N85" s="120">
        <v>0</v>
      </c>
      <c r="O85" s="120">
        <v>0</v>
      </c>
      <c r="P85">
        <v>-46</v>
      </c>
    </row>
    <row r="86" spans="1:16">
      <c r="A86" t="s">
        <v>88</v>
      </c>
      <c r="B86">
        <v>103</v>
      </c>
      <c r="C86">
        <v>128</v>
      </c>
      <c r="D86">
        <v>119</v>
      </c>
      <c r="E86">
        <v>150</v>
      </c>
      <c r="F86">
        <v>75</v>
      </c>
      <c r="G86">
        <v>95</v>
      </c>
      <c r="H86">
        <v>316.89999999999998</v>
      </c>
      <c r="I86" s="14">
        <v>397.15213087220076</v>
      </c>
      <c r="J86">
        <v>127</v>
      </c>
      <c r="K86">
        <v>83</v>
      </c>
      <c r="L86">
        <v>119</v>
      </c>
      <c r="M86">
        <v>80</v>
      </c>
      <c r="N86" s="120">
        <v>0</v>
      </c>
      <c r="O86" s="120">
        <v>0</v>
      </c>
      <c r="P86">
        <v>26</v>
      </c>
    </row>
    <row r="87" spans="1:16">
      <c r="A87" t="s">
        <v>164</v>
      </c>
      <c r="B87">
        <v>122</v>
      </c>
      <c r="C87">
        <v>123</v>
      </c>
      <c r="D87">
        <v>163</v>
      </c>
      <c r="E87">
        <v>130</v>
      </c>
      <c r="F87">
        <v>10</v>
      </c>
      <c r="G87">
        <v>71</v>
      </c>
      <c r="H87">
        <v>318</v>
      </c>
      <c r="I87" s="14">
        <v>377.18647641427873</v>
      </c>
      <c r="J87">
        <v>128</v>
      </c>
      <c r="K87">
        <v>84</v>
      </c>
      <c r="L87">
        <v>105</v>
      </c>
      <c r="M87">
        <v>71</v>
      </c>
      <c r="N87" s="120">
        <v>0</v>
      </c>
      <c r="O87" s="120">
        <v>4.5454545454545456E-2</v>
      </c>
      <c r="P87">
        <v>-18</v>
      </c>
    </row>
    <row r="88" spans="1:16">
      <c r="A88" t="s">
        <v>106</v>
      </c>
      <c r="B88">
        <v>106</v>
      </c>
      <c r="C88">
        <v>178</v>
      </c>
      <c r="D88">
        <v>46</v>
      </c>
      <c r="E88">
        <v>143</v>
      </c>
      <c r="F88">
        <v>131</v>
      </c>
      <c r="G88">
        <v>126</v>
      </c>
      <c r="H88">
        <v>318.09999999999997</v>
      </c>
      <c r="I88" s="14">
        <v>416.53512295292518</v>
      </c>
      <c r="J88">
        <v>129</v>
      </c>
      <c r="K88">
        <v>85</v>
      </c>
      <c r="L88">
        <v>127</v>
      </c>
      <c r="M88">
        <v>86</v>
      </c>
      <c r="N88" s="120">
        <v>0</v>
      </c>
      <c r="O88" s="120">
        <v>0</v>
      </c>
      <c r="P88">
        <v>1</v>
      </c>
    </row>
    <row r="89" spans="1:16">
      <c r="A89" t="s">
        <v>108</v>
      </c>
      <c r="B89">
        <v>65</v>
      </c>
      <c r="C89">
        <v>200</v>
      </c>
      <c r="D89">
        <v>178</v>
      </c>
      <c r="E89">
        <v>119</v>
      </c>
      <c r="F89">
        <v>3</v>
      </c>
      <c r="G89">
        <v>69</v>
      </c>
      <c r="H89">
        <v>319.20000000000005</v>
      </c>
      <c r="I89" s="14">
        <v>381.07181205614239</v>
      </c>
      <c r="J89">
        <v>130</v>
      </c>
      <c r="K89">
        <v>86</v>
      </c>
      <c r="L89">
        <v>107</v>
      </c>
      <c r="M89">
        <v>73</v>
      </c>
      <c r="N89" s="120">
        <v>0</v>
      </c>
      <c r="O89" s="120">
        <v>0</v>
      </c>
      <c r="P89">
        <v>22</v>
      </c>
    </row>
    <row r="90" spans="1:16">
      <c r="A90" t="s">
        <v>114</v>
      </c>
      <c r="B90">
        <v>139</v>
      </c>
      <c r="C90">
        <v>191</v>
      </c>
      <c r="D90">
        <v>112</v>
      </c>
      <c r="E90">
        <v>58</v>
      </c>
      <c r="F90">
        <v>52</v>
      </c>
      <c r="G90">
        <v>122</v>
      </c>
      <c r="H90">
        <v>320.39999999999998</v>
      </c>
      <c r="I90" s="14">
        <v>411.99954046476398</v>
      </c>
      <c r="J90">
        <v>131</v>
      </c>
      <c r="K90">
        <v>87</v>
      </c>
      <c r="L90">
        <v>122</v>
      </c>
      <c r="M90">
        <v>82</v>
      </c>
      <c r="N90" s="120">
        <v>0</v>
      </c>
      <c r="O90" s="120">
        <v>0</v>
      </c>
      <c r="P90">
        <v>10</v>
      </c>
    </row>
    <row r="91" spans="1:16">
      <c r="A91" t="s">
        <v>84</v>
      </c>
      <c r="B91">
        <v>67</v>
      </c>
      <c r="C91">
        <v>189</v>
      </c>
      <c r="D91">
        <v>172</v>
      </c>
      <c r="E91">
        <v>68</v>
      </c>
      <c r="F91">
        <v>63</v>
      </c>
      <c r="G91">
        <v>158</v>
      </c>
      <c r="H91">
        <v>320.5</v>
      </c>
      <c r="I91" s="14">
        <v>463.86340590707596</v>
      </c>
      <c r="J91">
        <v>132</v>
      </c>
      <c r="K91">
        <v>88</v>
      </c>
      <c r="L91">
        <v>143</v>
      </c>
      <c r="M91">
        <v>96</v>
      </c>
      <c r="N91" s="120" t="e">
        <v>#N/A</v>
      </c>
      <c r="O91" s="120" t="e">
        <v>#N/A</v>
      </c>
      <c r="P91">
        <v>6</v>
      </c>
    </row>
    <row r="92" spans="1:16">
      <c r="A92" t="s">
        <v>155</v>
      </c>
      <c r="B92">
        <v>147</v>
      </c>
      <c r="C92">
        <v>168</v>
      </c>
      <c r="D92">
        <v>93</v>
      </c>
      <c r="E92">
        <v>6</v>
      </c>
      <c r="F92">
        <v>138</v>
      </c>
      <c r="G92">
        <v>108</v>
      </c>
      <c r="H92">
        <v>323.39999999999998</v>
      </c>
      <c r="I92" s="14">
        <v>390.70009157795619</v>
      </c>
      <c r="J92">
        <v>134</v>
      </c>
      <c r="K92">
        <v>89</v>
      </c>
      <c r="L92">
        <v>114</v>
      </c>
      <c r="M92">
        <v>77</v>
      </c>
      <c r="N92" s="120">
        <v>0</v>
      </c>
      <c r="O92" s="120">
        <v>0</v>
      </c>
      <c r="P92">
        <v>-8</v>
      </c>
    </row>
    <row r="93" spans="1:16">
      <c r="A93" t="s">
        <v>184</v>
      </c>
      <c r="B93">
        <v>192</v>
      </c>
      <c r="C93">
        <v>58</v>
      </c>
      <c r="D93">
        <v>156</v>
      </c>
      <c r="E93">
        <v>42</v>
      </c>
      <c r="F93">
        <v>75</v>
      </c>
      <c r="G93">
        <v>97</v>
      </c>
      <c r="H93">
        <v>326.89999999999998</v>
      </c>
      <c r="I93" s="14">
        <v>394.1036070523823</v>
      </c>
      <c r="J93">
        <v>135</v>
      </c>
      <c r="K93">
        <v>90</v>
      </c>
      <c r="L93">
        <v>116</v>
      </c>
      <c r="M93">
        <v>79</v>
      </c>
      <c r="N93" s="120">
        <v>0</v>
      </c>
      <c r="O93" s="120">
        <v>0</v>
      </c>
      <c r="P93">
        <v>0</v>
      </c>
    </row>
    <row r="94" spans="1:16">
      <c r="A94" t="s">
        <v>83</v>
      </c>
      <c r="B94">
        <v>90</v>
      </c>
      <c r="C94">
        <v>140</v>
      </c>
      <c r="D94">
        <v>187</v>
      </c>
      <c r="E94">
        <v>127</v>
      </c>
      <c r="F94">
        <v>30</v>
      </c>
      <c r="G94">
        <v>155</v>
      </c>
      <c r="H94">
        <v>329.7</v>
      </c>
      <c r="I94" s="14">
        <v>476.88580625838398</v>
      </c>
      <c r="J94">
        <v>138</v>
      </c>
      <c r="K94">
        <v>91</v>
      </c>
      <c r="L94">
        <v>155</v>
      </c>
      <c r="M94">
        <v>104</v>
      </c>
      <c r="N94" s="120">
        <v>0</v>
      </c>
      <c r="O94" s="120">
        <v>0</v>
      </c>
      <c r="P94">
        <v>30</v>
      </c>
    </row>
    <row r="95" spans="1:16">
      <c r="A95" t="s">
        <v>121</v>
      </c>
      <c r="B95">
        <v>93</v>
      </c>
      <c r="C95">
        <v>89</v>
      </c>
      <c r="D95">
        <v>151</v>
      </c>
      <c r="E95">
        <v>81</v>
      </c>
      <c r="F95">
        <v>165</v>
      </c>
      <c r="G95">
        <v>151</v>
      </c>
      <c r="H95">
        <v>330.2</v>
      </c>
      <c r="I95" s="14">
        <v>461.94561613854745</v>
      </c>
      <c r="J95">
        <v>139</v>
      </c>
      <c r="K95">
        <v>92</v>
      </c>
      <c r="L95">
        <v>142</v>
      </c>
      <c r="M95">
        <v>95</v>
      </c>
      <c r="N95" s="120">
        <v>0</v>
      </c>
      <c r="O95" s="120">
        <v>0</v>
      </c>
      <c r="P95">
        <v>3</v>
      </c>
    </row>
    <row r="96" spans="1:16">
      <c r="A96" t="s">
        <v>127</v>
      </c>
      <c r="B96">
        <v>83</v>
      </c>
      <c r="C96">
        <v>130</v>
      </c>
      <c r="D96">
        <v>128</v>
      </c>
      <c r="E96">
        <v>59</v>
      </c>
      <c r="F96">
        <v>189</v>
      </c>
      <c r="G96">
        <v>144</v>
      </c>
      <c r="H96">
        <v>330.79999999999995</v>
      </c>
      <c r="I96" s="14">
        <v>449.75201158584451</v>
      </c>
      <c r="J96">
        <v>140</v>
      </c>
      <c r="K96">
        <v>93</v>
      </c>
      <c r="L96">
        <v>138</v>
      </c>
      <c r="M96">
        <v>91</v>
      </c>
      <c r="N96" s="120">
        <v>0</v>
      </c>
      <c r="O96" s="120">
        <v>0</v>
      </c>
      <c r="P96">
        <v>6</v>
      </c>
    </row>
    <row r="97" spans="1:16">
      <c r="A97" t="s">
        <v>236</v>
      </c>
      <c r="B97">
        <v>166</v>
      </c>
      <c r="C97">
        <v>61</v>
      </c>
      <c r="D97">
        <v>159</v>
      </c>
      <c r="E97">
        <v>113</v>
      </c>
      <c r="F97">
        <v>57</v>
      </c>
      <c r="G97">
        <v>128</v>
      </c>
      <c r="H97">
        <v>331.7</v>
      </c>
      <c r="I97" s="14">
        <v>440.2906496461415</v>
      </c>
      <c r="J97">
        <v>141</v>
      </c>
      <c r="K97">
        <v>94</v>
      </c>
      <c r="L97">
        <v>132</v>
      </c>
      <c r="M97">
        <v>87</v>
      </c>
      <c r="N97" s="120">
        <v>0</v>
      </c>
      <c r="O97" s="120">
        <v>0</v>
      </c>
      <c r="P97">
        <v>5</v>
      </c>
    </row>
    <row r="98" spans="1:16">
      <c r="A98" t="s">
        <v>70</v>
      </c>
      <c r="B98">
        <v>117</v>
      </c>
      <c r="C98">
        <v>111</v>
      </c>
      <c r="D98">
        <v>136</v>
      </c>
      <c r="E98">
        <v>178</v>
      </c>
      <c r="F98">
        <v>65</v>
      </c>
      <c r="G98">
        <v>159</v>
      </c>
      <c r="H98">
        <v>336.29999999999995</v>
      </c>
      <c r="I98" s="14">
        <v>483.00629462455731</v>
      </c>
      <c r="J98">
        <v>143</v>
      </c>
      <c r="K98">
        <v>95</v>
      </c>
      <c r="L98">
        <v>156</v>
      </c>
      <c r="M98">
        <v>105</v>
      </c>
      <c r="N98" s="120">
        <v>0</v>
      </c>
      <c r="O98" s="120">
        <v>0</v>
      </c>
      <c r="P98">
        <v>29</v>
      </c>
    </row>
    <row r="99" spans="1:16">
      <c r="A99" t="s">
        <v>109</v>
      </c>
      <c r="B99">
        <v>137</v>
      </c>
      <c r="C99">
        <v>11</v>
      </c>
      <c r="D99">
        <v>142</v>
      </c>
      <c r="E99">
        <v>202</v>
      </c>
      <c r="F99">
        <v>110</v>
      </c>
      <c r="G99">
        <v>157</v>
      </c>
      <c r="H99">
        <v>336.6</v>
      </c>
      <c r="I99" s="14">
        <v>484.00872121664406</v>
      </c>
      <c r="J99">
        <v>144</v>
      </c>
      <c r="K99">
        <v>96</v>
      </c>
      <c r="L99">
        <v>157</v>
      </c>
      <c r="M99">
        <v>106</v>
      </c>
      <c r="N99" s="120">
        <v>0</v>
      </c>
      <c r="O99" s="120">
        <v>0</v>
      </c>
      <c r="P99">
        <v>0</v>
      </c>
    </row>
    <row r="100" spans="1:16">
      <c r="A100" t="s">
        <v>91</v>
      </c>
      <c r="B100">
        <v>65</v>
      </c>
      <c r="C100">
        <v>121</v>
      </c>
      <c r="D100">
        <v>161</v>
      </c>
      <c r="E100">
        <v>65</v>
      </c>
      <c r="F100">
        <v>184</v>
      </c>
      <c r="G100">
        <v>172</v>
      </c>
      <c r="H100">
        <v>336.7</v>
      </c>
      <c r="I100" s="14">
        <v>490.0487673911349</v>
      </c>
      <c r="J100">
        <v>145</v>
      </c>
      <c r="K100">
        <v>97</v>
      </c>
      <c r="L100">
        <v>159</v>
      </c>
      <c r="M100">
        <v>108</v>
      </c>
      <c r="N100" s="120">
        <v>0</v>
      </c>
      <c r="O100" s="120">
        <v>3.0303030303030304E-2</v>
      </c>
      <c r="P100">
        <v>14</v>
      </c>
    </row>
    <row r="101" spans="1:16">
      <c r="A101" t="s">
        <v>179</v>
      </c>
      <c r="B101">
        <v>201</v>
      </c>
      <c r="C101">
        <v>40</v>
      </c>
      <c r="D101">
        <v>41</v>
      </c>
      <c r="E101">
        <v>157</v>
      </c>
      <c r="F101">
        <v>171</v>
      </c>
      <c r="G101">
        <v>139</v>
      </c>
      <c r="H101">
        <v>337.7</v>
      </c>
      <c r="I101" s="14">
        <v>440.94498725300059</v>
      </c>
      <c r="J101">
        <v>146</v>
      </c>
      <c r="K101">
        <v>98</v>
      </c>
      <c r="L101">
        <v>133</v>
      </c>
      <c r="M101">
        <v>88</v>
      </c>
      <c r="N101" s="120">
        <v>0</v>
      </c>
      <c r="O101" s="120">
        <v>0</v>
      </c>
      <c r="P101">
        <v>-9</v>
      </c>
    </row>
    <row r="102" spans="1:16">
      <c r="A102" t="s">
        <v>240</v>
      </c>
      <c r="B102">
        <v>174</v>
      </c>
      <c r="C102">
        <v>65</v>
      </c>
      <c r="D102">
        <v>43</v>
      </c>
      <c r="E102">
        <v>187</v>
      </c>
      <c r="F102">
        <v>160</v>
      </c>
      <c r="G102">
        <v>156</v>
      </c>
      <c r="H102">
        <v>339.2</v>
      </c>
      <c r="I102" s="14">
        <v>465.09973593714886</v>
      </c>
      <c r="J102">
        <v>147</v>
      </c>
      <c r="K102">
        <v>99</v>
      </c>
      <c r="L102">
        <v>147</v>
      </c>
      <c r="M102">
        <v>98</v>
      </c>
      <c r="N102" s="120">
        <v>0</v>
      </c>
      <c r="O102" s="120">
        <v>0</v>
      </c>
      <c r="P102">
        <v>47</v>
      </c>
    </row>
    <row r="103" spans="1:16">
      <c r="A103" t="s">
        <v>13</v>
      </c>
      <c r="B103">
        <v>40</v>
      </c>
      <c r="C103">
        <v>183</v>
      </c>
      <c r="D103">
        <v>122</v>
      </c>
      <c r="E103">
        <v>181</v>
      </c>
      <c r="F103">
        <v>128</v>
      </c>
      <c r="G103">
        <v>140</v>
      </c>
      <c r="H103">
        <v>341.29999999999995</v>
      </c>
      <c r="I103" s="14">
        <v>471.78561535881363</v>
      </c>
      <c r="J103">
        <v>149</v>
      </c>
      <c r="K103">
        <v>100</v>
      </c>
      <c r="L103">
        <v>149</v>
      </c>
      <c r="M103">
        <v>100</v>
      </c>
      <c r="N103" s="120">
        <v>0</v>
      </c>
      <c r="O103" s="120">
        <v>0</v>
      </c>
      <c r="P103">
        <v>-9</v>
      </c>
    </row>
    <row r="104" spans="1:16">
      <c r="A104" t="s">
        <v>103</v>
      </c>
      <c r="B104">
        <v>113</v>
      </c>
      <c r="C104">
        <v>82</v>
      </c>
      <c r="D104">
        <v>180</v>
      </c>
      <c r="E104">
        <v>167</v>
      </c>
      <c r="F104">
        <v>58</v>
      </c>
      <c r="G104">
        <v>130</v>
      </c>
      <c r="H104">
        <v>341.9</v>
      </c>
      <c r="I104" s="14">
        <v>464.73179762582049</v>
      </c>
      <c r="J104">
        <v>150</v>
      </c>
      <c r="K104">
        <v>101</v>
      </c>
      <c r="L104">
        <v>146</v>
      </c>
      <c r="M104">
        <v>97</v>
      </c>
      <c r="N104" s="120">
        <v>0</v>
      </c>
      <c r="O104" s="120">
        <v>0</v>
      </c>
      <c r="P104">
        <v>68</v>
      </c>
    </row>
    <row r="105" spans="1:16">
      <c r="A105" t="s">
        <v>12</v>
      </c>
      <c r="B105">
        <v>8</v>
      </c>
      <c r="C105">
        <v>203</v>
      </c>
      <c r="D105">
        <v>173</v>
      </c>
      <c r="E105">
        <v>156</v>
      </c>
      <c r="F105">
        <v>114</v>
      </c>
      <c r="G105">
        <v>124</v>
      </c>
      <c r="H105">
        <v>347.6</v>
      </c>
      <c r="I105" s="14">
        <v>468.3505040010333</v>
      </c>
      <c r="J105">
        <v>152</v>
      </c>
      <c r="K105">
        <v>102</v>
      </c>
      <c r="L105">
        <v>148</v>
      </c>
      <c r="M105">
        <v>99</v>
      </c>
      <c r="N105" s="120">
        <v>0</v>
      </c>
      <c r="O105" s="120">
        <v>0</v>
      </c>
      <c r="P105">
        <v>-2</v>
      </c>
    </row>
    <row r="106" spans="1:16">
      <c r="A106" t="s">
        <v>86</v>
      </c>
      <c r="B106">
        <v>70</v>
      </c>
      <c r="C106">
        <v>204</v>
      </c>
      <c r="D106">
        <v>194</v>
      </c>
      <c r="E106">
        <v>97</v>
      </c>
      <c r="F106">
        <v>54</v>
      </c>
      <c r="G106">
        <v>180</v>
      </c>
      <c r="H106">
        <v>352.59999999999997</v>
      </c>
      <c r="I106" s="14">
        <v>520.25156484544164</v>
      </c>
      <c r="J106">
        <v>155</v>
      </c>
      <c r="K106">
        <v>103</v>
      </c>
      <c r="L106">
        <v>173</v>
      </c>
      <c r="M106">
        <v>117</v>
      </c>
      <c r="N106" s="120">
        <v>0</v>
      </c>
      <c r="O106" s="120">
        <v>0</v>
      </c>
      <c r="P106">
        <v>19</v>
      </c>
    </row>
    <row r="107" spans="1:16">
      <c r="A107" t="s">
        <v>32</v>
      </c>
      <c r="B107">
        <v>38</v>
      </c>
      <c r="C107">
        <v>186</v>
      </c>
      <c r="D107">
        <v>146</v>
      </c>
      <c r="E107">
        <v>179</v>
      </c>
      <c r="F107">
        <v>119</v>
      </c>
      <c r="G107">
        <v>152</v>
      </c>
      <c r="H107">
        <v>352.9</v>
      </c>
      <c r="I107" s="14">
        <v>497.41791467071323</v>
      </c>
      <c r="J107">
        <v>157</v>
      </c>
      <c r="K107">
        <v>104</v>
      </c>
      <c r="L107">
        <v>164</v>
      </c>
      <c r="M107">
        <v>111</v>
      </c>
      <c r="N107" s="120">
        <v>0</v>
      </c>
      <c r="O107" s="120">
        <v>3.0303030303030304E-2</v>
      </c>
      <c r="P107">
        <v>-12</v>
      </c>
    </row>
    <row r="108" spans="1:16">
      <c r="A108" t="s">
        <v>167</v>
      </c>
      <c r="B108">
        <v>169</v>
      </c>
      <c r="C108">
        <v>133</v>
      </c>
      <c r="D108">
        <v>192</v>
      </c>
      <c r="E108">
        <v>72</v>
      </c>
      <c r="F108">
        <v>11</v>
      </c>
      <c r="G108">
        <v>129</v>
      </c>
      <c r="H108">
        <v>353.5</v>
      </c>
      <c r="I108" s="14">
        <v>459.76297828050815</v>
      </c>
      <c r="J108">
        <v>158</v>
      </c>
      <c r="K108">
        <v>105</v>
      </c>
      <c r="L108">
        <v>141</v>
      </c>
      <c r="M108">
        <v>94</v>
      </c>
      <c r="N108" s="120">
        <v>0</v>
      </c>
      <c r="O108" s="120">
        <v>0</v>
      </c>
      <c r="P108">
        <v>24</v>
      </c>
    </row>
    <row r="109" spans="1:16">
      <c r="A109" t="s">
        <v>174</v>
      </c>
      <c r="B109">
        <v>179</v>
      </c>
      <c r="C109">
        <v>179</v>
      </c>
      <c r="D109">
        <v>5</v>
      </c>
      <c r="E109">
        <v>210</v>
      </c>
      <c r="F109">
        <v>104</v>
      </c>
      <c r="G109">
        <v>137</v>
      </c>
      <c r="H109">
        <v>354.3</v>
      </c>
      <c r="I109" s="14">
        <v>455.29871670246166</v>
      </c>
      <c r="J109">
        <v>159</v>
      </c>
      <c r="K109">
        <v>106</v>
      </c>
      <c r="L109">
        <v>139</v>
      </c>
      <c r="M109">
        <v>92</v>
      </c>
      <c r="N109" s="120" t="e">
        <v>#N/A</v>
      </c>
      <c r="O109" s="120" t="e">
        <v>#N/A</v>
      </c>
      <c r="P109">
        <v>-28</v>
      </c>
    </row>
    <row r="110" spans="1:16">
      <c r="A110" t="s">
        <v>176</v>
      </c>
      <c r="B110">
        <v>195</v>
      </c>
      <c r="C110">
        <v>70</v>
      </c>
      <c r="D110">
        <v>189</v>
      </c>
      <c r="E110">
        <v>77</v>
      </c>
      <c r="F110">
        <v>45</v>
      </c>
      <c r="G110">
        <v>142</v>
      </c>
      <c r="H110">
        <v>357.09999999999997</v>
      </c>
      <c r="I110" s="14">
        <v>474.32599994351045</v>
      </c>
      <c r="J110">
        <v>161</v>
      </c>
      <c r="K110">
        <v>107</v>
      </c>
      <c r="L110">
        <v>151</v>
      </c>
      <c r="M110">
        <v>102</v>
      </c>
      <c r="N110" s="120">
        <v>0</v>
      </c>
      <c r="O110" s="120">
        <v>0</v>
      </c>
      <c r="P110">
        <v>7</v>
      </c>
    </row>
    <row r="111" spans="1:16">
      <c r="A111" t="s">
        <v>165</v>
      </c>
      <c r="B111">
        <v>163</v>
      </c>
      <c r="C111">
        <v>46</v>
      </c>
      <c r="D111">
        <v>190</v>
      </c>
      <c r="E111">
        <v>1</v>
      </c>
      <c r="F111">
        <v>174</v>
      </c>
      <c r="G111">
        <v>147</v>
      </c>
      <c r="H111">
        <v>357.5</v>
      </c>
      <c r="I111" s="14">
        <v>472.8284952003645</v>
      </c>
      <c r="J111">
        <v>162</v>
      </c>
      <c r="K111">
        <v>108</v>
      </c>
      <c r="L111">
        <v>150</v>
      </c>
      <c r="M111">
        <v>101</v>
      </c>
      <c r="N111" s="120">
        <v>0</v>
      </c>
      <c r="O111" s="120">
        <v>0</v>
      </c>
      <c r="P111">
        <v>-32</v>
      </c>
    </row>
    <row r="112" spans="1:16">
      <c r="A112" t="s">
        <v>31</v>
      </c>
      <c r="B112">
        <v>35</v>
      </c>
      <c r="C112">
        <v>138</v>
      </c>
      <c r="D112">
        <v>141</v>
      </c>
      <c r="E112">
        <v>170</v>
      </c>
      <c r="F112">
        <v>199</v>
      </c>
      <c r="G112">
        <v>163</v>
      </c>
      <c r="H112">
        <v>359.7</v>
      </c>
      <c r="I112" s="14">
        <v>512.72915090218135</v>
      </c>
      <c r="J112">
        <v>164</v>
      </c>
      <c r="K112">
        <v>109</v>
      </c>
      <c r="L112">
        <v>171</v>
      </c>
      <c r="M112">
        <v>115</v>
      </c>
      <c r="N112" s="120">
        <v>0</v>
      </c>
      <c r="O112" s="120">
        <v>0</v>
      </c>
      <c r="P112">
        <v>-1</v>
      </c>
    </row>
    <row r="113" spans="1:16">
      <c r="A113" t="s">
        <v>145</v>
      </c>
      <c r="B113">
        <v>162</v>
      </c>
      <c r="C113">
        <v>28</v>
      </c>
      <c r="D113">
        <v>113</v>
      </c>
      <c r="E113">
        <v>196</v>
      </c>
      <c r="F113">
        <v>152</v>
      </c>
      <c r="G113">
        <v>162</v>
      </c>
      <c r="H113">
        <v>360.9</v>
      </c>
      <c r="I113" s="14">
        <v>502.81071273436413</v>
      </c>
      <c r="J113">
        <v>165</v>
      </c>
      <c r="K113">
        <v>110</v>
      </c>
      <c r="L113">
        <v>165</v>
      </c>
      <c r="M113">
        <v>112</v>
      </c>
      <c r="N113" s="120">
        <v>0</v>
      </c>
      <c r="O113" s="120">
        <v>0</v>
      </c>
      <c r="P113">
        <v>-1</v>
      </c>
    </row>
    <row r="114" spans="1:16">
      <c r="A114" t="s">
        <v>77</v>
      </c>
      <c r="B114">
        <v>102</v>
      </c>
      <c r="C114">
        <v>190</v>
      </c>
      <c r="D114">
        <v>84</v>
      </c>
      <c r="E114">
        <v>183</v>
      </c>
      <c r="F114">
        <v>127</v>
      </c>
      <c r="G114">
        <v>152</v>
      </c>
      <c r="H114">
        <v>361.9</v>
      </c>
      <c r="I114" s="14">
        <v>491.36223173324458</v>
      </c>
      <c r="J114" s="16">
        <v>166.5</v>
      </c>
      <c r="K114">
        <v>111</v>
      </c>
      <c r="L114">
        <v>160</v>
      </c>
      <c r="M114">
        <v>109</v>
      </c>
      <c r="N114" s="120">
        <v>0</v>
      </c>
      <c r="O114" s="120">
        <v>0</v>
      </c>
      <c r="P114">
        <v>10</v>
      </c>
    </row>
    <row r="115" spans="1:16">
      <c r="A115" t="s">
        <v>156</v>
      </c>
      <c r="B115">
        <v>157</v>
      </c>
      <c r="C115">
        <v>56</v>
      </c>
      <c r="D115">
        <v>96</v>
      </c>
      <c r="E115">
        <v>177</v>
      </c>
      <c r="F115">
        <v>172</v>
      </c>
      <c r="G115">
        <v>171</v>
      </c>
      <c r="H115">
        <v>361.9</v>
      </c>
      <c r="I115" s="14">
        <v>507.94955824970373</v>
      </c>
      <c r="J115">
        <v>166.5</v>
      </c>
      <c r="K115">
        <v>112</v>
      </c>
      <c r="L115">
        <v>170</v>
      </c>
      <c r="M115">
        <v>114</v>
      </c>
      <c r="N115" s="120">
        <v>0</v>
      </c>
      <c r="O115" s="120">
        <v>2.9411764705882353E-2</v>
      </c>
      <c r="P115">
        <v>9</v>
      </c>
    </row>
    <row r="116" spans="1:16">
      <c r="A116" t="s">
        <v>41</v>
      </c>
      <c r="B116">
        <v>59</v>
      </c>
      <c r="C116">
        <v>205</v>
      </c>
      <c r="D116">
        <v>169</v>
      </c>
      <c r="E116">
        <v>185</v>
      </c>
      <c r="F116">
        <v>55</v>
      </c>
      <c r="G116">
        <v>134</v>
      </c>
      <c r="H116">
        <v>363.6</v>
      </c>
      <c r="I116" s="14">
        <v>491.41536647648024</v>
      </c>
      <c r="J116">
        <v>168</v>
      </c>
      <c r="K116">
        <v>113</v>
      </c>
      <c r="L116">
        <v>161</v>
      </c>
      <c r="M116">
        <v>110</v>
      </c>
      <c r="N116" s="120">
        <v>0</v>
      </c>
      <c r="O116" s="120">
        <v>0</v>
      </c>
      <c r="P116">
        <v>22</v>
      </c>
    </row>
    <row r="117" spans="1:16">
      <c r="A117" t="s">
        <v>25</v>
      </c>
      <c r="B117">
        <v>62</v>
      </c>
      <c r="C117">
        <v>77</v>
      </c>
      <c r="D117">
        <v>198</v>
      </c>
      <c r="E117">
        <v>172</v>
      </c>
      <c r="F117">
        <v>149</v>
      </c>
      <c r="G117">
        <v>172</v>
      </c>
      <c r="H117">
        <v>363.8</v>
      </c>
      <c r="I117" s="14">
        <v>532.67435840730536</v>
      </c>
      <c r="J117">
        <v>169</v>
      </c>
      <c r="K117">
        <v>114</v>
      </c>
      <c r="L117">
        <v>179</v>
      </c>
      <c r="M117">
        <v>121</v>
      </c>
      <c r="N117" s="120">
        <v>0</v>
      </c>
      <c r="O117" s="120">
        <v>0</v>
      </c>
      <c r="P117">
        <v>2</v>
      </c>
    </row>
    <row r="118" spans="1:16">
      <c r="A118" t="s">
        <v>138</v>
      </c>
      <c r="B118">
        <v>89</v>
      </c>
      <c r="C118">
        <v>199</v>
      </c>
      <c r="D118">
        <v>107</v>
      </c>
      <c r="E118">
        <v>111</v>
      </c>
      <c r="F118">
        <v>169</v>
      </c>
      <c r="G118">
        <v>185</v>
      </c>
      <c r="H118">
        <v>365.6</v>
      </c>
      <c r="I118" s="14">
        <v>523.19356208393594</v>
      </c>
      <c r="J118">
        <v>170</v>
      </c>
      <c r="K118">
        <v>115</v>
      </c>
      <c r="L118">
        <v>174</v>
      </c>
      <c r="M118">
        <v>118</v>
      </c>
      <c r="N118" s="120">
        <v>0</v>
      </c>
      <c r="O118" s="120">
        <v>0</v>
      </c>
      <c r="P118">
        <v>-8</v>
      </c>
    </row>
    <row r="119" spans="1:16">
      <c r="A119" t="s">
        <v>75</v>
      </c>
      <c r="B119">
        <v>93</v>
      </c>
      <c r="C119">
        <v>192</v>
      </c>
      <c r="D119">
        <v>79</v>
      </c>
      <c r="E119">
        <v>120</v>
      </c>
      <c r="F119">
        <v>204</v>
      </c>
      <c r="G119">
        <v>190</v>
      </c>
      <c r="H119">
        <v>366.4</v>
      </c>
      <c r="I119" s="14">
        <v>525.33771386368608</v>
      </c>
      <c r="J119">
        <v>171</v>
      </c>
      <c r="K119">
        <v>116</v>
      </c>
      <c r="L119">
        <v>177</v>
      </c>
      <c r="M119">
        <v>120</v>
      </c>
      <c r="N119" s="120">
        <v>0</v>
      </c>
      <c r="O119" s="120">
        <v>0</v>
      </c>
      <c r="P119">
        <v>5</v>
      </c>
    </row>
    <row r="120" spans="1:16">
      <c r="A120" t="s">
        <v>133</v>
      </c>
      <c r="B120">
        <v>164</v>
      </c>
      <c r="C120">
        <v>88</v>
      </c>
      <c r="D120">
        <v>181</v>
      </c>
      <c r="E120">
        <v>62</v>
      </c>
      <c r="F120">
        <v>117</v>
      </c>
      <c r="G120">
        <v>133</v>
      </c>
      <c r="H120">
        <v>368.8</v>
      </c>
      <c r="I120" s="14">
        <v>474.46223386426357</v>
      </c>
      <c r="J120">
        <v>172</v>
      </c>
      <c r="K120">
        <v>117</v>
      </c>
      <c r="L120">
        <v>152</v>
      </c>
      <c r="M120">
        <v>103</v>
      </c>
      <c r="N120" s="120">
        <v>0</v>
      </c>
      <c r="O120" s="120">
        <v>0</v>
      </c>
      <c r="P120">
        <v>4</v>
      </c>
    </row>
    <row r="121" spans="1:16">
      <c r="A121" t="s">
        <v>245</v>
      </c>
      <c r="B121">
        <v>189</v>
      </c>
      <c r="C121">
        <v>135</v>
      </c>
      <c r="D121">
        <v>202</v>
      </c>
      <c r="E121">
        <v>33</v>
      </c>
      <c r="F121">
        <v>33</v>
      </c>
      <c r="G121">
        <v>164</v>
      </c>
      <c r="H121">
        <v>370.89999999999992</v>
      </c>
      <c r="I121" s="14">
        <v>505.07306674031764</v>
      </c>
      <c r="J121">
        <v>173</v>
      </c>
      <c r="K121">
        <v>118</v>
      </c>
      <c r="L121">
        <v>167</v>
      </c>
      <c r="M121">
        <v>113</v>
      </c>
      <c r="N121" s="120">
        <v>0</v>
      </c>
      <c r="O121" s="120">
        <v>0</v>
      </c>
      <c r="P121">
        <v>19</v>
      </c>
    </row>
    <row r="122" spans="1:16">
      <c r="A122" t="s">
        <v>190</v>
      </c>
      <c r="B122">
        <v>211</v>
      </c>
      <c r="C122">
        <v>39</v>
      </c>
      <c r="D122">
        <v>167</v>
      </c>
      <c r="E122">
        <v>133</v>
      </c>
      <c r="F122">
        <v>71</v>
      </c>
      <c r="G122">
        <v>172</v>
      </c>
      <c r="H122">
        <v>372.79999999999995</v>
      </c>
      <c r="I122" s="14">
        <v>520.22838298759916</v>
      </c>
      <c r="J122">
        <v>175</v>
      </c>
      <c r="K122">
        <v>119</v>
      </c>
      <c r="L122">
        <v>172</v>
      </c>
      <c r="M122">
        <v>116</v>
      </c>
      <c r="N122" s="120">
        <v>0</v>
      </c>
      <c r="O122" s="120">
        <v>6.25E-2</v>
      </c>
      <c r="P122">
        <v>19</v>
      </c>
    </row>
    <row r="123" spans="1:16">
      <c r="A123" t="s">
        <v>142</v>
      </c>
      <c r="B123">
        <v>172</v>
      </c>
      <c r="C123">
        <v>158</v>
      </c>
      <c r="D123">
        <v>181</v>
      </c>
      <c r="E123">
        <v>40</v>
      </c>
      <c r="F123">
        <v>62</v>
      </c>
      <c r="G123">
        <v>145</v>
      </c>
      <c r="H123">
        <v>373.09999999999997</v>
      </c>
      <c r="I123" s="14">
        <v>486.68884319419476</v>
      </c>
      <c r="J123">
        <v>176</v>
      </c>
      <c r="K123">
        <v>120</v>
      </c>
      <c r="L123">
        <v>158</v>
      </c>
      <c r="M123">
        <v>107</v>
      </c>
      <c r="N123" s="120">
        <v>0</v>
      </c>
      <c r="O123" s="120">
        <v>0</v>
      </c>
      <c r="P123">
        <v>14</v>
      </c>
    </row>
    <row r="124" spans="1:16">
      <c r="A124" t="s">
        <v>62</v>
      </c>
      <c r="B124">
        <v>80</v>
      </c>
      <c r="C124">
        <v>106</v>
      </c>
      <c r="D124">
        <v>162</v>
      </c>
      <c r="E124">
        <v>147</v>
      </c>
      <c r="F124">
        <v>191</v>
      </c>
      <c r="G124">
        <v>176</v>
      </c>
      <c r="H124">
        <v>376.7</v>
      </c>
      <c r="I124" s="14">
        <v>537.6958936471168</v>
      </c>
      <c r="J124">
        <v>178</v>
      </c>
      <c r="K124">
        <v>121</v>
      </c>
      <c r="L124">
        <v>182</v>
      </c>
      <c r="M124">
        <v>123</v>
      </c>
      <c r="N124" s="120">
        <v>0</v>
      </c>
      <c r="O124" s="120">
        <v>0</v>
      </c>
      <c r="P124">
        <v>13</v>
      </c>
    </row>
    <row r="125" spans="1:16">
      <c r="A125" t="s">
        <v>7</v>
      </c>
      <c r="B125">
        <v>2</v>
      </c>
      <c r="C125">
        <v>210</v>
      </c>
      <c r="D125">
        <v>134</v>
      </c>
      <c r="E125">
        <v>208</v>
      </c>
      <c r="F125">
        <v>193</v>
      </c>
      <c r="G125">
        <v>195</v>
      </c>
      <c r="H125">
        <v>379.9</v>
      </c>
      <c r="I125" s="14">
        <v>567.85167650078893</v>
      </c>
      <c r="J125">
        <v>180</v>
      </c>
      <c r="K125">
        <v>122</v>
      </c>
      <c r="L125">
        <v>190</v>
      </c>
      <c r="M125">
        <v>127</v>
      </c>
      <c r="N125" s="120">
        <v>0</v>
      </c>
      <c r="O125" s="120">
        <v>0</v>
      </c>
      <c r="P125">
        <v>-16</v>
      </c>
    </row>
    <row r="126" spans="1:16">
      <c r="A126" t="s">
        <v>57</v>
      </c>
      <c r="B126">
        <v>51</v>
      </c>
      <c r="C126">
        <v>207</v>
      </c>
      <c r="D126">
        <v>206</v>
      </c>
      <c r="E126">
        <v>49</v>
      </c>
      <c r="F126">
        <v>162</v>
      </c>
      <c r="G126">
        <v>206</v>
      </c>
      <c r="H126">
        <v>384</v>
      </c>
      <c r="I126" s="14">
        <v>570.60137068882807</v>
      </c>
      <c r="J126">
        <v>181</v>
      </c>
      <c r="K126">
        <v>123</v>
      </c>
      <c r="L126">
        <v>192</v>
      </c>
      <c r="M126">
        <v>129</v>
      </c>
      <c r="N126" s="120">
        <v>0</v>
      </c>
      <c r="O126" s="120">
        <v>0</v>
      </c>
      <c r="P126">
        <v>-4</v>
      </c>
    </row>
    <row r="127" spans="1:16">
      <c r="A127" t="s">
        <v>170</v>
      </c>
      <c r="B127">
        <v>173</v>
      </c>
      <c r="C127">
        <v>80</v>
      </c>
      <c r="D127">
        <v>200</v>
      </c>
      <c r="E127">
        <v>163</v>
      </c>
      <c r="F127">
        <v>36</v>
      </c>
      <c r="G127">
        <v>187</v>
      </c>
      <c r="H127">
        <v>384.3</v>
      </c>
      <c r="I127" s="14">
        <v>556.5873187494243</v>
      </c>
      <c r="J127">
        <v>183</v>
      </c>
      <c r="K127">
        <v>124</v>
      </c>
      <c r="L127">
        <v>185</v>
      </c>
      <c r="M127">
        <v>124</v>
      </c>
      <c r="N127" s="120">
        <v>0</v>
      </c>
      <c r="O127" s="120">
        <v>0</v>
      </c>
      <c r="P127">
        <v>-42</v>
      </c>
    </row>
    <row r="128" spans="1:16">
      <c r="A128" t="s">
        <v>81</v>
      </c>
      <c r="B128">
        <v>87</v>
      </c>
      <c r="C128">
        <v>181</v>
      </c>
      <c r="D128">
        <v>130</v>
      </c>
      <c r="E128">
        <v>104</v>
      </c>
      <c r="F128">
        <v>203</v>
      </c>
      <c r="G128">
        <v>167</v>
      </c>
      <c r="H128">
        <v>385.5</v>
      </c>
      <c r="I128" s="14">
        <v>525.25702648515244</v>
      </c>
      <c r="J128">
        <v>184</v>
      </c>
      <c r="K128">
        <v>125</v>
      </c>
      <c r="L128">
        <v>176</v>
      </c>
      <c r="M128">
        <v>119</v>
      </c>
      <c r="N128" s="120">
        <v>0</v>
      </c>
      <c r="O128" s="120">
        <v>0</v>
      </c>
      <c r="P128">
        <v>-25</v>
      </c>
    </row>
    <row r="129" spans="1:16">
      <c r="A129" t="s">
        <v>78</v>
      </c>
      <c r="B129">
        <v>58</v>
      </c>
      <c r="C129">
        <v>166</v>
      </c>
      <c r="D129">
        <v>203</v>
      </c>
      <c r="E129">
        <v>79</v>
      </c>
      <c r="F129">
        <v>185</v>
      </c>
      <c r="G129">
        <v>186</v>
      </c>
      <c r="H129">
        <v>389.8</v>
      </c>
      <c r="I129" s="14">
        <v>558.43003346641467</v>
      </c>
      <c r="J129">
        <v>186</v>
      </c>
      <c r="K129">
        <v>126</v>
      </c>
      <c r="L129">
        <v>187</v>
      </c>
      <c r="M129">
        <v>125</v>
      </c>
      <c r="N129" s="120">
        <v>0</v>
      </c>
      <c r="O129" s="120">
        <v>0</v>
      </c>
      <c r="P129">
        <v>-16</v>
      </c>
    </row>
    <row r="130" spans="1:16">
      <c r="A130" t="s">
        <v>43</v>
      </c>
      <c r="B130">
        <v>37</v>
      </c>
      <c r="C130">
        <v>207</v>
      </c>
      <c r="D130">
        <v>144</v>
      </c>
      <c r="E130">
        <v>170</v>
      </c>
      <c r="F130">
        <v>186</v>
      </c>
      <c r="G130">
        <v>194</v>
      </c>
      <c r="H130">
        <v>391.2</v>
      </c>
      <c r="I130" s="14">
        <v>570.97662653951966</v>
      </c>
      <c r="J130">
        <v>188</v>
      </c>
      <c r="K130">
        <v>127</v>
      </c>
      <c r="L130">
        <v>193</v>
      </c>
      <c r="M130">
        <v>130</v>
      </c>
      <c r="N130" s="120">
        <v>0</v>
      </c>
      <c r="O130" s="120">
        <v>0</v>
      </c>
      <c r="P130">
        <v>-10</v>
      </c>
    </row>
    <row r="131" spans="1:16">
      <c r="A131" t="s">
        <v>119</v>
      </c>
      <c r="B131">
        <v>132</v>
      </c>
      <c r="C131">
        <v>174</v>
      </c>
      <c r="D131">
        <v>69</v>
      </c>
      <c r="E131">
        <v>176</v>
      </c>
      <c r="F131">
        <v>187</v>
      </c>
      <c r="G131">
        <v>175</v>
      </c>
      <c r="H131">
        <v>391.6</v>
      </c>
      <c r="I131" s="14">
        <v>534.61730673439502</v>
      </c>
      <c r="J131">
        <v>189</v>
      </c>
      <c r="K131">
        <v>128</v>
      </c>
      <c r="L131">
        <v>180</v>
      </c>
      <c r="M131">
        <v>122</v>
      </c>
      <c r="N131" s="120">
        <v>0</v>
      </c>
      <c r="O131" s="120">
        <v>0</v>
      </c>
      <c r="P131">
        <v>6</v>
      </c>
    </row>
    <row r="132" spans="1:16">
      <c r="A132" t="s">
        <v>37</v>
      </c>
      <c r="B132">
        <v>59</v>
      </c>
      <c r="C132">
        <v>198</v>
      </c>
      <c r="D132">
        <v>185</v>
      </c>
      <c r="E132">
        <v>198</v>
      </c>
      <c r="F132">
        <v>94</v>
      </c>
      <c r="G132">
        <v>188</v>
      </c>
      <c r="H132">
        <v>396</v>
      </c>
      <c r="I132" s="14">
        <v>577.4290918243031</v>
      </c>
      <c r="J132">
        <v>191</v>
      </c>
      <c r="K132">
        <v>129</v>
      </c>
      <c r="L132">
        <v>194</v>
      </c>
      <c r="M132">
        <v>131</v>
      </c>
      <c r="N132" s="120">
        <v>0</v>
      </c>
      <c r="O132" s="120">
        <v>0</v>
      </c>
      <c r="P132">
        <v>9</v>
      </c>
    </row>
    <row r="133" spans="1:16">
      <c r="A133" t="s">
        <v>116</v>
      </c>
      <c r="B133">
        <v>103</v>
      </c>
      <c r="C133">
        <v>85</v>
      </c>
      <c r="D133">
        <v>188</v>
      </c>
      <c r="E133">
        <v>203</v>
      </c>
      <c r="F133">
        <v>139</v>
      </c>
      <c r="G133">
        <v>196</v>
      </c>
      <c r="H133">
        <v>396.9</v>
      </c>
      <c r="I133" s="14">
        <v>584.46197278982436</v>
      </c>
      <c r="J133">
        <v>192</v>
      </c>
      <c r="K133">
        <v>130</v>
      </c>
      <c r="L133">
        <v>199</v>
      </c>
      <c r="M133">
        <v>135</v>
      </c>
      <c r="N133" s="120">
        <v>0</v>
      </c>
      <c r="O133" s="120">
        <v>0</v>
      </c>
      <c r="P133">
        <v>-14</v>
      </c>
    </row>
    <row r="134" spans="1:16">
      <c r="A134" t="s">
        <v>177</v>
      </c>
      <c r="B134">
        <v>174</v>
      </c>
      <c r="C134">
        <v>10</v>
      </c>
      <c r="D134">
        <v>176</v>
      </c>
      <c r="E134">
        <v>149</v>
      </c>
      <c r="F134">
        <v>188</v>
      </c>
      <c r="G134">
        <v>198</v>
      </c>
      <c r="H134">
        <v>403.6</v>
      </c>
      <c r="I134" s="14">
        <v>578.84251645885968</v>
      </c>
      <c r="J134">
        <v>193</v>
      </c>
      <c r="K134">
        <v>131</v>
      </c>
      <c r="L134">
        <v>196</v>
      </c>
      <c r="M134">
        <v>133</v>
      </c>
      <c r="N134" s="120">
        <v>0</v>
      </c>
      <c r="O134" s="120">
        <v>0</v>
      </c>
      <c r="P134">
        <v>7</v>
      </c>
    </row>
    <row r="135" spans="1:16">
      <c r="A135" t="s">
        <v>61</v>
      </c>
      <c r="B135">
        <v>75</v>
      </c>
      <c r="C135">
        <v>175</v>
      </c>
      <c r="D135">
        <v>148</v>
      </c>
      <c r="E135">
        <v>192</v>
      </c>
      <c r="F135">
        <v>167</v>
      </c>
      <c r="G135">
        <v>178</v>
      </c>
      <c r="H135">
        <v>403.9</v>
      </c>
      <c r="I135" s="14">
        <v>566.61666425735189</v>
      </c>
      <c r="J135">
        <v>194</v>
      </c>
      <c r="K135">
        <v>132</v>
      </c>
      <c r="L135">
        <v>189</v>
      </c>
      <c r="M135">
        <v>126</v>
      </c>
      <c r="N135" s="120">
        <v>0</v>
      </c>
      <c r="O135" s="120">
        <v>0</v>
      </c>
      <c r="P135">
        <v>-30</v>
      </c>
    </row>
    <row r="136" spans="1:16">
      <c r="A136" t="s">
        <v>150</v>
      </c>
      <c r="B136">
        <v>184</v>
      </c>
      <c r="C136">
        <v>78</v>
      </c>
      <c r="D136">
        <v>166</v>
      </c>
      <c r="E136">
        <v>174</v>
      </c>
      <c r="F136">
        <v>113</v>
      </c>
      <c r="G136">
        <v>182</v>
      </c>
      <c r="H136">
        <v>410.1</v>
      </c>
      <c r="I136" s="14">
        <v>569.04247559308828</v>
      </c>
      <c r="J136">
        <v>196</v>
      </c>
      <c r="K136">
        <v>133</v>
      </c>
      <c r="L136">
        <v>191</v>
      </c>
      <c r="M136">
        <v>128</v>
      </c>
      <c r="N136" s="120">
        <v>0</v>
      </c>
      <c r="O136" s="120">
        <v>0</v>
      </c>
      <c r="P136">
        <v>-17</v>
      </c>
    </row>
    <row r="137" spans="1:16">
      <c r="A137" t="s">
        <v>136</v>
      </c>
      <c r="B137">
        <v>150</v>
      </c>
      <c r="C137">
        <v>116</v>
      </c>
      <c r="D137">
        <v>171</v>
      </c>
      <c r="E137">
        <v>195</v>
      </c>
      <c r="F137">
        <v>115</v>
      </c>
      <c r="G137">
        <v>201</v>
      </c>
      <c r="H137">
        <v>418.2</v>
      </c>
      <c r="I137" s="14">
        <v>600.70432088829261</v>
      </c>
      <c r="J137">
        <v>197</v>
      </c>
      <c r="K137">
        <v>134</v>
      </c>
      <c r="L137">
        <v>203</v>
      </c>
      <c r="M137">
        <v>138</v>
      </c>
      <c r="N137" s="120">
        <v>0</v>
      </c>
      <c r="O137" s="120">
        <v>0</v>
      </c>
      <c r="P137">
        <v>-6</v>
      </c>
    </row>
    <row r="138" spans="1:16">
      <c r="A138" t="s">
        <v>173</v>
      </c>
      <c r="B138">
        <v>184</v>
      </c>
      <c r="C138">
        <v>70</v>
      </c>
      <c r="D138">
        <v>191</v>
      </c>
      <c r="E138">
        <v>45</v>
      </c>
      <c r="F138">
        <v>211</v>
      </c>
      <c r="G138">
        <v>208</v>
      </c>
      <c r="H138">
        <v>421</v>
      </c>
      <c r="I138" s="14">
        <v>592.48956443943371</v>
      </c>
      <c r="J138">
        <v>198</v>
      </c>
      <c r="K138">
        <v>135</v>
      </c>
      <c r="L138">
        <v>201</v>
      </c>
      <c r="M138">
        <v>137</v>
      </c>
      <c r="N138" s="120">
        <v>0</v>
      </c>
      <c r="O138" s="120">
        <v>0</v>
      </c>
      <c r="P138" t="e">
        <v>#N/A</v>
      </c>
    </row>
    <row r="139" spans="1:16">
      <c r="A139" t="s">
        <v>120</v>
      </c>
      <c r="B139">
        <v>198</v>
      </c>
      <c r="C139">
        <v>179</v>
      </c>
      <c r="D139">
        <v>18</v>
      </c>
      <c r="E139">
        <v>204</v>
      </c>
      <c r="F139">
        <v>208</v>
      </c>
      <c r="G139">
        <v>199</v>
      </c>
      <c r="H139">
        <v>426.3</v>
      </c>
      <c r="I139" s="14">
        <v>579.21340462782086</v>
      </c>
      <c r="J139">
        <v>203</v>
      </c>
      <c r="K139">
        <v>137</v>
      </c>
      <c r="L139">
        <v>197</v>
      </c>
      <c r="M139">
        <v>134</v>
      </c>
      <c r="N139" s="120" t="e">
        <v>#N/A</v>
      </c>
      <c r="O139" s="120" t="e">
        <v>#N/A</v>
      </c>
      <c r="P139">
        <v>-64</v>
      </c>
    </row>
    <row r="140" spans="1:16">
      <c r="A140" t="s">
        <v>249</v>
      </c>
      <c r="B140">
        <v>155</v>
      </c>
      <c r="C140">
        <v>59</v>
      </c>
      <c r="D140">
        <v>193</v>
      </c>
      <c r="E140">
        <v>180</v>
      </c>
      <c r="F140">
        <v>180</v>
      </c>
      <c r="G140">
        <v>202</v>
      </c>
      <c r="H140">
        <v>435.1</v>
      </c>
      <c r="I140" s="14">
        <v>617.65363293238624</v>
      </c>
      <c r="J140">
        <v>204</v>
      </c>
      <c r="K140">
        <v>138</v>
      </c>
      <c r="L140">
        <v>207</v>
      </c>
      <c r="M140">
        <v>140</v>
      </c>
      <c r="N140" s="120">
        <v>0</v>
      </c>
      <c r="O140" s="120">
        <v>0</v>
      </c>
      <c r="P140">
        <v>-15</v>
      </c>
    </row>
    <row r="141" spans="1:16">
      <c r="A141" t="s">
        <v>160</v>
      </c>
      <c r="B141">
        <v>171</v>
      </c>
      <c r="C141">
        <v>121</v>
      </c>
      <c r="D141">
        <v>168</v>
      </c>
      <c r="E141">
        <v>144</v>
      </c>
      <c r="F141">
        <v>168</v>
      </c>
      <c r="G141">
        <v>168</v>
      </c>
      <c r="H141">
        <v>439.4</v>
      </c>
      <c r="I141" s="14">
        <v>577.69260173423368</v>
      </c>
      <c r="J141">
        <v>206</v>
      </c>
      <c r="K141">
        <v>139</v>
      </c>
      <c r="L141">
        <v>195</v>
      </c>
      <c r="M141">
        <v>132</v>
      </c>
      <c r="N141" s="120">
        <v>0</v>
      </c>
      <c r="O141" s="120">
        <v>3.0303030303030304E-2</v>
      </c>
      <c r="P141">
        <v>-57</v>
      </c>
    </row>
    <row r="142" spans="1:16">
      <c r="A142" t="s">
        <v>248</v>
      </c>
      <c r="B142">
        <v>137</v>
      </c>
      <c r="C142">
        <v>196</v>
      </c>
      <c r="D142">
        <v>208</v>
      </c>
      <c r="E142">
        <v>139</v>
      </c>
      <c r="F142">
        <v>89</v>
      </c>
      <c r="G142">
        <v>193</v>
      </c>
      <c r="H142">
        <v>439.6</v>
      </c>
      <c r="I142" s="14">
        <v>610.73378733496816</v>
      </c>
      <c r="J142">
        <v>207</v>
      </c>
      <c r="K142">
        <v>140</v>
      </c>
      <c r="L142">
        <v>206</v>
      </c>
      <c r="M142">
        <v>139</v>
      </c>
      <c r="N142" s="120">
        <v>0</v>
      </c>
      <c r="O142" s="120">
        <v>0</v>
      </c>
      <c r="P142">
        <v>11</v>
      </c>
    </row>
    <row r="143" spans="1:16">
      <c r="A143" t="s">
        <v>94</v>
      </c>
      <c r="B143">
        <v>153</v>
      </c>
      <c r="C143">
        <v>207</v>
      </c>
      <c r="D143">
        <v>205</v>
      </c>
      <c r="E143">
        <v>173</v>
      </c>
      <c r="F143">
        <v>53</v>
      </c>
      <c r="G143">
        <v>191</v>
      </c>
      <c r="H143">
        <v>449.8</v>
      </c>
      <c r="I143" s="14">
        <v>620.05337680408661</v>
      </c>
      <c r="J143">
        <v>208</v>
      </c>
      <c r="K143">
        <v>141</v>
      </c>
      <c r="L143">
        <v>209</v>
      </c>
      <c r="M143">
        <v>141</v>
      </c>
      <c r="N143" s="120">
        <v>0</v>
      </c>
      <c r="O143" s="120">
        <v>0</v>
      </c>
      <c r="P143">
        <v>-23</v>
      </c>
    </row>
    <row r="144" spans="1:16">
      <c r="A144" t="s">
        <v>169</v>
      </c>
      <c r="B144">
        <v>194</v>
      </c>
      <c r="C144">
        <v>177</v>
      </c>
      <c r="D144">
        <v>201</v>
      </c>
      <c r="E144">
        <v>93</v>
      </c>
      <c r="F144">
        <v>173</v>
      </c>
      <c r="G144">
        <v>205</v>
      </c>
      <c r="H144">
        <v>488.7</v>
      </c>
      <c r="I144" s="14">
        <v>654.22110681047991</v>
      </c>
      <c r="J144">
        <v>212</v>
      </c>
      <c r="K144">
        <v>143</v>
      </c>
      <c r="L144">
        <v>211</v>
      </c>
      <c r="M144">
        <v>142</v>
      </c>
      <c r="N144" s="120">
        <v>0</v>
      </c>
      <c r="O144" s="120">
        <v>2.7027027027027029E-2</v>
      </c>
      <c r="P144">
        <v>-4</v>
      </c>
    </row>
  </sheetData>
  <autoFilter ref="A1:S144" xr:uid="{FE4BF24C-8AB4-4AD9-B2BE-5159F7BEF651}">
    <sortState xmlns:xlrd2="http://schemas.microsoft.com/office/spreadsheetml/2017/richdata2" ref="A2:S144">
      <sortCondition ref="Q1:Q144"/>
    </sortState>
  </autoFilter>
  <conditionalFormatting sqref="N2:O1048576">
    <cfRule type="cellIs" dxfId="146" priority="12" operator="greaterThanOrEqual">
      <formula>20%</formula>
    </cfRule>
    <cfRule type="cellIs" dxfId="145" priority="13" operator="between">
      <formula>10%</formula>
      <formula>20%</formula>
    </cfRule>
    <cfRule type="cellIs" dxfId="144" priority="15" operator="between">
      <formula>0.01%</formula>
      <formula>10%</formula>
    </cfRule>
  </conditionalFormatting>
  <conditionalFormatting sqref="B1:F1 B2:G1048576 J1:J1048576">
    <cfRule type="cellIs" dxfId="143" priority="17" operator="between">
      <formula>101</formula>
      <formula>250</formula>
    </cfRule>
    <cfRule type="cellIs" dxfId="142" priority="18" operator="between">
      <formula>51</formula>
      <formula>100.5</formula>
    </cfRule>
    <cfRule type="cellIs" dxfId="141" priority="19" operator="between">
      <formula>21</formula>
      <formula>50.5</formula>
    </cfRule>
    <cfRule type="cellIs" dxfId="140"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40849-2292-42E9-9A9E-EB2EBC0F812B}">
  <sheetPr codeName="Sheet46">
    <tabColor rgb="FF92D050"/>
  </sheetPr>
  <dimension ref="A1:V141"/>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20" t="s">
        <v>15</v>
      </c>
      <c r="B2">
        <v>11</v>
      </c>
      <c r="C2">
        <v>23</v>
      </c>
      <c r="D2">
        <v>54</v>
      </c>
      <c r="E2">
        <v>8</v>
      </c>
      <c r="F2">
        <v>40</v>
      </c>
      <c r="G2">
        <v>3</v>
      </c>
      <c r="H2">
        <v>81.3</v>
      </c>
      <c r="I2" s="14">
        <v>78.029917118158707</v>
      </c>
      <c r="J2">
        <v>1</v>
      </c>
      <c r="K2">
        <v>1</v>
      </c>
      <c r="L2">
        <v>1</v>
      </c>
      <c r="M2">
        <v>1</v>
      </c>
      <c r="N2" s="120">
        <v>0.1</v>
      </c>
      <c r="O2" s="120">
        <v>0.15</v>
      </c>
      <c r="P2">
        <v>1</v>
      </c>
    </row>
    <row r="3" spans="1:22">
      <c r="A3" s="20" t="s">
        <v>66</v>
      </c>
      <c r="B3">
        <v>54</v>
      </c>
      <c r="C3">
        <v>19</v>
      </c>
      <c r="D3">
        <v>38</v>
      </c>
      <c r="E3">
        <v>33</v>
      </c>
      <c r="F3">
        <v>33</v>
      </c>
      <c r="G3">
        <v>7</v>
      </c>
      <c r="H3">
        <v>109</v>
      </c>
      <c r="I3" s="14">
        <v>100.38529903029195</v>
      </c>
      <c r="J3">
        <v>2</v>
      </c>
      <c r="K3">
        <v>2</v>
      </c>
      <c r="L3">
        <v>3</v>
      </c>
      <c r="M3">
        <v>2</v>
      </c>
      <c r="N3" s="120">
        <v>0.04</v>
      </c>
      <c r="O3" s="120">
        <v>0.08</v>
      </c>
      <c r="P3">
        <v>7</v>
      </c>
    </row>
    <row r="4" spans="1:22">
      <c r="A4" s="20" t="s">
        <v>69</v>
      </c>
      <c r="B4">
        <v>99</v>
      </c>
      <c r="C4">
        <v>20</v>
      </c>
      <c r="D4">
        <v>11</v>
      </c>
      <c r="E4">
        <v>95</v>
      </c>
      <c r="F4">
        <v>5</v>
      </c>
      <c r="G4">
        <v>2</v>
      </c>
      <c r="H4">
        <v>137.4</v>
      </c>
      <c r="I4" s="14">
        <v>117.38175070730075</v>
      </c>
      <c r="J4">
        <v>5</v>
      </c>
      <c r="K4">
        <v>3</v>
      </c>
      <c r="L4">
        <v>4</v>
      </c>
      <c r="M4">
        <v>3</v>
      </c>
      <c r="N4" s="120">
        <v>4.1666666666666664E-2</v>
      </c>
      <c r="O4" s="120">
        <v>8.3333333333333329E-2</v>
      </c>
      <c r="P4">
        <v>-1</v>
      </c>
    </row>
    <row r="5" spans="1:22">
      <c r="A5" t="s">
        <v>68</v>
      </c>
      <c r="B5">
        <v>64</v>
      </c>
      <c r="C5">
        <v>22</v>
      </c>
      <c r="D5">
        <v>10</v>
      </c>
      <c r="E5">
        <v>136</v>
      </c>
      <c r="F5">
        <v>64</v>
      </c>
      <c r="G5">
        <v>15</v>
      </c>
      <c r="H5">
        <v>155.60000000000002</v>
      </c>
      <c r="I5" s="14">
        <v>156.49201312521743</v>
      </c>
      <c r="J5">
        <v>6</v>
      </c>
      <c r="K5">
        <v>4</v>
      </c>
      <c r="L5">
        <v>9</v>
      </c>
      <c r="M5">
        <v>4</v>
      </c>
      <c r="N5" s="120" t="e">
        <v>#VALUE!</v>
      </c>
      <c r="O5" s="120">
        <v>4.1666666666666664E-2</v>
      </c>
      <c r="P5">
        <v>3</v>
      </c>
    </row>
    <row r="6" spans="1:22">
      <c r="A6" t="s">
        <v>73</v>
      </c>
      <c r="B6">
        <v>92</v>
      </c>
      <c r="C6">
        <v>102</v>
      </c>
      <c r="D6">
        <v>60</v>
      </c>
      <c r="E6">
        <v>1</v>
      </c>
      <c r="F6">
        <v>46</v>
      </c>
      <c r="G6">
        <v>9</v>
      </c>
      <c r="H6">
        <v>190.00000000000003</v>
      </c>
      <c r="I6" s="14">
        <v>164.07675804868026</v>
      </c>
      <c r="J6">
        <v>13</v>
      </c>
      <c r="K6">
        <v>7</v>
      </c>
      <c r="L6">
        <v>10</v>
      </c>
      <c r="M6">
        <v>5</v>
      </c>
      <c r="N6" s="120" t="e">
        <v>#VALUE!</v>
      </c>
      <c r="O6" s="120">
        <v>8.6956521739130432E-2</v>
      </c>
      <c r="P6" t="e">
        <v>#N/A</v>
      </c>
    </row>
    <row r="7" spans="1:22">
      <c r="A7" t="s">
        <v>128</v>
      </c>
      <c r="B7">
        <v>103</v>
      </c>
      <c r="C7">
        <v>7</v>
      </c>
      <c r="D7">
        <v>9</v>
      </c>
      <c r="E7">
        <v>65</v>
      </c>
      <c r="F7">
        <v>131</v>
      </c>
      <c r="G7">
        <v>22</v>
      </c>
      <c r="H7">
        <v>183.7</v>
      </c>
      <c r="I7" s="14">
        <v>172.58426201361175</v>
      </c>
      <c r="J7">
        <v>10</v>
      </c>
      <c r="K7">
        <v>5</v>
      </c>
      <c r="L7">
        <v>12</v>
      </c>
      <c r="M7">
        <v>6</v>
      </c>
      <c r="N7" s="120">
        <v>3.3333333333333333E-2</v>
      </c>
      <c r="O7" s="120">
        <v>6.6666666666666666E-2</v>
      </c>
      <c r="P7">
        <v>36</v>
      </c>
    </row>
    <row r="8" spans="1:22">
      <c r="A8" t="s">
        <v>178</v>
      </c>
      <c r="B8">
        <v>212</v>
      </c>
      <c r="C8">
        <v>29</v>
      </c>
      <c r="D8">
        <v>82</v>
      </c>
      <c r="E8">
        <v>3</v>
      </c>
      <c r="F8">
        <v>12</v>
      </c>
      <c r="G8">
        <v>4</v>
      </c>
      <c r="H8">
        <v>248.70000000000002</v>
      </c>
      <c r="I8" s="14">
        <v>193.6437564199959</v>
      </c>
      <c r="J8">
        <v>49</v>
      </c>
      <c r="K8">
        <v>24</v>
      </c>
      <c r="L8">
        <v>13</v>
      </c>
      <c r="M8">
        <v>7</v>
      </c>
      <c r="N8" s="120" t="e">
        <v>#VALUE!</v>
      </c>
      <c r="O8" s="120" t="e">
        <v>#VALUE!</v>
      </c>
      <c r="P8" t="e">
        <v>#N/A</v>
      </c>
    </row>
    <row r="9" spans="1:22">
      <c r="A9" t="s">
        <v>71</v>
      </c>
      <c r="B9">
        <v>77</v>
      </c>
      <c r="C9">
        <v>134</v>
      </c>
      <c r="D9">
        <v>45</v>
      </c>
      <c r="E9">
        <v>96</v>
      </c>
      <c r="F9">
        <v>28</v>
      </c>
      <c r="G9">
        <v>11</v>
      </c>
      <c r="H9">
        <v>212.5</v>
      </c>
      <c r="I9" s="14">
        <v>197.7671224838669</v>
      </c>
      <c r="J9">
        <v>25</v>
      </c>
      <c r="K9">
        <v>13</v>
      </c>
      <c r="L9">
        <v>14</v>
      </c>
      <c r="M9">
        <v>8</v>
      </c>
      <c r="N9" s="120" t="e">
        <v>#VALUE!</v>
      </c>
      <c r="O9" s="120">
        <v>5.7142857142857141E-2</v>
      </c>
      <c r="P9">
        <v>9</v>
      </c>
    </row>
    <row r="10" spans="1:22">
      <c r="A10" t="s">
        <v>141</v>
      </c>
      <c r="B10">
        <v>152</v>
      </c>
      <c r="C10">
        <v>36</v>
      </c>
      <c r="D10">
        <v>16</v>
      </c>
      <c r="E10">
        <v>113</v>
      </c>
      <c r="F10">
        <v>30</v>
      </c>
      <c r="G10">
        <v>25</v>
      </c>
      <c r="H10">
        <v>211</v>
      </c>
      <c r="I10" s="14">
        <v>197.96930465954708</v>
      </c>
      <c r="J10">
        <v>22</v>
      </c>
      <c r="K10">
        <v>11</v>
      </c>
      <c r="L10">
        <v>15</v>
      </c>
      <c r="M10">
        <v>9</v>
      </c>
      <c r="N10" s="120" t="e">
        <v>#VALUE!</v>
      </c>
      <c r="O10" s="120">
        <v>7.1428571428571425E-2</v>
      </c>
      <c r="P10">
        <v>12</v>
      </c>
    </row>
    <row r="11" spans="1:22">
      <c r="A11" t="s">
        <v>135</v>
      </c>
      <c r="B11">
        <v>190</v>
      </c>
      <c r="C11">
        <v>3</v>
      </c>
      <c r="D11">
        <v>19</v>
      </c>
      <c r="E11">
        <v>72</v>
      </c>
      <c r="F11">
        <v>114</v>
      </c>
      <c r="G11">
        <v>17</v>
      </c>
      <c r="H11">
        <v>252.60000000000002</v>
      </c>
      <c r="I11" s="14">
        <v>215.07231386072161</v>
      </c>
      <c r="J11">
        <v>55</v>
      </c>
      <c r="K11">
        <v>27</v>
      </c>
      <c r="L11">
        <v>23</v>
      </c>
      <c r="M11">
        <v>10</v>
      </c>
      <c r="N11" s="120" t="e">
        <v>#VALUE!</v>
      </c>
      <c r="O11" s="120">
        <v>0.04</v>
      </c>
      <c r="P11">
        <v>47</v>
      </c>
    </row>
    <row r="12" spans="1:22">
      <c r="A12" t="s">
        <v>63</v>
      </c>
      <c r="B12">
        <v>39</v>
      </c>
      <c r="C12">
        <v>88</v>
      </c>
      <c r="D12">
        <v>164</v>
      </c>
      <c r="E12">
        <v>57</v>
      </c>
      <c r="F12">
        <v>7</v>
      </c>
      <c r="G12">
        <v>12</v>
      </c>
      <c r="H12">
        <v>216.3</v>
      </c>
      <c r="I12" s="14">
        <v>216.71608283380516</v>
      </c>
      <c r="J12">
        <v>26</v>
      </c>
      <c r="K12">
        <v>14</v>
      </c>
      <c r="L12">
        <v>26</v>
      </c>
      <c r="M12">
        <v>11</v>
      </c>
      <c r="N12" s="120" t="e">
        <v>#VALUE!</v>
      </c>
      <c r="O12" s="120">
        <v>0.125</v>
      </c>
      <c r="P12">
        <v>9</v>
      </c>
    </row>
    <row r="13" spans="1:22">
      <c r="A13" t="s">
        <v>60</v>
      </c>
      <c r="B13">
        <v>63</v>
      </c>
      <c r="C13">
        <v>26</v>
      </c>
      <c r="D13">
        <v>83</v>
      </c>
      <c r="E13">
        <v>154</v>
      </c>
      <c r="F13">
        <v>50</v>
      </c>
      <c r="G13">
        <v>24</v>
      </c>
      <c r="H13">
        <v>208.1</v>
      </c>
      <c r="I13" s="14">
        <v>221.15092735498075</v>
      </c>
      <c r="J13">
        <v>21</v>
      </c>
      <c r="K13">
        <v>10</v>
      </c>
      <c r="L13">
        <v>27</v>
      </c>
      <c r="M13">
        <v>12</v>
      </c>
      <c r="N13" s="120" t="e">
        <v>#VALUE!</v>
      </c>
      <c r="O13" s="120">
        <v>7.1428571428571425E-2</v>
      </c>
      <c r="P13">
        <v>29</v>
      </c>
    </row>
    <row r="14" spans="1:22">
      <c r="A14" t="s">
        <v>54</v>
      </c>
      <c r="B14">
        <v>22</v>
      </c>
      <c r="C14">
        <v>160</v>
      </c>
      <c r="D14">
        <v>29</v>
      </c>
      <c r="E14">
        <v>26</v>
      </c>
      <c r="F14">
        <v>149</v>
      </c>
      <c r="G14">
        <v>46</v>
      </c>
      <c r="H14">
        <v>202.79999999999998</v>
      </c>
      <c r="I14" s="14">
        <v>222.44405072042338</v>
      </c>
      <c r="J14">
        <v>18</v>
      </c>
      <c r="K14">
        <v>9</v>
      </c>
      <c r="L14">
        <v>28</v>
      </c>
      <c r="M14">
        <v>13</v>
      </c>
      <c r="N14" s="120" t="e">
        <v>#VALUE!</v>
      </c>
      <c r="O14" s="120">
        <v>0.04</v>
      </c>
      <c r="P14">
        <v>-39</v>
      </c>
    </row>
    <row r="15" spans="1:22">
      <c r="A15" t="s">
        <v>46</v>
      </c>
      <c r="B15">
        <v>5</v>
      </c>
      <c r="C15">
        <v>157</v>
      </c>
      <c r="D15">
        <v>95</v>
      </c>
      <c r="E15">
        <v>51</v>
      </c>
      <c r="F15">
        <v>59</v>
      </c>
      <c r="G15">
        <v>41</v>
      </c>
      <c r="H15">
        <v>198.9</v>
      </c>
      <c r="I15" s="14">
        <v>227.32071284742943</v>
      </c>
      <c r="J15">
        <v>17</v>
      </c>
      <c r="K15">
        <v>8</v>
      </c>
      <c r="L15">
        <v>32</v>
      </c>
      <c r="M15">
        <v>14</v>
      </c>
      <c r="N15" s="120" t="e">
        <v>#VALUE!</v>
      </c>
      <c r="O15" s="120">
        <v>6.8965517241379309E-2</v>
      </c>
      <c r="P15">
        <v>-1</v>
      </c>
    </row>
    <row r="16" spans="1:22">
      <c r="A16" t="s">
        <v>44</v>
      </c>
      <c r="B16">
        <v>34</v>
      </c>
      <c r="C16">
        <v>42</v>
      </c>
      <c r="D16">
        <v>24</v>
      </c>
      <c r="E16">
        <v>86</v>
      </c>
      <c r="F16">
        <v>170</v>
      </c>
      <c r="G16">
        <v>68</v>
      </c>
      <c r="H16">
        <v>184.4</v>
      </c>
      <c r="I16" s="14">
        <v>234.18146694130263</v>
      </c>
      <c r="J16">
        <v>11</v>
      </c>
      <c r="K16">
        <v>6</v>
      </c>
      <c r="L16">
        <v>34</v>
      </c>
      <c r="M16">
        <v>15</v>
      </c>
      <c r="N16" s="120" t="e">
        <v>#VALUE!</v>
      </c>
      <c r="O16" s="120">
        <v>7.6923076923076927E-2</v>
      </c>
      <c r="P16">
        <v>-24</v>
      </c>
    </row>
    <row r="17" spans="1:16">
      <c r="A17" t="s">
        <v>189</v>
      </c>
      <c r="B17">
        <v>213</v>
      </c>
      <c r="C17">
        <v>48</v>
      </c>
      <c r="D17">
        <v>79</v>
      </c>
      <c r="E17">
        <v>21</v>
      </c>
      <c r="F17">
        <v>25</v>
      </c>
      <c r="G17">
        <v>29</v>
      </c>
      <c r="H17">
        <v>270.59999999999997</v>
      </c>
      <c r="I17" s="14">
        <v>239.11077543913765</v>
      </c>
      <c r="J17">
        <v>67</v>
      </c>
      <c r="K17">
        <v>37</v>
      </c>
      <c r="L17">
        <v>35</v>
      </c>
      <c r="M17">
        <v>16</v>
      </c>
      <c r="N17" s="120" t="e">
        <v>#VALUE!</v>
      </c>
      <c r="O17" s="120" t="e">
        <v>#VALUE!</v>
      </c>
      <c r="P17">
        <v>-2</v>
      </c>
    </row>
    <row r="18" spans="1:16">
      <c r="A18" t="s">
        <v>79</v>
      </c>
      <c r="B18">
        <v>69</v>
      </c>
      <c r="C18">
        <v>118</v>
      </c>
      <c r="D18">
        <v>62</v>
      </c>
      <c r="E18">
        <v>84</v>
      </c>
      <c r="F18">
        <v>61</v>
      </c>
      <c r="G18">
        <v>43</v>
      </c>
      <c r="H18">
        <v>221.7</v>
      </c>
      <c r="I18" s="14">
        <v>239.40427335068148</v>
      </c>
      <c r="J18">
        <v>30</v>
      </c>
      <c r="K18">
        <v>15</v>
      </c>
      <c r="L18">
        <v>36</v>
      </c>
      <c r="M18">
        <v>17</v>
      </c>
      <c r="N18" s="120" t="e">
        <v>#VALUE!</v>
      </c>
      <c r="O18" s="120">
        <v>6.0606060606060608E-2</v>
      </c>
      <c r="P18">
        <v>28</v>
      </c>
    </row>
    <row r="19" spans="1:16">
      <c r="A19" t="s">
        <v>98</v>
      </c>
      <c r="B19">
        <v>38</v>
      </c>
      <c r="C19">
        <v>164</v>
      </c>
      <c r="D19">
        <v>138</v>
      </c>
      <c r="E19">
        <v>78</v>
      </c>
      <c r="F19">
        <v>3</v>
      </c>
      <c r="G19">
        <v>20</v>
      </c>
      <c r="H19">
        <v>241.7</v>
      </c>
      <c r="I19" s="14">
        <v>246.04767097810833</v>
      </c>
      <c r="J19">
        <v>42</v>
      </c>
      <c r="K19">
        <v>22</v>
      </c>
      <c r="L19">
        <v>37</v>
      </c>
      <c r="M19">
        <v>18</v>
      </c>
      <c r="N19" s="120" t="e">
        <v>#VALUE!</v>
      </c>
      <c r="O19" s="120">
        <v>0.14285714285714285</v>
      </c>
      <c r="P19">
        <v>4</v>
      </c>
    </row>
    <row r="20" spans="1:16">
      <c r="A20" t="s">
        <v>149</v>
      </c>
      <c r="B20">
        <v>177</v>
      </c>
      <c r="C20">
        <v>111</v>
      </c>
      <c r="D20">
        <v>37</v>
      </c>
      <c r="E20">
        <v>25</v>
      </c>
      <c r="F20">
        <v>72</v>
      </c>
      <c r="G20">
        <v>49</v>
      </c>
      <c r="H20">
        <v>269</v>
      </c>
      <c r="I20" s="14">
        <v>258.90060957787182</v>
      </c>
      <c r="J20">
        <v>65</v>
      </c>
      <c r="K20">
        <v>36</v>
      </c>
      <c r="L20">
        <v>40</v>
      </c>
      <c r="M20">
        <v>19</v>
      </c>
      <c r="N20" s="120" t="e">
        <v>#VALUE!</v>
      </c>
      <c r="O20" s="120">
        <v>5.7142857142857141E-2</v>
      </c>
      <c r="P20">
        <v>16</v>
      </c>
    </row>
    <row r="21" spans="1:16">
      <c r="A21" t="s">
        <v>21</v>
      </c>
      <c r="B21">
        <v>30</v>
      </c>
      <c r="C21">
        <v>181</v>
      </c>
      <c r="D21">
        <v>46</v>
      </c>
      <c r="E21">
        <v>167</v>
      </c>
      <c r="F21">
        <v>35</v>
      </c>
      <c r="G21">
        <v>42</v>
      </c>
      <c r="H21">
        <v>231</v>
      </c>
      <c r="I21" s="14">
        <v>260.79512162194226</v>
      </c>
      <c r="J21">
        <v>37</v>
      </c>
      <c r="K21">
        <v>19</v>
      </c>
      <c r="L21">
        <v>42</v>
      </c>
      <c r="M21">
        <v>20</v>
      </c>
      <c r="N21" s="120" t="e">
        <v>#VALUE!</v>
      </c>
      <c r="O21" s="120">
        <v>2.8571428571428571E-2</v>
      </c>
      <c r="P21">
        <v>30</v>
      </c>
    </row>
    <row r="22" spans="1:16">
      <c r="A22" t="s">
        <v>143</v>
      </c>
      <c r="B22">
        <v>175</v>
      </c>
      <c r="C22">
        <v>12</v>
      </c>
      <c r="D22">
        <v>101</v>
      </c>
      <c r="E22">
        <v>122</v>
      </c>
      <c r="F22">
        <v>19</v>
      </c>
      <c r="G22">
        <v>28</v>
      </c>
      <c r="H22">
        <v>275</v>
      </c>
      <c r="I22" s="14">
        <v>263.07516496321756</v>
      </c>
      <c r="J22">
        <v>69</v>
      </c>
      <c r="K22">
        <v>39</v>
      </c>
      <c r="L22">
        <v>43</v>
      </c>
      <c r="M22">
        <v>21</v>
      </c>
      <c r="N22" s="120" t="e">
        <v>#VALUE!</v>
      </c>
      <c r="O22" s="120">
        <v>0.05</v>
      </c>
      <c r="P22">
        <v>-19</v>
      </c>
    </row>
    <row r="23" spans="1:16">
      <c r="A23" t="s">
        <v>113</v>
      </c>
      <c r="B23">
        <v>87</v>
      </c>
      <c r="C23">
        <v>25</v>
      </c>
      <c r="D23">
        <v>118</v>
      </c>
      <c r="E23">
        <v>91</v>
      </c>
      <c r="F23">
        <v>76</v>
      </c>
      <c r="G23">
        <v>47</v>
      </c>
      <c r="H23">
        <v>239.1</v>
      </c>
      <c r="I23" s="14">
        <v>263.07651808998844</v>
      </c>
      <c r="J23">
        <v>40</v>
      </c>
      <c r="K23">
        <v>21</v>
      </c>
      <c r="L23">
        <v>44</v>
      </c>
      <c r="M23">
        <v>22</v>
      </c>
      <c r="N23" s="120" t="e">
        <v>#VALUE!</v>
      </c>
      <c r="O23" s="120">
        <v>3.2258064516129031E-2</v>
      </c>
      <c r="P23">
        <v>-29</v>
      </c>
    </row>
    <row r="24" spans="1:16">
      <c r="A24" t="s">
        <v>112</v>
      </c>
      <c r="B24">
        <v>127</v>
      </c>
      <c r="C24">
        <v>56</v>
      </c>
      <c r="D24">
        <v>89</v>
      </c>
      <c r="E24">
        <v>45</v>
      </c>
      <c r="F24">
        <v>89</v>
      </c>
      <c r="G24">
        <v>51</v>
      </c>
      <c r="H24">
        <v>254.40000000000003</v>
      </c>
      <c r="I24" s="14">
        <v>264.79791781341032</v>
      </c>
      <c r="J24">
        <v>56</v>
      </c>
      <c r="K24">
        <v>28</v>
      </c>
      <c r="L24">
        <v>45</v>
      </c>
      <c r="M24">
        <v>23</v>
      </c>
      <c r="N24" s="120" t="e">
        <v>#VALUE!</v>
      </c>
      <c r="O24" s="120">
        <v>3.125E-2</v>
      </c>
      <c r="P24">
        <v>57</v>
      </c>
    </row>
    <row r="25" spans="1:16">
      <c r="A25" t="s">
        <v>159</v>
      </c>
      <c r="B25">
        <v>205</v>
      </c>
      <c r="C25">
        <v>6</v>
      </c>
      <c r="D25">
        <v>5</v>
      </c>
      <c r="E25">
        <v>136</v>
      </c>
      <c r="F25">
        <v>166</v>
      </c>
      <c r="G25">
        <v>19</v>
      </c>
      <c r="H25">
        <v>307.89999999999998</v>
      </c>
      <c r="I25" s="14">
        <v>268.57381106139212</v>
      </c>
      <c r="J25">
        <v>102</v>
      </c>
      <c r="K25">
        <v>60</v>
      </c>
      <c r="L25">
        <v>47</v>
      </c>
      <c r="M25">
        <v>24</v>
      </c>
      <c r="N25" s="120" t="e">
        <v>#VALUE!</v>
      </c>
      <c r="O25" s="120" t="e">
        <v>#VALUE!</v>
      </c>
      <c r="P25" t="e">
        <v>#N/A</v>
      </c>
    </row>
    <row r="26" spans="1:16">
      <c r="A26" t="s">
        <v>147</v>
      </c>
      <c r="B26">
        <v>182</v>
      </c>
      <c r="C26">
        <v>77</v>
      </c>
      <c r="D26">
        <v>71</v>
      </c>
      <c r="E26">
        <v>103</v>
      </c>
      <c r="F26">
        <v>29</v>
      </c>
      <c r="G26">
        <v>31</v>
      </c>
      <c r="H26">
        <v>289.5</v>
      </c>
      <c r="I26" s="14">
        <v>271.40375928391313</v>
      </c>
      <c r="J26">
        <v>82</v>
      </c>
      <c r="K26">
        <v>45</v>
      </c>
      <c r="L26">
        <v>50</v>
      </c>
      <c r="M26">
        <v>25</v>
      </c>
      <c r="N26" s="120" t="e">
        <v>#VALUE!</v>
      </c>
      <c r="O26" s="120">
        <v>5.4054054054054057E-2</v>
      </c>
      <c r="P26">
        <v>5</v>
      </c>
    </row>
    <row r="27" spans="1:16">
      <c r="A27" t="s">
        <v>22</v>
      </c>
      <c r="B27">
        <v>27</v>
      </c>
      <c r="C27">
        <v>63</v>
      </c>
      <c r="D27">
        <v>84</v>
      </c>
      <c r="E27">
        <v>118</v>
      </c>
      <c r="F27">
        <v>127</v>
      </c>
      <c r="G27">
        <v>64</v>
      </c>
      <c r="H27">
        <v>222.60000000000002</v>
      </c>
      <c r="I27" s="14">
        <v>274.71991638420246</v>
      </c>
      <c r="J27">
        <v>31</v>
      </c>
      <c r="K27">
        <v>16</v>
      </c>
      <c r="L27">
        <v>51</v>
      </c>
      <c r="M27">
        <v>26</v>
      </c>
      <c r="N27" s="120" t="e">
        <v>#VALUE!</v>
      </c>
      <c r="O27" s="120">
        <v>2.8571428571428571E-2</v>
      </c>
      <c r="P27">
        <v>1</v>
      </c>
    </row>
    <row r="28" spans="1:16">
      <c r="A28" t="s">
        <v>233</v>
      </c>
      <c r="B28">
        <v>58</v>
      </c>
      <c r="C28">
        <v>73</v>
      </c>
      <c r="D28">
        <v>135</v>
      </c>
      <c r="E28">
        <v>139</v>
      </c>
      <c r="F28">
        <v>37</v>
      </c>
      <c r="G28">
        <v>38</v>
      </c>
      <c r="H28">
        <v>251.5</v>
      </c>
      <c r="I28" s="14">
        <v>276.96933856672081</v>
      </c>
      <c r="J28">
        <v>53</v>
      </c>
      <c r="K28">
        <v>26</v>
      </c>
      <c r="L28">
        <v>52</v>
      </c>
      <c r="M28">
        <v>27</v>
      </c>
      <c r="N28" s="120" t="e">
        <v>#VALUE!</v>
      </c>
      <c r="O28" s="120" t="e">
        <v>#VALUE!</v>
      </c>
      <c r="P28" t="e">
        <v>#N/A</v>
      </c>
    </row>
    <row r="29" spans="1:16">
      <c r="A29" t="s">
        <v>26</v>
      </c>
      <c r="B29">
        <v>31</v>
      </c>
      <c r="C29">
        <v>58</v>
      </c>
      <c r="D29">
        <v>74</v>
      </c>
      <c r="E29">
        <v>101</v>
      </c>
      <c r="F29">
        <v>185</v>
      </c>
      <c r="G29">
        <v>62</v>
      </c>
      <c r="H29">
        <v>238.5</v>
      </c>
      <c r="I29" s="14">
        <v>282.51596198880276</v>
      </c>
      <c r="J29">
        <v>39</v>
      </c>
      <c r="K29">
        <v>20</v>
      </c>
      <c r="L29">
        <v>53</v>
      </c>
      <c r="M29">
        <v>28</v>
      </c>
      <c r="N29" s="120" t="e">
        <v>#VALUE!</v>
      </c>
      <c r="O29" s="120">
        <v>4.3478260869565216E-2</v>
      </c>
      <c r="P29">
        <v>1</v>
      </c>
    </row>
    <row r="30" spans="1:16">
      <c r="A30" t="s">
        <v>97</v>
      </c>
      <c r="B30">
        <v>82</v>
      </c>
      <c r="C30">
        <v>193</v>
      </c>
      <c r="D30">
        <v>36</v>
      </c>
      <c r="E30">
        <v>93</v>
      </c>
      <c r="F30">
        <v>95</v>
      </c>
      <c r="G30">
        <v>50</v>
      </c>
      <c r="H30">
        <v>272</v>
      </c>
      <c r="I30" s="14">
        <v>285.41753824396488</v>
      </c>
      <c r="J30">
        <v>68</v>
      </c>
      <c r="K30">
        <v>38</v>
      </c>
      <c r="L30">
        <v>56</v>
      </c>
      <c r="M30">
        <v>29</v>
      </c>
      <c r="N30" s="120" t="e">
        <v>#VALUE!</v>
      </c>
      <c r="O30" s="120">
        <v>2.7027027027027029E-2</v>
      </c>
      <c r="P30">
        <v>20</v>
      </c>
    </row>
    <row r="31" spans="1:16">
      <c r="A31" t="s">
        <v>96</v>
      </c>
      <c r="B31">
        <v>44</v>
      </c>
      <c r="C31">
        <v>201</v>
      </c>
      <c r="D31">
        <v>68</v>
      </c>
      <c r="E31">
        <v>45</v>
      </c>
      <c r="F31">
        <v>148</v>
      </c>
      <c r="G31">
        <v>45</v>
      </c>
      <c r="H31">
        <v>275.29999999999995</v>
      </c>
      <c r="I31" s="14">
        <v>286.80077767499262</v>
      </c>
      <c r="J31">
        <v>72</v>
      </c>
      <c r="K31">
        <v>41</v>
      </c>
      <c r="L31">
        <v>57</v>
      </c>
      <c r="M31">
        <v>30</v>
      </c>
      <c r="N31" s="120" t="e">
        <v>#VALUE!</v>
      </c>
      <c r="O31" s="120" t="e">
        <v>#VALUE!</v>
      </c>
      <c r="P31">
        <v>0</v>
      </c>
    </row>
    <row r="32" spans="1:16">
      <c r="A32" t="s">
        <v>28</v>
      </c>
      <c r="B32">
        <v>15</v>
      </c>
      <c r="C32">
        <v>92</v>
      </c>
      <c r="D32">
        <v>66</v>
      </c>
      <c r="E32">
        <v>119</v>
      </c>
      <c r="F32">
        <v>147</v>
      </c>
      <c r="G32">
        <v>76</v>
      </c>
      <c r="H32">
        <v>225.29999999999998</v>
      </c>
      <c r="I32" s="14">
        <v>288.89988374450843</v>
      </c>
      <c r="J32">
        <v>32</v>
      </c>
      <c r="K32">
        <v>17</v>
      </c>
      <c r="L32">
        <v>59</v>
      </c>
      <c r="M32">
        <v>31</v>
      </c>
      <c r="N32" s="120" t="e">
        <v>#VALUE!</v>
      </c>
      <c r="O32" s="120">
        <v>6.6666666666666666E-2</v>
      </c>
      <c r="P32">
        <v>-27</v>
      </c>
    </row>
    <row r="33" spans="1:16">
      <c r="A33" t="s">
        <v>100</v>
      </c>
      <c r="B33">
        <v>158</v>
      </c>
      <c r="C33">
        <v>187</v>
      </c>
      <c r="D33">
        <v>47</v>
      </c>
      <c r="E33">
        <v>6</v>
      </c>
      <c r="F33">
        <v>139</v>
      </c>
      <c r="G33">
        <v>34</v>
      </c>
      <c r="H33">
        <v>324.70000000000005</v>
      </c>
      <c r="I33" s="14">
        <v>293.13009032756685</v>
      </c>
      <c r="J33">
        <v>117</v>
      </c>
      <c r="K33">
        <v>71</v>
      </c>
      <c r="L33">
        <v>60</v>
      </c>
      <c r="M33">
        <v>32</v>
      </c>
      <c r="N33" s="120" t="e">
        <v>#VALUE!</v>
      </c>
      <c r="O33" s="120" t="e">
        <v>#VALUE!</v>
      </c>
      <c r="P33" t="e">
        <v>#N/A</v>
      </c>
    </row>
    <row r="34" spans="1:16">
      <c r="A34" t="s">
        <v>237</v>
      </c>
      <c r="B34">
        <v>41</v>
      </c>
      <c r="C34">
        <v>52</v>
      </c>
      <c r="D34">
        <v>43</v>
      </c>
      <c r="E34">
        <v>111</v>
      </c>
      <c r="F34">
        <v>187</v>
      </c>
      <c r="G34">
        <v>87</v>
      </c>
      <c r="H34">
        <v>226.8</v>
      </c>
      <c r="I34" s="14">
        <v>293.68743125638224</v>
      </c>
      <c r="J34">
        <v>34</v>
      </c>
      <c r="K34">
        <v>18</v>
      </c>
      <c r="L34">
        <v>61</v>
      </c>
      <c r="M34">
        <v>33</v>
      </c>
      <c r="N34" s="120" t="e">
        <v>#VALUE!</v>
      </c>
      <c r="O34" s="120" t="e">
        <v>#VALUE!</v>
      </c>
      <c r="P34">
        <v>37</v>
      </c>
    </row>
    <row r="35" spans="1:16">
      <c r="A35" t="s">
        <v>161</v>
      </c>
      <c r="B35">
        <v>135</v>
      </c>
      <c r="C35">
        <v>66</v>
      </c>
      <c r="D35">
        <v>114</v>
      </c>
      <c r="E35">
        <v>37</v>
      </c>
      <c r="F35">
        <v>45</v>
      </c>
      <c r="G35">
        <v>79</v>
      </c>
      <c r="H35">
        <v>258.10000000000002</v>
      </c>
      <c r="I35" s="14">
        <v>296.48979804676571</v>
      </c>
      <c r="J35">
        <v>59</v>
      </c>
      <c r="K35">
        <v>30</v>
      </c>
      <c r="L35">
        <v>62</v>
      </c>
      <c r="M35">
        <v>34</v>
      </c>
      <c r="N35" s="120" t="e">
        <v>#VALUE!</v>
      </c>
      <c r="O35" s="120" t="e">
        <v>#VALUE!</v>
      </c>
      <c r="P35">
        <v>4</v>
      </c>
    </row>
    <row r="36" spans="1:16">
      <c r="A36" t="s">
        <v>29</v>
      </c>
      <c r="B36">
        <v>6</v>
      </c>
      <c r="C36">
        <v>138</v>
      </c>
      <c r="D36">
        <v>102</v>
      </c>
      <c r="E36">
        <v>108</v>
      </c>
      <c r="F36">
        <v>108</v>
      </c>
      <c r="G36">
        <v>66</v>
      </c>
      <c r="H36" s="14">
        <v>242.39999999999998</v>
      </c>
      <c r="I36" s="14">
        <v>297.47535254630344</v>
      </c>
      <c r="J36" s="16">
        <v>43</v>
      </c>
      <c r="K36">
        <v>23</v>
      </c>
      <c r="L36">
        <v>63</v>
      </c>
      <c r="M36">
        <v>35</v>
      </c>
      <c r="N36" s="120" t="e">
        <v>#VALUE!</v>
      </c>
      <c r="O36" s="120" t="e">
        <v>#VALUE!</v>
      </c>
      <c r="P36">
        <v>-11</v>
      </c>
    </row>
    <row r="37" spans="1:16">
      <c r="A37" t="s">
        <v>38</v>
      </c>
      <c r="B37">
        <v>50</v>
      </c>
      <c r="C37">
        <v>155</v>
      </c>
      <c r="D37">
        <v>123</v>
      </c>
      <c r="E37">
        <v>66</v>
      </c>
      <c r="F37">
        <v>69</v>
      </c>
      <c r="G37">
        <v>58</v>
      </c>
      <c r="H37">
        <v>264.5</v>
      </c>
      <c r="I37" s="14">
        <v>298.58740519471161</v>
      </c>
      <c r="J37">
        <v>62</v>
      </c>
      <c r="K37">
        <v>33</v>
      </c>
      <c r="L37">
        <v>65</v>
      </c>
      <c r="M37">
        <v>36</v>
      </c>
      <c r="N37" s="120" t="e">
        <v>#VALUE!</v>
      </c>
      <c r="O37" s="120">
        <v>6.0606060606060608E-2</v>
      </c>
      <c r="P37">
        <v>1</v>
      </c>
    </row>
    <row r="38" spans="1:16">
      <c r="A38" t="s">
        <v>129</v>
      </c>
      <c r="B38">
        <v>122</v>
      </c>
      <c r="C38">
        <v>110</v>
      </c>
      <c r="D38">
        <v>76</v>
      </c>
      <c r="E38">
        <v>16</v>
      </c>
      <c r="F38">
        <v>110</v>
      </c>
      <c r="G38">
        <v>81</v>
      </c>
      <c r="H38">
        <v>267.20000000000005</v>
      </c>
      <c r="I38" s="14">
        <v>301.26432905638313</v>
      </c>
      <c r="J38">
        <v>64</v>
      </c>
      <c r="K38">
        <v>35</v>
      </c>
      <c r="L38">
        <v>66</v>
      </c>
      <c r="M38">
        <v>37</v>
      </c>
      <c r="N38" s="120" t="e">
        <v>#VALUE!</v>
      </c>
      <c r="O38" s="120" t="e">
        <v>#VALUE!</v>
      </c>
      <c r="P38">
        <v>-20</v>
      </c>
    </row>
    <row r="39" spans="1:16">
      <c r="A39" t="s">
        <v>11</v>
      </c>
      <c r="B39">
        <v>4</v>
      </c>
      <c r="C39">
        <v>98</v>
      </c>
      <c r="D39">
        <v>60</v>
      </c>
      <c r="E39">
        <v>208</v>
      </c>
      <c r="F39">
        <v>70</v>
      </c>
      <c r="G39">
        <v>88</v>
      </c>
      <c r="H39">
        <v>212.4</v>
      </c>
      <c r="I39" s="14">
        <v>301.95078562162752</v>
      </c>
      <c r="J39">
        <v>24</v>
      </c>
      <c r="K39">
        <v>12</v>
      </c>
      <c r="L39">
        <v>68</v>
      </c>
      <c r="M39">
        <v>38</v>
      </c>
      <c r="N39" s="120" t="e">
        <v>#VALUE!</v>
      </c>
      <c r="O39" s="120">
        <v>3.3333333333333333E-2</v>
      </c>
      <c r="P39">
        <v>53</v>
      </c>
    </row>
    <row r="40" spans="1:16">
      <c r="A40" t="s">
        <v>36</v>
      </c>
      <c r="B40">
        <v>44</v>
      </c>
      <c r="C40">
        <v>156</v>
      </c>
      <c r="D40">
        <v>7</v>
      </c>
      <c r="E40">
        <v>163</v>
      </c>
      <c r="F40">
        <v>160</v>
      </c>
      <c r="G40">
        <v>63</v>
      </c>
      <c r="H40">
        <v>263.3</v>
      </c>
      <c r="I40" s="14">
        <v>302.54005991260522</v>
      </c>
      <c r="J40">
        <v>61</v>
      </c>
      <c r="K40">
        <v>32</v>
      </c>
      <c r="L40">
        <v>69</v>
      </c>
      <c r="M40">
        <v>39</v>
      </c>
      <c r="N40" s="120" t="e">
        <v>#VALUE!</v>
      </c>
      <c r="O40" s="120">
        <v>2.7027027027027029E-2</v>
      </c>
      <c r="P40">
        <v>13</v>
      </c>
    </row>
    <row r="41" spans="1:16">
      <c r="A41" t="s">
        <v>175</v>
      </c>
      <c r="B41">
        <v>180</v>
      </c>
      <c r="C41">
        <v>108</v>
      </c>
      <c r="D41">
        <v>80</v>
      </c>
      <c r="E41">
        <v>70</v>
      </c>
      <c r="F41">
        <v>32</v>
      </c>
      <c r="G41">
        <v>60</v>
      </c>
      <c r="H41">
        <v>298</v>
      </c>
      <c r="I41" s="14">
        <v>304.78121186469127</v>
      </c>
      <c r="J41">
        <v>88</v>
      </c>
      <c r="K41">
        <v>50</v>
      </c>
      <c r="L41">
        <v>70</v>
      </c>
      <c r="M41">
        <v>40</v>
      </c>
      <c r="N41" s="120" t="e">
        <v>#VALUE!</v>
      </c>
      <c r="O41" s="120" t="e">
        <v>#VALUE!</v>
      </c>
      <c r="P41">
        <v>28</v>
      </c>
    </row>
    <row r="42" spans="1:16">
      <c r="A42" t="s">
        <v>125</v>
      </c>
      <c r="B42">
        <v>140</v>
      </c>
      <c r="C42">
        <v>86</v>
      </c>
      <c r="D42">
        <v>87</v>
      </c>
      <c r="E42">
        <v>29</v>
      </c>
      <c r="F42">
        <v>75</v>
      </c>
      <c r="G42">
        <v>89</v>
      </c>
      <c r="H42">
        <v>265</v>
      </c>
      <c r="I42" s="14">
        <v>307.50793174158946</v>
      </c>
      <c r="J42">
        <v>63</v>
      </c>
      <c r="K42">
        <v>34</v>
      </c>
      <c r="L42">
        <v>72</v>
      </c>
      <c r="M42">
        <v>41</v>
      </c>
      <c r="N42" s="120" t="e">
        <v>#VALUE!</v>
      </c>
      <c r="O42" s="120">
        <v>3.3333333333333333E-2</v>
      </c>
      <c r="P42">
        <v>-10</v>
      </c>
    </row>
    <row r="43" spans="1:16">
      <c r="A43" t="s">
        <v>39</v>
      </c>
      <c r="B43">
        <v>82</v>
      </c>
      <c r="C43">
        <v>99</v>
      </c>
      <c r="D43">
        <v>166</v>
      </c>
      <c r="E43">
        <v>110</v>
      </c>
      <c r="F43">
        <v>16</v>
      </c>
      <c r="G43">
        <v>53</v>
      </c>
      <c r="H43">
        <v>283.3</v>
      </c>
      <c r="I43" s="14">
        <v>315.25657107208013</v>
      </c>
      <c r="J43">
        <v>76</v>
      </c>
      <c r="K43">
        <v>42</v>
      </c>
      <c r="L43">
        <v>74</v>
      </c>
      <c r="M43">
        <v>42</v>
      </c>
      <c r="N43" s="120" t="e">
        <v>#VALUE!</v>
      </c>
      <c r="O43" s="120">
        <v>2.7777777777777776E-2</v>
      </c>
      <c r="P43">
        <v>4</v>
      </c>
    </row>
    <row r="44" spans="1:16">
      <c r="A44" t="s">
        <v>18</v>
      </c>
      <c r="B44">
        <v>8</v>
      </c>
      <c r="C44">
        <v>139</v>
      </c>
      <c r="D44">
        <v>148</v>
      </c>
      <c r="E44">
        <v>79</v>
      </c>
      <c r="F44">
        <v>79</v>
      </c>
      <c r="G44">
        <v>78</v>
      </c>
      <c r="H44">
        <v>250.6</v>
      </c>
      <c r="I44" s="14">
        <v>317.75439311740996</v>
      </c>
      <c r="J44">
        <v>52</v>
      </c>
      <c r="K44">
        <v>25</v>
      </c>
      <c r="L44">
        <v>76</v>
      </c>
      <c r="M44">
        <v>43</v>
      </c>
      <c r="N44" s="120" t="e">
        <v>#VALUE!</v>
      </c>
      <c r="O44" s="120">
        <v>3.5714285714285712E-2</v>
      </c>
      <c r="P44">
        <v>7</v>
      </c>
    </row>
    <row r="45" spans="1:16">
      <c r="A45" t="s">
        <v>52</v>
      </c>
      <c r="B45">
        <v>90</v>
      </c>
      <c r="C45">
        <v>179</v>
      </c>
      <c r="D45">
        <v>150</v>
      </c>
      <c r="E45">
        <v>15</v>
      </c>
      <c r="F45">
        <v>58</v>
      </c>
      <c r="G45">
        <v>57</v>
      </c>
      <c r="H45">
        <v>301.5</v>
      </c>
      <c r="I45" s="14">
        <v>319.64039329607152</v>
      </c>
      <c r="J45">
        <v>92</v>
      </c>
      <c r="K45">
        <v>53</v>
      </c>
      <c r="L45">
        <v>77</v>
      </c>
      <c r="M45">
        <v>44</v>
      </c>
      <c r="N45" s="120" t="e">
        <v>#VALUE!</v>
      </c>
      <c r="O45" s="120">
        <v>3.0303030303030304E-2</v>
      </c>
      <c r="P45">
        <v>-19</v>
      </c>
    </row>
    <row r="46" spans="1:16">
      <c r="A46" t="s">
        <v>152</v>
      </c>
      <c r="B46">
        <v>161</v>
      </c>
      <c r="C46">
        <v>5</v>
      </c>
      <c r="D46">
        <v>116</v>
      </c>
      <c r="E46">
        <v>73</v>
      </c>
      <c r="F46">
        <v>106</v>
      </c>
      <c r="G46">
        <v>72</v>
      </c>
      <c r="H46">
        <v>294.7</v>
      </c>
      <c r="I46" s="14">
        <v>321.79152853210513</v>
      </c>
      <c r="J46">
        <v>84</v>
      </c>
      <c r="K46">
        <v>47</v>
      </c>
      <c r="L46">
        <v>80</v>
      </c>
      <c r="M46">
        <v>45</v>
      </c>
      <c r="N46" s="120" t="e">
        <v>#VALUE!</v>
      </c>
      <c r="O46" s="120">
        <v>3.125E-2</v>
      </c>
      <c r="P46">
        <v>-43</v>
      </c>
    </row>
    <row r="47" spans="1:16">
      <c r="A47" t="s">
        <v>146</v>
      </c>
      <c r="B47">
        <v>135</v>
      </c>
      <c r="C47">
        <v>163</v>
      </c>
      <c r="D47">
        <v>26</v>
      </c>
      <c r="E47">
        <v>161</v>
      </c>
      <c r="F47">
        <v>26</v>
      </c>
      <c r="G47">
        <v>80</v>
      </c>
      <c r="H47">
        <v>285.10000000000002</v>
      </c>
      <c r="I47" s="14">
        <v>325.81592233059365</v>
      </c>
      <c r="J47">
        <v>79</v>
      </c>
      <c r="K47">
        <v>44</v>
      </c>
      <c r="L47">
        <v>81</v>
      </c>
      <c r="M47">
        <v>46</v>
      </c>
      <c r="N47" s="120" t="e">
        <v>#VALUE!</v>
      </c>
      <c r="O47" s="120">
        <v>2.8571428571428571E-2</v>
      </c>
      <c r="P47">
        <v>-2</v>
      </c>
    </row>
    <row r="48" spans="1:16">
      <c r="A48" t="s">
        <v>20</v>
      </c>
      <c r="B48">
        <v>28</v>
      </c>
      <c r="C48">
        <v>184</v>
      </c>
      <c r="D48">
        <v>69</v>
      </c>
      <c r="E48">
        <v>61</v>
      </c>
      <c r="F48">
        <v>176</v>
      </c>
      <c r="G48">
        <v>86</v>
      </c>
      <c r="H48">
        <v>275.10000000000002</v>
      </c>
      <c r="I48" s="14">
        <v>332.32139288096016</v>
      </c>
      <c r="J48">
        <v>70.5</v>
      </c>
      <c r="K48">
        <v>40</v>
      </c>
      <c r="L48">
        <v>82</v>
      </c>
      <c r="M48">
        <v>47</v>
      </c>
      <c r="N48" s="120" t="e">
        <v>#VALUE!</v>
      </c>
      <c r="O48" s="120">
        <v>3.8461538461538464E-2</v>
      </c>
      <c r="P48">
        <v>-52</v>
      </c>
    </row>
    <row r="49" spans="1:16">
      <c r="A49" t="s">
        <v>117</v>
      </c>
      <c r="B49">
        <v>106</v>
      </c>
      <c r="C49">
        <v>113</v>
      </c>
      <c r="D49">
        <v>14</v>
      </c>
      <c r="E49">
        <v>172</v>
      </c>
      <c r="F49">
        <v>151</v>
      </c>
      <c r="G49">
        <v>74</v>
      </c>
      <c r="H49">
        <v>295.40000000000003</v>
      </c>
      <c r="I49" s="14">
        <v>333.44468060559655</v>
      </c>
      <c r="J49">
        <v>85</v>
      </c>
      <c r="K49">
        <v>48</v>
      </c>
      <c r="L49">
        <v>83</v>
      </c>
      <c r="M49">
        <v>48</v>
      </c>
      <c r="N49" s="120" t="e">
        <v>#VALUE!</v>
      </c>
      <c r="O49" s="120" t="e">
        <v>#VALUE!</v>
      </c>
      <c r="P49">
        <v>-1</v>
      </c>
    </row>
    <row r="50" spans="1:16">
      <c r="A50" t="s">
        <v>182</v>
      </c>
      <c r="B50">
        <v>196</v>
      </c>
      <c r="C50">
        <v>123</v>
      </c>
      <c r="D50">
        <v>124</v>
      </c>
      <c r="E50">
        <v>50</v>
      </c>
      <c r="F50">
        <v>27</v>
      </c>
      <c r="G50">
        <v>60</v>
      </c>
      <c r="H50">
        <v>338.6</v>
      </c>
      <c r="I50" s="14">
        <v>339.50932292027767</v>
      </c>
      <c r="J50">
        <v>132</v>
      </c>
      <c r="K50">
        <v>82</v>
      </c>
      <c r="L50">
        <v>85</v>
      </c>
      <c r="M50">
        <v>49</v>
      </c>
      <c r="N50" s="120" t="e">
        <v>#VALUE!</v>
      </c>
      <c r="O50" s="120">
        <v>7.6923076923076927E-2</v>
      </c>
      <c r="P50">
        <v>-10</v>
      </c>
    </row>
    <row r="51" spans="1:16">
      <c r="A51" t="s">
        <v>130</v>
      </c>
      <c r="B51">
        <v>185</v>
      </c>
      <c r="C51">
        <v>95</v>
      </c>
      <c r="D51">
        <v>53</v>
      </c>
      <c r="E51">
        <v>85</v>
      </c>
      <c r="F51">
        <v>123</v>
      </c>
      <c r="G51">
        <v>73</v>
      </c>
      <c r="H51">
        <v>328.1</v>
      </c>
      <c r="I51" s="14">
        <v>341.71955092819059</v>
      </c>
      <c r="J51">
        <v>120</v>
      </c>
      <c r="K51">
        <v>74</v>
      </c>
      <c r="L51">
        <v>87</v>
      </c>
      <c r="M51">
        <v>50</v>
      </c>
      <c r="N51" s="120">
        <v>2.8571428571428571E-2</v>
      </c>
      <c r="O51" s="120">
        <v>2.8571428571428571E-2</v>
      </c>
      <c r="P51">
        <v>9</v>
      </c>
    </row>
    <row r="52" spans="1:16">
      <c r="A52" t="s">
        <v>187</v>
      </c>
      <c r="B52">
        <v>206</v>
      </c>
      <c r="C52">
        <v>28</v>
      </c>
      <c r="D52">
        <v>86</v>
      </c>
      <c r="E52">
        <v>44</v>
      </c>
      <c r="F52">
        <v>99</v>
      </c>
      <c r="G52">
        <v>102</v>
      </c>
      <c r="H52">
        <v>306.10000000000002</v>
      </c>
      <c r="I52" s="14">
        <v>347.42069933464973</v>
      </c>
      <c r="J52">
        <v>99</v>
      </c>
      <c r="K52">
        <v>58</v>
      </c>
      <c r="L52">
        <v>88</v>
      </c>
      <c r="M52">
        <v>51</v>
      </c>
      <c r="N52" s="120" t="e">
        <v>#VALUE!</v>
      </c>
      <c r="O52" s="120" t="e">
        <v>#VALUE!</v>
      </c>
      <c r="P52">
        <v>26</v>
      </c>
    </row>
    <row r="53" spans="1:16">
      <c r="A53" t="s">
        <v>90</v>
      </c>
      <c r="B53">
        <v>65</v>
      </c>
      <c r="C53">
        <v>55</v>
      </c>
      <c r="D53">
        <v>74</v>
      </c>
      <c r="E53">
        <v>173</v>
      </c>
      <c r="F53">
        <v>119</v>
      </c>
      <c r="G53">
        <v>106</v>
      </c>
      <c r="H53">
        <v>260</v>
      </c>
      <c r="I53" s="14">
        <v>348.61859369431318</v>
      </c>
      <c r="J53">
        <v>60</v>
      </c>
      <c r="K53">
        <v>31</v>
      </c>
      <c r="L53">
        <v>91</v>
      </c>
      <c r="M53">
        <v>52</v>
      </c>
      <c r="N53" s="120" t="e">
        <v>#VALUE!</v>
      </c>
      <c r="O53" s="120">
        <v>6.0606060606060608E-2</v>
      </c>
      <c r="P53">
        <v>-19</v>
      </c>
    </row>
    <row r="54" spans="1:16">
      <c r="A54" t="s">
        <v>64</v>
      </c>
      <c r="B54">
        <v>106</v>
      </c>
      <c r="C54">
        <v>173</v>
      </c>
      <c r="D54">
        <v>66</v>
      </c>
      <c r="E54">
        <v>97</v>
      </c>
      <c r="F54">
        <v>73</v>
      </c>
      <c r="G54">
        <v>96</v>
      </c>
      <c r="H54">
        <v>292.8</v>
      </c>
      <c r="I54" s="14">
        <v>349.45884790232566</v>
      </c>
      <c r="J54">
        <v>83</v>
      </c>
      <c r="K54">
        <v>46</v>
      </c>
      <c r="L54">
        <v>92</v>
      </c>
      <c r="M54">
        <v>53</v>
      </c>
      <c r="N54" s="120" t="e">
        <v>#VALUE!</v>
      </c>
      <c r="O54" s="120">
        <v>9.6774193548387094E-2</v>
      </c>
      <c r="P54">
        <v>-3</v>
      </c>
    </row>
    <row r="55" spans="1:16">
      <c r="A55" t="s">
        <v>10</v>
      </c>
      <c r="B55">
        <v>13</v>
      </c>
      <c r="C55">
        <v>199</v>
      </c>
      <c r="D55">
        <v>146</v>
      </c>
      <c r="E55">
        <v>10</v>
      </c>
      <c r="F55">
        <v>164</v>
      </c>
      <c r="G55">
        <v>95</v>
      </c>
      <c r="H55">
        <v>298.10000000000002</v>
      </c>
      <c r="I55" s="14">
        <v>365.65955582480427</v>
      </c>
      <c r="J55">
        <v>89</v>
      </c>
      <c r="K55">
        <v>51</v>
      </c>
      <c r="L55">
        <v>96</v>
      </c>
      <c r="M55">
        <v>54</v>
      </c>
      <c r="N55" s="120" t="e">
        <v>#VALUE!</v>
      </c>
      <c r="O55" s="120">
        <v>3.2258064516129031E-2</v>
      </c>
      <c r="P55">
        <v>6</v>
      </c>
    </row>
    <row r="56" spans="1:16">
      <c r="A56" t="s">
        <v>59</v>
      </c>
      <c r="B56">
        <v>104</v>
      </c>
      <c r="C56">
        <v>143</v>
      </c>
      <c r="D56">
        <v>174</v>
      </c>
      <c r="E56">
        <v>30</v>
      </c>
      <c r="F56">
        <v>31</v>
      </c>
      <c r="G56">
        <v>101</v>
      </c>
      <c r="H56">
        <v>304</v>
      </c>
      <c r="I56" s="14">
        <v>368.30886964727324</v>
      </c>
      <c r="J56">
        <v>97</v>
      </c>
      <c r="K56">
        <v>56</v>
      </c>
      <c r="L56">
        <v>97</v>
      </c>
      <c r="M56">
        <v>55</v>
      </c>
      <c r="N56" s="120" t="e">
        <v>#VALUE!</v>
      </c>
      <c r="O56" s="120" t="e">
        <v>#VALUE!</v>
      </c>
      <c r="P56">
        <v>6</v>
      </c>
    </row>
    <row r="57" spans="1:16">
      <c r="A57" t="s">
        <v>49</v>
      </c>
      <c r="B57">
        <v>96</v>
      </c>
      <c r="C57">
        <v>176</v>
      </c>
      <c r="D57">
        <v>110</v>
      </c>
      <c r="E57">
        <v>94</v>
      </c>
      <c r="F57">
        <v>56</v>
      </c>
      <c r="G57">
        <v>99</v>
      </c>
      <c r="H57">
        <v>307.40000000000003</v>
      </c>
      <c r="I57" s="14">
        <v>371.12430073484597</v>
      </c>
      <c r="J57">
        <v>100</v>
      </c>
      <c r="K57">
        <v>59</v>
      </c>
      <c r="L57">
        <v>99</v>
      </c>
      <c r="M57">
        <v>56</v>
      </c>
      <c r="N57" s="120" t="e">
        <v>#VALUE!</v>
      </c>
      <c r="O57" s="120" t="e">
        <v>#VALUE!</v>
      </c>
      <c r="P57">
        <v>-10</v>
      </c>
    </row>
    <row r="58" spans="1:16">
      <c r="A58" t="s">
        <v>101</v>
      </c>
      <c r="B58">
        <v>106</v>
      </c>
      <c r="C58">
        <v>100</v>
      </c>
      <c r="D58">
        <v>48</v>
      </c>
      <c r="E58">
        <v>192</v>
      </c>
      <c r="F58">
        <v>121</v>
      </c>
      <c r="G58">
        <v>100</v>
      </c>
      <c r="H58">
        <v>305.70000000000005</v>
      </c>
      <c r="I58" s="14">
        <v>374.6585475321308</v>
      </c>
      <c r="J58">
        <v>98</v>
      </c>
      <c r="K58">
        <v>57</v>
      </c>
      <c r="L58">
        <v>101</v>
      </c>
      <c r="M58">
        <v>57</v>
      </c>
      <c r="N58" s="120" t="e">
        <v>#VALUE!</v>
      </c>
      <c r="O58" s="120">
        <v>2.9411764705882353E-2</v>
      </c>
      <c r="P58">
        <v>-33</v>
      </c>
    </row>
    <row r="59" spans="1:16">
      <c r="A59" t="s">
        <v>17</v>
      </c>
      <c r="B59">
        <v>10</v>
      </c>
      <c r="C59">
        <v>121</v>
      </c>
      <c r="D59">
        <v>28</v>
      </c>
      <c r="E59">
        <v>210</v>
      </c>
      <c r="F59">
        <v>167</v>
      </c>
      <c r="G59">
        <v>129</v>
      </c>
      <c r="H59">
        <v>255.6</v>
      </c>
      <c r="I59" s="14">
        <v>375.64118871059662</v>
      </c>
      <c r="J59">
        <v>57</v>
      </c>
      <c r="K59">
        <v>29</v>
      </c>
      <c r="L59">
        <v>102</v>
      </c>
      <c r="M59">
        <v>58</v>
      </c>
      <c r="N59" s="120" t="e">
        <v>#VALUE!</v>
      </c>
      <c r="O59" s="120">
        <v>4.1666666666666664E-2</v>
      </c>
      <c r="P59">
        <v>-11</v>
      </c>
    </row>
    <row r="60" spans="1:16">
      <c r="A60" t="s">
        <v>88</v>
      </c>
      <c r="B60">
        <v>109</v>
      </c>
      <c r="C60">
        <v>106</v>
      </c>
      <c r="D60">
        <v>108</v>
      </c>
      <c r="E60">
        <v>150</v>
      </c>
      <c r="F60">
        <v>101</v>
      </c>
      <c r="G60">
        <v>91</v>
      </c>
      <c r="H60">
        <v>326.29999999999995</v>
      </c>
      <c r="I60" s="14">
        <v>384.35693848428116</v>
      </c>
      <c r="J60">
        <v>118</v>
      </c>
      <c r="K60">
        <v>72</v>
      </c>
      <c r="L60">
        <v>104</v>
      </c>
      <c r="M60">
        <v>59</v>
      </c>
      <c r="N60" s="120" t="e">
        <v>#VALUE!</v>
      </c>
      <c r="O60" s="120" t="e">
        <v>#VALUE!</v>
      </c>
      <c r="P60">
        <v>30</v>
      </c>
    </row>
    <row r="61" spans="1:16">
      <c r="A61" t="s">
        <v>235</v>
      </c>
      <c r="B61">
        <v>31</v>
      </c>
      <c r="C61">
        <v>201</v>
      </c>
      <c r="D61">
        <v>88</v>
      </c>
      <c r="E61">
        <v>76</v>
      </c>
      <c r="F61">
        <v>163</v>
      </c>
      <c r="G61">
        <v>115</v>
      </c>
      <c r="H61">
        <v>298.79999999999995</v>
      </c>
      <c r="I61" s="14">
        <v>385.12846308241456</v>
      </c>
      <c r="J61">
        <v>90</v>
      </c>
      <c r="K61">
        <v>52</v>
      </c>
      <c r="L61">
        <v>105</v>
      </c>
      <c r="M61">
        <v>60</v>
      </c>
      <c r="N61" s="120" t="e">
        <v>#VALUE!</v>
      </c>
      <c r="O61" s="120">
        <v>6.6666666666666666E-2</v>
      </c>
      <c r="P61">
        <v>8</v>
      </c>
    </row>
    <row r="62" spans="1:16">
      <c r="A62" t="s">
        <v>108</v>
      </c>
      <c r="B62">
        <v>72</v>
      </c>
      <c r="C62">
        <v>197</v>
      </c>
      <c r="D62">
        <v>186</v>
      </c>
      <c r="E62">
        <v>102</v>
      </c>
      <c r="F62">
        <v>4</v>
      </c>
      <c r="G62">
        <v>82</v>
      </c>
      <c r="H62">
        <v>329.09999999999997</v>
      </c>
      <c r="I62" s="14">
        <v>385.97821987768975</v>
      </c>
      <c r="J62">
        <v>122</v>
      </c>
      <c r="K62">
        <v>76</v>
      </c>
      <c r="L62">
        <v>106</v>
      </c>
      <c r="M62">
        <v>61</v>
      </c>
      <c r="N62" s="120" t="e">
        <v>#VALUE!</v>
      </c>
      <c r="O62" s="120" t="e">
        <v>#VALUE!</v>
      </c>
      <c r="P62">
        <v>9</v>
      </c>
    </row>
    <row r="63" spans="1:16">
      <c r="A63" t="s">
        <v>16</v>
      </c>
      <c r="B63">
        <v>18</v>
      </c>
      <c r="C63">
        <v>212</v>
      </c>
      <c r="D63">
        <v>93</v>
      </c>
      <c r="E63">
        <v>159</v>
      </c>
      <c r="F63">
        <v>96</v>
      </c>
      <c r="G63">
        <v>111</v>
      </c>
      <c r="H63">
        <v>297.10000000000002</v>
      </c>
      <c r="I63" s="14">
        <v>392.57518820704001</v>
      </c>
      <c r="J63">
        <v>87</v>
      </c>
      <c r="K63">
        <v>49</v>
      </c>
      <c r="L63">
        <v>107</v>
      </c>
      <c r="M63">
        <v>62</v>
      </c>
      <c r="N63" s="120" t="e">
        <v>#VALUE!</v>
      </c>
      <c r="O63" s="120" t="e">
        <v>#VALUE!</v>
      </c>
      <c r="P63">
        <v>-13</v>
      </c>
    </row>
    <row r="64" spans="1:16">
      <c r="A64" t="s">
        <v>319</v>
      </c>
      <c r="B64">
        <v>19</v>
      </c>
      <c r="C64">
        <v>130</v>
      </c>
      <c r="D64">
        <v>194</v>
      </c>
      <c r="E64">
        <v>19</v>
      </c>
      <c r="F64">
        <v>174</v>
      </c>
      <c r="G64">
        <v>107</v>
      </c>
      <c r="H64">
        <v>310.60000000000002</v>
      </c>
      <c r="I64" s="14">
        <v>394.25905684274289</v>
      </c>
      <c r="J64">
        <v>106.5</v>
      </c>
      <c r="K64">
        <v>63</v>
      </c>
      <c r="L64">
        <v>108</v>
      </c>
      <c r="M64">
        <v>63</v>
      </c>
      <c r="N64" s="120" t="e">
        <v>#VALUE!</v>
      </c>
      <c r="O64" s="120">
        <v>0.1111111111111111</v>
      </c>
      <c r="P64">
        <v>-32</v>
      </c>
    </row>
    <row r="65" spans="1:16">
      <c r="A65" t="s">
        <v>58</v>
      </c>
      <c r="B65">
        <v>105</v>
      </c>
      <c r="C65">
        <v>81</v>
      </c>
      <c r="D65">
        <v>109</v>
      </c>
      <c r="E65">
        <v>169</v>
      </c>
      <c r="F65">
        <v>102</v>
      </c>
      <c r="G65">
        <v>104</v>
      </c>
      <c r="H65">
        <v>319.40000000000003</v>
      </c>
      <c r="I65" s="14">
        <v>394.64948122280862</v>
      </c>
      <c r="J65">
        <v>109</v>
      </c>
      <c r="K65">
        <v>66</v>
      </c>
      <c r="L65">
        <v>109</v>
      </c>
      <c r="M65">
        <v>64</v>
      </c>
      <c r="N65" s="120">
        <v>4.1666666666666664E-2</v>
      </c>
      <c r="O65" s="120">
        <v>8.3333333333333329E-2</v>
      </c>
      <c r="P65">
        <v>-89</v>
      </c>
    </row>
    <row r="66" spans="1:16">
      <c r="A66" t="s">
        <v>321</v>
      </c>
      <c r="B66">
        <v>73</v>
      </c>
      <c r="C66">
        <v>136</v>
      </c>
      <c r="D66">
        <v>33</v>
      </c>
      <c r="E66">
        <v>193</v>
      </c>
      <c r="F66">
        <v>192</v>
      </c>
      <c r="G66">
        <v>103</v>
      </c>
      <c r="H66">
        <v>322.7</v>
      </c>
      <c r="I66" s="14">
        <v>395.7194060807127</v>
      </c>
      <c r="J66">
        <v>115</v>
      </c>
      <c r="K66">
        <v>70</v>
      </c>
      <c r="L66">
        <v>110</v>
      </c>
      <c r="M66">
        <v>65</v>
      </c>
      <c r="N66" s="120" t="e">
        <v>#N/A</v>
      </c>
      <c r="O66" s="120" t="e">
        <v>#N/A</v>
      </c>
      <c r="P66" t="e">
        <v>#N/A</v>
      </c>
    </row>
    <row r="67" spans="1:16">
      <c r="A67" t="s">
        <v>107</v>
      </c>
      <c r="B67">
        <v>94</v>
      </c>
      <c r="C67">
        <v>182</v>
      </c>
      <c r="D67">
        <v>173</v>
      </c>
      <c r="E67">
        <v>20</v>
      </c>
      <c r="F67">
        <v>63</v>
      </c>
      <c r="G67">
        <v>109</v>
      </c>
      <c r="H67">
        <v>326.79999999999995</v>
      </c>
      <c r="I67" s="14">
        <v>395.92603861938534</v>
      </c>
      <c r="J67">
        <v>119</v>
      </c>
      <c r="K67">
        <v>73</v>
      </c>
      <c r="L67">
        <v>111</v>
      </c>
      <c r="M67">
        <v>66</v>
      </c>
      <c r="N67" s="120" t="e">
        <v>#VALUE!</v>
      </c>
      <c r="O67" s="120">
        <v>2.8571428571428571E-2</v>
      </c>
      <c r="P67">
        <v>-18</v>
      </c>
    </row>
    <row r="68" spans="1:16">
      <c r="A68" t="s">
        <v>42</v>
      </c>
      <c r="B68">
        <v>61</v>
      </c>
      <c r="C68">
        <v>85</v>
      </c>
      <c r="D68">
        <v>159</v>
      </c>
      <c r="E68">
        <v>7</v>
      </c>
      <c r="F68">
        <v>197</v>
      </c>
      <c r="G68">
        <v>127</v>
      </c>
      <c r="H68">
        <v>303.90000000000003</v>
      </c>
      <c r="I68" s="14">
        <v>396.66745148434313</v>
      </c>
      <c r="J68">
        <v>96</v>
      </c>
      <c r="K68">
        <v>55</v>
      </c>
      <c r="L68">
        <v>112</v>
      </c>
      <c r="M68">
        <v>67</v>
      </c>
      <c r="N68" s="120" t="e">
        <v>#VALUE!</v>
      </c>
      <c r="O68" s="120" t="e">
        <v>#VALUE!</v>
      </c>
      <c r="P68">
        <v>-11</v>
      </c>
    </row>
    <row r="69" spans="1:16">
      <c r="A69" t="s">
        <v>55</v>
      </c>
      <c r="B69">
        <v>116</v>
      </c>
      <c r="C69">
        <v>114</v>
      </c>
      <c r="D69">
        <v>22</v>
      </c>
      <c r="E69">
        <v>151</v>
      </c>
      <c r="F69">
        <v>170</v>
      </c>
      <c r="G69">
        <v>128</v>
      </c>
      <c r="H69">
        <v>310.60000000000002</v>
      </c>
      <c r="I69" s="14">
        <v>397.19821286525882</v>
      </c>
      <c r="J69">
        <v>106.5</v>
      </c>
      <c r="K69">
        <v>64</v>
      </c>
      <c r="L69">
        <v>113</v>
      </c>
      <c r="M69">
        <v>68</v>
      </c>
      <c r="N69" s="120" t="e">
        <v>#VALUE!</v>
      </c>
      <c r="O69" s="120" t="e">
        <v>#VALUE!</v>
      </c>
      <c r="P69">
        <v>-15</v>
      </c>
    </row>
    <row r="70" spans="1:16">
      <c r="A70" t="s">
        <v>114</v>
      </c>
      <c r="B70">
        <v>135</v>
      </c>
      <c r="C70">
        <v>194</v>
      </c>
      <c r="D70">
        <v>117</v>
      </c>
      <c r="E70">
        <v>55</v>
      </c>
      <c r="F70">
        <v>43</v>
      </c>
      <c r="G70">
        <v>119</v>
      </c>
      <c r="H70">
        <v>330.4</v>
      </c>
      <c r="I70" s="14">
        <v>400.58920226398072</v>
      </c>
      <c r="J70">
        <v>126</v>
      </c>
      <c r="K70">
        <v>79</v>
      </c>
      <c r="L70">
        <v>114</v>
      </c>
      <c r="M70">
        <v>69</v>
      </c>
      <c r="N70" s="120" t="e">
        <v>#VALUE!</v>
      </c>
      <c r="O70" s="120" t="e">
        <v>#VALUE!</v>
      </c>
      <c r="P70">
        <v>13</v>
      </c>
    </row>
    <row r="71" spans="1:16">
      <c r="A71" t="s">
        <v>32</v>
      </c>
      <c r="B71">
        <v>40</v>
      </c>
      <c r="C71">
        <v>190</v>
      </c>
      <c r="D71">
        <v>93</v>
      </c>
      <c r="E71">
        <v>168</v>
      </c>
      <c r="F71">
        <v>100</v>
      </c>
      <c r="G71">
        <v>112</v>
      </c>
      <c r="H71">
        <v>309.3</v>
      </c>
      <c r="I71" s="14">
        <v>401.80604060572466</v>
      </c>
      <c r="J71">
        <v>104</v>
      </c>
      <c r="K71">
        <v>61</v>
      </c>
      <c r="L71">
        <v>115</v>
      </c>
      <c r="M71">
        <v>70</v>
      </c>
      <c r="N71" s="120" t="e">
        <v>#VALUE!</v>
      </c>
      <c r="O71" s="120">
        <v>3.0303030303030304E-2</v>
      </c>
      <c r="P71">
        <v>28</v>
      </c>
    </row>
    <row r="72" spans="1:16">
      <c r="A72" t="s">
        <v>151</v>
      </c>
      <c r="B72">
        <v>142</v>
      </c>
      <c r="C72">
        <v>116</v>
      </c>
      <c r="D72">
        <v>17</v>
      </c>
      <c r="E72">
        <v>187</v>
      </c>
      <c r="F72">
        <v>128</v>
      </c>
      <c r="G72">
        <v>124</v>
      </c>
      <c r="H72">
        <v>322.3</v>
      </c>
      <c r="I72" s="14">
        <v>403.07400327246461</v>
      </c>
      <c r="J72">
        <v>113.5</v>
      </c>
      <c r="K72">
        <v>69</v>
      </c>
      <c r="L72">
        <v>116</v>
      </c>
      <c r="M72">
        <v>71</v>
      </c>
      <c r="N72" s="120" t="e">
        <v>#VALUE!</v>
      </c>
      <c r="O72" s="120" t="e">
        <v>#VALUE!</v>
      </c>
      <c r="P72">
        <v>48</v>
      </c>
    </row>
    <row r="73" spans="1:16">
      <c r="A73" t="s">
        <v>185</v>
      </c>
      <c r="B73">
        <v>209</v>
      </c>
      <c r="C73">
        <v>8</v>
      </c>
      <c r="D73">
        <v>73</v>
      </c>
      <c r="E73">
        <v>181</v>
      </c>
      <c r="F73">
        <v>78</v>
      </c>
      <c r="G73">
        <v>120</v>
      </c>
      <c r="H73">
        <v>333.70000000000005</v>
      </c>
      <c r="I73" s="14">
        <v>404.34179516639767</v>
      </c>
      <c r="J73">
        <v>128</v>
      </c>
      <c r="K73">
        <v>80</v>
      </c>
      <c r="L73">
        <v>118</v>
      </c>
      <c r="M73">
        <v>72</v>
      </c>
      <c r="N73" s="120" t="e">
        <v>#VALUE!</v>
      </c>
      <c r="O73" s="120" t="e">
        <v>#VALUE!</v>
      </c>
      <c r="P73">
        <v>-8</v>
      </c>
    </row>
    <row r="74" spans="1:16">
      <c r="A74" t="s">
        <v>33</v>
      </c>
      <c r="B74">
        <v>9</v>
      </c>
      <c r="C74">
        <v>60</v>
      </c>
      <c r="D74">
        <v>151</v>
      </c>
      <c r="E74">
        <v>196</v>
      </c>
      <c r="F74">
        <v>125</v>
      </c>
      <c r="G74">
        <v>124</v>
      </c>
      <c r="H74">
        <v>283.79999999999995</v>
      </c>
      <c r="I74" s="14">
        <v>407.35171321507232</v>
      </c>
      <c r="J74">
        <v>77</v>
      </c>
      <c r="K74">
        <v>43</v>
      </c>
      <c r="L74">
        <v>120</v>
      </c>
      <c r="M74">
        <v>73</v>
      </c>
      <c r="N74" s="120" t="e">
        <v>#VALUE!</v>
      </c>
      <c r="O74" s="120" t="e">
        <v>#VALUE!</v>
      </c>
      <c r="P74">
        <v>20</v>
      </c>
    </row>
    <row r="75" spans="1:16">
      <c r="A75" t="s">
        <v>87</v>
      </c>
      <c r="B75">
        <v>51</v>
      </c>
      <c r="C75">
        <v>119</v>
      </c>
      <c r="D75">
        <v>145</v>
      </c>
      <c r="E75">
        <v>141</v>
      </c>
      <c r="F75">
        <v>88</v>
      </c>
      <c r="G75">
        <v>123</v>
      </c>
      <c r="H75">
        <v>302.20000000000005</v>
      </c>
      <c r="I75" s="14">
        <v>407.76686588989509</v>
      </c>
      <c r="J75">
        <v>93</v>
      </c>
      <c r="K75">
        <v>54</v>
      </c>
      <c r="L75">
        <v>121</v>
      </c>
      <c r="M75">
        <v>74</v>
      </c>
      <c r="N75" s="120" t="e">
        <v>#VALUE!</v>
      </c>
      <c r="O75" s="120" t="e">
        <v>#VALUE!</v>
      </c>
      <c r="P75">
        <v>32</v>
      </c>
    </row>
    <row r="76" spans="1:16">
      <c r="A76" t="s">
        <v>48</v>
      </c>
      <c r="B76">
        <v>73</v>
      </c>
      <c r="C76">
        <v>174</v>
      </c>
      <c r="D76">
        <v>35</v>
      </c>
      <c r="E76">
        <v>199</v>
      </c>
      <c r="F76">
        <v>158</v>
      </c>
      <c r="G76">
        <v>113</v>
      </c>
      <c r="H76">
        <v>328.5</v>
      </c>
      <c r="I76" s="14">
        <v>411.5104383572484</v>
      </c>
      <c r="J76">
        <v>121</v>
      </c>
      <c r="K76">
        <v>75</v>
      </c>
      <c r="L76">
        <v>122</v>
      </c>
      <c r="M76">
        <v>75</v>
      </c>
      <c r="N76" s="120" t="e">
        <v>#VALUE!</v>
      </c>
      <c r="O76" s="120" t="e">
        <v>#VALUE!</v>
      </c>
      <c r="P76">
        <v>26</v>
      </c>
    </row>
    <row r="77" spans="1:16">
      <c r="A77" t="s">
        <v>56</v>
      </c>
      <c r="B77">
        <v>71</v>
      </c>
      <c r="C77">
        <v>165</v>
      </c>
      <c r="D77">
        <v>98</v>
      </c>
      <c r="E77">
        <v>83</v>
      </c>
      <c r="F77">
        <v>155</v>
      </c>
      <c r="G77">
        <v>132</v>
      </c>
      <c r="H77">
        <v>318.60000000000002</v>
      </c>
      <c r="I77" s="14">
        <v>414.98987231364868</v>
      </c>
      <c r="J77">
        <v>108</v>
      </c>
      <c r="K77">
        <v>65</v>
      </c>
      <c r="L77">
        <v>123</v>
      </c>
      <c r="M77">
        <v>76</v>
      </c>
      <c r="N77" s="120" t="e">
        <v>#VALUE!</v>
      </c>
      <c r="O77" s="120" t="e">
        <v>#VALUE!</v>
      </c>
      <c r="P77">
        <v>-22</v>
      </c>
    </row>
    <row r="78" spans="1:16">
      <c r="A78" t="s">
        <v>23</v>
      </c>
      <c r="B78">
        <v>33</v>
      </c>
      <c r="C78">
        <v>150</v>
      </c>
      <c r="D78">
        <v>111</v>
      </c>
      <c r="E78">
        <v>69</v>
      </c>
      <c r="F78">
        <v>206</v>
      </c>
      <c r="G78">
        <v>135</v>
      </c>
      <c r="H78">
        <v>309.7</v>
      </c>
      <c r="I78" s="14">
        <v>416.09997804514734</v>
      </c>
      <c r="J78">
        <v>105</v>
      </c>
      <c r="K78">
        <v>62</v>
      </c>
      <c r="L78">
        <v>124</v>
      </c>
      <c r="M78">
        <v>77</v>
      </c>
      <c r="N78" s="120" t="e">
        <v>#VALUE!</v>
      </c>
      <c r="O78" s="120" t="e">
        <v>#VALUE!</v>
      </c>
      <c r="P78">
        <v>10</v>
      </c>
    </row>
    <row r="79" spans="1:16">
      <c r="A79" t="s">
        <v>186</v>
      </c>
      <c r="B79">
        <v>211</v>
      </c>
      <c r="C79">
        <v>45</v>
      </c>
      <c r="D79">
        <v>38</v>
      </c>
      <c r="E79">
        <v>131</v>
      </c>
      <c r="F79">
        <v>143</v>
      </c>
      <c r="G79">
        <v>136</v>
      </c>
      <c r="H79">
        <v>341.8</v>
      </c>
      <c r="I79" s="14">
        <v>416.65327743280113</v>
      </c>
      <c r="J79">
        <v>134</v>
      </c>
      <c r="K79">
        <v>84</v>
      </c>
      <c r="L79">
        <v>125</v>
      </c>
      <c r="M79">
        <v>78</v>
      </c>
      <c r="N79" s="120" t="e">
        <v>#VALUE!</v>
      </c>
      <c r="O79" s="120" t="e">
        <v>#VALUE!</v>
      </c>
      <c r="P79">
        <v>-46</v>
      </c>
    </row>
    <row r="80" spans="1:16">
      <c r="A80" t="s">
        <v>155</v>
      </c>
      <c r="B80">
        <v>153</v>
      </c>
      <c r="C80">
        <v>183</v>
      </c>
      <c r="D80">
        <v>77</v>
      </c>
      <c r="E80">
        <v>11</v>
      </c>
      <c r="F80">
        <v>169</v>
      </c>
      <c r="G80">
        <v>126</v>
      </c>
      <c r="H80">
        <v>356.7</v>
      </c>
      <c r="I80" s="14">
        <v>417.39730990410038</v>
      </c>
      <c r="J80">
        <v>145</v>
      </c>
      <c r="K80">
        <v>92</v>
      </c>
      <c r="L80">
        <v>127</v>
      </c>
      <c r="M80">
        <v>79</v>
      </c>
      <c r="N80" s="120" t="e">
        <v>#VALUE!</v>
      </c>
      <c r="O80" s="120" t="e">
        <v>#VALUE!</v>
      </c>
      <c r="P80">
        <v>-26</v>
      </c>
    </row>
    <row r="81" spans="1:16">
      <c r="A81" t="s">
        <v>167</v>
      </c>
      <c r="B81">
        <v>168</v>
      </c>
      <c r="C81">
        <v>126</v>
      </c>
      <c r="D81">
        <v>190</v>
      </c>
      <c r="E81">
        <v>49</v>
      </c>
      <c r="F81">
        <v>11</v>
      </c>
      <c r="G81">
        <v>116</v>
      </c>
      <c r="H81">
        <v>355.5</v>
      </c>
      <c r="I81" s="14">
        <v>421.70053967449513</v>
      </c>
      <c r="J81">
        <v>142</v>
      </c>
      <c r="K81">
        <v>89</v>
      </c>
      <c r="L81">
        <v>130</v>
      </c>
      <c r="M81">
        <v>80</v>
      </c>
      <c r="N81" s="120" t="e">
        <v>#VALUE!</v>
      </c>
      <c r="O81" s="120" t="e">
        <v>#VALUE!</v>
      </c>
      <c r="P81">
        <v>37</v>
      </c>
    </row>
    <row r="82" spans="1:16">
      <c r="A82" t="s">
        <v>121</v>
      </c>
      <c r="B82">
        <v>111</v>
      </c>
      <c r="C82">
        <v>96</v>
      </c>
      <c r="D82">
        <v>105</v>
      </c>
      <c r="E82">
        <v>129</v>
      </c>
      <c r="F82">
        <v>136</v>
      </c>
      <c r="G82">
        <v>133</v>
      </c>
      <c r="H82">
        <v>329.90000000000003</v>
      </c>
      <c r="I82" s="14">
        <v>426.21940549896914</v>
      </c>
      <c r="J82">
        <v>123</v>
      </c>
      <c r="K82">
        <v>77</v>
      </c>
      <c r="L82">
        <v>131</v>
      </c>
      <c r="M82">
        <v>81</v>
      </c>
      <c r="N82" s="120" t="e">
        <v>#VALUE!</v>
      </c>
      <c r="O82" s="120" t="e">
        <v>#VALUE!</v>
      </c>
      <c r="P82">
        <v>21</v>
      </c>
    </row>
    <row r="83" spans="1:16">
      <c r="A83" t="s">
        <v>123</v>
      </c>
      <c r="B83">
        <v>145</v>
      </c>
      <c r="C83">
        <v>107</v>
      </c>
      <c r="D83">
        <v>128</v>
      </c>
      <c r="E83">
        <v>170</v>
      </c>
      <c r="F83">
        <v>66</v>
      </c>
      <c r="G83">
        <v>110</v>
      </c>
      <c r="H83">
        <v>360.1</v>
      </c>
      <c r="I83" s="14">
        <v>431.45293749205342</v>
      </c>
      <c r="J83">
        <v>148</v>
      </c>
      <c r="K83">
        <v>95</v>
      </c>
      <c r="L83">
        <v>132</v>
      </c>
      <c r="M83">
        <v>82</v>
      </c>
      <c r="N83" s="120" t="e">
        <v>#VALUE!</v>
      </c>
      <c r="O83" s="120" t="e">
        <v>#VALUE!</v>
      </c>
      <c r="P83">
        <v>-31</v>
      </c>
    </row>
    <row r="84" spans="1:16">
      <c r="A84" t="s">
        <v>191</v>
      </c>
      <c r="B84">
        <v>217</v>
      </c>
      <c r="C84">
        <v>105</v>
      </c>
      <c r="D84">
        <v>127</v>
      </c>
      <c r="E84">
        <v>43</v>
      </c>
      <c r="F84">
        <v>62</v>
      </c>
      <c r="G84">
        <v>142</v>
      </c>
      <c r="H84">
        <v>363.2</v>
      </c>
      <c r="I84" s="14">
        <v>438.86650030474215</v>
      </c>
      <c r="J84">
        <v>150</v>
      </c>
      <c r="K84">
        <v>97</v>
      </c>
      <c r="L84">
        <v>133</v>
      </c>
      <c r="M84">
        <v>83</v>
      </c>
      <c r="N84" s="120" t="e">
        <v>#VALUE!</v>
      </c>
      <c r="O84" s="120" t="e">
        <v>#VALUE!</v>
      </c>
      <c r="P84">
        <v>-86</v>
      </c>
    </row>
    <row r="85" spans="1:16">
      <c r="A85" t="s">
        <v>184</v>
      </c>
      <c r="B85">
        <v>194</v>
      </c>
      <c r="C85">
        <v>47</v>
      </c>
      <c r="D85">
        <v>168</v>
      </c>
      <c r="E85">
        <v>81</v>
      </c>
      <c r="F85">
        <v>85</v>
      </c>
      <c r="G85">
        <v>122</v>
      </c>
      <c r="H85">
        <v>371.2</v>
      </c>
      <c r="I85" s="14">
        <v>438.94047594001898</v>
      </c>
      <c r="J85">
        <v>158</v>
      </c>
      <c r="K85">
        <v>100</v>
      </c>
      <c r="L85">
        <v>134</v>
      </c>
      <c r="M85">
        <v>84</v>
      </c>
      <c r="N85" s="120" t="e">
        <v>#VALUE!</v>
      </c>
      <c r="O85" s="120" t="e">
        <v>#VALUE!</v>
      </c>
      <c r="P85">
        <v>-25</v>
      </c>
    </row>
    <row r="86" spans="1:16">
      <c r="A86" t="s">
        <v>89</v>
      </c>
      <c r="B86">
        <v>121</v>
      </c>
      <c r="C86">
        <v>104</v>
      </c>
      <c r="D86">
        <v>178</v>
      </c>
      <c r="E86">
        <v>143</v>
      </c>
      <c r="F86">
        <v>68</v>
      </c>
      <c r="G86">
        <v>118</v>
      </c>
      <c r="H86">
        <v>364.59999999999997</v>
      </c>
      <c r="I86" s="14">
        <v>449.35641099034177</v>
      </c>
      <c r="J86">
        <v>152</v>
      </c>
      <c r="K86">
        <v>98</v>
      </c>
      <c r="L86">
        <v>136</v>
      </c>
      <c r="M86">
        <v>85</v>
      </c>
      <c r="N86" s="120" t="e">
        <v>#VALUE!</v>
      </c>
      <c r="O86" s="120" t="e">
        <v>#VALUE!</v>
      </c>
      <c r="P86">
        <v>-23</v>
      </c>
    </row>
    <row r="87" spans="1:16">
      <c r="A87" t="s">
        <v>24</v>
      </c>
      <c r="B87">
        <v>21</v>
      </c>
      <c r="C87">
        <v>210</v>
      </c>
      <c r="D87">
        <v>72</v>
      </c>
      <c r="E87">
        <v>194</v>
      </c>
      <c r="F87">
        <v>145</v>
      </c>
      <c r="G87">
        <v>145</v>
      </c>
      <c r="H87">
        <v>322.3</v>
      </c>
      <c r="I87" s="14">
        <v>449.74379609972317</v>
      </c>
      <c r="J87">
        <v>113.5</v>
      </c>
      <c r="K87">
        <v>68</v>
      </c>
      <c r="L87">
        <v>137</v>
      </c>
      <c r="M87">
        <v>86</v>
      </c>
      <c r="N87" s="120" t="e">
        <v>#VALUE!</v>
      </c>
      <c r="O87" s="120">
        <v>3.7037037037037035E-2</v>
      </c>
      <c r="P87">
        <v>-25</v>
      </c>
    </row>
    <row r="88" spans="1:16">
      <c r="A88" t="s">
        <v>118</v>
      </c>
      <c r="B88">
        <v>123</v>
      </c>
      <c r="C88">
        <v>87</v>
      </c>
      <c r="D88">
        <v>140</v>
      </c>
      <c r="E88">
        <v>42</v>
      </c>
      <c r="F88">
        <v>188</v>
      </c>
      <c r="G88">
        <v>148</v>
      </c>
      <c r="H88">
        <v>350.7</v>
      </c>
      <c r="I88" s="14">
        <v>450.31652074628602</v>
      </c>
      <c r="J88">
        <v>139</v>
      </c>
      <c r="K88">
        <v>88</v>
      </c>
      <c r="L88">
        <v>138</v>
      </c>
      <c r="M88">
        <v>87</v>
      </c>
      <c r="N88" s="120" t="e">
        <v>#VALUE!</v>
      </c>
      <c r="O88" s="120" t="e">
        <v>#VALUE!</v>
      </c>
      <c r="P88">
        <v>3</v>
      </c>
    </row>
    <row r="89" spans="1:16">
      <c r="A89" t="s">
        <v>171</v>
      </c>
      <c r="B89">
        <v>192</v>
      </c>
      <c r="C89">
        <v>178</v>
      </c>
      <c r="D89">
        <v>99</v>
      </c>
      <c r="E89">
        <v>106</v>
      </c>
      <c r="F89">
        <v>142</v>
      </c>
      <c r="G89">
        <v>92</v>
      </c>
      <c r="H89">
        <v>425.30000000000007</v>
      </c>
      <c r="I89" s="14">
        <v>450.49302783820127</v>
      </c>
      <c r="J89">
        <v>199</v>
      </c>
      <c r="K89">
        <v>128</v>
      </c>
      <c r="L89">
        <v>139</v>
      </c>
      <c r="M89">
        <v>88</v>
      </c>
      <c r="N89" s="120" t="e">
        <v>#VALUE!</v>
      </c>
      <c r="O89" s="120" t="e">
        <v>#VALUE!</v>
      </c>
      <c r="P89">
        <v>-61</v>
      </c>
    </row>
    <row r="90" spans="1:16">
      <c r="A90" t="s">
        <v>34</v>
      </c>
      <c r="B90">
        <v>28</v>
      </c>
      <c r="C90">
        <v>142</v>
      </c>
      <c r="D90">
        <v>125</v>
      </c>
      <c r="E90">
        <v>128</v>
      </c>
      <c r="F90">
        <v>178</v>
      </c>
      <c r="G90">
        <v>150</v>
      </c>
      <c r="H90">
        <v>321.10000000000002</v>
      </c>
      <c r="I90" s="14">
        <v>450.63475290209345</v>
      </c>
      <c r="J90">
        <v>111</v>
      </c>
      <c r="K90">
        <v>67</v>
      </c>
      <c r="L90">
        <v>140</v>
      </c>
      <c r="M90">
        <v>89</v>
      </c>
      <c r="N90" s="120" t="e">
        <v>#VALUE!</v>
      </c>
      <c r="O90" s="120" t="e">
        <v>#VALUE!</v>
      </c>
      <c r="P90">
        <v>-12</v>
      </c>
    </row>
    <row r="91" spans="1:16">
      <c r="A91" t="s">
        <v>236</v>
      </c>
      <c r="B91">
        <v>183</v>
      </c>
      <c r="C91">
        <v>70</v>
      </c>
      <c r="D91">
        <v>155</v>
      </c>
      <c r="E91">
        <v>109</v>
      </c>
      <c r="F91">
        <v>86</v>
      </c>
      <c r="G91">
        <v>134</v>
      </c>
      <c r="H91">
        <v>376.5</v>
      </c>
      <c r="I91" s="14">
        <v>459.14897230722482</v>
      </c>
      <c r="J91">
        <v>164</v>
      </c>
      <c r="K91">
        <v>104</v>
      </c>
      <c r="L91">
        <v>143</v>
      </c>
      <c r="M91">
        <v>90</v>
      </c>
      <c r="N91" s="120" t="e">
        <v>#VALUE!</v>
      </c>
      <c r="O91" s="120" t="e">
        <v>#VALUE!</v>
      </c>
      <c r="P91">
        <v>-1</v>
      </c>
    </row>
    <row r="92" spans="1:16">
      <c r="A92" t="s">
        <v>91</v>
      </c>
      <c r="B92">
        <v>58</v>
      </c>
      <c r="C92">
        <v>108</v>
      </c>
      <c r="D92">
        <v>156</v>
      </c>
      <c r="E92">
        <v>71</v>
      </c>
      <c r="F92">
        <v>184</v>
      </c>
      <c r="G92">
        <v>162</v>
      </c>
      <c r="H92">
        <v>330</v>
      </c>
      <c r="I92" s="14">
        <v>462.08587764523736</v>
      </c>
      <c r="J92">
        <v>124</v>
      </c>
      <c r="K92">
        <v>78</v>
      </c>
      <c r="L92">
        <v>144</v>
      </c>
      <c r="M92">
        <v>91</v>
      </c>
      <c r="N92" s="120" t="e">
        <v>#VALUE!</v>
      </c>
      <c r="O92" s="120">
        <v>3.0303030303030304E-2</v>
      </c>
      <c r="P92">
        <v>24</v>
      </c>
    </row>
    <row r="93" spans="1:16">
      <c r="A93" t="s">
        <v>103</v>
      </c>
      <c r="B93">
        <v>114</v>
      </c>
      <c r="C93">
        <v>71</v>
      </c>
      <c r="D93">
        <v>180</v>
      </c>
      <c r="E93">
        <v>182</v>
      </c>
      <c r="F93">
        <v>65</v>
      </c>
      <c r="G93">
        <v>140</v>
      </c>
      <c r="H93">
        <v>358</v>
      </c>
      <c r="I93" s="14">
        <v>472.0173974134791</v>
      </c>
      <c r="J93">
        <v>147</v>
      </c>
      <c r="K93">
        <v>94</v>
      </c>
      <c r="L93">
        <v>148</v>
      </c>
      <c r="M93">
        <v>92</v>
      </c>
      <c r="N93" s="120" t="e">
        <v>#VALUE!</v>
      </c>
      <c r="O93" s="120" t="e">
        <v>#VALUE!</v>
      </c>
      <c r="P93">
        <v>58</v>
      </c>
    </row>
    <row r="94" spans="1:16">
      <c r="A94" t="s">
        <v>180</v>
      </c>
      <c r="B94">
        <v>191</v>
      </c>
      <c r="C94">
        <v>57</v>
      </c>
      <c r="D94">
        <v>130</v>
      </c>
      <c r="E94">
        <v>204</v>
      </c>
      <c r="F94">
        <v>13</v>
      </c>
      <c r="G94">
        <v>155</v>
      </c>
      <c r="H94">
        <v>360.40000000000003</v>
      </c>
      <c r="I94" s="14">
        <v>474.15955018955378</v>
      </c>
      <c r="J94">
        <v>149</v>
      </c>
      <c r="K94">
        <v>96</v>
      </c>
      <c r="L94">
        <v>150</v>
      </c>
      <c r="M94">
        <v>93</v>
      </c>
      <c r="N94" s="120" t="e">
        <v>#VALUE!</v>
      </c>
      <c r="O94" s="120" t="e">
        <v>#VALUE!</v>
      </c>
      <c r="P94">
        <v>16</v>
      </c>
    </row>
    <row r="95" spans="1:16">
      <c r="A95" t="s">
        <v>50</v>
      </c>
      <c r="B95">
        <v>69</v>
      </c>
      <c r="C95">
        <v>180</v>
      </c>
      <c r="D95">
        <v>100</v>
      </c>
      <c r="E95">
        <v>56</v>
      </c>
      <c r="F95">
        <v>207</v>
      </c>
      <c r="G95">
        <v>175</v>
      </c>
      <c r="H95">
        <v>341.1</v>
      </c>
      <c r="I95" s="14">
        <v>474.41220458200422</v>
      </c>
      <c r="J95">
        <v>133</v>
      </c>
      <c r="K95">
        <v>83</v>
      </c>
      <c r="L95">
        <v>151</v>
      </c>
      <c r="M95">
        <v>94</v>
      </c>
      <c r="N95" s="120" t="e">
        <v>#VALUE!</v>
      </c>
      <c r="O95" s="120" t="e">
        <v>#VALUE!</v>
      </c>
      <c r="P95">
        <v>-6</v>
      </c>
    </row>
    <row r="96" spans="1:16">
      <c r="A96" t="s">
        <v>13</v>
      </c>
      <c r="B96">
        <v>25</v>
      </c>
      <c r="C96">
        <v>149</v>
      </c>
      <c r="D96">
        <v>158</v>
      </c>
      <c r="E96">
        <v>184</v>
      </c>
      <c r="F96">
        <v>112</v>
      </c>
      <c r="G96">
        <v>151</v>
      </c>
      <c r="H96">
        <v>334.7</v>
      </c>
      <c r="I96" s="14">
        <v>474.44370783194319</v>
      </c>
      <c r="J96">
        <v>130</v>
      </c>
      <c r="K96">
        <v>81</v>
      </c>
      <c r="L96">
        <v>152</v>
      </c>
      <c r="M96">
        <v>95</v>
      </c>
      <c r="N96" s="120" t="e">
        <v>#VALUE!</v>
      </c>
      <c r="O96" s="120" t="e">
        <v>#VALUE!</v>
      </c>
      <c r="P96">
        <v>-20</v>
      </c>
    </row>
    <row r="97" spans="1:16">
      <c r="A97" t="s">
        <v>45</v>
      </c>
      <c r="B97">
        <v>66</v>
      </c>
      <c r="C97">
        <v>168</v>
      </c>
      <c r="D97">
        <v>56</v>
      </c>
      <c r="E97">
        <v>191</v>
      </c>
      <c r="F97">
        <v>181</v>
      </c>
      <c r="G97">
        <v>163</v>
      </c>
      <c r="H97">
        <v>342.9</v>
      </c>
      <c r="I97" s="14">
        <v>476.36032679560702</v>
      </c>
      <c r="J97">
        <v>135</v>
      </c>
      <c r="K97">
        <v>85</v>
      </c>
      <c r="L97">
        <v>154</v>
      </c>
      <c r="M97">
        <v>96</v>
      </c>
      <c r="N97" s="120" t="e">
        <v>#VALUE!</v>
      </c>
      <c r="O97" s="120" t="e">
        <v>#VALUE!</v>
      </c>
      <c r="P97">
        <v>-5</v>
      </c>
    </row>
    <row r="98" spans="1:16">
      <c r="A98" t="s">
        <v>99</v>
      </c>
      <c r="B98">
        <v>88</v>
      </c>
      <c r="C98">
        <v>120</v>
      </c>
      <c r="D98">
        <v>107</v>
      </c>
      <c r="E98">
        <v>190</v>
      </c>
      <c r="F98">
        <v>133</v>
      </c>
      <c r="G98">
        <v>158</v>
      </c>
      <c r="H98">
        <v>347.8</v>
      </c>
      <c r="I98" s="14">
        <v>477.92527779340577</v>
      </c>
      <c r="J98">
        <v>138</v>
      </c>
      <c r="K98">
        <v>87</v>
      </c>
      <c r="L98">
        <v>155</v>
      </c>
      <c r="M98">
        <v>97</v>
      </c>
      <c r="N98" s="120" t="e">
        <v>#VALUE!</v>
      </c>
      <c r="O98" s="120" t="e">
        <v>#VALUE!</v>
      </c>
      <c r="P98">
        <v>-22</v>
      </c>
    </row>
    <row r="99" spans="1:16">
      <c r="A99" t="s">
        <v>109</v>
      </c>
      <c r="B99">
        <v>134</v>
      </c>
      <c r="C99">
        <v>10</v>
      </c>
      <c r="D99">
        <v>160</v>
      </c>
      <c r="E99">
        <v>205</v>
      </c>
      <c r="F99">
        <v>102</v>
      </c>
      <c r="G99">
        <v>157</v>
      </c>
      <c r="H99">
        <v>357.2</v>
      </c>
      <c r="I99" s="14">
        <v>486.06418344064036</v>
      </c>
      <c r="J99">
        <v>146</v>
      </c>
      <c r="K99">
        <v>93</v>
      </c>
      <c r="L99">
        <v>157</v>
      </c>
      <c r="M99">
        <v>98</v>
      </c>
      <c r="N99" s="120" t="e">
        <v>#VALUE!</v>
      </c>
      <c r="O99" s="120" t="e">
        <v>#VALUE!</v>
      </c>
      <c r="P99">
        <v>0</v>
      </c>
    </row>
    <row r="100" spans="1:16">
      <c r="A100" t="s">
        <v>320</v>
      </c>
      <c r="B100">
        <v>161</v>
      </c>
      <c r="C100">
        <v>91</v>
      </c>
      <c r="D100">
        <v>157</v>
      </c>
      <c r="E100">
        <v>157</v>
      </c>
      <c r="F100">
        <v>67</v>
      </c>
      <c r="G100">
        <v>149</v>
      </c>
      <c r="H100">
        <v>380.5</v>
      </c>
      <c r="I100" s="14">
        <v>487.15875730788105</v>
      </c>
      <c r="J100">
        <v>167</v>
      </c>
      <c r="K100">
        <v>107</v>
      </c>
      <c r="L100">
        <v>158</v>
      </c>
      <c r="M100">
        <v>99</v>
      </c>
      <c r="N100" s="120" t="e">
        <v>#N/A</v>
      </c>
      <c r="O100" s="120" t="e">
        <v>#N/A</v>
      </c>
      <c r="P100">
        <v>29</v>
      </c>
    </row>
    <row r="101" spans="1:16">
      <c r="A101" t="s">
        <v>160</v>
      </c>
      <c r="B101">
        <v>165</v>
      </c>
      <c r="C101">
        <v>115</v>
      </c>
      <c r="D101">
        <v>144</v>
      </c>
      <c r="E101">
        <v>104</v>
      </c>
      <c r="F101">
        <v>155</v>
      </c>
      <c r="G101">
        <v>137</v>
      </c>
      <c r="H101">
        <v>409.40000000000003</v>
      </c>
      <c r="I101" s="14">
        <v>491.16516505429632</v>
      </c>
      <c r="J101">
        <v>190</v>
      </c>
      <c r="K101">
        <v>122</v>
      </c>
      <c r="L101">
        <v>159</v>
      </c>
      <c r="M101">
        <v>100</v>
      </c>
      <c r="N101" s="120" t="e">
        <v>#VALUE!</v>
      </c>
      <c r="O101" s="120">
        <v>3.0303030303030304E-2</v>
      </c>
      <c r="P101">
        <v>-26</v>
      </c>
    </row>
    <row r="102" spans="1:16">
      <c r="A102" t="s">
        <v>41</v>
      </c>
      <c r="B102">
        <v>58</v>
      </c>
      <c r="C102">
        <v>205</v>
      </c>
      <c r="D102">
        <v>154</v>
      </c>
      <c r="E102">
        <v>179</v>
      </c>
      <c r="F102">
        <v>98</v>
      </c>
      <c r="G102">
        <v>139</v>
      </c>
      <c r="H102">
        <v>377.3</v>
      </c>
      <c r="I102" s="14">
        <v>492.51567738909421</v>
      </c>
      <c r="J102">
        <v>165</v>
      </c>
      <c r="K102">
        <v>105</v>
      </c>
      <c r="L102">
        <v>160</v>
      </c>
      <c r="M102">
        <v>101</v>
      </c>
      <c r="N102" s="120" t="e">
        <v>#VALUE!</v>
      </c>
      <c r="O102" s="120" t="e">
        <v>#VALUE!</v>
      </c>
      <c r="P102">
        <v>17</v>
      </c>
    </row>
    <row r="103" spans="1:16">
      <c r="A103" t="s">
        <v>83</v>
      </c>
      <c r="B103">
        <v>79</v>
      </c>
      <c r="C103">
        <v>151</v>
      </c>
      <c r="D103">
        <v>179</v>
      </c>
      <c r="E103">
        <v>154</v>
      </c>
      <c r="F103">
        <v>41</v>
      </c>
      <c r="G103">
        <v>177</v>
      </c>
      <c r="H103">
        <v>346.1</v>
      </c>
      <c r="I103" s="14">
        <v>500.36008218819597</v>
      </c>
      <c r="J103">
        <v>137</v>
      </c>
      <c r="K103">
        <v>86</v>
      </c>
      <c r="L103">
        <v>162</v>
      </c>
      <c r="M103">
        <v>102</v>
      </c>
      <c r="N103" s="120" t="e">
        <v>#VALUE!</v>
      </c>
      <c r="O103" s="120" t="e">
        <v>#VALUE!</v>
      </c>
      <c r="P103">
        <v>8</v>
      </c>
    </row>
    <row r="104" spans="1:16">
      <c r="A104" t="s">
        <v>142</v>
      </c>
      <c r="B104">
        <v>176</v>
      </c>
      <c r="C104">
        <v>172</v>
      </c>
      <c r="D104">
        <v>183</v>
      </c>
      <c r="E104">
        <v>24</v>
      </c>
      <c r="F104">
        <v>93</v>
      </c>
      <c r="G104">
        <v>153</v>
      </c>
      <c r="H104">
        <v>411</v>
      </c>
      <c r="I104" s="14">
        <v>500.98339583134134</v>
      </c>
      <c r="J104">
        <v>193</v>
      </c>
      <c r="K104">
        <v>124</v>
      </c>
      <c r="L104">
        <v>163</v>
      </c>
      <c r="M104">
        <v>103</v>
      </c>
      <c r="N104" s="120" t="e">
        <v>#VALUE!</v>
      </c>
      <c r="O104" s="120" t="e">
        <v>#VALUE!</v>
      </c>
      <c r="P104">
        <v>6</v>
      </c>
    </row>
    <row r="105" spans="1:16">
      <c r="A105" t="s">
        <v>157</v>
      </c>
      <c r="B105">
        <v>126</v>
      </c>
      <c r="C105">
        <v>35</v>
      </c>
      <c r="D105">
        <v>162</v>
      </c>
      <c r="E105">
        <v>92</v>
      </c>
      <c r="F105">
        <v>205</v>
      </c>
      <c r="G105">
        <v>174</v>
      </c>
      <c r="H105">
        <v>371</v>
      </c>
      <c r="I105" s="14">
        <v>502.1974115631391</v>
      </c>
      <c r="J105">
        <v>157</v>
      </c>
      <c r="K105">
        <v>99</v>
      </c>
      <c r="L105">
        <v>164</v>
      </c>
      <c r="M105">
        <v>104</v>
      </c>
      <c r="N105" s="120" t="e">
        <v>#VALUE!</v>
      </c>
      <c r="O105" s="120" t="e">
        <v>#VALUE!</v>
      </c>
      <c r="P105">
        <v>2</v>
      </c>
    </row>
    <row r="106" spans="1:16">
      <c r="A106" t="s">
        <v>78</v>
      </c>
      <c r="B106">
        <v>67</v>
      </c>
      <c r="C106">
        <v>162</v>
      </c>
      <c r="D106">
        <v>198</v>
      </c>
      <c r="E106">
        <v>53</v>
      </c>
      <c r="F106">
        <v>179</v>
      </c>
      <c r="G106">
        <v>159</v>
      </c>
      <c r="H106">
        <v>383.9</v>
      </c>
      <c r="I106" s="14">
        <v>506.18926670379346</v>
      </c>
      <c r="J106">
        <v>171.5</v>
      </c>
      <c r="K106">
        <v>111</v>
      </c>
      <c r="L106">
        <v>166</v>
      </c>
      <c r="M106">
        <v>105</v>
      </c>
      <c r="N106" s="120" t="e">
        <v>#VALUE!</v>
      </c>
      <c r="O106" s="120" t="e">
        <v>#VALUE!</v>
      </c>
      <c r="P106">
        <v>11</v>
      </c>
    </row>
    <row r="107" spans="1:16">
      <c r="A107" t="s">
        <v>244</v>
      </c>
      <c r="B107">
        <v>119</v>
      </c>
      <c r="C107">
        <v>16</v>
      </c>
      <c r="D107">
        <v>192</v>
      </c>
      <c r="E107">
        <v>121</v>
      </c>
      <c r="F107">
        <v>185</v>
      </c>
      <c r="G107">
        <v>165</v>
      </c>
      <c r="H107">
        <v>378.5</v>
      </c>
      <c r="I107" s="14">
        <v>507.80490569301008</v>
      </c>
      <c r="J107">
        <v>166</v>
      </c>
      <c r="K107">
        <v>106</v>
      </c>
      <c r="L107">
        <v>167</v>
      </c>
      <c r="M107">
        <v>106</v>
      </c>
      <c r="N107" s="120" t="e">
        <v>#VALUE!</v>
      </c>
      <c r="O107" s="120" t="e">
        <v>#VALUE!</v>
      </c>
      <c r="P107">
        <v>-46</v>
      </c>
    </row>
    <row r="108" spans="1:16">
      <c r="A108" t="s">
        <v>31</v>
      </c>
      <c r="B108">
        <v>34</v>
      </c>
      <c r="C108">
        <v>135</v>
      </c>
      <c r="D108">
        <v>132</v>
      </c>
      <c r="E108">
        <v>162</v>
      </c>
      <c r="F108">
        <v>209</v>
      </c>
      <c r="G108">
        <v>176</v>
      </c>
      <c r="H108">
        <v>356.4</v>
      </c>
      <c r="I108" s="14">
        <v>511.04749564544971</v>
      </c>
      <c r="J108">
        <v>144</v>
      </c>
      <c r="K108">
        <v>91</v>
      </c>
      <c r="L108">
        <v>170</v>
      </c>
      <c r="M108">
        <v>107</v>
      </c>
      <c r="N108" s="120" t="e">
        <v>#VALUE!</v>
      </c>
      <c r="O108" s="120" t="e">
        <v>#VALUE!</v>
      </c>
      <c r="P108">
        <v>-14</v>
      </c>
    </row>
    <row r="109" spans="1:16">
      <c r="A109" t="s">
        <v>12</v>
      </c>
      <c r="B109">
        <v>11</v>
      </c>
      <c r="C109">
        <v>210</v>
      </c>
      <c r="D109">
        <v>169</v>
      </c>
      <c r="E109">
        <v>186</v>
      </c>
      <c r="F109">
        <v>153</v>
      </c>
      <c r="G109">
        <v>143</v>
      </c>
      <c r="H109">
        <v>383</v>
      </c>
      <c r="I109" s="14">
        <v>511.3299791499611</v>
      </c>
      <c r="J109">
        <v>170</v>
      </c>
      <c r="K109">
        <v>109</v>
      </c>
      <c r="L109">
        <v>171</v>
      </c>
      <c r="M109">
        <v>108</v>
      </c>
      <c r="N109" s="120" t="e">
        <v>#VALUE!</v>
      </c>
      <c r="O109" s="120" t="e">
        <v>#VALUE!</v>
      </c>
      <c r="P109">
        <v>-21</v>
      </c>
    </row>
    <row r="110" spans="1:16">
      <c r="A110" t="s">
        <v>75</v>
      </c>
      <c r="B110">
        <v>101</v>
      </c>
      <c r="C110">
        <v>192</v>
      </c>
      <c r="D110">
        <v>64</v>
      </c>
      <c r="E110">
        <v>125</v>
      </c>
      <c r="F110">
        <v>208</v>
      </c>
      <c r="G110">
        <v>186</v>
      </c>
      <c r="H110">
        <v>375.6</v>
      </c>
      <c r="I110" s="14">
        <v>514.50046166879849</v>
      </c>
      <c r="J110">
        <v>163</v>
      </c>
      <c r="K110">
        <v>103</v>
      </c>
      <c r="L110">
        <v>172</v>
      </c>
      <c r="M110">
        <v>109</v>
      </c>
      <c r="N110" s="120" t="e">
        <v>#VALUE!</v>
      </c>
      <c r="O110" s="120" t="e">
        <v>#VALUE!</v>
      </c>
      <c r="P110">
        <v>9</v>
      </c>
    </row>
    <row r="111" spans="1:16">
      <c r="A111" t="s">
        <v>77</v>
      </c>
      <c r="B111">
        <v>92</v>
      </c>
      <c r="C111">
        <v>198</v>
      </c>
      <c r="D111">
        <v>103</v>
      </c>
      <c r="E111">
        <v>201</v>
      </c>
      <c r="F111">
        <v>128</v>
      </c>
      <c r="G111">
        <v>160</v>
      </c>
      <c r="H111">
        <v>389.1</v>
      </c>
      <c r="I111" s="14">
        <v>515.33867841296615</v>
      </c>
      <c r="J111">
        <v>176</v>
      </c>
      <c r="K111">
        <v>113</v>
      </c>
      <c r="L111">
        <v>173</v>
      </c>
      <c r="M111">
        <v>110</v>
      </c>
      <c r="N111" s="120" t="e">
        <v>#VALUE!</v>
      </c>
      <c r="O111" s="120" t="e">
        <v>#VALUE!</v>
      </c>
      <c r="P111">
        <v>2</v>
      </c>
    </row>
    <row r="112" spans="1:16">
      <c r="A112" t="s">
        <v>81</v>
      </c>
      <c r="B112">
        <v>81</v>
      </c>
      <c r="C112">
        <v>158</v>
      </c>
      <c r="D112">
        <v>143</v>
      </c>
      <c r="E112">
        <v>90</v>
      </c>
      <c r="F112">
        <v>212</v>
      </c>
      <c r="G112">
        <v>172</v>
      </c>
      <c r="H112">
        <v>385.9</v>
      </c>
      <c r="I112" s="14">
        <v>517.14962589189281</v>
      </c>
      <c r="J112">
        <v>174</v>
      </c>
      <c r="K112">
        <v>112</v>
      </c>
      <c r="L112">
        <v>176</v>
      </c>
      <c r="M112">
        <v>111</v>
      </c>
      <c r="N112" s="120" t="e">
        <v>#VALUE!</v>
      </c>
      <c r="O112" s="120" t="e">
        <v>#VALUE!</v>
      </c>
      <c r="P112">
        <v>-30</v>
      </c>
    </row>
    <row r="113" spans="1:16">
      <c r="A113" t="s">
        <v>190</v>
      </c>
      <c r="B113">
        <v>215</v>
      </c>
      <c r="C113">
        <v>39</v>
      </c>
      <c r="D113">
        <v>176</v>
      </c>
      <c r="E113">
        <v>127</v>
      </c>
      <c r="F113">
        <v>52</v>
      </c>
      <c r="G113">
        <v>180</v>
      </c>
      <c r="H113">
        <v>391.5</v>
      </c>
      <c r="I113" s="14">
        <v>517.73468661975562</v>
      </c>
      <c r="J113">
        <v>179</v>
      </c>
      <c r="K113">
        <v>116</v>
      </c>
      <c r="L113">
        <v>177</v>
      </c>
      <c r="M113">
        <v>112</v>
      </c>
      <c r="N113" s="120" t="e">
        <v>#VALUE!</v>
      </c>
      <c r="O113" s="120">
        <v>6.25E-2</v>
      </c>
      <c r="P113">
        <v>11</v>
      </c>
    </row>
    <row r="114" spans="1:16">
      <c r="A114" t="s">
        <v>62</v>
      </c>
      <c r="B114">
        <v>95</v>
      </c>
      <c r="C114">
        <v>103</v>
      </c>
      <c r="D114">
        <v>161</v>
      </c>
      <c r="E114">
        <v>132</v>
      </c>
      <c r="F114">
        <v>193</v>
      </c>
      <c r="G114">
        <v>167</v>
      </c>
      <c r="H114">
        <v>389.5</v>
      </c>
      <c r="I114" s="14">
        <v>520.53367063972723</v>
      </c>
      <c r="J114">
        <v>177</v>
      </c>
      <c r="K114">
        <v>114</v>
      </c>
      <c r="L114">
        <v>178</v>
      </c>
      <c r="M114">
        <v>113</v>
      </c>
      <c r="N114" s="120" t="e">
        <v>#VALUE!</v>
      </c>
      <c r="O114" s="120" t="e">
        <v>#VALUE!</v>
      </c>
      <c r="P114">
        <v>22</v>
      </c>
    </row>
    <row r="115" spans="1:16">
      <c r="A115" t="s">
        <v>70</v>
      </c>
      <c r="B115">
        <v>111</v>
      </c>
      <c r="C115">
        <v>148</v>
      </c>
      <c r="D115">
        <v>152</v>
      </c>
      <c r="E115">
        <v>177</v>
      </c>
      <c r="F115">
        <v>82</v>
      </c>
      <c r="G115">
        <v>178</v>
      </c>
      <c r="H115">
        <v>381</v>
      </c>
      <c r="I115" s="14">
        <v>526.13244708429011</v>
      </c>
      <c r="J115">
        <v>168</v>
      </c>
      <c r="K115">
        <v>108</v>
      </c>
      <c r="L115">
        <v>180</v>
      </c>
      <c r="M115">
        <v>114</v>
      </c>
      <c r="N115" s="120" t="e">
        <v>#VALUE!</v>
      </c>
      <c r="O115" s="120" t="e">
        <v>#VALUE!</v>
      </c>
      <c r="P115">
        <v>10</v>
      </c>
    </row>
    <row r="116" spans="1:16">
      <c r="A116" t="s">
        <v>86</v>
      </c>
      <c r="B116">
        <v>75</v>
      </c>
      <c r="C116">
        <v>207</v>
      </c>
      <c r="D116">
        <v>200</v>
      </c>
      <c r="E116">
        <v>123</v>
      </c>
      <c r="F116">
        <v>42</v>
      </c>
      <c r="G116">
        <v>183</v>
      </c>
      <c r="H116">
        <v>373.7</v>
      </c>
      <c r="I116" s="14">
        <v>528.93971585052702</v>
      </c>
      <c r="J116" s="16">
        <v>161</v>
      </c>
      <c r="K116">
        <v>101</v>
      </c>
      <c r="L116">
        <v>182</v>
      </c>
      <c r="M116">
        <v>115</v>
      </c>
      <c r="N116" s="120" t="e">
        <v>#VALUE!</v>
      </c>
      <c r="O116" s="120" t="e">
        <v>#VALUE!</v>
      </c>
      <c r="P116">
        <v>16</v>
      </c>
    </row>
    <row r="117" spans="1:16">
      <c r="A117" t="s">
        <v>361</v>
      </c>
      <c r="B117">
        <v>1</v>
      </c>
      <c r="C117">
        <v>131</v>
      </c>
      <c r="D117">
        <v>196</v>
      </c>
      <c r="E117">
        <v>214</v>
      </c>
      <c r="F117">
        <v>134</v>
      </c>
      <c r="G117">
        <v>195</v>
      </c>
      <c r="H117">
        <v>356.1</v>
      </c>
      <c r="I117" s="14">
        <v>548.67287458873534</v>
      </c>
      <c r="J117">
        <v>143</v>
      </c>
      <c r="K117">
        <v>90</v>
      </c>
      <c r="L117">
        <v>187</v>
      </c>
      <c r="M117">
        <v>116</v>
      </c>
      <c r="N117" s="120" t="e">
        <v>#N/A</v>
      </c>
      <c r="O117" s="120" t="e">
        <v>#N/A</v>
      </c>
      <c r="P117" t="e">
        <v>#N/A</v>
      </c>
    </row>
    <row r="118" spans="1:16">
      <c r="A118" t="s">
        <v>153</v>
      </c>
      <c r="B118">
        <v>133</v>
      </c>
      <c r="C118">
        <v>132</v>
      </c>
      <c r="D118">
        <v>203</v>
      </c>
      <c r="E118">
        <v>171</v>
      </c>
      <c r="F118">
        <v>48</v>
      </c>
      <c r="G118">
        <v>185</v>
      </c>
      <c r="H118">
        <v>406.9</v>
      </c>
      <c r="I118" s="14">
        <v>556.96413675155259</v>
      </c>
      <c r="J118">
        <v>186</v>
      </c>
      <c r="K118">
        <v>120</v>
      </c>
      <c r="L118">
        <v>188</v>
      </c>
      <c r="M118">
        <v>117</v>
      </c>
      <c r="N118" s="120" t="e">
        <v>#VALUE!</v>
      </c>
      <c r="O118" s="120" t="e">
        <v>#VALUE!</v>
      </c>
      <c r="P118">
        <v>24</v>
      </c>
    </row>
    <row r="119" spans="1:16">
      <c r="A119" t="s">
        <v>57</v>
      </c>
      <c r="B119">
        <v>54</v>
      </c>
      <c r="C119">
        <v>215</v>
      </c>
      <c r="D119">
        <v>202</v>
      </c>
      <c r="E119">
        <v>67</v>
      </c>
      <c r="F119">
        <v>130</v>
      </c>
      <c r="G119">
        <v>206</v>
      </c>
      <c r="H119">
        <v>383.9</v>
      </c>
      <c r="I119" s="14">
        <v>557.20304367851838</v>
      </c>
      <c r="J119">
        <v>171.5</v>
      </c>
      <c r="K119">
        <v>110</v>
      </c>
      <c r="L119">
        <v>189</v>
      </c>
      <c r="M119">
        <v>118</v>
      </c>
      <c r="N119" s="120" t="e">
        <v>#VALUE!</v>
      </c>
      <c r="O119" s="120" t="e">
        <v>#VALUE!</v>
      </c>
      <c r="P119">
        <v>-4</v>
      </c>
    </row>
    <row r="120" spans="1:16">
      <c r="A120" t="s">
        <v>119</v>
      </c>
      <c r="B120">
        <v>145</v>
      </c>
      <c r="C120">
        <v>191</v>
      </c>
      <c r="D120">
        <v>90</v>
      </c>
      <c r="E120">
        <v>154</v>
      </c>
      <c r="F120">
        <v>196</v>
      </c>
      <c r="G120">
        <v>181</v>
      </c>
      <c r="H120">
        <v>434.1</v>
      </c>
      <c r="I120" s="14">
        <v>559.34623776690432</v>
      </c>
      <c r="J120">
        <v>200</v>
      </c>
      <c r="K120">
        <v>129</v>
      </c>
      <c r="L120">
        <v>191</v>
      </c>
      <c r="M120">
        <v>119</v>
      </c>
      <c r="N120" s="120" t="e">
        <v>#VALUE!</v>
      </c>
      <c r="O120" s="120" t="e">
        <v>#VALUE!</v>
      </c>
      <c r="P120">
        <v>0</v>
      </c>
    </row>
    <row r="121" spans="1:16">
      <c r="A121" t="s">
        <v>168</v>
      </c>
      <c r="B121">
        <v>187</v>
      </c>
      <c r="C121">
        <v>21</v>
      </c>
      <c r="D121">
        <v>213</v>
      </c>
      <c r="E121">
        <v>114</v>
      </c>
      <c r="F121">
        <v>132</v>
      </c>
      <c r="G121">
        <v>194</v>
      </c>
      <c r="H121">
        <v>420.8</v>
      </c>
      <c r="I121" s="14">
        <v>563.89965400822348</v>
      </c>
      <c r="J121">
        <v>197</v>
      </c>
      <c r="K121">
        <v>126</v>
      </c>
      <c r="L121">
        <v>192</v>
      </c>
      <c r="M121">
        <v>120</v>
      </c>
      <c r="N121" s="120" t="e">
        <v>#VALUE!</v>
      </c>
      <c r="O121" s="120" t="e">
        <v>#VALUE!</v>
      </c>
      <c r="P121">
        <v>0</v>
      </c>
    </row>
    <row r="122" spans="1:16">
      <c r="A122" t="s">
        <v>245</v>
      </c>
      <c r="B122">
        <v>198</v>
      </c>
      <c r="C122">
        <v>159</v>
      </c>
      <c r="D122">
        <v>205</v>
      </c>
      <c r="E122">
        <v>68</v>
      </c>
      <c r="F122">
        <v>54</v>
      </c>
      <c r="G122">
        <v>193</v>
      </c>
      <c r="H122">
        <v>435.59999999999997</v>
      </c>
      <c r="I122" s="14">
        <v>566.65800040157478</v>
      </c>
      <c r="J122">
        <v>201</v>
      </c>
      <c r="K122">
        <v>130</v>
      </c>
      <c r="L122">
        <v>193</v>
      </c>
      <c r="M122">
        <v>121</v>
      </c>
      <c r="N122" s="120" t="e">
        <v>#VALUE!</v>
      </c>
      <c r="O122" s="120" t="e">
        <v>#VALUE!</v>
      </c>
      <c r="P122">
        <v>-10</v>
      </c>
    </row>
    <row r="123" spans="1:16">
      <c r="A123" t="s">
        <v>37</v>
      </c>
      <c r="B123">
        <v>54</v>
      </c>
      <c r="C123">
        <v>204</v>
      </c>
      <c r="D123">
        <v>189</v>
      </c>
      <c r="E123">
        <v>195</v>
      </c>
      <c r="F123">
        <v>104</v>
      </c>
      <c r="G123">
        <v>182</v>
      </c>
      <c r="H123">
        <v>407.5</v>
      </c>
      <c r="I123" s="14">
        <v>568.0019922800966</v>
      </c>
      <c r="J123">
        <v>187</v>
      </c>
      <c r="K123">
        <v>121</v>
      </c>
      <c r="L123">
        <v>194</v>
      </c>
      <c r="M123">
        <v>122</v>
      </c>
      <c r="N123" s="120" t="e">
        <v>#VALUE!</v>
      </c>
      <c r="O123" s="120" t="e">
        <v>#VALUE!</v>
      </c>
      <c r="P123">
        <v>15</v>
      </c>
    </row>
    <row r="124" spans="1:16">
      <c r="A124" t="s">
        <v>116</v>
      </c>
      <c r="B124">
        <v>115</v>
      </c>
      <c r="C124">
        <v>67</v>
      </c>
      <c r="D124">
        <v>188</v>
      </c>
      <c r="E124">
        <v>209</v>
      </c>
      <c r="F124">
        <v>120</v>
      </c>
      <c r="G124">
        <v>197</v>
      </c>
      <c r="H124">
        <v>400.70000000000005</v>
      </c>
      <c r="I124" s="14">
        <v>569.79438259044468</v>
      </c>
      <c r="J124">
        <v>183</v>
      </c>
      <c r="K124">
        <v>118</v>
      </c>
      <c r="L124">
        <v>196</v>
      </c>
      <c r="M124">
        <v>123</v>
      </c>
      <c r="N124" s="120" t="e">
        <v>#VALUE!</v>
      </c>
      <c r="O124" s="120" t="e">
        <v>#VALUE!</v>
      </c>
      <c r="P124">
        <v>-15</v>
      </c>
    </row>
    <row r="125" spans="1:16">
      <c r="A125" t="s">
        <v>138</v>
      </c>
      <c r="B125">
        <v>85</v>
      </c>
      <c r="C125">
        <v>200</v>
      </c>
      <c r="D125">
        <v>137</v>
      </c>
      <c r="E125">
        <v>141</v>
      </c>
      <c r="F125">
        <v>180</v>
      </c>
      <c r="G125">
        <v>199</v>
      </c>
      <c r="H125">
        <v>410.29999999999995</v>
      </c>
      <c r="I125" s="14">
        <v>569.97091812961889</v>
      </c>
      <c r="J125">
        <v>192</v>
      </c>
      <c r="K125">
        <v>123</v>
      </c>
      <c r="L125">
        <v>197</v>
      </c>
      <c r="M125">
        <v>124</v>
      </c>
      <c r="N125" s="120" t="e">
        <v>#VALUE!</v>
      </c>
      <c r="O125" s="120" t="e">
        <v>#VALUE!</v>
      </c>
      <c r="P125">
        <v>-22</v>
      </c>
    </row>
    <row r="126" spans="1:16">
      <c r="A126" t="s">
        <v>221</v>
      </c>
      <c r="B126">
        <v>16</v>
      </c>
      <c r="C126">
        <v>126</v>
      </c>
      <c r="D126">
        <v>214</v>
      </c>
      <c r="E126">
        <v>104</v>
      </c>
      <c r="F126">
        <v>216</v>
      </c>
      <c r="G126">
        <v>214</v>
      </c>
      <c r="H126">
        <v>375.2</v>
      </c>
      <c r="I126" s="14">
        <v>570.04289266779324</v>
      </c>
      <c r="J126">
        <v>162</v>
      </c>
      <c r="K126">
        <v>102</v>
      </c>
      <c r="L126">
        <v>198</v>
      </c>
      <c r="M126">
        <v>125</v>
      </c>
      <c r="N126" s="120" t="e">
        <v>#N/A</v>
      </c>
      <c r="O126" s="120" t="e">
        <v>#N/A</v>
      </c>
      <c r="P126">
        <v>-3</v>
      </c>
    </row>
    <row r="127" spans="1:16">
      <c r="A127" t="s">
        <v>7</v>
      </c>
      <c r="B127">
        <v>3</v>
      </c>
      <c r="C127">
        <v>216</v>
      </c>
      <c r="D127">
        <v>139</v>
      </c>
      <c r="E127">
        <v>211</v>
      </c>
      <c r="F127">
        <v>198</v>
      </c>
      <c r="G127">
        <v>198</v>
      </c>
      <c r="H127">
        <v>391.1</v>
      </c>
      <c r="I127" s="14">
        <v>574.2559740087662</v>
      </c>
      <c r="J127">
        <v>178</v>
      </c>
      <c r="K127">
        <v>115</v>
      </c>
      <c r="L127">
        <v>199</v>
      </c>
      <c r="M127">
        <v>126</v>
      </c>
      <c r="N127" s="120" t="e">
        <v>#VALUE!</v>
      </c>
      <c r="O127" s="120" t="e">
        <v>#VALUE!</v>
      </c>
      <c r="P127">
        <v>-19</v>
      </c>
    </row>
    <row r="128" spans="1:16">
      <c r="A128" t="s">
        <v>25</v>
      </c>
      <c r="B128">
        <v>54</v>
      </c>
      <c r="C128">
        <v>65</v>
      </c>
      <c r="D128">
        <v>208</v>
      </c>
      <c r="E128">
        <v>200</v>
      </c>
      <c r="F128">
        <v>195</v>
      </c>
      <c r="G128">
        <v>201</v>
      </c>
      <c r="H128">
        <v>398.8</v>
      </c>
      <c r="I128" s="14">
        <v>582.88166442489933</v>
      </c>
      <c r="J128">
        <v>181</v>
      </c>
      <c r="K128">
        <v>117</v>
      </c>
      <c r="L128">
        <v>200</v>
      </c>
      <c r="M128">
        <v>127</v>
      </c>
      <c r="N128" s="120" t="e">
        <v>#VALUE!</v>
      </c>
      <c r="O128" s="120" t="e">
        <v>#VALUE!</v>
      </c>
      <c r="P128">
        <v>-27</v>
      </c>
    </row>
    <row r="129" spans="1:16">
      <c r="A129" t="s">
        <v>248</v>
      </c>
      <c r="B129">
        <v>149</v>
      </c>
      <c r="C129">
        <v>152</v>
      </c>
      <c r="D129">
        <v>197</v>
      </c>
      <c r="E129">
        <v>160</v>
      </c>
      <c r="F129">
        <v>80</v>
      </c>
      <c r="G129">
        <v>191</v>
      </c>
      <c r="H129">
        <v>437.09999999999997</v>
      </c>
      <c r="I129" s="14">
        <v>584.24196867445585</v>
      </c>
      <c r="J129">
        <v>202</v>
      </c>
      <c r="K129">
        <v>131</v>
      </c>
      <c r="L129">
        <v>201</v>
      </c>
      <c r="M129">
        <v>128</v>
      </c>
      <c r="N129" s="120" t="e">
        <v>#VALUE!</v>
      </c>
      <c r="O129" s="120" t="e">
        <v>#VALUE!</v>
      </c>
      <c r="P129">
        <v>13</v>
      </c>
    </row>
    <row r="130" spans="1:16">
      <c r="A130" t="s">
        <v>61</v>
      </c>
      <c r="B130">
        <v>78</v>
      </c>
      <c r="C130">
        <v>175</v>
      </c>
      <c r="D130">
        <v>171</v>
      </c>
      <c r="E130">
        <v>203</v>
      </c>
      <c r="F130">
        <v>145</v>
      </c>
      <c r="G130">
        <v>190</v>
      </c>
      <c r="H130">
        <v>423.3</v>
      </c>
      <c r="I130" s="14">
        <v>584.88875274808254</v>
      </c>
      <c r="J130">
        <v>198</v>
      </c>
      <c r="K130">
        <v>127</v>
      </c>
      <c r="L130">
        <v>202</v>
      </c>
      <c r="M130">
        <v>129</v>
      </c>
      <c r="N130" s="120" t="e">
        <v>#VALUE!</v>
      </c>
      <c r="O130" s="120" t="e">
        <v>#VALUE!</v>
      </c>
      <c r="P130">
        <v>-42</v>
      </c>
    </row>
    <row r="131" spans="1:16">
      <c r="A131" t="s">
        <v>136</v>
      </c>
      <c r="B131">
        <v>155</v>
      </c>
      <c r="C131">
        <v>123</v>
      </c>
      <c r="D131">
        <v>153</v>
      </c>
      <c r="E131">
        <v>198</v>
      </c>
      <c r="F131">
        <v>137</v>
      </c>
      <c r="G131">
        <v>200</v>
      </c>
      <c r="H131">
        <v>440.3</v>
      </c>
      <c r="I131" s="14">
        <v>594.95654156531123</v>
      </c>
      <c r="J131">
        <v>204</v>
      </c>
      <c r="K131">
        <v>132</v>
      </c>
      <c r="L131">
        <v>204</v>
      </c>
      <c r="M131">
        <v>130</v>
      </c>
      <c r="N131" s="120" t="e">
        <v>#VALUE!</v>
      </c>
      <c r="O131" s="120" t="e">
        <v>#VALUE!</v>
      </c>
      <c r="P131">
        <v>-5</v>
      </c>
    </row>
    <row r="132" spans="1:16">
      <c r="A132" t="s">
        <v>111</v>
      </c>
      <c r="B132">
        <v>129</v>
      </c>
      <c r="C132">
        <v>177</v>
      </c>
      <c r="D132">
        <v>194</v>
      </c>
      <c r="E132">
        <v>47</v>
      </c>
      <c r="F132">
        <v>213</v>
      </c>
      <c r="G132">
        <v>202</v>
      </c>
      <c r="H132">
        <v>452.8</v>
      </c>
      <c r="I132" s="14">
        <v>597.32856452905833</v>
      </c>
      <c r="J132">
        <v>207</v>
      </c>
      <c r="K132">
        <v>135</v>
      </c>
      <c r="L132">
        <v>205</v>
      </c>
      <c r="M132">
        <v>131</v>
      </c>
      <c r="N132" s="120" t="e">
        <v>#N/A</v>
      </c>
      <c r="O132" s="120" t="e">
        <v>#N/A</v>
      </c>
      <c r="P132">
        <v>-11</v>
      </c>
    </row>
    <row r="133" spans="1:16">
      <c r="A133" t="s">
        <v>43</v>
      </c>
      <c r="B133">
        <v>37</v>
      </c>
      <c r="C133">
        <v>214</v>
      </c>
      <c r="D133">
        <v>170</v>
      </c>
      <c r="E133">
        <v>174</v>
      </c>
      <c r="F133">
        <v>190</v>
      </c>
      <c r="G133">
        <v>203</v>
      </c>
      <c r="H133">
        <v>420.2</v>
      </c>
      <c r="I133" s="14">
        <v>597.77565426117121</v>
      </c>
      <c r="J133">
        <v>196</v>
      </c>
      <c r="K133">
        <v>125</v>
      </c>
      <c r="L133">
        <v>206</v>
      </c>
      <c r="M133">
        <v>132</v>
      </c>
      <c r="N133" s="120" t="e">
        <v>#VALUE!</v>
      </c>
      <c r="O133" s="120" t="e">
        <v>#VALUE!</v>
      </c>
      <c r="P133">
        <v>-19</v>
      </c>
    </row>
    <row r="134" spans="1:16">
      <c r="A134" t="s">
        <v>94</v>
      </c>
      <c r="B134">
        <v>129</v>
      </c>
      <c r="C134">
        <v>206</v>
      </c>
      <c r="D134">
        <v>210</v>
      </c>
      <c r="E134">
        <v>178</v>
      </c>
      <c r="F134">
        <v>47</v>
      </c>
      <c r="G134">
        <v>192</v>
      </c>
      <c r="H134">
        <v>447.9</v>
      </c>
      <c r="I134" s="14">
        <v>601.13226241186192</v>
      </c>
      <c r="J134">
        <v>206</v>
      </c>
      <c r="K134">
        <v>134</v>
      </c>
      <c r="L134">
        <v>207</v>
      </c>
      <c r="M134">
        <v>133</v>
      </c>
      <c r="N134" s="120" t="e">
        <v>#VALUE!</v>
      </c>
      <c r="O134" s="120" t="e">
        <v>#VALUE!</v>
      </c>
      <c r="P134">
        <v>-24</v>
      </c>
    </row>
    <row r="135" spans="1:16">
      <c r="A135" t="s">
        <v>8</v>
      </c>
      <c r="B135">
        <v>17</v>
      </c>
      <c r="C135">
        <v>145</v>
      </c>
      <c r="D135">
        <v>191</v>
      </c>
      <c r="E135">
        <v>216</v>
      </c>
      <c r="F135">
        <v>200</v>
      </c>
      <c r="G135">
        <v>208</v>
      </c>
      <c r="H135">
        <v>406.2</v>
      </c>
      <c r="I135" s="14">
        <v>601.79022003982914</v>
      </c>
      <c r="J135">
        <v>185</v>
      </c>
      <c r="K135">
        <v>119</v>
      </c>
      <c r="L135">
        <v>208</v>
      </c>
      <c r="M135">
        <v>134</v>
      </c>
      <c r="N135" s="120" t="e">
        <v>#VALUE!</v>
      </c>
      <c r="O135" s="120">
        <v>3.4482758620689655E-2</v>
      </c>
      <c r="P135">
        <v>-8</v>
      </c>
    </row>
    <row r="136" spans="1:16">
      <c r="A136" t="s">
        <v>222</v>
      </c>
      <c r="B136">
        <v>214</v>
      </c>
      <c r="C136">
        <v>48</v>
      </c>
      <c r="D136">
        <v>184</v>
      </c>
      <c r="E136">
        <v>217</v>
      </c>
      <c r="F136">
        <v>70</v>
      </c>
      <c r="G136">
        <v>217</v>
      </c>
      <c r="H136">
        <v>445.8</v>
      </c>
      <c r="I136" s="14">
        <v>613.58208559584705</v>
      </c>
      <c r="J136">
        <v>205</v>
      </c>
      <c r="K136">
        <v>133</v>
      </c>
      <c r="L136">
        <v>209</v>
      </c>
      <c r="M136">
        <v>135</v>
      </c>
      <c r="N136" s="120" t="e">
        <v>#VALUE!</v>
      </c>
      <c r="O136" s="120" t="e">
        <v>#VALUE!</v>
      </c>
      <c r="P136" t="e">
        <v>#N/A</v>
      </c>
    </row>
    <row r="137" spans="1:16">
      <c r="A137" t="s">
        <v>219</v>
      </c>
      <c r="B137">
        <v>197</v>
      </c>
      <c r="C137">
        <v>76</v>
      </c>
      <c r="D137">
        <v>211</v>
      </c>
      <c r="E137">
        <v>58</v>
      </c>
      <c r="F137">
        <v>214</v>
      </c>
      <c r="G137">
        <v>210</v>
      </c>
      <c r="H137">
        <v>473.5</v>
      </c>
      <c r="I137" s="14">
        <v>616.12462041455842</v>
      </c>
      <c r="J137">
        <v>211</v>
      </c>
      <c r="K137">
        <v>137</v>
      </c>
      <c r="L137">
        <v>210</v>
      </c>
      <c r="M137">
        <v>136</v>
      </c>
      <c r="N137" s="120" t="e">
        <v>#VALUE!</v>
      </c>
      <c r="O137" s="120" t="e">
        <v>#VALUE!</v>
      </c>
      <c r="P137" t="e">
        <v>#N/A</v>
      </c>
    </row>
    <row r="138" spans="1:16">
      <c r="A138" t="s">
        <v>173</v>
      </c>
      <c r="B138">
        <v>181</v>
      </c>
      <c r="C138">
        <v>79</v>
      </c>
      <c r="D138">
        <v>212</v>
      </c>
      <c r="E138">
        <v>82</v>
      </c>
      <c r="F138">
        <v>215</v>
      </c>
      <c r="G138">
        <v>212</v>
      </c>
      <c r="H138">
        <v>473</v>
      </c>
      <c r="I138" s="14">
        <v>623.30071713572454</v>
      </c>
      <c r="J138">
        <v>210</v>
      </c>
      <c r="K138">
        <v>136</v>
      </c>
      <c r="L138">
        <v>211</v>
      </c>
      <c r="M138">
        <v>137</v>
      </c>
      <c r="N138" s="120" t="e">
        <v>#VALUE!</v>
      </c>
      <c r="O138" s="120" t="e">
        <v>#VALUE!</v>
      </c>
      <c r="P138" t="e">
        <v>#N/A</v>
      </c>
    </row>
    <row r="139" spans="1:16">
      <c r="A139" t="s">
        <v>249</v>
      </c>
      <c r="B139">
        <v>172</v>
      </c>
      <c r="C139">
        <v>59</v>
      </c>
      <c r="D139">
        <v>199</v>
      </c>
      <c r="E139">
        <v>183</v>
      </c>
      <c r="F139">
        <v>189</v>
      </c>
      <c r="G139">
        <v>207</v>
      </c>
      <c r="H139">
        <v>474.09999999999997</v>
      </c>
      <c r="I139" s="14">
        <v>631.87257004513174</v>
      </c>
      <c r="J139">
        <v>212</v>
      </c>
      <c r="K139">
        <v>138</v>
      </c>
      <c r="L139">
        <v>213</v>
      </c>
      <c r="M139">
        <v>138</v>
      </c>
      <c r="N139" s="120" t="e">
        <v>#VALUE!</v>
      </c>
      <c r="O139" s="120" t="e">
        <v>#VALUE!</v>
      </c>
      <c r="P139">
        <v>-20</v>
      </c>
    </row>
    <row r="140" spans="1:16">
      <c r="A140" t="s">
        <v>120</v>
      </c>
      <c r="B140">
        <v>169</v>
      </c>
      <c r="C140">
        <v>188</v>
      </c>
      <c r="D140">
        <v>115</v>
      </c>
      <c r="E140">
        <v>207</v>
      </c>
      <c r="F140">
        <v>210</v>
      </c>
      <c r="G140">
        <v>213</v>
      </c>
      <c r="H140">
        <v>497.50000000000006</v>
      </c>
      <c r="I140" s="14">
        <v>651.42758869451905</v>
      </c>
      <c r="J140">
        <v>217</v>
      </c>
      <c r="K140">
        <v>140</v>
      </c>
      <c r="L140">
        <v>215</v>
      </c>
      <c r="M140">
        <v>139</v>
      </c>
      <c r="N140" s="120" t="e">
        <v>#N/A</v>
      </c>
      <c r="O140" s="120" t="e">
        <v>#N/A</v>
      </c>
      <c r="P140">
        <v>-78</v>
      </c>
    </row>
    <row r="141" spans="1:16">
      <c r="A141" t="s">
        <v>243</v>
      </c>
      <c r="B141">
        <v>142</v>
      </c>
      <c r="C141">
        <v>161</v>
      </c>
      <c r="D141">
        <v>217</v>
      </c>
      <c r="E141">
        <v>135</v>
      </c>
      <c r="F141">
        <v>191</v>
      </c>
      <c r="G141">
        <v>216</v>
      </c>
      <c r="H141">
        <v>495.5</v>
      </c>
      <c r="I141" s="14">
        <v>659.56358819799948</v>
      </c>
      <c r="J141">
        <v>215</v>
      </c>
      <c r="K141">
        <v>139</v>
      </c>
      <c r="L141">
        <v>217</v>
      </c>
      <c r="M141">
        <v>140</v>
      </c>
      <c r="N141" s="120" t="e">
        <v>#N/A</v>
      </c>
      <c r="O141" s="120" t="e">
        <v>#N/A</v>
      </c>
      <c r="P141" t="e">
        <v>#N/A</v>
      </c>
    </row>
  </sheetData>
  <autoFilter ref="A1:S141" xr:uid="{FE4BF24C-8AB4-4AD9-B2BE-5159F7BEF651}">
    <sortState xmlns:xlrd2="http://schemas.microsoft.com/office/spreadsheetml/2017/richdata2" ref="A2:S141">
      <sortCondition ref="I1:I141"/>
    </sortState>
  </autoFilter>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267C1-85E8-4D10-8027-62F8CE06665A}">
  <sheetPr codeName="Sheet48">
    <tabColor rgb="FFFF0000"/>
  </sheetPr>
  <dimension ref="A1:V129"/>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65</v>
      </c>
      <c r="B2">
        <v>88</v>
      </c>
      <c r="C2">
        <v>82</v>
      </c>
      <c r="D2">
        <v>50</v>
      </c>
      <c r="E2">
        <v>3</v>
      </c>
      <c r="F2">
        <v>38</v>
      </c>
      <c r="G2">
        <v>6</v>
      </c>
      <c r="H2">
        <v>157.79999999999998</v>
      </c>
      <c r="I2" s="14">
        <v>137.79799776476818</v>
      </c>
      <c r="J2">
        <v>10</v>
      </c>
      <c r="K2">
        <v>1</v>
      </c>
      <c r="L2">
        <v>8</v>
      </c>
      <c r="M2">
        <v>1</v>
      </c>
      <c r="N2" s="143">
        <v>0</v>
      </c>
      <c r="O2" s="143">
        <v>3.4482758620689655E-2</v>
      </c>
      <c r="P2">
        <v>204</v>
      </c>
    </row>
    <row r="3" spans="1:22">
      <c r="A3" t="s">
        <v>72</v>
      </c>
      <c r="B3">
        <v>54</v>
      </c>
      <c r="C3">
        <v>10</v>
      </c>
      <c r="D3">
        <v>136</v>
      </c>
      <c r="E3">
        <v>74</v>
      </c>
      <c r="F3">
        <v>18</v>
      </c>
      <c r="G3">
        <v>17</v>
      </c>
      <c r="H3">
        <v>176.6</v>
      </c>
      <c r="I3" s="14">
        <v>183.71727786655723</v>
      </c>
      <c r="J3">
        <v>15</v>
      </c>
      <c r="K3">
        <v>2</v>
      </c>
      <c r="L3">
        <v>16</v>
      </c>
      <c r="M3">
        <v>2</v>
      </c>
      <c r="N3" s="143">
        <v>0</v>
      </c>
      <c r="O3" s="143">
        <v>4.3478260869565216E-2</v>
      </c>
      <c r="P3">
        <v>-1</v>
      </c>
    </row>
    <row r="4" spans="1:22">
      <c r="A4" t="s">
        <v>144</v>
      </c>
      <c r="B4">
        <v>148</v>
      </c>
      <c r="C4">
        <v>41</v>
      </c>
      <c r="D4">
        <v>34</v>
      </c>
      <c r="E4">
        <v>49</v>
      </c>
      <c r="F4">
        <v>78</v>
      </c>
      <c r="G4">
        <v>20</v>
      </c>
      <c r="H4">
        <v>206.49999999999997</v>
      </c>
      <c r="I4" s="14">
        <v>191.43210385030184</v>
      </c>
      <c r="J4">
        <v>27</v>
      </c>
      <c r="K4">
        <v>7</v>
      </c>
      <c r="L4">
        <v>17</v>
      </c>
      <c r="M4">
        <v>3</v>
      </c>
      <c r="N4" s="143">
        <v>0</v>
      </c>
      <c r="O4" s="143">
        <v>3.7037037037037035E-2</v>
      </c>
      <c r="P4">
        <v>10</v>
      </c>
    </row>
    <row r="5" spans="1:22">
      <c r="A5" t="s">
        <v>188</v>
      </c>
      <c r="B5">
        <v>202</v>
      </c>
      <c r="C5">
        <v>12</v>
      </c>
      <c r="D5">
        <v>47</v>
      </c>
      <c r="E5">
        <v>21</v>
      </c>
      <c r="F5">
        <v>33</v>
      </c>
      <c r="G5">
        <v>30</v>
      </c>
      <c r="H5">
        <v>205.2</v>
      </c>
      <c r="I5" s="14">
        <v>192.8796931708778</v>
      </c>
      <c r="J5">
        <v>25</v>
      </c>
      <c r="K5">
        <v>6</v>
      </c>
      <c r="L5">
        <v>20</v>
      </c>
      <c r="M5">
        <v>4</v>
      </c>
      <c r="N5" s="143">
        <v>0</v>
      </c>
      <c r="O5" s="143">
        <v>6.4516129032258063E-2</v>
      </c>
      <c r="P5">
        <v>-7</v>
      </c>
    </row>
    <row r="6" spans="1:22">
      <c r="A6" t="s">
        <v>139</v>
      </c>
      <c r="B6">
        <v>112</v>
      </c>
      <c r="C6">
        <v>40</v>
      </c>
      <c r="D6">
        <v>1</v>
      </c>
      <c r="E6">
        <v>197</v>
      </c>
      <c r="F6">
        <v>45</v>
      </c>
      <c r="G6">
        <v>14</v>
      </c>
      <c r="H6">
        <v>200.4</v>
      </c>
      <c r="I6" s="14">
        <v>197.25965391647446</v>
      </c>
      <c r="J6">
        <v>23</v>
      </c>
      <c r="K6">
        <v>5</v>
      </c>
      <c r="L6">
        <v>21</v>
      </c>
      <c r="M6">
        <v>5</v>
      </c>
      <c r="N6" s="143">
        <v>0</v>
      </c>
      <c r="O6" s="143">
        <v>9.0909090909090912E-2</v>
      </c>
      <c r="P6">
        <v>-2</v>
      </c>
    </row>
    <row r="7" spans="1:22">
      <c r="A7" t="s">
        <v>137</v>
      </c>
      <c r="B7">
        <v>145</v>
      </c>
      <c r="C7">
        <v>16</v>
      </c>
      <c r="D7">
        <v>32</v>
      </c>
      <c r="E7">
        <v>26</v>
      </c>
      <c r="F7">
        <v>168</v>
      </c>
      <c r="G7">
        <v>26</v>
      </c>
      <c r="H7">
        <v>226.3</v>
      </c>
      <c r="I7" s="14">
        <v>212.13983832793525</v>
      </c>
      <c r="J7">
        <v>41</v>
      </c>
      <c r="K7">
        <v>15</v>
      </c>
      <c r="L7">
        <v>27</v>
      </c>
      <c r="M7">
        <v>6</v>
      </c>
      <c r="N7" s="143">
        <v>0</v>
      </c>
      <c r="O7" s="143">
        <v>9.6774193548387094E-2</v>
      </c>
      <c r="P7">
        <v>6</v>
      </c>
    </row>
    <row r="8" spans="1:22">
      <c r="A8" t="s">
        <v>183</v>
      </c>
      <c r="B8">
        <v>200</v>
      </c>
      <c r="C8">
        <v>35</v>
      </c>
      <c r="D8">
        <v>61</v>
      </c>
      <c r="E8">
        <v>42</v>
      </c>
      <c r="F8">
        <v>12</v>
      </c>
      <c r="G8">
        <v>34</v>
      </c>
      <c r="H8">
        <v>223</v>
      </c>
      <c r="I8" s="14">
        <v>215.93914077748161</v>
      </c>
      <c r="J8">
        <v>36.5</v>
      </c>
      <c r="K8">
        <v>13</v>
      </c>
      <c r="L8">
        <v>29</v>
      </c>
      <c r="M8">
        <v>7</v>
      </c>
      <c r="N8" s="143">
        <v>0</v>
      </c>
      <c r="O8" s="143">
        <v>6.0606060606060608E-2</v>
      </c>
      <c r="P8">
        <v>8</v>
      </c>
    </row>
    <row r="9" spans="1:22">
      <c r="A9" t="s">
        <v>71</v>
      </c>
      <c r="B9">
        <v>85</v>
      </c>
      <c r="C9">
        <v>128</v>
      </c>
      <c r="D9">
        <v>45</v>
      </c>
      <c r="E9">
        <v>110</v>
      </c>
      <c r="F9">
        <v>44</v>
      </c>
      <c r="G9">
        <v>18</v>
      </c>
      <c r="H9">
        <v>221</v>
      </c>
      <c r="I9" s="14">
        <v>215.94113178708608</v>
      </c>
      <c r="J9">
        <v>35</v>
      </c>
      <c r="K9">
        <v>11</v>
      </c>
      <c r="L9">
        <v>30</v>
      </c>
      <c r="M9">
        <v>8</v>
      </c>
      <c r="N9" s="143">
        <v>0</v>
      </c>
      <c r="O9" s="143">
        <v>5.7142857142857141E-2</v>
      </c>
      <c r="P9">
        <v>2</v>
      </c>
    </row>
    <row r="10" spans="1:22">
      <c r="A10" t="s">
        <v>143</v>
      </c>
      <c r="B10">
        <v>151</v>
      </c>
      <c r="C10">
        <v>11</v>
      </c>
      <c r="D10">
        <v>74</v>
      </c>
      <c r="E10">
        <v>121</v>
      </c>
      <c r="F10">
        <v>24</v>
      </c>
      <c r="G10">
        <v>25</v>
      </c>
      <c r="H10">
        <v>223.4</v>
      </c>
      <c r="I10" s="14">
        <v>222.08079822528401</v>
      </c>
      <c r="J10">
        <v>38</v>
      </c>
      <c r="K10">
        <v>14</v>
      </c>
      <c r="L10">
        <v>31</v>
      </c>
      <c r="M10">
        <v>9</v>
      </c>
      <c r="N10" s="143">
        <v>0</v>
      </c>
      <c r="O10" s="143">
        <v>0.05</v>
      </c>
      <c r="P10">
        <v>-16</v>
      </c>
    </row>
    <row r="11" spans="1:22">
      <c r="A11" t="s">
        <v>46</v>
      </c>
      <c r="B11">
        <v>5</v>
      </c>
      <c r="C11">
        <v>162</v>
      </c>
      <c r="D11">
        <v>92</v>
      </c>
      <c r="E11">
        <v>43</v>
      </c>
      <c r="F11">
        <v>68</v>
      </c>
      <c r="G11">
        <v>42</v>
      </c>
      <c r="H11">
        <v>200.09999999999997</v>
      </c>
      <c r="I11" s="14">
        <v>226.68963113480987</v>
      </c>
      <c r="J11">
        <v>22</v>
      </c>
      <c r="K11">
        <v>4</v>
      </c>
      <c r="L11">
        <v>33</v>
      </c>
      <c r="M11">
        <v>10</v>
      </c>
      <c r="N11" s="143">
        <v>0</v>
      </c>
      <c r="O11" s="143">
        <v>6.8965517241379309E-2</v>
      </c>
      <c r="P11">
        <v>-2</v>
      </c>
    </row>
    <row r="12" spans="1:22">
      <c r="A12" t="s">
        <v>79</v>
      </c>
      <c r="B12">
        <v>61</v>
      </c>
      <c r="C12">
        <v>120</v>
      </c>
      <c r="D12">
        <v>64</v>
      </c>
      <c r="E12">
        <v>96</v>
      </c>
      <c r="F12">
        <v>61</v>
      </c>
      <c r="G12">
        <v>39</v>
      </c>
      <c r="H12">
        <v>216.4</v>
      </c>
      <c r="I12" s="14">
        <v>235.51019683646092</v>
      </c>
      <c r="J12">
        <v>31</v>
      </c>
      <c r="K12">
        <v>9</v>
      </c>
      <c r="L12">
        <v>35</v>
      </c>
      <c r="M12">
        <v>11</v>
      </c>
      <c r="N12" s="143">
        <v>0</v>
      </c>
      <c r="O12" s="143">
        <v>6.0606060606060608E-2</v>
      </c>
      <c r="P12">
        <v>32</v>
      </c>
    </row>
    <row r="13" spans="1:22">
      <c r="A13" t="s">
        <v>134</v>
      </c>
      <c r="B13">
        <v>135</v>
      </c>
      <c r="C13">
        <v>55</v>
      </c>
      <c r="D13">
        <v>90</v>
      </c>
      <c r="E13">
        <v>88</v>
      </c>
      <c r="F13">
        <v>23</v>
      </c>
      <c r="G13">
        <v>32</v>
      </c>
      <c r="H13">
        <v>231.7</v>
      </c>
      <c r="I13" s="14">
        <v>235.58833349341188</v>
      </c>
      <c r="J13">
        <v>45</v>
      </c>
      <c r="K13">
        <v>16</v>
      </c>
      <c r="L13">
        <v>36</v>
      </c>
      <c r="M13">
        <v>12</v>
      </c>
      <c r="N13" s="143">
        <v>0</v>
      </c>
      <c r="O13" s="143">
        <v>2.9411764705882353E-2</v>
      </c>
      <c r="P13">
        <v>14</v>
      </c>
    </row>
    <row r="14" spans="1:22">
      <c r="A14" t="s">
        <v>47</v>
      </c>
      <c r="B14">
        <v>40</v>
      </c>
      <c r="C14">
        <v>38</v>
      </c>
      <c r="D14">
        <v>122</v>
      </c>
      <c r="E14">
        <v>30</v>
      </c>
      <c r="F14">
        <v>101</v>
      </c>
      <c r="G14">
        <v>58</v>
      </c>
      <c r="H14">
        <v>194.89999999999998</v>
      </c>
      <c r="I14" s="14">
        <v>235.87479786217824</v>
      </c>
      <c r="J14">
        <v>20</v>
      </c>
      <c r="K14">
        <v>3</v>
      </c>
      <c r="L14">
        <v>37</v>
      </c>
      <c r="M14">
        <v>13</v>
      </c>
      <c r="N14" s="143">
        <v>0</v>
      </c>
      <c r="O14" s="143">
        <v>8.6956521739130432E-2</v>
      </c>
      <c r="P14">
        <v>-30</v>
      </c>
    </row>
    <row r="15" spans="1:22">
      <c r="A15" t="s">
        <v>158</v>
      </c>
      <c r="B15">
        <v>139</v>
      </c>
      <c r="C15">
        <v>135</v>
      </c>
      <c r="D15">
        <v>30</v>
      </c>
      <c r="E15">
        <v>38</v>
      </c>
      <c r="F15">
        <v>91</v>
      </c>
      <c r="G15">
        <v>46</v>
      </c>
      <c r="H15">
        <v>246.5</v>
      </c>
      <c r="I15" s="14">
        <v>251.24997823256047</v>
      </c>
      <c r="J15">
        <v>54</v>
      </c>
      <c r="K15">
        <v>19</v>
      </c>
      <c r="L15">
        <v>41</v>
      </c>
      <c r="M15">
        <v>14</v>
      </c>
      <c r="N15" s="143">
        <v>0</v>
      </c>
      <c r="O15" s="143">
        <v>6.6666666666666666E-2</v>
      </c>
      <c r="P15">
        <v>31</v>
      </c>
    </row>
    <row r="16" spans="1:22">
      <c r="A16" t="s">
        <v>98</v>
      </c>
      <c r="B16">
        <v>57</v>
      </c>
      <c r="C16">
        <v>167</v>
      </c>
      <c r="D16">
        <v>134</v>
      </c>
      <c r="E16">
        <v>82</v>
      </c>
      <c r="F16">
        <v>2</v>
      </c>
      <c r="G16">
        <v>21</v>
      </c>
      <c r="H16">
        <v>251</v>
      </c>
      <c r="I16" s="14">
        <v>252.21912113359392</v>
      </c>
      <c r="J16">
        <v>57</v>
      </c>
      <c r="K16">
        <v>20</v>
      </c>
      <c r="L16">
        <v>43</v>
      </c>
      <c r="M16">
        <v>15</v>
      </c>
      <c r="N16" s="143">
        <v>0</v>
      </c>
      <c r="O16" s="143">
        <v>0.14285714285714285</v>
      </c>
      <c r="P16">
        <v>3</v>
      </c>
    </row>
    <row r="17" spans="1:16">
      <c r="A17" t="s">
        <v>149</v>
      </c>
      <c r="B17">
        <v>175</v>
      </c>
      <c r="C17">
        <v>106</v>
      </c>
      <c r="D17">
        <v>29</v>
      </c>
      <c r="E17">
        <v>27</v>
      </c>
      <c r="F17">
        <v>92</v>
      </c>
      <c r="G17">
        <v>57</v>
      </c>
      <c r="H17">
        <v>252.60000000000002</v>
      </c>
      <c r="I17" s="14">
        <v>262.57860540079446</v>
      </c>
      <c r="J17">
        <v>60</v>
      </c>
      <c r="K17">
        <v>22</v>
      </c>
      <c r="L17">
        <v>45</v>
      </c>
      <c r="M17">
        <v>16</v>
      </c>
      <c r="N17" s="143">
        <v>0</v>
      </c>
      <c r="O17" s="143">
        <v>5.7142857142857141E-2</v>
      </c>
      <c r="P17">
        <v>8</v>
      </c>
    </row>
    <row r="18" spans="1:16">
      <c r="A18" t="s">
        <v>21</v>
      </c>
      <c r="B18">
        <v>25</v>
      </c>
      <c r="C18">
        <v>192</v>
      </c>
      <c r="D18">
        <v>79</v>
      </c>
      <c r="E18">
        <v>103</v>
      </c>
      <c r="F18">
        <v>62</v>
      </c>
      <c r="G18">
        <v>44</v>
      </c>
      <c r="H18">
        <v>241</v>
      </c>
      <c r="I18" s="14">
        <v>267.40870090151435</v>
      </c>
      <c r="J18">
        <v>52</v>
      </c>
      <c r="K18">
        <v>18</v>
      </c>
      <c r="L18">
        <v>47</v>
      </c>
      <c r="M18">
        <v>17</v>
      </c>
      <c r="N18" s="143">
        <v>0</v>
      </c>
      <c r="O18" s="143">
        <v>2.8571428571428571E-2</v>
      </c>
      <c r="P18">
        <v>28</v>
      </c>
    </row>
    <row r="19" spans="1:16">
      <c r="A19" t="s">
        <v>97</v>
      </c>
      <c r="B19">
        <v>72</v>
      </c>
      <c r="C19">
        <v>191</v>
      </c>
      <c r="D19">
        <v>41</v>
      </c>
      <c r="E19">
        <v>76</v>
      </c>
      <c r="F19">
        <v>100</v>
      </c>
      <c r="G19">
        <v>45</v>
      </c>
      <c r="H19">
        <v>255</v>
      </c>
      <c r="I19" s="14">
        <v>269.48041015764818</v>
      </c>
      <c r="J19">
        <v>62.5</v>
      </c>
      <c r="K19">
        <v>24</v>
      </c>
      <c r="L19">
        <v>48</v>
      </c>
      <c r="M19">
        <v>18</v>
      </c>
      <c r="N19" s="143">
        <v>0</v>
      </c>
      <c r="O19" s="143">
        <v>2.7027027027027029E-2</v>
      </c>
      <c r="P19">
        <v>25</v>
      </c>
    </row>
    <row r="20" spans="1:16">
      <c r="A20" t="s">
        <v>14</v>
      </c>
      <c r="B20">
        <v>19</v>
      </c>
      <c r="C20">
        <v>7</v>
      </c>
      <c r="D20">
        <v>117</v>
      </c>
      <c r="E20">
        <v>118</v>
      </c>
      <c r="F20">
        <v>129</v>
      </c>
      <c r="G20">
        <v>67</v>
      </c>
      <c r="H20">
        <v>210.39999999999998</v>
      </c>
      <c r="I20" s="14">
        <v>269.64784232814287</v>
      </c>
      <c r="J20">
        <v>28</v>
      </c>
      <c r="K20">
        <v>8</v>
      </c>
      <c r="L20">
        <v>49</v>
      </c>
      <c r="M20">
        <v>19</v>
      </c>
      <c r="N20" s="143">
        <v>0</v>
      </c>
      <c r="O20" s="143">
        <v>3.3333333333333333E-2</v>
      </c>
      <c r="P20">
        <v>0</v>
      </c>
    </row>
    <row r="21" spans="1:16">
      <c r="A21" t="s">
        <v>22</v>
      </c>
      <c r="B21">
        <v>29</v>
      </c>
      <c r="C21">
        <v>63</v>
      </c>
      <c r="D21">
        <v>81</v>
      </c>
      <c r="E21">
        <v>135</v>
      </c>
      <c r="F21">
        <v>121</v>
      </c>
      <c r="G21">
        <v>63</v>
      </c>
      <c r="H21">
        <v>223</v>
      </c>
      <c r="I21" s="14">
        <v>274.24294653480956</v>
      </c>
      <c r="J21">
        <v>36.5</v>
      </c>
      <c r="K21">
        <v>12</v>
      </c>
      <c r="L21">
        <v>52</v>
      </c>
      <c r="M21">
        <v>20</v>
      </c>
      <c r="N21" s="143">
        <v>0</v>
      </c>
      <c r="O21" s="143">
        <v>2.8571428571428571E-2</v>
      </c>
      <c r="P21">
        <v>2</v>
      </c>
    </row>
    <row r="22" spans="1:16">
      <c r="A22" t="s">
        <v>162</v>
      </c>
      <c r="B22">
        <v>184</v>
      </c>
      <c r="C22">
        <v>138</v>
      </c>
      <c r="D22">
        <v>40</v>
      </c>
      <c r="E22">
        <v>32</v>
      </c>
      <c r="F22">
        <v>81</v>
      </c>
      <c r="G22">
        <v>49</v>
      </c>
      <c r="H22">
        <v>279.10000000000002</v>
      </c>
      <c r="I22" s="14">
        <v>278.0052149295077</v>
      </c>
      <c r="J22">
        <v>85</v>
      </c>
      <c r="K22">
        <v>34</v>
      </c>
      <c r="L22">
        <v>54</v>
      </c>
      <c r="M22">
        <v>21</v>
      </c>
      <c r="N22" s="143">
        <v>0</v>
      </c>
      <c r="O22" s="143">
        <v>2.564102564102564E-2</v>
      </c>
      <c r="P22">
        <v>-14</v>
      </c>
    </row>
    <row r="23" spans="1:16">
      <c r="A23" t="s">
        <v>147</v>
      </c>
      <c r="B23">
        <v>177</v>
      </c>
      <c r="C23">
        <v>90</v>
      </c>
      <c r="D23">
        <v>89</v>
      </c>
      <c r="E23">
        <v>98</v>
      </c>
      <c r="F23">
        <v>26</v>
      </c>
      <c r="G23">
        <v>35</v>
      </c>
      <c r="H23">
        <v>283.39999999999998</v>
      </c>
      <c r="I23" s="14">
        <v>279.92304306223218</v>
      </c>
      <c r="J23">
        <v>90</v>
      </c>
      <c r="K23">
        <v>36</v>
      </c>
      <c r="L23">
        <v>55</v>
      </c>
      <c r="M23">
        <v>22</v>
      </c>
      <c r="N23" s="143">
        <v>0</v>
      </c>
      <c r="O23" s="143">
        <v>5.4054054054054057E-2</v>
      </c>
      <c r="P23">
        <v>1</v>
      </c>
    </row>
    <row r="24" spans="1:16">
      <c r="A24" t="s">
        <v>26</v>
      </c>
      <c r="B24">
        <v>28</v>
      </c>
      <c r="C24">
        <v>65</v>
      </c>
      <c r="D24">
        <v>65</v>
      </c>
      <c r="E24">
        <v>113</v>
      </c>
      <c r="F24">
        <v>192</v>
      </c>
      <c r="G24">
        <v>69</v>
      </c>
      <c r="H24">
        <v>238.8</v>
      </c>
      <c r="I24" s="14">
        <v>290.18494340006379</v>
      </c>
      <c r="J24">
        <v>50</v>
      </c>
      <c r="K24">
        <v>17</v>
      </c>
      <c r="L24">
        <v>60</v>
      </c>
      <c r="M24">
        <v>23</v>
      </c>
      <c r="N24" s="143">
        <v>0</v>
      </c>
      <c r="O24" s="143">
        <v>4.3478260869565216E-2</v>
      </c>
      <c r="P24">
        <v>-6</v>
      </c>
    </row>
    <row r="25" spans="1:16">
      <c r="A25" t="s">
        <v>36</v>
      </c>
      <c r="B25">
        <v>41</v>
      </c>
      <c r="C25">
        <v>145</v>
      </c>
      <c r="D25">
        <v>5</v>
      </c>
      <c r="E25">
        <v>167</v>
      </c>
      <c r="F25">
        <v>162</v>
      </c>
      <c r="G25">
        <v>59</v>
      </c>
      <c r="H25">
        <v>252.5</v>
      </c>
      <c r="I25" s="14">
        <v>291.4131888259858</v>
      </c>
      <c r="J25">
        <v>59</v>
      </c>
      <c r="K25">
        <v>21</v>
      </c>
      <c r="L25">
        <v>61</v>
      </c>
      <c r="M25">
        <v>24</v>
      </c>
      <c r="N25" s="143">
        <v>0</v>
      </c>
      <c r="O25" s="143">
        <v>2.7027027027027029E-2</v>
      </c>
      <c r="P25">
        <v>17</v>
      </c>
    </row>
    <row r="26" spans="1:16">
      <c r="A26" t="s">
        <v>181</v>
      </c>
      <c r="B26">
        <v>205</v>
      </c>
      <c r="C26">
        <v>75</v>
      </c>
      <c r="D26">
        <v>7</v>
      </c>
      <c r="E26">
        <v>118</v>
      </c>
      <c r="F26">
        <v>85</v>
      </c>
      <c r="G26">
        <v>61</v>
      </c>
      <c r="H26">
        <v>275.60000000000002</v>
      </c>
      <c r="I26" s="14">
        <v>291.50862942581409</v>
      </c>
      <c r="J26">
        <v>80</v>
      </c>
      <c r="K26">
        <v>30</v>
      </c>
      <c r="L26">
        <v>62</v>
      </c>
      <c r="M26">
        <v>25</v>
      </c>
      <c r="N26" s="143">
        <v>0</v>
      </c>
      <c r="O26" s="143">
        <v>0</v>
      </c>
      <c r="P26">
        <v>-20</v>
      </c>
    </row>
    <row r="27" spans="1:16">
      <c r="A27" t="s">
        <v>189</v>
      </c>
      <c r="B27">
        <v>212</v>
      </c>
      <c r="C27">
        <v>70</v>
      </c>
      <c r="D27">
        <v>115</v>
      </c>
      <c r="E27">
        <v>34</v>
      </c>
      <c r="F27">
        <v>15</v>
      </c>
      <c r="G27">
        <v>54</v>
      </c>
      <c r="H27">
        <v>285</v>
      </c>
      <c r="I27" s="14">
        <v>291.9587611756503</v>
      </c>
      <c r="J27">
        <v>95</v>
      </c>
      <c r="K27">
        <v>40</v>
      </c>
      <c r="L27">
        <v>63</v>
      </c>
      <c r="M27">
        <v>26</v>
      </c>
      <c r="N27" s="143">
        <v>0</v>
      </c>
      <c r="O27" s="143">
        <v>0</v>
      </c>
      <c r="P27">
        <v>-27</v>
      </c>
    </row>
    <row r="28" spans="1:16">
      <c r="A28" t="s">
        <v>39</v>
      </c>
      <c r="B28">
        <v>81</v>
      </c>
      <c r="C28">
        <v>111</v>
      </c>
      <c r="D28">
        <v>149</v>
      </c>
      <c r="E28">
        <v>99</v>
      </c>
      <c r="F28">
        <v>21</v>
      </c>
      <c r="G28">
        <v>47</v>
      </c>
      <c r="H28">
        <v>266.60000000000002</v>
      </c>
      <c r="I28" s="14">
        <v>292.435375723319</v>
      </c>
      <c r="J28">
        <v>73.5</v>
      </c>
      <c r="K28">
        <v>27</v>
      </c>
      <c r="L28">
        <v>64</v>
      </c>
      <c r="M28">
        <v>27</v>
      </c>
      <c r="N28" s="143">
        <v>0</v>
      </c>
      <c r="O28" s="143">
        <v>2.7777777777777776E-2</v>
      </c>
      <c r="P28">
        <v>10</v>
      </c>
    </row>
    <row r="29" spans="1:16">
      <c r="A29" t="s">
        <v>20</v>
      </c>
      <c r="B29">
        <v>26</v>
      </c>
      <c r="C29">
        <v>192</v>
      </c>
      <c r="D29">
        <v>49</v>
      </c>
      <c r="E29">
        <v>73</v>
      </c>
      <c r="F29">
        <v>164</v>
      </c>
      <c r="G29">
        <v>68</v>
      </c>
      <c r="H29">
        <v>259.7</v>
      </c>
      <c r="I29" s="14">
        <v>301.56907587836429</v>
      </c>
      <c r="J29">
        <v>68</v>
      </c>
      <c r="K29">
        <v>26</v>
      </c>
      <c r="L29">
        <v>67</v>
      </c>
      <c r="M29">
        <v>28</v>
      </c>
      <c r="N29" s="143">
        <v>0</v>
      </c>
      <c r="O29" s="143">
        <v>3.8461538461538464E-2</v>
      </c>
      <c r="P29">
        <v>-34</v>
      </c>
    </row>
    <row r="30" spans="1:16">
      <c r="A30" t="s">
        <v>11</v>
      </c>
      <c r="B30">
        <v>4</v>
      </c>
      <c r="C30">
        <v>103</v>
      </c>
      <c r="D30">
        <v>82</v>
      </c>
      <c r="E30">
        <v>205</v>
      </c>
      <c r="F30">
        <v>46</v>
      </c>
      <c r="G30">
        <v>88</v>
      </c>
      <c r="H30">
        <v>216.7</v>
      </c>
      <c r="I30" s="14">
        <v>304.10107021203817</v>
      </c>
      <c r="J30">
        <v>32</v>
      </c>
      <c r="K30">
        <v>10</v>
      </c>
      <c r="L30">
        <v>68</v>
      </c>
      <c r="M30">
        <v>29</v>
      </c>
      <c r="N30" s="143">
        <v>0</v>
      </c>
      <c r="O30" s="143">
        <v>3.3333333333333333E-2</v>
      </c>
      <c r="P30">
        <v>53</v>
      </c>
    </row>
    <row r="31" spans="1:16">
      <c r="A31" t="s">
        <v>54</v>
      </c>
      <c r="B31">
        <v>22</v>
      </c>
      <c r="C31">
        <v>200</v>
      </c>
      <c r="D31">
        <v>38</v>
      </c>
      <c r="E31">
        <v>45</v>
      </c>
      <c r="F31">
        <v>190</v>
      </c>
      <c r="G31">
        <v>81</v>
      </c>
      <c r="H31">
        <v>255</v>
      </c>
      <c r="I31" s="14">
        <v>306.89201847100611</v>
      </c>
      <c r="J31">
        <v>62.5</v>
      </c>
      <c r="K31">
        <v>23</v>
      </c>
      <c r="L31">
        <v>71</v>
      </c>
      <c r="M31">
        <v>30</v>
      </c>
      <c r="N31" s="143">
        <v>0</v>
      </c>
      <c r="O31" s="143">
        <v>0.04</v>
      </c>
      <c r="P31">
        <v>-74</v>
      </c>
    </row>
    <row r="32" spans="1:16">
      <c r="A32" t="s">
        <v>235</v>
      </c>
      <c r="B32">
        <v>34</v>
      </c>
      <c r="C32">
        <v>201</v>
      </c>
      <c r="D32">
        <v>92</v>
      </c>
      <c r="E32">
        <v>51</v>
      </c>
      <c r="F32">
        <v>97</v>
      </c>
      <c r="G32">
        <v>78</v>
      </c>
      <c r="H32">
        <v>257.60000000000002</v>
      </c>
      <c r="I32" s="14">
        <v>310.21429284089152</v>
      </c>
      <c r="J32">
        <v>65</v>
      </c>
      <c r="K32">
        <v>25</v>
      </c>
      <c r="L32">
        <v>73</v>
      </c>
      <c r="M32">
        <v>31</v>
      </c>
      <c r="N32" s="143">
        <v>0</v>
      </c>
      <c r="O32" s="143">
        <v>6.6666666666666666E-2</v>
      </c>
      <c r="P32">
        <v>45</v>
      </c>
    </row>
    <row r="33" spans="1:16">
      <c r="A33" t="s">
        <v>182</v>
      </c>
      <c r="B33">
        <v>193</v>
      </c>
      <c r="C33">
        <v>132</v>
      </c>
      <c r="D33">
        <v>125</v>
      </c>
      <c r="E33">
        <v>36</v>
      </c>
      <c r="F33">
        <v>16</v>
      </c>
      <c r="G33">
        <v>51</v>
      </c>
      <c r="H33">
        <v>311</v>
      </c>
      <c r="I33" s="14">
        <v>314.36474703097514</v>
      </c>
      <c r="J33">
        <v>119</v>
      </c>
      <c r="K33">
        <v>57</v>
      </c>
      <c r="L33">
        <v>77</v>
      </c>
      <c r="M33">
        <v>32</v>
      </c>
      <c r="N33" s="143">
        <v>0</v>
      </c>
      <c r="O33" s="143">
        <v>7.6923076923076927E-2</v>
      </c>
      <c r="P33">
        <v>-1</v>
      </c>
    </row>
    <row r="34" spans="1:16">
      <c r="A34" t="s">
        <v>105</v>
      </c>
      <c r="B34">
        <v>94</v>
      </c>
      <c r="C34">
        <v>109</v>
      </c>
      <c r="D34">
        <v>188</v>
      </c>
      <c r="E34">
        <v>20</v>
      </c>
      <c r="F34">
        <v>31</v>
      </c>
      <c r="G34">
        <v>73</v>
      </c>
      <c r="H34">
        <v>275.39999999999998</v>
      </c>
      <c r="I34" s="14">
        <v>319.37700598662599</v>
      </c>
      <c r="J34">
        <v>79</v>
      </c>
      <c r="K34">
        <v>29</v>
      </c>
      <c r="L34">
        <v>79</v>
      </c>
      <c r="M34">
        <v>33</v>
      </c>
      <c r="N34" s="143">
        <v>3.8461538461538464E-2</v>
      </c>
      <c r="O34" s="143">
        <v>0.11538461538461539</v>
      </c>
      <c r="P34">
        <v>31</v>
      </c>
    </row>
    <row r="35" spans="1:16">
      <c r="A35" t="s">
        <v>159</v>
      </c>
      <c r="B35">
        <v>204</v>
      </c>
      <c r="C35">
        <v>20</v>
      </c>
      <c r="D35">
        <v>88</v>
      </c>
      <c r="E35">
        <v>35</v>
      </c>
      <c r="F35">
        <v>171</v>
      </c>
      <c r="G35">
        <v>64</v>
      </c>
      <c r="H35">
        <v>313.89999999999998</v>
      </c>
      <c r="I35" s="14">
        <v>325.53375833408853</v>
      </c>
      <c r="J35">
        <v>122</v>
      </c>
      <c r="K35">
        <v>59</v>
      </c>
      <c r="L35">
        <v>81</v>
      </c>
      <c r="M35">
        <v>34</v>
      </c>
      <c r="N35" s="143">
        <v>0</v>
      </c>
      <c r="O35" s="143">
        <v>0</v>
      </c>
      <c r="P35" t="e">
        <v>#N/A</v>
      </c>
    </row>
    <row r="36" spans="1:16">
      <c r="A36" t="s">
        <v>175</v>
      </c>
      <c r="B36">
        <v>188</v>
      </c>
      <c r="C36">
        <v>105</v>
      </c>
      <c r="D36">
        <v>80</v>
      </c>
      <c r="E36">
        <v>101</v>
      </c>
      <c r="F36">
        <v>29</v>
      </c>
      <c r="G36">
        <v>80</v>
      </c>
      <c r="H36">
        <v>295</v>
      </c>
      <c r="I36" s="14">
        <v>333.36156219801853</v>
      </c>
      <c r="J36">
        <v>104</v>
      </c>
      <c r="K36">
        <v>46</v>
      </c>
      <c r="L36">
        <v>84</v>
      </c>
      <c r="M36">
        <v>35</v>
      </c>
      <c r="N36" s="143">
        <v>0</v>
      </c>
      <c r="O36" s="143">
        <v>0</v>
      </c>
      <c r="P36">
        <v>8</v>
      </c>
    </row>
    <row r="37" spans="1:16">
      <c r="A37" t="s">
        <v>172</v>
      </c>
      <c r="B37">
        <v>175</v>
      </c>
      <c r="C37">
        <v>123</v>
      </c>
      <c r="D37">
        <v>31</v>
      </c>
      <c r="E37">
        <v>115</v>
      </c>
      <c r="F37">
        <v>89</v>
      </c>
      <c r="G37">
        <v>82</v>
      </c>
      <c r="H37">
        <v>296.2</v>
      </c>
      <c r="I37" s="14">
        <v>335.03542010225596</v>
      </c>
      <c r="J37">
        <v>105</v>
      </c>
      <c r="K37">
        <v>47</v>
      </c>
      <c r="L37">
        <v>86</v>
      </c>
      <c r="M37">
        <v>36</v>
      </c>
      <c r="N37" s="143">
        <v>0</v>
      </c>
      <c r="O37" s="143">
        <v>4.5454545454545456E-2</v>
      </c>
      <c r="P37">
        <v>44</v>
      </c>
    </row>
    <row r="38" spans="1:16">
      <c r="A38" t="s">
        <v>49</v>
      </c>
      <c r="B38">
        <v>100</v>
      </c>
      <c r="C38">
        <v>149</v>
      </c>
      <c r="D38">
        <v>94</v>
      </c>
      <c r="E38">
        <v>95</v>
      </c>
      <c r="F38">
        <v>60</v>
      </c>
      <c r="G38">
        <v>87</v>
      </c>
      <c r="H38">
        <v>278.3</v>
      </c>
      <c r="I38" s="14">
        <v>335.41022811269909</v>
      </c>
      <c r="J38">
        <v>84</v>
      </c>
      <c r="K38">
        <v>33</v>
      </c>
      <c r="L38">
        <v>87</v>
      </c>
      <c r="M38">
        <v>37</v>
      </c>
      <c r="N38" s="143">
        <v>0</v>
      </c>
      <c r="O38" s="143">
        <v>0</v>
      </c>
      <c r="P38">
        <v>2</v>
      </c>
    </row>
    <row r="39" spans="1:16">
      <c r="A39" t="s">
        <v>140</v>
      </c>
      <c r="B39">
        <v>99</v>
      </c>
      <c r="C39">
        <v>99</v>
      </c>
      <c r="D39">
        <v>120</v>
      </c>
      <c r="E39">
        <v>128</v>
      </c>
      <c r="F39">
        <v>51</v>
      </c>
      <c r="G39">
        <v>83</v>
      </c>
      <c r="H39">
        <v>279.5</v>
      </c>
      <c r="I39" s="14">
        <v>338.4411837790185</v>
      </c>
      <c r="J39">
        <v>86</v>
      </c>
      <c r="K39">
        <v>35</v>
      </c>
      <c r="L39">
        <v>90</v>
      </c>
      <c r="M39">
        <v>38</v>
      </c>
      <c r="N39" s="143">
        <v>0</v>
      </c>
      <c r="O39" s="143">
        <v>3.3333333333333333E-2</v>
      </c>
      <c r="P39">
        <v>11</v>
      </c>
    </row>
    <row r="40" spans="1:16">
      <c r="A40" t="s">
        <v>117</v>
      </c>
      <c r="B40">
        <v>111</v>
      </c>
      <c r="C40">
        <v>121</v>
      </c>
      <c r="D40">
        <v>11</v>
      </c>
      <c r="E40">
        <v>164</v>
      </c>
      <c r="F40">
        <v>175</v>
      </c>
      <c r="G40">
        <v>75</v>
      </c>
      <c r="H40">
        <v>299</v>
      </c>
      <c r="I40" s="14">
        <v>340.62578101173295</v>
      </c>
      <c r="J40">
        <v>108</v>
      </c>
      <c r="K40">
        <v>49</v>
      </c>
      <c r="L40">
        <v>91</v>
      </c>
      <c r="M40">
        <v>39</v>
      </c>
      <c r="N40" s="143">
        <v>0</v>
      </c>
      <c r="O40" s="143">
        <v>0</v>
      </c>
      <c r="P40">
        <v>-2</v>
      </c>
    </row>
    <row r="41" spans="1:16">
      <c r="A41" t="s">
        <v>178</v>
      </c>
      <c r="B41">
        <v>210</v>
      </c>
      <c r="C41">
        <v>17</v>
      </c>
      <c r="D41">
        <v>63</v>
      </c>
      <c r="E41">
        <v>153</v>
      </c>
      <c r="F41">
        <v>47</v>
      </c>
      <c r="G41">
        <v>101</v>
      </c>
      <c r="H41">
        <v>284.3</v>
      </c>
      <c r="I41" s="14">
        <v>347.20435816465232</v>
      </c>
      <c r="J41">
        <v>93</v>
      </c>
      <c r="K41">
        <v>39</v>
      </c>
      <c r="L41">
        <v>93</v>
      </c>
      <c r="M41">
        <v>40</v>
      </c>
      <c r="N41" s="143">
        <v>0</v>
      </c>
      <c r="O41" s="143">
        <v>0</v>
      </c>
      <c r="P41" t="e">
        <v>#N/A</v>
      </c>
    </row>
    <row r="42" spans="1:16">
      <c r="A42" t="s">
        <v>122</v>
      </c>
      <c r="B42">
        <v>150</v>
      </c>
      <c r="C42">
        <v>73</v>
      </c>
      <c r="D42">
        <v>126</v>
      </c>
      <c r="E42">
        <v>59</v>
      </c>
      <c r="F42">
        <v>87</v>
      </c>
      <c r="G42">
        <v>97</v>
      </c>
      <c r="H42">
        <v>296.79999999999995</v>
      </c>
      <c r="I42" s="14">
        <v>355.13461000490054</v>
      </c>
      <c r="J42">
        <v>106</v>
      </c>
      <c r="K42">
        <v>48</v>
      </c>
      <c r="L42">
        <v>97</v>
      </c>
      <c r="M42">
        <v>41</v>
      </c>
      <c r="N42" s="143">
        <v>0</v>
      </c>
      <c r="O42" s="143">
        <v>3.125E-2</v>
      </c>
      <c r="P42">
        <v>28</v>
      </c>
    </row>
    <row r="43" spans="1:16">
      <c r="A43" t="s">
        <v>187</v>
      </c>
      <c r="B43">
        <v>206</v>
      </c>
      <c r="C43">
        <v>33</v>
      </c>
      <c r="D43">
        <v>83</v>
      </c>
      <c r="E43">
        <v>31</v>
      </c>
      <c r="F43">
        <v>126</v>
      </c>
      <c r="G43">
        <v>112</v>
      </c>
      <c r="H43">
        <v>294.2</v>
      </c>
      <c r="I43" s="14">
        <v>355.45283480102199</v>
      </c>
      <c r="J43">
        <v>103</v>
      </c>
      <c r="K43">
        <v>45</v>
      </c>
      <c r="L43">
        <v>98</v>
      </c>
      <c r="M43">
        <v>42</v>
      </c>
      <c r="N43" s="143">
        <v>0</v>
      </c>
      <c r="O43" s="143">
        <v>0</v>
      </c>
      <c r="P43">
        <v>16</v>
      </c>
    </row>
    <row r="44" spans="1:16">
      <c r="A44" t="s">
        <v>155</v>
      </c>
      <c r="B44">
        <v>159</v>
      </c>
      <c r="C44">
        <v>178</v>
      </c>
      <c r="D44">
        <v>46</v>
      </c>
      <c r="E44">
        <v>11</v>
      </c>
      <c r="F44">
        <v>141</v>
      </c>
      <c r="G44">
        <v>103</v>
      </c>
      <c r="H44">
        <v>307.39999999999998</v>
      </c>
      <c r="I44" s="14">
        <v>357.14868904323839</v>
      </c>
      <c r="J44">
        <v>113</v>
      </c>
      <c r="K44">
        <v>53</v>
      </c>
      <c r="L44">
        <v>100</v>
      </c>
      <c r="M44">
        <v>43</v>
      </c>
      <c r="N44" s="143">
        <v>0</v>
      </c>
      <c r="O44" s="143">
        <v>0</v>
      </c>
      <c r="P44">
        <v>-3</v>
      </c>
    </row>
    <row r="45" spans="1:16">
      <c r="A45" t="s">
        <v>16</v>
      </c>
      <c r="B45">
        <v>17</v>
      </c>
      <c r="C45">
        <v>208</v>
      </c>
      <c r="D45">
        <v>70</v>
      </c>
      <c r="E45">
        <v>145</v>
      </c>
      <c r="F45">
        <v>107</v>
      </c>
      <c r="G45">
        <v>99</v>
      </c>
      <c r="H45">
        <v>276.39999999999998</v>
      </c>
      <c r="I45" s="14">
        <v>357.6023050494872</v>
      </c>
      <c r="J45">
        <v>81</v>
      </c>
      <c r="K45">
        <v>31</v>
      </c>
      <c r="L45">
        <v>101</v>
      </c>
      <c r="M45">
        <v>44</v>
      </c>
      <c r="N45" s="143">
        <v>0</v>
      </c>
      <c r="O45" s="143">
        <v>0</v>
      </c>
      <c r="P45">
        <v>-1</v>
      </c>
    </row>
    <row r="46" spans="1:16">
      <c r="A46" t="s">
        <v>186</v>
      </c>
      <c r="B46">
        <v>209</v>
      </c>
      <c r="C46">
        <v>44</v>
      </c>
      <c r="D46">
        <v>54</v>
      </c>
      <c r="E46">
        <v>70</v>
      </c>
      <c r="F46">
        <v>112</v>
      </c>
      <c r="G46">
        <v>117</v>
      </c>
      <c r="H46">
        <v>290.09999999999997</v>
      </c>
      <c r="I46" s="14">
        <v>358.39747038421825</v>
      </c>
      <c r="J46">
        <v>96</v>
      </c>
      <c r="K46">
        <v>41</v>
      </c>
      <c r="L46">
        <v>102</v>
      </c>
      <c r="M46">
        <v>45</v>
      </c>
      <c r="N46" s="143">
        <v>0</v>
      </c>
      <c r="O46" s="143">
        <v>0</v>
      </c>
      <c r="P46">
        <v>-27</v>
      </c>
    </row>
    <row r="47" spans="1:16">
      <c r="A47" t="s">
        <v>56</v>
      </c>
      <c r="B47">
        <v>59</v>
      </c>
      <c r="C47">
        <v>156</v>
      </c>
      <c r="D47">
        <v>102</v>
      </c>
      <c r="E47">
        <v>71</v>
      </c>
      <c r="F47">
        <v>115</v>
      </c>
      <c r="G47">
        <v>110</v>
      </c>
      <c r="H47">
        <v>276.60000000000002</v>
      </c>
      <c r="I47" s="14">
        <v>359.15579164399975</v>
      </c>
      <c r="J47">
        <v>82</v>
      </c>
      <c r="K47">
        <v>32</v>
      </c>
      <c r="L47">
        <v>103</v>
      </c>
      <c r="M47">
        <v>46</v>
      </c>
      <c r="N47" s="143">
        <v>0</v>
      </c>
      <c r="O47" s="143">
        <v>0</v>
      </c>
      <c r="P47">
        <v>0</v>
      </c>
    </row>
    <row r="48" spans="1:16">
      <c r="A48" t="s">
        <v>96</v>
      </c>
      <c r="B48">
        <v>70</v>
      </c>
      <c r="C48">
        <v>190</v>
      </c>
      <c r="D48">
        <v>148</v>
      </c>
      <c r="E48">
        <v>25</v>
      </c>
      <c r="F48">
        <v>132</v>
      </c>
      <c r="G48">
        <v>72</v>
      </c>
      <c r="H48">
        <v>323.60000000000002</v>
      </c>
      <c r="I48" s="14">
        <v>359.46972447849004</v>
      </c>
      <c r="J48">
        <v>132</v>
      </c>
      <c r="K48">
        <v>65</v>
      </c>
      <c r="L48">
        <v>104</v>
      </c>
      <c r="M48">
        <v>47</v>
      </c>
      <c r="N48" s="143">
        <v>0</v>
      </c>
      <c r="O48" s="143">
        <v>0</v>
      </c>
      <c r="P48">
        <v>-27</v>
      </c>
    </row>
    <row r="49" spans="1:16">
      <c r="A49" t="s">
        <v>88</v>
      </c>
      <c r="B49">
        <v>110</v>
      </c>
      <c r="C49">
        <v>97</v>
      </c>
      <c r="D49">
        <v>110</v>
      </c>
      <c r="E49">
        <v>157</v>
      </c>
      <c r="F49">
        <v>74</v>
      </c>
      <c r="G49">
        <v>86</v>
      </c>
      <c r="H49">
        <v>302.3</v>
      </c>
      <c r="I49" s="14">
        <v>362.32750788496753</v>
      </c>
      <c r="J49">
        <v>109</v>
      </c>
      <c r="K49">
        <v>50</v>
      </c>
      <c r="L49">
        <v>105</v>
      </c>
      <c r="M49">
        <v>48</v>
      </c>
      <c r="N49" s="143">
        <v>0</v>
      </c>
      <c r="O49" s="143">
        <v>0</v>
      </c>
      <c r="P49">
        <v>35</v>
      </c>
    </row>
    <row r="50" spans="1:16">
      <c r="A50" t="s">
        <v>10</v>
      </c>
      <c r="B50">
        <v>12</v>
      </c>
      <c r="C50">
        <v>204</v>
      </c>
      <c r="D50">
        <v>132</v>
      </c>
      <c r="E50">
        <v>13</v>
      </c>
      <c r="F50">
        <v>151</v>
      </c>
      <c r="G50">
        <v>107</v>
      </c>
      <c r="H50">
        <v>283.5</v>
      </c>
      <c r="I50" s="14">
        <v>363.05884648302617</v>
      </c>
      <c r="J50">
        <v>91</v>
      </c>
      <c r="K50">
        <v>37</v>
      </c>
      <c r="L50">
        <v>106</v>
      </c>
      <c r="M50">
        <v>49</v>
      </c>
      <c r="N50" s="143">
        <v>0</v>
      </c>
      <c r="O50" s="143">
        <v>3.2258064516129031E-2</v>
      </c>
      <c r="P50">
        <v>-6</v>
      </c>
    </row>
    <row r="51" spans="1:16">
      <c r="A51" t="s">
        <v>59</v>
      </c>
      <c r="B51">
        <v>103</v>
      </c>
      <c r="C51">
        <v>131</v>
      </c>
      <c r="D51">
        <v>168</v>
      </c>
      <c r="E51">
        <v>41</v>
      </c>
      <c r="F51">
        <v>41</v>
      </c>
      <c r="G51">
        <v>104</v>
      </c>
      <c r="H51">
        <v>292.09999999999997</v>
      </c>
      <c r="I51" s="14">
        <v>364.44847948446704</v>
      </c>
      <c r="J51">
        <v>99</v>
      </c>
      <c r="K51">
        <v>43</v>
      </c>
      <c r="L51">
        <v>107</v>
      </c>
      <c r="M51">
        <v>50</v>
      </c>
      <c r="N51" s="143">
        <v>0</v>
      </c>
      <c r="O51" s="143">
        <v>0</v>
      </c>
      <c r="P51">
        <v>3</v>
      </c>
    </row>
    <row r="52" spans="1:16">
      <c r="A52" t="s">
        <v>163</v>
      </c>
      <c r="B52">
        <v>159</v>
      </c>
      <c r="C52">
        <v>14</v>
      </c>
      <c r="D52">
        <v>68</v>
      </c>
      <c r="E52">
        <v>39</v>
      </c>
      <c r="F52">
        <v>205</v>
      </c>
      <c r="G52">
        <v>132</v>
      </c>
      <c r="H52">
        <v>284</v>
      </c>
      <c r="I52" s="14">
        <v>371.03140819527414</v>
      </c>
      <c r="J52">
        <v>92</v>
      </c>
      <c r="K52">
        <v>38</v>
      </c>
      <c r="L52">
        <v>109</v>
      </c>
      <c r="M52">
        <v>51</v>
      </c>
      <c r="N52" s="143">
        <v>0</v>
      </c>
      <c r="O52" s="143">
        <v>5.7142857142857141E-2</v>
      </c>
      <c r="P52">
        <v>2</v>
      </c>
    </row>
    <row r="53" spans="1:16">
      <c r="A53" t="s">
        <v>108</v>
      </c>
      <c r="B53">
        <v>77</v>
      </c>
      <c r="C53">
        <v>195</v>
      </c>
      <c r="D53">
        <v>185</v>
      </c>
      <c r="E53">
        <v>114</v>
      </c>
      <c r="F53">
        <v>1</v>
      </c>
      <c r="G53">
        <v>74</v>
      </c>
      <c r="H53">
        <v>327</v>
      </c>
      <c r="I53" s="14">
        <v>376.64990752583486</v>
      </c>
      <c r="J53">
        <v>136</v>
      </c>
      <c r="K53">
        <v>68</v>
      </c>
      <c r="L53">
        <v>110</v>
      </c>
      <c r="M53">
        <v>52</v>
      </c>
      <c r="N53" s="143">
        <v>0</v>
      </c>
      <c r="O53" s="143">
        <v>0</v>
      </c>
      <c r="P53">
        <v>17</v>
      </c>
    </row>
    <row r="54" spans="1:16">
      <c r="A54" t="s">
        <v>100</v>
      </c>
      <c r="B54">
        <v>173</v>
      </c>
      <c r="C54">
        <v>181</v>
      </c>
      <c r="D54">
        <v>86</v>
      </c>
      <c r="E54">
        <v>17</v>
      </c>
      <c r="F54">
        <v>124</v>
      </c>
      <c r="G54">
        <v>93</v>
      </c>
      <c r="H54">
        <v>340.6</v>
      </c>
      <c r="I54" s="14">
        <v>378.46933627408418</v>
      </c>
      <c r="J54">
        <v>143</v>
      </c>
      <c r="K54">
        <v>72</v>
      </c>
      <c r="L54">
        <v>111</v>
      </c>
      <c r="M54">
        <v>53</v>
      </c>
      <c r="N54" s="143">
        <v>0</v>
      </c>
      <c r="O54" s="143">
        <v>0</v>
      </c>
      <c r="P54" t="e">
        <v>#N/A</v>
      </c>
    </row>
    <row r="55" spans="1:16">
      <c r="A55" t="s">
        <v>107</v>
      </c>
      <c r="B55">
        <v>97</v>
      </c>
      <c r="C55">
        <v>180</v>
      </c>
      <c r="D55">
        <v>171</v>
      </c>
      <c r="E55">
        <v>16</v>
      </c>
      <c r="F55">
        <v>63</v>
      </c>
      <c r="G55">
        <v>105</v>
      </c>
      <c r="H55">
        <v>315.49999999999994</v>
      </c>
      <c r="I55" s="14">
        <v>383.72890496548172</v>
      </c>
      <c r="J55">
        <v>124</v>
      </c>
      <c r="K55">
        <v>60</v>
      </c>
      <c r="L55">
        <v>112</v>
      </c>
      <c r="M55">
        <v>54</v>
      </c>
      <c r="N55" s="143">
        <v>0</v>
      </c>
      <c r="O55" s="143">
        <v>2.8571428571428571E-2</v>
      </c>
      <c r="P55">
        <v>-14</v>
      </c>
    </row>
    <row r="56" spans="1:16">
      <c r="A56" t="s">
        <v>164</v>
      </c>
      <c r="B56">
        <v>125</v>
      </c>
      <c r="C56">
        <v>116</v>
      </c>
      <c r="D56">
        <v>165</v>
      </c>
      <c r="E56">
        <v>138</v>
      </c>
      <c r="F56">
        <v>6</v>
      </c>
      <c r="G56">
        <v>92</v>
      </c>
      <c r="H56">
        <v>319.2</v>
      </c>
      <c r="I56" s="14">
        <v>384.01115968566239</v>
      </c>
      <c r="J56">
        <v>129</v>
      </c>
      <c r="K56">
        <v>63</v>
      </c>
      <c r="L56">
        <v>113</v>
      </c>
      <c r="M56">
        <v>55</v>
      </c>
      <c r="N56" s="143">
        <v>0</v>
      </c>
      <c r="O56" s="143">
        <v>4.5454545454545456E-2</v>
      </c>
      <c r="P56">
        <v>-39</v>
      </c>
    </row>
    <row r="57" spans="1:16">
      <c r="A57" t="s">
        <v>114</v>
      </c>
      <c r="B57">
        <v>143</v>
      </c>
      <c r="C57">
        <v>188</v>
      </c>
      <c r="D57">
        <v>112</v>
      </c>
      <c r="E57">
        <v>49</v>
      </c>
      <c r="F57">
        <v>35</v>
      </c>
      <c r="G57">
        <v>120</v>
      </c>
      <c r="H57">
        <v>309.60000000000002</v>
      </c>
      <c r="I57" s="14">
        <v>387.51423929563344</v>
      </c>
      <c r="J57">
        <v>118</v>
      </c>
      <c r="K57">
        <v>56</v>
      </c>
      <c r="L57">
        <v>114</v>
      </c>
      <c r="M57">
        <v>56</v>
      </c>
      <c r="N57" s="143">
        <v>0</v>
      </c>
      <c r="O57" s="143">
        <v>0</v>
      </c>
      <c r="P57">
        <v>12</v>
      </c>
    </row>
    <row r="58" spans="1:16">
      <c r="A58" t="s">
        <v>87</v>
      </c>
      <c r="B58">
        <v>61</v>
      </c>
      <c r="C58">
        <v>118</v>
      </c>
      <c r="D58">
        <v>117</v>
      </c>
      <c r="E58">
        <v>105</v>
      </c>
      <c r="F58">
        <v>134</v>
      </c>
      <c r="G58">
        <v>127</v>
      </c>
      <c r="H58">
        <v>292.59999999999997</v>
      </c>
      <c r="I58" s="14">
        <v>394.81017428432244</v>
      </c>
      <c r="J58">
        <v>100</v>
      </c>
      <c r="K58">
        <v>44</v>
      </c>
      <c r="L58">
        <v>116</v>
      </c>
      <c r="M58">
        <v>57</v>
      </c>
      <c r="N58" s="143">
        <v>0</v>
      </c>
      <c r="O58" s="143">
        <v>0</v>
      </c>
      <c r="P58">
        <v>28</v>
      </c>
    </row>
    <row r="59" spans="1:16">
      <c r="A59" t="s">
        <v>319</v>
      </c>
      <c r="B59">
        <v>16</v>
      </c>
      <c r="C59">
        <v>141</v>
      </c>
      <c r="D59">
        <v>181</v>
      </c>
      <c r="E59">
        <v>57</v>
      </c>
      <c r="F59">
        <v>170</v>
      </c>
      <c r="G59">
        <v>108</v>
      </c>
      <c r="H59">
        <v>316.2</v>
      </c>
      <c r="I59" s="14">
        <v>400.95774297042919</v>
      </c>
      <c r="J59">
        <v>126.5</v>
      </c>
      <c r="K59">
        <v>61</v>
      </c>
      <c r="L59">
        <v>117</v>
      </c>
      <c r="M59">
        <v>58</v>
      </c>
      <c r="N59" s="143">
        <v>0</v>
      </c>
      <c r="O59" s="143">
        <v>0.1111111111111111</v>
      </c>
      <c r="P59">
        <v>-33</v>
      </c>
    </row>
    <row r="60" spans="1:16">
      <c r="A60" t="s">
        <v>24</v>
      </c>
      <c r="B60">
        <v>20</v>
      </c>
      <c r="C60">
        <v>210</v>
      </c>
      <c r="D60">
        <v>48</v>
      </c>
      <c r="E60">
        <v>180</v>
      </c>
      <c r="F60">
        <v>131</v>
      </c>
      <c r="G60">
        <v>130</v>
      </c>
      <c r="H60">
        <v>290.10000000000002</v>
      </c>
      <c r="I60" s="14">
        <v>402.07491286143875</v>
      </c>
      <c r="J60">
        <v>97</v>
      </c>
      <c r="K60">
        <v>42</v>
      </c>
      <c r="L60">
        <v>119</v>
      </c>
      <c r="M60">
        <v>59</v>
      </c>
      <c r="N60" s="143">
        <v>0</v>
      </c>
      <c r="O60" s="143">
        <v>3.7037037037037035E-2</v>
      </c>
      <c r="P60">
        <v>-10</v>
      </c>
    </row>
    <row r="61" spans="1:16">
      <c r="A61" t="s">
        <v>76</v>
      </c>
      <c r="B61">
        <v>61</v>
      </c>
      <c r="C61">
        <v>144</v>
      </c>
      <c r="D61">
        <v>176</v>
      </c>
      <c r="E61">
        <v>89</v>
      </c>
      <c r="F61">
        <v>72</v>
      </c>
      <c r="G61">
        <v>119</v>
      </c>
      <c r="H61">
        <v>309.5</v>
      </c>
      <c r="I61" s="14">
        <v>404.6873858610997</v>
      </c>
      <c r="J61">
        <v>117</v>
      </c>
      <c r="K61">
        <v>55</v>
      </c>
      <c r="L61">
        <v>122</v>
      </c>
      <c r="M61">
        <v>60</v>
      </c>
      <c r="N61" s="143">
        <v>0</v>
      </c>
      <c r="O61" s="143">
        <v>0</v>
      </c>
      <c r="P61">
        <v>41</v>
      </c>
    </row>
    <row r="62" spans="1:16">
      <c r="A62" t="s">
        <v>48</v>
      </c>
      <c r="B62">
        <v>84</v>
      </c>
      <c r="C62">
        <v>165</v>
      </c>
      <c r="D62">
        <v>33</v>
      </c>
      <c r="E62">
        <v>194</v>
      </c>
      <c r="F62">
        <v>162</v>
      </c>
      <c r="G62">
        <v>111</v>
      </c>
      <c r="H62">
        <v>323</v>
      </c>
      <c r="I62" s="14">
        <v>405.23943746390353</v>
      </c>
      <c r="J62">
        <v>131</v>
      </c>
      <c r="K62">
        <v>64</v>
      </c>
      <c r="L62">
        <v>123</v>
      </c>
      <c r="M62">
        <v>61</v>
      </c>
      <c r="N62" s="143">
        <v>0</v>
      </c>
      <c r="O62" s="143">
        <v>0</v>
      </c>
      <c r="P62">
        <v>28</v>
      </c>
    </row>
    <row r="63" spans="1:16">
      <c r="A63" t="s">
        <v>151</v>
      </c>
      <c r="B63">
        <v>143</v>
      </c>
      <c r="C63">
        <v>112</v>
      </c>
      <c r="D63">
        <v>22</v>
      </c>
      <c r="E63">
        <v>190</v>
      </c>
      <c r="F63">
        <v>123</v>
      </c>
      <c r="G63">
        <v>133</v>
      </c>
      <c r="H63">
        <v>309</v>
      </c>
      <c r="I63" s="14">
        <v>407.81103790391558</v>
      </c>
      <c r="J63">
        <v>115</v>
      </c>
      <c r="K63">
        <v>54</v>
      </c>
      <c r="L63">
        <v>126</v>
      </c>
      <c r="M63">
        <v>62</v>
      </c>
      <c r="N63" s="143">
        <v>0</v>
      </c>
      <c r="O63" s="143">
        <v>0</v>
      </c>
      <c r="P63">
        <v>39</v>
      </c>
    </row>
    <row r="64" spans="1:16">
      <c r="A64" t="s">
        <v>45</v>
      </c>
      <c r="B64">
        <v>64</v>
      </c>
      <c r="C64">
        <v>185</v>
      </c>
      <c r="D64">
        <v>70</v>
      </c>
      <c r="E64">
        <v>139</v>
      </c>
      <c r="F64">
        <v>130</v>
      </c>
      <c r="G64">
        <v>135</v>
      </c>
      <c r="H64">
        <v>306.89999999999998</v>
      </c>
      <c r="I64" s="14">
        <v>414.4999612531301</v>
      </c>
      <c r="J64">
        <v>111</v>
      </c>
      <c r="K64">
        <v>51</v>
      </c>
      <c r="L64">
        <v>128</v>
      </c>
      <c r="M64">
        <v>63</v>
      </c>
      <c r="N64" s="143">
        <v>0</v>
      </c>
      <c r="O64" s="143">
        <v>0</v>
      </c>
      <c r="P64">
        <v>23</v>
      </c>
    </row>
    <row r="65" spans="1:16">
      <c r="A65" t="s">
        <v>142</v>
      </c>
      <c r="B65">
        <v>174</v>
      </c>
      <c r="C65">
        <v>152</v>
      </c>
      <c r="D65">
        <v>142</v>
      </c>
      <c r="E65">
        <v>22</v>
      </c>
      <c r="F65">
        <v>82</v>
      </c>
      <c r="G65">
        <v>126</v>
      </c>
      <c r="H65">
        <v>347</v>
      </c>
      <c r="I65" s="14">
        <v>422.27055154481843</v>
      </c>
      <c r="J65">
        <v>152</v>
      </c>
      <c r="K65">
        <v>80</v>
      </c>
      <c r="L65">
        <v>130</v>
      </c>
      <c r="M65">
        <v>64</v>
      </c>
      <c r="N65" s="143">
        <v>0</v>
      </c>
      <c r="O65" s="143">
        <v>0</v>
      </c>
      <c r="P65">
        <v>33</v>
      </c>
    </row>
    <row r="66" spans="1:16">
      <c r="A66" t="s">
        <v>32</v>
      </c>
      <c r="B66">
        <v>44</v>
      </c>
      <c r="C66">
        <v>170</v>
      </c>
      <c r="D66">
        <v>87</v>
      </c>
      <c r="E66">
        <v>186</v>
      </c>
      <c r="F66">
        <v>133</v>
      </c>
      <c r="G66">
        <v>128</v>
      </c>
      <c r="H66">
        <v>317.60000000000002</v>
      </c>
      <c r="I66" s="14">
        <v>425.40264694068338</v>
      </c>
      <c r="J66">
        <v>128</v>
      </c>
      <c r="K66">
        <v>62</v>
      </c>
      <c r="L66">
        <v>131</v>
      </c>
      <c r="M66">
        <v>65</v>
      </c>
      <c r="N66" s="143">
        <v>0</v>
      </c>
      <c r="O66" s="143">
        <v>3.0303030303030304E-2</v>
      </c>
      <c r="P66">
        <v>12</v>
      </c>
    </row>
    <row r="67" spans="1:16">
      <c r="A67" t="s">
        <v>174</v>
      </c>
      <c r="B67">
        <v>184</v>
      </c>
      <c r="C67">
        <v>197</v>
      </c>
      <c r="D67">
        <v>3</v>
      </c>
      <c r="E67">
        <v>202</v>
      </c>
      <c r="F67">
        <v>120</v>
      </c>
      <c r="G67">
        <v>106</v>
      </c>
      <c r="H67">
        <v>370.2</v>
      </c>
      <c r="I67" s="14">
        <v>429.08572836047216</v>
      </c>
      <c r="J67">
        <v>170</v>
      </c>
      <c r="K67">
        <v>94</v>
      </c>
      <c r="L67">
        <v>132</v>
      </c>
      <c r="M67">
        <v>66</v>
      </c>
      <c r="N67" s="143" t="e">
        <v>#N/A</v>
      </c>
      <c r="O67" s="143" t="e">
        <v>#N/A</v>
      </c>
      <c r="P67">
        <v>3</v>
      </c>
    </row>
    <row r="68" spans="1:16">
      <c r="A68" t="s">
        <v>185</v>
      </c>
      <c r="B68">
        <v>208</v>
      </c>
      <c r="C68">
        <v>13</v>
      </c>
      <c r="D68">
        <v>101</v>
      </c>
      <c r="E68">
        <v>175</v>
      </c>
      <c r="F68">
        <v>80</v>
      </c>
      <c r="G68">
        <v>136</v>
      </c>
      <c r="H68">
        <v>332.79999999999995</v>
      </c>
      <c r="I68" s="14">
        <v>429.94565817145792</v>
      </c>
      <c r="J68">
        <v>137</v>
      </c>
      <c r="K68">
        <v>69</v>
      </c>
      <c r="L68">
        <v>133</v>
      </c>
      <c r="M68">
        <v>67</v>
      </c>
      <c r="N68" s="143">
        <v>0</v>
      </c>
      <c r="O68" s="143">
        <v>0</v>
      </c>
      <c r="P68">
        <v>-24</v>
      </c>
    </row>
    <row r="69" spans="1:16">
      <c r="A69" t="s">
        <v>41</v>
      </c>
      <c r="B69">
        <v>44</v>
      </c>
      <c r="C69">
        <v>199</v>
      </c>
      <c r="D69">
        <v>141</v>
      </c>
      <c r="E69">
        <v>150</v>
      </c>
      <c r="F69">
        <v>95</v>
      </c>
      <c r="G69">
        <v>116</v>
      </c>
      <c r="H69">
        <v>336.5</v>
      </c>
      <c r="I69" s="14">
        <v>430.37595733826726</v>
      </c>
      <c r="J69">
        <v>139.5</v>
      </c>
      <c r="K69">
        <v>70</v>
      </c>
      <c r="L69">
        <v>134</v>
      </c>
      <c r="M69">
        <v>68</v>
      </c>
      <c r="N69" s="143">
        <v>0</v>
      </c>
      <c r="O69" s="143">
        <v>0</v>
      </c>
      <c r="P69">
        <v>40</v>
      </c>
    </row>
    <row r="70" spans="1:16">
      <c r="A70" t="s">
        <v>34</v>
      </c>
      <c r="B70">
        <v>31</v>
      </c>
      <c r="C70">
        <v>148</v>
      </c>
      <c r="D70">
        <v>133</v>
      </c>
      <c r="E70">
        <v>85</v>
      </c>
      <c r="F70">
        <v>169</v>
      </c>
      <c r="G70">
        <v>148</v>
      </c>
      <c r="H70">
        <v>307.3</v>
      </c>
      <c r="I70" s="14">
        <v>430.70163308735499</v>
      </c>
      <c r="J70">
        <v>112</v>
      </c>
      <c r="K70">
        <v>52</v>
      </c>
      <c r="L70">
        <v>135</v>
      </c>
      <c r="M70">
        <v>69</v>
      </c>
      <c r="N70" s="143">
        <v>0</v>
      </c>
      <c r="O70" s="143">
        <v>0</v>
      </c>
      <c r="P70">
        <v>-10</v>
      </c>
    </row>
    <row r="71" spans="1:16">
      <c r="A71" t="s">
        <v>33</v>
      </c>
      <c r="B71">
        <v>15</v>
      </c>
      <c r="C71">
        <v>129</v>
      </c>
      <c r="D71">
        <v>162</v>
      </c>
      <c r="E71">
        <v>182</v>
      </c>
      <c r="F71">
        <v>104</v>
      </c>
      <c r="G71">
        <v>131</v>
      </c>
      <c r="H71">
        <v>313.2</v>
      </c>
      <c r="I71" s="14">
        <v>433.58480060372125</v>
      </c>
      <c r="J71">
        <v>121</v>
      </c>
      <c r="K71">
        <v>58</v>
      </c>
      <c r="L71">
        <v>136</v>
      </c>
      <c r="M71">
        <v>70</v>
      </c>
      <c r="N71" s="143">
        <v>0</v>
      </c>
      <c r="O71" s="143">
        <v>0</v>
      </c>
      <c r="P71">
        <v>13</v>
      </c>
    </row>
    <row r="72" spans="1:16">
      <c r="A72" t="s">
        <v>89</v>
      </c>
      <c r="B72">
        <v>115</v>
      </c>
      <c r="C72">
        <v>103</v>
      </c>
      <c r="D72">
        <v>175</v>
      </c>
      <c r="E72">
        <v>136</v>
      </c>
      <c r="F72">
        <v>72</v>
      </c>
      <c r="G72">
        <v>118</v>
      </c>
      <c r="H72">
        <v>344.9</v>
      </c>
      <c r="I72" s="14">
        <v>433.85303503956328</v>
      </c>
      <c r="J72">
        <v>149</v>
      </c>
      <c r="K72">
        <v>77</v>
      </c>
      <c r="L72">
        <v>138</v>
      </c>
      <c r="M72">
        <v>71</v>
      </c>
      <c r="N72" s="143">
        <v>0</v>
      </c>
      <c r="O72" s="143">
        <v>0</v>
      </c>
      <c r="P72">
        <v>-23</v>
      </c>
    </row>
    <row r="73" spans="1:16">
      <c r="A73" t="s">
        <v>102</v>
      </c>
      <c r="B73">
        <v>48</v>
      </c>
      <c r="C73">
        <v>41</v>
      </c>
      <c r="D73">
        <v>85</v>
      </c>
      <c r="E73">
        <v>148</v>
      </c>
      <c r="F73">
        <v>201</v>
      </c>
      <c r="G73">
        <v>181</v>
      </c>
      <c r="H73">
        <v>273.3</v>
      </c>
      <c r="I73" s="14">
        <v>435.50426070846106</v>
      </c>
      <c r="J73">
        <v>78</v>
      </c>
      <c r="K73">
        <v>28</v>
      </c>
      <c r="L73">
        <v>139</v>
      </c>
      <c r="M73">
        <v>72</v>
      </c>
      <c r="N73" s="143">
        <v>0</v>
      </c>
      <c r="O73" s="143">
        <v>0</v>
      </c>
      <c r="P73">
        <v>-29</v>
      </c>
    </row>
    <row r="74" spans="1:16">
      <c r="A74" t="s">
        <v>123</v>
      </c>
      <c r="B74">
        <v>141</v>
      </c>
      <c r="C74">
        <v>96</v>
      </c>
      <c r="D74">
        <v>139</v>
      </c>
      <c r="E74">
        <v>143</v>
      </c>
      <c r="F74">
        <v>93</v>
      </c>
      <c r="G74">
        <v>123</v>
      </c>
      <c r="H74">
        <v>347.7</v>
      </c>
      <c r="I74" s="14">
        <v>436.30723858227725</v>
      </c>
      <c r="J74">
        <v>153</v>
      </c>
      <c r="K74">
        <v>81</v>
      </c>
      <c r="L74">
        <v>140</v>
      </c>
      <c r="M74">
        <v>73</v>
      </c>
      <c r="N74" s="143">
        <v>0</v>
      </c>
      <c r="O74" s="143">
        <v>0</v>
      </c>
      <c r="P74">
        <v>-44</v>
      </c>
    </row>
    <row r="75" spans="1:16">
      <c r="A75" t="s">
        <v>184</v>
      </c>
      <c r="B75">
        <v>199</v>
      </c>
      <c r="C75">
        <v>50</v>
      </c>
      <c r="D75">
        <v>170</v>
      </c>
      <c r="E75">
        <v>79</v>
      </c>
      <c r="F75">
        <v>69</v>
      </c>
      <c r="G75">
        <v>134</v>
      </c>
      <c r="H75">
        <v>349.4</v>
      </c>
      <c r="I75" s="14">
        <v>438.53797384874468</v>
      </c>
      <c r="J75">
        <v>156</v>
      </c>
      <c r="K75">
        <v>83</v>
      </c>
      <c r="L75">
        <v>141</v>
      </c>
      <c r="M75">
        <v>74</v>
      </c>
      <c r="N75" s="143">
        <v>0</v>
      </c>
      <c r="O75" s="143">
        <v>0</v>
      </c>
      <c r="P75">
        <v>-37</v>
      </c>
    </row>
    <row r="76" spans="1:16">
      <c r="A76" t="s">
        <v>191</v>
      </c>
      <c r="B76">
        <v>213</v>
      </c>
      <c r="C76">
        <v>81</v>
      </c>
      <c r="D76">
        <v>167</v>
      </c>
      <c r="E76">
        <v>19</v>
      </c>
      <c r="F76">
        <v>54</v>
      </c>
      <c r="G76">
        <v>151</v>
      </c>
      <c r="H76">
        <v>341.1</v>
      </c>
      <c r="I76" s="14">
        <v>440.07975928566123</v>
      </c>
      <c r="J76">
        <v>144</v>
      </c>
      <c r="K76">
        <v>73</v>
      </c>
      <c r="L76">
        <v>143</v>
      </c>
      <c r="M76">
        <v>75</v>
      </c>
      <c r="N76" s="143">
        <v>0</v>
      </c>
      <c r="O76" s="143">
        <v>0</v>
      </c>
      <c r="P76">
        <v>-95</v>
      </c>
    </row>
    <row r="77" spans="1:16">
      <c r="A77" t="s">
        <v>109</v>
      </c>
      <c r="B77">
        <v>142</v>
      </c>
      <c r="C77">
        <v>15</v>
      </c>
      <c r="D77">
        <v>146</v>
      </c>
      <c r="E77">
        <v>200</v>
      </c>
      <c r="F77">
        <v>75</v>
      </c>
      <c r="G77">
        <v>144</v>
      </c>
      <c r="H77">
        <v>326.59999999999997</v>
      </c>
      <c r="I77" s="14">
        <v>445.91715917480786</v>
      </c>
      <c r="J77">
        <v>135</v>
      </c>
      <c r="K77">
        <v>67</v>
      </c>
      <c r="L77">
        <v>145</v>
      </c>
      <c r="M77">
        <v>76</v>
      </c>
      <c r="N77" s="143">
        <v>0</v>
      </c>
      <c r="O77" s="143">
        <v>0</v>
      </c>
      <c r="P77">
        <v>13</v>
      </c>
    </row>
    <row r="78" spans="1:16">
      <c r="A78" t="s">
        <v>145</v>
      </c>
      <c r="B78">
        <v>166</v>
      </c>
      <c r="C78">
        <v>22</v>
      </c>
      <c r="D78">
        <v>58</v>
      </c>
      <c r="E78">
        <v>198</v>
      </c>
      <c r="F78">
        <v>159</v>
      </c>
      <c r="G78">
        <v>162</v>
      </c>
      <c r="H78">
        <v>326.5</v>
      </c>
      <c r="I78" s="14">
        <v>453.60596231453491</v>
      </c>
      <c r="J78">
        <v>134</v>
      </c>
      <c r="K78">
        <v>66</v>
      </c>
      <c r="L78">
        <v>146</v>
      </c>
      <c r="M78">
        <v>77</v>
      </c>
      <c r="N78" s="143">
        <v>0</v>
      </c>
      <c r="O78" s="143">
        <v>0</v>
      </c>
      <c r="P78">
        <v>-1</v>
      </c>
    </row>
    <row r="79" spans="1:16">
      <c r="A79" t="s">
        <v>167</v>
      </c>
      <c r="B79">
        <v>169</v>
      </c>
      <c r="C79">
        <v>124</v>
      </c>
      <c r="D79">
        <v>195</v>
      </c>
      <c r="E79">
        <v>81</v>
      </c>
      <c r="F79">
        <v>9</v>
      </c>
      <c r="G79">
        <v>141</v>
      </c>
      <c r="H79">
        <v>353.7</v>
      </c>
      <c r="I79" s="14">
        <v>454.61729448250344</v>
      </c>
      <c r="J79">
        <v>160</v>
      </c>
      <c r="K79">
        <v>87</v>
      </c>
      <c r="L79">
        <v>147</v>
      </c>
      <c r="M79">
        <v>78</v>
      </c>
      <c r="N79" s="143">
        <v>0</v>
      </c>
      <c r="O79" s="143">
        <v>0</v>
      </c>
      <c r="P79">
        <v>12</v>
      </c>
    </row>
    <row r="80" spans="1:16">
      <c r="A80" t="s">
        <v>106</v>
      </c>
      <c r="B80">
        <v>108</v>
      </c>
      <c r="C80">
        <v>189</v>
      </c>
      <c r="D80">
        <v>54</v>
      </c>
      <c r="E80">
        <v>161</v>
      </c>
      <c r="F80">
        <v>148</v>
      </c>
      <c r="G80">
        <v>145</v>
      </c>
      <c r="H80">
        <v>346.29999999999995</v>
      </c>
      <c r="I80" s="14">
        <v>455.06775188419385</v>
      </c>
      <c r="J80">
        <v>150</v>
      </c>
      <c r="K80">
        <v>78</v>
      </c>
      <c r="L80">
        <v>148</v>
      </c>
      <c r="M80">
        <v>79</v>
      </c>
      <c r="N80" s="143">
        <v>0</v>
      </c>
      <c r="O80" s="143">
        <v>0</v>
      </c>
      <c r="P80">
        <v>-18</v>
      </c>
    </row>
    <row r="81" spans="1:16">
      <c r="A81" t="s">
        <v>103</v>
      </c>
      <c r="B81">
        <v>122</v>
      </c>
      <c r="C81">
        <v>80</v>
      </c>
      <c r="D81">
        <v>164</v>
      </c>
      <c r="E81">
        <v>173</v>
      </c>
      <c r="F81">
        <v>70</v>
      </c>
      <c r="G81">
        <v>139</v>
      </c>
      <c r="H81">
        <v>344.4</v>
      </c>
      <c r="I81" s="14">
        <v>456.84669772524802</v>
      </c>
      <c r="J81">
        <v>147</v>
      </c>
      <c r="K81">
        <v>76</v>
      </c>
      <c r="L81">
        <v>149</v>
      </c>
      <c r="M81">
        <v>80</v>
      </c>
      <c r="N81" s="143">
        <v>0</v>
      </c>
      <c r="O81" s="143">
        <v>0</v>
      </c>
      <c r="P81">
        <v>59</v>
      </c>
    </row>
    <row r="82" spans="1:16">
      <c r="A82" t="s">
        <v>77</v>
      </c>
      <c r="B82">
        <v>83</v>
      </c>
      <c r="C82">
        <v>196</v>
      </c>
      <c r="D82">
        <v>95</v>
      </c>
      <c r="E82">
        <v>179</v>
      </c>
      <c r="F82">
        <v>105</v>
      </c>
      <c r="G82">
        <v>140</v>
      </c>
      <c r="H82">
        <v>346.7</v>
      </c>
      <c r="I82" s="14">
        <v>458.45065041440728</v>
      </c>
      <c r="J82">
        <v>151</v>
      </c>
      <c r="K82">
        <v>79</v>
      </c>
      <c r="L82">
        <v>151</v>
      </c>
      <c r="M82">
        <v>81</v>
      </c>
      <c r="N82" s="143">
        <v>0</v>
      </c>
      <c r="O82" s="143">
        <v>0</v>
      </c>
      <c r="P82">
        <v>22</v>
      </c>
    </row>
    <row r="83" spans="1:16">
      <c r="A83" t="s">
        <v>179</v>
      </c>
      <c r="B83">
        <v>195</v>
      </c>
      <c r="C83">
        <v>34</v>
      </c>
      <c r="D83">
        <v>43</v>
      </c>
      <c r="E83">
        <v>177</v>
      </c>
      <c r="F83">
        <v>176</v>
      </c>
      <c r="G83">
        <v>160</v>
      </c>
      <c r="H83">
        <v>342.4</v>
      </c>
      <c r="I83" s="14">
        <v>458.77401453905208</v>
      </c>
      <c r="J83">
        <v>146</v>
      </c>
      <c r="K83">
        <v>75</v>
      </c>
      <c r="L83">
        <v>152</v>
      </c>
      <c r="M83">
        <v>82</v>
      </c>
      <c r="N83" s="143">
        <v>0</v>
      </c>
      <c r="O83" s="143">
        <v>0</v>
      </c>
      <c r="P83">
        <v>-30</v>
      </c>
    </row>
    <row r="84" spans="1:16">
      <c r="A84" t="s">
        <v>118</v>
      </c>
      <c r="B84">
        <v>129</v>
      </c>
      <c r="C84">
        <v>83</v>
      </c>
      <c r="D84">
        <v>154</v>
      </c>
      <c r="E84">
        <v>52</v>
      </c>
      <c r="F84">
        <v>186</v>
      </c>
      <c r="G84">
        <v>159</v>
      </c>
      <c r="H84">
        <v>353.40000000000003</v>
      </c>
      <c r="I84" s="14">
        <v>469.74125641683662</v>
      </c>
      <c r="J84">
        <v>159</v>
      </c>
      <c r="K84">
        <v>86</v>
      </c>
      <c r="L84">
        <v>154</v>
      </c>
      <c r="M84">
        <v>83</v>
      </c>
      <c r="N84" s="143">
        <v>0</v>
      </c>
      <c r="O84" s="143">
        <v>0</v>
      </c>
      <c r="P84">
        <v>-8</v>
      </c>
    </row>
    <row r="85" spans="1:16">
      <c r="A85" t="s">
        <v>13</v>
      </c>
      <c r="B85">
        <v>24</v>
      </c>
      <c r="C85">
        <v>154</v>
      </c>
      <c r="D85">
        <v>152</v>
      </c>
      <c r="E85">
        <v>170</v>
      </c>
      <c r="F85">
        <v>137</v>
      </c>
      <c r="G85">
        <v>150</v>
      </c>
      <c r="H85">
        <v>336.7</v>
      </c>
      <c r="I85" s="14">
        <v>469.75441989250243</v>
      </c>
      <c r="J85">
        <v>141</v>
      </c>
      <c r="K85">
        <v>71</v>
      </c>
      <c r="L85">
        <v>155</v>
      </c>
      <c r="M85">
        <v>84</v>
      </c>
      <c r="N85" s="143">
        <v>0</v>
      </c>
      <c r="O85" s="143">
        <v>0</v>
      </c>
      <c r="P85">
        <v>-19</v>
      </c>
    </row>
    <row r="86" spans="1:16">
      <c r="A86" t="s">
        <v>70</v>
      </c>
      <c r="B86">
        <v>104</v>
      </c>
      <c r="C86">
        <v>174</v>
      </c>
      <c r="D86">
        <v>153</v>
      </c>
      <c r="E86">
        <v>176</v>
      </c>
      <c r="F86">
        <v>32</v>
      </c>
      <c r="G86">
        <v>157</v>
      </c>
      <c r="H86">
        <v>353.29999999999995</v>
      </c>
      <c r="I86" s="14">
        <v>483.67941065115298</v>
      </c>
      <c r="J86">
        <v>158</v>
      </c>
      <c r="K86">
        <v>85</v>
      </c>
      <c r="L86">
        <v>159</v>
      </c>
      <c r="M86">
        <v>85</v>
      </c>
      <c r="N86" s="143">
        <v>0</v>
      </c>
      <c r="O86" s="143">
        <v>0</v>
      </c>
      <c r="P86">
        <v>31</v>
      </c>
    </row>
    <row r="87" spans="1:16">
      <c r="A87" t="s">
        <v>157</v>
      </c>
      <c r="B87">
        <v>132</v>
      </c>
      <c r="C87">
        <v>56</v>
      </c>
      <c r="D87">
        <v>151</v>
      </c>
      <c r="E87">
        <v>87</v>
      </c>
      <c r="F87">
        <v>196</v>
      </c>
      <c r="G87">
        <v>166</v>
      </c>
      <c r="H87">
        <v>358.9</v>
      </c>
      <c r="I87" s="14">
        <v>484.78929728523804</v>
      </c>
      <c r="J87">
        <v>164</v>
      </c>
      <c r="K87">
        <v>91</v>
      </c>
      <c r="L87">
        <v>160</v>
      </c>
      <c r="M87">
        <v>86</v>
      </c>
      <c r="N87" s="143">
        <v>0</v>
      </c>
      <c r="O87" s="143">
        <v>0</v>
      </c>
      <c r="P87">
        <v>10</v>
      </c>
    </row>
    <row r="88" spans="1:16">
      <c r="A88" t="s">
        <v>99</v>
      </c>
      <c r="B88">
        <v>89</v>
      </c>
      <c r="C88">
        <v>100</v>
      </c>
      <c r="D88">
        <v>142</v>
      </c>
      <c r="E88">
        <v>183</v>
      </c>
      <c r="F88">
        <v>128</v>
      </c>
      <c r="G88">
        <v>164</v>
      </c>
      <c r="H88">
        <v>348.9</v>
      </c>
      <c r="I88" s="14">
        <v>488.28010731968715</v>
      </c>
      <c r="J88">
        <v>155</v>
      </c>
      <c r="K88">
        <v>82</v>
      </c>
      <c r="L88">
        <v>161</v>
      </c>
      <c r="M88">
        <v>87</v>
      </c>
      <c r="N88" s="143">
        <v>0</v>
      </c>
      <c r="O88" s="143">
        <v>0</v>
      </c>
      <c r="P88">
        <v>-28</v>
      </c>
    </row>
    <row r="89" spans="1:16">
      <c r="A89" t="s">
        <v>62</v>
      </c>
      <c r="B89">
        <v>98</v>
      </c>
      <c r="C89">
        <v>102</v>
      </c>
      <c r="D89">
        <v>158</v>
      </c>
      <c r="E89">
        <v>111</v>
      </c>
      <c r="F89">
        <v>184</v>
      </c>
      <c r="G89">
        <v>158</v>
      </c>
      <c r="H89">
        <v>366.6</v>
      </c>
      <c r="I89" s="14">
        <v>490.09907672918018</v>
      </c>
      <c r="J89">
        <v>169</v>
      </c>
      <c r="K89">
        <v>93</v>
      </c>
      <c r="L89">
        <v>162</v>
      </c>
      <c r="M89">
        <v>88</v>
      </c>
      <c r="N89" s="143">
        <v>0</v>
      </c>
      <c r="O89" s="143">
        <v>0</v>
      </c>
      <c r="P89">
        <v>31</v>
      </c>
    </row>
    <row r="90" spans="1:16">
      <c r="A90" t="s">
        <v>156</v>
      </c>
      <c r="B90">
        <v>158</v>
      </c>
      <c r="C90">
        <v>51</v>
      </c>
      <c r="D90">
        <v>117</v>
      </c>
      <c r="E90">
        <v>168</v>
      </c>
      <c r="F90">
        <v>145</v>
      </c>
      <c r="G90">
        <v>170</v>
      </c>
      <c r="H90">
        <v>357.7</v>
      </c>
      <c r="I90" s="14">
        <v>491.09564868676216</v>
      </c>
      <c r="J90">
        <v>162</v>
      </c>
      <c r="K90">
        <v>89</v>
      </c>
      <c r="L90">
        <v>163</v>
      </c>
      <c r="M90">
        <v>89</v>
      </c>
      <c r="N90" s="143">
        <v>0</v>
      </c>
      <c r="O90" s="143">
        <v>2.9411764705882353E-2</v>
      </c>
      <c r="P90">
        <v>10</v>
      </c>
    </row>
    <row r="91" spans="1:16">
      <c r="A91" t="s">
        <v>133</v>
      </c>
      <c r="B91">
        <v>169</v>
      </c>
      <c r="C91">
        <v>69</v>
      </c>
      <c r="D91">
        <v>190</v>
      </c>
      <c r="E91">
        <v>65</v>
      </c>
      <c r="F91">
        <v>139</v>
      </c>
      <c r="G91">
        <v>156</v>
      </c>
      <c r="H91">
        <v>381.3</v>
      </c>
      <c r="I91" s="14">
        <v>491.28230313905203</v>
      </c>
      <c r="J91">
        <v>181</v>
      </c>
      <c r="K91">
        <v>104</v>
      </c>
      <c r="L91">
        <v>164</v>
      </c>
      <c r="M91">
        <v>90</v>
      </c>
      <c r="N91" s="143">
        <v>0</v>
      </c>
      <c r="O91" s="143">
        <v>0</v>
      </c>
      <c r="P91">
        <v>-19</v>
      </c>
    </row>
    <row r="92" spans="1:16">
      <c r="A92" t="s">
        <v>81</v>
      </c>
      <c r="B92">
        <v>65</v>
      </c>
      <c r="C92">
        <v>159</v>
      </c>
      <c r="D92">
        <v>136</v>
      </c>
      <c r="E92">
        <v>84</v>
      </c>
      <c r="F92">
        <v>209</v>
      </c>
      <c r="G92">
        <v>168</v>
      </c>
      <c r="H92">
        <v>358.29999999999995</v>
      </c>
      <c r="I92" s="14">
        <v>491.39591313568042</v>
      </c>
      <c r="J92">
        <v>163</v>
      </c>
      <c r="K92">
        <v>90</v>
      </c>
      <c r="L92">
        <v>165</v>
      </c>
      <c r="M92">
        <v>91</v>
      </c>
      <c r="N92" s="143">
        <v>0</v>
      </c>
      <c r="O92" s="143">
        <v>0</v>
      </c>
      <c r="P92">
        <v>-26</v>
      </c>
    </row>
    <row r="93" spans="1:16">
      <c r="A93" t="s">
        <v>86</v>
      </c>
      <c r="B93">
        <v>66</v>
      </c>
      <c r="C93">
        <v>203</v>
      </c>
      <c r="D93">
        <v>196</v>
      </c>
      <c r="E93">
        <v>105</v>
      </c>
      <c r="F93">
        <v>30</v>
      </c>
      <c r="G93">
        <v>175</v>
      </c>
      <c r="H93">
        <v>341.9</v>
      </c>
      <c r="I93" s="14">
        <v>491.57647258720505</v>
      </c>
      <c r="J93">
        <v>145</v>
      </c>
      <c r="K93">
        <v>74</v>
      </c>
      <c r="L93">
        <v>166</v>
      </c>
      <c r="M93">
        <v>92</v>
      </c>
      <c r="N93" s="143">
        <v>0</v>
      </c>
      <c r="O93" s="143">
        <v>0</v>
      </c>
      <c r="P93">
        <v>24</v>
      </c>
    </row>
    <row r="94" spans="1:16">
      <c r="A94" t="s">
        <v>75</v>
      </c>
      <c r="B94">
        <v>105</v>
      </c>
      <c r="C94">
        <v>186</v>
      </c>
      <c r="D94">
        <v>52</v>
      </c>
      <c r="E94">
        <v>125</v>
      </c>
      <c r="F94">
        <v>207</v>
      </c>
      <c r="G94">
        <v>179</v>
      </c>
      <c r="H94">
        <v>356.4</v>
      </c>
      <c r="I94" s="14">
        <v>493.96171783278294</v>
      </c>
      <c r="J94">
        <v>161</v>
      </c>
      <c r="K94">
        <v>88</v>
      </c>
      <c r="L94">
        <v>167</v>
      </c>
      <c r="M94">
        <v>93</v>
      </c>
      <c r="N94" s="143">
        <v>0</v>
      </c>
      <c r="O94" s="143">
        <v>0</v>
      </c>
      <c r="P94">
        <v>16</v>
      </c>
    </row>
    <row r="95" spans="1:16">
      <c r="A95" t="s">
        <v>121</v>
      </c>
      <c r="B95">
        <v>121</v>
      </c>
      <c r="C95">
        <v>110</v>
      </c>
      <c r="D95">
        <v>144</v>
      </c>
      <c r="E95">
        <v>142</v>
      </c>
      <c r="F95">
        <v>149</v>
      </c>
      <c r="G95">
        <v>161</v>
      </c>
      <c r="H95">
        <v>371.8</v>
      </c>
      <c r="I95" s="14">
        <v>497.44749589893297</v>
      </c>
      <c r="J95">
        <v>172</v>
      </c>
      <c r="K95">
        <v>96</v>
      </c>
      <c r="L95">
        <v>168</v>
      </c>
      <c r="M95">
        <v>94</v>
      </c>
      <c r="N95" s="143">
        <v>0</v>
      </c>
      <c r="O95" s="143">
        <v>0</v>
      </c>
      <c r="P95">
        <v>-7</v>
      </c>
    </row>
    <row r="96" spans="1:16">
      <c r="A96" t="s">
        <v>242</v>
      </c>
      <c r="B96">
        <v>190</v>
      </c>
      <c r="C96">
        <v>3</v>
      </c>
      <c r="D96">
        <v>130</v>
      </c>
      <c r="E96">
        <v>192</v>
      </c>
      <c r="F96">
        <v>117</v>
      </c>
      <c r="G96">
        <v>174</v>
      </c>
      <c r="H96">
        <v>360.8</v>
      </c>
      <c r="I96" s="14">
        <v>498.30427794016663</v>
      </c>
      <c r="J96">
        <v>165</v>
      </c>
      <c r="K96">
        <v>92</v>
      </c>
      <c r="L96">
        <v>169</v>
      </c>
      <c r="M96">
        <v>95</v>
      </c>
      <c r="N96" s="143">
        <v>0</v>
      </c>
      <c r="O96" s="143">
        <v>0</v>
      </c>
      <c r="P96">
        <v>32</v>
      </c>
    </row>
    <row r="97" spans="1:16">
      <c r="A97" t="s">
        <v>83</v>
      </c>
      <c r="B97">
        <v>91</v>
      </c>
      <c r="C97">
        <v>153</v>
      </c>
      <c r="D97">
        <v>194</v>
      </c>
      <c r="E97">
        <v>112</v>
      </c>
      <c r="F97">
        <v>58</v>
      </c>
      <c r="G97">
        <v>177</v>
      </c>
      <c r="H97">
        <v>349.8</v>
      </c>
      <c r="I97" s="14">
        <v>498.48279636503997</v>
      </c>
      <c r="J97">
        <v>157</v>
      </c>
      <c r="K97">
        <v>84</v>
      </c>
      <c r="L97">
        <v>170</v>
      </c>
      <c r="M97">
        <v>96</v>
      </c>
      <c r="N97" s="143">
        <v>0</v>
      </c>
      <c r="O97" s="143">
        <v>0</v>
      </c>
      <c r="P97">
        <v>8</v>
      </c>
    </row>
    <row r="98" spans="1:16">
      <c r="A98" t="s">
        <v>160</v>
      </c>
      <c r="B98">
        <v>169</v>
      </c>
      <c r="C98">
        <v>98</v>
      </c>
      <c r="D98">
        <v>160</v>
      </c>
      <c r="E98">
        <v>91</v>
      </c>
      <c r="F98">
        <v>156</v>
      </c>
      <c r="G98">
        <v>153</v>
      </c>
      <c r="H98">
        <v>393.7</v>
      </c>
      <c r="I98" s="14">
        <v>499.24376259073864</v>
      </c>
      <c r="J98">
        <v>187</v>
      </c>
      <c r="K98">
        <v>109</v>
      </c>
      <c r="L98">
        <v>172</v>
      </c>
      <c r="M98">
        <v>97</v>
      </c>
      <c r="N98" s="143">
        <v>0</v>
      </c>
      <c r="O98" s="143">
        <v>3.0303030303030304E-2</v>
      </c>
      <c r="P98">
        <v>-42</v>
      </c>
    </row>
    <row r="99" spans="1:16">
      <c r="A99" t="s">
        <v>12</v>
      </c>
      <c r="B99">
        <v>12</v>
      </c>
      <c r="C99">
        <v>201</v>
      </c>
      <c r="D99">
        <v>169</v>
      </c>
      <c r="E99">
        <v>172</v>
      </c>
      <c r="F99">
        <v>166</v>
      </c>
      <c r="G99">
        <v>142</v>
      </c>
      <c r="H99">
        <v>379</v>
      </c>
      <c r="I99" s="14">
        <v>501.12600595253861</v>
      </c>
      <c r="J99">
        <v>178</v>
      </c>
      <c r="K99">
        <v>102</v>
      </c>
      <c r="L99">
        <v>173</v>
      </c>
      <c r="M99">
        <v>98</v>
      </c>
      <c r="N99" s="143">
        <v>0</v>
      </c>
      <c r="O99" s="143">
        <v>0</v>
      </c>
      <c r="P99">
        <v>-20</v>
      </c>
    </row>
    <row r="100" spans="1:16">
      <c r="A100" t="s">
        <v>171</v>
      </c>
      <c r="B100">
        <v>191</v>
      </c>
      <c r="C100">
        <v>146</v>
      </c>
      <c r="D100">
        <v>121</v>
      </c>
      <c r="E100">
        <v>120</v>
      </c>
      <c r="F100">
        <v>183</v>
      </c>
      <c r="G100">
        <v>129</v>
      </c>
      <c r="H100">
        <v>430.9</v>
      </c>
      <c r="I100" s="14">
        <v>504.91372482211602</v>
      </c>
      <c r="J100">
        <v>205</v>
      </c>
      <c r="K100">
        <v>122</v>
      </c>
      <c r="L100">
        <v>174</v>
      </c>
      <c r="M100">
        <v>99</v>
      </c>
      <c r="N100" s="143">
        <v>0</v>
      </c>
      <c r="O100" s="143">
        <v>0</v>
      </c>
      <c r="P100">
        <v>-98</v>
      </c>
    </row>
    <row r="101" spans="1:16">
      <c r="A101" t="s">
        <v>150</v>
      </c>
      <c r="B101">
        <v>182</v>
      </c>
      <c r="C101">
        <v>68</v>
      </c>
      <c r="D101">
        <v>147</v>
      </c>
      <c r="E101">
        <v>174</v>
      </c>
      <c r="F101">
        <v>97</v>
      </c>
      <c r="G101">
        <v>163</v>
      </c>
      <c r="H101">
        <v>382.4</v>
      </c>
      <c r="I101" s="14">
        <v>506.19644943731487</v>
      </c>
      <c r="J101">
        <v>183</v>
      </c>
      <c r="K101">
        <v>106</v>
      </c>
      <c r="L101">
        <v>176</v>
      </c>
      <c r="M101">
        <v>100</v>
      </c>
      <c r="N101" s="143">
        <v>0</v>
      </c>
      <c r="O101" s="143">
        <v>0</v>
      </c>
      <c r="P101">
        <v>2</v>
      </c>
    </row>
    <row r="102" spans="1:16">
      <c r="A102" t="s">
        <v>190</v>
      </c>
      <c r="B102">
        <v>211</v>
      </c>
      <c r="C102">
        <v>48</v>
      </c>
      <c r="D102">
        <v>178</v>
      </c>
      <c r="E102">
        <v>123</v>
      </c>
      <c r="F102">
        <v>63</v>
      </c>
      <c r="G102">
        <v>178</v>
      </c>
      <c r="H102">
        <v>376.99999999999994</v>
      </c>
      <c r="I102" s="14">
        <v>510.65994331970512</v>
      </c>
      <c r="J102">
        <v>175</v>
      </c>
      <c r="K102">
        <v>99</v>
      </c>
      <c r="L102">
        <v>177</v>
      </c>
      <c r="M102">
        <v>101</v>
      </c>
      <c r="N102" s="143">
        <v>0</v>
      </c>
      <c r="O102" s="143">
        <v>6.25E-2</v>
      </c>
      <c r="P102">
        <v>13</v>
      </c>
    </row>
    <row r="103" spans="1:16">
      <c r="A103" t="s">
        <v>176</v>
      </c>
      <c r="B103">
        <v>197</v>
      </c>
      <c r="C103">
        <v>58</v>
      </c>
      <c r="D103">
        <v>212</v>
      </c>
      <c r="E103">
        <v>90</v>
      </c>
      <c r="F103">
        <v>55</v>
      </c>
      <c r="G103">
        <v>180</v>
      </c>
      <c r="H103">
        <v>378.79999999999995</v>
      </c>
      <c r="I103" s="14">
        <v>514.92396856844664</v>
      </c>
      <c r="J103">
        <v>177</v>
      </c>
      <c r="K103">
        <v>101</v>
      </c>
      <c r="L103">
        <v>178</v>
      </c>
      <c r="M103">
        <v>102</v>
      </c>
      <c r="N103" s="143">
        <v>0</v>
      </c>
      <c r="O103" s="143">
        <v>0</v>
      </c>
      <c r="P103">
        <v>-31</v>
      </c>
    </row>
    <row r="104" spans="1:16">
      <c r="A104" t="s">
        <v>148</v>
      </c>
      <c r="B104">
        <v>172</v>
      </c>
      <c r="C104">
        <v>117</v>
      </c>
      <c r="D104">
        <v>129</v>
      </c>
      <c r="E104">
        <v>169</v>
      </c>
      <c r="F104">
        <v>116</v>
      </c>
      <c r="G104">
        <v>169</v>
      </c>
      <c r="H104">
        <v>394.8</v>
      </c>
      <c r="I104" s="14">
        <v>521.78507991493632</v>
      </c>
      <c r="J104">
        <v>188</v>
      </c>
      <c r="K104">
        <v>110</v>
      </c>
      <c r="L104">
        <v>179</v>
      </c>
      <c r="M104">
        <v>103</v>
      </c>
      <c r="N104" s="143">
        <v>0</v>
      </c>
      <c r="O104" s="143">
        <v>0</v>
      </c>
      <c r="P104">
        <v>-24</v>
      </c>
    </row>
    <row r="105" spans="1:16">
      <c r="A105" t="s">
        <v>50</v>
      </c>
      <c r="B105">
        <v>77</v>
      </c>
      <c r="C105">
        <v>182</v>
      </c>
      <c r="D105">
        <v>108</v>
      </c>
      <c r="E105">
        <v>127</v>
      </c>
      <c r="F105">
        <v>204</v>
      </c>
      <c r="G105">
        <v>185</v>
      </c>
      <c r="H105">
        <v>373.3</v>
      </c>
      <c r="I105" s="14">
        <v>522.42546334327858</v>
      </c>
      <c r="J105">
        <v>173</v>
      </c>
      <c r="K105">
        <v>97</v>
      </c>
      <c r="L105">
        <v>180</v>
      </c>
      <c r="M105">
        <v>104</v>
      </c>
      <c r="N105" s="143">
        <v>0</v>
      </c>
      <c r="O105" s="143">
        <v>0</v>
      </c>
      <c r="P105">
        <v>-16</v>
      </c>
    </row>
    <row r="106" spans="1:16">
      <c r="A106" t="s">
        <v>78</v>
      </c>
      <c r="B106">
        <v>74</v>
      </c>
      <c r="C106">
        <v>161</v>
      </c>
      <c r="D106">
        <v>192</v>
      </c>
      <c r="E106">
        <v>79</v>
      </c>
      <c r="F106">
        <v>180</v>
      </c>
      <c r="G106">
        <v>172</v>
      </c>
      <c r="H106">
        <v>388.3</v>
      </c>
      <c r="I106" s="14">
        <v>524.62976263350106</v>
      </c>
      <c r="J106">
        <v>185</v>
      </c>
      <c r="K106">
        <v>107</v>
      </c>
      <c r="L106">
        <v>182</v>
      </c>
      <c r="M106">
        <v>105</v>
      </c>
      <c r="N106" s="143">
        <v>0</v>
      </c>
      <c r="O106" s="143">
        <v>0</v>
      </c>
      <c r="P106">
        <v>-2</v>
      </c>
    </row>
    <row r="107" spans="1:16">
      <c r="A107" t="s">
        <v>180</v>
      </c>
      <c r="B107">
        <v>194</v>
      </c>
      <c r="C107">
        <v>49</v>
      </c>
      <c r="D107">
        <v>180</v>
      </c>
      <c r="E107">
        <v>204</v>
      </c>
      <c r="F107">
        <v>11</v>
      </c>
      <c r="G107">
        <v>187</v>
      </c>
      <c r="H107">
        <v>373.4</v>
      </c>
      <c r="I107" s="14">
        <v>527.35534506523027</v>
      </c>
      <c r="J107">
        <v>174</v>
      </c>
      <c r="K107">
        <v>98</v>
      </c>
      <c r="L107">
        <v>183</v>
      </c>
      <c r="M107">
        <v>106</v>
      </c>
      <c r="N107" s="143">
        <v>0</v>
      </c>
      <c r="O107" s="143">
        <v>0</v>
      </c>
      <c r="P107">
        <v>-16</v>
      </c>
    </row>
    <row r="108" spans="1:16">
      <c r="A108" t="s">
        <v>57</v>
      </c>
      <c r="B108">
        <v>55</v>
      </c>
      <c r="C108">
        <v>211</v>
      </c>
      <c r="D108">
        <v>202</v>
      </c>
      <c r="E108">
        <v>64</v>
      </c>
      <c r="F108">
        <v>119</v>
      </c>
      <c r="G108">
        <v>201</v>
      </c>
      <c r="H108">
        <v>370.5</v>
      </c>
      <c r="I108" s="14">
        <v>539.37853840820958</v>
      </c>
      <c r="J108">
        <v>171</v>
      </c>
      <c r="K108">
        <v>95</v>
      </c>
      <c r="L108">
        <v>184</v>
      </c>
      <c r="M108">
        <v>107</v>
      </c>
      <c r="N108" s="143">
        <v>0</v>
      </c>
      <c r="O108" s="143">
        <v>0</v>
      </c>
      <c r="P108">
        <v>1</v>
      </c>
    </row>
    <row r="109" spans="1:16">
      <c r="A109" t="s">
        <v>84</v>
      </c>
      <c r="B109">
        <v>72</v>
      </c>
      <c r="C109">
        <v>157</v>
      </c>
      <c r="D109">
        <v>177</v>
      </c>
      <c r="E109">
        <v>178</v>
      </c>
      <c r="F109">
        <v>106</v>
      </c>
      <c r="G109">
        <v>191</v>
      </c>
      <c r="H109">
        <v>377</v>
      </c>
      <c r="I109" s="14">
        <v>543.67684977633121</v>
      </c>
      <c r="J109">
        <v>176</v>
      </c>
      <c r="K109">
        <v>100</v>
      </c>
      <c r="L109">
        <v>186</v>
      </c>
      <c r="M109">
        <v>108</v>
      </c>
      <c r="N109" s="143" t="e">
        <v>#N/A</v>
      </c>
      <c r="O109" s="143" t="e">
        <v>#N/A</v>
      </c>
      <c r="P109">
        <v>-27</v>
      </c>
    </row>
    <row r="110" spans="1:16">
      <c r="A110" t="s">
        <v>31</v>
      </c>
      <c r="B110">
        <v>37</v>
      </c>
      <c r="C110">
        <v>133</v>
      </c>
      <c r="D110">
        <v>157</v>
      </c>
      <c r="E110">
        <v>185</v>
      </c>
      <c r="F110">
        <v>208</v>
      </c>
      <c r="G110">
        <v>189</v>
      </c>
      <c r="H110">
        <v>380.3</v>
      </c>
      <c r="I110" s="14">
        <v>547.14904304938113</v>
      </c>
      <c r="J110">
        <v>180</v>
      </c>
      <c r="K110">
        <v>103</v>
      </c>
      <c r="L110">
        <v>187</v>
      </c>
      <c r="M110">
        <v>109</v>
      </c>
      <c r="N110" s="143">
        <v>0</v>
      </c>
      <c r="O110" s="143">
        <v>0</v>
      </c>
      <c r="P110">
        <v>-27</v>
      </c>
    </row>
    <row r="111" spans="1:16">
      <c r="A111" t="s">
        <v>7</v>
      </c>
      <c r="B111">
        <v>2</v>
      </c>
      <c r="C111">
        <v>209</v>
      </c>
      <c r="D111">
        <v>135</v>
      </c>
      <c r="E111">
        <v>207</v>
      </c>
      <c r="F111">
        <v>197</v>
      </c>
      <c r="G111">
        <v>190</v>
      </c>
      <c r="H111">
        <v>381.70000000000005</v>
      </c>
      <c r="I111" s="14">
        <v>553.39279220193885</v>
      </c>
      <c r="J111">
        <v>182</v>
      </c>
      <c r="K111">
        <v>105</v>
      </c>
      <c r="L111">
        <v>188</v>
      </c>
      <c r="M111">
        <v>110</v>
      </c>
      <c r="N111" s="143">
        <v>0</v>
      </c>
      <c r="O111" s="143">
        <v>0</v>
      </c>
      <c r="P111">
        <v>-11</v>
      </c>
    </row>
    <row r="112" spans="1:16">
      <c r="A112" t="s">
        <v>245</v>
      </c>
      <c r="B112">
        <v>203</v>
      </c>
      <c r="C112">
        <v>175</v>
      </c>
      <c r="D112">
        <v>208</v>
      </c>
      <c r="E112">
        <v>67</v>
      </c>
      <c r="F112">
        <v>37</v>
      </c>
      <c r="G112">
        <v>188</v>
      </c>
      <c r="H112">
        <v>420.5</v>
      </c>
      <c r="I112" s="14">
        <v>555.35005342563647</v>
      </c>
      <c r="J112">
        <v>197</v>
      </c>
      <c r="K112">
        <v>115</v>
      </c>
      <c r="L112">
        <v>190</v>
      </c>
      <c r="M112">
        <v>111</v>
      </c>
      <c r="N112" s="143">
        <v>0</v>
      </c>
      <c r="O112" s="143">
        <v>0</v>
      </c>
      <c r="P112">
        <v>-5</v>
      </c>
    </row>
    <row r="113" spans="1:16">
      <c r="A113" t="s">
        <v>138</v>
      </c>
      <c r="B113">
        <v>94</v>
      </c>
      <c r="C113">
        <v>197</v>
      </c>
      <c r="D113">
        <v>127</v>
      </c>
      <c r="E113">
        <v>140</v>
      </c>
      <c r="F113">
        <v>181</v>
      </c>
      <c r="G113">
        <v>194</v>
      </c>
      <c r="H113">
        <v>399.7</v>
      </c>
      <c r="I113" s="14">
        <v>555.53038167219302</v>
      </c>
      <c r="J113">
        <v>189</v>
      </c>
      <c r="K113">
        <v>111</v>
      </c>
      <c r="L113">
        <v>191</v>
      </c>
      <c r="M113">
        <v>112</v>
      </c>
      <c r="N113" s="143">
        <v>0</v>
      </c>
      <c r="O113" s="143">
        <v>0</v>
      </c>
      <c r="P113">
        <v>-17</v>
      </c>
    </row>
    <row r="114" spans="1:16">
      <c r="A114" t="s">
        <v>25</v>
      </c>
      <c r="B114">
        <v>56</v>
      </c>
      <c r="C114">
        <v>85</v>
      </c>
      <c r="D114">
        <v>197</v>
      </c>
      <c r="E114">
        <v>191</v>
      </c>
      <c r="F114">
        <v>191</v>
      </c>
      <c r="G114">
        <v>192</v>
      </c>
      <c r="H114">
        <v>391.5</v>
      </c>
      <c r="I114" s="14">
        <v>562.010337104982</v>
      </c>
      <c r="J114">
        <v>186</v>
      </c>
      <c r="K114">
        <v>108</v>
      </c>
      <c r="L114">
        <v>192</v>
      </c>
      <c r="M114">
        <v>113</v>
      </c>
      <c r="N114" s="143">
        <v>0</v>
      </c>
      <c r="O114" s="143">
        <v>0</v>
      </c>
      <c r="P114">
        <v>-18</v>
      </c>
    </row>
    <row r="115" spans="1:16">
      <c r="A115" t="s">
        <v>248</v>
      </c>
      <c r="B115">
        <v>146</v>
      </c>
      <c r="C115">
        <v>171</v>
      </c>
      <c r="D115">
        <v>191</v>
      </c>
      <c r="E115">
        <v>165</v>
      </c>
      <c r="F115">
        <v>59</v>
      </c>
      <c r="G115">
        <v>184</v>
      </c>
      <c r="H115">
        <v>416.9</v>
      </c>
      <c r="I115" s="14">
        <v>563.3507515591948</v>
      </c>
      <c r="J115">
        <v>196</v>
      </c>
      <c r="K115">
        <v>114</v>
      </c>
      <c r="L115">
        <v>193</v>
      </c>
      <c r="M115">
        <v>114</v>
      </c>
      <c r="N115" s="143">
        <v>0</v>
      </c>
      <c r="O115" s="143">
        <v>0</v>
      </c>
      <c r="P115">
        <v>20</v>
      </c>
    </row>
    <row r="116" spans="1:16">
      <c r="A116" t="s">
        <v>153</v>
      </c>
      <c r="B116">
        <v>166</v>
      </c>
      <c r="C116">
        <v>142</v>
      </c>
      <c r="D116">
        <v>204</v>
      </c>
      <c r="E116">
        <v>181</v>
      </c>
      <c r="F116">
        <v>39</v>
      </c>
      <c r="G116">
        <v>182</v>
      </c>
      <c r="H116">
        <v>421.9</v>
      </c>
      <c r="I116" s="14">
        <v>566.52699704995996</v>
      </c>
      <c r="J116">
        <v>198</v>
      </c>
      <c r="K116">
        <v>116</v>
      </c>
      <c r="L116">
        <v>194</v>
      </c>
      <c r="M116">
        <v>115</v>
      </c>
      <c r="N116" s="143">
        <v>0</v>
      </c>
      <c r="O116" s="143">
        <v>0</v>
      </c>
      <c r="P116">
        <v>27</v>
      </c>
    </row>
    <row r="117" spans="1:16">
      <c r="A117" t="s">
        <v>37</v>
      </c>
      <c r="B117">
        <v>58</v>
      </c>
      <c r="C117">
        <v>206</v>
      </c>
      <c r="D117">
        <v>186</v>
      </c>
      <c r="E117">
        <v>199</v>
      </c>
      <c r="F117">
        <v>114</v>
      </c>
      <c r="G117">
        <v>186</v>
      </c>
      <c r="H117">
        <v>410.4</v>
      </c>
      <c r="I117" s="14">
        <v>571.97123223108122</v>
      </c>
      <c r="J117">
        <v>192</v>
      </c>
      <c r="K117">
        <v>112</v>
      </c>
      <c r="L117">
        <v>195</v>
      </c>
      <c r="M117">
        <v>116</v>
      </c>
      <c r="N117" s="143">
        <v>0</v>
      </c>
      <c r="O117" s="143">
        <v>0</v>
      </c>
      <c r="P117">
        <v>11</v>
      </c>
    </row>
    <row r="118" spans="1:16">
      <c r="A118" t="s">
        <v>111</v>
      </c>
      <c r="B118">
        <v>125</v>
      </c>
      <c r="C118">
        <v>173</v>
      </c>
      <c r="D118">
        <v>183</v>
      </c>
      <c r="E118">
        <v>44</v>
      </c>
      <c r="F118">
        <v>212</v>
      </c>
      <c r="G118">
        <v>205</v>
      </c>
      <c r="H118">
        <v>425.70000000000005</v>
      </c>
      <c r="I118" s="14">
        <v>580.09141768837571</v>
      </c>
      <c r="J118">
        <v>201</v>
      </c>
      <c r="K118">
        <v>119</v>
      </c>
      <c r="L118">
        <v>199</v>
      </c>
      <c r="M118">
        <v>117</v>
      </c>
      <c r="N118" s="143" t="e">
        <v>#N/A</v>
      </c>
      <c r="O118" s="143" t="e">
        <v>#N/A</v>
      </c>
      <c r="P118">
        <v>-14</v>
      </c>
    </row>
    <row r="119" spans="1:16">
      <c r="A119" t="s">
        <v>136</v>
      </c>
      <c r="B119">
        <v>152</v>
      </c>
      <c r="C119">
        <v>112</v>
      </c>
      <c r="D119">
        <v>140</v>
      </c>
      <c r="E119">
        <v>193</v>
      </c>
      <c r="F119">
        <v>174</v>
      </c>
      <c r="G119">
        <v>198</v>
      </c>
      <c r="H119">
        <v>424.59999999999997</v>
      </c>
      <c r="I119" s="14">
        <v>582.1198291673802</v>
      </c>
      <c r="J119">
        <v>200</v>
      </c>
      <c r="K119">
        <v>118</v>
      </c>
      <c r="L119">
        <v>200</v>
      </c>
      <c r="M119">
        <v>118</v>
      </c>
      <c r="N119" s="143">
        <v>0</v>
      </c>
      <c r="O119" s="143">
        <v>0</v>
      </c>
      <c r="P119">
        <v>-3</v>
      </c>
    </row>
    <row r="120" spans="1:16">
      <c r="A120" t="s">
        <v>243</v>
      </c>
      <c r="B120">
        <v>132</v>
      </c>
      <c r="C120">
        <v>157</v>
      </c>
      <c r="D120">
        <v>213</v>
      </c>
      <c r="E120">
        <v>15</v>
      </c>
      <c r="F120">
        <v>194</v>
      </c>
      <c r="G120">
        <v>211</v>
      </c>
      <c r="H120">
        <v>423</v>
      </c>
      <c r="I120" s="14">
        <v>582.45062174733323</v>
      </c>
      <c r="J120">
        <v>199</v>
      </c>
      <c r="K120">
        <v>117</v>
      </c>
      <c r="L120">
        <v>201</v>
      </c>
      <c r="M120">
        <v>119</v>
      </c>
      <c r="N120" s="143" t="e">
        <v>#N/A</v>
      </c>
      <c r="O120" s="143" t="e">
        <v>#N/A</v>
      </c>
      <c r="P120" t="e">
        <v>#N/A</v>
      </c>
    </row>
    <row r="121" spans="1:16">
      <c r="A121" t="s">
        <v>222</v>
      </c>
      <c r="B121">
        <v>207</v>
      </c>
      <c r="C121">
        <v>70</v>
      </c>
      <c r="D121">
        <v>106</v>
      </c>
      <c r="E121">
        <v>213</v>
      </c>
      <c r="F121">
        <v>182</v>
      </c>
      <c r="G121">
        <v>212</v>
      </c>
      <c r="H121">
        <v>430.29999999999995</v>
      </c>
      <c r="I121" s="14">
        <v>594.75236099143513</v>
      </c>
      <c r="J121">
        <v>204</v>
      </c>
      <c r="K121">
        <v>121</v>
      </c>
      <c r="L121">
        <v>203</v>
      </c>
      <c r="M121">
        <v>120</v>
      </c>
      <c r="N121" s="143">
        <v>0</v>
      </c>
      <c r="O121" s="143">
        <v>0</v>
      </c>
      <c r="P121" t="e">
        <v>#N/A</v>
      </c>
    </row>
    <row r="122" spans="1:16">
      <c r="A122" t="s">
        <v>221</v>
      </c>
      <c r="B122">
        <v>48</v>
      </c>
      <c r="C122">
        <v>136</v>
      </c>
      <c r="D122">
        <v>211</v>
      </c>
      <c r="E122">
        <v>147</v>
      </c>
      <c r="F122">
        <v>213</v>
      </c>
      <c r="G122">
        <v>213</v>
      </c>
      <c r="H122">
        <v>414.59999999999997</v>
      </c>
      <c r="I122" s="14">
        <v>600.09068118477194</v>
      </c>
      <c r="J122">
        <v>195</v>
      </c>
      <c r="K122">
        <v>113</v>
      </c>
      <c r="L122">
        <v>204</v>
      </c>
      <c r="M122">
        <v>121</v>
      </c>
      <c r="N122" s="143" t="e">
        <v>#N/A</v>
      </c>
      <c r="O122" s="143" t="e">
        <v>#N/A</v>
      </c>
      <c r="P122">
        <v>-2</v>
      </c>
    </row>
    <row r="123" spans="1:16">
      <c r="A123" t="s">
        <v>61</v>
      </c>
      <c r="B123">
        <v>90</v>
      </c>
      <c r="C123">
        <v>186</v>
      </c>
      <c r="D123">
        <v>179</v>
      </c>
      <c r="E123">
        <v>201</v>
      </c>
      <c r="F123">
        <v>154</v>
      </c>
      <c r="G123">
        <v>195</v>
      </c>
      <c r="H123">
        <v>438.70000000000005</v>
      </c>
      <c r="I123" s="14">
        <v>601.77105670644323</v>
      </c>
      <c r="J123">
        <v>206</v>
      </c>
      <c r="K123">
        <v>123</v>
      </c>
      <c r="L123">
        <v>205</v>
      </c>
      <c r="M123">
        <v>122</v>
      </c>
      <c r="N123" s="143">
        <v>0</v>
      </c>
      <c r="O123" s="143">
        <v>0</v>
      </c>
      <c r="P123">
        <v>-47</v>
      </c>
    </row>
    <row r="124" spans="1:16">
      <c r="A124" t="s">
        <v>94</v>
      </c>
      <c r="B124">
        <v>128</v>
      </c>
      <c r="C124">
        <v>205</v>
      </c>
      <c r="D124">
        <v>207</v>
      </c>
      <c r="E124">
        <v>187</v>
      </c>
      <c r="F124">
        <v>67</v>
      </c>
      <c r="G124">
        <v>193</v>
      </c>
      <c r="H124">
        <v>445.3</v>
      </c>
      <c r="I124" s="14">
        <v>602.45824863796201</v>
      </c>
      <c r="J124">
        <v>207</v>
      </c>
      <c r="K124">
        <v>124</v>
      </c>
      <c r="L124">
        <v>207</v>
      </c>
      <c r="M124">
        <v>123</v>
      </c>
      <c r="N124" s="143">
        <v>0</v>
      </c>
      <c r="O124" s="143">
        <v>0</v>
      </c>
      <c r="P124">
        <v>-25</v>
      </c>
    </row>
    <row r="125" spans="1:16">
      <c r="A125" t="s">
        <v>43</v>
      </c>
      <c r="B125">
        <v>35</v>
      </c>
      <c r="C125">
        <v>212</v>
      </c>
      <c r="D125">
        <v>182</v>
      </c>
      <c r="E125">
        <v>196</v>
      </c>
      <c r="F125">
        <v>185</v>
      </c>
      <c r="G125">
        <v>204</v>
      </c>
      <c r="H125">
        <v>428.79999999999995</v>
      </c>
      <c r="I125" s="14">
        <v>607.50986337981908</v>
      </c>
      <c r="J125">
        <v>203</v>
      </c>
      <c r="K125">
        <v>120</v>
      </c>
      <c r="L125">
        <v>208</v>
      </c>
      <c r="M125">
        <v>124</v>
      </c>
      <c r="N125" s="143">
        <v>0</v>
      </c>
      <c r="O125" s="143">
        <v>0</v>
      </c>
      <c r="P125">
        <v>-20</v>
      </c>
    </row>
    <row r="126" spans="1:16">
      <c r="A126" t="s">
        <v>120</v>
      </c>
      <c r="B126">
        <v>166</v>
      </c>
      <c r="C126">
        <v>172</v>
      </c>
      <c r="D126">
        <v>96</v>
      </c>
      <c r="E126">
        <v>209</v>
      </c>
      <c r="F126">
        <v>195</v>
      </c>
      <c r="G126">
        <v>209</v>
      </c>
      <c r="H126">
        <v>450.5</v>
      </c>
      <c r="I126" s="14">
        <v>611.98549698791396</v>
      </c>
      <c r="J126">
        <v>208</v>
      </c>
      <c r="K126">
        <v>125</v>
      </c>
      <c r="L126">
        <v>209</v>
      </c>
      <c r="M126">
        <v>125</v>
      </c>
      <c r="N126" s="143" t="e">
        <v>#N/A</v>
      </c>
      <c r="O126" s="143" t="e">
        <v>#N/A</v>
      </c>
      <c r="P126">
        <v>-74</v>
      </c>
    </row>
    <row r="127" spans="1:16">
      <c r="A127" t="s">
        <v>169</v>
      </c>
      <c r="B127">
        <v>198</v>
      </c>
      <c r="C127">
        <v>143</v>
      </c>
      <c r="D127">
        <v>205</v>
      </c>
      <c r="E127">
        <v>78</v>
      </c>
      <c r="F127">
        <v>165</v>
      </c>
      <c r="G127">
        <v>206</v>
      </c>
      <c r="H127">
        <v>467.3</v>
      </c>
      <c r="I127" s="14">
        <v>615.21600320905645</v>
      </c>
      <c r="J127">
        <v>211.5</v>
      </c>
      <c r="K127">
        <v>127</v>
      </c>
      <c r="L127">
        <v>210</v>
      </c>
      <c r="M127">
        <v>126</v>
      </c>
      <c r="N127" s="143">
        <v>0</v>
      </c>
      <c r="O127" s="143">
        <v>2.7027027027027029E-2</v>
      </c>
      <c r="P127">
        <v>-5</v>
      </c>
    </row>
    <row r="128" spans="1:16">
      <c r="A128" t="s">
        <v>173</v>
      </c>
      <c r="B128">
        <v>180</v>
      </c>
      <c r="C128">
        <v>115</v>
      </c>
      <c r="D128">
        <v>201</v>
      </c>
      <c r="E128">
        <v>94</v>
      </c>
      <c r="F128">
        <v>211</v>
      </c>
      <c r="G128">
        <v>210</v>
      </c>
      <c r="H128">
        <v>467.3</v>
      </c>
      <c r="I128" s="14">
        <v>622.47898370634277</v>
      </c>
      <c r="J128">
        <v>211.5</v>
      </c>
      <c r="K128">
        <v>126</v>
      </c>
      <c r="L128">
        <v>212</v>
      </c>
      <c r="M128">
        <v>127</v>
      </c>
      <c r="N128" s="143">
        <v>0</v>
      </c>
      <c r="O128" s="143">
        <v>0</v>
      </c>
      <c r="P128" t="e">
        <v>#N/A</v>
      </c>
    </row>
    <row r="129" spans="1:16">
      <c r="A129" t="s">
        <v>219</v>
      </c>
      <c r="B129">
        <v>195</v>
      </c>
      <c r="C129">
        <v>107</v>
      </c>
      <c r="D129">
        <v>202</v>
      </c>
      <c r="E129">
        <v>206</v>
      </c>
      <c r="F129">
        <v>157</v>
      </c>
      <c r="G129">
        <v>207</v>
      </c>
      <c r="H129">
        <v>492.29999999999995</v>
      </c>
      <c r="I129" s="14">
        <v>651.92878199600045</v>
      </c>
      <c r="J129">
        <v>213</v>
      </c>
      <c r="K129">
        <v>128</v>
      </c>
      <c r="L129">
        <v>213</v>
      </c>
      <c r="M129">
        <v>128</v>
      </c>
      <c r="N129" s="143">
        <v>0</v>
      </c>
      <c r="O129" s="143">
        <v>0</v>
      </c>
      <c r="P129" t="e">
        <v>#N/A</v>
      </c>
    </row>
  </sheetData>
  <autoFilter ref="A1:S129" xr:uid="{FE4BF24C-8AB4-4AD9-B2BE-5159F7BEF651}">
    <sortState xmlns:xlrd2="http://schemas.microsoft.com/office/spreadsheetml/2017/richdata2" ref="A2:S129">
      <sortCondition ref="I1:I129"/>
    </sortState>
  </autoFilter>
  <conditionalFormatting sqref="N2:O1048576">
    <cfRule type="cellIs" dxfId="139" priority="12" operator="greaterThanOrEqual">
      <formula>20%</formula>
    </cfRule>
    <cfRule type="cellIs" dxfId="138" priority="13" operator="between">
      <formula>10%</formula>
      <formula>20%</formula>
    </cfRule>
    <cfRule type="cellIs" dxfId="137" priority="15" operator="between">
      <formula>0.01%</formula>
      <formula>10%</formula>
    </cfRule>
  </conditionalFormatting>
  <conditionalFormatting sqref="B1:F1 B2:G1048576 J1:J1048576">
    <cfRule type="cellIs" dxfId="136" priority="17" operator="between">
      <formula>101</formula>
      <formula>250</formula>
    </cfRule>
    <cfRule type="cellIs" dxfId="135" priority="18" operator="between">
      <formula>51</formula>
      <formula>100.5</formula>
    </cfRule>
    <cfRule type="cellIs" dxfId="134" priority="19" operator="between">
      <formula>21</formula>
      <formula>50.5</formula>
    </cfRule>
    <cfRule type="cellIs" dxfId="133"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58632-0984-4A11-9CA9-B606612DD646}">
  <sheetPr codeName="Sheet49">
    <tabColor rgb="FFFF0000"/>
  </sheetPr>
  <dimension ref="A1:V124"/>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20" t="s">
        <v>66</v>
      </c>
      <c r="B2">
        <v>57</v>
      </c>
      <c r="C2">
        <v>26</v>
      </c>
      <c r="D2">
        <v>13</v>
      </c>
      <c r="E2">
        <v>25</v>
      </c>
      <c r="F2">
        <v>22</v>
      </c>
      <c r="G2">
        <v>5</v>
      </c>
      <c r="H2">
        <v>91.3</v>
      </c>
      <c r="I2" s="14">
        <v>74.677305180723238</v>
      </c>
      <c r="J2">
        <v>2</v>
      </c>
      <c r="K2">
        <v>2</v>
      </c>
      <c r="L2">
        <v>1</v>
      </c>
      <c r="M2">
        <v>1</v>
      </c>
      <c r="N2" s="143">
        <v>0.08</v>
      </c>
      <c r="O2" s="143">
        <v>0.12</v>
      </c>
      <c r="P2">
        <v>9</v>
      </c>
    </row>
    <row r="3" spans="1:22">
      <c r="A3" s="20" t="s">
        <v>15</v>
      </c>
      <c r="B3">
        <v>7</v>
      </c>
      <c r="C3">
        <v>38</v>
      </c>
      <c r="D3">
        <v>32</v>
      </c>
      <c r="E3">
        <v>26</v>
      </c>
      <c r="F3">
        <v>42</v>
      </c>
      <c r="G3">
        <v>4</v>
      </c>
      <c r="H3">
        <v>82.199999999999989</v>
      </c>
      <c r="I3" s="14">
        <v>75.920733727424036</v>
      </c>
      <c r="J3">
        <v>1</v>
      </c>
      <c r="K3">
        <v>1</v>
      </c>
      <c r="L3">
        <v>2</v>
      </c>
      <c r="M3">
        <v>2</v>
      </c>
      <c r="N3" s="143">
        <v>0.1</v>
      </c>
      <c r="O3" s="143">
        <v>0.2</v>
      </c>
      <c r="P3">
        <v>0</v>
      </c>
    </row>
    <row r="4" spans="1:22">
      <c r="A4" s="136" t="s">
        <v>85</v>
      </c>
      <c r="B4">
        <v>105</v>
      </c>
      <c r="C4">
        <v>31</v>
      </c>
      <c r="D4">
        <v>22</v>
      </c>
      <c r="E4">
        <v>1</v>
      </c>
      <c r="F4">
        <v>7</v>
      </c>
      <c r="G4">
        <v>1</v>
      </c>
      <c r="H4">
        <v>121.9</v>
      </c>
      <c r="I4" s="14">
        <v>85.762536202189722</v>
      </c>
      <c r="J4">
        <v>4</v>
      </c>
      <c r="K4">
        <v>4</v>
      </c>
      <c r="L4">
        <v>3</v>
      </c>
      <c r="M4">
        <v>3</v>
      </c>
      <c r="N4" s="143">
        <v>0</v>
      </c>
      <c r="O4" s="143">
        <v>4.7619047619047616E-2</v>
      </c>
      <c r="P4">
        <v>3</v>
      </c>
    </row>
    <row r="5" spans="1:22">
      <c r="A5" s="137" t="s">
        <v>69</v>
      </c>
      <c r="B5">
        <v>77</v>
      </c>
      <c r="C5">
        <v>36</v>
      </c>
      <c r="D5">
        <v>8</v>
      </c>
      <c r="E5">
        <v>63</v>
      </c>
      <c r="F5">
        <v>8</v>
      </c>
      <c r="G5">
        <v>2</v>
      </c>
      <c r="H5">
        <v>118</v>
      </c>
      <c r="I5" s="14">
        <v>93.836329552393934</v>
      </c>
      <c r="J5">
        <v>3</v>
      </c>
      <c r="K5">
        <v>3</v>
      </c>
      <c r="L5">
        <v>4</v>
      </c>
      <c r="M5">
        <v>4</v>
      </c>
      <c r="N5" s="143">
        <v>4.1666666666666664E-2</v>
      </c>
      <c r="O5" s="143">
        <v>0.125</v>
      </c>
      <c r="P5">
        <v>-1</v>
      </c>
    </row>
    <row r="6" spans="1:22">
      <c r="A6" t="s">
        <v>68</v>
      </c>
      <c r="B6">
        <v>59</v>
      </c>
      <c r="C6">
        <v>23</v>
      </c>
      <c r="D6">
        <v>16</v>
      </c>
      <c r="E6">
        <v>101</v>
      </c>
      <c r="F6">
        <v>39</v>
      </c>
      <c r="G6">
        <v>9</v>
      </c>
      <c r="H6">
        <v>132.10000000000002</v>
      </c>
      <c r="I6" s="14">
        <v>122.38102252425124</v>
      </c>
      <c r="J6">
        <v>5</v>
      </c>
      <c r="K6">
        <v>5</v>
      </c>
      <c r="L6">
        <v>6</v>
      </c>
      <c r="M6">
        <v>5</v>
      </c>
      <c r="N6" s="143">
        <v>0</v>
      </c>
      <c r="O6" s="143">
        <v>8.3333333333333329E-2</v>
      </c>
      <c r="P6">
        <v>9</v>
      </c>
    </row>
    <row r="7" spans="1:22">
      <c r="A7" t="s">
        <v>73</v>
      </c>
      <c r="B7">
        <v>67</v>
      </c>
      <c r="C7">
        <v>160</v>
      </c>
      <c r="D7">
        <v>15</v>
      </c>
      <c r="E7">
        <v>5</v>
      </c>
      <c r="F7">
        <v>13</v>
      </c>
      <c r="G7">
        <v>3</v>
      </c>
      <c r="H7">
        <v>168.6</v>
      </c>
      <c r="I7" s="14">
        <v>123.82512230427785</v>
      </c>
      <c r="J7">
        <v>9</v>
      </c>
      <c r="K7">
        <v>8</v>
      </c>
      <c r="L7">
        <v>7</v>
      </c>
      <c r="M7">
        <v>6</v>
      </c>
      <c r="N7" s="143">
        <v>0</v>
      </c>
      <c r="O7" s="143">
        <v>8.6956521739130432E-2</v>
      </c>
      <c r="P7" t="e">
        <v>#N/A</v>
      </c>
    </row>
    <row r="8" spans="1:22">
      <c r="A8" t="s">
        <v>124</v>
      </c>
      <c r="B8">
        <v>131</v>
      </c>
      <c r="C8">
        <v>3</v>
      </c>
      <c r="D8">
        <v>4</v>
      </c>
      <c r="E8">
        <v>22</v>
      </c>
      <c r="F8">
        <v>118</v>
      </c>
      <c r="G8">
        <v>8</v>
      </c>
      <c r="H8">
        <v>177.2</v>
      </c>
      <c r="I8" s="14">
        <v>138.79257269886213</v>
      </c>
      <c r="J8">
        <v>11</v>
      </c>
      <c r="K8">
        <v>10</v>
      </c>
      <c r="L8">
        <v>8</v>
      </c>
      <c r="M8">
        <v>7</v>
      </c>
      <c r="N8" s="120">
        <v>3.7037037037037035E-2</v>
      </c>
      <c r="O8" s="120">
        <v>0.1111111111111111</v>
      </c>
      <c r="P8">
        <v>-2</v>
      </c>
    </row>
    <row r="9" spans="1:22">
      <c r="A9" t="s">
        <v>92</v>
      </c>
      <c r="B9">
        <v>69</v>
      </c>
      <c r="C9">
        <v>39</v>
      </c>
      <c r="D9">
        <v>24</v>
      </c>
      <c r="E9">
        <v>23</v>
      </c>
      <c r="F9">
        <v>98</v>
      </c>
      <c r="G9">
        <v>21</v>
      </c>
      <c r="H9">
        <v>153.6</v>
      </c>
      <c r="I9" s="14">
        <v>141.77785458270745</v>
      </c>
      <c r="J9">
        <v>7</v>
      </c>
      <c r="K9">
        <v>6</v>
      </c>
      <c r="L9">
        <v>9</v>
      </c>
      <c r="M9">
        <v>8</v>
      </c>
      <c r="N9" s="143">
        <v>0</v>
      </c>
      <c r="O9" s="143">
        <v>6.0606060606060608E-2</v>
      </c>
      <c r="P9">
        <v>-8</v>
      </c>
    </row>
    <row r="10" spans="1:22">
      <c r="A10" t="s">
        <v>128</v>
      </c>
      <c r="B10">
        <v>108</v>
      </c>
      <c r="C10">
        <v>11</v>
      </c>
      <c r="D10">
        <v>12</v>
      </c>
      <c r="E10">
        <v>49</v>
      </c>
      <c r="F10">
        <v>103</v>
      </c>
      <c r="G10">
        <v>19</v>
      </c>
      <c r="H10">
        <v>172.5</v>
      </c>
      <c r="I10" s="14">
        <v>153.01880494800454</v>
      </c>
      <c r="J10">
        <v>10</v>
      </c>
      <c r="K10">
        <v>9</v>
      </c>
      <c r="L10">
        <v>10</v>
      </c>
      <c r="M10">
        <v>9</v>
      </c>
      <c r="N10" s="143">
        <v>3.3333333333333333E-2</v>
      </c>
      <c r="O10" s="143">
        <v>6.6666666666666666E-2</v>
      </c>
      <c r="P10">
        <v>39</v>
      </c>
    </row>
    <row r="11" spans="1:22">
      <c r="A11" t="s">
        <v>40</v>
      </c>
      <c r="B11">
        <v>16</v>
      </c>
      <c r="C11">
        <v>32</v>
      </c>
      <c r="D11">
        <v>123</v>
      </c>
      <c r="E11">
        <v>70</v>
      </c>
      <c r="F11">
        <v>17</v>
      </c>
      <c r="G11">
        <v>14</v>
      </c>
      <c r="H11">
        <v>154.6</v>
      </c>
      <c r="I11" s="14">
        <v>159.88224055436501</v>
      </c>
      <c r="J11">
        <v>8</v>
      </c>
      <c r="K11">
        <v>7</v>
      </c>
      <c r="L11">
        <v>11</v>
      </c>
      <c r="M11">
        <v>10</v>
      </c>
      <c r="N11" s="143">
        <v>0</v>
      </c>
      <c r="O11" s="143">
        <v>4.7619047619047616E-2</v>
      </c>
      <c r="P11">
        <v>-11</v>
      </c>
    </row>
    <row r="12" spans="1:22">
      <c r="A12" t="s">
        <v>113</v>
      </c>
      <c r="B12">
        <v>79</v>
      </c>
      <c r="C12">
        <v>46</v>
      </c>
      <c r="D12">
        <v>62</v>
      </c>
      <c r="E12">
        <v>66</v>
      </c>
      <c r="F12">
        <v>45</v>
      </c>
      <c r="G12">
        <v>12</v>
      </c>
      <c r="H12">
        <v>183.1</v>
      </c>
      <c r="I12" s="14">
        <v>163.73746392935271</v>
      </c>
      <c r="J12">
        <v>12</v>
      </c>
      <c r="K12">
        <v>11</v>
      </c>
      <c r="L12">
        <v>12</v>
      </c>
      <c r="M12">
        <v>11</v>
      </c>
      <c r="N12" s="143">
        <v>0</v>
      </c>
      <c r="O12" s="143">
        <v>6.4516129032258063E-2</v>
      </c>
      <c r="P12">
        <v>6</v>
      </c>
    </row>
    <row r="13" spans="1:22">
      <c r="A13" t="s">
        <v>188</v>
      </c>
      <c r="B13">
        <v>203</v>
      </c>
      <c r="C13">
        <v>8</v>
      </c>
      <c r="D13">
        <v>49</v>
      </c>
      <c r="E13">
        <v>16</v>
      </c>
      <c r="F13">
        <v>19</v>
      </c>
      <c r="G13">
        <v>15</v>
      </c>
      <c r="H13">
        <v>217.4</v>
      </c>
      <c r="I13" s="14">
        <v>169.72282265996427</v>
      </c>
      <c r="J13">
        <v>21</v>
      </c>
      <c r="K13">
        <v>19</v>
      </c>
      <c r="L13">
        <v>13</v>
      </c>
      <c r="M13">
        <v>12</v>
      </c>
      <c r="N13" s="120">
        <v>0</v>
      </c>
      <c r="O13" s="120">
        <v>6.4516129032258063E-2</v>
      </c>
      <c r="P13">
        <v>8</v>
      </c>
    </row>
    <row r="14" spans="1:22">
      <c r="A14" t="s">
        <v>135</v>
      </c>
      <c r="B14">
        <v>177</v>
      </c>
      <c r="C14">
        <v>1</v>
      </c>
      <c r="D14">
        <v>5</v>
      </c>
      <c r="E14">
        <v>95</v>
      </c>
      <c r="F14">
        <v>94</v>
      </c>
      <c r="G14">
        <v>7</v>
      </c>
      <c r="H14">
        <v>230.7</v>
      </c>
      <c r="I14" s="14">
        <v>183.5975430463171</v>
      </c>
      <c r="J14">
        <v>29</v>
      </c>
      <c r="K14">
        <v>26</v>
      </c>
      <c r="L14">
        <v>15</v>
      </c>
      <c r="M14">
        <v>13</v>
      </c>
      <c r="N14" s="120">
        <v>0</v>
      </c>
      <c r="O14" s="120">
        <v>0.08</v>
      </c>
      <c r="P14">
        <v>57</v>
      </c>
    </row>
    <row r="15" spans="1:22">
      <c r="A15" t="s">
        <v>35</v>
      </c>
      <c r="B15">
        <v>41</v>
      </c>
      <c r="C15">
        <v>24</v>
      </c>
      <c r="D15">
        <v>56</v>
      </c>
      <c r="E15">
        <v>54</v>
      </c>
      <c r="F15">
        <v>159</v>
      </c>
      <c r="G15">
        <v>24</v>
      </c>
      <c r="H15">
        <v>187.5</v>
      </c>
      <c r="I15" s="14">
        <v>186.75471276223055</v>
      </c>
      <c r="J15">
        <v>14</v>
      </c>
      <c r="K15">
        <v>13</v>
      </c>
      <c r="L15">
        <v>16</v>
      </c>
      <c r="M15">
        <v>14</v>
      </c>
      <c r="N15" s="143">
        <v>0</v>
      </c>
      <c r="O15" s="143">
        <v>0.13043478260869565</v>
      </c>
      <c r="P15">
        <v>28</v>
      </c>
    </row>
    <row r="16" spans="1:22">
      <c r="A16" t="s">
        <v>132</v>
      </c>
      <c r="B16">
        <v>111</v>
      </c>
      <c r="C16">
        <v>86</v>
      </c>
      <c r="D16">
        <v>36</v>
      </c>
      <c r="E16">
        <v>48</v>
      </c>
      <c r="F16">
        <v>50</v>
      </c>
      <c r="G16">
        <v>27</v>
      </c>
      <c r="H16">
        <v>209.8</v>
      </c>
      <c r="I16" s="14">
        <v>188.07336677206399</v>
      </c>
      <c r="J16">
        <v>19</v>
      </c>
      <c r="K16">
        <v>18</v>
      </c>
      <c r="L16">
        <v>17</v>
      </c>
      <c r="M16">
        <v>15</v>
      </c>
      <c r="N16" s="143">
        <v>0</v>
      </c>
      <c r="O16" s="143">
        <v>6.8965517241379309E-2</v>
      </c>
      <c r="P16">
        <v>72</v>
      </c>
    </row>
    <row r="17" spans="1:16">
      <c r="A17" t="s">
        <v>51</v>
      </c>
      <c r="B17">
        <v>37</v>
      </c>
      <c r="C17">
        <v>42</v>
      </c>
      <c r="D17">
        <v>109</v>
      </c>
      <c r="E17">
        <v>156</v>
      </c>
      <c r="F17">
        <v>5</v>
      </c>
      <c r="G17">
        <v>10</v>
      </c>
      <c r="H17">
        <v>196</v>
      </c>
      <c r="I17" s="14">
        <v>195.04091313920637</v>
      </c>
      <c r="J17">
        <v>15</v>
      </c>
      <c r="K17">
        <v>14</v>
      </c>
      <c r="L17">
        <v>18</v>
      </c>
      <c r="M17">
        <v>16</v>
      </c>
      <c r="N17" s="143">
        <v>0</v>
      </c>
      <c r="O17" s="143">
        <v>0</v>
      </c>
      <c r="P17">
        <v>6</v>
      </c>
    </row>
    <row r="18" spans="1:16">
      <c r="A18" t="s">
        <v>141</v>
      </c>
      <c r="B18">
        <v>157</v>
      </c>
      <c r="C18">
        <v>41</v>
      </c>
      <c r="D18">
        <v>18</v>
      </c>
      <c r="E18">
        <v>116</v>
      </c>
      <c r="F18">
        <v>27</v>
      </c>
      <c r="G18">
        <v>23</v>
      </c>
      <c r="H18">
        <v>222.70000000000002</v>
      </c>
      <c r="I18" s="14">
        <v>196.39997266166057</v>
      </c>
      <c r="J18">
        <v>25</v>
      </c>
      <c r="K18">
        <v>22</v>
      </c>
      <c r="L18">
        <v>19</v>
      </c>
      <c r="M18">
        <v>17</v>
      </c>
      <c r="N18" s="120">
        <v>0</v>
      </c>
      <c r="O18" s="120">
        <v>7.1428571428571425E-2</v>
      </c>
      <c r="P18">
        <v>14</v>
      </c>
    </row>
    <row r="19" spans="1:16">
      <c r="A19" t="s">
        <v>95</v>
      </c>
      <c r="B19">
        <v>64</v>
      </c>
      <c r="C19">
        <v>110</v>
      </c>
      <c r="D19">
        <v>66</v>
      </c>
      <c r="E19">
        <v>35</v>
      </c>
      <c r="F19">
        <v>56</v>
      </c>
      <c r="G19">
        <v>32</v>
      </c>
      <c r="H19">
        <v>205.4</v>
      </c>
      <c r="I19" s="14">
        <v>197.17172517504233</v>
      </c>
      <c r="J19">
        <v>16</v>
      </c>
      <c r="K19">
        <v>15</v>
      </c>
      <c r="L19">
        <v>20</v>
      </c>
      <c r="M19">
        <v>18</v>
      </c>
      <c r="N19" s="143">
        <v>0</v>
      </c>
      <c r="O19" s="143">
        <v>3.4482758620689655E-2</v>
      </c>
      <c r="P19">
        <v>7</v>
      </c>
    </row>
    <row r="20" spans="1:16">
      <c r="A20" t="s">
        <v>44</v>
      </c>
      <c r="B20">
        <v>32</v>
      </c>
      <c r="C20">
        <v>66</v>
      </c>
      <c r="D20">
        <v>17</v>
      </c>
      <c r="E20">
        <v>138</v>
      </c>
      <c r="F20">
        <v>110</v>
      </c>
      <c r="G20">
        <v>34</v>
      </c>
      <c r="H20">
        <v>187.3</v>
      </c>
      <c r="I20" s="14">
        <v>200.50332456000814</v>
      </c>
      <c r="J20">
        <v>13</v>
      </c>
      <c r="K20">
        <v>12</v>
      </c>
      <c r="L20">
        <v>21</v>
      </c>
      <c r="M20">
        <v>19</v>
      </c>
      <c r="N20" s="143">
        <v>0</v>
      </c>
      <c r="O20" s="143">
        <v>7.6923076923076927E-2</v>
      </c>
      <c r="P20">
        <v>10</v>
      </c>
    </row>
    <row r="21" spans="1:16">
      <c r="A21" t="s">
        <v>154</v>
      </c>
      <c r="B21">
        <v>122</v>
      </c>
      <c r="C21">
        <v>7</v>
      </c>
      <c r="D21">
        <v>75</v>
      </c>
      <c r="E21">
        <v>74</v>
      </c>
      <c r="F21">
        <v>73</v>
      </c>
      <c r="G21">
        <v>25</v>
      </c>
      <c r="H21">
        <v>220.4</v>
      </c>
      <c r="I21" s="14">
        <v>206.2307167714014</v>
      </c>
      <c r="J21">
        <v>23</v>
      </c>
      <c r="K21">
        <v>20</v>
      </c>
      <c r="L21">
        <v>22</v>
      </c>
      <c r="M21">
        <v>20</v>
      </c>
      <c r="N21" s="143">
        <v>0</v>
      </c>
      <c r="O21" s="143">
        <v>7.1428571428571425E-2</v>
      </c>
      <c r="P21">
        <v>1</v>
      </c>
    </row>
    <row r="22" spans="1:16">
      <c r="A22" t="s">
        <v>139</v>
      </c>
      <c r="B22">
        <v>123</v>
      </c>
      <c r="C22">
        <v>35</v>
      </c>
      <c r="D22">
        <v>2</v>
      </c>
      <c r="E22">
        <v>202</v>
      </c>
      <c r="F22">
        <v>47</v>
      </c>
      <c r="G22">
        <v>18</v>
      </c>
      <c r="H22">
        <v>225.10000000000002</v>
      </c>
      <c r="I22" s="14">
        <v>208.46039346454535</v>
      </c>
      <c r="J22">
        <v>27</v>
      </c>
      <c r="K22">
        <v>24</v>
      </c>
      <c r="L22">
        <v>23</v>
      </c>
      <c r="M22">
        <v>21</v>
      </c>
      <c r="N22" s="143">
        <v>0</v>
      </c>
      <c r="O22" s="143">
        <v>9.0909090909090912E-2</v>
      </c>
      <c r="P22">
        <v>-6</v>
      </c>
    </row>
    <row r="23" spans="1:16">
      <c r="A23" t="s">
        <v>63</v>
      </c>
      <c r="B23">
        <v>28</v>
      </c>
      <c r="C23">
        <v>108</v>
      </c>
      <c r="D23">
        <v>166</v>
      </c>
      <c r="E23">
        <v>40</v>
      </c>
      <c r="F23">
        <v>6</v>
      </c>
      <c r="G23">
        <v>13</v>
      </c>
      <c r="H23">
        <v>222.39999999999998</v>
      </c>
      <c r="I23" s="14">
        <v>208.92298264683743</v>
      </c>
      <c r="J23">
        <v>24</v>
      </c>
      <c r="K23">
        <v>21</v>
      </c>
      <c r="L23">
        <v>24</v>
      </c>
      <c r="M23">
        <v>22</v>
      </c>
      <c r="N23" s="143">
        <v>0</v>
      </c>
      <c r="O23" s="143">
        <v>0.125</v>
      </c>
      <c r="P23">
        <v>8</v>
      </c>
    </row>
    <row r="24" spans="1:16">
      <c r="A24" t="s">
        <v>144</v>
      </c>
      <c r="B24">
        <v>162</v>
      </c>
      <c r="C24">
        <v>53</v>
      </c>
      <c r="D24">
        <v>56</v>
      </c>
      <c r="E24">
        <v>31</v>
      </c>
      <c r="F24">
        <v>67</v>
      </c>
      <c r="G24">
        <v>26</v>
      </c>
      <c r="H24">
        <v>246.49999999999997</v>
      </c>
      <c r="I24" s="14">
        <v>211.87728020154864</v>
      </c>
      <c r="J24">
        <v>35</v>
      </c>
      <c r="K24">
        <v>29</v>
      </c>
      <c r="L24">
        <v>25</v>
      </c>
      <c r="M24">
        <v>23</v>
      </c>
      <c r="N24" s="120">
        <v>0</v>
      </c>
      <c r="O24" s="120">
        <v>3.7037037037037035E-2</v>
      </c>
      <c r="P24">
        <v>4</v>
      </c>
    </row>
    <row r="25" spans="1:16">
      <c r="A25" t="s">
        <v>65</v>
      </c>
      <c r="B25">
        <v>109</v>
      </c>
      <c r="C25">
        <v>101</v>
      </c>
      <c r="D25">
        <v>67</v>
      </c>
      <c r="E25">
        <v>2</v>
      </c>
      <c r="F25">
        <v>142</v>
      </c>
      <c r="G25">
        <v>17</v>
      </c>
      <c r="H25">
        <v>266.5</v>
      </c>
      <c r="I25" s="14">
        <v>223.68110783145568</v>
      </c>
      <c r="J25">
        <v>50</v>
      </c>
      <c r="K25">
        <v>39</v>
      </c>
      <c r="L25">
        <v>28</v>
      </c>
      <c r="M25">
        <v>24</v>
      </c>
      <c r="N25" s="143">
        <v>0</v>
      </c>
      <c r="O25" s="143">
        <v>3.4482758620689655E-2</v>
      </c>
      <c r="P25">
        <v>193</v>
      </c>
    </row>
    <row r="26" spans="1:16">
      <c r="A26" t="s">
        <v>137</v>
      </c>
      <c r="B26">
        <v>160</v>
      </c>
      <c r="C26">
        <v>10</v>
      </c>
      <c r="D26">
        <v>45</v>
      </c>
      <c r="E26">
        <v>28</v>
      </c>
      <c r="F26">
        <v>161</v>
      </c>
      <c r="G26">
        <v>29</v>
      </c>
      <c r="H26">
        <v>257.2</v>
      </c>
      <c r="I26" s="14">
        <v>226.95061547532009</v>
      </c>
      <c r="J26">
        <v>46</v>
      </c>
      <c r="K26">
        <v>37</v>
      </c>
      <c r="L26">
        <v>30</v>
      </c>
      <c r="M26">
        <v>25</v>
      </c>
      <c r="N26" s="120">
        <v>0</v>
      </c>
      <c r="O26" s="120">
        <v>9.6774193548387094E-2</v>
      </c>
      <c r="P26">
        <v>3</v>
      </c>
    </row>
    <row r="27" spans="1:16">
      <c r="A27" t="s">
        <v>47</v>
      </c>
      <c r="B27">
        <v>54</v>
      </c>
      <c r="C27">
        <v>20</v>
      </c>
      <c r="D27">
        <v>129</v>
      </c>
      <c r="E27">
        <v>44</v>
      </c>
      <c r="F27">
        <v>90</v>
      </c>
      <c r="G27">
        <v>45</v>
      </c>
      <c r="H27">
        <v>208.1</v>
      </c>
      <c r="I27" s="14">
        <v>228.60873166551511</v>
      </c>
      <c r="J27">
        <v>18</v>
      </c>
      <c r="K27">
        <v>17</v>
      </c>
      <c r="L27">
        <v>31</v>
      </c>
      <c r="M27">
        <v>26</v>
      </c>
      <c r="N27" s="143">
        <v>0</v>
      </c>
      <c r="O27" s="143">
        <v>8.6956521739130432E-2</v>
      </c>
      <c r="P27">
        <v>-17</v>
      </c>
    </row>
    <row r="28" spans="1:16">
      <c r="A28" t="s">
        <v>129</v>
      </c>
      <c r="B28">
        <v>114</v>
      </c>
      <c r="C28">
        <v>123</v>
      </c>
      <c r="D28">
        <v>71</v>
      </c>
      <c r="E28">
        <v>7</v>
      </c>
      <c r="F28">
        <v>63</v>
      </c>
      <c r="G28">
        <v>39</v>
      </c>
      <c r="H28">
        <v>249</v>
      </c>
      <c r="I28" s="14">
        <v>228.62032055178017</v>
      </c>
      <c r="J28">
        <v>38</v>
      </c>
      <c r="K28">
        <v>31</v>
      </c>
      <c r="L28">
        <v>32</v>
      </c>
      <c r="M28">
        <v>27</v>
      </c>
      <c r="N28" s="143">
        <v>0</v>
      </c>
      <c r="O28" s="143">
        <v>3.8461538461538464E-2</v>
      </c>
      <c r="P28">
        <v>22</v>
      </c>
    </row>
    <row r="29" spans="1:16">
      <c r="A29" t="s">
        <v>183</v>
      </c>
      <c r="B29">
        <v>196</v>
      </c>
      <c r="C29">
        <v>29</v>
      </c>
      <c r="D29">
        <v>84</v>
      </c>
      <c r="E29">
        <v>36</v>
      </c>
      <c r="F29">
        <v>14</v>
      </c>
      <c r="G29">
        <v>38</v>
      </c>
      <c r="H29">
        <v>254.4</v>
      </c>
      <c r="I29" s="14">
        <v>229.34649389135643</v>
      </c>
      <c r="J29">
        <v>43</v>
      </c>
      <c r="K29">
        <v>35</v>
      </c>
      <c r="L29">
        <v>33</v>
      </c>
      <c r="M29">
        <v>28</v>
      </c>
      <c r="N29" s="120">
        <v>0</v>
      </c>
      <c r="O29" s="120">
        <v>6.0606060606060608E-2</v>
      </c>
      <c r="P29">
        <v>4</v>
      </c>
    </row>
    <row r="30" spans="1:16">
      <c r="A30" t="s">
        <v>134</v>
      </c>
      <c r="B30">
        <v>144</v>
      </c>
      <c r="C30">
        <v>57</v>
      </c>
      <c r="D30">
        <v>82</v>
      </c>
      <c r="E30">
        <v>76</v>
      </c>
      <c r="F30">
        <v>26</v>
      </c>
      <c r="G30">
        <v>31</v>
      </c>
      <c r="H30">
        <v>250.20000000000002</v>
      </c>
      <c r="I30" s="14">
        <v>230.28519382495907</v>
      </c>
      <c r="J30">
        <v>39</v>
      </c>
      <c r="K30">
        <v>32</v>
      </c>
      <c r="L30">
        <v>34</v>
      </c>
      <c r="M30">
        <v>29</v>
      </c>
      <c r="N30" s="120">
        <v>0</v>
      </c>
      <c r="O30" s="120">
        <v>2.9411764705882353E-2</v>
      </c>
      <c r="P30">
        <v>15</v>
      </c>
    </row>
    <row r="31" spans="1:16">
      <c r="A31" t="s">
        <v>60</v>
      </c>
      <c r="B31">
        <v>57</v>
      </c>
      <c r="C31">
        <v>28</v>
      </c>
      <c r="D31">
        <v>74</v>
      </c>
      <c r="E31">
        <v>163</v>
      </c>
      <c r="F31">
        <v>91</v>
      </c>
      <c r="G31">
        <v>36</v>
      </c>
      <c r="H31">
        <v>224.9</v>
      </c>
      <c r="I31" s="14">
        <v>241.20041231049089</v>
      </c>
      <c r="J31">
        <v>26</v>
      </c>
      <c r="K31">
        <v>23</v>
      </c>
      <c r="L31">
        <v>36</v>
      </c>
      <c r="M31">
        <v>30</v>
      </c>
      <c r="N31" s="143">
        <v>0</v>
      </c>
      <c r="O31" s="143">
        <v>7.1428571428571425E-2</v>
      </c>
      <c r="P31">
        <v>17</v>
      </c>
    </row>
    <row r="32" spans="1:16">
      <c r="A32" t="s">
        <v>162</v>
      </c>
      <c r="B32">
        <v>187</v>
      </c>
      <c r="C32">
        <v>124</v>
      </c>
      <c r="D32">
        <v>25</v>
      </c>
      <c r="E32">
        <v>38</v>
      </c>
      <c r="F32">
        <v>65</v>
      </c>
      <c r="G32">
        <v>33</v>
      </c>
      <c r="H32">
        <v>289.2</v>
      </c>
      <c r="I32" s="14">
        <v>242.95847075849656</v>
      </c>
      <c r="J32">
        <v>73</v>
      </c>
      <c r="K32">
        <v>55</v>
      </c>
      <c r="L32">
        <v>37</v>
      </c>
      <c r="M32">
        <v>31</v>
      </c>
      <c r="N32" s="120">
        <v>0</v>
      </c>
      <c r="O32" s="120">
        <v>2.564102564102564E-2</v>
      </c>
      <c r="P32">
        <v>2</v>
      </c>
    </row>
    <row r="33" spans="1:16">
      <c r="A33" t="s">
        <v>14</v>
      </c>
      <c r="B33">
        <v>24</v>
      </c>
      <c r="C33">
        <v>5</v>
      </c>
      <c r="D33">
        <v>113</v>
      </c>
      <c r="E33">
        <v>104</v>
      </c>
      <c r="F33">
        <v>126</v>
      </c>
      <c r="G33">
        <v>52</v>
      </c>
      <c r="H33">
        <v>205.9</v>
      </c>
      <c r="I33" s="14">
        <v>245.87275445712402</v>
      </c>
      <c r="J33">
        <v>17</v>
      </c>
      <c r="K33">
        <v>16</v>
      </c>
      <c r="L33">
        <v>38</v>
      </c>
      <c r="M33">
        <v>32</v>
      </c>
      <c r="N33" s="143">
        <v>0</v>
      </c>
      <c r="O33" s="143">
        <v>3.3333333333333333E-2</v>
      </c>
      <c r="P33">
        <v>15</v>
      </c>
    </row>
    <row r="34" spans="1:16">
      <c r="A34" t="s">
        <v>67</v>
      </c>
      <c r="B34">
        <v>33</v>
      </c>
      <c r="C34">
        <v>176</v>
      </c>
      <c r="D34">
        <v>146</v>
      </c>
      <c r="E34">
        <v>61</v>
      </c>
      <c r="F34">
        <v>10</v>
      </c>
      <c r="G34">
        <v>22</v>
      </c>
      <c r="H34">
        <v>263.59999999999997</v>
      </c>
      <c r="I34" s="14">
        <v>247.21334862661638</v>
      </c>
      <c r="J34">
        <v>49</v>
      </c>
      <c r="K34">
        <v>38</v>
      </c>
      <c r="L34">
        <v>39</v>
      </c>
      <c r="M34">
        <v>33</v>
      </c>
      <c r="N34" s="143">
        <v>0</v>
      </c>
      <c r="O34" s="143">
        <v>0</v>
      </c>
      <c r="P34">
        <v>3</v>
      </c>
    </row>
    <row r="35" spans="1:16">
      <c r="A35" t="s">
        <v>158</v>
      </c>
      <c r="B35">
        <v>144</v>
      </c>
      <c r="C35">
        <v>129</v>
      </c>
      <c r="D35">
        <v>35</v>
      </c>
      <c r="E35">
        <v>46</v>
      </c>
      <c r="F35">
        <v>75</v>
      </c>
      <c r="G35">
        <v>42</v>
      </c>
      <c r="H35">
        <v>273</v>
      </c>
      <c r="I35" s="14">
        <v>247.36419897770335</v>
      </c>
      <c r="J35">
        <v>57</v>
      </c>
      <c r="K35">
        <v>44</v>
      </c>
      <c r="L35">
        <v>40</v>
      </c>
      <c r="M35">
        <v>34</v>
      </c>
      <c r="N35" s="120">
        <v>0</v>
      </c>
      <c r="O35" s="120">
        <v>6.6666666666666666E-2</v>
      </c>
      <c r="P35">
        <v>35</v>
      </c>
    </row>
    <row r="36" spans="1:16">
      <c r="A36" t="s">
        <v>231</v>
      </c>
      <c r="B36">
        <v>81</v>
      </c>
      <c r="C36">
        <v>73</v>
      </c>
      <c r="D36">
        <v>180</v>
      </c>
      <c r="E36">
        <v>9</v>
      </c>
      <c r="F36">
        <v>21</v>
      </c>
      <c r="G36">
        <v>40</v>
      </c>
      <c r="H36">
        <v>248.69999999999996</v>
      </c>
      <c r="I36" s="14">
        <v>249.49611059738893</v>
      </c>
      <c r="J36">
        <v>37</v>
      </c>
      <c r="K36">
        <v>30</v>
      </c>
      <c r="L36">
        <v>41</v>
      </c>
      <c r="M36">
        <v>35</v>
      </c>
      <c r="N36" s="143">
        <v>0</v>
      </c>
      <c r="O36" s="143">
        <v>6.6666666666666666E-2</v>
      </c>
      <c r="P36">
        <v>-18</v>
      </c>
    </row>
    <row r="37" spans="1:16">
      <c r="A37" t="s">
        <v>58</v>
      </c>
      <c r="B37">
        <v>96</v>
      </c>
      <c r="C37">
        <v>84</v>
      </c>
      <c r="D37">
        <v>76</v>
      </c>
      <c r="E37">
        <v>134</v>
      </c>
      <c r="F37">
        <v>46</v>
      </c>
      <c r="G37">
        <v>37</v>
      </c>
      <c r="H37">
        <v>257</v>
      </c>
      <c r="I37" s="14">
        <v>254.68608080888689</v>
      </c>
      <c r="J37">
        <v>45</v>
      </c>
      <c r="K37">
        <v>36</v>
      </c>
      <c r="L37">
        <v>42</v>
      </c>
      <c r="M37">
        <v>36</v>
      </c>
      <c r="N37" s="143">
        <v>4.1666666666666664E-2</v>
      </c>
      <c r="O37" s="143">
        <v>0.125</v>
      </c>
      <c r="P37">
        <v>-22</v>
      </c>
    </row>
    <row r="38" spans="1:16">
      <c r="A38" t="s">
        <v>98</v>
      </c>
      <c r="B38">
        <v>61</v>
      </c>
      <c r="C38">
        <v>171</v>
      </c>
      <c r="D38">
        <v>139</v>
      </c>
      <c r="E38">
        <v>77</v>
      </c>
      <c r="F38">
        <v>2</v>
      </c>
      <c r="G38">
        <v>20</v>
      </c>
      <c r="H38">
        <v>280.5</v>
      </c>
      <c r="I38" s="14">
        <v>256.12643714343534</v>
      </c>
      <c r="J38">
        <v>62</v>
      </c>
      <c r="K38">
        <v>48</v>
      </c>
      <c r="L38">
        <v>44</v>
      </c>
      <c r="M38">
        <v>37</v>
      </c>
      <c r="N38" s="143">
        <v>0</v>
      </c>
      <c r="O38" s="143">
        <v>0.14285714285714285</v>
      </c>
      <c r="P38">
        <v>4</v>
      </c>
    </row>
    <row r="39" spans="1:16">
      <c r="A39" t="s">
        <v>9</v>
      </c>
      <c r="B39">
        <v>11</v>
      </c>
      <c r="C39">
        <v>121</v>
      </c>
      <c r="D39">
        <v>14</v>
      </c>
      <c r="E39">
        <v>152</v>
      </c>
      <c r="F39">
        <v>169</v>
      </c>
      <c r="G39">
        <v>47</v>
      </c>
      <c r="H39">
        <v>236.5</v>
      </c>
      <c r="I39" s="14">
        <v>256.40532510688962</v>
      </c>
      <c r="J39">
        <v>32</v>
      </c>
      <c r="K39">
        <v>27</v>
      </c>
      <c r="L39">
        <v>45</v>
      </c>
      <c r="M39">
        <v>38</v>
      </c>
      <c r="N39" s="143">
        <v>0</v>
      </c>
      <c r="O39" s="143">
        <v>0</v>
      </c>
      <c r="P39">
        <v>0</v>
      </c>
    </row>
    <row r="40" spans="1:16">
      <c r="A40" t="s">
        <v>104</v>
      </c>
      <c r="B40">
        <v>110</v>
      </c>
      <c r="C40">
        <v>202</v>
      </c>
      <c r="D40">
        <v>111</v>
      </c>
      <c r="E40">
        <v>8</v>
      </c>
      <c r="F40">
        <v>23</v>
      </c>
      <c r="G40">
        <v>35</v>
      </c>
      <c r="H40">
        <v>301.59999999999997</v>
      </c>
      <c r="I40" s="14">
        <v>267.44014032524245</v>
      </c>
      <c r="J40">
        <v>80</v>
      </c>
      <c r="K40">
        <v>57</v>
      </c>
      <c r="L40">
        <v>47</v>
      </c>
      <c r="M40">
        <v>39</v>
      </c>
      <c r="N40" s="143">
        <v>3.3333333333333333E-2</v>
      </c>
      <c r="O40" s="143">
        <v>3.3333333333333333E-2</v>
      </c>
      <c r="P40">
        <v>-25</v>
      </c>
    </row>
    <row r="41" spans="1:16">
      <c r="A41" t="s">
        <v>72</v>
      </c>
      <c r="B41">
        <v>84</v>
      </c>
      <c r="C41">
        <v>19</v>
      </c>
      <c r="D41">
        <v>184</v>
      </c>
      <c r="E41">
        <v>81</v>
      </c>
      <c r="F41">
        <v>29</v>
      </c>
      <c r="G41">
        <v>44</v>
      </c>
      <c r="H41">
        <v>254.29999999999998</v>
      </c>
      <c r="I41" s="14">
        <v>270.71727362357046</v>
      </c>
      <c r="J41">
        <v>42</v>
      </c>
      <c r="K41">
        <v>34</v>
      </c>
      <c r="L41">
        <v>49</v>
      </c>
      <c r="M41">
        <v>40</v>
      </c>
      <c r="N41" s="143">
        <v>0</v>
      </c>
      <c r="O41" s="143">
        <v>4.3478260869565216E-2</v>
      </c>
      <c r="P41">
        <v>-28</v>
      </c>
    </row>
    <row r="42" spans="1:16">
      <c r="A42" t="s">
        <v>112</v>
      </c>
      <c r="B42">
        <v>118</v>
      </c>
      <c r="C42">
        <v>65</v>
      </c>
      <c r="D42">
        <v>105</v>
      </c>
      <c r="E42">
        <v>44</v>
      </c>
      <c r="F42">
        <v>99</v>
      </c>
      <c r="G42">
        <v>54</v>
      </c>
      <c r="H42">
        <v>274</v>
      </c>
      <c r="I42" s="14">
        <v>276.47301919075585</v>
      </c>
      <c r="J42">
        <v>58</v>
      </c>
      <c r="K42">
        <v>45</v>
      </c>
      <c r="L42">
        <v>50</v>
      </c>
      <c r="M42">
        <v>41</v>
      </c>
      <c r="N42" s="143">
        <v>0</v>
      </c>
      <c r="O42" s="143">
        <v>3.125E-2</v>
      </c>
      <c r="P42">
        <v>54</v>
      </c>
    </row>
    <row r="43" spans="1:16">
      <c r="A43" t="s">
        <v>146</v>
      </c>
      <c r="B43">
        <v>126</v>
      </c>
      <c r="C43">
        <v>162</v>
      </c>
      <c r="D43">
        <v>19</v>
      </c>
      <c r="E43">
        <v>155</v>
      </c>
      <c r="F43">
        <v>28</v>
      </c>
      <c r="G43">
        <v>48</v>
      </c>
      <c r="H43">
        <v>287.3</v>
      </c>
      <c r="I43" s="14">
        <v>276.82333593379326</v>
      </c>
      <c r="J43">
        <v>71</v>
      </c>
      <c r="K43">
        <v>53</v>
      </c>
      <c r="L43">
        <v>51</v>
      </c>
      <c r="M43">
        <v>42</v>
      </c>
      <c r="N43" s="143">
        <v>0</v>
      </c>
      <c r="O43" s="143">
        <v>5.7142857142857141E-2</v>
      </c>
      <c r="P43">
        <v>30</v>
      </c>
    </row>
    <row r="44" spans="1:16">
      <c r="A44" t="s">
        <v>64</v>
      </c>
      <c r="B44">
        <v>92</v>
      </c>
      <c r="C44">
        <v>182</v>
      </c>
      <c r="D44">
        <v>43</v>
      </c>
      <c r="E44">
        <v>73</v>
      </c>
      <c r="F44">
        <v>71</v>
      </c>
      <c r="G44">
        <v>68</v>
      </c>
      <c r="H44">
        <v>277.60000000000002</v>
      </c>
      <c r="I44" s="14">
        <v>286.15333415739002</v>
      </c>
      <c r="J44">
        <v>60</v>
      </c>
      <c r="K44">
        <v>47</v>
      </c>
      <c r="L44">
        <v>54</v>
      </c>
      <c r="M44">
        <v>43</v>
      </c>
      <c r="N44" s="143">
        <v>0</v>
      </c>
      <c r="O44" s="143">
        <v>0.12903225806451613</v>
      </c>
      <c r="P44">
        <v>25</v>
      </c>
    </row>
    <row r="45" spans="1:16">
      <c r="A45" t="s">
        <v>237</v>
      </c>
      <c r="B45">
        <v>40</v>
      </c>
      <c r="C45">
        <v>43</v>
      </c>
      <c r="D45">
        <v>34</v>
      </c>
      <c r="E45">
        <v>130</v>
      </c>
      <c r="F45">
        <v>194</v>
      </c>
      <c r="G45">
        <v>84</v>
      </c>
      <c r="H45">
        <v>230.6</v>
      </c>
      <c r="I45" s="14">
        <v>288.946125792364</v>
      </c>
      <c r="J45">
        <v>28</v>
      </c>
      <c r="K45">
        <v>25</v>
      </c>
      <c r="L45">
        <v>55</v>
      </c>
      <c r="M45">
        <v>44</v>
      </c>
      <c r="N45" s="143">
        <v>0</v>
      </c>
      <c r="O45" s="143">
        <v>0</v>
      </c>
      <c r="P45">
        <v>40</v>
      </c>
    </row>
    <row r="46" spans="1:16">
      <c r="A46" t="s">
        <v>161</v>
      </c>
      <c r="B46">
        <v>139</v>
      </c>
      <c r="C46">
        <v>60</v>
      </c>
      <c r="D46">
        <v>103</v>
      </c>
      <c r="E46">
        <v>52</v>
      </c>
      <c r="F46">
        <v>53</v>
      </c>
      <c r="G46">
        <v>76</v>
      </c>
      <c r="H46">
        <v>266.60000000000002</v>
      </c>
      <c r="I46" s="14">
        <v>289.28267063362637</v>
      </c>
      <c r="J46">
        <v>51</v>
      </c>
      <c r="K46">
        <v>40</v>
      </c>
      <c r="L46">
        <v>57</v>
      </c>
      <c r="M46">
        <v>45</v>
      </c>
      <c r="N46" s="120">
        <v>0</v>
      </c>
      <c r="O46" s="120">
        <v>0</v>
      </c>
      <c r="P46">
        <v>7</v>
      </c>
    </row>
    <row r="47" spans="1:16">
      <c r="A47" t="s">
        <v>93</v>
      </c>
      <c r="B47">
        <v>104</v>
      </c>
      <c r="C47">
        <v>79</v>
      </c>
      <c r="D47">
        <v>30</v>
      </c>
      <c r="E47">
        <v>136</v>
      </c>
      <c r="F47">
        <v>154</v>
      </c>
      <c r="G47">
        <v>55</v>
      </c>
      <c r="H47">
        <v>283</v>
      </c>
      <c r="I47" s="14">
        <v>290.32117110729439</v>
      </c>
      <c r="J47">
        <v>63</v>
      </c>
      <c r="K47">
        <v>49</v>
      </c>
      <c r="L47">
        <v>58</v>
      </c>
      <c r="M47">
        <v>46</v>
      </c>
      <c r="N47" s="143">
        <v>0</v>
      </c>
      <c r="O47" s="143">
        <v>0</v>
      </c>
      <c r="P47">
        <v>26</v>
      </c>
    </row>
    <row r="48" spans="1:16">
      <c r="A48" t="s">
        <v>181</v>
      </c>
      <c r="B48">
        <v>206</v>
      </c>
      <c r="C48">
        <v>78</v>
      </c>
      <c r="D48">
        <v>9</v>
      </c>
      <c r="E48">
        <v>123</v>
      </c>
      <c r="F48">
        <v>87</v>
      </c>
      <c r="G48">
        <v>66</v>
      </c>
      <c r="H48">
        <v>310.60000000000002</v>
      </c>
      <c r="I48" s="14">
        <v>302.82177960763079</v>
      </c>
      <c r="J48">
        <v>94</v>
      </c>
      <c r="K48">
        <v>68</v>
      </c>
      <c r="L48">
        <v>62</v>
      </c>
      <c r="M48">
        <v>47</v>
      </c>
      <c r="N48" s="120">
        <v>0</v>
      </c>
      <c r="O48" s="120">
        <v>0</v>
      </c>
      <c r="P48">
        <v>-25</v>
      </c>
    </row>
    <row r="49" spans="1:16">
      <c r="A49" t="s">
        <v>239</v>
      </c>
      <c r="B49">
        <v>196</v>
      </c>
      <c r="C49">
        <v>51</v>
      </c>
      <c r="D49">
        <v>100</v>
      </c>
      <c r="E49">
        <v>11</v>
      </c>
      <c r="F49">
        <v>139</v>
      </c>
      <c r="G49">
        <v>50</v>
      </c>
      <c r="H49">
        <v>331.29999999999995</v>
      </c>
      <c r="I49" s="14">
        <v>304.42034116036689</v>
      </c>
      <c r="J49">
        <v>112</v>
      </c>
      <c r="K49">
        <v>77</v>
      </c>
      <c r="L49">
        <v>64</v>
      </c>
      <c r="M49">
        <v>48</v>
      </c>
      <c r="N49" s="120">
        <v>0</v>
      </c>
      <c r="O49" s="120">
        <v>0</v>
      </c>
      <c r="P49">
        <v>55</v>
      </c>
    </row>
    <row r="50" spans="1:16">
      <c r="A50" t="s">
        <v>38</v>
      </c>
      <c r="B50">
        <v>43</v>
      </c>
      <c r="C50">
        <v>183</v>
      </c>
      <c r="D50">
        <v>130</v>
      </c>
      <c r="E50">
        <v>47</v>
      </c>
      <c r="F50">
        <v>82</v>
      </c>
      <c r="G50">
        <v>61</v>
      </c>
      <c r="H50">
        <v>295</v>
      </c>
      <c r="I50" s="14">
        <v>307.90801093219022</v>
      </c>
      <c r="J50">
        <v>77</v>
      </c>
      <c r="K50">
        <v>56</v>
      </c>
      <c r="L50">
        <v>66</v>
      </c>
      <c r="M50">
        <v>49</v>
      </c>
      <c r="N50" s="143">
        <v>0</v>
      </c>
      <c r="O50" s="143">
        <v>6.0606060606060608E-2</v>
      </c>
      <c r="P50">
        <v>-2</v>
      </c>
    </row>
    <row r="51" spans="1:16">
      <c r="A51" t="s">
        <v>18</v>
      </c>
      <c r="B51">
        <v>5</v>
      </c>
      <c r="C51">
        <v>179</v>
      </c>
      <c r="D51">
        <v>122</v>
      </c>
      <c r="E51">
        <v>55</v>
      </c>
      <c r="F51">
        <v>105</v>
      </c>
      <c r="G51">
        <v>75</v>
      </c>
      <c r="H51">
        <v>271.29999999999995</v>
      </c>
      <c r="I51" s="14">
        <v>309.13800738074531</v>
      </c>
      <c r="J51">
        <v>55</v>
      </c>
      <c r="K51">
        <v>42</v>
      </c>
      <c r="L51">
        <v>68</v>
      </c>
      <c r="M51">
        <v>50</v>
      </c>
      <c r="N51" s="143">
        <v>0</v>
      </c>
      <c r="O51" s="143">
        <v>3.5714285714285712E-2</v>
      </c>
      <c r="P51">
        <v>10</v>
      </c>
    </row>
    <row r="52" spans="1:16">
      <c r="A52" t="s">
        <v>147</v>
      </c>
      <c r="B52">
        <v>170</v>
      </c>
      <c r="C52">
        <v>77</v>
      </c>
      <c r="D52">
        <v>124</v>
      </c>
      <c r="E52">
        <v>103</v>
      </c>
      <c r="F52">
        <v>31</v>
      </c>
      <c r="G52">
        <v>46</v>
      </c>
      <c r="H52">
        <v>325.7</v>
      </c>
      <c r="I52" s="14">
        <v>310.38753485933194</v>
      </c>
      <c r="J52">
        <v>102</v>
      </c>
      <c r="K52">
        <v>73</v>
      </c>
      <c r="L52">
        <v>69</v>
      </c>
      <c r="M52">
        <v>51</v>
      </c>
      <c r="N52" s="120">
        <v>0</v>
      </c>
      <c r="O52" s="120">
        <v>5.4054054054054057E-2</v>
      </c>
      <c r="P52">
        <v>-10</v>
      </c>
    </row>
    <row r="53" spans="1:16">
      <c r="A53" t="s">
        <v>115</v>
      </c>
      <c r="B53">
        <v>121</v>
      </c>
      <c r="C53">
        <v>50</v>
      </c>
      <c r="D53">
        <v>28</v>
      </c>
      <c r="E53">
        <v>98</v>
      </c>
      <c r="F53">
        <v>112</v>
      </c>
      <c r="G53">
        <v>116</v>
      </c>
      <c r="H53">
        <v>241.60000000000002</v>
      </c>
      <c r="I53" s="14">
        <v>310.57369191509986</v>
      </c>
      <c r="J53">
        <v>34</v>
      </c>
      <c r="K53">
        <v>28</v>
      </c>
      <c r="L53">
        <v>70</v>
      </c>
      <c r="M53">
        <v>52</v>
      </c>
      <c r="N53" s="143">
        <v>0</v>
      </c>
      <c r="O53" s="143">
        <v>4.3478260869565216E-2</v>
      </c>
      <c r="P53">
        <v>-108</v>
      </c>
    </row>
    <row r="54" spans="1:16">
      <c r="A54" t="s">
        <v>27</v>
      </c>
      <c r="B54">
        <v>21</v>
      </c>
      <c r="C54">
        <v>85</v>
      </c>
      <c r="D54">
        <v>177</v>
      </c>
      <c r="E54">
        <v>119</v>
      </c>
      <c r="F54">
        <v>24</v>
      </c>
      <c r="G54">
        <v>77</v>
      </c>
      <c r="H54">
        <v>251.29999999999998</v>
      </c>
      <c r="I54" s="14">
        <v>310.80534290336806</v>
      </c>
      <c r="J54">
        <v>40</v>
      </c>
      <c r="K54">
        <v>33</v>
      </c>
      <c r="L54">
        <v>71</v>
      </c>
      <c r="M54">
        <v>53</v>
      </c>
      <c r="N54" s="143">
        <v>0</v>
      </c>
      <c r="O54" s="143">
        <v>3.8461538461538464E-2</v>
      </c>
      <c r="P54">
        <v>-8</v>
      </c>
    </row>
    <row r="55" spans="1:16">
      <c r="A55" t="s">
        <v>49</v>
      </c>
      <c r="B55">
        <v>96</v>
      </c>
      <c r="C55">
        <v>139</v>
      </c>
      <c r="D55">
        <v>86</v>
      </c>
      <c r="E55">
        <v>75</v>
      </c>
      <c r="F55">
        <v>69</v>
      </c>
      <c r="G55">
        <v>80</v>
      </c>
      <c r="H55">
        <v>284.89999999999998</v>
      </c>
      <c r="I55" s="14">
        <v>311.35420975656575</v>
      </c>
      <c r="J55">
        <v>66</v>
      </c>
      <c r="K55">
        <v>51</v>
      </c>
      <c r="L55">
        <v>72</v>
      </c>
      <c r="M55">
        <v>54</v>
      </c>
      <c r="N55" s="143">
        <v>0</v>
      </c>
      <c r="O55" s="143">
        <v>0</v>
      </c>
      <c r="P55">
        <v>9</v>
      </c>
    </row>
    <row r="56" spans="1:16">
      <c r="A56" t="s">
        <v>130</v>
      </c>
      <c r="B56">
        <v>183</v>
      </c>
      <c r="C56">
        <v>80</v>
      </c>
      <c r="D56">
        <v>58</v>
      </c>
      <c r="E56">
        <v>90</v>
      </c>
      <c r="F56">
        <v>111</v>
      </c>
      <c r="G56">
        <v>60</v>
      </c>
      <c r="H56">
        <v>326.5</v>
      </c>
      <c r="I56" s="14">
        <v>315.27426659987401</v>
      </c>
      <c r="J56">
        <v>104</v>
      </c>
      <c r="K56">
        <v>74</v>
      </c>
      <c r="L56">
        <v>74</v>
      </c>
      <c r="M56">
        <v>55</v>
      </c>
      <c r="N56" s="120">
        <v>2.8571428571428571E-2</v>
      </c>
      <c r="O56" s="120">
        <v>2.8571428571428571E-2</v>
      </c>
      <c r="P56">
        <v>22</v>
      </c>
    </row>
    <row r="57" spans="1:16">
      <c r="A57" t="s">
        <v>52</v>
      </c>
      <c r="B57">
        <v>67</v>
      </c>
      <c r="C57">
        <v>178</v>
      </c>
      <c r="D57">
        <v>152</v>
      </c>
      <c r="E57">
        <v>20</v>
      </c>
      <c r="F57">
        <v>65</v>
      </c>
      <c r="G57">
        <v>63</v>
      </c>
      <c r="H57">
        <v>307.3</v>
      </c>
      <c r="I57" s="14">
        <v>315.36887490345799</v>
      </c>
      <c r="J57">
        <v>91</v>
      </c>
      <c r="K57">
        <v>66</v>
      </c>
      <c r="L57">
        <v>75</v>
      </c>
      <c r="M57">
        <v>56</v>
      </c>
      <c r="N57" s="143">
        <v>0</v>
      </c>
      <c r="O57" s="143">
        <v>3.0303030303030304E-2</v>
      </c>
      <c r="P57">
        <v>-25</v>
      </c>
    </row>
    <row r="58" spans="1:16">
      <c r="A58" t="s">
        <v>125</v>
      </c>
      <c r="B58">
        <v>132</v>
      </c>
      <c r="C58">
        <v>100</v>
      </c>
      <c r="D58">
        <v>89</v>
      </c>
      <c r="E58">
        <v>42</v>
      </c>
      <c r="F58">
        <v>77</v>
      </c>
      <c r="G58">
        <v>103</v>
      </c>
      <c r="H58">
        <v>283.20000000000005</v>
      </c>
      <c r="I58" s="14">
        <v>326.14302999603365</v>
      </c>
      <c r="J58">
        <v>64</v>
      </c>
      <c r="K58">
        <v>50</v>
      </c>
      <c r="L58">
        <v>77</v>
      </c>
      <c r="M58">
        <v>57</v>
      </c>
      <c r="N58" s="120">
        <v>0</v>
      </c>
      <c r="O58" s="120">
        <v>3.3333333333333333E-2</v>
      </c>
      <c r="P58">
        <v>-24</v>
      </c>
    </row>
    <row r="59" spans="1:16">
      <c r="A59" t="s">
        <v>105</v>
      </c>
      <c r="B59">
        <v>102</v>
      </c>
      <c r="C59">
        <v>107</v>
      </c>
      <c r="D59">
        <v>191</v>
      </c>
      <c r="E59">
        <v>21</v>
      </c>
      <c r="F59">
        <v>33</v>
      </c>
      <c r="G59">
        <v>74</v>
      </c>
      <c r="H59">
        <v>304.39999999999998</v>
      </c>
      <c r="I59" s="14">
        <v>326.92257261212899</v>
      </c>
      <c r="J59">
        <v>84</v>
      </c>
      <c r="K59">
        <v>61</v>
      </c>
      <c r="L59">
        <v>78</v>
      </c>
      <c r="M59">
        <v>58</v>
      </c>
      <c r="N59" s="143">
        <v>3.8461538461538464E-2</v>
      </c>
      <c r="O59" s="143">
        <v>0.11538461538461539</v>
      </c>
      <c r="P59">
        <v>30</v>
      </c>
    </row>
    <row r="60" spans="1:16">
      <c r="A60" t="s">
        <v>117</v>
      </c>
      <c r="B60">
        <v>115</v>
      </c>
      <c r="C60">
        <v>94</v>
      </c>
      <c r="D60">
        <v>11</v>
      </c>
      <c r="E60">
        <v>178</v>
      </c>
      <c r="F60">
        <v>174</v>
      </c>
      <c r="G60">
        <v>73</v>
      </c>
      <c r="H60">
        <v>314.3</v>
      </c>
      <c r="I60" s="14">
        <v>334.9432168367743</v>
      </c>
      <c r="J60">
        <v>98</v>
      </c>
      <c r="K60">
        <v>71</v>
      </c>
      <c r="L60">
        <v>82</v>
      </c>
      <c r="M60">
        <v>59</v>
      </c>
      <c r="N60" s="143">
        <v>0</v>
      </c>
      <c r="O60" s="143">
        <v>0</v>
      </c>
      <c r="P60">
        <v>0</v>
      </c>
    </row>
    <row r="61" spans="1:16">
      <c r="A61" t="s">
        <v>42</v>
      </c>
      <c r="B61">
        <v>50</v>
      </c>
      <c r="C61">
        <v>167</v>
      </c>
      <c r="D61">
        <v>106</v>
      </c>
      <c r="E61">
        <v>4</v>
      </c>
      <c r="F61">
        <v>180</v>
      </c>
      <c r="G61">
        <v>87</v>
      </c>
      <c r="H61">
        <v>306</v>
      </c>
      <c r="I61" s="14">
        <v>336.68770732177711</v>
      </c>
      <c r="J61">
        <v>87</v>
      </c>
      <c r="K61">
        <v>63</v>
      </c>
      <c r="L61">
        <v>83</v>
      </c>
      <c r="M61">
        <v>60</v>
      </c>
      <c r="N61" s="143">
        <v>0</v>
      </c>
      <c r="O61" s="143">
        <v>0</v>
      </c>
      <c r="P61">
        <v>29</v>
      </c>
    </row>
    <row r="62" spans="1:16">
      <c r="A62" t="s">
        <v>21</v>
      </c>
      <c r="B62">
        <v>30</v>
      </c>
      <c r="C62">
        <v>201</v>
      </c>
      <c r="D62">
        <v>72</v>
      </c>
      <c r="E62">
        <v>147</v>
      </c>
      <c r="F62">
        <v>96</v>
      </c>
      <c r="G62">
        <v>81</v>
      </c>
      <c r="H62">
        <v>301.8</v>
      </c>
      <c r="I62" s="14">
        <v>340.66186585816371</v>
      </c>
      <c r="J62">
        <v>81</v>
      </c>
      <c r="K62">
        <v>58</v>
      </c>
      <c r="L62">
        <v>85</v>
      </c>
      <c r="M62">
        <v>61</v>
      </c>
      <c r="N62" s="143">
        <v>0</v>
      </c>
      <c r="O62" s="143">
        <v>2.8571428571428571E-2</v>
      </c>
      <c r="P62">
        <v>-9</v>
      </c>
    </row>
    <row r="63" spans="1:16">
      <c r="A63" t="s">
        <v>54</v>
      </c>
      <c r="B63">
        <v>22</v>
      </c>
      <c r="C63">
        <v>196</v>
      </c>
      <c r="D63">
        <v>54</v>
      </c>
      <c r="E63">
        <v>43</v>
      </c>
      <c r="F63">
        <v>196</v>
      </c>
      <c r="G63">
        <v>104</v>
      </c>
      <c r="H63">
        <v>288.2</v>
      </c>
      <c r="I63" s="14">
        <v>340.88700657827997</v>
      </c>
      <c r="J63">
        <v>72</v>
      </c>
      <c r="K63">
        <v>54</v>
      </c>
      <c r="L63">
        <v>86</v>
      </c>
      <c r="M63">
        <v>62</v>
      </c>
      <c r="N63" s="143">
        <v>0</v>
      </c>
      <c r="O63" s="143">
        <v>0.04</v>
      </c>
      <c r="P63">
        <v>-97</v>
      </c>
    </row>
    <row r="64" spans="1:16">
      <c r="A64" t="s">
        <v>82</v>
      </c>
      <c r="B64">
        <v>151</v>
      </c>
      <c r="C64">
        <v>157</v>
      </c>
      <c r="D64">
        <v>101</v>
      </c>
      <c r="E64">
        <v>6</v>
      </c>
      <c r="F64">
        <v>131</v>
      </c>
      <c r="G64">
        <v>71</v>
      </c>
      <c r="H64">
        <v>353.59999999999997</v>
      </c>
      <c r="I64" s="14">
        <v>343.44090434275262</v>
      </c>
      <c r="J64">
        <v>134</v>
      </c>
      <c r="K64">
        <v>87</v>
      </c>
      <c r="L64">
        <v>89</v>
      </c>
      <c r="M64">
        <v>63</v>
      </c>
      <c r="N64" s="120">
        <v>0</v>
      </c>
      <c r="O64" s="120">
        <v>0</v>
      </c>
      <c r="P64">
        <v>-11</v>
      </c>
    </row>
    <row r="65" spans="1:16">
      <c r="A65" t="s">
        <v>155</v>
      </c>
      <c r="B65">
        <v>164</v>
      </c>
      <c r="C65">
        <v>173</v>
      </c>
      <c r="D65">
        <v>44</v>
      </c>
      <c r="E65">
        <v>13</v>
      </c>
      <c r="F65">
        <v>135</v>
      </c>
      <c r="G65">
        <v>95</v>
      </c>
      <c r="H65">
        <v>338.5</v>
      </c>
      <c r="I65" s="14">
        <v>346.44807102360687</v>
      </c>
      <c r="J65">
        <v>118</v>
      </c>
      <c r="K65">
        <v>80</v>
      </c>
      <c r="L65">
        <v>91</v>
      </c>
      <c r="M65">
        <v>64</v>
      </c>
      <c r="N65" s="120">
        <v>0</v>
      </c>
      <c r="O65" s="120">
        <v>0</v>
      </c>
      <c r="P65">
        <v>5</v>
      </c>
    </row>
    <row r="66" spans="1:16">
      <c r="A66" t="s">
        <v>126</v>
      </c>
      <c r="B66">
        <v>98</v>
      </c>
      <c r="C66">
        <v>33</v>
      </c>
      <c r="D66">
        <v>79</v>
      </c>
      <c r="E66">
        <v>150</v>
      </c>
      <c r="F66">
        <v>124</v>
      </c>
      <c r="G66">
        <v>107</v>
      </c>
      <c r="H66">
        <v>275.5</v>
      </c>
      <c r="I66" s="14">
        <v>346.72531489909966</v>
      </c>
      <c r="J66">
        <v>59</v>
      </c>
      <c r="K66">
        <v>46</v>
      </c>
      <c r="L66">
        <v>92</v>
      </c>
      <c r="M66">
        <v>65</v>
      </c>
      <c r="N66" s="143">
        <v>0</v>
      </c>
      <c r="O66" s="143">
        <v>3.2258064516129031E-2</v>
      </c>
      <c r="P66">
        <v>68</v>
      </c>
    </row>
    <row r="67" spans="1:16">
      <c r="A67" t="s">
        <v>28</v>
      </c>
      <c r="B67">
        <v>14</v>
      </c>
      <c r="C67">
        <v>96</v>
      </c>
      <c r="D67">
        <v>81</v>
      </c>
      <c r="E67">
        <v>158</v>
      </c>
      <c r="F67">
        <v>165</v>
      </c>
      <c r="G67">
        <v>100</v>
      </c>
      <c r="H67">
        <v>271.2</v>
      </c>
      <c r="I67" s="14">
        <v>347.37519503169517</v>
      </c>
      <c r="J67">
        <v>54</v>
      </c>
      <c r="K67">
        <v>41</v>
      </c>
      <c r="L67">
        <v>93</v>
      </c>
      <c r="M67">
        <v>66</v>
      </c>
      <c r="N67" s="143">
        <v>0</v>
      </c>
      <c r="O67" s="143">
        <v>6.6666666666666666E-2</v>
      </c>
      <c r="P67">
        <v>-51</v>
      </c>
    </row>
    <row r="68" spans="1:16">
      <c r="A68" t="s">
        <v>59</v>
      </c>
      <c r="B68">
        <v>95</v>
      </c>
      <c r="C68">
        <v>119</v>
      </c>
      <c r="D68">
        <v>172</v>
      </c>
      <c r="E68">
        <v>17</v>
      </c>
      <c r="F68">
        <v>58</v>
      </c>
      <c r="G68">
        <v>98</v>
      </c>
      <c r="H68">
        <v>303.59999999999997</v>
      </c>
      <c r="I68" s="14">
        <v>348.43231789455297</v>
      </c>
      <c r="J68">
        <v>82</v>
      </c>
      <c r="K68">
        <v>59</v>
      </c>
      <c r="L68">
        <v>94</v>
      </c>
      <c r="M68">
        <v>67</v>
      </c>
      <c r="N68" s="143">
        <v>0</v>
      </c>
      <c r="O68" s="143">
        <v>0</v>
      </c>
      <c r="P68">
        <v>9</v>
      </c>
    </row>
    <row r="69" spans="1:16">
      <c r="A69" t="s">
        <v>101</v>
      </c>
      <c r="B69">
        <v>100</v>
      </c>
      <c r="C69">
        <v>98</v>
      </c>
      <c r="D69">
        <v>53</v>
      </c>
      <c r="E69">
        <v>200</v>
      </c>
      <c r="F69">
        <v>101</v>
      </c>
      <c r="G69">
        <v>88</v>
      </c>
      <c r="H69">
        <v>306.39999999999998</v>
      </c>
      <c r="I69" s="14">
        <v>351.62400444653224</v>
      </c>
      <c r="J69">
        <v>88</v>
      </c>
      <c r="K69">
        <v>64</v>
      </c>
      <c r="L69">
        <v>97</v>
      </c>
      <c r="M69">
        <v>68</v>
      </c>
      <c r="N69" s="143">
        <v>0</v>
      </c>
      <c r="O69" s="143">
        <v>2.9411764705882353E-2</v>
      </c>
      <c r="P69">
        <v>-21</v>
      </c>
    </row>
    <row r="70" spans="1:16">
      <c r="A70" t="s">
        <v>53</v>
      </c>
      <c r="B70">
        <v>37</v>
      </c>
      <c r="C70">
        <v>212</v>
      </c>
      <c r="D70">
        <v>41</v>
      </c>
      <c r="E70">
        <v>135</v>
      </c>
      <c r="F70">
        <v>129</v>
      </c>
      <c r="G70">
        <v>98</v>
      </c>
      <c r="H70">
        <v>304</v>
      </c>
      <c r="I70" s="14">
        <v>353.30584718567422</v>
      </c>
      <c r="J70">
        <v>83</v>
      </c>
      <c r="K70">
        <v>60</v>
      </c>
      <c r="L70">
        <v>98</v>
      </c>
      <c r="M70">
        <v>69</v>
      </c>
      <c r="N70" s="143">
        <v>0</v>
      </c>
      <c r="O70" s="143">
        <v>0</v>
      </c>
      <c r="P70">
        <v>16</v>
      </c>
    </row>
    <row r="71" spans="1:16">
      <c r="A71" t="s">
        <v>90</v>
      </c>
      <c r="B71">
        <v>56</v>
      </c>
      <c r="C71">
        <v>68</v>
      </c>
      <c r="D71">
        <v>68</v>
      </c>
      <c r="E71">
        <v>169</v>
      </c>
      <c r="F71">
        <v>141</v>
      </c>
      <c r="G71">
        <v>113</v>
      </c>
      <c r="H71">
        <v>271.3</v>
      </c>
      <c r="I71" s="14">
        <v>355.09453474879376</v>
      </c>
      <c r="J71">
        <v>56</v>
      </c>
      <c r="K71">
        <v>43</v>
      </c>
      <c r="L71">
        <v>99</v>
      </c>
      <c r="M71">
        <v>70</v>
      </c>
      <c r="N71" s="143">
        <v>0</v>
      </c>
      <c r="O71" s="143">
        <v>6.0606060606060608E-2</v>
      </c>
      <c r="P71">
        <v>-26</v>
      </c>
    </row>
    <row r="72" spans="1:16">
      <c r="A72" t="s">
        <v>152</v>
      </c>
      <c r="B72">
        <v>149</v>
      </c>
      <c r="C72">
        <v>6</v>
      </c>
      <c r="D72">
        <v>131</v>
      </c>
      <c r="E72">
        <v>84</v>
      </c>
      <c r="F72">
        <v>127</v>
      </c>
      <c r="G72">
        <v>95</v>
      </c>
      <c r="H72">
        <v>311.60000000000002</v>
      </c>
      <c r="I72" s="14">
        <v>355.85356726042448</v>
      </c>
      <c r="J72">
        <v>95</v>
      </c>
      <c r="K72">
        <v>69</v>
      </c>
      <c r="L72">
        <v>100</v>
      </c>
      <c r="M72">
        <v>71</v>
      </c>
      <c r="N72" s="120">
        <v>0</v>
      </c>
      <c r="O72" s="120">
        <v>3.125E-2</v>
      </c>
      <c r="P72">
        <v>-66</v>
      </c>
    </row>
    <row r="73" spans="1:16">
      <c r="A73" t="s">
        <v>142</v>
      </c>
      <c r="B73">
        <v>173</v>
      </c>
      <c r="C73">
        <v>180</v>
      </c>
      <c r="D73">
        <v>94</v>
      </c>
      <c r="E73">
        <v>37</v>
      </c>
      <c r="F73">
        <v>50</v>
      </c>
      <c r="G73">
        <v>92</v>
      </c>
      <c r="H73">
        <v>352</v>
      </c>
      <c r="I73" s="14">
        <v>359.73137357815409</v>
      </c>
      <c r="J73">
        <v>132</v>
      </c>
      <c r="K73">
        <v>86</v>
      </c>
      <c r="L73">
        <v>101</v>
      </c>
      <c r="M73">
        <v>72</v>
      </c>
      <c r="N73" s="120">
        <v>0</v>
      </c>
      <c r="O73" s="120">
        <v>0</v>
      </c>
      <c r="P73">
        <v>67</v>
      </c>
    </row>
    <row r="74" spans="1:16">
      <c r="A74" t="s">
        <v>163</v>
      </c>
      <c r="B74">
        <v>166</v>
      </c>
      <c r="C74">
        <v>13</v>
      </c>
      <c r="D74">
        <v>70</v>
      </c>
      <c r="E74">
        <v>34</v>
      </c>
      <c r="F74">
        <v>204</v>
      </c>
      <c r="G74">
        <v>131</v>
      </c>
      <c r="H74">
        <v>305.20000000000005</v>
      </c>
      <c r="I74" s="14">
        <v>371.79049165873869</v>
      </c>
      <c r="J74">
        <v>85</v>
      </c>
      <c r="K74">
        <v>62</v>
      </c>
      <c r="L74">
        <v>106</v>
      </c>
      <c r="M74">
        <v>73</v>
      </c>
      <c r="N74" s="120">
        <v>0</v>
      </c>
      <c r="O74" s="120">
        <v>5.7142857142857141E-2</v>
      </c>
      <c r="P74">
        <v>3</v>
      </c>
    </row>
    <row r="75" spans="1:16">
      <c r="A75" t="s">
        <v>56</v>
      </c>
      <c r="B75">
        <v>51</v>
      </c>
      <c r="C75">
        <v>156</v>
      </c>
      <c r="D75">
        <v>116</v>
      </c>
      <c r="E75">
        <v>83</v>
      </c>
      <c r="F75">
        <v>116</v>
      </c>
      <c r="G75">
        <v>117</v>
      </c>
      <c r="H75">
        <v>306.8</v>
      </c>
      <c r="I75" s="14">
        <v>377.688680307288</v>
      </c>
      <c r="J75">
        <v>90</v>
      </c>
      <c r="K75">
        <v>65</v>
      </c>
      <c r="L75">
        <v>110</v>
      </c>
      <c r="M75">
        <v>74</v>
      </c>
      <c r="N75" s="143">
        <v>0</v>
      </c>
      <c r="O75" s="143">
        <v>0</v>
      </c>
      <c r="P75">
        <v>-7</v>
      </c>
    </row>
    <row r="76" spans="1:16">
      <c r="A76" t="s">
        <v>179</v>
      </c>
      <c r="B76">
        <v>203</v>
      </c>
      <c r="C76">
        <v>16</v>
      </c>
      <c r="D76">
        <v>27</v>
      </c>
      <c r="E76">
        <v>174</v>
      </c>
      <c r="F76">
        <v>134</v>
      </c>
      <c r="G76">
        <v>119</v>
      </c>
      <c r="H76">
        <v>327.5</v>
      </c>
      <c r="I76" s="14">
        <v>383.51213958787207</v>
      </c>
      <c r="J76">
        <v>105</v>
      </c>
      <c r="K76">
        <v>75</v>
      </c>
      <c r="L76">
        <v>111</v>
      </c>
      <c r="M76">
        <v>75</v>
      </c>
      <c r="N76" s="120">
        <v>0</v>
      </c>
      <c r="O76" s="120">
        <v>0</v>
      </c>
      <c r="P76">
        <v>11</v>
      </c>
    </row>
    <row r="77" spans="1:16">
      <c r="A77" t="s">
        <v>33</v>
      </c>
      <c r="B77">
        <v>19</v>
      </c>
      <c r="C77">
        <v>144</v>
      </c>
      <c r="D77">
        <v>156</v>
      </c>
      <c r="E77">
        <v>179</v>
      </c>
      <c r="F77">
        <v>61</v>
      </c>
      <c r="G77">
        <v>104</v>
      </c>
      <c r="H77">
        <v>312.89999999999998</v>
      </c>
      <c r="I77" s="14">
        <v>390.9983576043615</v>
      </c>
      <c r="J77">
        <v>96</v>
      </c>
      <c r="K77">
        <v>70</v>
      </c>
      <c r="L77">
        <v>115</v>
      </c>
      <c r="M77">
        <v>76</v>
      </c>
      <c r="N77" s="143">
        <v>0</v>
      </c>
      <c r="O77" s="143">
        <v>0</v>
      </c>
      <c r="P77">
        <v>40</v>
      </c>
    </row>
    <row r="78" spans="1:16">
      <c r="A78" t="s">
        <v>89</v>
      </c>
      <c r="B78">
        <v>119</v>
      </c>
      <c r="C78">
        <v>113</v>
      </c>
      <c r="D78">
        <v>163</v>
      </c>
      <c r="E78">
        <v>88</v>
      </c>
      <c r="F78">
        <v>85</v>
      </c>
      <c r="G78">
        <v>94</v>
      </c>
      <c r="H78">
        <v>354.8</v>
      </c>
      <c r="I78" s="14">
        <v>391.65608389637259</v>
      </c>
      <c r="J78">
        <v>137</v>
      </c>
      <c r="K78">
        <v>88</v>
      </c>
      <c r="L78">
        <v>116</v>
      </c>
      <c r="M78">
        <v>77</v>
      </c>
      <c r="N78" s="143">
        <v>0</v>
      </c>
      <c r="O78" s="143">
        <v>0</v>
      </c>
      <c r="P78">
        <v>1</v>
      </c>
    </row>
    <row r="79" spans="1:16">
      <c r="A79" t="s">
        <v>122</v>
      </c>
      <c r="B79">
        <v>146</v>
      </c>
      <c r="C79">
        <v>82</v>
      </c>
      <c r="D79">
        <v>142</v>
      </c>
      <c r="E79">
        <v>86</v>
      </c>
      <c r="F79">
        <v>89</v>
      </c>
      <c r="G79">
        <v>109</v>
      </c>
      <c r="H79">
        <v>344.29999999999995</v>
      </c>
      <c r="I79" s="14">
        <v>393.19211508986831</v>
      </c>
      <c r="J79">
        <v>126</v>
      </c>
      <c r="K79">
        <v>83</v>
      </c>
      <c r="L79">
        <v>117</v>
      </c>
      <c r="M79">
        <v>78</v>
      </c>
      <c r="N79" s="120">
        <v>0</v>
      </c>
      <c r="O79" s="120">
        <v>3.125E-2</v>
      </c>
      <c r="P79">
        <v>16</v>
      </c>
    </row>
    <row r="80" spans="1:16">
      <c r="A80" t="s">
        <v>242</v>
      </c>
      <c r="B80">
        <v>191</v>
      </c>
      <c r="C80">
        <v>16</v>
      </c>
      <c r="D80">
        <v>132</v>
      </c>
      <c r="E80">
        <v>167</v>
      </c>
      <c r="F80">
        <v>42</v>
      </c>
      <c r="G80">
        <v>115</v>
      </c>
      <c r="H80">
        <v>342.6</v>
      </c>
      <c r="I80" s="14">
        <v>403.04994089820457</v>
      </c>
      <c r="J80">
        <v>124</v>
      </c>
      <c r="K80">
        <v>82</v>
      </c>
      <c r="L80">
        <v>121</v>
      </c>
      <c r="M80">
        <v>79</v>
      </c>
      <c r="N80" s="120">
        <v>0</v>
      </c>
      <c r="O80" s="120">
        <v>0</v>
      </c>
      <c r="P80">
        <v>91</v>
      </c>
    </row>
    <row r="81" spans="1:16">
      <c r="A81" t="s">
        <v>87</v>
      </c>
      <c r="B81">
        <v>79</v>
      </c>
      <c r="C81">
        <v>130</v>
      </c>
      <c r="D81">
        <v>115</v>
      </c>
      <c r="E81">
        <v>121</v>
      </c>
      <c r="F81">
        <v>125</v>
      </c>
      <c r="G81">
        <v>121</v>
      </c>
      <c r="H81">
        <v>332.6</v>
      </c>
      <c r="I81" s="14">
        <v>405.0414062807867</v>
      </c>
      <c r="J81">
        <v>113</v>
      </c>
      <c r="K81">
        <v>78</v>
      </c>
      <c r="L81">
        <v>123</v>
      </c>
      <c r="M81">
        <v>80</v>
      </c>
      <c r="N81" s="143">
        <v>0</v>
      </c>
      <c r="O81" s="143">
        <v>0</v>
      </c>
      <c r="P81">
        <v>34</v>
      </c>
    </row>
    <row r="82" spans="1:16">
      <c r="A82" t="s">
        <v>166</v>
      </c>
      <c r="B82">
        <v>147</v>
      </c>
      <c r="C82">
        <v>2</v>
      </c>
      <c r="D82">
        <v>64</v>
      </c>
      <c r="E82">
        <v>100</v>
      </c>
      <c r="F82">
        <v>208</v>
      </c>
      <c r="G82">
        <v>153</v>
      </c>
      <c r="H82">
        <v>307.60000000000002</v>
      </c>
      <c r="I82" s="14">
        <v>407.1274940410562</v>
      </c>
      <c r="J82">
        <v>92</v>
      </c>
      <c r="K82">
        <v>67</v>
      </c>
      <c r="L82">
        <v>125</v>
      </c>
      <c r="M82">
        <v>81</v>
      </c>
      <c r="N82" s="120">
        <v>0.04</v>
      </c>
      <c r="O82" s="120">
        <v>0.04</v>
      </c>
      <c r="P82">
        <v>14</v>
      </c>
    </row>
    <row r="83" spans="1:16">
      <c r="A83" t="s">
        <v>17</v>
      </c>
      <c r="B83">
        <v>4</v>
      </c>
      <c r="C83">
        <v>126</v>
      </c>
      <c r="D83">
        <v>33</v>
      </c>
      <c r="E83">
        <v>215</v>
      </c>
      <c r="F83">
        <v>195</v>
      </c>
      <c r="G83">
        <v>149</v>
      </c>
      <c r="H83">
        <v>285.39999999999998</v>
      </c>
      <c r="I83" s="14">
        <v>410.04058768095615</v>
      </c>
      <c r="J83">
        <v>68</v>
      </c>
      <c r="K83">
        <v>52</v>
      </c>
      <c r="L83">
        <v>126</v>
      </c>
      <c r="M83">
        <v>82</v>
      </c>
      <c r="N83" s="143">
        <v>0</v>
      </c>
      <c r="O83" s="143">
        <v>4.1666666666666664E-2</v>
      </c>
      <c r="P83">
        <v>-31</v>
      </c>
    </row>
    <row r="84" spans="1:16">
      <c r="A84" t="s">
        <v>220</v>
      </c>
      <c r="B84">
        <v>213</v>
      </c>
      <c r="C84">
        <v>184</v>
      </c>
      <c r="D84">
        <v>65</v>
      </c>
      <c r="E84">
        <v>144</v>
      </c>
      <c r="F84">
        <v>12</v>
      </c>
      <c r="G84">
        <v>110</v>
      </c>
      <c r="H84">
        <v>389.90000000000003</v>
      </c>
      <c r="I84" s="14">
        <v>411.83987353676702</v>
      </c>
      <c r="J84">
        <v>164</v>
      </c>
      <c r="K84">
        <v>103</v>
      </c>
      <c r="L84">
        <v>127</v>
      </c>
      <c r="M84">
        <v>83</v>
      </c>
      <c r="N84" s="120">
        <v>0</v>
      </c>
      <c r="O84" s="120">
        <v>0</v>
      </c>
      <c r="P84" t="e">
        <v>#N/A</v>
      </c>
    </row>
    <row r="85" spans="1:16">
      <c r="A85" t="s">
        <v>240</v>
      </c>
      <c r="B85">
        <v>184</v>
      </c>
      <c r="C85">
        <v>94</v>
      </c>
      <c r="D85">
        <v>26</v>
      </c>
      <c r="E85">
        <v>203</v>
      </c>
      <c r="F85">
        <v>114</v>
      </c>
      <c r="G85">
        <v>124</v>
      </c>
      <c r="H85">
        <v>360</v>
      </c>
      <c r="I85" s="14">
        <v>416.44784802149309</v>
      </c>
      <c r="J85">
        <v>139</v>
      </c>
      <c r="K85">
        <v>89</v>
      </c>
      <c r="L85">
        <v>129</v>
      </c>
      <c r="M85">
        <v>84</v>
      </c>
      <c r="N85" s="120">
        <v>0</v>
      </c>
      <c r="O85" s="120">
        <v>0</v>
      </c>
      <c r="P85">
        <v>79</v>
      </c>
    </row>
    <row r="86" spans="1:16">
      <c r="A86" t="s">
        <v>236</v>
      </c>
      <c r="B86">
        <v>182</v>
      </c>
      <c r="C86">
        <v>70</v>
      </c>
      <c r="D86">
        <v>154</v>
      </c>
      <c r="E86">
        <v>109</v>
      </c>
      <c r="F86">
        <v>49</v>
      </c>
      <c r="G86">
        <v>118</v>
      </c>
      <c r="H86">
        <v>363.5</v>
      </c>
      <c r="I86" s="14">
        <v>416.59689816724637</v>
      </c>
      <c r="J86">
        <v>142</v>
      </c>
      <c r="K86">
        <v>91</v>
      </c>
      <c r="L86">
        <v>130</v>
      </c>
      <c r="M86">
        <v>85</v>
      </c>
      <c r="N86" s="120">
        <v>0</v>
      </c>
      <c r="O86" s="120">
        <v>0</v>
      </c>
      <c r="P86">
        <v>15</v>
      </c>
    </row>
    <row r="87" spans="1:16">
      <c r="A87" t="s">
        <v>23</v>
      </c>
      <c r="B87">
        <v>30</v>
      </c>
      <c r="C87">
        <v>165</v>
      </c>
      <c r="D87">
        <v>118</v>
      </c>
      <c r="E87">
        <v>79</v>
      </c>
      <c r="F87">
        <v>206</v>
      </c>
      <c r="G87">
        <v>127</v>
      </c>
      <c r="H87">
        <v>340.2</v>
      </c>
      <c r="I87" s="14">
        <v>419.40721556251253</v>
      </c>
      <c r="J87">
        <v>121</v>
      </c>
      <c r="K87">
        <v>81</v>
      </c>
      <c r="L87">
        <v>131</v>
      </c>
      <c r="M87">
        <v>86</v>
      </c>
      <c r="N87" s="143">
        <v>0</v>
      </c>
      <c r="O87" s="143">
        <v>0</v>
      </c>
      <c r="P87">
        <v>18</v>
      </c>
    </row>
    <row r="88" spans="1:16">
      <c r="A88" t="s">
        <v>55</v>
      </c>
      <c r="B88">
        <v>119</v>
      </c>
      <c r="C88">
        <v>138</v>
      </c>
      <c r="D88">
        <v>20</v>
      </c>
      <c r="E88">
        <v>157</v>
      </c>
      <c r="F88">
        <v>181</v>
      </c>
      <c r="G88">
        <v>137</v>
      </c>
      <c r="H88">
        <v>345.3</v>
      </c>
      <c r="I88" s="14">
        <v>419.58180501817094</v>
      </c>
      <c r="J88">
        <v>127</v>
      </c>
      <c r="K88">
        <v>84</v>
      </c>
      <c r="L88">
        <v>132</v>
      </c>
      <c r="M88">
        <v>87</v>
      </c>
      <c r="N88" s="143">
        <v>0</v>
      </c>
      <c r="O88" s="143">
        <v>0</v>
      </c>
      <c r="P88">
        <v>-24</v>
      </c>
    </row>
    <row r="89" spans="1:16">
      <c r="A89" t="s">
        <v>32</v>
      </c>
      <c r="B89">
        <v>55</v>
      </c>
      <c r="C89">
        <v>164</v>
      </c>
      <c r="D89">
        <v>97</v>
      </c>
      <c r="E89">
        <v>189</v>
      </c>
      <c r="F89">
        <v>123</v>
      </c>
      <c r="G89">
        <v>123</v>
      </c>
      <c r="H89">
        <v>347.4</v>
      </c>
      <c r="I89" s="14">
        <v>427.29455843907203</v>
      </c>
      <c r="J89">
        <v>129</v>
      </c>
      <c r="K89">
        <v>85</v>
      </c>
      <c r="L89">
        <v>133</v>
      </c>
      <c r="M89">
        <v>88</v>
      </c>
      <c r="N89" s="143">
        <v>0</v>
      </c>
      <c r="O89" s="143">
        <v>3.0303030303030304E-2</v>
      </c>
      <c r="P89">
        <v>17</v>
      </c>
    </row>
    <row r="90" spans="1:16">
      <c r="A90" t="s">
        <v>24</v>
      </c>
      <c r="B90">
        <v>23</v>
      </c>
      <c r="C90">
        <v>218</v>
      </c>
      <c r="D90">
        <v>63</v>
      </c>
      <c r="E90">
        <v>195</v>
      </c>
      <c r="F90">
        <v>117</v>
      </c>
      <c r="G90">
        <v>145</v>
      </c>
      <c r="H90">
        <v>329.79999999999995</v>
      </c>
      <c r="I90" s="14">
        <v>433.16395958409151</v>
      </c>
      <c r="J90">
        <v>110</v>
      </c>
      <c r="K90">
        <v>76</v>
      </c>
      <c r="L90">
        <v>134</v>
      </c>
      <c r="M90">
        <v>89</v>
      </c>
      <c r="N90" s="143">
        <v>0</v>
      </c>
      <c r="O90" s="143">
        <v>3.7037037037037035E-2</v>
      </c>
      <c r="P90">
        <v>-25</v>
      </c>
    </row>
    <row r="91" spans="1:16">
      <c r="A91" t="s">
        <v>91</v>
      </c>
      <c r="B91">
        <v>45</v>
      </c>
      <c r="C91">
        <v>131</v>
      </c>
      <c r="D91">
        <v>162</v>
      </c>
      <c r="E91">
        <v>59</v>
      </c>
      <c r="F91">
        <v>164</v>
      </c>
      <c r="G91">
        <v>156</v>
      </c>
      <c r="H91">
        <v>333.6</v>
      </c>
      <c r="I91" s="14">
        <v>444.4312313196038</v>
      </c>
      <c r="J91">
        <v>114</v>
      </c>
      <c r="K91">
        <v>79</v>
      </c>
      <c r="L91">
        <v>140</v>
      </c>
      <c r="M91">
        <v>90</v>
      </c>
      <c r="N91" s="143">
        <v>0</v>
      </c>
      <c r="O91" s="143">
        <v>3.0303030303030304E-2</v>
      </c>
      <c r="P91">
        <v>30</v>
      </c>
    </row>
    <row r="92" spans="1:16">
      <c r="A92" t="s">
        <v>167</v>
      </c>
      <c r="B92">
        <v>174</v>
      </c>
      <c r="C92">
        <v>92</v>
      </c>
      <c r="D92">
        <v>202</v>
      </c>
      <c r="E92">
        <v>91</v>
      </c>
      <c r="F92">
        <v>11</v>
      </c>
      <c r="G92">
        <v>133</v>
      </c>
      <c r="H92">
        <v>377.69999999999993</v>
      </c>
      <c r="I92" s="14">
        <v>445.58696618743386</v>
      </c>
      <c r="J92">
        <v>151</v>
      </c>
      <c r="K92">
        <v>97</v>
      </c>
      <c r="L92">
        <v>141</v>
      </c>
      <c r="M92">
        <v>91</v>
      </c>
      <c r="N92" s="120">
        <v>0</v>
      </c>
      <c r="O92" s="120">
        <v>0</v>
      </c>
      <c r="P92">
        <v>20</v>
      </c>
    </row>
    <row r="93" spans="1:16">
      <c r="A93" t="s">
        <v>165</v>
      </c>
      <c r="B93">
        <v>158</v>
      </c>
      <c r="C93">
        <v>30</v>
      </c>
      <c r="D93">
        <v>187</v>
      </c>
      <c r="E93">
        <v>3</v>
      </c>
      <c r="F93">
        <v>168</v>
      </c>
      <c r="G93">
        <v>151</v>
      </c>
      <c r="H93">
        <v>360.5</v>
      </c>
      <c r="I93" s="14">
        <v>446.18158512806104</v>
      </c>
      <c r="J93">
        <v>140</v>
      </c>
      <c r="K93">
        <v>90</v>
      </c>
      <c r="L93">
        <v>142</v>
      </c>
      <c r="M93">
        <v>92</v>
      </c>
      <c r="N93" s="120">
        <v>0</v>
      </c>
      <c r="O93" s="120">
        <v>0</v>
      </c>
      <c r="P93">
        <v>-36</v>
      </c>
    </row>
    <row r="94" spans="1:16">
      <c r="A94" t="s">
        <v>123</v>
      </c>
      <c r="B94">
        <v>141</v>
      </c>
      <c r="C94">
        <v>99</v>
      </c>
      <c r="D94">
        <v>138</v>
      </c>
      <c r="E94">
        <v>163</v>
      </c>
      <c r="F94">
        <v>86</v>
      </c>
      <c r="G94">
        <v>128</v>
      </c>
      <c r="H94">
        <v>377</v>
      </c>
      <c r="I94" s="14">
        <v>447.99111981562334</v>
      </c>
      <c r="J94">
        <v>150</v>
      </c>
      <c r="K94">
        <v>96</v>
      </c>
      <c r="L94">
        <v>143</v>
      </c>
      <c r="M94">
        <v>93</v>
      </c>
      <c r="N94" s="120">
        <v>0</v>
      </c>
      <c r="O94" s="120">
        <v>0</v>
      </c>
      <c r="P94">
        <v>-49</v>
      </c>
    </row>
    <row r="95" spans="1:16">
      <c r="A95" t="s">
        <v>45</v>
      </c>
      <c r="B95">
        <v>66</v>
      </c>
      <c r="C95">
        <v>199</v>
      </c>
      <c r="D95">
        <v>108</v>
      </c>
      <c r="E95">
        <v>127</v>
      </c>
      <c r="F95">
        <v>133</v>
      </c>
      <c r="G95">
        <v>141</v>
      </c>
      <c r="H95">
        <v>365.09999999999997</v>
      </c>
      <c r="I95" s="14">
        <v>449.58855327900039</v>
      </c>
      <c r="J95">
        <v>144</v>
      </c>
      <c r="K95">
        <v>92</v>
      </c>
      <c r="L95">
        <v>144</v>
      </c>
      <c r="M95">
        <v>94</v>
      </c>
      <c r="N95" s="143">
        <v>0</v>
      </c>
      <c r="O95" s="143">
        <v>0</v>
      </c>
      <c r="P95">
        <v>17</v>
      </c>
    </row>
    <row r="96" spans="1:16">
      <c r="A96" t="s">
        <v>41</v>
      </c>
      <c r="B96">
        <v>36</v>
      </c>
      <c r="C96">
        <v>211</v>
      </c>
      <c r="D96">
        <v>150</v>
      </c>
      <c r="E96">
        <v>145</v>
      </c>
      <c r="F96">
        <v>122</v>
      </c>
      <c r="G96">
        <v>132</v>
      </c>
      <c r="H96">
        <v>379.4</v>
      </c>
      <c r="I96" s="14">
        <v>463.11043860668815</v>
      </c>
      <c r="J96">
        <v>154</v>
      </c>
      <c r="K96">
        <v>99</v>
      </c>
      <c r="L96">
        <v>150</v>
      </c>
      <c r="M96">
        <v>95</v>
      </c>
      <c r="N96" s="143">
        <v>0</v>
      </c>
      <c r="O96" s="143">
        <v>0</v>
      </c>
      <c r="P96">
        <v>24</v>
      </c>
    </row>
    <row r="97" spans="1:16">
      <c r="A97" t="s">
        <v>133</v>
      </c>
      <c r="B97">
        <v>170</v>
      </c>
      <c r="C97">
        <v>54</v>
      </c>
      <c r="D97">
        <v>173</v>
      </c>
      <c r="E97">
        <v>84</v>
      </c>
      <c r="F97">
        <v>132</v>
      </c>
      <c r="G97">
        <v>140</v>
      </c>
      <c r="H97">
        <v>389.1</v>
      </c>
      <c r="I97" s="14">
        <v>463.21930565560302</v>
      </c>
      <c r="J97">
        <v>162</v>
      </c>
      <c r="K97">
        <v>102</v>
      </c>
      <c r="L97">
        <v>151</v>
      </c>
      <c r="M97">
        <v>96</v>
      </c>
      <c r="N97" s="120">
        <v>0</v>
      </c>
      <c r="O97" s="120">
        <v>0</v>
      </c>
      <c r="P97">
        <v>-3</v>
      </c>
    </row>
    <row r="98" spans="1:16">
      <c r="A98" t="s">
        <v>77</v>
      </c>
      <c r="B98">
        <v>77</v>
      </c>
      <c r="C98">
        <v>204</v>
      </c>
      <c r="D98">
        <v>96</v>
      </c>
      <c r="E98">
        <v>185</v>
      </c>
      <c r="F98">
        <v>107</v>
      </c>
      <c r="G98">
        <v>143</v>
      </c>
      <c r="H98">
        <v>378.7</v>
      </c>
      <c r="I98" s="14">
        <v>466.16612927279857</v>
      </c>
      <c r="J98">
        <v>153</v>
      </c>
      <c r="K98">
        <v>98</v>
      </c>
      <c r="L98">
        <v>153</v>
      </c>
      <c r="M98">
        <v>97</v>
      </c>
      <c r="N98" s="143">
        <v>0</v>
      </c>
      <c r="O98" s="143">
        <v>0</v>
      </c>
      <c r="P98">
        <v>19</v>
      </c>
    </row>
    <row r="99" spans="1:16">
      <c r="A99" t="s">
        <v>102</v>
      </c>
      <c r="B99">
        <v>89</v>
      </c>
      <c r="C99">
        <v>58</v>
      </c>
      <c r="D99">
        <v>77</v>
      </c>
      <c r="E99">
        <v>176</v>
      </c>
      <c r="F99">
        <v>187</v>
      </c>
      <c r="G99">
        <v>187</v>
      </c>
      <c r="H99">
        <v>323.8</v>
      </c>
      <c r="I99" s="14">
        <v>470.60870697673982</v>
      </c>
      <c r="J99">
        <v>100</v>
      </c>
      <c r="K99">
        <v>72</v>
      </c>
      <c r="L99">
        <v>154</v>
      </c>
      <c r="M99">
        <v>98</v>
      </c>
      <c r="N99" s="143">
        <v>0</v>
      </c>
      <c r="O99" s="143">
        <v>0</v>
      </c>
      <c r="P99">
        <v>-35</v>
      </c>
    </row>
    <row r="100" spans="1:16">
      <c r="A100" t="s">
        <v>127</v>
      </c>
      <c r="B100">
        <v>85</v>
      </c>
      <c r="C100">
        <v>148</v>
      </c>
      <c r="D100">
        <v>136</v>
      </c>
      <c r="E100">
        <v>58</v>
      </c>
      <c r="F100">
        <v>199</v>
      </c>
      <c r="G100">
        <v>159</v>
      </c>
      <c r="H100">
        <v>374.7</v>
      </c>
      <c r="I100" s="14">
        <v>471.55820701644149</v>
      </c>
      <c r="J100">
        <v>148</v>
      </c>
      <c r="K100">
        <v>94</v>
      </c>
      <c r="L100">
        <v>155</v>
      </c>
      <c r="M100">
        <v>99</v>
      </c>
      <c r="N100" s="143">
        <v>0</v>
      </c>
      <c r="O100" s="143">
        <v>0</v>
      </c>
      <c r="P100">
        <v>-9</v>
      </c>
    </row>
    <row r="101" spans="1:16">
      <c r="A101" t="s">
        <v>156</v>
      </c>
      <c r="B101">
        <v>170</v>
      </c>
      <c r="C101">
        <v>44</v>
      </c>
      <c r="D101">
        <v>110</v>
      </c>
      <c r="E101">
        <v>165</v>
      </c>
      <c r="F101">
        <v>158</v>
      </c>
      <c r="G101">
        <v>165</v>
      </c>
      <c r="H101">
        <v>384.4</v>
      </c>
      <c r="I101" s="14">
        <v>488.52284446784142</v>
      </c>
      <c r="J101">
        <v>157</v>
      </c>
      <c r="K101">
        <v>100</v>
      </c>
      <c r="L101">
        <v>160</v>
      </c>
      <c r="M101">
        <v>100</v>
      </c>
      <c r="N101" s="120">
        <v>0</v>
      </c>
      <c r="O101" s="120">
        <v>2.9411764705882353E-2</v>
      </c>
      <c r="P101">
        <v>15</v>
      </c>
    </row>
    <row r="102" spans="1:16">
      <c r="A102" t="s">
        <v>76</v>
      </c>
      <c r="B102">
        <v>92</v>
      </c>
      <c r="C102">
        <v>163</v>
      </c>
      <c r="D102">
        <v>193</v>
      </c>
      <c r="E102">
        <v>105</v>
      </c>
      <c r="F102">
        <v>97</v>
      </c>
      <c r="G102">
        <v>151</v>
      </c>
      <c r="H102">
        <v>397</v>
      </c>
      <c r="I102" s="14">
        <v>490.24500663334663</v>
      </c>
      <c r="J102">
        <v>169</v>
      </c>
      <c r="K102">
        <v>104</v>
      </c>
      <c r="L102">
        <v>161</v>
      </c>
      <c r="M102">
        <v>101</v>
      </c>
      <c r="N102" s="143">
        <v>0</v>
      </c>
      <c r="O102" s="143">
        <v>0</v>
      </c>
      <c r="P102">
        <v>9</v>
      </c>
    </row>
    <row r="103" spans="1:16">
      <c r="A103" t="s">
        <v>170</v>
      </c>
      <c r="B103">
        <v>151</v>
      </c>
      <c r="C103">
        <v>56</v>
      </c>
      <c r="D103">
        <v>210</v>
      </c>
      <c r="E103">
        <v>151</v>
      </c>
      <c r="F103">
        <v>18</v>
      </c>
      <c r="G103">
        <v>169</v>
      </c>
      <c r="H103">
        <v>370.79999999999995</v>
      </c>
      <c r="I103" s="14">
        <v>490.36760174935119</v>
      </c>
      <c r="J103">
        <v>146</v>
      </c>
      <c r="K103">
        <v>93</v>
      </c>
      <c r="L103">
        <v>162</v>
      </c>
      <c r="M103">
        <v>102</v>
      </c>
      <c r="N103" s="120">
        <v>0</v>
      </c>
      <c r="O103" s="120">
        <v>0</v>
      </c>
      <c r="P103">
        <v>-24</v>
      </c>
    </row>
    <row r="104" spans="1:16">
      <c r="A104" t="s">
        <v>145</v>
      </c>
      <c r="B104">
        <v>168</v>
      </c>
      <c r="C104">
        <v>21</v>
      </c>
      <c r="D104">
        <v>91</v>
      </c>
      <c r="E104">
        <v>194</v>
      </c>
      <c r="F104">
        <v>173</v>
      </c>
      <c r="G104">
        <v>172</v>
      </c>
      <c r="H104">
        <v>374.8</v>
      </c>
      <c r="I104" s="14">
        <v>491.16934032504344</v>
      </c>
      <c r="J104">
        <v>149</v>
      </c>
      <c r="K104">
        <v>95</v>
      </c>
      <c r="L104">
        <v>163</v>
      </c>
      <c r="M104">
        <v>103</v>
      </c>
      <c r="N104" s="120">
        <v>0</v>
      </c>
      <c r="O104" s="120">
        <v>0</v>
      </c>
      <c r="P104">
        <v>-11</v>
      </c>
    </row>
    <row r="105" spans="1:16">
      <c r="A105" t="s">
        <v>106</v>
      </c>
      <c r="B105">
        <v>126</v>
      </c>
      <c r="C105">
        <v>190</v>
      </c>
      <c r="D105">
        <v>58</v>
      </c>
      <c r="E105">
        <v>167</v>
      </c>
      <c r="F105">
        <v>172</v>
      </c>
      <c r="G105">
        <v>158</v>
      </c>
      <c r="H105">
        <v>408.2</v>
      </c>
      <c r="I105" s="14">
        <v>493.38750787417223</v>
      </c>
      <c r="J105">
        <v>179</v>
      </c>
      <c r="K105">
        <v>109</v>
      </c>
      <c r="L105">
        <v>164</v>
      </c>
      <c r="M105">
        <v>104</v>
      </c>
      <c r="N105" s="143">
        <v>0</v>
      </c>
      <c r="O105" s="143">
        <v>0</v>
      </c>
      <c r="P105">
        <v>-31</v>
      </c>
    </row>
    <row r="106" spans="1:16">
      <c r="A106" t="s">
        <v>121</v>
      </c>
      <c r="B106">
        <v>126</v>
      </c>
      <c r="C106">
        <v>81</v>
      </c>
      <c r="D106">
        <v>134</v>
      </c>
      <c r="E106">
        <v>172</v>
      </c>
      <c r="F106">
        <v>151</v>
      </c>
      <c r="G106">
        <v>166</v>
      </c>
      <c r="H106">
        <v>387.5</v>
      </c>
      <c r="I106" s="14">
        <v>500.08173201387115</v>
      </c>
      <c r="J106">
        <v>159</v>
      </c>
      <c r="K106">
        <v>101</v>
      </c>
      <c r="L106">
        <v>165</v>
      </c>
      <c r="M106">
        <v>105</v>
      </c>
      <c r="N106" s="143">
        <v>0</v>
      </c>
      <c r="O106" s="143">
        <v>0</v>
      </c>
      <c r="P106">
        <v>-12</v>
      </c>
    </row>
    <row r="107" spans="1:16">
      <c r="A107" t="s">
        <v>150</v>
      </c>
      <c r="B107">
        <v>175</v>
      </c>
      <c r="C107">
        <v>71</v>
      </c>
      <c r="D107">
        <v>141</v>
      </c>
      <c r="E107">
        <v>153</v>
      </c>
      <c r="F107">
        <v>128</v>
      </c>
      <c r="G107">
        <v>164</v>
      </c>
      <c r="H107">
        <v>406.49999999999994</v>
      </c>
      <c r="I107" s="14">
        <v>504.65092756210913</v>
      </c>
      <c r="J107">
        <v>178</v>
      </c>
      <c r="K107">
        <v>108</v>
      </c>
      <c r="L107">
        <v>168</v>
      </c>
      <c r="M107">
        <v>106</v>
      </c>
      <c r="N107" s="120">
        <v>0</v>
      </c>
      <c r="O107" s="120">
        <v>0</v>
      </c>
      <c r="P107">
        <v>1</v>
      </c>
    </row>
    <row r="108" spans="1:16">
      <c r="A108" t="s">
        <v>148</v>
      </c>
      <c r="B108">
        <v>180</v>
      </c>
      <c r="C108">
        <v>102</v>
      </c>
      <c r="D108">
        <v>143</v>
      </c>
      <c r="E108">
        <v>159</v>
      </c>
      <c r="F108">
        <v>114</v>
      </c>
      <c r="G108">
        <v>163</v>
      </c>
      <c r="H108">
        <v>425.9</v>
      </c>
      <c r="I108" s="14">
        <v>517.58801219076133</v>
      </c>
      <c r="J108">
        <v>190</v>
      </c>
      <c r="K108">
        <v>111</v>
      </c>
      <c r="L108">
        <v>177</v>
      </c>
      <c r="M108">
        <v>107</v>
      </c>
      <c r="N108" s="120">
        <v>0</v>
      </c>
      <c r="O108" s="120">
        <v>0</v>
      </c>
      <c r="P108">
        <v>-18</v>
      </c>
    </row>
    <row r="109" spans="1:16">
      <c r="A109" t="s">
        <v>50</v>
      </c>
      <c r="B109">
        <v>85</v>
      </c>
      <c r="C109">
        <v>159</v>
      </c>
      <c r="D109">
        <v>104</v>
      </c>
      <c r="E109">
        <v>142</v>
      </c>
      <c r="F109">
        <v>210</v>
      </c>
      <c r="G109">
        <v>185</v>
      </c>
      <c r="H109">
        <v>398</v>
      </c>
      <c r="I109" s="14">
        <v>523.19123062259064</v>
      </c>
      <c r="J109">
        <v>170</v>
      </c>
      <c r="K109">
        <v>105</v>
      </c>
      <c r="L109">
        <v>180</v>
      </c>
      <c r="M109">
        <v>108</v>
      </c>
      <c r="N109" s="143">
        <v>0</v>
      </c>
      <c r="O109" s="143">
        <v>0</v>
      </c>
      <c r="P109">
        <v>-16</v>
      </c>
    </row>
    <row r="110" spans="1:16">
      <c r="A110" t="s">
        <v>176</v>
      </c>
      <c r="B110">
        <v>196</v>
      </c>
      <c r="C110">
        <v>55</v>
      </c>
      <c r="D110">
        <v>215</v>
      </c>
      <c r="E110">
        <v>89</v>
      </c>
      <c r="F110">
        <v>59</v>
      </c>
      <c r="G110">
        <v>189</v>
      </c>
      <c r="H110">
        <v>405.40000000000003</v>
      </c>
      <c r="I110" s="14">
        <v>525.46984071619443</v>
      </c>
      <c r="J110">
        <v>175</v>
      </c>
      <c r="K110">
        <v>106</v>
      </c>
      <c r="L110">
        <v>181</v>
      </c>
      <c r="M110">
        <v>109</v>
      </c>
      <c r="N110" s="120">
        <v>0</v>
      </c>
      <c r="O110" s="120">
        <v>0</v>
      </c>
      <c r="P110">
        <v>-40</v>
      </c>
    </row>
    <row r="111" spans="1:16">
      <c r="A111" t="s">
        <v>180</v>
      </c>
      <c r="B111">
        <v>202</v>
      </c>
      <c r="C111">
        <v>47</v>
      </c>
      <c r="D111">
        <v>182</v>
      </c>
      <c r="E111">
        <v>211</v>
      </c>
      <c r="F111">
        <v>15</v>
      </c>
      <c r="G111">
        <v>192</v>
      </c>
      <c r="H111">
        <v>409.1</v>
      </c>
      <c r="I111" s="14">
        <v>541.80438322940518</v>
      </c>
      <c r="J111">
        <v>182</v>
      </c>
      <c r="K111">
        <v>110</v>
      </c>
      <c r="L111">
        <v>183</v>
      </c>
      <c r="M111">
        <v>110</v>
      </c>
      <c r="N111" s="120">
        <v>0</v>
      </c>
      <c r="O111" s="120">
        <v>0</v>
      </c>
      <c r="P111">
        <v>-21</v>
      </c>
    </row>
    <row r="112" spans="1:16">
      <c r="A112" t="s">
        <v>99</v>
      </c>
      <c r="B112">
        <v>89</v>
      </c>
      <c r="C112">
        <v>115</v>
      </c>
      <c r="D112">
        <v>165</v>
      </c>
      <c r="E112">
        <v>197</v>
      </c>
      <c r="F112">
        <v>143</v>
      </c>
      <c r="G112">
        <v>186</v>
      </c>
      <c r="H112">
        <v>406</v>
      </c>
      <c r="I112" s="14">
        <v>545.45490754793775</v>
      </c>
      <c r="J112">
        <v>177</v>
      </c>
      <c r="K112">
        <v>107</v>
      </c>
      <c r="L112">
        <v>186</v>
      </c>
      <c r="M112">
        <v>111</v>
      </c>
      <c r="N112" s="143">
        <v>0</v>
      </c>
      <c r="O112" s="143">
        <v>0</v>
      </c>
      <c r="P112">
        <v>-50</v>
      </c>
    </row>
    <row r="113" spans="1:16">
      <c r="A113" t="s">
        <v>138</v>
      </c>
      <c r="B113">
        <v>91</v>
      </c>
      <c r="C113">
        <v>206</v>
      </c>
      <c r="D113">
        <v>120</v>
      </c>
      <c r="E113">
        <v>137</v>
      </c>
      <c r="F113">
        <v>183</v>
      </c>
      <c r="G113">
        <v>193</v>
      </c>
      <c r="H113">
        <v>426.7</v>
      </c>
      <c r="I113" s="14">
        <v>551.56832665730235</v>
      </c>
      <c r="J113">
        <v>191</v>
      </c>
      <c r="K113">
        <v>112</v>
      </c>
      <c r="L113">
        <v>187</v>
      </c>
      <c r="M113">
        <v>112</v>
      </c>
      <c r="N113" s="143">
        <v>0</v>
      </c>
      <c r="O113" s="143">
        <v>0</v>
      </c>
      <c r="P113">
        <v>-16</v>
      </c>
    </row>
    <row r="114" spans="1:16">
      <c r="A114" t="s">
        <v>119</v>
      </c>
      <c r="B114">
        <v>134</v>
      </c>
      <c r="C114">
        <v>198</v>
      </c>
      <c r="D114">
        <v>98</v>
      </c>
      <c r="E114">
        <v>162</v>
      </c>
      <c r="F114">
        <v>192</v>
      </c>
      <c r="G114">
        <v>175</v>
      </c>
      <c r="H114">
        <v>455.40000000000003</v>
      </c>
      <c r="I114" s="14">
        <v>551.80616824701303</v>
      </c>
      <c r="J114">
        <v>202</v>
      </c>
      <c r="K114">
        <v>118</v>
      </c>
      <c r="L114">
        <v>189</v>
      </c>
      <c r="M114">
        <v>113</v>
      </c>
      <c r="N114" s="120">
        <v>0</v>
      </c>
      <c r="O114" s="120">
        <v>0</v>
      </c>
      <c r="P114">
        <v>6</v>
      </c>
    </row>
    <row r="115" spans="1:16">
      <c r="A115" t="s">
        <v>153</v>
      </c>
      <c r="B115">
        <v>168</v>
      </c>
      <c r="C115">
        <v>152</v>
      </c>
      <c r="D115">
        <v>207</v>
      </c>
      <c r="E115">
        <v>193</v>
      </c>
      <c r="F115">
        <v>34</v>
      </c>
      <c r="G115">
        <v>181</v>
      </c>
      <c r="H115">
        <v>464.7</v>
      </c>
      <c r="I115" s="14">
        <v>576.21352433208676</v>
      </c>
      <c r="J115">
        <v>205</v>
      </c>
      <c r="K115">
        <v>119</v>
      </c>
      <c r="L115">
        <v>197</v>
      </c>
      <c r="M115">
        <v>114</v>
      </c>
      <c r="N115" s="120">
        <v>0</v>
      </c>
      <c r="O115" s="120">
        <v>0</v>
      </c>
      <c r="P115">
        <v>28</v>
      </c>
    </row>
    <row r="116" spans="1:16">
      <c r="A116" t="s">
        <v>116</v>
      </c>
      <c r="B116">
        <v>116</v>
      </c>
      <c r="C116">
        <v>83</v>
      </c>
      <c r="D116">
        <v>190</v>
      </c>
      <c r="E116">
        <v>208</v>
      </c>
      <c r="F116">
        <v>140</v>
      </c>
      <c r="G116">
        <v>200</v>
      </c>
      <c r="H116">
        <v>428.8</v>
      </c>
      <c r="I116" s="14">
        <v>580.19478797806448</v>
      </c>
      <c r="J116">
        <v>194</v>
      </c>
      <c r="K116">
        <v>113</v>
      </c>
      <c r="L116">
        <v>198</v>
      </c>
      <c r="M116">
        <v>115</v>
      </c>
      <c r="N116" s="143">
        <v>0</v>
      </c>
      <c r="O116" s="143">
        <v>0</v>
      </c>
      <c r="P116">
        <v>-18</v>
      </c>
    </row>
    <row r="117" spans="1:16">
      <c r="A117" t="s">
        <v>168</v>
      </c>
      <c r="B117">
        <v>185</v>
      </c>
      <c r="C117">
        <v>49</v>
      </c>
      <c r="D117">
        <v>213</v>
      </c>
      <c r="E117">
        <v>112</v>
      </c>
      <c r="F117">
        <v>163</v>
      </c>
      <c r="G117">
        <v>198</v>
      </c>
      <c r="H117">
        <v>452.8</v>
      </c>
      <c r="I117" s="14">
        <v>580.3182105781292</v>
      </c>
      <c r="J117">
        <v>201</v>
      </c>
      <c r="K117">
        <v>117</v>
      </c>
      <c r="L117">
        <v>199</v>
      </c>
      <c r="M117">
        <v>116</v>
      </c>
      <c r="N117" s="120">
        <v>0</v>
      </c>
      <c r="O117" s="120">
        <v>0</v>
      </c>
      <c r="P117">
        <v>-4</v>
      </c>
    </row>
    <row r="118" spans="1:16">
      <c r="A118" t="s">
        <v>245</v>
      </c>
      <c r="B118">
        <v>208</v>
      </c>
      <c r="C118">
        <v>192</v>
      </c>
      <c r="D118">
        <v>214</v>
      </c>
      <c r="E118">
        <v>67</v>
      </c>
      <c r="F118">
        <v>38</v>
      </c>
      <c r="G118">
        <v>199</v>
      </c>
      <c r="H118">
        <v>477.2</v>
      </c>
      <c r="I118" s="14">
        <v>580.7571906298042</v>
      </c>
      <c r="J118">
        <v>209</v>
      </c>
      <c r="K118">
        <v>121</v>
      </c>
      <c r="L118">
        <v>201</v>
      </c>
      <c r="M118">
        <v>117</v>
      </c>
      <c r="N118" s="120">
        <v>0</v>
      </c>
      <c r="O118" s="120">
        <v>0</v>
      </c>
      <c r="P118">
        <v>-16</v>
      </c>
    </row>
    <row r="119" spans="1:16">
      <c r="A119" t="s">
        <v>94</v>
      </c>
      <c r="B119">
        <v>137</v>
      </c>
      <c r="C119">
        <v>205</v>
      </c>
      <c r="D119">
        <v>197</v>
      </c>
      <c r="E119">
        <v>191</v>
      </c>
      <c r="F119">
        <v>62</v>
      </c>
      <c r="G119">
        <v>179</v>
      </c>
      <c r="H119">
        <v>477.9</v>
      </c>
      <c r="I119" s="14">
        <v>585.74315057346007</v>
      </c>
      <c r="J119">
        <v>210</v>
      </c>
      <c r="K119">
        <v>122</v>
      </c>
      <c r="L119">
        <v>202</v>
      </c>
      <c r="M119">
        <v>118</v>
      </c>
      <c r="N119" s="120">
        <v>0</v>
      </c>
      <c r="O119" s="120">
        <v>0</v>
      </c>
      <c r="P119">
        <v>-11</v>
      </c>
    </row>
    <row r="120" spans="1:16">
      <c r="A120" t="s">
        <v>177</v>
      </c>
      <c r="B120">
        <v>179</v>
      </c>
      <c r="C120">
        <v>12</v>
      </c>
      <c r="D120">
        <v>183</v>
      </c>
      <c r="E120">
        <v>153</v>
      </c>
      <c r="F120">
        <v>203</v>
      </c>
      <c r="G120">
        <v>208</v>
      </c>
      <c r="H120">
        <v>441.2</v>
      </c>
      <c r="I120" s="14">
        <v>586.58172870290468</v>
      </c>
      <c r="J120">
        <v>197</v>
      </c>
      <c r="K120">
        <v>115</v>
      </c>
      <c r="L120">
        <v>203</v>
      </c>
      <c r="M120">
        <v>119</v>
      </c>
      <c r="N120" s="120">
        <v>0</v>
      </c>
      <c r="O120" s="120">
        <v>0</v>
      </c>
      <c r="P120">
        <v>-3</v>
      </c>
    </row>
    <row r="121" spans="1:16">
      <c r="A121" t="s">
        <v>37</v>
      </c>
      <c r="B121">
        <v>53</v>
      </c>
      <c r="C121">
        <v>210</v>
      </c>
      <c r="D121">
        <v>198</v>
      </c>
      <c r="E121">
        <v>204</v>
      </c>
      <c r="F121">
        <v>119</v>
      </c>
      <c r="G121">
        <v>195</v>
      </c>
      <c r="H121">
        <v>448.1</v>
      </c>
      <c r="I121" s="14">
        <v>592.8949118120828</v>
      </c>
      <c r="J121">
        <v>200</v>
      </c>
      <c r="K121">
        <v>116</v>
      </c>
      <c r="L121">
        <v>204</v>
      </c>
      <c r="M121">
        <v>120</v>
      </c>
      <c r="N121" s="143">
        <v>0</v>
      </c>
      <c r="O121" s="143">
        <v>0</v>
      </c>
      <c r="P121">
        <v>2</v>
      </c>
    </row>
    <row r="122" spans="1:16">
      <c r="A122" t="s">
        <v>111</v>
      </c>
      <c r="B122">
        <v>133</v>
      </c>
      <c r="C122">
        <v>166</v>
      </c>
      <c r="D122">
        <v>196</v>
      </c>
      <c r="E122">
        <v>60</v>
      </c>
      <c r="F122">
        <v>214</v>
      </c>
      <c r="G122">
        <v>209</v>
      </c>
      <c r="H122">
        <v>474.2</v>
      </c>
      <c r="I122" s="14">
        <v>602.20894821890306</v>
      </c>
      <c r="J122">
        <v>206</v>
      </c>
      <c r="K122">
        <v>120</v>
      </c>
      <c r="L122">
        <v>205</v>
      </c>
      <c r="M122">
        <v>121</v>
      </c>
      <c r="N122" s="120" t="e">
        <v>#N/A</v>
      </c>
      <c r="O122" s="120" t="e">
        <v>#N/A</v>
      </c>
      <c r="P122">
        <v>-18</v>
      </c>
    </row>
    <row r="123" spans="1:16">
      <c r="A123" t="s">
        <v>8</v>
      </c>
      <c r="B123">
        <v>8</v>
      </c>
      <c r="C123">
        <v>189</v>
      </c>
      <c r="D123">
        <v>206</v>
      </c>
      <c r="E123">
        <v>218</v>
      </c>
      <c r="F123">
        <v>178</v>
      </c>
      <c r="G123">
        <v>201</v>
      </c>
      <c r="H123">
        <v>440.2</v>
      </c>
      <c r="I123" s="14">
        <v>604.58723579374396</v>
      </c>
      <c r="J123">
        <v>196</v>
      </c>
      <c r="K123">
        <v>114</v>
      </c>
      <c r="L123">
        <v>206</v>
      </c>
      <c r="M123">
        <v>122</v>
      </c>
      <c r="N123" s="143">
        <v>0</v>
      </c>
      <c r="O123" s="143">
        <v>3.4482758620689655E-2</v>
      </c>
      <c r="P123">
        <v>-1</v>
      </c>
    </row>
    <row r="124" spans="1:16">
      <c r="A124" t="s">
        <v>169</v>
      </c>
      <c r="B124">
        <v>199</v>
      </c>
      <c r="C124">
        <v>132</v>
      </c>
      <c r="D124">
        <v>209</v>
      </c>
      <c r="E124">
        <v>107</v>
      </c>
      <c r="F124">
        <v>152</v>
      </c>
      <c r="G124">
        <v>210</v>
      </c>
      <c r="H124">
        <v>503.50000000000006</v>
      </c>
      <c r="I124" s="14">
        <v>625.3277591271675</v>
      </c>
      <c r="J124">
        <v>214</v>
      </c>
      <c r="K124">
        <v>123</v>
      </c>
      <c r="L124">
        <v>213</v>
      </c>
      <c r="M124">
        <v>123</v>
      </c>
      <c r="N124" s="120">
        <v>0</v>
      </c>
      <c r="O124" s="120">
        <v>2.7027027027027029E-2</v>
      </c>
      <c r="P124">
        <v>-9</v>
      </c>
    </row>
  </sheetData>
  <autoFilter ref="A1:S124" xr:uid="{FE4BF24C-8AB4-4AD9-B2BE-5159F7BEF651}">
    <sortState xmlns:xlrd2="http://schemas.microsoft.com/office/spreadsheetml/2017/richdata2" ref="A2:S124">
      <sortCondition ref="I1:I124"/>
    </sortState>
  </autoFilter>
  <conditionalFormatting sqref="N2:O1048576">
    <cfRule type="cellIs" dxfId="132" priority="12" operator="greaterThanOrEqual">
      <formula>20%</formula>
    </cfRule>
    <cfRule type="cellIs" dxfId="131" priority="13" operator="between">
      <formula>10%</formula>
      <formula>20%</formula>
    </cfRule>
    <cfRule type="cellIs" dxfId="130" priority="15" operator="between">
      <formula>0.01%</formula>
      <formula>10%</formula>
    </cfRule>
  </conditionalFormatting>
  <conditionalFormatting sqref="B1:F1 B2:G1048576 J1:J1048576">
    <cfRule type="cellIs" dxfId="129" priority="17" operator="between">
      <formula>101</formula>
      <formula>250</formula>
    </cfRule>
    <cfRule type="cellIs" dxfId="128" priority="18" operator="between">
      <formula>51</formula>
      <formula>100.5</formula>
    </cfRule>
    <cfRule type="cellIs" dxfId="127" priority="19" operator="between">
      <formula>21</formula>
      <formula>50.5</formula>
    </cfRule>
    <cfRule type="cellIs" dxfId="126" priority="20"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39E77-F57E-46BB-849A-434CAB43E616}">
  <sheetPr codeName="Sheet50">
    <tabColor rgb="FF92D050"/>
  </sheetPr>
  <dimension ref="A1:V117"/>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18" t="s">
        <v>15</v>
      </c>
      <c r="B2">
        <v>4</v>
      </c>
      <c r="C2">
        <v>44</v>
      </c>
      <c r="D2">
        <v>34</v>
      </c>
      <c r="E2">
        <v>16</v>
      </c>
      <c r="F2">
        <v>20</v>
      </c>
      <c r="G2">
        <v>1</v>
      </c>
      <c r="H2">
        <v>69.799999999999983</v>
      </c>
      <c r="I2" s="14">
        <v>61.024015876684359</v>
      </c>
      <c r="J2">
        <v>1</v>
      </c>
      <c r="K2">
        <v>1</v>
      </c>
      <c r="L2">
        <v>1</v>
      </c>
      <c r="M2">
        <v>1</v>
      </c>
      <c r="N2" s="143">
        <v>0.1</v>
      </c>
      <c r="O2" s="143">
        <v>0.25</v>
      </c>
      <c r="P2">
        <v>2</v>
      </c>
      <c r="Q2">
        <v>1</v>
      </c>
    </row>
    <row r="3" spans="1:22">
      <c r="A3" s="20" t="s">
        <v>66</v>
      </c>
      <c r="B3">
        <v>53</v>
      </c>
      <c r="C3">
        <v>42</v>
      </c>
      <c r="D3">
        <v>18</v>
      </c>
      <c r="E3">
        <v>20</v>
      </c>
      <c r="F3">
        <v>19</v>
      </c>
      <c r="G3">
        <v>6</v>
      </c>
      <c r="H3">
        <v>97.7</v>
      </c>
      <c r="I3" s="14">
        <v>80.303272125232382</v>
      </c>
      <c r="J3">
        <v>2</v>
      </c>
      <c r="K3">
        <v>2</v>
      </c>
      <c r="L3">
        <v>2</v>
      </c>
      <c r="M3">
        <v>2</v>
      </c>
      <c r="N3" s="143">
        <v>0.08</v>
      </c>
      <c r="O3" s="143">
        <v>0.12</v>
      </c>
      <c r="P3">
        <v>1</v>
      </c>
    </row>
    <row r="4" spans="1:22">
      <c r="A4" s="20" t="s">
        <v>69</v>
      </c>
      <c r="B4">
        <v>52</v>
      </c>
      <c r="C4">
        <v>58</v>
      </c>
      <c r="D4">
        <v>8</v>
      </c>
      <c r="E4">
        <v>48</v>
      </c>
      <c r="F4">
        <v>25</v>
      </c>
      <c r="G4">
        <v>2</v>
      </c>
      <c r="H4">
        <v>113.7</v>
      </c>
      <c r="I4" s="14">
        <v>91.178443539473747</v>
      </c>
      <c r="J4">
        <v>3</v>
      </c>
      <c r="K4">
        <v>3</v>
      </c>
      <c r="L4">
        <v>3</v>
      </c>
      <c r="M4">
        <v>3</v>
      </c>
      <c r="N4" s="120">
        <v>4.1666666666666664E-2</v>
      </c>
      <c r="O4" s="120">
        <v>0.125</v>
      </c>
      <c r="P4">
        <v>0</v>
      </c>
    </row>
    <row r="5" spans="1:22">
      <c r="A5" t="s">
        <v>68</v>
      </c>
      <c r="B5">
        <v>50</v>
      </c>
      <c r="C5">
        <v>23</v>
      </c>
      <c r="D5">
        <v>15</v>
      </c>
      <c r="E5">
        <v>94</v>
      </c>
      <c r="F5">
        <v>31</v>
      </c>
      <c r="G5">
        <v>8</v>
      </c>
      <c r="H5">
        <v>117.4</v>
      </c>
      <c r="I5" s="14">
        <v>109.1688742413584</v>
      </c>
      <c r="J5">
        <v>4</v>
      </c>
      <c r="K5">
        <v>4</v>
      </c>
      <c r="L5">
        <v>4</v>
      </c>
      <c r="M5">
        <v>4</v>
      </c>
      <c r="N5" s="143">
        <v>0</v>
      </c>
      <c r="O5" s="143">
        <v>0.125</v>
      </c>
      <c r="P5">
        <v>19</v>
      </c>
    </row>
    <row r="6" spans="1:22">
      <c r="A6" t="s">
        <v>85</v>
      </c>
      <c r="B6">
        <v>75</v>
      </c>
      <c r="C6">
        <v>47</v>
      </c>
      <c r="D6">
        <v>53</v>
      </c>
      <c r="E6">
        <v>1</v>
      </c>
      <c r="F6">
        <v>27</v>
      </c>
      <c r="G6">
        <v>7</v>
      </c>
      <c r="H6">
        <v>139.19999999999999</v>
      </c>
      <c r="I6" s="14">
        <v>113.1666511848519</v>
      </c>
      <c r="J6">
        <v>8</v>
      </c>
      <c r="K6">
        <v>7</v>
      </c>
      <c r="L6">
        <v>6</v>
      </c>
      <c r="M6">
        <v>5</v>
      </c>
      <c r="N6" s="143">
        <v>0</v>
      </c>
      <c r="O6" s="143">
        <v>4.7619047619047616E-2</v>
      </c>
      <c r="P6">
        <v>-6</v>
      </c>
    </row>
    <row r="7" spans="1:22">
      <c r="A7" t="s">
        <v>73</v>
      </c>
      <c r="B7">
        <v>39</v>
      </c>
      <c r="C7">
        <v>131</v>
      </c>
      <c r="D7">
        <v>5</v>
      </c>
      <c r="E7">
        <v>39</v>
      </c>
      <c r="F7">
        <v>36</v>
      </c>
      <c r="G7">
        <v>3</v>
      </c>
      <c r="H7">
        <v>146.9</v>
      </c>
      <c r="I7" s="14">
        <v>115.84204020011938</v>
      </c>
      <c r="J7">
        <v>9</v>
      </c>
      <c r="K7">
        <v>8</v>
      </c>
      <c r="L7">
        <v>7</v>
      </c>
      <c r="M7">
        <v>6</v>
      </c>
      <c r="N7" s="143">
        <v>0</v>
      </c>
      <c r="O7" s="143">
        <v>0.13043478260869565</v>
      </c>
      <c r="P7">
        <v>187</v>
      </c>
    </row>
    <row r="8" spans="1:22">
      <c r="A8" t="s">
        <v>35</v>
      </c>
      <c r="B8">
        <v>37</v>
      </c>
      <c r="C8">
        <v>34</v>
      </c>
      <c r="D8">
        <v>13</v>
      </c>
      <c r="E8">
        <v>48</v>
      </c>
      <c r="F8">
        <v>113</v>
      </c>
      <c r="G8">
        <v>9</v>
      </c>
      <c r="H8">
        <v>134.80000000000001</v>
      </c>
      <c r="I8" s="14">
        <v>120.42875670609689</v>
      </c>
      <c r="J8">
        <v>7</v>
      </c>
      <c r="K8">
        <v>6</v>
      </c>
      <c r="L8">
        <v>8</v>
      </c>
      <c r="M8">
        <v>7</v>
      </c>
      <c r="N8" s="120">
        <v>4.3478260869565216E-2</v>
      </c>
      <c r="O8" s="120">
        <v>0.17391304347826086</v>
      </c>
      <c r="P8">
        <v>28</v>
      </c>
    </row>
    <row r="9" spans="1:22">
      <c r="A9" t="s">
        <v>51</v>
      </c>
      <c r="B9">
        <v>38</v>
      </c>
      <c r="C9">
        <v>19</v>
      </c>
      <c r="D9">
        <v>17</v>
      </c>
      <c r="E9">
        <v>154</v>
      </c>
      <c r="F9">
        <v>21</v>
      </c>
      <c r="G9">
        <v>5</v>
      </c>
      <c r="H9">
        <v>125.80000000000001</v>
      </c>
      <c r="I9" s="14">
        <v>122.86492465834749</v>
      </c>
      <c r="J9">
        <v>5</v>
      </c>
      <c r="K9">
        <v>5</v>
      </c>
      <c r="L9">
        <v>9</v>
      </c>
      <c r="M9">
        <v>8</v>
      </c>
      <c r="N9" s="143">
        <v>0</v>
      </c>
      <c r="O9" s="143">
        <v>4.7619047619047616E-2</v>
      </c>
      <c r="P9">
        <v>4</v>
      </c>
    </row>
    <row r="10" spans="1:22">
      <c r="A10" t="s">
        <v>124</v>
      </c>
      <c r="B10">
        <v>118</v>
      </c>
      <c r="C10">
        <v>5</v>
      </c>
      <c r="D10">
        <v>11</v>
      </c>
      <c r="E10">
        <v>32</v>
      </c>
      <c r="F10">
        <v>88</v>
      </c>
      <c r="G10">
        <v>14</v>
      </c>
      <c r="H10">
        <v>161.9</v>
      </c>
      <c r="I10" s="14">
        <v>134.49885611783699</v>
      </c>
      <c r="J10">
        <v>14</v>
      </c>
      <c r="K10">
        <v>13</v>
      </c>
      <c r="L10">
        <v>10</v>
      </c>
      <c r="M10">
        <v>9</v>
      </c>
      <c r="N10" s="120">
        <v>3.7037037037037035E-2</v>
      </c>
      <c r="O10" s="120">
        <v>0.1111111111111111</v>
      </c>
      <c r="P10">
        <v>-10</v>
      </c>
    </row>
    <row r="11" spans="1:22">
      <c r="A11" t="s">
        <v>113</v>
      </c>
      <c r="B11">
        <v>79</v>
      </c>
      <c r="C11">
        <v>53</v>
      </c>
      <c r="D11">
        <v>43</v>
      </c>
      <c r="E11">
        <v>31</v>
      </c>
      <c r="F11">
        <v>46</v>
      </c>
      <c r="G11">
        <v>10</v>
      </c>
      <c r="H11">
        <v>160.5</v>
      </c>
      <c r="I11" s="14">
        <v>135.5607816695059</v>
      </c>
      <c r="J11">
        <v>12</v>
      </c>
      <c r="K11">
        <v>11</v>
      </c>
      <c r="L11">
        <v>11</v>
      </c>
      <c r="M11">
        <v>10</v>
      </c>
      <c r="N11" s="120">
        <v>0</v>
      </c>
      <c r="O11" s="120">
        <v>9.6774193548387094E-2</v>
      </c>
      <c r="P11">
        <v>14</v>
      </c>
    </row>
    <row r="12" spans="1:22">
      <c r="A12" t="s">
        <v>128</v>
      </c>
      <c r="B12">
        <v>103</v>
      </c>
      <c r="C12">
        <v>14</v>
      </c>
      <c r="D12">
        <v>20</v>
      </c>
      <c r="E12">
        <v>52</v>
      </c>
      <c r="F12">
        <v>71</v>
      </c>
      <c r="G12">
        <v>18</v>
      </c>
      <c r="H12">
        <v>161.10000000000002</v>
      </c>
      <c r="I12" s="14">
        <v>142.99147019176553</v>
      </c>
      <c r="J12">
        <v>13</v>
      </c>
      <c r="K12">
        <v>12</v>
      </c>
      <c r="L12">
        <v>12</v>
      </c>
      <c r="M12">
        <v>11</v>
      </c>
      <c r="N12" s="120">
        <v>3.3333333333333333E-2</v>
      </c>
      <c r="O12" s="120">
        <v>6.6666666666666666E-2</v>
      </c>
      <c r="P12">
        <v>33</v>
      </c>
    </row>
    <row r="13" spans="1:22">
      <c r="A13" t="s">
        <v>44</v>
      </c>
      <c r="B13">
        <v>28</v>
      </c>
      <c r="C13">
        <v>72</v>
      </c>
      <c r="D13">
        <v>12</v>
      </c>
      <c r="E13">
        <v>90</v>
      </c>
      <c r="F13">
        <v>77</v>
      </c>
      <c r="G13">
        <v>20</v>
      </c>
      <c r="H13">
        <v>148.5</v>
      </c>
      <c r="I13" s="14">
        <v>146.78373891274936</v>
      </c>
      <c r="J13">
        <v>10</v>
      </c>
      <c r="K13">
        <v>9</v>
      </c>
      <c r="L13">
        <v>13</v>
      </c>
      <c r="M13">
        <v>12</v>
      </c>
      <c r="N13" s="143">
        <v>0</v>
      </c>
      <c r="O13" s="143">
        <v>0.11538461538461539</v>
      </c>
      <c r="P13">
        <v>21</v>
      </c>
    </row>
    <row r="14" spans="1:22">
      <c r="A14" t="s">
        <v>92</v>
      </c>
      <c r="B14">
        <v>60</v>
      </c>
      <c r="C14">
        <v>45</v>
      </c>
      <c r="D14">
        <v>28</v>
      </c>
      <c r="E14">
        <v>34</v>
      </c>
      <c r="F14">
        <v>92</v>
      </c>
      <c r="G14">
        <v>25</v>
      </c>
      <c r="H14">
        <v>154.19999999999999</v>
      </c>
      <c r="I14" s="14">
        <v>147.88327176084016</v>
      </c>
      <c r="J14">
        <v>11</v>
      </c>
      <c r="K14">
        <v>10</v>
      </c>
      <c r="L14">
        <v>14</v>
      </c>
      <c r="M14">
        <v>13</v>
      </c>
      <c r="N14" s="143">
        <v>0</v>
      </c>
      <c r="O14" s="143">
        <v>6.0606060606060608E-2</v>
      </c>
      <c r="P14">
        <v>-15</v>
      </c>
    </row>
    <row r="15" spans="1:22">
      <c r="A15" t="s">
        <v>141</v>
      </c>
      <c r="B15">
        <v>137</v>
      </c>
      <c r="C15">
        <v>37</v>
      </c>
      <c r="D15">
        <v>16</v>
      </c>
      <c r="E15">
        <v>108</v>
      </c>
      <c r="F15">
        <v>16</v>
      </c>
      <c r="G15">
        <v>17</v>
      </c>
      <c r="H15">
        <v>194.2</v>
      </c>
      <c r="I15" s="14">
        <v>168.84596230274235</v>
      </c>
      <c r="J15">
        <v>16</v>
      </c>
      <c r="K15">
        <v>15</v>
      </c>
      <c r="L15">
        <v>15</v>
      </c>
      <c r="M15">
        <v>14</v>
      </c>
      <c r="N15" s="120">
        <v>0</v>
      </c>
      <c r="O15" s="120">
        <v>0.10714285714285714</v>
      </c>
      <c r="P15">
        <v>14</v>
      </c>
    </row>
    <row r="16" spans="1:22">
      <c r="A16" t="s">
        <v>143</v>
      </c>
      <c r="B16">
        <v>164</v>
      </c>
      <c r="C16">
        <v>12</v>
      </c>
      <c r="D16">
        <v>51</v>
      </c>
      <c r="E16">
        <v>66</v>
      </c>
      <c r="F16">
        <v>14</v>
      </c>
      <c r="G16">
        <v>13</v>
      </c>
      <c r="H16">
        <v>207.5</v>
      </c>
      <c r="I16" s="14">
        <v>171.52996227044082</v>
      </c>
      <c r="J16">
        <v>19</v>
      </c>
      <c r="K16">
        <v>18</v>
      </c>
      <c r="L16">
        <v>16</v>
      </c>
      <c r="M16">
        <v>15</v>
      </c>
      <c r="N16" s="120">
        <v>0.05</v>
      </c>
      <c r="O16" s="120">
        <v>0.1</v>
      </c>
      <c r="P16">
        <v>0</v>
      </c>
    </row>
    <row r="17" spans="1:16">
      <c r="A17" t="s">
        <v>241</v>
      </c>
      <c r="B17">
        <v>23</v>
      </c>
      <c r="C17">
        <v>121</v>
      </c>
      <c r="D17">
        <v>32</v>
      </c>
      <c r="E17">
        <v>6</v>
      </c>
      <c r="F17">
        <v>182</v>
      </c>
      <c r="G17">
        <v>12</v>
      </c>
      <c r="H17">
        <v>206.8</v>
      </c>
      <c r="I17" s="14">
        <v>176.9634652669302</v>
      </c>
      <c r="J17">
        <v>18</v>
      </c>
      <c r="K17">
        <v>17</v>
      </c>
      <c r="L17">
        <v>17</v>
      </c>
      <c r="M17">
        <v>16</v>
      </c>
      <c r="N17" s="143">
        <v>0</v>
      </c>
      <c r="O17" s="143">
        <v>0</v>
      </c>
      <c r="P17" t="e">
        <v>#N/A</v>
      </c>
    </row>
    <row r="18" spans="1:16">
      <c r="A18" t="s">
        <v>158</v>
      </c>
      <c r="B18">
        <v>137</v>
      </c>
      <c r="C18">
        <v>111</v>
      </c>
      <c r="D18">
        <v>34</v>
      </c>
      <c r="E18">
        <v>21</v>
      </c>
      <c r="F18">
        <v>39</v>
      </c>
      <c r="G18">
        <v>15</v>
      </c>
      <c r="H18">
        <v>227.9</v>
      </c>
      <c r="I18" s="14">
        <v>181.36952127813441</v>
      </c>
      <c r="J18">
        <v>31</v>
      </c>
      <c r="K18">
        <v>28</v>
      </c>
      <c r="L18">
        <v>18</v>
      </c>
      <c r="M18">
        <v>17</v>
      </c>
      <c r="N18" s="120">
        <v>0</v>
      </c>
      <c r="O18" s="120">
        <v>0.1</v>
      </c>
      <c r="P18">
        <v>49</v>
      </c>
    </row>
    <row r="19" spans="1:16">
      <c r="A19" t="s">
        <v>188</v>
      </c>
      <c r="B19">
        <v>194</v>
      </c>
      <c r="C19">
        <v>4</v>
      </c>
      <c r="D19">
        <v>66</v>
      </c>
      <c r="E19">
        <v>26</v>
      </c>
      <c r="F19">
        <v>24</v>
      </c>
      <c r="G19">
        <v>23</v>
      </c>
      <c r="H19">
        <v>226.20000000000002</v>
      </c>
      <c r="I19" s="14">
        <v>189.39009357197315</v>
      </c>
      <c r="J19">
        <v>30</v>
      </c>
      <c r="K19">
        <v>27</v>
      </c>
      <c r="L19">
        <v>19</v>
      </c>
      <c r="M19">
        <v>18</v>
      </c>
      <c r="N19" s="120">
        <v>0</v>
      </c>
      <c r="O19" s="120">
        <v>9.6774193548387094E-2</v>
      </c>
      <c r="P19">
        <v>9</v>
      </c>
    </row>
    <row r="20" spans="1:16">
      <c r="A20" t="s">
        <v>40</v>
      </c>
      <c r="B20">
        <v>13</v>
      </c>
      <c r="C20">
        <v>60</v>
      </c>
      <c r="D20">
        <v>124</v>
      </c>
      <c r="E20">
        <v>115</v>
      </c>
      <c r="F20">
        <v>12</v>
      </c>
      <c r="G20">
        <v>21</v>
      </c>
      <c r="H20">
        <v>185.2</v>
      </c>
      <c r="I20" s="14">
        <v>195.68131862572642</v>
      </c>
      <c r="J20">
        <v>15</v>
      </c>
      <c r="K20">
        <v>14</v>
      </c>
      <c r="L20">
        <v>20</v>
      </c>
      <c r="M20">
        <v>19</v>
      </c>
      <c r="N20" s="143">
        <v>0</v>
      </c>
      <c r="O20" s="143">
        <v>4.7619047619047616E-2</v>
      </c>
      <c r="P20">
        <v>-10</v>
      </c>
    </row>
    <row r="21" spans="1:16">
      <c r="A21" t="s">
        <v>95</v>
      </c>
      <c r="B21">
        <v>74</v>
      </c>
      <c r="C21">
        <v>127</v>
      </c>
      <c r="D21">
        <v>56</v>
      </c>
      <c r="E21">
        <v>50</v>
      </c>
      <c r="F21">
        <v>48</v>
      </c>
      <c r="G21">
        <v>34</v>
      </c>
      <c r="H21">
        <v>218.6</v>
      </c>
      <c r="I21" s="14">
        <v>207.58904753438404</v>
      </c>
      <c r="J21">
        <v>22</v>
      </c>
      <c r="K21">
        <v>21</v>
      </c>
      <c r="L21">
        <v>22</v>
      </c>
      <c r="M21">
        <v>20</v>
      </c>
      <c r="N21" s="143">
        <v>0</v>
      </c>
      <c r="O21" s="143">
        <v>3.4482758620689655E-2</v>
      </c>
      <c r="P21">
        <v>0</v>
      </c>
    </row>
    <row r="22" spans="1:16">
      <c r="A22" t="s">
        <v>71</v>
      </c>
      <c r="B22">
        <v>82</v>
      </c>
      <c r="C22">
        <v>140</v>
      </c>
      <c r="D22">
        <v>39</v>
      </c>
      <c r="E22">
        <v>113</v>
      </c>
      <c r="F22">
        <v>34</v>
      </c>
      <c r="G22">
        <v>16</v>
      </c>
      <c r="H22">
        <v>239.10000000000002</v>
      </c>
      <c r="I22" s="14">
        <v>210.46440691596675</v>
      </c>
      <c r="J22">
        <v>37</v>
      </c>
      <c r="K22">
        <v>32</v>
      </c>
      <c r="L22">
        <v>23</v>
      </c>
      <c r="M22">
        <v>21</v>
      </c>
      <c r="N22" s="120">
        <v>0</v>
      </c>
      <c r="O22" s="120">
        <v>5.7142857142857141E-2</v>
      </c>
      <c r="P22">
        <v>-4</v>
      </c>
    </row>
    <row r="23" spans="1:16">
      <c r="A23" t="s">
        <v>135</v>
      </c>
      <c r="B23">
        <v>168</v>
      </c>
      <c r="C23">
        <v>2</v>
      </c>
      <c r="D23">
        <v>4</v>
      </c>
      <c r="E23">
        <v>134</v>
      </c>
      <c r="F23">
        <v>123</v>
      </c>
      <c r="G23">
        <v>11</v>
      </c>
      <c r="H23">
        <v>253.5</v>
      </c>
      <c r="I23" s="14">
        <v>211.64640405442617</v>
      </c>
      <c r="J23">
        <v>45</v>
      </c>
      <c r="K23">
        <v>37</v>
      </c>
      <c r="L23">
        <v>24</v>
      </c>
      <c r="M23">
        <v>22</v>
      </c>
      <c r="N23" s="120">
        <v>0</v>
      </c>
      <c r="O23" s="120">
        <v>0.08</v>
      </c>
      <c r="P23">
        <v>4</v>
      </c>
    </row>
    <row r="24" spans="1:16">
      <c r="A24" t="s">
        <v>63</v>
      </c>
      <c r="B24">
        <v>30</v>
      </c>
      <c r="C24">
        <v>112</v>
      </c>
      <c r="D24">
        <v>160</v>
      </c>
      <c r="E24">
        <v>41</v>
      </c>
      <c r="F24">
        <v>4</v>
      </c>
      <c r="G24">
        <v>19</v>
      </c>
      <c r="H24">
        <v>221.6</v>
      </c>
      <c r="I24" s="14">
        <v>212.43294531572488</v>
      </c>
      <c r="J24">
        <v>26</v>
      </c>
      <c r="K24">
        <v>25</v>
      </c>
      <c r="L24">
        <v>25</v>
      </c>
      <c r="M24">
        <v>23</v>
      </c>
      <c r="N24" s="120">
        <v>0</v>
      </c>
      <c r="O24" s="120">
        <v>0.125</v>
      </c>
      <c r="P24">
        <v>-5</v>
      </c>
    </row>
    <row r="25" spans="1:16">
      <c r="A25" t="s">
        <v>139</v>
      </c>
      <c r="B25">
        <v>132</v>
      </c>
      <c r="C25">
        <v>33</v>
      </c>
      <c r="D25">
        <v>2</v>
      </c>
      <c r="E25">
        <v>186</v>
      </c>
      <c r="F25">
        <v>62</v>
      </c>
      <c r="G25">
        <v>21</v>
      </c>
      <c r="H25">
        <v>232.20000000000002</v>
      </c>
      <c r="I25" s="14">
        <v>213.76392408407557</v>
      </c>
      <c r="J25">
        <v>34</v>
      </c>
      <c r="K25">
        <v>30</v>
      </c>
      <c r="L25">
        <v>26</v>
      </c>
      <c r="M25">
        <v>24</v>
      </c>
      <c r="N25" s="120">
        <v>0</v>
      </c>
      <c r="O25" s="120">
        <v>9.0909090909090912E-2</v>
      </c>
      <c r="P25">
        <v>-13</v>
      </c>
    </row>
    <row r="26" spans="1:16">
      <c r="A26" t="s">
        <v>46</v>
      </c>
      <c r="B26">
        <v>21</v>
      </c>
      <c r="C26">
        <v>142</v>
      </c>
      <c r="D26">
        <v>74</v>
      </c>
      <c r="E26">
        <v>30</v>
      </c>
      <c r="F26">
        <v>95</v>
      </c>
      <c r="G26">
        <v>39</v>
      </c>
      <c r="H26">
        <v>213.3</v>
      </c>
      <c r="I26" s="14">
        <v>215.28708774463982</v>
      </c>
      <c r="J26">
        <v>21</v>
      </c>
      <c r="K26">
        <v>20</v>
      </c>
      <c r="L26">
        <v>27</v>
      </c>
      <c r="M26">
        <v>25</v>
      </c>
      <c r="N26" s="143">
        <v>0</v>
      </c>
      <c r="O26" s="143">
        <v>6.8965517241379309E-2</v>
      </c>
      <c r="P26">
        <v>-3</v>
      </c>
    </row>
    <row r="27" spans="1:16">
      <c r="A27" t="s">
        <v>154</v>
      </c>
      <c r="B27">
        <v>123</v>
      </c>
      <c r="C27">
        <v>8</v>
      </c>
      <c r="D27">
        <v>89</v>
      </c>
      <c r="E27">
        <v>84</v>
      </c>
      <c r="F27">
        <v>63</v>
      </c>
      <c r="G27">
        <v>31</v>
      </c>
      <c r="H27">
        <v>230.6</v>
      </c>
      <c r="I27" s="14">
        <v>221.79346100622018</v>
      </c>
      <c r="J27">
        <v>33</v>
      </c>
      <c r="K27">
        <v>29</v>
      </c>
      <c r="L27">
        <v>28</v>
      </c>
      <c r="M27">
        <v>26</v>
      </c>
      <c r="N27" s="120">
        <v>0</v>
      </c>
      <c r="O27" s="120">
        <v>7.1428571428571425E-2</v>
      </c>
      <c r="P27">
        <v>-11</v>
      </c>
    </row>
    <row r="28" spans="1:16">
      <c r="A28" t="s">
        <v>183</v>
      </c>
      <c r="B28">
        <v>193</v>
      </c>
      <c r="C28">
        <v>29</v>
      </c>
      <c r="D28">
        <v>79</v>
      </c>
      <c r="E28">
        <v>42</v>
      </c>
      <c r="F28">
        <v>7</v>
      </c>
      <c r="G28">
        <v>37</v>
      </c>
      <c r="H28">
        <v>247.40000000000003</v>
      </c>
      <c r="I28" s="14">
        <v>222.80434194199142</v>
      </c>
      <c r="J28">
        <v>42</v>
      </c>
      <c r="K28">
        <v>35</v>
      </c>
      <c r="L28">
        <v>29</v>
      </c>
      <c r="M28">
        <v>27</v>
      </c>
      <c r="N28" s="120">
        <v>0</v>
      </c>
      <c r="O28" s="120">
        <v>6.0606060606060608E-2</v>
      </c>
      <c r="P28">
        <v>6</v>
      </c>
    </row>
    <row r="29" spans="1:16">
      <c r="A29" t="s">
        <v>42</v>
      </c>
      <c r="B29">
        <v>34</v>
      </c>
      <c r="C29">
        <v>154</v>
      </c>
      <c r="D29">
        <v>64</v>
      </c>
      <c r="E29">
        <v>2</v>
      </c>
      <c r="F29">
        <v>159</v>
      </c>
      <c r="G29">
        <v>28</v>
      </c>
      <c r="H29">
        <v>244.7</v>
      </c>
      <c r="I29" s="14">
        <v>223.26761804272158</v>
      </c>
      <c r="J29">
        <v>41</v>
      </c>
      <c r="K29">
        <v>34</v>
      </c>
      <c r="L29">
        <v>30</v>
      </c>
      <c r="M29">
        <v>28</v>
      </c>
      <c r="N29" s="143">
        <v>0</v>
      </c>
      <c r="O29" s="143">
        <v>4.7619047619047616E-2</v>
      </c>
      <c r="P29">
        <v>91</v>
      </c>
    </row>
    <row r="30" spans="1:16">
      <c r="A30" t="s">
        <v>58</v>
      </c>
      <c r="B30">
        <v>87</v>
      </c>
      <c r="C30">
        <v>94</v>
      </c>
      <c r="D30">
        <v>62</v>
      </c>
      <c r="E30">
        <v>116</v>
      </c>
      <c r="F30">
        <v>45</v>
      </c>
      <c r="G30">
        <v>27</v>
      </c>
      <c r="H30">
        <v>238.3</v>
      </c>
      <c r="I30" s="14">
        <v>225.65309366847021</v>
      </c>
      <c r="J30">
        <v>36</v>
      </c>
      <c r="K30">
        <v>31</v>
      </c>
      <c r="L30">
        <v>31</v>
      </c>
      <c r="M30">
        <v>29</v>
      </c>
      <c r="N30" s="120">
        <v>4.1666666666666664E-2</v>
      </c>
      <c r="O30" s="120">
        <v>0.125</v>
      </c>
      <c r="P30">
        <v>44</v>
      </c>
    </row>
    <row r="31" spans="1:16">
      <c r="A31" t="s">
        <v>144</v>
      </c>
      <c r="B31">
        <v>153</v>
      </c>
      <c r="C31">
        <v>50</v>
      </c>
      <c r="D31">
        <v>101</v>
      </c>
      <c r="E31">
        <v>43</v>
      </c>
      <c r="F31">
        <v>32</v>
      </c>
      <c r="G31">
        <v>29</v>
      </c>
      <c r="H31">
        <v>256.29999999999995</v>
      </c>
      <c r="I31" s="14">
        <v>229.73820990599583</v>
      </c>
      <c r="J31">
        <v>47</v>
      </c>
      <c r="K31">
        <v>39</v>
      </c>
      <c r="L31">
        <v>32</v>
      </c>
      <c r="M31">
        <v>30</v>
      </c>
      <c r="N31" s="120">
        <v>0</v>
      </c>
      <c r="O31" s="120">
        <v>3.7037037037037035E-2</v>
      </c>
      <c r="P31">
        <v>-1</v>
      </c>
    </row>
    <row r="32" spans="1:16">
      <c r="A32" t="s">
        <v>27</v>
      </c>
      <c r="B32">
        <v>16</v>
      </c>
      <c r="C32">
        <v>89</v>
      </c>
      <c r="D32">
        <v>150</v>
      </c>
      <c r="E32">
        <v>72</v>
      </c>
      <c r="F32">
        <v>17</v>
      </c>
      <c r="G32">
        <v>41</v>
      </c>
      <c r="H32">
        <v>208.5</v>
      </c>
      <c r="I32" s="14">
        <v>230.09306734088585</v>
      </c>
      <c r="J32">
        <v>20</v>
      </c>
      <c r="K32">
        <v>19</v>
      </c>
      <c r="L32">
        <v>33</v>
      </c>
      <c r="M32">
        <v>31</v>
      </c>
      <c r="N32" s="120">
        <v>0</v>
      </c>
      <c r="O32" s="120">
        <v>7.6923076923076927E-2</v>
      </c>
      <c r="P32">
        <v>60</v>
      </c>
    </row>
    <row r="33" spans="1:16">
      <c r="A33" t="s">
        <v>72</v>
      </c>
      <c r="B33">
        <v>69</v>
      </c>
      <c r="C33">
        <v>24</v>
      </c>
      <c r="D33">
        <v>177</v>
      </c>
      <c r="E33">
        <v>13</v>
      </c>
      <c r="F33">
        <v>44</v>
      </c>
      <c r="G33">
        <v>40</v>
      </c>
      <c r="H33">
        <v>220.7</v>
      </c>
      <c r="I33" s="14">
        <v>230.41073558817686</v>
      </c>
      <c r="J33">
        <v>24.5</v>
      </c>
      <c r="K33">
        <v>24</v>
      </c>
      <c r="L33">
        <v>34</v>
      </c>
      <c r="M33">
        <v>32</v>
      </c>
      <c r="N33" s="143">
        <v>0</v>
      </c>
      <c r="O33" s="143">
        <v>4.3478260869565216E-2</v>
      </c>
      <c r="P33">
        <v>-25</v>
      </c>
    </row>
    <row r="34" spans="1:16">
      <c r="A34" t="s">
        <v>60</v>
      </c>
      <c r="B34">
        <v>59</v>
      </c>
      <c r="C34">
        <v>32</v>
      </c>
      <c r="D34">
        <v>75</v>
      </c>
      <c r="E34">
        <v>162</v>
      </c>
      <c r="F34">
        <v>74</v>
      </c>
      <c r="G34">
        <v>31</v>
      </c>
      <c r="H34">
        <v>220.7</v>
      </c>
      <c r="I34" s="14">
        <v>230.53022008299649</v>
      </c>
      <c r="J34">
        <v>24.5</v>
      </c>
      <c r="K34">
        <v>23</v>
      </c>
      <c r="L34">
        <v>35</v>
      </c>
      <c r="M34">
        <v>33</v>
      </c>
      <c r="N34" s="120">
        <v>0</v>
      </c>
      <c r="O34" s="120">
        <v>7.1428571428571425E-2</v>
      </c>
      <c r="P34">
        <v>19</v>
      </c>
    </row>
    <row r="35" spans="1:16">
      <c r="A35" t="s">
        <v>137</v>
      </c>
      <c r="B35">
        <v>150</v>
      </c>
      <c r="C35">
        <v>10</v>
      </c>
      <c r="D35">
        <v>65</v>
      </c>
      <c r="E35">
        <v>24</v>
      </c>
      <c r="F35">
        <v>156</v>
      </c>
      <c r="G35">
        <v>38</v>
      </c>
      <c r="H35">
        <v>259.10000000000002</v>
      </c>
      <c r="I35" s="14">
        <v>238.49009163839031</v>
      </c>
      <c r="J35">
        <v>50</v>
      </c>
      <c r="K35">
        <v>42</v>
      </c>
      <c r="L35">
        <v>37</v>
      </c>
      <c r="M35">
        <v>34</v>
      </c>
      <c r="N35" s="120">
        <v>0</v>
      </c>
      <c r="O35" s="120">
        <v>9.6774193548387094E-2</v>
      </c>
      <c r="P35">
        <v>-12</v>
      </c>
    </row>
    <row r="36" spans="1:16">
      <c r="A36" t="s">
        <v>129</v>
      </c>
      <c r="B36">
        <v>110</v>
      </c>
      <c r="C36">
        <v>118</v>
      </c>
      <c r="D36">
        <v>99</v>
      </c>
      <c r="E36">
        <v>5</v>
      </c>
      <c r="F36">
        <v>65</v>
      </c>
      <c r="G36">
        <v>35</v>
      </c>
      <c r="H36">
        <v>262.60000000000002</v>
      </c>
      <c r="I36" s="14">
        <v>238.8152049143543</v>
      </c>
      <c r="J36">
        <v>54</v>
      </c>
      <c r="K36">
        <v>45</v>
      </c>
      <c r="L36">
        <v>38</v>
      </c>
      <c r="M36">
        <v>35</v>
      </c>
      <c r="N36" s="120">
        <v>0</v>
      </c>
      <c r="O36" s="120">
        <v>3.8461538461538464E-2</v>
      </c>
      <c r="P36">
        <v>43</v>
      </c>
    </row>
    <row r="37" spans="1:16">
      <c r="A37" t="s">
        <v>14</v>
      </c>
      <c r="B37">
        <v>19</v>
      </c>
      <c r="C37">
        <v>9</v>
      </c>
      <c r="D37">
        <v>110</v>
      </c>
      <c r="E37">
        <v>109</v>
      </c>
      <c r="F37">
        <v>127</v>
      </c>
      <c r="G37">
        <v>56</v>
      </c>
      <c r="H37">
        <v>204.7</v>
      </c>
      <c r="I37" s="14">
        <v>247.35587170892686</v>
      </c>
      <c r="J37">
        <v>17</v>
      </c>
      <c r="K37">
        <v>16</v>
      </c>
      <c r="L37">
        <v>40</v>
      </c>
      <c r="M37">
        <v>36</v>
      </c>
      <c r="N37" s="120">
        <v>0</v>
      </c>
      <c r="O37" s="120">
        <v>6.6666666666666666E-2</v>
      </c>
      <c r="P37">
        <v>18</v>
      </c>
    </row>
    <row r="38" spans="1:16">
      <c r="A38" t="s">
        <v>134</v>
      </c>
      <c r="B38">
        <v>140</v>
      </c>
      <c r="C38">
        <v>73</v>
      </c>
      <c r="D38">
        <v>81</v>
      </c>
      <c r="E38">
        <v>80</v>
      </c>
      <c r="F38">
        <v>28</v>
      </c>
      <c r="G38">
        <v>42</v>
      </c>
      <c r="H38">
        <v>258.5</v>
      </c>
      <c r="I38" s="14">
        <v>247.69426585326616</v>
      </c>
      <c r="J38">
        <v>49</v>
      </c>
      <c r="K38">
        <v>41</v>
      </c>
      <c r="L38">
        <v>41</v>
      </c>
      <c r="M38">
        <v>37</v>
      </c>
      <c r="N38" s="120">
        <v>0</v>
      </c>
      <c r="O38" s="120">
        <v>2.9411764705882353E-2</v>
      </c>
      <c r="P38">
        <v>-21</v>
      </c>
    </row>
    <row r="39" spans="1:16">
      <c r="A39" t="s">
        <v>146</v>
      </c>
      <c r="B39">
        <v>122</v>
      </c>
      <c r="C39">
        <v>144</v>
      </c>
      <c r="D39">
        <v>14</v>
      </c>
      <c r="E39">
        <v>170</v>
      </c>
      <c r="F39">
        <v>9</v>
      </c>
      <c r="G39">
        <v>33</v>
      </c>
      <c r="H39">
        <v>266.3</v>
      </c>
      <c r="I39" s="14">
        <v>247.7429118838368</v>
      </c>
      <c r="J39">
        <v>57</v>
      </c>
      <c r="K39">
        <v>47</v>
      </c>
      <c r="L39">
        <v>42</v>
      </c>
      <c r="M39">
        <v>38</v>
      </c>
      <c r="N39" s="120">
        <v>0</v>
      </c>
      <c r="O39" s="120">
        <v>5.7142857142857141E-2</v>
      </c>
      <c r="P39">
        <v>22</v>
      </c>
    </row>
    <row r="40" spans="1:16">
      <c r="A40" t="s">
        <v>18</v>
      </c>
      <c r="B40">
        <v>6</v>
      </c>
      <c r="C40">
        <v>190</v>
      </c>
      <c r="D40">
        <v>87</v>
      </c>
      <c r="E40">
        <v>33</v>
      </c>
      <c r="F40">
        <v>97</v>
      </c>
      <c r="G40">
        <v>51</v>
      </c>
      <c r="H40">
        <v>241.39999999999998</v>
      </c>
      <c r="I40" s="14">
        <v>251.69151408008537</v>
      </c>
      <c r="J40">
        <v>38</v>
      </c>
      <c r="K40">
        <v>33</v>
      </c>
      <c r="L40">
        <v>45</v>
      </c>
      <c r="M40">
        <v>39</v>
      </c>
      <c r="N40" s="143">
        <v>0</v>
      </c>
      <c r="O40" s="143">
        <v>7.1428571428571425E-2</v>
      </c>
      <c r="P40">
        <v>15</v>
      </c>
    </row>
    <row r="41" spans="1:16">
      <c r="A41" t="s">
        <v>79</v>
      </c>
      <c r="B41">
        <v>83</v>
      </c>
      <c r="C41">
        <v>109</v>
      </c>
      <c r="D41">
        <v>73</v>
      </c>
      <c r="E41">
        <v>96</v>
      </c>
      <c r="F41">
        <v>66</v>
      </c>
      <c r="G41">
        <v>48</v>
      </c>
      <c r="H41">
        <v>254.3</v>
      </c>
      <c r="I41" s="14">
        <v>258.36523907997116</v>
      </c>
      <c r="J41">
        <v>46</v>
      </c>
      <c r="K41">
        <v>38</v>
      </c>
      <c r="L41">
        <v>48</v>
      </c>
      <c r="M41">
        <v>40</v>
      </c>
      <c r="N41" s="120">
        <v>0</v>
      </c>
      <c r="O41" s="120">
        <v>6.0606060606060608E-2</v>
      </c>
      <c r="P41">
        <v>-3</v>
      </c>
    </row>
    <row r="42" spans="1:16">
      <c r="A42" t="s">
        <v>47</v>
      </c>
      <c r="B42">
        <v>40</v>
      </c>
      <c r="C42">
        <v>25</v>
      </c>
      <c r="D42">
        <v>116</v>
      </c>
      <c r="E42">
        <v>98</v>
      </c>
      <c r="F42">
        <v>110</v>
      </c>
      <c r="G42">
        <v>58</v>
      </c>
      <c r="H42">
        <v>222.39999999999998</v>
      </c>
      <c r="I42" s="14">
        <v>258.86953847573716</v>
      </c>
      <c r="J42">
        <v>27</v>
      </c>
      <c r="K42">
        <v>26</v>
      </c>
      <c r="L42">
        <v>49</v>
      </c>
      <c r="M42">
        <v>41</v>
      </c>
      <c r="N42" s="120">
        <v>0</v>
      </c>
      <c r="O42" s="120">
        <v>8.6956521739130432E-2</v>
      </c>
      <c r="P42">
        <v>0</v>
      </c>
    </row>
    <row r="43" spans="1:16">
      <c r="A43" t="s">
        <v>38</v>
      </c>
      <c r="B43">
        <v>31</v>
      </c>
      <c r="C43">
        <v>166</v>
      </c>
      <c r="D43">
        <v>117</v>
      </c>
      <c r="E43">
        <v>46</v>
      </c>
      <c r="F43">
        <v>73</v>
      </c>
      <c r="G43">
        <v>44</v>
      </c>
      <c r="H43">
        <v>261.2</v>
      </c>
      <c r="I43" s="14">
        <v>263.20425984231804</v>
      </c>
      <c r="J43">
        <v>52</v>
      </c>
      <c r="K43">
        <v>43</v>
      </c>
      <c r="L43">
        <v>51</v>
      </c>
      <c r="M43">
        <v>42</v>
      </c>
      <c r="N43" s="143">
        <v>0</v>
      </c>
      <c r="O43" s="143">
        <v>6.0606060606060608E-2</v>
      </c>
      <c r="P43">
        <v>-5</v>
      </c>
    </row>
    <row r="44" spans="1:16">
      <c r="A44" t="s">
        <v>39</v>
      </c>
      <c r="B44">
        <v>66</v>
      </c>
      <c r="C44">
        <v>124</v>
      </c>
      <c r="D44">
        <v>137</v>
      </c>
      <c r="E44">
        <v>105</v>
      </c>
      <c r="F44">
        <v>11</v>
      </c>
      <c r="G44">
        <v>36</v>
      </c>
      <c r="H44">
        <v>270.59999999999997</v>
      </c>
      <c r="I44" s="14">
        <v>269.11927996934224</v>
      </c>
      <c r="J44">
        <v>62</v>
      </c>
      <c r="K44">
        <v>50</v>
      </c>
      <c r="L44">
        <v>53</v>
      </c>
      <c r="M44">
        <v>43</v>
      </c>
      <c r="N44" s="120">
        <v>0</v>
      </c>
      <c r="O44" s="120">
        <v>2.7777777777777776E-2</v>
      </c>
      <c r="P44">
        <v>10</v>
      </c>
    </row>
    <row r="45" spans="1:16">
      <c r="A45" t="s">
        <v>115</v>
      </c>
      <c r="B45">
        <v>115</v>
      </c>
      <c r="C45">
        <v>65</v>
      </c>
      <c r="D45">
        <v>29</v>
      </c>
      <c r="E45">
        <v>104</v>
      </c>
      <c r="F45">
        <v>55</v>
      </c>
      <c r="G45">
        <v>95</v>
      </c>
      <c r="H45">
        <v>220.4</v>
      </c>
      <c r="I45" s="14">
        <v>271.32602775332919</v>
      </c>
      <c r="J45">
        <v>23</v>
      </c>
      <c r="K45">
        <v>22</v>
      </c>
      <c r="L45">
        <v>54</v>
      </c>
      <c r="M45">
        <v>44</v>
      </c>
      <c r="N45" s="143">
        <v>0</v>
      </c>
      <c r="O45" s="143">
        <v>4.3478260869565216E-2</v>
      </c>
      <c r="P45">
        <v>-28</v>
      </c>
    </row>
    <row r="46" spans="1:16">
      <c r="A46" t="s">
        <v>49</v>
      </c>
      <c r="B46">
        <v>85</v>
      </c>
      <c r="C46">
        <v>133</v>
      </c>
      <c r="D46">
        <v>69</v>
      </c>
      <c r="E46">
        <v>92</v>
      </c>
      <c r="F46">
        <v>68</v>
      </c>
      <c r="G46">
        <v>62</v>
      </c>
      <c r="H46">
        <v>266.90000000000003</v>
      </c>
      <c r="I46" s="14">
        <v>280.09602720584098</v>
      </c>
      <c r="J46">
        <v>59</v>
      </c>
      <c r="K46">
        <v>48</v>
      </c>
      <c r="L46">
        <v>56</v>
      </c>
      <c r="M46">
        <v>45</v>
      </c>
      <c r="N46" s="143">
        <v>0</v>
      </c>
      <c r="O46" s="143">
        <v>0</v>
      </c>
      <c r="P46">
        <v>28</v>
      </c>
    </row>
    <row r="47" spans="1:16">
      <c r="A47" t="s">
        <v>104</v>
      </c>
      <c r="B47">
        <v>110</v>
      </c>
      <c r="C47">
        <v>192</v>
      </c>
      <c r="D47">
        <v>126</v>
      </c>
      <c r="E47">
        <v>12</v>
      </c>
      <c r="F47">
        <v>18</v>
      </c>
      <c r="G47">
        <v>47</v>
      </c>
      <c r="H47">
        <v>305.2</v>
      </c>
      <c r="I47" s="14">
        <v>284.95791941575044</v>
      </c>
      <c r="J47">
        <v>93</v>
      </c>
      <c r="K47">
        <v>70</v>
      </c>
      <c r="L47">
        <v>58</v>
      </c>
      <c r="M47">
        <v>46</v>
      </c>
      <c r="N47" s="143">
        <v>3.3333333333333333E-2</v>
      </c>
      <c r="O47" s="143">
        <v>3.3333333333333333E-2</v>
      </c>
      <c r="P47">
        <v>-30</v>
      </c>
    </row>
    <row r="48" spans="1:16">
      <c r="A48" t="s">
        <v>162</v>
      </c>
      <c r="B48">
        <v>182</v>
      </c>
      <c r="C48">
        <v>117</v>
      </c>
      <c r="D48">
        <v>44</v>
      </c>
      <c r="E48">
        <v>43</v>
      </c>
      <c r="F48">
        <v>91</v>
      </c>
      <c r="G48">
        <v>59</v>
      </c>
      <c r="H48">
        <v>309.3</v>
      </c>
      <c r="I48" s="14">
        <v>289.24227593398939</v>
      </c>
      <c r="J48">
        <v>97</v>
      </c>
      <c r="K48">
        <v>73</v>
      </c>
      <c r="L48">
        <v>60</v>
      </c>
      <c r="M48">
        <v>47</v>
      </c>
      <c r="N48" s="120">
        <v>0</v>
      </c>
      <c r="O48" s="120">
        <v>2.564102564102564E-2</v>
      </c>
      <c r="P48">
        <v>-29</v>
      </c>
    </row>
    <row r="49" spans="1:16">
      <c r="A49" t="s">
        <v>110</v>
      </c>
      <c r="B49">
        <v>159</v>
      </c>
      <c r="C49">
        <v>27</v>
      </c>
      <c r="D49">
        <v>19</v>
      </c>
      <c r="E49">
        <v>165</v>
      </c>
      <c r="F49">
        <v>53</v>
      </c>
      <c r="G49">
        <v>89</v>
      </c>
      <c r="H49">
        <v>249.20000000000002</v>
      </c>
      <c r="I49" s="14">
        <v>291.04209551414328</v>
      </c>
      <c r="J49">
        <v>43</v>
      </c>
      <c r="K49">
        <v>36</v>
      </c>
      <c r="L49">
        <v>61</v>
      </c>
      <c r="M49">
        <v>48</v>
      </c>
      <c r="N49" s="120">
        <v>0</v>
      </c>
      <c r="O49" s="120">
        <v>3.5714285714285712E-2</v>
      </c>
      <c r="P49">
        <v>4</v>
      </c>
    </row>
    <row r="50" spans="1:16">
      <c r="A50" t="s">
        <v>93</v>
      </c>
      <c r="B50">
        <v>81</v>
      </c>
      <c r="C50">
        <v>76</v>
      </c>
      <c r="D50">
        <v>36</v>
      </c>
      <c r="E50">
        <v>131</v>
      </c>
      <c r="F50">
        <v>165</v>
      </c>
      <c r="G50">
        <v>67</v>
      </c>
      <c r="H50">
        <v>270.5</v>
      </c>
      <c r="I50" s="14">
        <v>294.08794771975272</v>
      </c>
      <c r="J50">
        <v>61</v>
      </c>
      <c r="K50">
        <v>49</v>
      </c>
      <c r="L50">
        <v>63</v>
      </c>
      <c r="M50">
        <v>49</v>
      </c>
      <c r="N50" s="120">
        <v>0</v>
      </c>
      <c r="O50" s="120">
        <v>0</v>
      </c>
      <c r="P50">
        <v>20</v>
      </c>
    </row>
    <row r="51" spans="1:16">
      <c r="A51" t="s">
        <v>64</v>
      </c>
      <c r="B51">
        <v>88</v>
      </c>
      <c r="C51">
        <v>177</v>
      </c>
      <c r="D51">
        <v>72</v>
      </c>
      <c r="E51">
        <v>67</v>
      </c>
      <c r="F51">
        <v>58</v>
      </c>
      <c r="G51">
        <v>69</v>
      </c>
      <c r="H51">
        <v>282.80000000000007</v>
      </c>
      <c r="I51" s="14">
        <v>294.2341890298008</v>
      </c>
      <c r="J51">
        <v>69</v>
      </c>
      <c r="K51">
        <v>56</v>
      </c>
      <c r="L51">
        <v>64</v>
      </c>
      <c r="M51">
        <v>50</v>
      </c>
      <c r="N51" s="120">
        <v>0</v>
      </c>
      <c r="O51" s="120">
        <v>0.12903225806451613</v>
      </c>
      <c r="P51">
        <v>19</v>
      </c>
    </row>
    <row r="52" spans="1:16">
      <c r="A52" t="s">
        <v>105</v>
      </c>
      <c r="B52">
        <v>97</v>
      </c>
      <c r="C52">
        <v>102</v>
      </c>
      <c r="D52">
        <v>179</v>
      </c>
      <c r="E52">
        <v>27</v>
      </c>
      <c r="F52">
        <v>23</v>
      </c>
      <c r="G52">
        <v>57</v>
      </c>
      <c r="H52">
        <v>286.40000000000003</v>
      </c>
      <c r="I52" s="14">
        <v>294.38389501021413</v>
      </c>
      <c r="J52">
        <v>74</v>
      </c>
      <c r="K52">
        <v>58</v>
      </c>
      <c r="L52">
        <v>65</v>
      </c>
      <c r="M52">
        <v>51</v>
      </c>
      <c r="N52" s="120">
        <v>3.8461538461538464E-2</v>
      </c>
      <c r="O52" s="120">
        <v>0.11538461538461539</v>
      </c>
      <c r="P52">
        <v>18</v>
      </c>
    </row>
    <row r="53" spans="1:16">
      <c r="A53" t="s">
        <v>161</v>
      </c>
      <c r="B53">
        <v>144</v>
      </c>
      <c r="C53">
        <v>46</v>
      </c>
      <c r="D53">
        <v>94</v>
      </c>
      <c r="E53">
        <v>58</v>
      </c>
      <c r="F53">
        <v>61</v>
      </c>
      <c r="G53">
        <v>87</v>
      </c>
      <c r="H53">
        <v>262.3</v>
      </c>
      <c r="I53" s="14">
        <v>295.64576626134232</v>
      </c>
      <c r="J53">
        <v>53</v>
      </c>
      <c r="K53">
        <v>44</v>
      </c>
      <c r="L53">
        <v>66</v>
      </c>
      <c r="M53">
        <v>52</v>
      </c>
      <c r="N53" s="120">
        <v>0</v>
      </c>
      <c r="O53" s="120">
        <v>0</v>
      </c>
      <c r="P53">
        <v>-10</v>
      </c>
    </row>
    <row r="54" spans="1:16">
      <c r="A54" t="s">
        <v>117</v>
      </c>
      <c r="B54">
        <v>98</v>
      </c>
      <c r="C54">
        <v>77</v>
      </c>
      <c r="D54">
        <v>21</v>
      </c>
      <c r="E54">
        <v>171</v>
      </c>
      <c r="F54">
        <v>136</v>
      </c>
      <c r="G54">
        <v>66</v>
      </c>
      <c r="H54">
        <v>275.7</v>
      </c>
      <c r="I54" s="14">
        <v>297.90080755259976</v>
      </c>
      <c r="J54">
        <v>64</v>
      </c>
      <c r="K54">
        <v>51</v>
      </c>
      <c r="L54">
        <v>67</v>
      </c>
      <c r="M54">
        <v>53</v>
      </c>
      <c r="N54" s="120">
        <v>0</v>
      </c>
      <c r="O54" s="120">
        <v>0</v>
      </c>
      <c r="P54">
        <v>-7</v>
      </c>
    </row>
    <row r="55" spans="1:16">
      <c r="A55" t="s">
        <v>54</v>
      </c>
      <c r="B55">
        <v>18</v>
      </c>
      <c r="C55">
        <v>182</v>
      </c>
      <c r="D55">
        <v>63</v>
      </c>
      <c r="E55">
        <v>54</v>
      </c>
      <c r="F55">
        <v>149</v>
      </c>
      <c r="G55">
        <v>81</v>
      </c>
      <c r="H55">
        <v>263.79999999999995</v>
      </c>
      <c r="I55" s="14">
        <v>299.17857912357795</v>
      </c>
      <c r="J55">
        <v>55</v>
      </c>
      <c r="K55">
        <v>46</v>
      </c>
      <c r="L55">
        <v>68</v>
      </c>
      <c r="M55">
        <v>54</v>
      </c>
      <c r="N55" s="120">
        <v>0</v>
      </c>
      <c r="O55" s="120">
        <v>0.04</v>
      </c>
      <c r="P55">
        <v>-76</v>
      </c>
    </row>
    <row r="56" spans="1:16">
      <c r="A56" t="s">
        <v>147</v>
      </c>
      <c r="B56">
        <v>155</v>
      </c>
      <c r="C56">
        <v>78</v>
      </c>
      <c r="D56">
        <v>103</v>
      </c>
      <c r="E56">
        <v>112</v>
      </c>
      <c r="F56">
        <v>29</v>
      </c>
      <c r="G56">
        <v>54</v>
      </c>
      <c r="H56">
        <v>302.2</v>
      </c>
      <c r="I56" s="14">
        <v>299.426848280581</v>
      </c>
      <c r="J56">
        <v>89</v>
      </c>
      <c r="K56">
        <v>66</v>
      </c>
      <c r="L56">
        <v>69</v>
      </c>
      <c r="M56">
        <v>55</v>
      </c>
      <c r="N56" s="120">
        <v>0</v>
      </c>
      <c r="O56" s="120">
        <v>5.4054054054054057E-2</v>
      </c>
      <c r="P56">
        <v>-25</v>
      </c>
    </row>
    <row r="57" spans="1:16">
      <c r="A57" t="s">
        <v>59</v>
      </c>
      <c r="B57">
        <v>90</v>
      </c>
      <c r="C57">
        <v>101</v>
      </c>
      <c r="D57">
        <v>161</v>
      </c>
      <c r="E57">
        <v>15</v>
      </c>
      <c r="F57">
        <v>49</v>
      </c>
      <c r="G57">
        <v>75</v>
      </c>
      <c r="H57">
        <v>275.79999999999995</v>
      </c>
      <c r="I57" s="14">
        <v>301.55064128161143</v>
      </c>
      <c r="J57">
        <v>65</v>
      </c>
      <c r="K57">
        <v>52</v>
      </c>
      <c r="L57">
        <v>71</v>
      </c>
      <c r="M57">
        <v>56</v>
      </c>
      <c r="N57" s="120">
        <v>0</v>
      </c>
      <c r="O57" s="120">
        <v>0</v>
      </c>
      <c r="P57">
        <v>9</v>
      </c>
    </row>
    <row r="58" spans="1:16">
      <c r="A58" t="s">
        <v>233</v>
      </c>
      <c r="B58">
        <v>48</v>
      </c>
      <c r="C58">
        <v>97</v>
      </c>
      <c r="D58">
        <v>157</v>
      </c>
      <c r="E58">
        <v>158</v>
      </c>
      <c r="F58">
        <v>26</v>
      </c>
      <c r="G58">
        <v>49</v>
      </c>
      <c r="H58">
        <v>282.7</v>
      </c>
      <c r="I58" s="14">
        <v>305.3622622335198</v>
      </c>
      <c r="J58">
        <v>67</v>
      </c>
      <c r="K58">
        <v>54</v>
      </c>
      <c r="L58">
        <v>73</v>
      </c>
      <c r="M58">
        <v>57</v>
      </c>
      <c r="N58" s="120">
        <v>0</v>
      </c>
      <c r="O58" s="120">
        <v>0</v>
      </c>
      <c r="P58" t="e">
        <v>#N/A</v>
      </c>
    </row>
    <row r="59" spans="1:16">
      <c r="A59" t="s">
        <v>181</v>
      </c>
      <c r="B59">
        <v>197</v>
      </c>
      <c r="C59">
        <v>65</v>
      </c>
      <c r="D59">
        <v>9</v>
      </c>
      <c r="E59">
        <v>124</v>
      </c>
      <c r="F59">
        <v>105</v>
      </c>
      <c r="G59">
        <v>77</v>
      </c>
      <c r="H59">
        <v>305</v>
      </c>
      <c r="I59" s="14">
        <v>310.98447380841679</v>
      </c>
      <c r="J59">
        <v>92</v>
      </c>
      <c r="K59">
        <v>69</v>
      </c>
      <c r="L59">
        <v>75</v>
      </c>
      <c r="M59">
        <v>58</v>
      </c>
      <c r="N59" s="120">
        <v>0</v>
      </c>
      <c r="O59" s="120">
        <v>0</v>
      </c>
      <c r="P59">
        <v>-37</v>
      </c>
    </row>
    <row r="60" spans="1:16">
      <c r="A60" t="s">
        <v>112</v>
      </c>
      <c r="B60">
        <v>121</v>
      </c>
      <c r="C60">
        <v>67</v>
      </c>
      <c r="D60">
        <v>108</v>
      </c>
      <c r="E60">
        <v>68</v>
      </c>
      <c r="F60">
        <v>106</v>
      </c>
      <c r="G60">
        <v>72</v>
      </c>
      <c r="H60">
        <v>292.8</v>
      </c>
      <c r="I60" s="14">
        <v>311.14116256482174</v>
      </c>
      <c r="J60">
        <v>77</v>
      </c>
      <c r="K60">
        <v>61</v>
      </c>
      <c r="L60">
        <v>76</v>
      </c>
      <c r="M60">
        <v>59</v>
      </c>
      <c r="N60" s="120">
        <v>0</v>
      </c>
      <c r="O60" s="120">
        <v>3.125E-2</v>
      </c>
      <c r="P60">
        <v>-16</v>
      </c>
    </row>
    <row r="61" spans="1:16">
      <c r="A61" t="s">
        <v>52</v>
      </c>
      <c r="B61">
        <v>64</v>
      </c>
      <c r="C61">
        <v>173</v>
      </c>
      <c r="D61">
        <v>147</v>
      </c>
      <c r="E61">
        <v>10</v>
      </c>
      <c r="F61">
        <v>82</v>
      </c>
      <c r="G61">
        <v>73</v>
      </c>
      <c r="H61">
        <v>302.89999999999998</v>
      </c>
      <c r="I61" s="14">
        <v>319.74604097638377</v>
      </c>
      <c r="J61">
        <v>90</v>
      </c>
      <c r="K61">
        <v>67</v>
      </c>
      <c r="L61">
        <v>78</v>
      </c>
      <c r="M61">
        <v>60</v>
      </c>
      <c r="N61" s="120">
        <v>0</v>
      </c>
      <c r="O61" s="120">
        <v>3.0303030303030304E-2</v>
      </c>
      <c r="P61">
        <v>-21</v>
      </c>
    </row>
    <row r="62" spans="1:16">
      <c r="A62" t="s">
        <v>140</v>
      </c>
      <c r="B62">
        <v>110</v>
      </c>
      <c r="C62">
        <v>99</v>
      </c>
      <c r="D62">
        <v>107</v>
      </c>
      <c r="E62">
        <v>130</v>
      </c>
      <c r="F62">
        <v>40</v>
      </c>
      <c r="G62">
        <v>74</v>
      </c>
      <c r="H62">
        <v>294.3</v>
      </c>
      <c r="I62" s="14">
        <v>321.42370928825591</v>
      </c>
      <c r="J62">
        <v>82</v>
      </c>
      <c r="K62">
        <v>62</v>
      </c>
      <c r="L62">
        <v>79</v>
      </c>
      <c r="M62">
        <v>61</v>
      </c>
      <c r="N62" s="120">
        <v>0</v>
      </c>
      <c r="O62" s="120">
        <v>6.6666666666666666E-2</v>
      </c>
      <c r="P62">
        <v>12</v>
      </c>
    </row>
    <row r="63" spans="1:16">
      <c r="A63" t="s">
        <v>9</v>
      </c>
      <c r="B63">
        <v>8</v>
      </c>
      <c r="C63">
        <v>114</v>
      </c>
      <c r="D63">
        <v>33</v>
      </c>
      <c r="E63">
        <v>160</v>
      </c>
      <c r="F63">
        <v>191</v>
      </c>
      <c r="G63">
        <v>101</v>
      </c>
      <c r="H63">
        <v>257.39999999999998</v>
      </c>
      <c r="I63" s="14">
        <v>329.87898172502145</v>
      </c>
      <c r="J63">
        <v>48</v>
      </c>
      <c r="K63">
        <v>40</v>
      </c>
      <c r="L63">
        <v>84</v>
      </c>
      <c r="M63">
        <v>62</v>
      </c>
      <c r="N63" s="143">
        <v>0</v>
      </c>
      <c r="O63" s="143">
        <v>0</v>
      </c>
      <c r="P63">
        <v>-53</v>
      </c>
    </row>
    <row r="64" spans="1:16">
      <c r="A64" t="s">
        <v>152</v>
      </c>
      <c r="B64">
        <v>143</v>
      </c>
      <c r="C64">
        <v>6</v>
      </c>
      <c r="D64">
        <v>125</v>
      </c>
      <c r="E64">
        <v>61</v>
      </c>
      <c r="F64">
        <v>123</v>
      </c>
      <c r="G64">
        <v>93</v>
      </c>
      <c r="H64">
        <v>291.39999999999998</v>
      </c>
      <c r="I64" s="14">
        <v>332.230049098103</v>
      </c>
      <c r="J64">
        <v>76</v>
      </c>
      <c r="K64">
        <v>60</v>
      </c>
      <c r="L64">
        <v>86</v>
      </c>
      <c r="M64">
        <v>63</v>
      </c>
      <c r="N64" s="120">
        <v>0</v>
      </c>
      <c r="O64" s="120">
        <v>3.125E-2</v>
      </c>
      <c r="P64">
        <v>-46</v>
      </c>
    </row>
    <row r="65" spans="1:16">
      <c r="A65" t="s">
        <v>130</v>
      </c>
      <c r="B65">
        <v>176</v>
      </c>
      <c r="C65">
        <v>90</v>
      </c>
      <c r="D65">
        <v>59</v>
      </c>
      <c r="E65">
        <v>85</v>
      </c>
      <c r="F65">
        <v>120</v>
      </c>
      <c r="G65">
        <v>76</v>
      </c>
      <c r="H65">
        <v>330.1</v>
      </c>
      <c r="I65" s="14">
        <v>332.96761657090491</v>
      </c>
      <c r="J65">
        <v>122</v>
      </c>
      <c r="K65">
        <v>84</v>
      </c>
      <c r="L65">
        <v>87</v>
      </c>
      <c r="M65">
        <v>64</v>
      </c>
      <c r="N65" s="120">
        <v>2.8571428571428571E-2</v>
      </c>
      <c r="O65" s="120">
        <v>2.8571428571428571E-2</v>
      </c>
      <c r="P65">
        <v>-4</v>
      </c>
    </row>
    <row r="66" spans="1:16">
      <c r="A66" t="s">
        <v>56</v>
      </c>
      <c r="B66">
        <v>45</v>
      </c>
      <c r="C66">
        <v>158</v>
      </c>
      <c r="D66">
        <v>129</v>
      </c>
      <c r="E66">
        <v>74</v>
      </c>
      <c r="F66">
        <v>64</v>
      </c>
      <c r="G66">
        <v>99</v>
      </c>
      <c r="H66">
        <v>282.70000000000005</v>
      </c>
      <c r="I66" s="14">
        <v>338.94393591681091</v>
      </c>
      <c r="J66">
        <v>68</v>
      </c>
      <c r="K66">
        <v>55</v>
      </c>
      <c r="L66">
        <v>89</v>
      </c>
      <c r="M66">
        <v>65</v>
      </c>
      <c r="N66" s="120">
        <v>0</v>
      </c>
      <c r="O66" s="120">
        <v>0</v>
      </c>
      <c r="P66">
        <v>4</v>
      </c>
    </row>
    <row r="67" spans="1:16">
      <c r="A67" t="s">
        <v>155</v>
      </c>
      <c r="B67">
        <v>158</v>
      </c>
      <c r="C67">
        <v>164</v>
      </c>
      <c r="D67">
        <v>57</v>
      </c>
      <c r="E67">
        <v>14</v>
      </c>
      <c r="F67">
        <v>115</v>
      </c>
      <c r="G67">
        <v>98</v>
      </c>
      <c r="H67">
        <v>327.8</v>
      </c>
      <c r="I67" s="14">
        <v>342.32745490025076</v>
      </c>
      <c r="J67">
        <v>118</v>
      </c>
      <c r="K67">
        <v>83</v>
      </c>
      <c r="L67">
        <v>90</v>
      </c>
      <c r="M67">
        <v>66</v>
      </c>
      <c r="N67" s="120">
        <v>0</v>
      </c>
      <c r="O67" s="120">
        <v>0</v>
      </c>
      <c r="P67">
        <v>4</v>
      </c>
    </row>
    <row r="68" spans="1:16">
      <c r="A68" t="s">
        <v>89</v>
      </c>
      <c r="B68">
        <v>101</v>
      </c>
      <c r="C68">
        <v>149</v>
      </c>
      <c r="D68">
        <v>118</v>
      </c>
      <c r="E68">
        <v>57</v>
      </c>
      <c r="F68">
        <v>99</v>
      </c>
      <c r="G68">
        <v>80</v>
      </c>
      <c r="H68">
        <v>325.09999999999997</v>
      </c>
      <c r="I68" s="14">
        <v>343.63052901544285</v>
      </c>
      <c r="J68">
        <v>113</v>
      </c>
      <c r="K68">
        <v>79</v>
      </c>
      <c r="L68">
        <v>91</v>
      </c>
      <c r="M68">
        <v>67</v>
      </c>
      <c r="N68" s="120">
        <v>0</v>
      </c>
      <c r="O68" s="120">
        <v>0</v>
      </c>
      <c r="P68">
        <v>32</v>
      </c>
    </row>
    <row r="69" spans="1:16">
      <c r="A69" t="s">
        <v>76</v>
      </c>
      <c r="B69">
        <v>56</v>
      </c>
      <c r="C69">
        <v>170</v>
      </c>
      <c r="D69">
        <v>102</v>
      </c>
      <c r="E69">
        <v>69</v>
      </c>
      <c r="F69">
        <v>117</v>
      </c>
      <c r="G69">
        <v>92</v>
      </c>
      <c r="H69">
        <v>304.29999999999995</v>
      </c>
      <c r="I69" s="14">
        <v>344.1665499110274</v>
      </c>
      <c r="J69">
        <v>91</v>
      </c>
      <c r="K69">
        <v>68</v>
      </c>
      <c r="L69">
        <v>92</v>
      </c>
      <c r="M69">
        <v>68</v>
      </c>
      <c r="N69" s="120">
        <v>0</v>
      </c>
      <c r="O69" s="120">
        <v>4.5454545454545456E-2</v>
      </c>
      <c r="P69">
        <v>15</v>
      </c>
    </row>
    <row r="70" spans="1:16">
      <c r="A70" t="s">
        <v>67</v>
      </c>
      <c r="B70">
        <v>26</v>
      </c>
      <c r="C70">
        <v>175</v>
      </c>
      <c r="D70">
        <v>181</v>
      </c>
      <c r="E70">
        <v>141</v>
      </c>
      <c r="F70">
        <v>8</v>
      </c>
      <c r="G70">
        <v>64</v>
      </c>
      <c r="H70">
        <v>312.89999999999998</v>
      </c>
      <c r="I70" s="14">
        <v>344.33379703584546</v>
      </c>
      <c r="J70">
        <v>101</v>
      </c>
      <c r="K70">
        <v>74</v>
      </c>
      <c r="L70">
        <v>93</v>
      </c>
      <c r="M70">
        <v>69</v>
      </c>
      <c r="N70" s="120">
        <v>0</v>
      </c>
      <c r="O70" s="120">
        <v>0</v>
      </c>
      <c r="P70">
        <v>-42</v>
      </c>
    </row>
    <row r="71" spans="1:16">
      <c r="A71" t="s">
        <v>125</v>
      </c>
      <c r="B71">
        <v>126</v>
      </c>
      <c r="C71">
        <v>115</v>
      </c>
      <c r="D71">
        <v>104</v>
      </c>
      <c r="E71">
        <v>38</v>
      </c>
      <c r="F71">
        <v>75</v>
      </c>
      <c r="G71">
        <v>117</v>
      </c>
      <c r="H71">
        <v>295.3</v>
      </c>
      <c r="I71" s="14">
        <v>350.18184461689464</v>
      </c>
      <c r="J71">
        <v>84</v>
      </c>
      <c r="K71">
        <v>64</v>
      </c>
      <c r="L71">
        <v>94</v>
      </c>
      <c r="M71">
        <v>70</v>
      </c>
      <c r="N71" s="120">
        <v>0</v>
      </c>
      <c r="O71" s="120">
        <v>3.3333333333333333E-2</v>
      </c>
      <c r="P71">
        <v>-48</v>
      </c>
    </row>
    <row r="72" spans="1:16">
      <c r="A72" t="s">
        <v>164</v>
      </c>
      <c r="B72">
        <v>147</v>
      </c>
      <c r="C72">
        <v>83</v>
      </c>
      <c r="D72">
        <v>162</v>
      </c>
      <c r="E72">
        <v>111</v>
      </c>
      <c r="F72">
        <v>5</v>
      </c>
      <c r="G72">
        <v>85</v>
      </c>
      <c r="H72">
        <v>327.70000000000005</v>
      </c>
      <c r="I72" s="14">
        <v>358.37246089527952</v>
      </c>
      <c r="J72">
        <v>117</v>
      </c>
      <c r="K72">
        <v>82</v>
      </c>
      <c r="L72">
        <v>98</v>
      </c>
      <c r="M72">
        <v>71</v>
      </c>
      <c r="N72" s="120">
        <v>0</v>
      </c>
      <c r="O72" s="120">
        <v>4.5454545454545456E-2</v>
      </c>
      <c r="P72">
        <v>-17</v>
      </c>
    </row>
    <row r="73" spans="1:16">
      <c r="A73" t="s">
        <v>28</v>
      </c>
      <c r="B73">
        <v>14</v>
      </c>
      <c r="C73">
        <v>93</v>
      </c>
      <c r="D73">
        <v>97</v>
      </c>
      <c r="E73">
        <v>153</v>
      </c>
      <c r="F73">
        <v>162</v>
      </c>
      <c r="G73">
        <v>108</v>
      </c>
      <c r="H73">
        <v>277.09999999999997</v>
      </c>
      <c r="I73" s="14">
        <v>359.15935089829219</v>
      </c>
      <c r="J73">
        <v>66</v>
      </c>
      <c r="K73">
        <v>53</v>
      </c>
      <c r="L73">
        <v>99</v>
      </c>
      <c r="M73">
        <v>72</v>
      </c>
      <c r="N73" s="120">
        <v>0</v>
      </c>
      <c r="O73" s="120">
        <v>6.6666666666666666E-2</v>
      </c>
      <c r="P73">
        <v>-45</v>
      </c>
    </row>
    <row r="74" spans="1:16">
      <c r="A74" t="s">
        <v>163</v>
      </c>
      <c r="B74">
        <v>163</v>
      </c>
      <c r="C74">
        <v>16</v>
      </c>
      <c r="D74">
        <v>61</v>
      </c>
      <c r="E74">
        <v>36</v>
      </c>
      <c r="F74">
        <v>204</v>
      </c>
      <c r="G74">
        <v>128</v>
      </c>
      <c r="H74">
        <v>299.10000000000002</v>
      </c>
      <c r="I74" s="14">
        <v>360.4617778454699</v>
      </c>
      <c r="J74">
        <v>85.5</v>
      </c>
      <c r="K74">
        <v>65</v>
      </c>
      <c r="L74">
        <v>104</v>
      </c>
      <c r="M74">
        <v>73</v>
      </c>
      <c r="N74" s="120">
        <v>0</v>
      </c>
      <c r="O74" s="120">
        <v>5.7142857142857141E-2</v>
      </c>
      <c r="P74">
        <v>30</v>
      </c>
    </row>
    <row r="75" spans="1:16">
      <c r="A75" t="s">
        <v>126</v>
      </c>
      <c r="B75">
        <v>98</v>
      </c>
      <c r="C75">
        <v>35</v>
      </c>
      <c r="D75">
        <v>91</v>
      </c>
      <c r="E75">
        <v>152</v>
      </c>
      <c r="F75">
        <v>125</v>
      </c>
      <c r="G75">
        <v>114</v>
      </c>
      <c r="H75">
        <v>286.39999999999998</v>
      </c>
      <c r="I75" s="14">
        <v>362.19737463366073</v>
      </c>
      <c r="J75">
        <v>73</v>
      </c>
      <c r="K75">
        <v>57</v>
      </c>
      <c r="L75">
        <v>105</v>
      </c>
      <c r="M75">
        <v>74</v>
      </c>
      <c r="N75" s="143">
        <v>0</v>
      </c>
      <c r="O75" s="143">
        <v>3.2258064516129031E-2</v>
      </c>
      <c r="P75">
        <v>16</v>
      </c>
    </row>
    <row r="76" spans="1:16">
      <c r="A76" t="s">
        <v>29</v>
      </c>
      <c r="B76">
        <v>9</v>
      </c>
      <c r="C76">
        <v>171</v>
      </c>
      <c r="D76">
        <v>114</v>
      </c>
      <c r="E76">
        <v>107</v>
      </c>
      <c r="F76">
        <v>152</v>
      </c>
      <c r="G76">
        <v>97</v>
      </c>
      <c r="H76">
        <v>308.39999999999998</v>
      </c>
      <c r="I76" s="14">
        <v>366.06482990712362</v>
      </c>
      <c r="J76">
        <v>96</v>
      </c>
      <c r="K76">
        <v>72</v>
      </c>
      <c r="L76">
        <v>107</v>
      </c>
      <c r="M76">
        <v>75</v>
      </c>
      <c r="N76" s="120">
        <v>0</v>
      </c>
      <c r="O76" s="120">
        <v>0</v>
      </c>
      <c r="P76">
        <v>-53</v>
      </c>
    </row>
    <row r="77" spans="1:16">
      <c r="A77" t="s">
        <v>82</v>
      </c>
      <c r="B77">
        <v>130</v>
      </c>
      <c r="C77">
        <v>181</v>
      </c>
      <c r="D77">
        <v>131</v>
      </c>
      <c r="E77">
        <v>4</v>
      </c>
      <c r="F77">
        <v>112</v>
      </c>
      <c r="G77">
        <v>86</v>
      </c>
      <c r="H77">
        <v>361.9</v>
      </c>
      <c r="I77" s="14">
        <v>368.35957391697633</v>
      </c>
      <c r="J77">
        <v>147</v>
      </c>
      <c r="K77">
        <v>97</v>
      </c>
      <c r="L77">
        <v>108</v>
      </c>
      <c r="M77">
        <v>76</v>
      </c>
      <c r="N77" s="120">
        <v>0</v>
      </c>
      <c r="O77" s="120">
        <v>0</v>
      </c>
      <c r="P77">
        <v>-16</v>
      </c>
    </row>
    <row r="78" spans="1:16">
      <c r="A78" t="s">
        <v>101</v>
      </c>
      <c r="B78">
        <v>105</v>
      </c>
      <c r="C78">
        <v>92</v>
      </c>
      <c r="D78">
        <v>70</v>
      </c>
      <c r="E78">
        <v>180</v>
      </c>
      <c r="F78">
        <v>121</v>
      </c>
      <c r="G78">
        <v>96</v>
      </c>
      <c r="H78">
        <v>320.7</v>
      </c>
      <c r="I78" s="14">
        <v>369.23561079962286</v>
      </c>
      <c r="J78">
        <v>107</v>
      </c>
      <c r="K78">
        <v>77</v>
      </c>
      <c r="L78">
        <v>109</v>
      </c>
      <c r="M78">
        <v>77</v>
      </c>
      <c r="N78" s="120">
        <v>0</v>
      </c>
      <c r="O78" s="120">
        <v>2.9411764705882353E-2</v>
      </c>
      <c r="P78">
        <v>-34</v>
      </c>
    </row>
    <row r="79" spans="1:16">
      <c r="A79" t="s">
        <v>21</v>
      </c>
      <c r="B79">
        <v>34</v>
      </c>
      <c r="C79">
        <v>196</v>
      </c>
      <c r="D79">
        <v>84</v>
      </c>
      <c r="E79">
        <v>150</v>
      </c>
      <c r="F79">
        <v>108</v>
      </c>
      <c r="G79">
        <v>100</v>
      </c>
      <c r="H79">
        <v>317.60000000000002</v>
      </c>
      <c r="I79" s="14">
        <v>373.18707523168689</v>
      </c>
      <c r="J79">
        <v>104</v>
      </c>
      <c r="K79">
        <v>75</v>
      </c>
      <c r="L79">
        <v>111</v>
      </c>
      <c r="M79">
        <v>78</v>
      </c>
      <c r="N79" s="120">
        <v>0</v>
      </c>
      <c r="O79" s="120">
        <v>2.8571428571428571E-2</v>
      </c>
      <c r="P79">
        <v>-75</v>
      </c>
    </row>
    <row r="80" spans="1:16">
      <c r="A80" t="s">
        <v>53</v>
      </c>
      <c r="B80">
        <v>29</v>
      </c>
      <c r="C80">
        <v>200</v>
      </c>
      <c r="D80">
        <v>47</v>
      </c>
      <c r="E80">
        <v>120</v>
      </c>
      <c r="F80">
        <v>163</v>
      </c>
      <c r="G80">
        <v>119</v>
      </c>
      <c r="H80">
        <v>305.60000000000002</v>
      </c>
      <c r="I80" s="14">
        <v>375.5052479393994</v>
      </c>
      <c r="J80">
        <v>94</v>
      </c>
      <c r="K80">
        <v>71</v>
      </c>
      <c r="L80">
        <v>112</v>
      </c>
      <c r="M80">
        <v>79</v>
      </c>
      <c r="N80" s="143">
        <v>0</v>
      </c>
      <c r="O80" s="143">
        <v>0</v>
      </c>
      <c r="P80">
        <v>-15</v>
      </c>
    </row>
    <row r="81" spans="1:16">
      <c r="A81" t="s">
        <v>90</v>
      </c>
      <c r="B81">
        <v>62</v>
      </c>
      <c r="C81">
        <v>74</v>
      </c>
      <c r="D81">
        <v>77</v>
      </c>
      <c r="E81">
        <v>172</v>
      </c>
      <c r="F81">
        <v>146</v>
      </c>
      <c r="G81">
        <v>126</v>
      </c>
      <c r="H81">
        <v>289.7</v>
      </c>
      <c r="I81" s="14">
        <v>381.35594236778138</v>
      </c>
      <c r="J81">
        <v>75</v>
      </c>
      <c r="K81">
        <v>59</v>
      </c>
      <c r="L81">
        <v>113</v>
      </c>
      <c r="M81">
        <v>80</v>
      </c>
      <c r="N81" s="120">
        <v>0</v>
      </c>
      <c r="O81" s="120">
        <v>6.0606060606060608E-2</v>
      </c>
      <c r="P81">
        <v>-47</v>
      </c>
    </row>
    <row r="82" spans="1:16">
      <c r="A82" t="s">
        <v>142</v>
      </c>
      <c r="B82">
        <v>170</v>
      </c>
      <c r="C82">
        <v>183</v>
      </c>
      <c r="D82">
        <v>105</v>
      </c>
      <c r="E82">
        <v>51</v>
      </c>
      <c r="F82">
        <v>42</v>
      </c>
      <c r="G82">
        <v>106</v>
      </c>
      <c r="H82">
        <v>360.7</v>
      </c>
      <c r="I82" s="14">
        <v>383.70318660190287</v>
      </c>
      <c r="J82">
        <v>146</v>
      </c>
      <c r="K82">
        <v>96</v>
      </c>
      <c r="L82">
        <v>114</v>
      </c>
      <c r="M82">
        <v>81</v>
      </c>
      <c r="N82" s="120">
        <v>0</v>
      </c>
      <c r="O82" s="120">
        <v>2.8571428571428571E-2</v>
      </c>
      <c r="P82">
        <v>28</v>
      </c>
    </row>
    <row r="83" spans="1:16">
      <c r="A83" t="s">
        <v>122</v>
      </c>
      <c r="B83">
        <v>133</v>
      </c>
      <c r="C83">
        <v>74</v>
      </c>
      <c r="D83">
        <v>112</v>
      </c>
      <c r="E83">
        <v>101</v>
      </c>
      <c r="F83">
        <v>129</v>
      </c>
      <c r="G83">
        <v>113</v>
      </c>
      <c r="H83">
        <v>334.1</v>
      </c>
      <c r="I83" s="14">
        <v>388.60024916179191</v>
      </c>
      <c r="J83">
        <v>126</v>
      </c>
      <c r="K83">
        <v>86</v>
      </c>
      <c r="L83">
        <v>118</v>
      </c>
      <c r="M83">
        <v>82</v>
      </c>
      <c r="N83" s="120">
        <v>0</v>
      </c>
      <c r="O83" s="120">
        <v>3.125E-2</v>
      </c>
      <c r="P83">
        <v>11</v>
      </c>
    </row>
    <row r="84" spans="1:16">
      <c r="A84" t="s">
        <v>77</v>
      </c>
      <c r="B84">
        <v>69</v>
      </c>
      <c r="C84">
        <v>199</v>
      </c>
      <c r="D84">
        <v>86</v>
      </c>
      <c r="E84">
        <v>167</v>
      </c>
      <c r="F84">
        <v>84</v>
      </c>
      <c r="G84">
        <v>105</v>
      </c>
      <c r="H84">
        <v>343.59999999999997</v>
      </c>
      <c r="I84" s="14">
        <v>396.17428716966242</v>
      </c>
      <c r="J84">
        <v>134</v>
      </c>
      <c r="K84">
        <v>91</v>
      </c>
      <c r="L84">
        <v>122</v>
      </c>
      <c r="M84">
        <v>83</v>
      </c>
      <c r="N84" s="120">
        <v>0</v>
      </c>
      <c r="O84" s="120">
        <v>0</v>
      </c>
      <c r="P84">
        <v>37</v>
      </c>
    </row>
    <row r="85" spans="1:16">
      <c r="A85" t="s">
        <v>240</v>
      </c>
      <c r="B85">
        <v>173</v>
      </c>
      <c r="C85">
        <v>85</v>
      </c>
      <c r="D85">
        <v>31</v>
      </c>
      <c r="E85">
        <v>193</v>
      </c>
      <c r="F85">
        <v>101</v>
      </c>
      <c r="G85">
        <v>125</v>
      </c>
      <c r="H85">
        <v>338.8</v>
      </c>
      <c r="I85" s="14">
        <v>400.34212866854119</v>
      </c>
      <c r="J85">
        <v>130</v>
      </c>
      <c r="K85">
        <v>89</v>
      </c>
      <c r="L85">
        <v>124</v>
      </c>
      <c r="M85">
        <v>84</v>
      </c>
      <c r="N85" s="120">
        <v>0</v>
      </c>
      <c r="O85" s="120">
        <v>0</v>
      </c>
      <c r="P85">
        <v>50</v>
      </c>
    </row>
    <row r="86" spans="1:16">
      <c r="A86" t="s">
        <v>23</v>
      </c>
      <c r="B86">
        <v>26</v>
      </c>
      <c r="C86">
        <v>163</v>
      </c>
      <c r="D86">
        <v>106</v>
      </c>
      <c r="E86">
        <v>82</v>
      </c>
      <c r="F86">
        <v>203</v>
      </c>
      <c r="G86">
        <v>122</v>
      </c>
      <c r="H86">
        <v>327.10000000000002</v>
      </c>
      <c r="I86" s="14">
        <v>400.65143032836505</v>
      </c>
      <c r="J86">
        <v>115</v>
      </c>
      <c r="K86">
        <v>81</v>
      </c>
      <c r="L86">
        <v>125</v>
      </c>
      <c r="M86">
        <v>85</v>
      </c>
      <c r="N86" s="120">
        <v>0</v>
      </c>
      <c r="O86" s="120">
        <v>0</v>
      </c>
      <c r="P86">
        <v>-9</v>
      </c>
    </row>
    <row r="87" spans="1:16">
      <c r="A87" t="s">
        <v>17</v>
      </c>
      <c r="B87">
        <v>7</v>
      </c>
      <c r="C87">
        <v>153</v>
      </c>
      <c r="D87">
        <v>25</v>
      </c>
      <c r="E87">
        <v>204</v>
      </c>
      <c r="F87">
        <v>196</v>
      </c>
      <c r="G87">
        <v>139</v>
      </c>
      <c r="H87">
        <v>294.5</v>
      </c>
      <c r="I87" s="14">
        <v>400.98476946249525</v>
      </c>
      <c r="J87">
        <v>83</v>
      </c>
      <c r="K87">
        <v>63</v>
      </c>
      <c r="L87">
        <v>126</v>
      </c>
      <c r="M87">
        <v>86</v>
      </c>
      <c r="N87" s="143">
        <v>0</v>
      </c>
      <c r="O87" s="143">
        <v>4.1666666666666664E-2</v>
      </c>
      <c r="P87">
        <v>-30</v>
      </c>
    </row>
    <row r="88" spans="1:16">
      <c r="A88" t="s">
        <v>41</v>
      </c>
      <c r="B88">
        <v>25</v>
      </c>
      <c r="C88">
        <v>204</v>
      </c>
      <c r="D88">
        <v>133</v>
      </c>
      <c r="E88">
        <v>155</v>
      </c>
      <c r="F88">
        <v>59</v>
      </c>
      <c r="G88">
        <v>116</v>
      </c>
      <c r="H88">
        <v>327</v>
      </c>
      <c r="I88" s="14">
        <v>403.37102541561057</v>
      </c>
      <c r="J88">
        <v>114</v>
      </c>
      <c r="K88">
        <v>80</v>
      </c>
      <c r="L88">
        <v>127</v>
      </c>
      <c r="M88">
        <v>87</v>
      </c>
      <c r="N88" s="143">
        <v>0</v>
      </c>
      <c r="O88" s="143">
        <v>0</v>
      </c>
      <c r="P88">
        <v>20</v>
      </c>
    </row>
    <row r="89" spans="1:16">
      <c r="A89" t="s">
        <v>167</v>
      </c>
      <c r="B89">
        <v>169</v>
      </c>
      <c r="C89">
        <v>69</v>
      </c>
      <c r="D89">
        <v>189</v>
      </c>
      <c r="E89">
        <v>73</v>
      </c>
      <c r="F89">
        <v>15</v>
      </c>
      <c r="G89">
        <v>120</v>
      </c>
      <c r="H89">
        <v>345.59999999999997</v>
      </c>
      <c r="I89" s="14">
        <v>403.70042926615753</v>
      </c>
      <c r="J89">
        <v>136</v>
      </c>
      <c r="K89">
        <v>92</v>
      </c>
      <c r="L89">
        <v>128</v>
      </c>
      <c r="M89">
        <v>88</v>
      </c>
      <c r="N89" s="120">
        <v>0</v>
      </c>
      <c r="O89" s="120">
        <v>0</v>
      </c>
      <c r="P89">
        <v>19</v>
      </c>
    </row>
    <row r="90" spans="1:16">
      <c r="A90" t="s">
        <v>166</v>
      </c>
      <c r="B90">
        <v>155</v>
      </c>
      <c r="C90">
        <v>1</v>
      </c>
      <c r="D90">
        <v>83</v>
      </c>
      <c r="E90">
        <v>97</v>
      </c>
      <c r="F90">
        <v>198</v>
      </c>
      <c r="G90">
        <v>151</v>
      </c>
      <c r="H90">
        <v>320.5</v>
      </c>
      <c r="I90" s="14">
        <v>413.17734648238178</v>
      </c>
      <c r="J90">
        <v>106</v>
      </c>
      <c r="K90">
        <v>76</v>
      </c>
      <c r="L90">
        <v>129</v>
      </c>
      <c r="M90">
        <v>89</v>
      </c>
      <c r="N90" s="120">
        <v>0.04</v>
      </c>
      <c r="O90" s="120">
        <v>0.04</v>
      </c>
      <c r="P90">
        <v>15</v>
      </c>
    </row>
    <row r="91" spans="1:16">
      <c r="A91" t="s">
        <v>145</v>
      </c>
      <c r="B91">
        <v>147</v>
      </c>
      <c r="C91">
        <v>20</v>
      </c>
      <c r="D91">
        <v>54</v>
      </c>
      <c r="E91">
        <v>182</v>
      </c>
      <c r="F91">
        <v>164</v>
      </c>
      <c r="G91">
        <v>150</v>
      </c>
      <c r="H91">
        <v>322.20000000000005</v>
      </c>
      <c r="I91" s="14">
        <v>421.04778876072714</v>
      </c>
      <c r="J91">
        <v>108</v>
      </c>
      <c r="K91">
        <v>78</v>
      </c>
      <c r="L91">
        <v>132</v>
      </c>
      <c r="M91">
        <v>90</v>
      </c>
      <c r="N91" s="120">
        <v>0</v>
      </c>
      <c r="O91" s="120">
        <v>0</v>
      </c>
      <c r="P91">
        <v>7</v>
      </c>
    </row>
    <row r="92" spans="1:16">
      <c r="A92" t="s">
        <v>236</v>
      </c>
      <c r="B92">
        <v>179</v>
      </c>
      <c r="C92">
        <v>53</v>
      </c>
      <c r="D92">
        <v>163</v>
      </c>
      <c r="E92">
        <v>129</v>
      </c>
      <c r="F92">
        <v>50</v>
      </c>
      <c r="G92">
        <v>123</v>
      </c>
      <c r="H92">
        <v>365.70000000000005</v>
      </c>
      <c r="I92" s="14">
        <v>427.14404751860246</v>
      </c>
      <c r="J92">
        <v>149</v>
      </c>
      <c r="K92">
        <v>99</v>
      </c>
      <c r="L92">
        <v>135</v>
      </c>
      <c r="M92">
        <v>91</v>
      </c>
      <c r="N92" s="120">
        <v>0</v>
      </c>
      <c r="O92" s="120">
        <v>0</v>
      </c>
      <c r="P92">
        <v>21</v>
      </c>
    </row>
    <row r="93" spans="1:16">
      <c r="A93" t="s">
        <v>321</v>
      </c>
      <c r="B93">
        <v>66</v>
      </c>
      <c r="C93">
        <v>161</v>
      </c>
      <c r="D93">
        <v>52</v>
      </c>
      <c r="E93">
        <v>211</v>
      </c>
      <c r="F93">
        <v>137</v>
      </c>
      <c r="G93">
        <v>137</v>
      </c>
      <c r="H93">
        <v>338.70000000000005</v>
      </c>
      <c r="I93" s="14">
        <v>429.11162251022381</v>
      </c>
      <c r="J93">
        <v>129</v>
      </c>
      <c r="K93">
        <v>88</v>
      </c>
      <c r="L93">
        <v>138</v>
      </c>
      <c r="M93">
        <v>92</v>
      </c>
      <c r="N93" s="143" t="e">
        <v>#N/A</v>
      </c>
      <c r="O93" s="143" t="e">
        <v>#N/A</v>
      </c>
      <c r="P93" t="e">
        <v>#N/A</v>
      </c>
    </row>
    <row r="94" spans="1:16">
      <c r="A94" t="s">
        <v>133</v>
      </c>
      <c r="B94">
        <v>147</v>
      </c>
      <c r="C94">
        <v>43</v>
      </c>
      <c r="D94">
        <v>155</v>
      </c>
      <c r="E94">
        <v>89</v>
      </c>
      <c r="F94">
        <v>144</v>
      </c>
      <c r="G94">
        <v>134</v>
      </c>
      <c r="H94">
        <v>359.5</v>
      </c>
      <c r="I94" s="14">
        <v>433.35544843071892</v>
      </c>
      <c r="J94">
        <v>144</v>
      </c>
      <c r="K94">
        <v>95</v>
      </c>
      <c r="L94">
        <v>141</v>
      </c>
      <c r="M94">
        <v>93</v>
      </c>
      <c r="N94" s="120">
        <v>0</v>
      </c>
      <c r="O94" s="120">
        <v>2.8571428571428571E-2</v>
      </c>
      <c r="P94">
        <v>-6</v>
      </c>
    </row>
    <row r="95" spans="1:16">
      <c r="A95" t="s">
        <v>106</v>
      </c>
      <c r="B95">
        <v>108</v>
      </c>
      <c r="C95">
        <v>193</v>
      </c>
      <c r="D95">
        <v>76</v>
      </c>
      <c r="E95">
        <v>168</v>
      </c>
      <c r="F95">
        <v>90</v>
      </c>
      <c r="G95">
        <v>131</v>
      </c>
      <c r="H95">
        <v>367.59999999999997</v>
      </c>
      <c r="I95" s="14">
        <v>435.34056328927761</v>
      </c>
      <c r="J95">
        <v>150</v>
      </c>
      <c r="K95">
        <v>100</v>
      </c>
      <c r="L95">
        <v>142</v>
      </c>
      <c r="M95">
        <v>94</v>
      </c>
      <c r="N95" s="120">
        <v>0</v>
      </c>
      <c r="O95" s="120">
        <v>0</v>
      </c>
      <c r="P95">
        <v>-15</v>
      </c>
    </row>
    <row r="96" spans="1:16">
      <c r="A96" t="s">
        <v>109</v>
      </c>
      <c r="B96">
        <v>135</v>
      </c>
      <c r="C96">
        <v>11</v>
      </c>
      <c r="D96">
        <v>140</v>
      </c>
      <c r="E96">
        <v>199</v>
      </c>
      <c r="F96">
        <v>78</v>
      </c>
      <c r="G96">
        <v>147</v>
      </c>
      <c r="H96">
        <v>331.2</v>
      </c>
      <c r="I96" s="14">
        <v>438.57414915642948</v>
      </c>
      <c r="J96">
        <v>124</v>
      </c>
      <c r="K96">
        <v>85</v>
      </c>
      <c r="L96">
        <v>145</v>
      </c>
      <c r="M96">
        <v>95</v>
      </c>
      <c r="N96" s="120">
        <v>0</v>
      </c>
      <c r="O96" s="120">
        <v>0</v>
      </c>
      <c r="P96">
        <v>21</v>
      </c>
    </row>
    <row r="97" spans="1:16">
      <c r="A97" t="s">
        <v>24</v>
      </c>
      <c r="B97">
        <v>15</v>
      </c>
      <c r="C97">
        <v>209</v>
      </c>
      <c r="D97">
        <v>93</v>
      </c>
      <c r="E97">
        <v>176</v>
      </c>
      <c r="F97">
        <v>131</v>
      </c>
      <c r="G97">
        <v>144</v>
      </c>
      <c r="H97">
        <v>338.4</v>
      </c>
      <c r="I97" s="14">
        <v>440.8747119281303</v>
      </c>
      <c r="J97">
        <v>128</v>
      </c>
      <c r="K97">
        <v>87</v>
      </c>
      <c r="L97">
        <v>146</v>
      </c>
      <c r="M97">
        <v>96</v>
      </c>
      <c r="N97" s="120">
        <v>0</v>
      </c>
      <c r="O97" s="120">
        <v>3.7037037037037035E-2</v>
      </c>
      <c r="P97">
        <v>-12</v>
      </c>
    </row>
    <row r="98" spans="1:16">
      <c r="A98" t="s">
        <v>123</v>
      </c>
      <c r="B98">
        <v>139</v>
      </c>
      <c r="C98">
        <v>91</v>
      </c>
      <c r="D98">
        <v>134</v>
      </c>
      <c r="E98">
        <v>148</v>
      </c>
      <c r="F98">
        <v>100</v>
      </c>
      <c r="G98">
        <v>133</v>
      </c>
      <c r="H98">
        <v>368.8</v>
      </c>
      <c r="I98" s="14">
        <v>443.2893277573836</v>
      </c>
      <c r="J98">
        <v>151</v>
      </c>
      <c r="K98">
        <v>101</v>
      </c>
      <c r="L98">
        <v>148</v>
      </c>
      <c r="M98">
        <v>97</v>
      </c>
      <c r="N98" s="120">
        <v>0</v>
      </c>
      <c r="O98" s="120">
        <v>0</v>
      </c>
      <c r="P98">
        <v>-57</v>
      </c>
    </row>
    <row r="99" spans="1:16">
      <c r="A99" t="s">
        <v>91</v>
      </c>
      <c r="B99">
        <v>50</v>
      </c>
      <c r="C99">
        <v>136</v>
      </c>
      <c r="D99">
        <v>156</v>
      </c>
      <c r="E99">
        <v>64</v>
      </c>
      <c r="F99">
        <v>166</v>
      </c>
      <c r="G99">
        <v>161</v>
      </c>
      <c r="H99">
        <v>339.4</v>
      </c>
      <c r="I99" s="14">
        <v>450.47193208398261</v>
      </c>
      <c r="J99">
        <v>131</v>
      </c>
      <c r="K99">
        <v>90</v>
      </c>
      <c r="L99">
        <v>151</v>
      </c>
      <c r="M99">
        <v>98</v>
      </c>
      <c r="N99" s="143">
        <v>0</v>
      </c>
      <c r="O99" s="143">
        <v>3.0303030303030304E-2</v>
      </c>
      <c r="P99">
        <v>-7</v>
      </c>
    </row>
    <row r="100" spans="1:16">
      <c r="A100" t="s">
        <v>127</v>
      </c>
      <c r="B100">
        <v>90</v>
      </c>
      <c r="C100">
        <v>120</v>
      </c>
      <c r="D100">
        <v>145</v>
      </c>
      <c r="E100">
        <v>59</v>
      </c>
      <c r="F100">
        <v>177</v>
      </c>
      <c r="G100">
        <v>153</v>
      </c>
      <c r="H100">
        <v>357.6</v>
      </c>
      <c r="I100" s="14">
        <v>450.47206945136952</v>
      </c>
      <c r="J100">
        <v>143</v>
      </c>
      <c r="K100">
        <v>94</v>
      </c>
      <c r="L100">
        <v>152</v>
      </c>
      <c r="M100">
        <v>99</v>
      </c>
      <c r="N100" s="120">
        <v>0</v>
      </c>
      <c r="O100" s="120">
        <v>0</v>
      </c>
      <c r="P100">
        <v>-16</v>
      </c>
    </row>
    <row r="101" spans="1:16">
      <c r="A101" t="s">
        <v>242</v>
      </c>
      <c r="B101">
        <v>184</v>
      </c>
      <c r="C101">
        <v>39</v>
      </c>
      <c r="D101">
        <v>113</v>
      </c>
      <c r="E101">
        <v>181</v>
      </c>
      <c r="F101">
        <v>70</v>
      </c>
      <c r="G101">
        <v>155</v>
      </c>
      <c r="H101">
        <v>357.1</v>
      </c>
      <c r="I101" s="14">
        <v>453.44962888627424</v>
      </c>
      <c r="J101">
        <v>142</v>
      </c>
      <c r="K101">
        <v>93</v>
      </c>
      <c r="L101">
        <v>154</v>
      </c>
      <c r="M101">
        <v>100</v>
      </c>
      <c r="N101" s="120">
        <v>0</v>
      </c>
      <c r="O101" s="120">
        <v>0</v>
      </c>
      <c r="P101">
        <v>10</v>
      </c>
    </row>
    <row r="102" spans="1:16">
      <c r="A102" t="s">
        <v>165</v>
      </c>
      <c r="B102">
        <v>161</v>
      </c>
      <c r="C102">
        <v>30</v>
      </c>
      <c r="D102">
        <v>186</v>
      </c>
      <c r="E102">
        <v>3</v>
      </c>
      <c r="F102">
        <v>175</v>
      </c>
      <c r="G102">
        <v>163</v>
      </c>
      <c r="H102">
        <v>365.7</v>
      </c>
      <c r="I102" s="14">
        <v>458.77182207409101</v>
      </c>
      <c r="J102">
        <v>148</v>
      </c>
      <c r="K102">
        <v>98</v>
      </c>
      <c r="L102">
        <v>155</v>
      </c>
      <c r="M102">
        <v>101</v>
      </c>
      <c r="N102" s="120">
        <v>0</v>
      </c>
      <c r="O102" s="120">
        <v>0</v>
      </c>
      <c r="P102">
        <v>-57</v>
      </c>
    </row>
    <row r="103" spans="1:16">
      <c r="A103" t="s">
        <v>156</v>
      </c>
      <c r="B103">
        <v>165</v>
      </c>
      <c r="C103">
        <v>48</v>
      </c>
      <c r="D103">
        <v>96</v>
      </c>
      <c r="E103">
        <v>161</v>
      </c>
      <c r="F103">
        <v>153</v>
      </c>
      <c r="G103">
        <v>162</v>
      </c>
      <c r="H103">
        <v>368.9</v>
      </c>
      <c r="I103" s="14">
        <v>468.82023469268768</v>
      </c>
      <c r="J103">
        <v>152</v>
      </c>
      <c r="K103">
        <v>102</v>
      </c>
      <c r="L103">
        <v>157</v>
      </c>
      <c r="M103">
        <v>102</v>
      </c>
      <c r="N103" s="120">
        <v>0</v>
      </c>
      <c r="O103" s="120">
        <v>2.9411764705882353E-2</v>
      </c>
      <c r="P103">
        <v>16</v>
      </c>
    </row>
    <row r="104" spans="1:16">
      <c r="A104" t="s">
        <v>121</v>
      </c>
      <c r="B104">
        <v>123</v>
      </c>
      <c r="C104">
        <v>79</v>
      </c>
      <c r="D104">
        <v>144</v>
      </c>
      <c r="E104">
        <v>137</v>
      </c>
      <c r="F104">
        <v>143</v>
      </c>
      <c r="G104">
        <v>158</v>
      </c>
      <c r="H104">
        <v>372.90000000000003</v>
      </c>
      <c r="I104" s="14">
        <v>474.83351083600132</v>
      </c>
      <c r="J104">
        <v>155</v>
      </c>
      <c r="K104">
        <v>103</v>
      </c>
      <c r="L104">
        <v>159</v>
      </c>
      <c r="M104">
        <v>103</v>
      </c>
      <c r="N104" s="120">
        <v>0</v>
      </c>
      <c r="O104" s="120">
        <v>0</v>
      </c>
      <c r="P104">
        <v>-18</v>
      </c>
    </row>
    <row r="105" spans="1:16">
      <c r="A105" t="s">
        <v>239</v>
      </c>
      <c r="B105">
        <v>181</v>
      </c>
      <c r="C105">
        <v>40</v>
      </c>
      <c r="D105">
        <v>158</v>
      </c>
      <c r="E105">
        <v>62</v>
      </c>
      <c r="F105">
        <v>195</v>
      </c>
      <c r="G105">
        <v>160</v>
      </c>
      <c r="H105">
        <v>401.7</v>
      </c>
      <c r="I105" s="14">
        <v>486.28124123524202</v>
      </c>
      <c r="J105">
        <v>176</v>
      </c>
      <c r="K105">
        <v>106</v>
      </c>
      <c r="L105">
        <v>162</v>
      </c>
      <c r="M105">
        <v>104</v>
      </c>
      <c r="N105" s="120">
        <v>0</v>
      </c>
      <c r="O105" s="120">
        <v>0</v>
      </c>
      <c r="P105">
        <v>-111</v>
      </c>
    </row>
    <row r="106" spans="1:16">
      <c r="A106" t="s">
        <v>150</v>
      </c>
      <c r="B106">
        <v>167</v>
      </c>
      <c r="C106">
        <v>71</v>
      </c>
      <c r="D106">
        <v>138</v>
      </c>
      <c r="E106">
        <v>149</v>
      </c>
      <c r="F106">
        <v>122</v>
      </c>
      <c r="G106">
        <v>164</v>
      </c>
      <c r="H106">
        <v>393.4</v>
      </c>
      <c r="I106" s="14">
        <v>492.08519757395436</v>
      </c>
      <c r="J106">
        <v>169</v>
      </c>
      <c r="K106">
        <v>104</v>
      </c>
      <c r="L106">
        <v>166</v>
      </c>
      <c r="M106">
        <v>105</v>
      </c>
      <c r="N106" s="120">
        <v>0</v>
      </c>
      <c r="O106" s="120">
        <v>0</v>
      </c>
      <c r="P106">
        <v>-17</v>
      </c>
    </row>
    <row r="107" spans="1:16">
      <c r="A107" t="s">
        <v>138</v>
      </c>
      <c r="B107">
        <v>85</v>
      </c>
      <c r="C107">
        <v>203</v>
      </c>
      <c r="D107">
        <v>115</v>
      </c>
      <c r="E107">
        <v>126</v>
      </c>
      <c r="F107">
        <v>157</v>
      </c>
      <c r="G107">
        <v>192</v>
      </c>
      <c r="H107">
        <v>399.20000000000005</v>
      </c>
      <c r="I107" s="14">
        <v>524.67604051288345</v>
      </c>
      <c r="J107">
        <v>173</v>
      </c>
      <c r="K107">
        <v>105</v>
      </c>
      <c r="L107">
        <v>176</v>
      </c>
      <c r="M107">
        <v>106</v>
      </c>
      <c r="N107" s="143">
        <v>0</v>
      </c>
      <c r="O107" s="143">
        <v>0</v>
      </c>
      <c r="P107">
        <v>-10</v>
      </c>
    </row>
    <row r="108" spans="1:16">
      <c r="A108" t="s">
        <v>148</v>
      </c>
      <c r="B108">
        <v>177</v>
      </c>
      <c r="C108">
        <v>103</v>
      </c>
      <c r="D108">
        <v>159</v>
      </c>
      <c r="E108">
        <v>159</v>
      </c>
      <c r="F108">
        <v>102</v>
      </c>
      <c r="G108">
        <v>169</v>
      </c>
      <c r="H108">
        <v>429.3</v>
      </c>
      <c r="I108" s="14">
        <v>526.56251703326689</v>
      </c>
      <c r="J108">
        <v>190</v>
      </c>
      <c r="K108">
        <v>111</v>
      </c>
      <c r="L108">
        <v>179</v>
      </c>
      <c r="M108">
        <v>107</v>
      </c>
      <c r="N108" s="120">
        <v>0</v>
      </c>
      <c r="O108" s="120">
        <v>0</v>
      </c>
      <c r="P108">
        <v>5</v>
      </c>
    </row>
    <row r="109" spans="1:16">
      <c r="A109" t="s">
        <v>180</v>
      </c>
      <c r="B109">
        <v>192</v>
      </c>
      <c r="C109">
        <v>49</v>
      </c>
      <c r="D109">
        <v>194</v>
      </c>
      <c r="E109">
        <v>203</v>
      </c>
      <c r="F109">
        <v>6</v>
      </c>
      <c r="G109">
        <v>186</v>
      </c>
      <c r="H109">
        <v>403</v>
      </c>
      <c r="I109" s="14">
        <v>531.37838481953816</v>
      </c>
      <c r="J109">
        <v>177</v>
      </c>
      <c r="K109">
        <v>107</v>
      </c>
      <c r="L109">
        <v>180</v>
      </c>
      <c r="M109">
        <v>108</v>
      </c>
      <c r="N109" s="120">
        <v>0</v>
      </c>
      <c r="O109" s="120">
        <v>0</v>
      </c>
      <c r="P109">
        <v>-16</v>
      </c>
    </row>
    <row r="110" spans="1:16">
      <c r="A110" t="s">
        <v>119</v>
      </c>
      <c r="B110">
        <v>125</v>
      </c>
      <c r="C110">
        <v>194</v>
      </c>
      <c r="D110">
        <v>123</v>
      </c>
      <c r="E110">
        <v>123</v>
      </c>
      <c r="F110">
        <v>189</v>
      </c>
      <c r="G110">
        <v>177</v>
      </c>
      <c r="H110">
        <v>446.2</v>
      </c>
      <c r="I110" s="14">
        <v>543.39661574628337</v>
      </c>
      <c r="J110">
        <v>196</v>
      </c>
      <c r="K110">
        <v>114</v>
      </c>
      <c r="L110">
        <v>185</v>
      </c>
      <c r="M110">
        <v>109</v>
      </c>
      <c r="N110" s="120">
        <v>0</v>
      </c>
      <c r="O110" s="120">
        <v>0</v>
      </c>
      <c r="P110">
        <v>-13</v>
      </c>
    </row>
    <row r="111" spans="1:16">
      <c r="A111" t="s">
        <v>99</v>
      </c>
      <c r="B111">
        <v>88</v>
      </c>
      <c r="C111">
        <v>107</v>
      </c>
      <c r="D111">
        <v>163</v>
      </c>
      <c r="E111">
        <v>197</v>
      </c>
      <c r="F111">
        <v>160</v>
      </c>
      <c r="G111">
        <v>185</v>
      </c>
      <c r="H111">
        <v>407.5</v>
      </c>
      <c r="I111" s="14">
        <v>543.77579861483196</v>
      </c>
      <c r="J111">
        <v>180</v>
      </c>
      <c r="K111">
        <v>108</v>
      </c>
      <c r="L111">
        <v>186</v>
      </c>
      <c r="M111">
        <v>110</v>
      </c>
      <c r="N111" s="120">
        <v>0</v>
      </c>
      <c r="O111" s="120">
        <v>0</v>
      </c>
      <c r="P111">
        <v>-37</v>
      </c>
    </row>
    <row r="112" spans="1:16">
      <c r="A112" t="s">
        <v>116</v>
      </c>
      <c r="B112">
        <v>113</v>
      </c>
      <c r="C112">
        <v>64</v>
      </c>
      <c r="D112">
        <v>168</v>
      </c>
      <c r="E112">
        <v>201</v>
      </c>
      <c r="F112">
        <v>169</v>
      </c>
      <c r="G112">
        <v>188</v>
      </c>
      <c r="H112">
        <v>411.3</v>
      </c>
      <c r="I112" s="14">
        <v>549.66472020389187</v>
      </c>
      <c r="J112">
        <v>183</v>
      </c>
      <c r="K112">
        <v>109</v>
      </c>
      <c r="L112">
        <v>190</v>
      </c>
      <c r="M112">
        <v>111</v>
      </c>
      <c r="N112" s="120">
        <v>0</v>
      </c>
      <c r="O112" s="120">
        <v>0</v>
      </c>
      <c r="P112">
        <v>1</v>
      </c>
    </row>
    <row r="113" spans="1:16">
      <c r="A113" t="s">
        <v>153</v>
      </c>
      <c r="B113">
        <v>172</v>
      </c>
      <c r="C113">
        <v>123</v>
      </c>
      <c r="D113">
        <v>196</v>
      </c>
      <c r="E113">
        <v>195</v>
      </c>
      <c r="F113">
        <v>35</v>
      </c>
      <c r="G113">
        <v>178</v>
      </c>
      <c r="H113">
        <v>444.09999999999997</v>
      </c>
      <c r="I113" s="14">
        <v>555.3547831280855</v>
      </c>
      <c r="J113">
        <v>195</v>
      </c>
      <c r="K113">
        <v>113</v>
      </c>
      <c r="L113">
        <v>193</v>
      </c>
      <c r="M113">
        <v>112</v>
      </c>
      <c r="N113" s="120">
        <v>0</v>
      </c>
      <c r="O113" s="120">
        <v>0</v>
      </c>
      <c r="P113">
        <v>21</v>
      </c>
    </row>
    <row r="114" spans="1:16">
      <c r="A114" t="s">
        <v>177</v>
      </c>
      <c r="B114">
        <v>179</v>
      </c>
      <c r="C114">
        <v>15</v>
      </c>
      <c r="D114">
        <v>170</v>
      </c>
      <c r="E114">
        <v>164</v>
      </c>
      <c r="F114">
        <v>194</v>
      </c>
      <c r="G114">
        <v>200</v>
      </c>
      <c r="H114">
        <v>433.8</v>
      </c>
      <c r="I114" s="14">
        <v>568.58474723423296</v>
      </c>
      <c r="J114">
        <v>193</v>
      </c>
      <c r="K114">
        <v>112</v>
      </c>
      <c r="L114">
        <v>196</v>
      </c>
      <c r="M114">
        <v>113</v>
      </c>
      <c r="N114" s="120">
        <v>0</v>
      </c>
      <c r="O114" s="120">
        <v>0</v>
      </c>
      <c r="P114">
        <v>1</v>
      </c>
    </row>
    <row r="115" spans="1:16">
      <c r="A115" t="s">
        <v>8</v>
      </c>
      <c r="B115">
        <v>5</v>
      </c>
      <c r="C115">
        <v>176</v>
      </c>
      <c r="D115">
        <v>202</v>
      </c>
      <c r="E115">
        <v>210</v>
      </c>
      <c r="F115">
        <v>155</v>
      </c>
      <c r="G115">
        <v>207</v>
      </c>
      <c r="H115">
        <v>412.5</v>
      </c>
      <c r="I115" s="14">
        <v>584.44830934276195</v>
      </c>
      <c r="J115">
        <v>184</v>
      </c>
      <c r="K115">
        <v>110</v>
      </c>
      <c r="L115">
        <v>199</v>
      </c>
      <c r="M115">
        <v>114</v>
      </c>
      <c r="N115" s="120">
        <v>0</v>
      </c>
      <c r="O115" s="120">
        <v>3.4482758620689655E-2</v>
      </c>
      <c r="P115">
        <v>-11</v>
      </c>
    </row>
    <row r="116" spans="1:16">
      <c r="A116" t="s">
        <v>37</v>
      </c>
      <c r="B116">
        <v>58</v>
      </c>
      <c r="C116">
        <v>205</v>
      </c>
      <c r="D116">
        <v>198</v>
      </c>
      <c r="E116">
        <v>200</v>
      </c>
      <c r="F116">
        <v>117</v>
      </c>
      <c r="G116">
        <v>201</v>
      </c>
      <c r="H116">
        <v>446.5</v>
      </c>
      <c r="I116" s="14">
        <v>594.56754317548553</v>
      </c>
      <c r="J116">
        <v>197</v>
      </c>
      <c r="K116">
        <v>115</v>
      </c>
      <c r="L116">
        <v>203</v>
      </c>
      <c r="M116">
        <v>115</v>
      </c>
      <c r="N116" s="120">
        <v>0</v>
      </c>
      <c r="O116" s="120">
        <v>0</v>
      </c>
      <c r="P116">
        <v>-7</v>
      </c>
    </row>
    <row r="117" spans="1:16">
      <c r="A117" t="s">
        <v>169</v>
      </c>
      <c r="B117">
        <v>190</v>
      </c>
      <c r="C117">
        <v>132</v>
      </c>
      <c r="D117">
        <v>197</v>
      </c>
      <c r="E117">
        <v>143</v>
      </c>
      <c r="F117">
        <v>150</v>
      </c>
      <c r="G117">
        <v>204</v>
      </c>
      <c r="H117">
        <v>501.29999999999995</v>
      </c>
      <c r="I117" s="14">
        <v>619.48593099627033</v>
      </c>
      <c r="J117">
        <v>209</v>
      </c>
      <c r="K117">
        <v>116</v>
      </c>
      <c r="L117">
        <v>209</v>
      </c>
      <c r="M117">
        <v>116</v>
      </c>
      <c r="N117" s="120">
        <v>0</v>
      </c>
      <c r="O117" s="120">
        <v>2.7027027027027029E-2</v>
      </c>
      <c r="P117">
        <v>-2</v>
      </c>
    </row>
  </sheetData>
  <autoFilter ref="A1:S117" xr:uid="{FE4BF24C-8AB4-4AD9-B2BE-5159F7BEF651}">
    <sortState xmlns:xlrd2="http://schemas.microsoft.com/office/spreadsheetml/2017/richdata2" ref="A2:S117">
      <sortCondition ref="I1:I117"/>
    </sortState>
  </autoFilter>
  <conditionalFormatting sqref="N2:O1048576">
    <cfRule type="cellIs" dxfId="125" priority="1" operator="greaterThanOrEqual">
      <formula>20%</formula>
    </cfRule>
    <cfRule type="cellIs" dxfId="124" priority="2" operator="between">
      <formula>10%</formula>
      <formula>20%</formula>
    </cfRule>
    <cfRule type="cellIs" dxfId="123" priority="3" operator="between">
      <formula>0.01%</formula>
      <formula>10%</formula>
    </cfRule>
  </conditionalFormatting>
  <conditionalFormatting sqref="B1:F1 B2:G1048576 J1:M1048576">
    <cfRule type="cellIs" dxfId="122" priority="4" operator="between">
      <formula>101</formula>
      <formula>250</formula>
    </cfRule>
    <cfRule type="cellIs" dxfId="121" priority="5" operator="between">
      <formula>51</formula>
      <formula>100.5</formula>
    </cfRule>
    <cfRule type="cellIs" dxfId="120" priority="6" operator="between">
      <formula>21</formula>
      <formula>50.5</formula>
    </cfRule>
    <cfRule type="cellIs" dxfId="119" priority="7"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02FE3-9E74-48D9-8133-166E38C87FB5}">
  <sheetPr codeName="Sheet51">
    <tabColor rgb="FF92D050"/>
  </sheetPr>
  <dimension ref="A1:V122"/>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s="18" t="s">
        <v>132</v>
      </c>
      <c r="B2">
        <v>116</v>
      </c>
      <c r="C2">
        <v>86</v>
      </c>
      <c r="D2">
        <v>44</v>
      </c>
      <c r="E2">
        <v>38</v>
      </c>
      <c r="F2">
        <v>47</v>
      </c>
      <c r="G2">
        <v>27</v>
      </c>
      <c r="H2">
        <v>213.89999999999998</v>
      </c>
      <c r="I2" s="14">
        <v>188.70165534993345</v>
      </c>
      <c r="J2">
        <v>19</v>
      </c>
      <c r="K2">
        <v>2</v>
      </c>
      <c r="L2">
        <v>22</v>
      </c>
      <c r="M2">
        <v>2</v>
      </c>
      <c r="N2" s="120">
        <v>0</v>
      </c>
      <c r="O2" s="120">
        <v>6.8965517241379309E-2</v>
      </c>
      <c r="P2">
        <v>35</v>
      </c>
      <c r="Q2">
        <v>1</v>
      </c>
    </row>
    <row r="3" spans="1:22">
      <c r="A3" s="20" t="s">
        <v>113</v>
      </c>
      <c r="B3">
        <v>74</v>
      </c>
      <c r="C3">
        <v>59</v>
      </c>
      <c r="D3">
        <v>48</v>
      </c>
      <c r="E3">
        <v>47</v>
      </c>
      <c r="F3">
        <v>60</v>
      </c>
      <c r="G3">
        <v>14</v>
      </c>
      <c r="H3">
        <v>177</v>
      </c>
      <c r="I3" s="14">
        <v>155.1500691393006</v>
      </c>
      <c r="J3">
        <v>14</v>
      </c>
      <c r="K3">
        <v>1</v>
      </c>
      <c r="L3">
        <v>13</v>
      </c>
      <c r="M3">
        <v>1</v>
      </c>
      <c r="N3" s="120">
        <v>0</v>
      </c>
      <c r="O3" s="120">
        <v>9.6774193548387094E-2</v>
      </c>
      <c r="P3">
        <v>38</v>
      </c>
    </row>
    <row r="4" spans="1:22">
      <c r="A4" s="136" t="s">
        <v>241</v>
      </c>
      <c r="B4">
        <v>20</v>
      </c>
      <c r="C4">
        <v>138</v>
      </c>
      <c r="D4">
        <v>26</v>
      </c>
      <c r="E4">
        <v>19</v>
      </c>
      <c r="F4">
        <v>206</v>
      </c>
      <c r="G4">
        <v>32</v>
      </c>
      <c r="H4">
        <v>227.6</v>
      </c>
      <c r="I4" s="14">
        <v>213.21030737981286</v>
      </c>
      <c r="J4">
        <v>32</v>
      </c>
      <c r="K4">
        <v>6</v>
      </c>
      <c r="L4">
        <v>27</v>
      </c>
      <c r="M4">
        <v>3</v>
      </c>
      <c r="N4" s="143">
        <v>0</v>
      </c>
      <c r="O4" s="143">
        <v>0</v>
      </c>
      <c r="P4" t="e">
        <v>#N/A</v>
      </c>
    </row>
    <row r="5" spans="1:22">
      <c r="A5" s="137" t="s">
        <v>46</v>
      </c>
      <c r="B5">
        <v>24</v>
      </c>
      <c r="C5">
        <v>145</v>
      </c>
      <c r="D5">
        <v>82</v>
      </c>
      <c r="E5">
        <v>72</v>
      </c>
      <c r="F5">
        <v>54</v>
      </c>
      <c r="G5">
        <v>34</v>
      </c>
      <c r="H5">
        <v>219.4</v>
      </c>
      <c r="I5" s="14">
        <v>218.6286170888377</v>
      </c>
      <c r="J5">
        <v>25</v>
      </c>
      <c r="K5">
        <v>4</v>
      </c>
      <c r="L5">
        <v>28</v>
      </c>
      <c r="M5">
        <v>4</v>
      </c>
      <c r="N5" s="120">
        <v>0</v>
      </c>
      <c r="O5" s="120">
        <v>6.8965517241379309E-2</v>
      </c>
      <c r="P5">
        <v>2</v>
      </c>
    </row>
    <row r="6" spans="1:22">
      <c r="A6" t="s">
        <v>178</v>
      </c>
      <c r="B6">
        <v>208</v>
      </c>
      <c r="C6">
        <v>2</v>
      </c>
      <c r="D6">
        <v>5</v>
      </c>
      <c r="E6">
        <v>138</v>
      </c>
      <c r="F6">
        <v>71</v>
      </c>
      <c r="G6">
        <v>26</v>
      </c>
      <c r="H6">
        <v>261.8</v>
      </c>
      <c r="I6" s="14">
        <v>226.99593753882189</v>
      </c>
      <c r="J6">
        <v>51</v>
      </c>
      <c r="K6">
        <v>12</v>
      </c>
      <c r="L6">
        <v>31</v>
      </c>
      <c r="M6">
        <v>5</v>
      </c>
      <c r="N6" s="120">
        <v>0</v>
      </c>
      <c r="O6" s="120">
        <v>0</v>
      </c>
      <c r="P6" t="e">
        <v>#N/A</v>
      </c>
    </row>
    <row r="7" spans="1:22">
      <c r="A7" t="s">
        <v>231</v>
      </c>
      <c r="B7">
        <v>75</v>
      </c>
      <c r="C7">
        <v>74</v>
      </c>
      <c r="D7">
        <v>169</v>
      </c>
      <c r="E7">
        <v>15</v>
      </c>
      <c r="F7">
        <v>17</v>
      </c>
      <c r="G7">
        <v>38</v>
      </c>
      <c r="H7">
        <v>237.2</v>
      </c>
      <c r="I7" s="14">
        <v>235.08123422618343</v>
      </c>
      <c r="J7">
        <v>36</v>
      </c>
      <c r="K7">
        <v>8</v>
      </c>
      <c r="L7">
        <v>35</v>
      </c>
      <c r="M7">
        <v>6</v>
      </c>
      <c r="N7" s="120">
        <v>0</v>
      </c>
      <c r="O7" s="120">
        <v>6.6666666666666666E-2</v>
      </c>
      <c r="P7">
        <v>0</v>
      </c>
    </row>
    <row r="8" spans="1:22">
      <c r="A8" t="s">
        <v>71</v>
      </c>
      <c r="B8">
        <v>85</v>
      </c>
      <c r="C8">
        <v>156</v>
      </c>
      <c r="D8">
        <v>74</v>
      </c>
      <c r="E8">
        <v>102</v>
      </c>
      <c r="F8">
        <v>23</v>
      </c>
      <c r="G8">
        <v>22</v>
      </c>
      <c r="H8">
        <v>265.7</v>
      </c>
      <c r="I8" s="14">
        <v>237.35778462043208</v>
      </c>
      <c r="J8">
        <v>55</v>
      </c>
      <c r="K8">
        <v>14</v>
      </c>
      <c r="L8">
        <v>36</v>
      </c>
      <c r="M8">
        <v>7</v>
      </c>
      <c r="N8" s="120">
        <v>0</v>
      </c>
      <c r="O8" s="120">
        <v>5.7142857142857141E-2</v>
      </c>
      <c r="P8">
        <v>-13</v>
      </c>
    </row>
    <row r="9" spans="1:22">
      <c r="A9" t="s">
        <v>65</v>
      </c>
      <c r="B9">
        <v>110</v>
      </c>
      <c r="C9">
        <v>80</v>
      </c>
      <c r="D9">
        <v>56</v>
      </c>
      <c r="E9">
        <v>33</v>
      </c>
      <c r="F9">
        <v>128</v>
      </c>
      <c r="G9">
        <v>53</v>
      </c>
      <c r="H9">
        <v>252.39999999999998</v>
      </c>
      <c r="I9" s="14">
        <v>248.63652712079886</v>
      </c>
      <c r="J9">
        <v>45</v>
      </c>
      <c r="K9">
        <v>11</v>
      </c>
      <c r="L9">
        <v>45</v>
      </c>
      <c r="M9">
        <v>8</v>
      </c>
      <c r="N9" s="120">
        <v>0</v>
      </c>
      <c r="O9" s="120">
        <v>3.4482758620689655E-2</v>
      </c>
      <c r="P9">
        <v>158</v>
      </c>
    </row>
    <row r="10" spans="1:22">
      <c r="A10" t="s">
        <v>22</v>
      </c>
      <c r="B10">
        <v>36</v>
      </c>
      <c r="C10">
        <v>59</v>
      </c>
      <c r="D10">
        <v>76</v>
      </c>
      <c r="E10">
        <v>141</v>
      </c>
      <c r="F10">
        <v>106</v>
      </c>
      <c r="G10">
        <v>49</v>
      </c>
      <c r="H10">
        <v>226.8</v>
      </c>
      <c r="I10" s="14">
        <v>251.61179445693895</v>
      </c>
      <c r="J10">
        <v>31</v>
      </c>
      <c r="K10">
        <v>5</v>
      </c>
      <c r="L10">
        <v>47</v>
      </c>
      <c r="M10">
        <v>9</v>
      </c>
      <c r="N10" s="120">
        <v>0</v>
      </c>
      <c r="O10" s="120">
        <v>2.8571428571428571E-2</v>
      </c>
      <c r="P10">
        <v>4</v>
      </c>
    </row>
    <row r="11" spans="1:22">
      <c r="A11" t="s">
        <v>97</v>
      </c>
      <c r="B11">
        <v>79</v>
      </c>
      <c r="C11">
        <v>188</v>
      </c>
      <c r="D11">
        <v>32</v>
      </c>
      <c r="E11">
        <v>67</v>
      </c>
      <c r="F11">
        <v>110</v>
      </c>
      <c r="G11">
        <v>46</v>
      </c>
      <c r="H11">
        <v>280.20000000000005</v>
      </c>
      <c r="I11" s="14">
        <v>264.19501912427353</v>
      </c>
      <c r="J11">
        <v>66</v>
      </c>
      <c r="K11">
        <v>17</v>
      </c>
      <c r="L11">
        <v>50</v>
      </c>
      <c r="M11">
        <v>10</v>
      </c>
      <c r="N11" s="120">
        <v>0</v>
      </c>
      <c r="O11" s="120">
        <v>2.7027027027027029E-2</v>
      </c>
      <c r="P11">
        <v>8</v>
      </c>
    </row>
    <row r="12" spans="1:22">
      <c r="A12" t="s">
        <v>60</v>
      </c>
      <c r="B12">
        <v>57</v>
      </c>
      <c r="C12">
        <v>22</v>
      </c>
      <c r="D12">
        <v>110</v>
      </c>
      <c r="E12">
        <v>160</v>
      </c>
      <c r="F12">
        <v>86</v>
      </c>
      <c r="G12">
        <v>47</v>
      </c>
      <c r="H12">
        <v>242.8</v>
      </c>
      <c r="I12" s="14">
        <v>267.4401262268351</v>
      </c>
      <c r="J12">
        <v>39</v>
      </c>
      <c r="K12">
        <v>9</v>
      </c>
      <c r="L12">
        <v>52</v>
      </c>
      <c r="M12">
        <v>11</v>
      </c>
      <c r="N12" s="143">
        <v>0</v>
      </c>
      <c r="O12" s="143">
        <v>7.1428571428571425E-2</v>
      </c>
      <c r="P12">
        <v>-27</v>
      </c>
    </row>
    <row r="13" spans="1:22">
      <c r="A13" t="s">
        <v>149</v>
      </c>
      <c r="B13">
        <v>181</v>
      </c>
      <c r="C13">
        <v>94</v>
      </c>
      <c r="D13">
        <v>25</v>
      </c>
      <c r="E13">
        <v>21</v>
      </c>
      <c r="F13">
        <v>111</v>
      </c>
      <c r="G13">
        <v>69</v>
      </c>
      <c r="H13">
        <v>282.60000000000002</v>
      </c>
      <c r="I13" s="14">
        <v>273.01181259453318</v>
      </c>
      <c r="J13">
        <v>69</v>
      </c>
      <c r="K13">
        <v>19</v>
      </c>
      <c r="L13">
        <v>54</v>
      </c>
      <c r="M13">
        <v>12</v>
      </c>
      <c r="N13" s="120">
        <v>0</v>
      </c>
      <c r="O13" s="120">
        <v>5.7142857142857141E-2</v>
      </c>
      <c r="P13">
        <v>-13</v>
      </c>
    </row>
    <row r="14" spans="1:22">
      <c r="A14" t="s">
        <v>39</v>
      </c>
      <c r="B14">
        <v>66</v>
      </c>
      <c r="C14">
        <v>107</v>
      </c>
      <c r="D14">
        <v>158</v>
      </c>
      <c r="E14">
        <v>116</v>
      </c>
      <c r="F14">
        <v>7</v>
      </c>
      <c r="G14">
        <v>33</v>
      </c>
      <c r="H14">
        <v>277.5</v>
      </c>
      <c r="I14" s="14">
        <v>273.93399702590648</v>
      </c>
      <c r="J14">
        <v>64</v>
      </c>
      <c r="K14">
        <v>16</v>
      </c>
      <c r="L14">
        <v>55</v>
      </c>
      <c r="M14">
        <v>13</v>
      </c>
      <c r="N14" s="120">
        <v>0</v>
      </c>
      <c r="O14" s="120">
        <v>2.7777777777777776E-2</v>
      </c>
      <c r="P14">
        <v>9</v>
      </c>
    </row>
    <row r="15" spans="1:22">
      <c r="A15" t="s">
        <v>20</v>
      </c>
      <c r="B15">
        <v>24</v>
      </c>
      <c r="C15">
        <v>179</v>
      </c>
      <c r="D15">
        <v>37</v>
      </c>
      <c r="E15">
        <v>81</v>
      </c>
      <c r="F15">
        <v>155</v>
      </c>
      <c r="G15">
        <v>59</v>
      </c>
      <c r="H15">
        <v>262.39999999999998</v>
      </c>
      <c r="I15" s="14">
        <v>274.09503109744708</v>
      </c>
      <c r="J15">
        <v>53</v>
      </c>
      <c r="K15">
        <v>13</v>
      </c>
      <c r="L15">
        <v>56</v>
      </c>
      <c r="M15">
        <v>14</v>
      </c>
      <c r="N15" s="120">
        <v>0</v>
      </c>
      <c r="O15" s="120">
        <v>7.6923076923076927E-2</v>
      </c>
      <c r="P15">
        <v>15</v>
      </c>
    </row>
    <row r="16" spans="1:22">
      <c r="A16" t="s">
        <v>130</v>
      </c>
      <c r="B16">
        <v>171</v>
      </c>
      <c r="C16">
        <v>98</v>
      </c>
      <c r="D16">
        <v>70</v>
      </c>
      <c r="E16">
        <v>48</v>
      </c>
      <c r="F16">
        <v>85</v>
      </c>
      <c r="G16">
        <v>54</v>
      </c>
      <c r="H16">
        <v>306.3</v>
      </c>
      <c r="I16" s="14">
        <v>286.37667271294049</v>
      </c>
      <c r="J16">
        <v>95</v>
      </c>
      <c r="K16">
        <v>37</v>
      </c>
      <c r="L16">
        <v>58</v>
      </c>
      <c r="M16">
        <v>15</v>
      </c>
      <c r="N16" s="120">
        <v>2.8571428571428571E-2</v>
      </c>
      <c r="O16" s="120">
        <v>5.7142857142857141E-2</v>
      </c>
      <c r="P16">
        <v>18</v>
      </c>
    </row>
    <row r="17" spans="1:16">
      <c r="A17" t="s">
        <v>74</v>
      </c>
      <c r="B17">
        <v>30</v>
      </c>
      <c r="C17">
        <v>26</v>
      </c>
      <c r="D17">
        <v>38</v>
      </c>
      <c r="E17">
        <v>144</v>
      </c>
      <c r="F17">
        <v>186</v>
      </c>
      <c r="G17">
        <v>93</v>
      </c>
      <c r="H17">
        <v>216.8</v>
      </c>
      <c r="I17" s="14">
        <v>287.52606040529759</v>
      </c>
      <c r="J17">
        <v>21</v>
      </c>
      <c r="K17">
        <v>3</v>
      </c>
      <c r="L17">
        <v>59</v>
      </c>
      <c r="M17">
        <v>16</v>
      </c>
      <c r="N17" s="120">
        <v>0</v>
      </c>
      <c r="O17" s="120">
        <v>0</v>
      </c>
      <c r="P17" t="e">
        <v>#N/A</v>
      </c>
    </row>
    <row r="18" spans="1:16">
      <c r="A18" t="s">
        <v>134</v>
      </c>
      <c r="B18">
        <v>150</v>
      </c>
      <c r="C18">
        <v>72</v>
      </c>
      <c r="D18">
        <v>97</v>
      </c>
      <c r="E18">
        <v>87</v>
      </c>
      <c r="F18">
        <v>34</v>
      </c>
      <c r="G18">
        <v>66</v>
      </c>
      <c r="H18">
        <v>282.89999999999998</v>
      </c>
      <c r="I18" s="14">
        <v>291.24125469196133</v>
      </c>
      <c r="J18">
        <v>70</v>
      </c>
      <c r="K18">
        <v>20</v>
      </c>
      <c r="L18">
        <v>63</v>
      </c>
      <c r="M18">
        <v>17</v>
      </c>
      <c r="N18" s="120">
        <v>0</v>
      </c>
      <c r="O18" s="120">
        <v>2.9411764705882353E-2</v>
      </c>
      <c r="P18">
        <v>-31</v>
      </c>
    </row>
    <row r="19" spans="1:16">
      <c r="A19" t="s">
        <v>140</v>
      </c>
      <c r="B19">
        <v>118</v>
      </c>
      <c r="C19">
        <v>110</v>
      </c>
      <c r="D19">
        <v>103</v>
      </c>
      <c r="E19">
        <v>116</v>
      </c>
      <c r="F19">
        <v>27</v>
      </c>
      <c r="G19">
        <v>58</v>
      </c>
      <c r="H19">
        <v>292.39999999999998</v>
      </c>
      <c r="I19" s="14">
        <v>297.72293237162165</v>
      </c>
      <c r="J19">
        <v>82</v>
      </c>
      <c r="K19">
        <v>28</v>
      </c>
      <c r="L19">
        <v>66</v>
      </c>
      <c r="M19">
        <v>18</v>
      </c>
      <c r="N19" s="120">
        <v>0</v>
      </c>
      <c r="O19" s="120">
        <v>6.6666666666666666E-2</v>
      </c>
      <c r="P19">
        <v>21</v>
      </c>
    </row>
    <row r="20" spans="1:16">
      <c r="A20" t="s">
        <v>235</v>
      </c>
      <c r="B20">
        <v>45</v>
      </c>
      <c r="C20">
        <v>203</v>
      </c>
      <c r="D20">
        <v>90</v>
      </c>
      <c r="E20">
        <v>58</v>
      </c>
      <c r="F20">
        <v>82</v>
      </c>
      <c r="G20">
        <v>67</v>
      </c>
      <c r="H20">
        <v>285</v>
      </c>
      <c r="I20" s="14">
        <v>297.80445301083239</v>
      </c>
      <c r="J20">
        <v>73</v>
      </c>
      <c r="K20">
        <v>23</v>
      </c>
      <c r="L20">
        <v>67</v>
      </c>
      <c r="M20">
        <v>19</v>
      </c>
      <c r="N20" s="120">
        <v>0</v>
      </c>
      <c r="O20" s="120">
        <v>6.6666666666666666E-2</v>
      </c>
      <c r="P20">
        <v>33</v>
      </c>
    </row>
    <row r="21" spans="1:16">
      <c r="A21" t="s">
        <v>100</v>
      </c>
      <c r="B21">
        <v>169</v>
      </c>
      <c r="C21">
        <v>112</v>
      </c>
      <c r="D21">
        <v>64</v>
      </c>
      <c r="E21">
        <v>39</v>
      </c>
      <c r="F21">
        <v>102</v>
      </c>
      <c r="G21">
        <v>63</v>
      </c>
      <c r="H21">
        <v>313.80000000000007</v>
      </c>
      <c r="I21" s="14">
        <v>299.34741911683108</v>
      </c>
      <c r="J21">
        <v>100</v>
      </c>
      <c r="K21">
        <v>41</v>
      </c>
      <c r="L21">
        <v>68</v>
      </c>
      <c r="M21">
        <v>20</v>
      </c>
      <c r="N21" s="120">
        <v>0</v>
      </c>
      <c r="O21" s="120">
        <v>0</v>
      </c>
      <c r="P21">
        <v>-40</v>
      </c>
    </row>
    <row r="22" spans="1:16">
      <c r="A22" t="s">
        <v>110</v>
      </c>
      <c r="B22">
        <v>163</v>
      </c>
      <c r="C22">
        <v>48</v>
      </c>
      <c r="D22">
        <v>35</v>
      </c>
      <c r="E22">
        <v>161</v>
      </c>
      <c r="F22">
        <v>39</v>
      </c>
      <c r="G22">
        <v>88</v>
      </c>
      <c r="H22">
        <v>267.60000000000002</v>
      </c>
      <c r="I22" s="14">
        <v>303.38705838641755</v>
      </c>
      <c r="J22">
        <v>57</v>
      </c>
      <c r="K22">
        <v>15</v>
      </c>
      <c r="L22">
        <v>70</v>
      </c>
      <c r="M22">
        <v>21</v>
      </c>
      <c r="N22" s="120">
        <v>0</v>
      </c>
      <c r="O22" s="120">
        <v>3.5714285714285712E-2</v>
      </c>
      <c r="P22">
        <v>1</v>
      </c>
    </row>
    <row r="23" spans="1:16">
      <c r="A23" t="s">
        <v>11</v>
      </c>
      <c r="B23">
        <v>10</v>
      </c>
      <c r="C23">
        <v>120</v>
      </c>
      <c r="D23">
        <v>77</v>
      </c>
      <c r="E23">
        <v>206</v>
      </c>
      <c r="F23">
        <v>37</v>
      </c>
      <c r="G23">
        <v>89</v>
      </c>
      <c r="H23">
        <v>234.8</v>
      </c>
      <c r="I23" s="14">
        <v>306.12835610056482</v>
      </c>
      <c r="J23">
        <v>34</v>
      </c>
      <c r="K23">
        <v>7</v>
      </c>
      <c r="L23">
        <v>72</v>
      </c>
      <c r="M23">
        <v>22</v>
      </c>
      <c r="N23" s="143">
        <v>0</v>
      </c>
      <c r="O23" s="143">
        <v>3.3333333333333333E-2</v>
      </c>
      <c r="P23">
        <v>59</v>
      </c>
    </row>
    <row r="24" spans="1:16">
      <c r="A24" t="s">
        <v>164</v>
      </c>
      <c r="B24">
        <v>154</v>
      </c>
      <c r="C24">
        <v>102</v>
      </c>
      <c r="D24">
        <v>135</v>
      </c>
      <c r="E24">
        <v>67</v>
      </c>
      <c r="F24">
        <v>12</v>
      </c>
      <c r="G24">
        <v>60</v>
      </c>
      <c r="H24">
        <v>311.7</v>
      </c>
      <c r="I24" s="14">
        <v>307.4772186093893</v>
      </c>
      <c r="J24">
        <v>98</v>
      </c>
      <c r="K24">
        <v>39</v>
      </c>
      <c r="L24">
        <v>74</v>
      </c>
      <c r="M24">
        <v>23</v>
      </c>
      <c r="N24" s="120">
        <v>0</v>
      </c>
      <c r="O24" s="120">
        <v>4.5454545454545456E-2</v>
      </c>
      <c r="P24">
        <v>11</v>
      </c>
    </row>
    <row r="25" spans="1:16">
      <c r="A25" t="s">
        <v>152</v>
      </c>
      <c r="B25">
        <v>141</v>
      </c>
      <c r="C25">
        <v>6</v>
      </c>
      <c r="D25">
        <v>105</v>
      </c>
      <c r="E25">
        <v>56</v>
      </c>
      <c r="F25">
        <v>136</v>
      </c>
      <c r="G25">
        <v>83</v>
      </c>
      <c r="H25">
        <v>280.3</v>
      </c>
      <c r="I25" s="14">
        <v>309.16525555708733</v>
      </c>
      <c r="J25">
        <v>67</v>
      </c>
      <c r="K25">
        <v>18</v>
      </c>
      <c r="L25">
        <v>75</v>
      </c>
      <c r="M25">
        <v>24</v>
      </c>
      <c r="N25" s="120">
        <v>0</v>
      </c>
      <c r="O25" s="120">
        <v>3.125E-2</v>
      </c>
      <c r="P25">
        <v>-16</v>
      </c>
    </row>
    <row r="26" spans="1:16">
      <c r="A26" t="s">
        <v>52</v>
      </c>
      <c r="B26">
        <v>62</v>
      </c>
      <c r="C26">
        <v>177</v>
      </c>
      <c r="D26">
        <v>128</v>
      </c>
      <c r="E26">
        <v>11</v>
      </c>
      <c r="F26">
        <v>99</v>
      </c>
      <c r="G26">
        <v>71</v>
      </c>
      <c r="H26">
        <v>299.3</v>
      </c>
      <c r="I26" s="14">
        <v>310.53151991966502</v>
      </c>
      <c r="J26">
        <v>88</v>
      </c>
      <c r="K26">
        <v>33</v>
      </c>
      <c r="L26">
        <v>76</v>
      </c>
      <c r="M26">
        <v>25</v>
      </c>
      <c r="N26" s="120">
        <v>0</v>
      </c>
      <c r="O26" s="120">
        <v>3.0303030303030304E-2</v>
      </c>
      <c r="P26">
        <v>-22</v>
      </c>
    </row>
    <row r="27" spans="1:16">
      <c r="A27" t="s">
        <v>186</v>
      </c>
      <c r="B27">
        <v>205</v>
      </c>
      <c r="C27">
        <v>27</v>
      </c>
      <c r="D27">
        <v>33</v>
      </c>
      <c r="E27">
        <v>60</v>
      </c>
      <c r="F27">
        <v>115</v>
      </c>
      <c r="G27">
        <v>103</v>
      </c>
      <c r="H27">
        <v>284.79999999999995</v>
      </c>
      <c r="I27" s="14">
        <v>315.03134982416054</v>
      </c>
      <c r="J27">
        <v>72</v>
      </c>
      <c r="K27">
        <v>22</v>
      </c>
      <c r="L27">
        <v>78</v>
      </c>
      <c r="M27">
        <v>26</v>
      </c>
      <c r="N27" s="120">
        <v>0</v>
      </c>
      <c r="O27" s="120">
        <v>0</v>
      </c>
      <c r="P27">
        <v>33</v>
      </c>
    </row>
    <row r="28" spans="1:16">
      <c r="A28" t="s">
        <v>115</v>
      </c>
      <c r="B28">
        <v>115</v>
      </c>
      <c r="C28">
        <v>70</v>
      </c>
      <c r="D28">
        <v>42</v>
      </c>
      <c r="E28">
        <v>81</v>
      </c>
      <c r="F28">
        <v>106</v>
      </c>
      <c r="G28">
        <v>118</v>
      </c>
      <c r="H28">
        <v>248.8</v>
      </c>
      <c r="I28" s="14">
        <v>315.03252360055512</v>
      </c>
      <c r="J28">
        <v>41</v>
      </c>
      <c r="K28">
        <v>10</v>
      </c>
      <c r="L28">
        <v>79</v>
      </c>
      <c r="M28">
        <v>27</v>
      </c>
      <c r="N28" s="120">
        <v>0</v>
      </c>
      <c r="O28" s="120">
        <v>4.3478260869565216E-2</v>
      </c>
      <c r="P28">
        <v>-12</v>
      </c>
    </row>
    <row r="29" spans="1:16">
      <c r="A29" t="s">
        <v>175</v>
      </c>
      <c r="B29">
        <v>187</v>
      </c>
      <c r="C29">
        <v>82</v>
      </c>
      <c r="D29">
        <v>80</v>
      </c>
      <c r="E29">
        <v>96</v>
      </c>
      <c r="F29">
        <v>26</v>
      </c>
      <c r="G29">
        <v>78</v>
      </c>
      <c r="H29">
        <v>306.2</v>
      </c>
      <c r="I29" s="14">
        <v>315.46911811716228</v>
      </c>
      <c r="J29">
        <v>94</v>
      </c>
      <c r="K29">
        <v>36</v>
      </c>
      <c r="L29">
        <v>80</v>
      </c>
      <c r="M29">
        <v>28</v>
      </c>
      <c r="N29" s="120">
        <v>0</v>
      </c>
      <c r="O29" s="120">
        <v>0</v>
      </c>
      <c r="P29">
        <v>-19</v>
      </c>
    </row>
    <row r="30" spans="1:16">
      <c r="A30" t="s">
        <v>172</v>
      </c>
      <c r="B30">
        <v>180</v>
      </c>
      <c r="C30">
        <v>88</v>
      </c>
      <c r="D30">
        <v>21</v>
      </c>
      <c r="E30">
        <v>126</v>
      </c>
      <c r="F30">
        <v>98</v>
      </c>
      <c r="G30">
        <v>76</v>
      </c>
      <c r="H30">
        <v>310.89999999999998</v>
      </c>
      <c r="I30" s="14">
        <v>316.41093324415266</v>
      </c>
      <c r="J30">
        <v>97</v>
      </c>
      <c r="K30">
        <v>38</v>
      </c>
      <c r="L30">
        <v>81</v>
      </c>
      <c r="M30">
        <v>29</v>
      </c>
      <c r="N30" s="120">
        <v>0</v>
      </c>
      <c r="O30" s="120">
        <v>4.5454545454545456E-2</v>
      </c>
      <c r="P30">
        <v>6</v>
      </c>
    </row>
    <row r="31" spans="1:16">
      <c r="A31" t="s">
        <v>16</v>
      </c>
      <c r="B31">
        <v>33</v>
      </c>
      <c r="C31">
        <v>208</v>
      </c>
      <c r="D31">
        <v>46</v>
      </c>
      <c r="E31">
        <v>129</v>
      </c>
      <c r="F31">
        <v>116</v>
      </c>
      <c r="G31">
        <v>73</v>
      </c>
      <c r="H31">
        <v>293</v>
      </c>
      <c r="I31" s="14">
        <v>316.64830980390275</v>
      </c>
      <c r="J31">
        <v>83</v>
      </c>
      <c r="K31">
        <v>29</v>
      </c>
      <c r="L31">
        <v>82</v>
      </c>
      <c r="M31">
        <v>30</v>
      </c>
      <c r="N31" s="143">
        <v>0</v>
      </c>
      <c r="O31" s="143">
        <v>0</v>
      </c>
      <c r="P31">
        <v>34</v>
      </c>
    </row>
    <row r="32" spans="1:16">
      <c r="A32" t="s">
        <v>36</v>
      </c>
      <c r="B32">
        <v>53</v>
      </c>
      <c r="C32">
        <v>149</v>
      </c>
      <c r="D32">
        <v>12</v>
      </c>
      <c r="E32">
        <v>159</v>
      </c>
      <c r="F32">
        <v>159</v>
      </c>
      <c r="G32">
        <v>82</v>
      </c>
      <c r="H32">
        <v>283.3</v>
      </c>
      <c r="I32" s="14">
        <v>318.999723345284</v>
      </c>
      <c r="J32">
        <v>71</v>
      </c>
      <c r="K32">
        <v>21</v>
      </c>
      <c r="L32">
        <v>83</v>
      </c>
      <c r="M32">
        <v>31</v>
      </c>
      <c r="N32" s="120">
        <v>0</v>
      </c>
      <c r="O32" s="120">
        <v>2.7027027027027029E-2</v>
      </c>
      <c r="P32">
        <v>-24</v>
      </c>
    </row>
    <row r="33" spans="1:16">
      <c r="A33" t="s">
        <v>162</v>
      </c>
      <c r="B33">
        <v>185</v>
      </c>
      <c r="C33">
        <v>115</v>
      </c>
      <c r="D33">
        <v>49</v>
      </c>
      <c r="E33">
        <v>45</v>
      </c>
      <c r="F33">
        <v>118</v>
      </c>
      <c r="G33">
        <v>76</v>
      </c>
      <c r="H33">
        <v>328.3</v>
      </c>
      <c r="I33" s="14">
        <v>320.97905462652329</v>
      </c>
      <c r="J33">
        <v>116.5</v>
      </c>
      <c r="K33">
        <v>51</v>
      </c>
      <c r="L33">
        <v>84</v>
      </c>
      <c r="M33">
        <v>32</v>
      </c>
      <c r="N33" s="120">
        <v>0</v>
      </c>
      <c r="O33" s="120">
        <v>2.564102564102564E-2</v>
      </c>
      <c r="P33">
        <v>-30</v>
      </c>
    </row>
    <row r="34" spans="1:16">
      <c r="A34" t="s">
        <v>182</v>
      </c>
      <c r="B34">
        <v>197</v>
      </c>
      <c r="C34">
        <v>121</v>
      </c>
      <c r="D34">
        <v>112</v>
      </c>
      <c r="E34">
        <v>32</v>
      </c>
      <c r="F34">
        <v>45</v>
      </c>
      <c r="G34">
        <v>62</v>
      </c>
      <c r="H34">
        <v>343.90000000000003</v>
      </c>
      <c r="I34" s="14">
        <v>321.68592064906846</v>
      </c>
      <c r="J34">
        <v>129</v>
      </c>
      <c r="K34">
        <v>61</v>
      </c>
      <c r="L34">
        <v>85</v>
      </c>
      <c r="M34">
        <v>33</v>
      </c>
      <c r="N34" s="120">
        <v>0</v>
      </c>
      <c r="O34" s="120">
        <v>7.6923076923076927E-2</v>
      </c>
      <c r="P34">
        <v>-35</v>
      </c>
    </row>
    <row r="35" spans="1:16">
      <c r="A35" t="s">
        <v>125</v>
      </c>
      <c r="B35">
        <v>134</v>
      </c>
      <c r="C35">
        <v>121</v>
      </c>
      <c r="D35">
        <v>111</v>
      </c>
      <c r="E35">
        <v>24</v>
      </c>
      <c r="F35">
        <v>38</v>
      </c>
      <c r="G35">
        <v>101</v>
      </c>
      <c r="H35">
        <v>286.10000000000002</v>
      </c>
      <c r="I35" s="14">
        <v>321.76914857941557</v>
      </c>
      <c r="J35">
        <v>74</v>
      </c>
      <c r="K35">
        <v>24</v>
      </c>
      <c r="L35">
        <v>86</v>
      </c>
      <c r="M35">
        <v>34</v>
      </c>
      <c r="N35" s="120">
        <v>0</v>
      </c>
      <c r="O35" s="120">
        <v>3.3333333333333333E-2</v>
      </c>
      <c r="P35">
        <v>-11</v>
      </c>
    </row>
    <row r="36" spans="1:16">
      <c r="A36" t="s">
        <v>101</v>
      </c>
      <c r="B36">
        <v>105</v>
      </c>
      <c r="C36">
        <v>97</v>
      </c>
      <c r="D36">
        <v>59</v>
      </c>
      <c r="E36">
        <v>170</v>
      </c>
      <c r="F36">
        <v>90</v>
      </c>
      <c r="G36">
        <v>75</v>
      </c>
      <c r="H36">
        <v>296.5</v>
      </c>
      <c r="I36" s="14">
        <v>323.70270855947371</v>
      </c>
      <c r="J36">
        <v>85</v>
      </c>
      <c r="K36">
        <v>30</v>
      </c>
      <c r="L36">
        <v>87</v>
      </c>
      <c r="M36">
        <v>35</v>
      </c>
      <c r="N36" s="143">
        <v>0</v>
      </c>
      <c r="O36" s="143">
        <v>2.9411764705882353E-2</v>
      </c>
      <c r="P36">
        <v>-10</v>
      </c>
    </row>
    <row r="37" spans="1:16">
      <c r="A37" t="s">
        <v>181</v>
      </c>
      <c r="B37">
        <v>200</v>
      </c>
      <c r="C37">
        <v>63</v>
      </c>
      <c r="D37">
        <v>7</v>
      </c>
      <c r="E37">
        <v>135</v>
      </c>
      <c r="F37">
        <v>123</v>
      </c>
      <c r="G37">
        <v>87</v>
      </c>
      <c r="H37">
        <v>318.20000000000005</v>
      </c>
      <c r="I37" s="14">
        <v>331.80813438011677</v>
      </c>
      <c r="J37">
        <v>102</v>
      </c>
      <c r="K37">
        <v>42</v>
      </c>
      <c r="L37">
        <v>89</v>
      </c>
      <c r="M37">
        <v>36</v>
      </c>
      <c r="N37" s="120">
        <v>0</v>
      </c>
      <c r="O37" s="120">
        <v>0</v>
      </c>
      <c r="P37">
        <v>-26</v>
      </c>
    </row>
    <row r="38" spans="1:16">
      <c r="A38" t="s">
        <v>10</v>
      </c>
      <c r="B38">
        <v>13</v>
      </c>
      <c r="C38">
        <v>201</v>
      </c>
      <c r="D38">
        <v>133</v>
      </c>
      <c r="E38">
        <v>4</v>
      </c>
      <c r="F38">
        <v>142</v>
      </c>
      <c r="G38">
        <v>91</v>
      </c>
      <c r="H38">
        <v>296.7</v>
      </c>
      <c r="I38" s="14">
        <v>334.27617029153998</v>
      </c>
      <c r="J38">
        <v>86</v>
      </c>
      <c r="K38">
        <v>31</v>
      </c>
      <c r="L38">
        <v>90</v>
      </c>
      <c r="M38">
        <v>37</v>
      </c>
      <c r="N38" s="120">
        <v>0</v>
      </c>
      <c r="O38" s="120">
        <v>3.2258064516129031E-2</v>
      </c>
      <c r="P38">
        <v>-10</v>
      </c>
    </row>
    <row r="39" spans="1:16">
      <c r="A39" t="s">
        <v>56</v>
      </c>
      <c r="B39">
        <v>46</v>
      </c>
      <c r="C39">
        <v>166</v>
      </c>
      <c r="D39">
        <v>140</v>
      </c>
      <c r="E39">
        <v>71</v>
      </c>
      <c r="F39">
        <v>56</v>
      </c>
      <c r="G39">
        <v>99</v>
      </c>
      <c r="H39">
        <v>290.8</v>
      </c>
      <c r="I39" s="14">
        <v>343.1130749240221</v>
      </c>
      <c r="J39">
        <v>77</v>
      </c>
      <c r="K39">
        <v>25</v>
      </c>
      <c r="L39">
        <v>92</v>
      </c>
      <c r="M39">
        <v>38</v>
      </c>
      <c r="N39" s="120">
        <v>0</v>
      </c>
      <c r="O39" s="120">
        <v>0</v>
      </c>
      <c r="P39">
        <v>21</v>
      </c>
    </row>
    <row r="40" spans="1:16">
      <c r="A40" t="s">
        <v>88</v>
      </c>
      <c r="B40">
        <v>119</v>
      </c>
      <c r="C40">
        <v>76</v>
      </c>
      <c r="D40">
        <v>121</v>
      </c>
      <c r="E40">
        <v>148</v>
      </c>
      <c r="F40">
        <v>73</v>
      </c>
      <c r="G40">
        <v>79</v>
      </c>
      <c r="H40">
        <v>321.2</v>
      </c>
      <c r="I40" s="14">
        <v>350.38403046314545</v>
      </c>
      <c r="J40">
        <v>107</v>
      </c>
      <c r="K40">
        <v>44</v>
      </c>
      <c r="L40">
        <v>97</v>
      </c>
      <c r="M40">
        <v>39</v>
      </c>
      <c r="N40" s="120">
        <v>0</v>
      </c>
      <c r="O40" s="120">
        <v>0</v>
      </c>
      <c r="P40">
        <v>16</v>
      </c>
    </row>
    <row r="41" spans="1:16">
      <c r="A41" t="s">
        <v>159</v>
      </c>
      <c r="B41">
        <v>209</v>
      </c>
      <c r="C41">
        <v>9</v>
      </c>
      <c r="D41">
        <v>68</v>
      </c>
      <c r="E41">
        <v>14</v>
      </c>
      <c r="F41">
        <v>202</v>
      </c>
      <c r="G41">
        <v>108</v>
      </c>
      <c r="H41">
        <v>326.8</v>
      </c>
      <c r="I41" s="14">
        <v>353.233337002707</v>
      </c>
      <c r="J41">
        <v>113</v>
      </c>
      <c r="K41">
        <v>49</v>
      </c>
      <c r="L41">
        <v>98</v>
      </c>
      <c r="M41">
        <v>40</v>
      </c>
      <c r="N41" s="120">
        <v>0</v>
      </c>
      <c r="O41" s="120">
        <v>0</v>
      </c>
      <c r="P41">
        <v>-92</v>
      </c>
    </row>
    <row r="42" spans="1:16">
      <c r="A42" t="s">
        <v>174</v>
      </c>
      <c r="B42">
        <v>192</v>
      </c>
      <c r="C42">
        <v>174</v>
      </c>
      <c r="D42">
        <v>2</v>
      </c>
      <c r="E42">
        <v>188</v>
      </c>
      <c r="F42">
        <v>109</v>
      </c>
      <c r="G42">
        <v>50</v>
      </c>
      <c r="H42">
        <v>389.09999999999997</v>
      </c>
      <c r="I42" s="14">
        <v>353.28573426851483</v>
      </c>
      <c r="J42">
        <v>167</v>
      </c>
      <c r="K42">
        <v>86</v>
      </c>
      <c r="L42">
        <v>99</v>
      </c>
      <c r="M42">
        <v>41</v>
      </c>
      <c r="N42" s="120">
        <v>0</v>
      </c>
      <c r="O42" s="120">
        <v>0</v>
      </c>
      <c r="P42">
        <v>87</v>
      </c>
    </row>
    <row r="43" spans="1:16">
      <c r="A43" t="s">
        <v>189</v>
      </c>
      <c r="B43">
        <v>211</v>
      </c>
      <c r="C43">
        <v>18</v>
      </c>
      <c r="D43">
        <v>185</v>
      </c>
      <c r="E43">
        <v>6</v>
      </c>
      <c r="F43">
        <v>31</v>
      </c>
      <c r="G43">
        <v>100</v>
      </c>
      <c r="H43">
        <v>327</v>
      </c>
      <c r="I43" s="14">
        <v>353.98128456796769</v>
      </c>
      <c r="J43">
        <v>114</v>
      </c>
      <c r="K43">
        <v>50</v>
      </c>
      <c r="L43">
        <v>100</v>
      </c>
      <c r="M43">
        <v>42</v>
      </c>
      <c r="N43" s="120">
        <v>0</v>
      </c>
      <c r="O43" s="120">
        <v>0</v>
      </c>
      <c r="P43">
        <v>-78</v>
      </c>
    </row>
    <row r="44" spans="1:16">
      <c r="A44" t="s">
        <v>179</v>
      </c>
      <c r="B44">
        <v>201</v>
      </c>
      <c r="C44">
        <v>13</v>
      </c>
      <c r="D44">
        <v>22</v>
      </c>
      <c r="E44">
        <v>180</v>
      </c>
      <c r="F44">
        <v>92</v>
      </c>
      <c r="G44">
        <v>113</v>
      </c>
      <c r="H44">
        <v>302</v>
      </c>
      <c r="I44" s="14">
        <v>354.4098837396354</v>
      </c>
      <c r="J44">
        <v>91</v>
      </c>
      <c r="K44">
        <v>34</v>
      </c>
      <c r="L44">
        <v>101</v>
      </c>
      <c r="M44">
        <v>43</v>
      </c>
      <c r="N44" s="120">
        <v>0</v>
      </c>
      <c r="O44" s="120">
        <v>3.3333333333333333E-2</v>
      </c>
      <c r="P44">
        <v>26</v>
      </c>
    </row>
    <row r="45" spans="1:16">
      <c r="A45" t="s">
        <v>114</v>
      </c>
      <c r="B45">
        <v>148</v>
      </c>
      <c r="C45">
        <v>178</v>
      </c>
      <c r="D45">
        <v>96</v>
      </c>
      <c r="E45">
        <v>42</v>
      </c>
      <c r="F45">
        <v>42</v>
      </c>
      <c r="G45">
        <v>105</v>
      </c>
      <c r="H45">
        <v>330.2</v>
      </c>
      <c r="I45" s="14">
        <v>357.03058964637114</v>
      </c>
      <c r="J45">
        <v>118</v>
      </c>
      <c r="K45">
        <v>53</v>
      </c>
      <c r="L45">
        <v>102</v>
      </c>
      <c r="M45">
        <v>44</v>
      </c>
      <c r="N45" s="120">
        <v>0</v>
      </c>
      <c r="O45" s="120">
        <v>0</v>
      </c>
      <c r="P45">
        <v>17</v>
      </c>
    </row>
    <row r="46" spans="1:16">
      <c r="A46" t="s">
        <v>30</v>
      </c>
      <c r="B46">
        <v>59</v>
      </c>
      <c r="C46">
        <v>109</v>
      </c>
      <c r="D46">
        <v>141</v>
      </c>
      <c r="E46">
        <v>147</v>
      </c>
      <c r="F46">
        <v>69</v>
      </c>
      <c r="G46">
        <v>94</v>
      </c>
      <c r="H46">
        <v>304.59999999999997</v>
      </c>
      <c r="I46" s="14">
        <v>360.69832792083673</v>
      </c>
      <c r="J46">
        <v>92</v>
      </c>
      <c r="K46">
        <v>35</v>
      </c>
      <c r="L46">
        <v>105</v>
      </c>
      <c r="M46">
        <v>45</v>
      </c>
      <c r="N46" s="120">
        <v>0</v>
      </c>
      <c r="O46" s="120">
        <v>0</v>
      </c>
      <c r="P46">
        <v>33</v>
      </c>
    </row>
    <row r="47" spans="1:16">
      <c r="A47" t="s">
        <v>87</v>
      </c>
      <c r="B47">
        <v>71</v>
      </c>
      <c r="C47">
        <v>118</v>
      </c>
      <c r="D47">
        <v>79</v>
      </c>
      <c r="E47">
        <v>101</v>
      </c>
      <c r="F47">
        <v>147</v>
      </c>
      <c r="G47">
        <v>115</v>
      </c>
      <c r="H47">
        <v>296.79999999999995</v>
      </c>
      <c r="I47" s="14">
        <v>361.52963538621555</v>
      </c>
      <c r="J47">
        <v>87</v>
      </c>
      <c r="K47">
        <v>32</v>
      </c>
      <c r="L47">
        <v>106</v>
      </c>
      <c r="M47">
        <v>46</v>
      </c>
      <c r="N47" s="120">
        <v>0</v>
      </c>
      <c r="O47" s="120">
        <v>0</v>
      </c>
      <c r="P47">
        <v>6</v>
      </c>
    </row>
    <row r="48" spans="1:16">
      <c r="A48" t="s">
        <v>142</v>
      </c>
      <c r="B48">
        <v>165</v>
      </c>
      <c r="C48">
        <v>189</v>
      </c>
      <c r="D48">
        <v>136</v>
      </c>
      <c r="E48">
        <v>26</v>
      </c>
      <c r="F48">
        <v>23</v>
      </c>
      <c r="G48">
        <v>90</v>
      </c>
      <c r="H48">
        <v>362.49999999999994</v>
      </c>
      <c r="I48" s="14">
        <v>367.05468641738662</v>
      </c>
      <c r="J48">
        <v>149</v>
      </c>
      <c r="K48">
        <v>71</v>
      </c>
      <c r="L48">
        <v>108</v>
      </c>
      <c r="M48">
        <v>47</v>
      </c>
      <c r="N48" s="120">
        <v>0</v>
      </c>
      <c r="O48" s="120">
        <v>2.8571428571428571E-2</v>
      </c>
      <c r="P48">
        <v>55</v>
      </c>
    </row>
    <row r="49" spans="1:16">
      <c r="A49" t="s">
        <v>126</v>
      </c>
      <c r="B49">
        <v>103</v>
      </c>
      <c r="C49">
        <v>36</v>
      </c>
      <c r="D49">
        <v>87</v>
      </c>
      <c r="E49">
        <v>150</v>
      </c>
      <c r="F49">
        <v>132</v>
      </c>
      <c r="G49">
        <v>119</v>
      </c>
      <c r="H49">
        <v>290.89999999999998</v>
      </c>
      <c r="I49" s="14">
        <v>367.75290906099042</v>
      </c>
      <c r="J49">
        <v>78</v>
      </c>
      <c r="K49">
        <v>26</v>
      </c>
      <c r="L49">
        <v>109</v>
      </c>
      <c r="M49">
        <v>48</v>
      </c>
      <c r="N49" s="120">
        <v>0</v>
      </c>
      <c r="O49" s="120">
        <v>3.2258064516129031E-2</v>
      </c>
      <c r="P49">
        <v>-7</v>
      </c>
    </row>
    <row r="50" spans="1:16">
      <c r="A50" t="s">
        <v>108</v>
      </c>
      <c r="B50">
        <v>91</v>
      </c>
      <c r="C50">
        <v>182</v>
      </c>
      <c r="D50">
        <v>176</v>
      </c>
      <c r="E50">
        <v>125</v>
      </c>
      <c r="F50">
        <v>2</v>
      </c>
      <c r="G50">
        <v>74</v>
      </c>
      <c r="H50">
        <v>356.2</v>
      </c>
      <c r="I50" s="14">
        <v>373.83412450057278</v>
      </c>
      <c r="J50">
        <v>145</v>
      </c>
      <c r="K50">
        <v>69</v>
      </c>
      <c r="L50">
        <v>110</v>
      </c>
      <c r="M50">
        <v>49</v>
      </c>
      <c r="N50" s="120">
        <v>0</v>
      </c>
      <c r="O50" s="120">
        <v>0</v>
      </c>
      <c r="P50">
        <v>-5</v>
      </c>
    </row>
    <row r="51" spans="1:16">
      <c r="A51" t="s">
        <v>187</v>
      </c>
      <c r="B51">
        <v>207</v>
      </c>
      <c r="C51">
        <v>17</v>
      </c>
      <c r="D51">
        <v>102</v>
      </c>
      <c r="E51">
        <v>29</v>
      </c>
      <c r="F51">
        <v>139</v>
      </c>
      <c r="G51">
        <v>125</v>
      </c>
      <c r="H51">
        <v>328.3</v>
      </c>
      <c r="I51" s="14">
        <v>376.09957994278909</v>
      </c>
      <c r="J51">
        <v>116.5</v>
      </c>
      <c r="K51">
        <v>52</v>
      </c>
      <c r="L51">
        <v>113</v>
      </c>
      <c r="M51">
        <v>50</v>
      </c>
      <c r="N51" s="120">
        <v>0</v>
      </c>
      <c r="O51" s="120">
        <v>0</v>
      </c>
      <c r="P51">
        <v>-27</v>
      </c>
    </row>
    <row r="52" spans="1:16">
      <c r="A52" t="s">
        <v>82</v>
      </c>
      <c r="B52">
        <v>128</v>
      </c>
      <c r="C52">
        <v>185</v>
      </c>
      <c r="D52">
        <v>107</v>
      </c>
      <c r="E52">
        <v>3</v>
      </c>
      <c r="F52">
        <v>122</v>
      </c>
      <c r="G52">
        <v>112</v>
      </c>
      <c r="H52">
        <v>350.5</v>
      </c>
      <c r="I52" s="14">
        <v>380.00717486353722</v>
      </c>
      <c r="J52">
        <v>137</v>
      </c>
      <c r="K52">
        <v>65</v>
      </c>
      <c r="L52">
        <v>114</v>
      </c>
      <c r="M52">
        <v>51</v>
      </c>
      <c r="N52" s="120">
        <v>0</v>
      </c>
      <c r="O52" s="120">
        <v>0</v>
      </c>
      <c r="P52">
        <v>-39</v>
      </c>
    </row>
    <row r="53" spans="1:16">
      <c r="A53" t="s">
        <v>33</v>
      </c>
      <c r="B53">
        <v>21</v>
      </c>
      <c r="C53">
        <v>153</v>
      </c>
      <c r="D53">
        <v>146</v>
      </c>
      <c r="E53">
        <v>173</v>
      </c>
      <c r="F53">
        <v>64</v>
      </c>
      <c r="G53">
        <v>104</v>
      </c>
      <c r="H53">
        <v>312</v>
      </c>
      <c r="I53" s="14">
        <v>383.53831305739482</v>
      </c>
      <c r="J53">
        <v>99</v>
      </c>
      <c r="K53">
        <v>40</v>
      </c>
      <c r="L53">
        <v>115</v>
      </c>
      <c r="M53">
        <v>52</v>
      </c>
      <c r="N53" s="143">
        <v>0</v>
      </c>
      <c r="O53" s="143">
        <v>3.125E-2</v>
      </c>
      <c r="P53">
        <v>10</v>
      </c>
    </row>
    <row r="54" spans="1:16">
      <c r="A54" t="s">
        <v>151</v>
      </c>
      <c r="B54">
        <v>146</v>
      </c>
      <c r="C54">
        <v>93</v>
      </c>
      <c r="D54">
        <v>17</v>
      </c>
      <c r="E54">
        <v>184</v>
      </c>
      <c r="F54">
        <v>131</v>
      </c>
      <c r="G54">
        <v>124</v>
      </c>
      <c r="H54">
        <v>323.60000000000002</v>
      </c>
      <c r="I54" s="14">
        <v>386.78173076797691</v>
      </c>
      <c r="J54">
        <v>109</v>
      </c>
      <c r="K54">
        <v>46</v>
      </c>
      <c r="L54">
        <v>116</v>
      </c>
      <c r="M54">
        <v>53</v>
      </c>
      <c r="N54" s="120">
        <v>0</v>
      </c>
      <c r="O54" s="120">
        <v>0</v>
      </c>
      <c r="P54">
        <v>11</v>
      </c>
    </row>
    <row r="55" spans="1:16">
      <c r="A55" t="s">
        <v>107</v>
      </c>
      <c r="B55">
        <v>112</v>
      </c>
      <c r="C55">
        <v>162</v>
      </c>
      <c r="D55">
        <v>173</v>
      </c>
      <c r="E55">
        <v>18</v>
      </c>
      <c r="F55">
        <v>74</v>
      </c>
      <c r="G55">
        <v>107</v>
      </c>
      <c r="H55">
        <v>352.09999999999997</v>
      </c>
      <c r="I55" s="14">
        <v>388.28274829355712</v>
      </c>
      <c r="J55">
        <v>139</v>
      </c>
      <c r="K55">
        <v>66</v>
      </c>
      <c r="L55">
        <v>117</v>
      </c>
      <c r="M55">
        <v>54</v>
      </c>
      <c r="N55" s="120">
        <v>0</v>
      </c>
      <c r="O55" s="120">
        <v>2.8571428571428571E-2</v>
      </c>
      <c r="P55">
        <v>-11</v>
      </c>
    </row>
    <row r="56" spans="1:16">
      <c r="A56" t="s">
        <v>41</v>
      </c>
      <c r="B56">
        <v>30</v>
      </c>
      <c r="C56">
        <v>206</v>
      </c>
      <c r="D56">
        <v>117</v>
      </c>
      <c r="E56">
        <v>162</v>
      </c>
      <c r="F56">
        <v>61</v>
      </c>
      <c r="G56">
        <v>109</v>
      </c>
      <c r="H56">
        <v>324.8</v>
      </c>
      <c r="I56" s="14">
        <v>390.09189024712958</v>
      </c>
      <c r="J56">
        <v>111</v>
      </c>
      <c r="K56">
        <v>47</v>
      </c>
      <c r="L56">
        <v>118</v>
      </c>
      <c r="M56">
        <v>55</v>
      </c>
      <c r="N56" s="120">
        <v>0</v>
      </c>
      <c r="O56" s="120">
        <v>0</v>
      </c>
      <c r="P56">
        <v>25</v>
      </c>
    </row>
    <row r="57" spans="1:16">
      <c r="A57" t="s">
        <v>118</v>
      </c>
      <c r="B57">
        <v>143</v>
      </c>
      <c r="C57">
        <v>45</v>
      </c>
      <c r="D57">
        <v>92</v>
      </c>
      <c r="E57">
        <v>52</v>
      </c>
      <c r="F57">
        <v>188</v>
      </c>
      <c r="G57">
        <v>136</v>
      </c>
      <c r="H57">
        <v>320.60000000000002</v>
      </c>
      <c r="I57" s="14">
        <v>391.01734524593871</v>
      </c>
      <c r="J57">
        <v>106</v>
      </c>
      <c r="K57">
        <v>43</v>
      </c>
      <c r="L57">
        <v>119</v>
      </c>
      <c r="M57">
        <v>56</v>
      </c>
      <c r="N57" s="120">
        <v>0</v>
      </c>
      <c r="O57" s="120">
        <v>0</v>
      </c>
      <c r="P57">
        <v>-4</v>
      </c>
    </row>
    <row r="58" spans="1:16">
      <c r="A58" t="s">
        <v>167</v>
      </c>
      <c r="B58">
        <v>159</v>
      </c>
      <c r="C58">
        <v>52</v>
      </c>
      <c r="D58">
        <v>190</v>
      </c>
      <c r="E58">
        <v>100</v>
      </c>
      <c r="F58">
        <v>19</v>
      </c>
      <c r="G58">
        <v>123</v>
      </c>
      <c r="H58">
        <v>340.9</v>
      </c>
      <c r="I58" s="14">
        <v>406.38160799325624</v>
      </c>
      <c r="J58">
        <v>127</v>
      </c>
      <c r="K58">
        <v>60</v>
      </c>
      <c r="L58">
        <v>123</v>
      </c>
      <c r="M58">
        <v>57</v>
      </c>
      <c r="N58" s="120">
        <v>0</v>
      </c>
      <c r="O58" s="120">
        <v>0</v>
      </c>
      <c r="P58">
        <v>6</v>
      </c>
    </row>
    <row r="59" spans="1:16">
      <c r="A59" t="s">
        <v>77</v>
      </c>
      <c r="B59">
        <v>63</v>
      </c>
      <c r="C59">
        <v>204</v>
      </c>
      <c r="D59">
        <v>101</v>
      </c>
      <c r="E59">
        <v>136</v>
      </c>
      <c r="F59">
        <v>118</v>
      </c>
      <c r="G59">
        <v>114</v>
      </c>
      <c r="H59">
        <v>356.9</v>
      </c>
      <c r="I59" s="14">
        <v>412.02786838056676</v>
      </c>
      <c r="J59">
        <v>146</v>
      </c>
      <c r="K59">
        <v>70</v>
      </c>
      <c r="L59">
        <v>127</v>
      </c>
      <c r="M59">
        <v>58</v>
      </c>
      <c r="N59" s="143">
        <v>0</v>
      </c>
      <c r="O59" s="143">
        <v>0</v>
      </c>
      <c r="P59">
        <v>38</v>
      </c>
    </row>
    <row r="60" spans="1:16">
      <c r="A60" t="s">
        <v>29</v>
      </c>
      <c r="B60">
        <v>11</v>
      </c>
      <c r="C60">
        <v>159</v>
      </c>
      <c r="D60">
        <v>116</v>
      </c>
      <c r="E60">
        <v>157</v>
      </c>
      <c r="F60">
        <v>170</v>
      </c>
      <c r="G60">
        <v>120</v>
      </c>
      <c r="H60">
        <v>333.2</v>
      </c>
      <c r="I60" s="14">
        <v>413.78772475490376</v>
      </c>
      <c r="J60">
        <v>122</v>
      </c>
      <c r="K60">
        <v>56</v>
      </c>
      <c r="L60">
        <v>128</v>
      </c>
      <c r="M60">
        <v>59</v>
      </c>
      <c r="N60" s="120">
        <v>0</v>
      </c>
      <c r="O60" s="120">
        <v>0</v>
      </c>
      <c r="P60">
        <v>-73</v>
      </c>
    </row>
    <row r="61" spans="1:16">
      <c r="A61" t="s">
        <v>127</v>
      </c>
      <c r="B61">
        <v>83</v>
      </c>
      <c r="C61">
        <v>125</v>
      </c>
      <c r="D61">
        <v>138</v>
      </c>
      <c r="E61">
        <v>50</v>
      </c>
      <c r="F61">
        <v>165</v>
      </c>
      <c r="G61">
        <v>135</v>
      </c>
      <c r="H61">
        <v>340.5</v>
      </c>
      <c r="I61" s="14">
        <v>414.64423709279458</v>
      </c>
      <c r="J61">
        <v>125.5</v>
      </c>
      <c r="K61">
        <v>58</v>
      </c>
      <c r="L61">
        <v>129</v>
      </c>
      <c r="M61">
        <v>60</v>
      </c>
      <c r="N61" s="120">
        <v>0</v>
      </c>
      <c r="O61" s="120">
        <v>0</v>
      </c>
      <c r="P61">
        <v>9</v>
      </c>
    </row>
    <row r="62" spans="1:16">
      <c r="A62" t="s">
        <v>102</v>
      </c>
      <c r="B62">
        <v>90</v>
      </c>
      <c r="C62">
        <v>61</v>
      </c>
      <c r="D62">
        <v>36</v>
      </c>
      <c r="E62">
        <v>149</v>
      </c>
      <c r="F62">
        <v>197</v>
      </c>
      <c r="G62">
        <v>172</v>
      </c>
      <c r="H62">
        <v>291.89999999999998</v>
      </c>
      <c r="I62" s="14">
        <v>417.25467933461186</v>
      </c>
      <c r="J62">
        <v>81</v>
      </c>
      <c r="K62">
        <v>27</v>
      </c>
      <c r="L62">
        <v>130</v>
      </c>
      <c r="M62">
        <v>61</v>
      </c>
      <c r="N62" s="143">
        <v>0</v>
      </c>
      <c r="O62" s="143">
        <v>0</v>
      </c>
      <c r="P62">
        <v>11</v>
      </c>
    </row>
    <row r="63" spans="1:16">
      <c r="A63" t="s">
        <v>32</v>
      </c>
      <c r="B63">
        <v>69</v>
      </c>
      <c r="C63">
        <v>155</v>
      </c>
      <c r="D63">
        <v>88</v>
      </c>
      <c r="E63">
        <v>171</v>
      </c>
      <c r="F63">
        <v>138</v>
      </c>
      <c r="G63">
        <v>122</v>
      </c>
      <c r="H63">
        <v>347.2</v>
      </c>
      <c r="I63" s="14">
        <v>417.44421072963587</v>
      </c>
      <c r="J63">
        <v>132</v>
      </c>
      <c r="K63">
        <v>63</v>
      </c>
      <c r="L63">
        <v>131</v>
      </c>
      <c r="M63">
        <v>62</v>
      </c>
      <c r="N63" s="120">
        <v>0</v>
      </c>
      <c r="O63" s="120">
        <v>3.0303030303030304E-2</v>
      </c>
      <c r="P63">
        <v>30</v>
      </c>
    </row>
    <row r="64" spans="1:16">
      <c r="A64" t="s">
        <v>62</v>
      </c>
      <c r="B64">
        <v>91</v>
      </c>
      <c r="C64">
        <v>95</v>
      </c>
      <c r="D64">
        <v>120</v>
      </c>
      <c r="E64">
        <v>88</v>
      </c>
      <c r="F64">
        <v>183</v>
      </c>
      <c r="G64">
        <v>138</v>
      </c>
      <c r="H64">
        <v>340.5</v>
      </c>
      <c r="I64" s="14">
        <v>421.39168712448384</v>
      </c>
      <c r="J64">
        <v>125.5</v>
      </c>
      <c r="K64">
        <v>59</v>
      </c>
      <c r="L64">
        <v>132</v>
      </c>
      <c r="M64">
        <v>63</v>
      </c>
      <c r="N64" s="120">
        <v>0</v>
      </c>
      <c r="O64" s="120">
        <v>0</v>
      </c>
      <c r="P64">
        <v>38</v>
      </c>
    </row>
    <row r="65" spans="1:16">
      <c r="A65" t="s">
        <v>109</v>
      </c>
      <c r="B65">
        <v>138</v>
      </c>
      <c r="C65">
        <v>28</v>
      </c>
      <c r="D65">
        <v>130</v>
      </c>
      <c r="E65">
        <v>200</v>
      </c>
      <c r="F65">
        <v>55</v>
      </c>
      <c r="G65">
        <v>139</v>
      </c>
      <c r="H65">
        <v>325.7</v>
      </c>
      <c r="I65" s="14">
        <v>421.45225334910941</v>
      </c>
      <c r="J65">
        <v>112</v>
      </c>
      <c r="K65">
        <v>48</v>
      </c>
      <c r="L65">
        <v>133</v>
      </c>
      <c r="M65">
        <v>64</v>
      </c>
      <c r="N65" s="120">
        <v>0</v>
      </c>
      <c r="O65" s="120">
        <v>0</v>
      </c>
      <c r="P65">
        <v>18</v>
      </c>
    </row>
    <row r="66" spans="1:16">
      <c r="A66" t="s">
        <v>191</v>
      </c>
      <c r="B66">
        <v>212</v>
      </c>
      <c r="C66">
        <v>32</v>
      </c>
      <c r="D66">
        <v>148</v>
      </c>
      <c r="E66">
        <v>35</v>
      </c>
      <c r="F66">
        <v>79</v>
      </c>
      <c r="G66">
        <v>155</v>
      </c>
      <c r="H66">
        <v>345.9</v>
      </c>
      <c r="I66" s="14">
        <v>423.73753679947401</v>
      </c>
      <c r="J66">
        <v>131</v>
      </c>
      <c r="K66">
        <v>62</v>
      </c>
      <c r="L66">
        <v>134</v>
      </c>
      <c r="M66">
        <v>65</v>
      </c>
      <c r="N66" s="120">
        <v>0</v>
      </c>
      <c r="O66" s="120">
        <v>0</v>
      </c>
      <c r="P66">
        <v>-45</v>
      </c>
    </row>
    <row r="67" spans="1:16">
      <c r="A67" t="s">
        <v>50</v>
      </c>
      <c r="B67">
        <v>71</v>
      </c>
      <c r="C67">
        <v>154</v>
      </c>
      <c r="D67">
        <v>66</v>
      </c>
      <c r="E67">
        <v>137</v>
      </c>
      <c r="F67">
        <v>174</v>
      </c>
      <c r="G67">
        <v>143</v>
      </c>
      <c r="H67">
        <v>337.2</v>
      </c>
      <c r="I67" s="14">
        <v>423.80432526275251</v>
      </c>
      <c r="J67">
        <v>124</v>
      </c>
      <c r="K67">
        <v>57</v>
      </c>
      <c r="L67">
        <v>135</v>
      </c>
      <c r="M67">
        <v>66</v>
      </c>
      <c r="N67" s="143">
        <v>0</v>
      </c>
      <c r="O67" s="143">
        <v>0</v>
      </c>
      <c r="P67">
        <v>5</v>
      </c>
    </row>
    <row r="68" spans="1:16">
      <c r="A68" t="s">
        <v>170</v>
      </c>
      <c r="B68">
        <v>148</v>
      </c>
      <c r="C68">
        <v>24</v>
      </c>
      <c r="D68">
        <v>193</v>
      </c>
      <c r="E68">
        <v>145</v>
      </c>
      <c r="F68">
        <v>13</v>
      </c>
      <c r="G68">
        <v>145</v>
      </c>
      <c r="H68">
        <v>332.4</v>
      </c>
      <c r="I68" s="14">
        <v>430.73151344871428</v>
      </c>
      <c r="J68">
        <v>120</v>
      </c>
      <c r="K68">
        <v>54</v>
      </c>
      <c r="L68">
        <v>137</v>
      </c>
      <c r="M68">
        <v>67</v>
      </c>
      <c r="N68" s="120">
        <v>0</v>
      </c>
      <c r="O68" s="120">
        <v>0</v>
      </c>
      <c r="P68">
        <v>42</v>
      </c>
    </row>
    <row r="69" spans="1:16">
      <c r="A69" t="s">
        <v>83</v>
      </c>
      <c r="B69">
        <v>68</v>
      </c>
      <c r="C69">
        <v>133</v>
      </c>
      <c r="D69">
        <v>155</v>
      </c>
      <c r="E69">
        <v>105</v>
      </c>
      <c r="F69">
        <v>77</v>
      </c>
      <c r="G69">
        <v>156</v>
      </c>
      <c r="H69">
        <v>323.2</v>
      </c>
      <c r="I69" s="14">
        <v>431.25103824602638</v>
      </c>
      <c r="J69">
        <v>108</v>
      </c>
      <c r="K69">
        <v>45</v>
      </c>
      <c r="L69">
        <v>138</v>
      </c>
      <c r="M69">
        <v>68</v>
      </c>
      <c r="N69" s="120">
        <v>0</v>
      </c>
      <c r="O69" s="120">
        <v>0</v>
      </c>
      <c r="P69">
        <v>-1</v>
      </c>
    </row>
    <row r="70" spans="1:16">
      <c r="A70" t="s">
        <v>55</v>
      </c>
      <c r="B70">
        <v>122</v>
      </c>
      <c r="C70">
        <v>141</v>
      </c>
      <c r="D70">
        <v>24</v>
      </c>
      <c r="E70">
        <v>174</v>
      </c>
      <c r="F70">
        <v>160</v>
      </c>
      <c r="G70">
        <v>148</v>
      </c>
      <c r="H70">
        <v>348.6</v>
      </c>
      <c r="I70" s="14">
        <v>431.57280409181385</v>
      </c>
      <c r="J70">
        <v>135</v>
      </c>
      <c r="K70">
        <v>64</v>
      </c>
      <c r="L70">
        <v>140</v>
      </c>
      <c r="M70">
        <v>69</v>
      </c>
      <c r="N70" s="120">
        <v>0</v>
      </c>
      <c r="O70" s="120">
        <v>0</v>
      </c>
      <c r="P70">
        <v>-37</v>
      </c>
    </row>
    <row r="71" spans="1:16">
      <c r="A71" t="s">
        <v>34</v>
      </c>
      <c r="B71">
        <v>41</v>
      </c>
      <c r="C71">
        <v>144</v>
      </c>
      <c r="D71">
        <v>134</v>
      </c>
      <c r="E71">
        <v>79</v>
      </c>
      <c r="F71">
        <v>176</v>
      </c>
      <c r="G71">
        <v>150</v>
      </c>
      <c r="H71">
        <v>332.6</v>
      </c>
      <c r="I71" s="14">
        <v>431.70054848593179</v>
      </c>
      <c r="J71">
        <v>121</v>
      </c>
      <c r="K71">
        <v>55</v>
      </c>
      <c r="L71">
        <v>141</v>
      </c>
      <c r="M71">
        <v>70</v>
      </c>
      <c r="N71" s="120">
        <v>0</v>
      </c>
      <c r="O71" s="120">
        <v>0</v>
      </c>
      <c r="P71">
        <v>-4</v>
      </c>
    </row>
    <row r="72" spans="1:16">
      <c r="A72" t="s">
        <v>21</v>
      </c>
      <c r="B72">
        <v>37</v>
      </c>
      <c r="C72">
        <v>202</v>
      </c>
      <c r="D72">
        <v>113</v>
      </c>
      <c r="E72">
        <v>190</v>
      </c>
      <c r="F72">
        <v>95</v>
      </c>
      <c r="G72">
        <v>127</v>
      </c>
      <c r="H72">
        <v>353.4</v>
      </c>
      <c r="I72" s="14">
        <v>434.05106952360319</v>
      </c>
      <c r="J72">
        <v>140</v>
      </c>
      <c r="K72">
        <v>67</v>
      </c>
      <c r="L72">
        <v>143</v>
      </c>
      <c r="M72">
        <v>71</v>
      </c>
      <c r="N72" s="120">
        <v>0</v>
      </c>
      <c r="O72" s="120">
        <v>2.8571428571428571E-2</v>
      </c>
      <c r="P72">
        <v>-103</v>
      </c>
    </row>
    <row r="73" spans="1:16">
      <c r="A73" t="s">
        <v>48</v>
      </c>
      <c r="B73">
        <v>96</v>
      </c>
      <c r="C73">
        <v>163</v>
      </c>
      <c r="D73">
        <v>45</v>
      </c>
      <c r="E73">
        <v>196</v>
      </c>
      <c r="F73">
        <v>158</v>
      </c>
      <c r="G73">
        <v>132</v>
      </c>
      <c r="H73">
        <v>363.5</v>
      </c>
      <c r="I73" s="14">
        <v>435.2007683874196</v>
      </c>
      <c r="J73">
        <v>150</v>
      </c>
      <c r="K73">
        <v>72</v>
      </c>
      <c r="L73">
        <v>146</v>
      </c>
      <c r="M73">
        <v>72</v>
      </c>
      <c r="N73" s="120">
        <v>0</v>
      </c>
      <c r="O73" s="120">
        <v>0</v>
      </c>
      <c r="P73">
        <v>-33</v>
      </c>
    </row>
    <row r="74" spans="1:16">
      <c r="A74" t="s">
        <v>185</v>
      </c>
      <c r="B74">
        <v>206</v>
      </c>
      <c r="C74">
        <v>4</v>
      </c>
      <c r="D74">
        <v>98</v>
      </c>
      <c r="E74">
        <v>189</v>
      </c>
      <c r="F74">
        <v>84</v>
      </c>
      <c r="G74">
        <v>144</v>
      </c>
      <c r="H74">
        <v>353.40000000000003</v>
      </c>
      <c r="I74" s="14">
        <v>435.92900351437436</v>
      </c>
      <c r="J74">
        <v>141</v>
      </c>
      <c r="K74">
        <v>68</v>
      </c>
      <c r="L74">
        <v>148</v>
      </c>
      <c r="M74">
        <v>73</v>
      </c>
      <c r="N74" s="120">
        <v>0</v>
      </c>
      <c r="O74" s="120">
        <v>0</v>
      </c>
      <c r="P74">
        <v>-39</v>
      </c>
    </row>
    <row r="75" spans="1:16">
      <c r="A75" t="s">
        <v>184</v>
      </c>
      <c r="B75">
        <v>198</v>
      </c>
      <c r="C75">
        <v>31</v>
      </c>
      <c r="D75">
        <v>178</v>
      </c>
      <c r="E75">
        <v>83</v>
      </c>
      <c r="F75">
        <v>76</v>
      </c>
      <c r="G75">
        <v>141</v>
      </c>
      <c r="H75">
        <v>372.8</v>
      </c>
      <c r="I75" s="14">
        <v>442.94507578901192</v>
      </c>
      <c r="J75">
        <v>154</v>
      </c>
      <c r="K75">
        <v>76</v>
      </c>
      <c r="L75">
        <v>149</v>
      </c>
      <c r="M75">
        <v>74</v>
      </c>
      <c r="N75" s="120">
        <v>0</v>
      </c>
      <c r="O75" s="120">
        <v>0</v>
      </c>
      <c r="P75">
        <v>-44</v>
      </c>
    </row>
    <row r="76" spans="1:16">
      <c r="A76" t="s">
        <v>96</v>
      </c>
      <c r="B76">
        <v>130</v>
      </c>
      <c r="C76">
        <v>124</v>
      </c>
      <c r="D76">
        <v>160</v>
      </c>
      <c r="E76">
        <v>49</v>
      </c>
      <c r="F76">
        <v>173</v>
      </c>
      <c r="G76">
        <v>126</v>
      </c>
      <c r="H76">
        <v>396.5</v>
      </c>
      <c r="I76" s="14">
        <v>446.5430108109606</v>
      </c>
      <c r="J76">
        <v>171</v>
      </c>
      <c r="K76">
        <v>89</v>
      </c>
      <c r="L76">
        <v>150</v>
      </c>
      <c r="M76">
        <v>75</v>
      </c>
      <c r="N76" s="120">
        <v>0</v>
      </c>
      <c r="O76" s="120">
        <v>0</v>
      </c>
      <c r="P76">
        <v>-83</v>
      </c>
    </row>
    <row r="77" spans="1:16">
      <c r="A77" t="s">
        <v>133</v>
      </c>
      <c r="B77">
        <v>153</v>
      </c>
      <c r="C77">
        <v>42</v>
      </c>
      <c r="D77">
        <v>162</v>
      </c>
      <c r="E77">
        <v>104</v>
      </c>
      <c r="F77">
        <v>145</v>
      </c>
      <c r="G77">
        <v>140</v>
      </c>
      <c r="H77">
        <v>375.1</v>
      </c>
      <c r="I77" s="14">
        <v>451.5075081449711</v>
      </c>
      <c r="J77">
        <v>157</v>
      </c>
      <c r="K77">
        <v>78</v>
      </c>
      <c r="L77">
        <v>151</v>
      </c>
      <c r="M77">
        <v>76</v>
      </c>
      <c r="N77" s="120">
        <v>0</v>
      </c>
      <c r="O77" s="120">
        <v>2.8571428571428571E-2</v>
      </c>
      <c r="P77">
        <v>-7</v>
      </c>
    </row>
    <row r="78" spans="1:16">
      <c r="A78" t="s">
        <v>165</v>
      </c>
      <c r="B78">
        <v>174</v>
      </c>
      <c r="C78">
        <v>41</v>
      </c>
      <c r="D78">
        <v>189</v>
      </c>
      <c r="E78">
        <v>2</v>
      </c>
      <c r="F78">
        <v>151</v>
      </c>
      <c r="G78">
        <v>161</v>
      </c>
      <c r="H78">
        <v>372.40000000000003</v>
      </c>
      <c r="I78" s="14">
        <v>457.08230782434578</v>
      </c>
      <c r="J78">
        <v>153</v>
      </c>
      <c r="K78">
        <v>75</v>
      </c>
      <c r="L78">
        <v>154</v>
      </c>
      <c r="M78">
        <v>77</v>
      </c>
      <c r="N78" s="120">
        <v>0</v>
      </c>
      <c r="O78" s="120">
        <v>0</v>
      </c>
      <c r="P78">
        <v>-14</v>
      </c>
    </row>
    <row r="79" spans="1:16">
      <c r="A79" t="s">
        <v>106</v>
      </c>
      <c r="B79">
        <v>106</v>
      </c>
      <c r="C79">
        <v>194</v>
      </c>
      <c r="D79">
        <v>93</v>
      </c>
      <c r="E79">
        <v>197</v>
      </c>
      <c r="F79">
        <v>58</v>
      </c>
      <c r="G79">
        <v>149</v>
      </c>
      <c r="H79">
        <v>374.09999999999997</v>
      </c>
      <c r="I79" s="14">
        <v>461.65223640561163</v>
      </c>
      <c r="J79">
        <v>155</v>
      </c>
      <c r="K79">
        <v>77</v>
      </c>
      <c r="L79">
        <v>156</v>
      </c>
      <c r="M79">
        <v>78</v>
      </c>
      <c r="N79" s="120">
        <v>0</v>
      </c>
      <c r="O79" s="120">
        <v>0</v>
      </c>
      <c r="P79">
        <v>-23</v>
      </c>
    </row>
    <row r="80" spans="1:16">
      <c r="A80" t="s">
        <v>12</v>
      </c>
      <c r="B80">
        <v>12</v>
      </c>
      <c r="C80">
        <v>193</v>
      </c>
      <c r="D80">
        <v>150</v>
      </c>
      <c r="E80">
        <v>153</v>
      </c>
      <c r="F80">
        <v>169</v>
      </c>
      <c r="G80">
        <v>134</v>
      </c>
      <c r="H80">
        <v>376.1</v>
      </c>
      <c r="I80" s="14">
        <v>463.53590160196717</v>
      </c>
      <c r="J80">
        <v>158</v>
      </c>
      <c r="K80">
        <v>79</v>
      </c>
      <c r="L80">
        <v>157</v>
      </c>
      <c r="M80">
        <v>79</v>
      </c>
      <c r="N80" s="120">
        <v>0</v>
      </c>
      <c r="O80" s="120">
        <v>0</v>
      </c>
      <c r="P80">
        <v>-10</v>
      </c>
    </row>
    <row r="81" spans="1:16">
      <c r="A81" t="s">
        <v>75</v>
      </c>
      <c r="B81">
        <v>101</v>
      </c>
      <c r="C81">
        <v>184</v>
      </c>
      <c r="D81">
        <v>40</v>
      </c>
      <c r="E81">
        <v>114</v>
      </c>
      <c r="F81">
        <v>204</v>
      </c>
      <c r="G81">
        <v>175</v>
      </c>
      <c r="H81">
        <v>366.8</v>
      </c>
      <c r="I81" s="14">
        <v>468.36673126942179</v>
      </c>
      <c r="J81">
        <v>151</v>
      </c>
      <c r="K81">
        <v>73</v>
      </c>
      <c r="L81">
        <v>158</v>
      </c>
      <c r="M81">
        <v>80</v>
      </c>
      <c r="N81" s="120">
        <v>0</v>
      </c>
      <c r="O81" s="120">
        <v>0</v>
      </c>
      <c r="P81">
        <v>15</v>
      </c>
    </row>
    <row r="82" spans="1:16">
      <c r="A82" t="s">
        <v>150</v>
      </c>
      <c r="B82">
        <v>168</v>
      </c>
      <c r="C82">
        <v>69</v>
      </c>
      <c r="D82">
        <v>131</v>
      </c>
      <c r="E82">
        <v>132</v>
      </c>
      <c r="F82">
        <v>133</v>
      </c>
      <c r="G82">
        <v>159</v>
      </c>
      <c r="H82">
        <v>386.8</v>
      </c>
      <c r="I82" s="14">
        <v>476.49380768195255</v>
      </c>
      <c r="J82">
        <v>164</v>
      </c>
      <c r="K82">
        <v>84</v>
      </c>
      <c r="L82">
        <v>161</v>
      </c>
      <c r="M82">
        <v>81</v>
      </c>
      <c r="N82" s="120">
        <v>0</v>
      </c>
      <c r="O82" s="120">
        <v>0</v>
      </c>
      <c r="P82">
        <v>23</v>
      </c>
    </row>
    <row r="83" spans="1:16">
      <c r="A83" t="s">
        <v>171</v>
      </c>
      <c r="B83">
        <v>186</v>
      </c>
      <c r="C83">
        <v>126</v>
      </c>
      <c r="D83">
        <v>117</v>
      </c>
      <c r="E83">
        <v>110</v>
      </c>
      <c r="F83">
        <v>178</v>
      </c>
      <c r="G83">
        <v>128</v>
      </c>
      <c r="H83">
        <v>439.3</v>
      </c>
      <c r="I83" s="14">
        <v>478.38503404619587</v>
      </c>
      <c r="J83">
        <v>194</v>
      </c>
      <c r="K83">
        <v>107</v>
      </c>
      <c r="L83">
        <v>162</v>
      </c>
      <c r="M83">
        <v>82</v>
      </c>
      <c r="N83" s="120">
        <v>0</v>
      </c>
      <c r="O83" s="120">
        <v>0</v>
      </c>
      <c r="P83">
        <v>-37</v>
      </c>
    </row>
    <row r="84" spans="1:16">
      <c r="A84" t="s">
        <v>45</v>
      </c>
      <c r="B84">
        <v>70</v>
      </c>
      <c r="C84">
        <v>199</v>
      </c>
      <c r="D84">
        <v>144</v>
      </c>
      <c r="E84">
        <v>133</v>
      </c>
      <c r="F84">
        <v>94</v>
      </c>
      <c r="G84">
        <v>167</v>
      </c>
      <c r="H84">
        <v>376.4</v>
      </c>
      <c r="I84" s="14">
        <v>483.974391520702</v>
      </c>
      <c r="J84">
        <v>159</v>
      </c>
      <c r="K84">
        <v>80</v>
      </c>
      <c r="L84">
        <v>163</v>
      </c>
      <c r="M84">
        <v>83</v>
      </c>
      <c r="N84" s="143">
        <v>0</v>
      </c>
      <c r="O84" s="143">
        <v>0</v>
      </c>
      <c r="P84">
        <v>-7</v>
      </c>
    </row>
    <row r="85" spans="1:16">
      <c r="A85" t="s">
        <v>157</v>
      </c>
      <c r="B85">
        <v>157</v>
      </c>
      <c r="C85">
        <v>62</v>
      </c>
      <c r="D85">
        <v>156</v>
      </c>
      <c r="E85">
        <v>61</v>
      </c>
      <c r="F85">
        <v>190</v>
      </c>
      <c r="G85">
        <v>169</v>
      </c>
      <c r="H85">
        <v>391.4</v>
      </c>
      <c r="I85" s="14">
        <v>486.32532841307778</v>
      </c>
      <c r="J85">
        <v>169</v>
      </c>
      <c r="K85">
        <v>88</v>
      </c>
      <c r="L85">
        <v>164</v>
      </c>
      <c r="M85">
        <v>84</v>
      </c>
      <c r="N85" s="120">
        <v>0</v>
      </c>
      <c r="O85" s="120">
        <v>0</v>
      </c>
      <c r="P85">
        <v>1</v>
      </c>
    </row>
    <row r="86" spans="1:16">
      <c r="A86" t="s">
        <v>13</v>
      </c>
      <c r="B86">
        <v>47</v>
      </c>
      <c r="C86">
        <v>148</v>
      </c>
      <c r="D86">
        <v>168</v>
      </c>
      <c r="E86">
        <v>158</v>
      </c>
      <c r="F86">
        <v>140</v>
      </c>
      <c r="G86">
        <v>158</v>
      </c>
      <c r="H86">
        <v>377.2</v>
      </c>
      <c r="I86" s="14">
        <v>488.11936607649409</v>
      </c>
      <c r="J86">
        <v>160</v>
      </c>
      <c r="K86">
        <v>81</v>
      </c>
      <c r="L86">
        <v>165</v>
      </c>
      <c r="M86">
        <v>85</v>
      </c>
      <c r="N86" s="143">
        <v>0</v>
      </c>
      <c r="O86" s="143">
        <v>0</v>
      </c>
      <c r="P86">
        <v>-18</v>
      </c>
    </row>
    <row r="87" spans="1:16">
      <c r="A87" t="s">
        <v>103</v>
      </c>
      <c r="B87">
        <v>132</v>
      </c>
      <c r="C87">
        <v>73</v>
      </c>
      <c r="D87">
        <v>170</v>
      </c>
      <c r="E87">
        <v>192</v>
      </c>
      <c r="F87">
        <v>88</v>
      </c>
      <c r="G87">
        <v>157</v>
      </c>
      <c r="H87">
        <v>389.2</v>
      </c>
      <c r="I87" s="14">
        <v>492.78219245841098</v>
      </c>
      <c r="J87">
        <v>168</v>
      </c>
      <c r="K87">
        <v>87</v>
      </c>
      <c r="L87">
        <v>167</v>
      </c>
      <c r="M87">
        <v>86</v>
      </c>
      <c r="N87" s="120">
        <v>0</v>
      </c>
      <c r="O87" s="120">
        <v>0</v>
      </c>
      <c r="P87">
        <v>-27</v>
      </c>
    </row>
    <row r="88" spans="1:16">
      <c r="A88" t="s">
        <v>86</v>
      </c>
      <c r="B88">
        <v>78</v>
      </c>
      <c r="C88">
        <v>198</v>
      </c>
      <c r="D88">
        <v>196</v>
      </c>
      <c r="E88">
        <v>106</v>
      </c>
      <c r="F88">
        <v>33</v>
      </c>
      <c r="G88">
        <v>176</v>
      </c>
      <c r="H88">
        <v>377.29999999999995</v>
      </c>
      <c r="I88" s="14">
        <v>493.91447960678852</v>
      </c>
      <c r="J88">
        <v>161</v>
      </c>
      <c r="K88">
        <v>82</v>
      </c>
      <c r="L88">
        <v>168</v>
      </c>
      <c r="M88">
        <v>87</v>
      </c>
      <c r="N88" s="120">
        <v>0</v>
      </c>
      <c r="O88" s="120">
        <v>0</v>
      </c>
      <c r="P88">
        <v>4</v>
      </c>
    </row>
    <row r="89" spans="1:16">
      <c r="A89" t="s">
        <v>70</v>
      </c>
      <c r="B89">
        <v>106</v>
      </c>
      <c r="C89">
        <v>146</v>
      </c>
      <c r="D89">
        <v>186</v>
      </c>
      <c r="E89">
        <v>186</v>
      </c>
      <c r="F89">
        <v>9</v>
      </c>
      <c r="G89">
        <v>168</v>
      </c>
      <c r="H89">
        <v>381.5</v>
      </c>
      <c r="I89" s="14">
        <v>497.20405934335656</v>
      </c>
      <c r="J89">
        <v>163</v>
      </c>
      <c r="K89">
        <v>83</v>
      </c>
      <c r="L89">
        <v>169</v>
      </c>
      <c r="M89">
        <v>88</v>
      </c>
      <c r="N89" s="120">
        <v>0</v>
      </c>
      <c r="O89" s="120">
        <v>0</v>
      </c>
      <c r="P89">
        <v>-9</v>
      </c>
    </row>
    <row r="90" spans="1:16">
      <c r="A90" t="s">
        <v>160</v>
      </c>
      <c r="B90">
        <v>173</v>
      </c>
      <c r="C90">
        <v>78</v>
      </c>
      <c r="D90">
        <v>184</v>
      </c>
      <c r="E90">
        <v>76</v>
      </c>
      <c r="F90">
        <v>141</v>
      </c>
      <c r="G90">
        <v>160</v>
      </c>
      <c r="H90">
        <v>414.9</v>
      </c>
      <c r="I90" s="14">
        <v>497.47939973910997</v>
      </c>
      <c r="J90">
        <v>185</v>
      </c>
      <c r="K90">
        <v>100</v>
      </c>
      <c r="L90">
        <v>171</v>
      </c>
      <c r="M90">
        <v>89</v>
      </c>
      <c r="N90" s="120">
        <v>0</v>
      </c>
      <c r="O90" s="120">
        <v>3.0303030303030304E-2</v>
      </c>
      <c r="P90">
        <v>8</v>
      </c>
    </row>
    <row r="91" spans="1:16">
      <c r="A91" t="s">
        <v>78</v>
      </c>
      <c r="B91">
        <v>85</v>
      </c>
      <c r="C91">
        <v>140</v>
      </c>
      <c r="D91">
        <v>183</v>
      </c>
      <c r="E91">
        <v>84</v>
      </c>
      <c r="F91">
        <v>166</v>
      </c>
      <c r="G91">
        <v>166</v>
      </c>
      <c r="H91">
        <v>396.70000000000005</v>
      </c>
      <c r="I91" s="14">
        <v>499.18688547639988</v>
      </c>
      <c r="J91">
        <v>173</v>
      </c>
      <c r="K91">
        <v>91</v>
      </c>
      <c r="L91">
        <v>172</v>
      </c>
      <c r="M91">
        <v>90</v>
      </c>
      <c r="N91" s="120">
        <v>0</v>
      </c>
      <c r="O91" s="120">
        <v>0</v>
      </c>
      <c r="P91">
        <v>20</v>
      </c>
    </row>
    <row r="92" spans="1:16">
      <c r="A92" t="s">
        <v>81</v>
      </c>
      <c r="B92">
        <v>75</v>
      </c>
      <c r="C92">
        <v>157</v>
      </c>
      <c r="D92">
        <v>141</v>
      </c>
      <c r="E92">
        <v>98</v>
      </c>
      <c r="F92">
        <v>209</v>
      </c>
      <c r="G92">
        <v>174</v>
      </c>
      <c r="H92">
        <v>396.59999999999997</v>
      </c>
      <c r="I92" s="14">
        <v>505.4534633199566</v>
      </c>
      <c r="J92">
        <v>172</v>
      </c>
      <c r="K92">
        <v>90</v>
      </c>
      <c r="L92">
        <v>174</v>
      </c>
      <c r="M92">
        <v>91</v>
      </c>
      <c r="N92" s="120">
        <v>0</v>
      </c>
      <c r="O92" s="120">
        <v>0</v>
      </c>
      <c r="P92">
        <v>-7</v>
      </c>
    </row>
    <row r="93" spans="1:16">
      <c r="A93" t="s">
        <v>190</v>
      </c>
      <c r="B93">
        <v>210</v>
      </c>
      <c r="C93">
        <v>21</v>
      </c>
      <c r="D93">
        <v>174</v>
      </c>
      <c r="E93">
        <v>131</v>
      </c>
      <c r="F93">
        <v>89</v>
      </c>
      <c r="G93">
        <v>179</v>
      </c>
      <c r="H93">
        <v>399.29999999999995</v>
      </c>
      <c r="I93" s="14">
        <v>507.1630108860719</v>
      </c>
      <c r="J93">
        <v>174</v>
      </c>
      <c r="K93">
        <v>92</v>
      </c>
      <c r="L93">
        <v>175</v>
      </c>
      <c r="M93">
        <v>92</v>
      </c>
      <c r="N93" s="120">
        <v>0</v>
      </c>
      <c r="O93" s="120">
        <v>6.25E-2</v>
      </c>
      <c r="P93">
        <v>-7</v>
      </c>
    </row>
    <row r="94" spans="1:16">
      <c r="A94" t="s">
        <v>111</v>
      </c>
      <c r="B94">
        <v>122</v>
      </c>
      <c r="C94">
        <v>146</v>
      </c>
      <c r="D94">
        <v>149</v>
      </c>
      <c r="E94">
        <v>23</v>
      </c>
      <c r="F94">
        <v>210</v>
      </c>
      <c r="G94">
        <v>185</v>
      </c>
      <c r="H94">
        <v>403.7</v>
      </c>
      <c r="I94" s="14">
        <v>507.1907370394959</v>
      </c>
      <c r="J94">
        <v>178</v>
      </c>
      <c r="K94">
        <v>94</v>
      </c>
      <c r="L94">
        <v>176</v>
      </c>
      <c r="M94">
        <v>93</v>
      </c>
      <c r="N94" s="120">
        <v>0</v>
      </c>
      <c r="O94" s="120">
        <v>0</v>
      </c>
      <c r="P94">
        <v>7</v>
      </c>
    </row>
    <row r="95" spans="1:16">
      <c r="A95" t="s">
        <v>116</v>
      </c>
      <c r="B95">
        <v>114</v>
      </c>
      <c r="C95">
        <v>58</v>
      </c>
      <c r="D95">
        <v>167</v>
      </c>
      <c r="E95">
        <v>203</v>
      </c>
      <c r="F95">
        <v>129</v>
      </c>
      <c r="G95">
        <v>177</v>
      </c>
      <c r="H95">
        <v>388.59999999999997</v>
      </c>
      <c r="I95" s="14">
        <v>517.3188150715323</v>
      </c>
      <c r="J95">
        <v>166</v>
      </c>
      <c r="K95">
        <v>85</v>
      </c>
      <c r="L95">
        <v>177</v>
      </c>
      <c r="M95">
        <v>94</v>
      </c>
      <c r="N95" s="120">
        <v>0</v>
      </c>
      <c r="O95" s="120">
        <v>0</v>
      </c>
      <c r="P95">
        <v>19</v>
      </c>
    </row>
    <row r="96" spans="1:16">
      <c r="A96" t="s">
        <v>25</v>
      </c>
      <c r="B96">
        <v>49</v>
      </c>
      <c r="C96">
        <v>49</v>
      </c>
      <c r="D96">
        <v>197</v>
      </c>
      <c r="E96">
        <v>182</v>
      </c>
      <c r="F96">
        <v>181</v>
      </c>
      <c r="G96">
        <v>183</v>
      </c>
      <c r="H96">
        <v>369.79999999999995</v>
      </c>
      <c r="I96" s="14">
        <v>519.05615611600126</v>
      </c>
      <c r="J96">
        <v>152</v>
      </c>
      <c r="K96">
        <v>74</v>
      </c>
      <c r="L96">
        <v>178</v>
      </c>
      <c r="M96">
        <v>95</v>
      </c>
      <c r="N96" s="120">
        <v>0</v>
      </c>
      <c r="O96" s="120">
        <v>0</v>
      </c>
      <c r="P96">
        <v>-11</v>
      </c>
    </row>
    <row r="97" spans="1:16">
      <c r="A97" t="s">
        <v>84</v>
      </c>
      <c r="B97">
        <v>109</v>
      </c>
      <c r="C97">
        <v>158</v>
      </c>
      <c r="D97">
        <v>143</v>
      </c>
      <c r="E97">
        <v>142</v>
      </c>
      <c r="F97">
        <v>143</v>
      </c>
      <c r="G97">
        <v>180</v>
      </c>
      <c r="H97">
        <v>410.40000000000003</v>
      </c>
      <c r="I97" s="14">
        <v>522.79786139596752</v>
      </c>
      <c r="J97">
        <v>183</v>
      </c>
      <c r="K97">
        <v>99</v>
      </c>
      <c r="L97">
        <v>179</v>
      </c>
      <c r="M97">
        <v>96</v>
      </c>
      <c r="N97" s="120" t="e">
        <v>#N/A</v>
      </c>
      <c r="O97" s="120" t="e">
        <v>#N/A</v>
      </c>
      <c r="P97">
        <v>-22</v>
      </c>
    </row>
    <row r="98" spans="1:16">
      <c r="A98" t="s">
        <v>120</v>
      </c>
      <c r="B98">
        <v>147</v>
      </c>
      <c r="C98">
        <v>114</v>
      </c>
      <c r="D98">
        <v>51</v>
      </c>
      <c r="E98">
        <v>207</v>
      </c>
      <c r="F98">
        <v>191</v>
      </c>
      <c r="G98">
        <v>200</v>
      </c>
      <c r="H98">
        <v>400</v>
      </c>
      <c r="I98" s="14">
        <v>530.57990609465264</v>
      </c>
      <c r="J98">
        <v>176</v>
      </c>
      <c r="K98">
        <v>93</v>
      </c>
      <c r="L98">
        <v>181</v>
      </c>
      <c r="M98">
        <v>97</v>
      </c>
      <c r="N98" s="120">
        <v>0</v>
      </c>
      <c r="O98" s="120">
        <v>0</v>
      </c>
      <c r="P98">
        <v>-1</v>
      </c>
    </row>
    <row r="99" spans="1:16">
      <c r="A99" t="s">
        <v>222</v>
      </c>
      <c r="B99">
        <v>203</v>
      </c>
      <c r="C99">
        <v>47</v>
      </c>
      <c r="D99">
        <v>114</v>
      </c>
      <c r="E99">
        <v>115</v>
      </c>
      <c r="F99">
        <v>178</v>
      </c>
      <c r="G99">
        <v>209</v>
      </c>
      <c r="H99">
        <v>405.4</v>
      </c>
      <c r="I99" s="14">
        <v>534.25516540588615</v>
      </c>
      <c r="J99">
        <v>179</v>
      </c>
      <c r="K99">
        <v>95</v>
      </c>
      <c r="L99">
        <v>182</v>
      </c>
      <c r="M99">
        <v>98</v>
      </c>
      <c r="N99" s="120">
        <v>0</v>
      </c>
      <c r="O99" s="120">
        <v>0</v>
      </c>
      <c r="P99">
        <v>3</v>
      </c>
    </row>
    <row r="100" spans="1:16">
      <c r="A100" t="s">
        <v>148</v>
      </c>
      <c r="B100">
        <v>178</v>
      </c>
      <c r="C100">
        <v>91</v>
      </c>
      <c r="D100">
        <v>175</v>
      </c>
      <c r="E100">
        <v>167</v>
      </c>
      <c r="F100">
        <v>97</v>
      </c>
      <c r="G100">
        <v>173</v>
      </c>
      <c r="H100">
        <v>434.8</v>
      </c>
      <c r="I100" s="14">
        <v>535.44410027948391</v>
      </c>
      <c r="J100">
        <v>191</v>
      </c>
      <c r="K100">
        <v>104</v>
      </c>
      <c r="L100">
        <v>183</v>
      </c>
      <c r="M100">
        <v>99</v>
      </c>
      <c r="N100" s="120">
        <v>0</v>
      </c>
      <c r="O100" s="120">
        <v>0</v>
      </c>
      <c r="P100">
        <v>-8</v>
      </c>
    </row>
    <row r="101" spans="1:16">
      <c r="A101" t="s">
        <v>248</v>
      </c>
      <c r="B101">
        <v>136</v>
      </c>
      <c r="C101">
        <v>137</v>
      </c>
      <c r="D101">
        <v>192</v>
      </c>
      <c r="E101">
        <v>169</v>
      </c>
      <c r="F101">
        <v>50</v>
      </c>
      <c r="G101">
        <v>182</v>
      </c>
      <c r="H101">
        <v>418</v>
      </c>
      <c r="I101" s="14">
        <v>535.8384929790052</v>
      </c>
      <c r="J101">
        <v>186</v>
      </c>
      <c r="K101">
        <v>101</v>
      </c>
      <c r="L101">
        <v>184</v>
      </c>
      <c r="M101">
        <v>100</v>
      </c>
      <c r="N101" s="120">
        <v>0</v>
      </c>
      <c r="O101" s="120">
        <v>0</v>
      </c>
      <c r="P101">
        <v>11</v>
      </c>
    </row>
    <row r="102" spans="1:16">
      <c r="A102" t="s">
        <v>180</v>
      </c>
      <c r="B102">
        <v>190</v>
      </c>
      <c r="C102">
        <v>51</v>
      </c>
      <c r="D102">
        <v>199</v>
      </c>
      <c r="E102">
        <v>205</v>
      </c>
      <c r="F102">
        <v>8</v>
      </c>
      <c r="G102">
        <v>189</v>
      </c>
      <c r="H102">
        <v>407.9</v>
      </c>
      <c r="I102" s="14">
        <v>536.60922885776426</v>
      </c>
      <c r="J102">
        <v>181</v>
      </c>
      <c r="K102">
        <v>97</v>
      </c>
      <c r="L102">
        <v>185</v>
      </c>
      <c r="M102">
        <v>101</v>
      </c>
      <c r="N102" s="120">
        <v>0</v>
      </c>
      <c r="O102" s="120">
        <v>0</v>
      </c>
      <c r="P102">
        <v>-39</v>
      </c>
    </row>
    <row r="103" spans="1:16">
      <c r="A103" t="s">
        <v>31</v>
      </c>
      <c r="B103">
        <v>54</v>
      </c>
      <c r="C103">
        <v>128</v>
      </c>
      <c r="D103">
        <v>159</v>
      </c>
      <c r="E103">
        <v>177</v>
      </c>
      <c r="F103">
        <v>208</v>
      </c>
      <c r="G103">
        <v>184</v>
      </c>
      <c r="H103">
        <v>406.1</v>
      </c>
      <c r="I103" s="14">
        <v>539.92072728195262</v>
      </c>
      <c r="J103">
        <v>180</v>
      </c>
      <c r="K103">
        <v>96</v>
      </c>
      <c r="L103">
        <v>186</v>
      </c>
      <c r="M103">
        <v>102</v>
      </c>
      <c r="N103" s="120">
        <v>0</v>
      </c>
      <c r="O103" s="120">
        <v>0</v>
      </c>
      <c r="P103">
        <v>-21</v>
      </c>
    </row>
    <row r="104" spans="1:16">
      <c r="A104" t="s">
        <v>57</v>
      </c>
      <c r="B104">
        <v>71</v>
      </c>
      <c r="C104">
        <v>210</v>
      </c>
      <c r="D104">
        <v>200</v>
      </c>
      <c r="E104">
        <v>85</v>
      </c>
      <c r="F104">
        <v>104</v>
      </c>
      <c r="G104">
        <v>199</v>
      </c>
      <c r="H104">
        <v>408.8</v>
      </c>
      <c r="I104" s="14">
        <v>541.28210878403615</v>
      </c>
      <c r="J104">
        <v>182</v>
      </c>
      <c r="K104">
        <v>98</v>
      </c>
      <c r="L104">
        <v>187</v>
      </c>
      <c r="M104">
        <v>103</v>
      </c>
      <c r="N104" s="120">
        <v>0</v>
      </c>
      <c r="O104" s="120">
        <v>0</v>
      </c>
      <c r="P104">
        <v>7</v>
      </c>
    </row>
    <row r="105" spans="1:16">
      <c r="A105" t="s">
        <v>136</v>
      </c>
      <c r="B105">
        <v>158</v>
      </c>
      <c r="C105">
        <v>100</v>
      </c>
      <c r="D105">
        <v>119</v>
      </c>
      <c r="E105">
        <v>186</v>
      </c>
      <c r="F105">
        <v>166</v>
      </c>
      <c r="G105">
        <v>188</v>
      </c>
      <c r="H105">
        <v>427.1</v>
      </c>
      <c r="I105" s="14">
        <v>543.91633620605035</v>
      </c>
      <c r="J105">
        <v>190</v>
      </c>
      <c r="K105">
        <v>103</v>
      </c>
      <c r="L105">
        <v>189</v>
      </c>
      <c r="M105">
        <v>104</v>
      </c>
      <c r="N105" s="120">
        <v>0</v>
      </c>
      <c r="O105" s="120">
        <v>0</v>
      </c>
      <c r="P105">
        <v>13</v>
      </c>
    </row>
    <row r="106" spans="1:16">
      <c r="A106" t="s">
        <v>220</v>
      </c>
      <c r="B106">
        <v>199</v>
      </c>
      <c r="C106">
        <v>168</v>
      </c>
      <c r="D106">
        <v>206</v>
      </c>
      <c r="E106">
        <v>66</v>
      </c>
      <c r="F106">
        <v>40</v>
      </c>
      <c r="G106">
        <v>190</v>
      </c>
      <c r="H106">
        <v>450.59999999999997</v>
      </c>
      <c r="I106" s="14">
        <v>547.43498387305658</v>
      </c>
      <c r="J106">
        <v>197</v>
      </c>
      <c r="K106">
        <v>109</v>
      </c>
      <c r="L106">
        <v>191</v>
      </c>
      <c r="M106">
        <v>105</v>
      </c>
      <c r="N106" s="120">
        <v>0</v>
      </c>
      <c r="O106" s="120">
        <v>0</v>
      </c>
      <c r="P106">
        <v>-59</v>
      </c>
    </row>
    <row r="107" spans="1:16">
      <c r="A107" t="s">
        <v>176</v>
      </c>
      <c r="B107">
        <v>193</v>
      </c>
      <c r="C107">
        <v>56</v>
      </c>
      <c r="D107">
        <v>211</v>
      </c>
      <c r="E107">
        <v>140</v>
      </c>
      <c r="F107">
        <v>67</v>
      </c>
      <c r="G107">
        <v>193</v>
      </c>
      <c r="H107">
        <v>425.2</v>
      </c>
      <c r="I107" s="14">
        <v>547.4478489941182</v>
      </c>
      <c r="J107">
        <v>189</v>
      </c>
      <c r="K107">
        <v>102</v>
      </c>
      <c r="L107">
        <v>192</v>
      </c>
      <c r="M107">
        <v>106</v>
      </c>
      <c r="N107" s="120">
        <v>0</v>
      </c>
      <c r="O107" s="120">
        <v>0</v>
      </c>
      <c r="P107">
        <v>-51</v>
      </c>
    </row>
    <row r="108" spans="1:16">
      <c r="A108" t="s">
        <v>94</v>
      </c>
      <c r="B108">
        <v>130</v>
      </c>
      <c r="C108">
        <v>181</v>
      </c>
      <c r="D108">
        <v>201</v>
      </c>
      <c r="E108">
        <v>185</v>
      </c>
      <c r="F108">
        <v>62</v>
      </c>
      <c r="G108">
        <v>171</v>
      </c>
      <c r="H108">
        <v>458.29999999999995</v>
      </c>
      <c r="I108" s="14">
        <v>559.01929520296994</v>
      </c>
      <c r="J108">
        <v>199</v>
      </c>
      <c r="K108">
        <v>111</v>
      </c>
      <c r="L108">
        <v>193</v>
      </c>
      <c r="M108">
        <v>107</v>
      </c>
      <c r="N108" s="120">
        <v>0</v>
      </c>
      <c r="O108" s="120">
        <v>0</v>
      </c>
      <c r="P108">
        <v>20</v>
      </c>
    </row>
    <row r="109" spans="1:16">
      <c r="A109" t="s">
        <v>119</v>
      </c>
      <c r="B109">
        <v>119</v>
      </c>
      <c r="C109">
        <v>196</v>
      </c>
      <c r="D109">
        <v>139</v>
      </c>
      <c r="E109">
        <v>130</v>
      </c>
      <c r="F109">
        <v>196</v>
      </c>
      <c r="G109">
        <v>181</v>
      </c>
      <c r="H109">
        <v>460.1</v>
      </c>
      <c r="I109" s="14">
        <v>559.09116684257333</v>
      </c>
      <c r="J109">
        <v>201</v>
      </c>
      <c r="K109">
        <v>113</v>
      </c>
      <c r="L109">
        <v>194</v>
      </c>
      <c r="M109">
        <v>108</v>
      </c>
      <c r="N109" s="120">
        <v>0</v>
      </c>
      <c r="O109" s="120">
        <v>0</v>
      </c>
      <c r="P109">
        <v>-6</v>
      </c>
    </row>
    <row r="110" spans="1:16">
      <c r="A110" t="s">
        <v>153</v>
      </c>
      <c r="B110">
        <v>174</v>
      </c>
      <c r="C110">
        <v>143</v>
      </c>
      <c r="D110">
        <v>188</v>
      </c>
      <c r="E110">
        <v>193</v>
      </c>
      <c r="F110">
        <v>47</v>
      </c>
      <c r="G110">
        <v>178</v>
      </c>
      <c r="H110">
        <v>457.3</v>
      </c>
      <c r="I110" s="14">
        <v>560.47525287365283</v>
      </c>
      <c r="J110">
        <v>198</v>
      </c>
      <c r="K110">
        <v>110</v>
      </c>
      <c r="L110">
        <v>195</v>
      </c>
      <c r="M110">
        <v>109</v>
      </c>
      <c r="N110" s="120">
        <v>0</v>
      </c>
      <c r="O110" s="120">
        <v>0</v>
      </c>
      <c r="P110">
        <v>3</v>
      </c>
    </row>
    <row r="111" spans="1:16">
      <c r="A111" t="s">
        <v>243</v>
      </c>
      <c r="B111">
        <v>145</v>
      </c>
      <c r="C111">
        <v>142</v>
      </c>
      <c r="D111">
        <v>212</v>
      </c>
      <c r="E111">
        <v>61</v>
      </c>
      <c r="F111">
        <v>125</v>
      </c>
      <c r="G111">
        <v>210</v>
      </c>
      <c r="H111">
        <v>436.49999999999994</v>
      </c>
      <c r="I111" s="14">
        <v>566.25325362813828</v>
      </c>
      <c r="J111">
        <v>193</v>
      </c>
      <c r="K111">
        <v>106</v>
      </c>
      <c r="L111">
        <v>196</v>
      </c>
      <c r="M111">
        <v>110</v>
      </c>
      <c r="N111" s="120" t="e">
        <v>#N/A</v>
      </c>
      <c r="O111" s="120" t="e">
        <v>#N/A</v>
      </c>
      <c r="P111" t="e">
        <v>#N/A</v>
      </c>
    </row>
    <row r="112" spans="1:16">
      <c r="A112" t="s">
        <v>7</v>
      </c>
      <c r="B112">
        <v>3</v>
      </c>
      <c r="C112">
        <v>211</v>
      </c>
      <c r="D112">
        <v>179</v>
      </c>
      <c r="E112">
        <v>208</v>
      </c>
      <c r="F112">
        <v>195</v>
      </c>
      <c r="G112">
        <v>197</v>
      </c>
      <c r="H112">
        <v>435</v>
      </c>
      <c r="I112" s="14">
        <v>584.99486613474608</v>
      </c>
      <c r="J112">
        <v>192</v>
      </c>
      <c r="K112">
        <v>105</v>
      </c>
      <c r="L112">
        <v>200</v>
      </c>
      <c r="M112">
        <v>111</v>
      </c>
      <c r="N112" s="120">
        <v>0</v>
      </c>
      <c r="O112" s="120">
        <v>0</v>
      </c>
      <c r="P112">
        <v>-2</v>
      </c>
    </row>
    <row r="113" spans="1:16">
      <c r="A113" t="s">
        <v>219</v>
      </c>
      <c r="B113">
        <v>194</v>
      </c>
      <c r="C113">
        <v>54</v>
      </c>
      <c r="D113">
        <v>171</v>
      </c>
      <c r="E113">
        <v>204</v>
      </c>
      <c r="F113">
        <v>156</v>
      </c>
      <c r="G113">
        <v>192</v>
      </c>
      <c r="H113">
        <v>466.90000000000003</v>
      </c>
      <c r="I113" s="14">
        <v>585.24562443984041</v>
      </c>
      <c r="J113">
        <v>204</v>
      </c>
      <c r="K113">
        <v>115</v>
      </c>
      <c r="L113">
        <v>201</v>
      </c>
      <c r="M113">
        <v>112</v>
      </c>
      <c r="N113" s="120">
        <v>0</v>
      </c>
      <c r="O113" s="120">
        <v>0</v>
      </c>
      <c r="P113">
        <v>12</v>
      </c>
    </row>
    <row r="114" spans="1:16">
      <c r="A114" t="s">
        <v>245</v>
      </c>
      <c r="B114">
        <v>204</v>
      </c>
      <c r="C114">
        <v>176</v>
      </c>
      <c r="D114">
        <v>207</v>
      </c>
      <c r="E114">
        <v>93</v>
      </c>
      <c r="F114">
        <v>79</v>
      </c>
      <c r="G114">
        <v>196</v>
      </c>
      <c r="H114">
        <v>490.4</v>
      </c>
      <c r="I114" s="14">
        <v>588.53392865901196</v>
      </c>
      <c r="J114">
        <v>209</v>
      </c>
      <c r="K114">
        <v>118</v>
      </c>
      <c r="L114">
        <v>202</v>
      </c>
      <c r="M114">
        <v>113</v>
      </c>
      <c r="N114" s="120">
        <v>0</v>
      </c>
      <c r="O114" s="120">
        <v>0</v>
      </c>
      <c r="P114">
        <v>-32</v>
      </c>
    </row>
    <row r="115" spans="1:16">
      <c r="A115" t="s">
        <v>37</v>
      </c>
      <c r="B115">
        <v>55</v>
      </c>
      <c r="C115">
        <v>207</v>
      </c>
      <c r="D115">
        <v>198</v>
      </c>
      <c r="E115">
        <v>202</v>
      </c>
      <c r="F115">
        <v>112</v>
      </c>
      <c r="G115">
        <v>204</v>
      </c>
      <c r="H115">
        <v>443.59999999999997</v>
      </c>
      <c r="I115" s="14">
        <v>591.94820919487245</v>
      </c>
      <c r="J115">
        <v>196</v>
      </c>
      <c r="K115">
        <v>108</v>
      </c>
      <c r="L115">
        <v>203</v>
      </c>
      <c r="M115">
        <v>114</v>
      </c>
      <c r="N115" s="120">
        <v>0</v>
      </c>
      <c r="O115" s="120">
        <v>0</v>
      </c>
      <c r="P115">
        <v>-16</v>
      </c>
    </row>
    <row r="116" spans="1:16">
      <c r="A116" t="s">
        <v>168</v>
      </c>
      <c r="B116">
        <v>165</v>
      </c>
      <c r="C116">
        <v>35</v>
      </c>
      <c r="D116">
        <v>208</v>
      </c>
      <c r="E116">
        <v>175</v>
      </c>
      <c r="F116">
        <v>187</v>
      </c>
      <c r="G116">
        <v>198</v>
      </c>
      <c r="H116">
        <v>462.1</v>
      </c>
      <c r="I116" s="14">
        <v>593.14383565222624</v>
      </c>
      <c r="J116">
        <v>202</v>
      </c>
      <c r="K116">
        <v>114</v>
      </c>
      <c r="L116">
        <v>204</v>
      </c>
      <c r="M116">
        <v>115</v>
      </c>
      <c r="N116" s="120">
        <v>0</v>
      </c>
      <c r="O116" s="120">
        <v>0</v>
      </c>
      <c r="P116">
        <v>-9</v>
      </c>
    </row>
    <row r="117" spans="1:16">
      <c r="A117" t="s">
        <v>61</v>
      </c>
      <c r="B117">
        <v>96</v>
      </c>
      <c r="C117">
        <v>170</v>
      </c>
      <c r="D117">
        <v>191</v>
      </c>
      <c r="E117">
        <v>199</v>
      </c>
      <c r="F117">
        <v>152</v>
      </c>
      <c r="G117">
        <v>191</v>
      </c>
      <c r="H117">
        <v>468.1</v>
      </c>
      <c r="I117" s="14">
        <v>594.27507574765082</v>
      </c>
      <c r="J117">
        <v>205</v>
      </c>
      <c r="K117">
        <v>116</v>
      </c>
      <c r="L117">
        <v>205</v>
      </c>
      <c r="M117">
        <v>116</v>
      </c>
      <c r="N117" s="120">
        <v>0</v>
      </c>
      <c r="O117" s="120">
        <v>0</v>
      </c>
      <c r="P117">
        <v>-13</v>
      </c>
    </row>
    <row r="118" spans="1:16">
      <c r="A118" t="s">
        <v>43</v>
      </c>
      <c r="B118">
        <v>50</v>
      </c>
      <c r="C118">
        <v>209</v>
      </c>
      <c r="D118">
        <v>180</v>
      </c>
      <c r="E118">
        <v>191</v>
      </c>
      <c r="F118">
        <v>184</v>
      </c>
      <c r="G118">
        <v>201</v>
      </c>
      <c r="H118">
        <v>459.79999999999995</v>
      </c>
      <c r="I118" s="14">
        <v>600.17688089133787</v>
      </c>
      <c r="J118">
        <v>200</v>
      </c>
      <c r="K118">
        <v>112</v>
      </c>
      <c r="L118">
        <v>207</v>
      </c>
      <c r="M118">
        <v>117</v>
      </c>
      <c r="N118" s="120">
        <v>0</v>
      </c>
      <c r="O118" s="120">
        <v>0</v>
      </c>
      <c r="P118">
        <v>-7</v>
      </c>
    </row>
    <row r="119" spans="1:16">
      <c r="A119" t="s">
        <v>169</v>
      </c>
      <c r="B119">
        <v>191</v>
      </c>
      <c r="C119">
        <v>136</v>
      </c>
      <c r="D119">
        <v>202</v>
      </c>
      <c r="E119">
        <v>97</v>
      </c>
      <c r="F119">
        <v>171</v>
      </c>
      <c r="G119">
        <v>205</v>
      </c>
      <c r="H119">
        <v>500.09999999999997</v>
      </c>
      <c r="I119" s="14">
        <v>610.56565904655736</v>
      </c>
      <c r="J119">
        <v>211</v>
      </c>
      <c r="K119">
        <v>120</v>
      </c>
      <c r="L119">
        <v>208</v>
      </c>
      <c r="M119">
        <v>118</v>
      </c>
      <c r="N119" s="120">
        <v>0</v>
      </c>
      <c r="O119" s="120">
        <v>2.7027027027027029E-2</v>
      </c>
      <c r="P119">
        <v>0</v>
      </c>
    </row>
    <row r="120" spans="1:16">
      <c r="A120" t="s">
        <v>173</v>
      </c>
      <c r="B120">
        <v>189</v>
      </c>
      <c r="C120">
        <v>89</v>
      </c>
      <c r="D120">
        <v>194</v>
      </c>
      <c r="E120">
        <v>116</v>
      </c>
      <c r="F120">
        <v>211</v>
      </c>
      <c r="G120">
        <v>208</v>
      </c>
      <c r="H120">
        <v>492.29999999999995</v>
      </c>
      <c r="I120" s="14">
        <v>612.25494494473367</v>
      </c>
      <c r="J120">
        <v>210</v>
      </c>
      <c r="K120">
        <v>119</v>
      </c>
      <c r="L120">
        <v>209</v>
      </c>
      <c r="M120">
        <v>119</v>
      </c>
      <c r="N120" s="120">
        <v>0</v>
      </c>
      <c r="O120" s="120">
        <v>0</v>
      </c>
      <c r="P120">
        <v>0</v>
      </c>
    </row>
    <row r="121" spans="1:16">
      <c r="A121" t="s">
        <v>221</v>
      </c>
      <c r="B121">
        <v>104</v>
      </c>
      <c r="C121">
        <v>130</v>
      </c>
      <c r="D121">
        <v>210</v>
      </c>
      <c r="E121">
        <v>145</v>
      </c>
      <c r="F121">
        <v>212</v>
      </c>
      <c r="G121">
        <v>212</v>
      </c>
      <c r="H121">
        <v>472.2</v>
      </c>
      <c r="I121" s="14">
        <v>615.41080216527644</v>
      </c>
      <c r="J121">
        <v>206</v>
      </c>
      <c r="K121">
        <v>117</v>
      </c>
      <c r="L121">
        <v>210</v>
      </c>
      <c r="M121">
        <v>120</v>
      </c>
      <c r="N121" s="120" t="e">
        <v>#N/A</v>
      </c>
      <c r="O121" s="120" t="e">
        <v>#N/A</v>
      </c>
      <c r="P121">
        <v>-3</v>
      </c>
    </row>
    <row r="122" spans="1:16">
      <c r="A122" t="s">
        <v>250</v>
      </c>
      <c r="B122">
        <v>126</v>
      </c>
      <c r="C122">
        <v>180</v>
      </c>
      <c r="D122">
        <v>205</v>
      </c>
      <c r="E122">
        <v>212</v>
      </c>
      <c r="F122">
        <v>177</v>
      </c>
      <c r="G122">
        <v>211</v>
      </c>
      <c r="H122">
        <v>525.6</v>
      </c>
      <c r="I122" s="14">
        <v>659.38500932733314</v>
      </c>
      <c r="J122">
        <v>212</v>
      </c>
      <c r="K122">
        <v>121</v>
      </c>
      <c r="L122">
        <v>212</v>
      </c>
      <c r="M122">
        <v>121</v>
      </c>
      <c r="N122" s="120">
        <v>0</v>
      </c>
      <c r="O122" s="120">
        <v>0</v>
      </c>
      <c r="P122" t="e">
        <v>#N/A</v>
      </c>
    </row>
  </sheetData>
  <autoFilter ref="A1:S122" xr:uid="{FE4BF24C-8AB4-4AD9-B2BE-5159F7BEF651}">
    <sortState xmlns:xlrd2="http://schemas.microsoft.com/office/spreadsheetml/2017/richdata2" ref="A2:S122">
      <sortCondition ref="Q1:Q122"/>
    </sortState>
  </autoFilter>
  <conditionalFormatting sqref="N2:O1048576">
    <cfRule type="cellIs" dxfId="118" priority="5" operator="greaterThanOrEqual">
      <formula>20%</formula>
    </cfRule>
    <cfRule type="cellIs" dxfId="117" priority="6" operator="between">
      <formula>10%</formula>
      <formula>20%</formula>
    </cfRule>
    <cfRule type="cellIs" dxfId="116" priority="7" operator="between">
      <formula>0.01%</formula>
      <formula>10%</formula>
    </cfRule>
  </conditionalFormatting>
  <conditionalFormatting sqref="B1:F1 B2:G1048576 J1:M1048576">
    <cfRule type="cellIs" dxfId="115" priority="8" operator="between">
      <formula>101</formula>
      <formula>250</formula>
    </cfRule>
    <cfRule type="cellIs" dxfId="114" priority="9" operator="between">
      <formula>51</formula>
      <formula>100.5</formula>
    </cfRule>
    <cfRule type="cellIs" dxfId="113" priority="10" operator="between">
      <formula>21</formula>
      <formula>50.5</formula>
    </cfRule>
    <cfRule type="cellIs" dxfId="112"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C60A1-8542-4351-B24D-251D7552AFE4}">
  <sheetPr codeName="Sheet52">
    <tabColor rgb="FFFF0000"/>
  </sheetPr>
  <dimension ref="A1:V56"/>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103</v>
      </c>
      <c r="B2">
        <v>132</v>
      </c>
      <c r="C2">
        <v>73</v>
      </c>
      <c r="D2">
        <v>170</v>
      </c>
      <c r="E2">
        <v>192</v>
      </c>
      <c r="F2">
        <v>88</v>
      </c>
      <c r="G2">
        <v>157</v>
      </c>
      <c r="H2">
        <v>364.90000000000003</v>
      </c>
      <c r="I2" s="14">
        <v>491.7683537216173</v>
      </c>
      <c r="J2">
        <v>166</v>
      </c>
      <c r="K2">
        <v>30</v>
      </c>
      <c r="L2">
        <v>167</v>
      </c>
      <c r="M2">
        <v>30</v>
      </c>
      <c r="N2" s="120">
        <v>0</v>
      </c>
      <c r="O2" s="120">
        <v>0</v>
      </c>
      <c r="P2">
        <v>-27</v>
      </c>
      <c r="Q2">
        <v>1</v>
      </c>
    </row>
    <row r="3" spans="1:22">
      <c r="A3" s="137" t="s">
        <v>11</v>
      </c>
      <c r="B3">
        <v>10</v>
      </c>
      <c r="C3">
        <v>120</v>
      </c>
      <c r="D3">
        <v>77</v>
      </c>
      <c r="E3">
        <v>206</v>
      </c>
      <c r="F3">
        <v>37</v>
      </c>
      <c r="G3">
        <v>89</v>
      </c>
      <c r="H3">
        <v>215.1</v>
      </c>
      <c r="I3" s="14">
        <v>306.31070708837922</v>
      </c>
      <c r="J3">
        <v>34</v>
      </c>
      <c r="K3">
        <v>1</v>
      </c>
      <c r="L3">
        <v>74</v>
      </c>
      <c r="M3">
        <v>4</v>
      </c>
      <c r="N3" s="120">
        <v>0</v>
      </c>
      <c r="O3" s="120">
        <v>3.3333333333333333E-2</v>
      </c>
      <c r="P3">
        <v>59</v>
      </c>
    </row>
    <row r="4" spans="1:22">
      <c r="A4" s="20" t="s">
        <v>65</v>
      </c>
      <c r="B4">
        <v>110</v>
      </c>
      <c r="C4">
        <v>80</v>
      </c>
      <c r="D4">
        <v>56</v>
      </c>
      <c r="E4">
        <v>33</v>
      </c>
      <c r="F4">
        <v>128</v>
      </c>
      <c r="G4">
        <v>53</v>
      </c>
      <c r="H4">
        <v>238.79999999999998</v>
      </c>
      <c r="I4" s="14">
        <v>247.55464127146755</v>
      </c>
      <c r="J4">
        <v>48</v>
      </c>
      <c r="K4">
        <v>2</v>
      </c>
      <c r="L4">
        <v>45</v>
      </c>
      <c r="M4">
        <v>1</v>
      </c>
      <c r="N4" s="120">
        <v>0</v>
      </c>
      <c r="O4" s="120">
        <v>3.4482758620689655E-2</v>
      </c>
      <c r="P4">
        <v>158</v>
      </c>
    </row>
    <row r="5" spans="1:22">
      <c r="A5" s="20" t="s">
        <v>235</v>
      </c>
      <c r="B5">
        <v>45</v>
      </c>
      <c r="C5">
        <v>203</v>
      </c>
      <c r="D5">
        <v>90</v>
      </c>
      <c r="E5">
        <v>58</v>
      </c>
      <c r="F5">
        <v>82</v>
      </c>
      <c r="G5">
        <v>67</v>
      </c>
      <c r="H5">
        <v>255.7</v>
      </c>
      <c r="I5" s="14">
        <v>296.99266385107575</v>
      </c>
      <c r="J5">
        <v>63</v>
      </c>
      <c r="K5">
        <v>3</v>
      </c>
      <c r="L5">
        <v>67</v>
      </c>
      <c r="M5">
        <v>2</v>
      </c>
      <c r="N5" s="143">
        <v>0</v>
      </c>
      <c r="O5" s="143">
        <v>6.6666666666666666E-2</v>
      </c>
      <c r="P5">
        <v>33</v>
      </c>
    </row>
    <row r="6" spans="1:22">
      <c r="A6" t="s">
        <v>186</v>
      </c>
      <c r="B6">
        <v>205</v>
      </c>
      <c r="C6">
        <v>27</v>
      </c>
      <c r="D6">
        <v>33</v>
      </c>
      <c r="E6">
        <v>60</v>
      </c>
      <c r="F6">
        <v>115</v>
      </c>
      <c r="G6">
        <v>103</v>
      </c>
      <c r="H6">
        <v>278.8</v>
      </c>
      <c r="I6" s="14">
        <v>313.18623896124114</v>
      </c>
      <c r="J6">
        <v>87</v>
      </c>
      <c r="K6">
        <v>4</v>
      </c>
      <c r="L6">
        <v>78</v>
      </c>
      <c r="M6">
        <v>5</v>
      </c>
      <c r="N6" s="120">
        <v>0</v>
      </c>
      <c r="O6" s="120">
        <v>0</v>
      </c>
      <c r="P6">
        <v>33</v>
      </c>
    </row>
    <row r="7" spans="1:22">
      <c r="A7" t="s">
        <v>30</v>
      </c>
      <c r="B7">
        <v>59</v>
      </c>
      <c r="C7">
        <v>109</v>
      </c>
      <c r="D7">
        <v>141</v>
      </c>
      <c r="E7">
        <v>147</v>
      </c>
      <c r="F7">
        <v>69</v>
      </c>
      <c r="G7">
        <v>94</v>
      </c>
      <c r="H7">
        <v>279.60000000000002</v>
      </c>
      <c r="I7" s="14">
        <v>360.20239283760981</v>
      </c>
      <c r="J7">
        <v>89</v>
      </c>
      <c r="K7">
        <v>5</v>
      </c>
      <c r="L7">
        <v>105</v>
      </c>
      <c r="M7">
        <v>14</v>
      </c>
      <c r="N7" s="120">
        <v>0</v>
      </c>
      <c r="O7" s="120">
        <v>0</v>
      </c>
      <c r="P7">
        <v>33</v>
      </c>
    </row>
    <row r="8" spans="1:22">
      <c r="A8" t="s">
        <v>175</v>
      </c>
      <c r="B8">
        <v>187</v>
      </c>
      <c r="C8">
        <v>82</v>
      </c>
      <c r="D8">
        <v>80</v>
      </c>
      <c r="E8">
        <v>96</v>
      </c>
      <c r="F8">
        <v>26</v>
      </c>
      <c r="G8">
        <v>78</v>
      </c>
      <c r="H8">
        <v>290</v>
      </c>
      <c r="I8" s="14">
        <v>313.52337621056392</v>
      </c>
      <c r="J8">
        <v>95</v>
      </c>
      <c r="K8">
        <v>6</v>
      </c>
      <c r="L8">
        <v>79</v>
      </c>
      <c r="M8">
        <v>6</v>
      </c>
      <c r="N8" s="120">
        <v>0</v>
      </c>
      <c r="O8" s="120">
        <v>0</v>
      </c>
      <c r="P8">
        <v>-19</v>
      </c>
    </row>
    <row r="9" spans="1:22">
      <c r="A9" t="s">
        <v>83</v>
      </c>
      <c r="B9">
        <v>68</v>
      </c>
      <c r="C9">
        <v>133</v>
      </c>
      <c r="D9">
        <v>155</v>
      </c>
      <c r="E9">
        <v>105</v>
      </c>
      <c r="F9">
        <v>77</v>
      </c>
      <c r="G9">
        <v>156</v>
      </c>
      <c r="H9">
        <v>294.39999999999998</v>
      </c>
      <c r="I9" s="14">
        <v>430.45915389771022</v>
      </c>
      <c r="J9">
        <v>99</v>
      </c>
      <c r="K9">
        <v>7</v>
      </c>
      <c r="L9">
        <v>138</v>
      </c>
      <c r="M9">
        <v>19</v>
      </c>
      <c r="N9" s="120">
        <v>0</v>
      </c>
      <c r="O9" s="120">
        <v>0</v>
      </c>
      <c r="P9">
        <v>-1</v>
      </c>
    </row>
    <row r="10" spans="1:22">
      <c r="A10" s="136" t="s">
        <v>100</v>
      </c>
      <c r="B10">
        <v>169</v>
      </c>
      <c r="C10">
        <v>112</v>
      </c>
      <c r="D10">
        <v>64</v>
      </c>
      <c r="E10">
        <v>39</v>
      </c>
      <c r="F10">
        <v>102</v>
      </c>
      <c r="G10">
        <v>63</v>
      </c>
      <c r="H10">
        <v>296.20000000000005</v>
      </c>
      <c r="I10" s="14">
        <v>297.50554057645189</v>
      </c>
      <c r="J10">
        <v>100</v>
      </c>
      <c r="K10">
        <v>8</v>
      </c>
      <c r="L10">
        <v>68</v>
      </c>
      <c r="M10">
        <v>3</v>
      </c>
      <c r="N10" s="120">
        <v>0</v>
      </c>
      <c r="O10" s="120">
        <v>0</v>
      </c>
      <c r="P10">
        <v>-40</v>
      </c>
    </row>
    <row r="11" spans="1:22">
      <c r="A11" t="s">
        <v>172</v>
      </c>
      <c r="B11">
        <v>180</v>
      </c>
      <c r="C11">
        <v>88</v>
      </c>
      <c r="D11">
        <v>21</v>
      </c>
      <c r="E11">
        <v>126</v>
      </c>
      <c r="F11">
        <v>98</v>
      </c>
      <c r="G11">
        <v>76</v>
      </c>
      <c r="H11">
        <v>300</v>
      </c>
      <c r="I11" s="14">
        <v>314.83867399525383</v>
      </c>
      <c r="J11">
        <v>106</v>
      </c>
      <c r="K11">
        <v>9</v>
      </c>
      <c r="L11">
        <v>81</v>
      </c>
      <c r="M11">
        <v>7</v>
      </c>
      <c r="N11" s="120">
        <v>0</v>
      </c>
      <c r="O11" s="120">
        <v>4.5454545454545456E-2</v>
      </c>
      <c r="P11">
        <v>6</v>
      </c>
    </row>
    <row r="12" spans="1:22">
      <c r="A12" t="s">
        <v>88</v>
      </c>
      <c r="B12">
        <v>119</v>
      </c>
      <c r="C12">
        <v>76</v>
      </c>
      <c r="D12">
        <v>121</v>
      </c>
      <c r="E12">
        <v>148</v>
      </c>
      <c r="F12">
        <v>73</v>
      </c>
      <c r="G12">
        <v>79</v>
      </c>
      <c r="H12">
        <v>301.5</v>
      </c>
      <c r="I12" s="14">
        <v>349.38660633797713</v>
      </c>
      <c r="J12">
        <v>107</v>
      </c>
      <c r="K12">
        <v>10</v>
      </c>
      <c r="L12">
        <v>97</v>
      </c>
      <c r="M12">
        <v>9</v>
      </c>
      <c r="N12" s="120">
        <v>0</v>
      </c>
      <c r="O12" s="120">
        <v>0</v>
      </c>
      <c r="P12">
        <v>16</v>
      </c>
    </row>
    <row r="13" spans="1:22">
      <c r="A13" t="s">
        <v>122</v>
      </c>
      <c r="B13">
        <v>140</v>
      </c>
      <c r="C13">
        <v>57</v>
      </c>
      <c r="D13">
        <v>106</v>
      </c>
      <c r="E13">
        <v>122</v>
      </c>
      <c r="F13">
        <v>101</v>
      </c>
      <c r="G13">
        <v>96</v>
      </c>
      <c r="H13">
        <v>303.39999999999998</v>
      </c>
      <c r="I13" s="14">
        <v>358.40878153413263</v>
      </c>
      <c r="J13">
        <v>109</v>
      </c>
      <c r="K13">
        <v>11</v>
      </c>
      <c r="L13">
        <v>103</v>
      </c>
      <c r="M13">
        <v>13</v>
      </c>
      <c r="N13" s="120">
        <v>0</v>
      </c>
      <c r="O13" s="120">
        <v>3.125E-2</v>
      </c>
      <c r="P13">
        <v>-2</v>
      </c>
    </row>
    <row r="14" spans="1:22">
      <c r="A14" t="s">
        <v>34</v>
      </c>
      <c r="B14">
        <v>41</v>
      </c>
      <c r="C14">
        <v>144</v>
      </c>
      <c r="D14">
        <v>134</v>
      </c>
      <c r="E14">
        <v>79</v>
      </c>
      <c r="F14">
        <v>176</v>
      </c>
      <c r="G14">
        <v>150</v>
      </c>
      <c r="H14">
        <v>304.79999999999995</v>
      </c>
      <c r="I14" s="14">
        <v>431.31445517843463</v>
      </c>
      <c r="J14">
        <v>110</v>
      </c>
      <c r="K14">
        <v>12</v>
      </c>
      <c r="L14">
        <v>141</v>
      </c>
      <c r="M14">
        <v>20</v>
      </c>
      <c r="N14" s="120">
        <v>0</v>
      </c>
      <c r="O14" s="120">
        <v>0</v>
      </c>
      <c r="P14">
        <v>-4</v>
      </c>
    </row>
    <row r="15" spans="1:22">
      <c r="A15" t="s">
        <v>189</v>
      </c>
      <c r="B15">
        <v>211</v>
      </c>
      <c r="C15">
        <v>18</v>
      </c>
      <c r="D15">
        <v>185</v>
      </c>
      <c r="E15">
        <v>6</v>
      </c>
      <c r="F15">
        <v>31</v>
      </c>
      <c r="G15">
        <v>100</v>
      </c>
      <c r="H15">
        <v>306.7</v>
      </c>
      <c r="I15" s="14">
        <v>351.57048414631589</v>
      </c>
      <c r="J15">
        <v>112</v>
      </c>
      <c r="K15">
        <v>13</v>
      </c>
      <c r="L15">
        <v>99</v>
      </c>
      <c r="M15">
        <v>11</v>
      </c>
      <c r="N15" s="120">
        <v>0</v>
      </c>
      <c r="O15" s="120">
        <v>0</v>
      </c>
      <c r="P15">
        <v>-78</v>
      </c>
    </row>
    <row r="16" spans="1:22">
      <c r="A16" t="s">
        <v>118</v>
      </c>
      <c r="B16">
        <v>143</v>
      </c>
      <c r="C16">
        <v>45</v>
      </c>
      <c r="D16">
        <v>92</v>
      </c>
      <c r="E16">
        <v>52</v>
      </c>
      <c r="F16">
        <v>188</v>
      </c>
      <c r="G16">
        <v>136</v>
      </c>
      <c r="H16">
        <v>306.89999999999998</v>
      </c>
      <c r="I16" s="14">
        <v>389.83302465488742</v>
      </c>
      <c r="J16">
        <v>113</v>
      </c>
      <c r="K16">
        <v>14</v>
      </c>
      <c r="L16">
        <v>119</v>
      </c>
      <c r="M16">
        <v>16</v>
      </c>
      <c r="N16" s="120">
        <v>0</v>
      </c>
      <c r="O16" s="120">
        <v>0</v>
      </c>
      <c r="P16">
        <v>-4</v>
      </c>
    </row>
    <row r="17" spans="1:16">
      <c r="A17" t="s">
        <v>155</v>
      </c>
      <c r="B17">
        <v>159</v>
      </c>
      <c r="C17">
        <v>165</v>
      </c>
      <c r="D17">
        <v>43</v>
      </c>
      <c r="E17">
        <v>34</v>
      </c>
      <c r="F17">
        <v>121</v>
      </c>
      <c r="G17">
        <v>98</v>
      </c>
      <c r="H17">
        <v>309.60000000000002</v>
      </c>
      <c r="I17" s="14">
        <v>341.75944390386508</v>
      </c>
      <c r="J17">
        <v>115</v>
      </c>
      <c r="K17">
        <v>15</v>
      </c>
      <c r="L17">
        <v>92</v>
      </c>
      <c r="M17">
        <v>8</v>
      </c>
      <c r="N17" s="120">
        <v>0</v>
      </c>
      <c r="O17" s="120">
        <v>0</v>
      </c>
      <c r="P17">
        <v>10</v>
      </c>
    </row>
    <row r="18" spans="1:16">
      <c r="A18" t="s">
        <v>62</v>
      </c>
      <c r="B18">
        <v>91</v>
      </c>
      <c r="C18">
        <v>95</v>
      </c>
      <c r="D18">
        <v>120</v>
      </c>
      <c r="E18">
        <v>88</v>
      </c>
      <c r="F18">
        <v>183</v>
      </c>
      <c r="G18">
        <v>138</v>
      </c>
      <c r="H18">
        <v>319</v>
      </c>
      <c r="I18" s="14">
        <v>420.68011615854067</v>
      </c>
      <c r="J18">
        <v>127</v>
      </c>
      <c r="K18">
        <v>16</v>
      </c>
      <c r="L18">
        <v>133</v>
      </c>
      <c r="M18">
        <v>17</v>
      </c>
      <c r="N18" s="120">
        <v>0</v>
      </c>
      <c r="O18" s="120">
        <v>0</v>
      </c>
      <c r="P18">
        <v>38</v>
      </c>
    </row>
    <row r="19" spans="1:16">
      <c r="A19" t="s">
        <v>159</v>
      </c>
      <c r="B19">
        <v>209</v>
      </c>
      <c r="C19">
        <v>9</v>
      </c>
      <c r="D19">
        <v>68</v>
      </c>
      <c r="E19">
        <v>14</v>
      </c>
      <c r="F19">
        <v>202</v>
      </c>
      <c r="G19">
        <v>108</v>
      </c>
      <c r="H19">
        <v>319.10000000000002</v>
      </c>
      <c r="I19" s="14">
        <v>351.39630306689367</v>
      </c>
      <c r="J19">
        <v>128</v>
      </c>
      <c r="K19">
        <v>17</v>
      </c>
      <c r="L19">
        <v>98</v>
      </c>
      <c r="M19">
        <v>10</v>
      </c>
      <c r="N19" s="120">
        <v>0</v>
      </c>
      <c r="O19" s="120">
        <v>0</v>
      </c>
      <c r="P19">
        <v>-92</v>
      </c>
    </row>
    <row r="20" spans="1:16">
      <c r="A20" t="s">
        <v>108</v>
      </c>
      <c r="B20">
        <v>91</v>
      </c>
      <c r="C20">
        <v>182</v>
      </c>
      <c r="D20">
        <v>176</v>
      </c>
      <c r="E20">
        <v>125</v>
      </c>
      <c r="F20">
        <v>2</v>
      </c>
      <c r="G20">
        <v>74</v>
      </c>
      <c r="H20">
        <v>320.39999999999998</v>
      </c>
      <c r="I20" s="14">
        <v>372.53716952411582</v>
      </c>
      <c r="J20">
        <v>130.5</v>
      </c>
      <c r="K20">
        <v>18</v>
      </c>
      <c r="L20">
        <v>110</v>
      </c>
      <c r="M20">
        <v>15</v>
      </c>
      <c r="N20" s="120">
        <v>0</v>
      </c>
      <c r="O20" s="120">
        <v>0</v>
      </c>
      <c r="P20">
        <v>-5</v>
      </c>
    </row>
    <row r="21" spans="1:16">
      <c r="A21" t="s">
        <v>191</v>
      </c>
      <c r="B21">
        <v>212</v>
      </c>
      <c r="C21">
        <v>32</v>
      </c>
      <c r="D21">
        <v>148</v>
      </c>
      <c r="E21">
        <v>35</v>
      </c>
      <c r="F21">
        <v>79</v>
      </c>
      <c r="G21">
        <v>155</v>
      </c>
      <c r="H21">
        <v>327.90000000000003</v>
      </c>
      <c r="I21" s="14">
        <v>421.51262746413664</v>
      </c>
      <c r="J21">
        <v>138</v>
      </c>
      <c r="K21">
        <v>19</v>
      </c>
      <c r="L21">
        <v>134</v>
      </c>
      <c r="M21">
        <v>18</v>
      </c>
      <c r="N21" s="120">
        <v>0</v>
      </c>
      <c r="O21" s="120">
        <v>0</v>
      </c>
      <c r="P21">
        <v>-45</v>
      </c>
    </row>
    <row r="22" spans="1:16">
      <c r="A22" t="s">
        <v>86</v>
      </c>
      <c r="B22">
        <v>78</v>
      </c>
      <c r="C22">
        <v>198</v>
      </c>
      <c r="D22">
        <v>196</v>
      </c>
      <c r="E22">
        <v>106</v>
      </c>
      <c r="F22">
        <v>33</v>
      </c>
      <c r="G22">
        <v>176</v>
      </c>
      <c r="H22">
        <v>337.9</v>
      </c>
      <c r="I22" s="14">
        <v>492.69047270295903</v>
      </c>
      <c r="J22">
        <v>149</v>
      </c>
      <c r="K22">
        <v>20</v>
      </c>
      <c r="L22">
        <v>168</v>
      </c>
      <c r="M22">
        <v>31</v>
      </c>
      <c r="N22" s="120">
        <v>0</v>
      </c>
      <c r="O22" s="120">
        <v>0</v>
      </c>
      <c r="P22">
        <v>4</v>
      </c>
    </row>
    <row r="23" spans="1:16">
      <c r="A23" t="s">
        <v>12</v>
      </c>
      <c r="B23">
        <v>12</v>
      </c>
      <c r="C23">
        <v>193</v>
      </c>
      <c r="D23">
        <v>150</v>
      </c>
      <c r="E23">
        <v>153</v>
      </c>
      <c r="F23">
        <v>169</v>
      </c>
      <c r="G23">
        <v>134</v>
      </c>
      <c r="H23">
        <v>341.8</v>
      </c>
      <c r="I23" s="14">
        <v>463.51257488999681</v>
      </c>
      <c r="J23">
        <v>150</v>
      </c>
      <c r="K23">
        <v>21</v>
      </c>
      <c r="L23">
        <v>157</v>
      </c>
      <c r="M23">
        <v>25</v>
      </c>
      <c r="N23" s="120">
        <v>0</v>
      </c>
      <c r="O23" s="120">
        <v>0</v>
      </c>
      <c r="P23">
        <v>-10</v>
      </c>
    </row>
    <row r="24" spans="1:16">
      <c r="A24" t="s">
        <v>48</v>
      </c>
      <c r="B24">
        <v>96</v>
      </c>
      <c r="C24">
        <v>163</v>
      </c>
      <c r="D24">
        <v>45</v>
      </c>
      <c r="E24">
        <v>196</v>
      </c>
      <c r="F24">
        <v>158</v>
      </c>
      <c r="G24">
        <v>132</v>
      </c>
      <c r="H24">
        <v>342.70000000000005</v>
      </c>
      <c r="I24" s="14">
        <v>434.61564163438709</v>
      </c>
      <c r="J24">
        <v>152</v>
      </c>
      <c r="K24">
        <v>22</v>
      </c>
      <c r="L24">
        <v>147</v>
      </c>
      <c r="M24">
        <v>22</v>
      </c>
      <c r="N24" s="120">
        <v>0</v>
      </c>
      <c r="O24" s="120">
        <v>0</v>
      </c>
      <c r="P24">
        <v>-33</v>
      </c>
    </row>
    <row r="25" spans="1:16">
      <c r="A25" t="s">
        <v>185</v>
      </c>
      <c r="B25">
        <v>206</v>
      </c>
      <c r="C25">
        <v>4</v>
      </c>
      <c r="D25">
        <v>98</v>
      </c>
      <c r="E25">
        <v>189</v>
      </c>
      <c r="F25">
        <v>84</v>
      </c>
      <c r="G25">
        <v>144</v>
      </c>
      <c r="H25">
        <v>343.20000000000005</v>
      </c>
      <c r="I25" s="14">
        <v>434.40247207529791</v>
      </c>
      <c r="J25">
        <v>153</v>
      </c>
      <c r="K25">
        <v>23</v>
      </c>
      <c r="L25">
        <v>146</v>
      </c>
      <c r="M25">
        <v>21</v>
      </c>
      <c r="N25" s="120">
        <v>0</v>
      </c>
      <c r="O25" s="120">
        <v>0</v>
      </c>
      <c r="P25">
        <v>-39</v>
      </c>
    </row>
    <row r="26" spans="1:16">
      <c r="A26" t="s">
        <v>75</v>
      </c>
      <c r="B26">
        <v>101</v>
      </c>
      <c r="C26">
        <v>184</v>
      </c>
      <c r="D26">
        <v>40</v>
      </c>
      <c r="E26">
        <v>114</v>
      </c>
      <c r="F26">
        <v>204</v>
      </c>
      <c r="G26">
        <v>175</v>
      </c>
      <c r="H26">
        <v>344.4</v>
      </c>
      <c r="I26" s="14">
        <v>467.51384488170481</v>
      </c>
      <c r="J26">
        <v>154</v>
      </c>
      <c r="K26">
        <v>24</v>
      </c>
      <c r="L26">
        <v>158</v>
      </c>
      <c r="M26">
        <v>26</v>
      </c>
      <c r="N26" s="120">
        <v>0</v>
      </c>
      <c r="O26" s="120">
        <v>0</v>
      </c>
      <c r="P26">
        <v>15</v>
      </c>
    </row>
    <row r="27" spans="1:16">
      <c r="A27" t="s">
        <v>25</v>
      </c>
      <c r="B27">
        <v>49</v>
      </c>
      <c r="C27">
        <v>49</v>
      </c>
      <c r="D27">
        <v>197</v>
      </c>
      <c r="E27">
        <v>182</v>
      </c>
      <c r="F27">
        <v>181</v>
      </c>
      <c r="G27">
        <v>183</v>
      </c>
      <c r="H27">
        <v>345.2</v>
      </c>
      <c r="I27" s="14">
        <v>519.11994727783826</v>
      </c>
      <c r="J27">
        <v>156</v>
      </c>
      <c r="K27">
        <v>25</v>
      </c>
      <c r="L27">
        <v>178</v>
      </c>
      <c r="M27">
        <v>36</v>
      </c>
      <c r="N27" s="120">
        <v>0</v>
      </c>
      <c r="O27" s="120">
        <v>0</v>
      </c>
      <c r="P27">
        <v>-11</v>
      </c>
    </row>
    <row r="28" spans="1:16">
      <c r="A28" t="s">
        <v>13</v>
      </c>
      <c r="B28">
        <v>47</v>
      </c>
      <c r="C28">
        <v>148</v>
      </c>
      <c r="D28">
        <v>168</v>
      </c>
      <c r="E28">
        <v>158</v>
      </c>
      <c r="F28">
        <v>140</v>
      </c>
      <c r="G28">
        <v>158</v>
      </c>
      <c r="H28">
        <v>345.59999999999997</v>
      </c>
      <c r="I28" s="14">
        <v>487.79015054432574</v>
      </c>
      <c r="J28">
        <v>158</v>
      </c>
      <c r="K28">
        <v>26</v>
      </c>
      <c r="L28">
        <v>165</v>
      </c>
      <c r="M28">
        <v>29</v>
      </c>
      <c r="N28" s="120">
        <v>0</v>
      </c>
      <c r="O28" s="120">
        <v>0</v>
      </c>
      <c r="P28">
        <v>-18</v>
      </c>
    </row>
    <row r="29" spans="1:16">
      <c r="A29" t="s">
        <v>70</v>
      </c>
      <c r="B29">
        <v>106</v>
      </c>
      <c r="C29">
        <v>146</v>
      </c>
      <c r="D29">
        <v>186</v>
      </c>
      <c r="E29">
        <v>186</v>
      </c>
      <c r="F29">
        <v>9</v>
      </c>
      <c r="G29">
        <v>168</v>
      </c>
      <c r="H29">
        <v>348.29999999999995</v>
      </c>
      <c r="I29" s="14">
        <v>496.04784570020502</v>
      </c>
      <c r="J29">
        <v>159</v>
      </c>
      <c r="K29">
        <v>27</v>
      </c>
      <c r="L29">
        <v>171</v>
      </c>
      <c r="M29">
        <v>32</v>
      </c>
      <c r="N29" s="120">
        <v>0</v>
      </c>
      <c r="O29" s="120">
        <v>0</v>
      </c>
      <c r="P29">
        <v>-9</v>
      </c>
    </row>
    <row r="30" spans="1:16">
      <c r="A30" t="s">
        <v>184</v>
      </c>
      <c r="B30">
        <v>198</v>
      </c>
      <c r="C30">
        <v>31</v>
      </c>
      <c r="D30">
        <v>178</v>
      </c>
      <c r="E30">
        <v>83</v>
      </c>
      <c r="F30">
        <v>76</v>
      </c>
      <c r="G30">
        <v>141</v>
      </c>
      <c r="H30">
        <v>351.9</v>
      </c>
      <c r="I30" s="14">
        <v>440.97949343781278</v>
      </c>
      <c r="J30">
        <v>161</v>
      </c>
      <c r="K30">
        <v>28</v>
      </c>
      <c r="L30">
        <v>149</v>
      </c>
      <c r="M30">
        <v>23</v>
      </c>
      <c r="N30" s="120">
        <v>0</v>
      </c>
      <c r="O30" s="120">
        <v>0</v>
      </c>
      <c r="P30">
        <v>-44</v>
      </c>
    </row>
    <row r="31" spans="1:16">
      <c r="A31" t="s">
        <v>78</v>
      </c>
      <c r="B31">
        <v>85</v>
      </c>
      <c r="C31">
        <v>140</v>
      </c>
      <c r="D31">
        <v>183</v>
      </c>
      <c r="E31">
        <v>84</v>
      </c>
      <c r="F31">
        <v>166</v>
      </c>
      <c r="G31">
        <v>166</v>
      </c>
      <c r="H31">
        <v>364.40000000000003</v>
      </c>
      <c r="I31" s="14">
        <v>498.28497977150158</v>
      </c>
      <c r="J31">
        <v>165</v>
      </c>
      <c r="K31">
        <v>29</v>
      </c>
      <c r="L31">
        <v>172</v>
      </c>
      <c r="M31">
        <v>33</v>
      </c>
      <c r="N31" s="120">
        <v>0</v>
      </c>
      <c r="O31" s="120">
        <v>0</v>
      </c>
      <c r="P31">
        <v>20</v>
      </c>
    </row>
    <row r="32" spans="1:16">
      <c r="A32" t="s">
        <v>81</v>
      </c>
      <c r="B32">
        <v>75</v>
      </c>
      <c r="C32">
        <v>157</v>
      </c>
      <c r="D32">
        <v>141</v>
      </c>
      <c r="E32">
        <v>98</v>
      </c>
      <c r="F32">
        <v>209</v>
      </c>
      <c r="G32">
        <v>174</v>
      </c>
      <c r="H32">
        <v>366.8</v>
      </c>
      <c r="I32" s="14">
        <v>504.79287483660806</v>
      </c>
      <c r="J32">
        <v>168.5</v>
      </c>
      <c r="K32">
        <v>31</v>
      </c>
      <c r="L32">
        <v>174</v>
      </c>
      <c r="M32">
        <v>34</v>
      </c>
      <c r="N32" s="120">
        <v>0</v>
      </c>
      <c r="O32" s="120">
        <v>0</v>
      </c>
      <c r="P32">
        <v>-7</v>
      </c>
    </row>
    <row r="33" spans="1:16">
      <c r="A33" t="s">
        <v>57</v>
      </c>
      <c r="B33">
        <v>71</v>
      </c>
      <c r="C33">
        <v>210</v>
      </c>
      <c r="D33">
        <v>200</v>
      </c>
      <c r="E33">
        <v>85</v>
      </c>
      <c r="F33">
        <v>104</v>
      </c>
      <c r="G33">
        <v>199</v>
      </c>
      <c r="H33">
        <v>367.8</v>
      </c>
      <c r="I33" s="14">
        <v>540.17690200886966</v>
      </c>
      <c r="J33">
        <v>170</v>
      </c>
      <c r="K33">
        <v>32</v>
      </c>
      <c r="L33">
        <v>187</v>
      </c>
      <c r="M33">
        <v>42</v>
      </c>
      <c r="N33" s="120">
        <v>0</v>
      </c>
      <c r="O33" s="120">
        <v>0</v>
      </c>
      <c r="P33">
        <v>7</v>
      </c>
    </row>
    <row r="34" spans="1:16">
      <c r="A34" t="s">
        <v>96</v>
      </c>
      <c r="B34">
        <v>130</v>
      </c>
      <c r="C34">
        <v>124</v>
      </c>
      <c r="D34">
        <v>160</v>
      </c>
      <c r="E34">
        <v>49</v>
      </c>
      <c r="F34">
        <v>173</v>
      </c>
      <c r="G34">
        <v>126</v>
      </c>
      <c r="H34">
        <v>368.1</v>
      </c>
      <c r="I34" s="14">
        <v>445.14527919005752</v>
      </c>
      <c r="J34">
        <v>171</v>
      </c>
      <c r="K34">
        <v>33</v>
      </c>
      <c r="L34">
        <v>150</v>
      </c>
      <c r="M34">
        <v>24</v>
      </c>
      <c r="N34" s="120">
        <v>0</v>
      </c>
      <c r="O34" s="120">
        <v>0</v>
      </c>
      <c r="P34">
        <v>-83</v>
      </c>
    </row>
    <row r="35" spans="1:16">
      <c r="A35" t="s">
        <v>157</v>
      </c>
      <c r="B35">
        <v>157</v>
      </c>
      <c r="C35">
        <v>62</v>
      </c>
      <c r="D35">
        <v>156</v>
      </c>
      <c r="E35">
        <v>61</v>
      </c>
      <c r="F35">
        <v>190</v>
      </c>
      <c r="G35">
        <v>169</v>
      </c>
      <c r="H35">
        <v>369.6</v>
      </c>
      <c r="I35" s="14">
        <v>484.9008150522917</v>
      </c>
      <c r="J35">
        <v>172</v>
      </c>
      <c r="K35">
        <v>34</v>
      </c>
      <c r="L35">
        <v>164</v>
      </c>
      <c r="M35">
        <v>28</v>
      </c>
      <c r="N35" s="120">
        <v>0</v>
      </c>
      <c r="O35" s="120">
        <v>0</v>
      </c>
      <c r="P35">
        <v>1</v>
      </c>
    </row>
    <row r="36" spans="1:16">
      <c r="A36" t="s">
        <v>174</v>
      </c>
      <c r="B36">
        <v>192</v>
      </c>
      <c r="C36">
        <v>174</v>
      </c>
      <c r="D36">
        <v>2</v>
      </c>
      <c r="E36">
        <v>188</v>
      </c>
      <c r="F36">
        <v>109</v>
      </c>
      <c r="G36">
        <v>50</v>
      </c>
      <c r="H36">
        <v>371.5</v>
      </c>
      <c r="I36" s="14">
        <v>351.5792539327403</v>
      </c>
      <c r="J36">
        <v>174</v>
      </c>
      <c r="K36">
        <v>35</v>
      </c>
      <c r="L36">
        <v>100</v>
      </c>
      <c r="M36">
        <v>12</v>
      </c>
      <c r="N36" s="120">
        <v>0</v>
      </c>
      <c r="O36" s="120">
        <v>0</v>
      </c>
      <c r="P36">
        <v>87</v>
      </c>
    </row>
    <row r="37" spans="1:16">
      <c r="A37" t="s">
        <v>111</v>
      </c>
      <c r="B37">
        <v>122</v>
      </c>
      <c r="C37">
        <v>146</v>
      </c>
      <c r="D37">
        <v>149</v>
      </c>
      <c r="E37">
        <v>23</v>
      </c>
      <c r="F37">
        <v>210</v>
      </c>
      <c r="G37">
        <v>185</v>
      </c>
      <c r="H37">
        <v>374.2</v>
      </c>
      <c r="I37" s="14">
        <v>505.82347018642861</v>
      </c>
      <c r="J37">
        <v>175</v>
      </c>
      <c r="K37">
        <v>36</v>
      </c>
      <c r="L37">
        <v>176</v>
      </c>
      <c r="M37">
        <v>35</v>
      </c>
      <c r="N37" s="120">
        <v>0</v>
      </c>
      <c r="O37" s="120">
        <v>0</v>
      </c>
      <c r="P37">
        <v>7</v>
      </c>
    </row>
    <row r="38" spans="1:16">
      <c r="A38" t="s">
        <v>31</v>
      </c>
      <c r="B38">
        <v>54</v>
      </c>
      <c r="C38">
        <v>128</v>
      </c>
      <c r="D38">
        <v>159</v>
      </c>
      <c r="E38">
        <v>177</v>
      </c>
      <c r="F38">
        <v>208</v>
      </c>
      <c r="G38">
        <v>184</v>
      </c>
      <c r="H38">
        <v>377.4</v>
      </c>
      <c r="I38" s="14">
        <v>539.79013761486317</v>
      </c>
      <c r="J38">
        <v>178</v>
      </c>
      <c r="K38">
        <v>37</v>
      </c>
      <c r="L38">
        <v>186</v>
      </c>
      <c r="M38">
        <v>41</v>
      </c>
      <c r="N38" s="120">
        <v>0</v>
      </c>
      <c r="O38" s="120">
        <v>0</v>
      </c>
      <c r="P38">
        <v>-21</v>
      </c>
    </row>
    <row r="39" spans="1:16">
      <c r="A39" t="s">
        <v>84</v>
      </c>
      <c r="B39">
        <v>109</v>
      </c>
      <c r="C39">
        <v>158</v>
      </c>
      <c r="D39">
        <v>143</v>
      </c>
      <c r="E39">
        <v>142</v>
      </c>
      <c r="F39">
        <v>143</v>
      </c>
      <c r="G39">
        <v>180</v>
      </c>
      <c r="H39">
        <v>380.3</v>
      </c>
      <c r="I39" s="14">
        <v>521.77215426504608</v>
      </c>
      <c r="J39">
        <v>181</v>
      </c>
      <c r="K39">
        <v>38</v>
      </c>
      <c r="L39">
        <v>179</v>
      </c>
      <c r="M39">
        <v>37</v>
      </c>
      <c r="N39" s="120" t="e">
        <v>#N/A</v>
      </c>
      <c r="O39" s="120" t="e">
        <v>#N/A</v>
      </c>
      <c r="P39">
        <v>-22</v>
      </c>
    </row>
    <row r="40" spans="1:16">
      <c r="A40" t="s">
        <v>120</v>
      </c>
      <c r="B40">
        <v>147</v>
      </c>
      <c r="C40">
        <v>114</v>
      </c>
      <c r="D40">
        <v>51</v>
      </c>
      <c r="E40">
        <v>207</v>
      </c>
      <c r="F40">
        <v>191</v>
      </c>
      <c r="G40">
        <v>200</v>
      </c>
      <c r="H40">
        <v>383.5</v>
      </c>
      <c r="I40" s="14">
        <v>529.6963978508951</v>
      </c>
      <c r="J40">
        <v>183</v>
      </c>
      <c r="K40">
        <v>39</v>
      </c>
      <c r="L40">
        <v>181</v>
      </c>
      <c r="M40">
        <v>38</v>
      </c>
      <c r="N40" s="120">
        <v>0</v>
      </c>
      <c r="O40" s="120">
        <v>0</v>
      </c>
      <c r="P40">
        <v>-1</v>
      </c>
    </row>
    <row r="41" spans="1:16">
      <c r="A41" t="s">
        <v>248</v>
      </c>
      <c r="B41">
        <v>136</v>
      </c>
      <c r="C41">
        <v>137</v>
      </c>
      <c r="D41">
        <v>192</v>
      </c>
      <c r="E41">
        <v>169</v>
      </c>
      <c r="F41">
        <v>50</v>
      </c>
      <c r="G41">
        <v>182</v>
      </c>
      <c r="H41">
        <v>385.1</v>
      </c>
      <c r="I41" s="14">
        <v>534.41848911511045</v>
      </c>
      <c r="J41">
        <v>184</v>
      </c>
      <c r="K41">
        <v>40</v>
      </c>
      <c r="L41">
        <v>184</v>
      </c>
      <c r="M41">
        <v>40</v>
      </c>
      <c r="N41" s="120">
        <v>0</v>
      </c>
      <c r="O41" s="120">
        <v>0</v>
      </c>
      <c r="P41">
        <v>11</v>
      </c>
    </row>
    <row r="42" spans="1:16">
      <c r="A42" t="s">
        <v>138</v>
      </c>
      <c r="B42">
        <v>96</v>
      </c>
      <c r="C42">
        <v>205</v>
      </c>
      <c r="D42">
        <v>115</v>
      </c>
      <c r="E42">
        <v>166</v>
      </c>
      <c r="F42">
        <v>146</v>
      </c>
      <c r="G42">
        <v>195</v>
      </c>
      <c r="H42">
        <v>387.70000000000005</v>
      </c>
      <c r="I42" s="14">
        <v>543.82526154780737</v>
      </c>
      <c r="J42">
        <v>185</v>
      </c>
      <c r="K42">
        <v>41</v>
      </c>
      <c r="L42">
        <v>189</v>
      </c>
      <c r="M42">
        <v>44</v>
      </c>
      <c r="N42" s="120">
        <v>0</v>
      </c>
      <c r="O42" s="120">
        <v>0</v>
      </c>
      <c r="P42">
        <v>-10</v>
      </c>
    </row>
    <row r="43" spans="1:16">
      <c r="A43" t="s">
        <v>222</v>
      </c>
      <c r="B43">
        <v>203</v>
      </c>
      <c r="C43">
        <v>47</v>
      </c>
      <c r="D43">
        <v>114</v>
      </c>
      <c r="E43">
        <v>115</v>
      </c>
      <c r="F43">
        <v>178</v>
      </c>
      <c r="G43">
        <v>209</v>
      </c>
      <c r="H43">
        <v>389.3</v>
      </c>
      <c r="I43" s="14">
        <v>532.5835274652145</v>
      </c>
      <c r="J43">
        <v>187</v>
      </c>
      <c r="K43">
        <v>42</v>
      </c>
      <c r="L43">
        <v>182</v>
      </c>
      <c r="M43">
        <v>39</v>
      </c>
      <c r="N43" s="120">
        <v>0</v>
      </c>
      <c r="O43" s="120">
        <v>0</v>
      </c>
      <c r="P43">
        <v>3</v>
      </c>
    </row>
    <row r="44" spans="1:16">
      <c r="A44" t="s">
        <v>7</v>
      </c>
      <c r="B44">
        <v>3</v>
      </c>
      <c r="C44">
        <v>211</v>
      </c>
      <c r="D44">
        <v>179</v>
      </c>
      <c r="E44">
        <v>208</v>
      </c>
      <c r="F44">
        <v>195</v>
      </c>
      <c r="G44">
        <v>197</v>
      </c>
      <c r="H44">
        <v>396</v>
      </c>
      <c r="I44" s="14">
        <v>585.20792438085959</v>
      </c>
      <c r="J44">
        <v>188</v>
      </c>
      <c r="K44">
        <v>43</v>
      </c>
      <c r="L44">
        <v>201</v>
      </c>
      <c r="M44">
        <v>49</v>
      </c>
      <c r="N44" s="120">
        <v>0</v>
      </c>
      <c r="O44" s="120">
        <v>0</v>
      </c>
      <c r="P44">
        <v>-2</v>
      </c>
    </row>
    <row r="45" spans="1:16">
      <c r="A45" t="s">
        <v>176</v>
      </c>
      <c r="B45">
        <v>193</v>
      </c>
      <c r="C45">
        <v>56</v>
      </c>
      <c r="D45">
        <v>211</v>
      </c>
      <c r="E45">
        <v>140</v>
      </c>
      <c r="F45">
        <v>67</v>
      </c>
      <c r="G45">
        <v>193</v>
      </c>
      <c r="H45">
        <v>398.5</v>
      </c>
      <c r="I45" s="14">
        <v>545.58360833741335</v>
      </c>
      <c r="J45">
        <v>189</v>
      </c>
      <c r="K45">
        <v>44</v>
      </c>
      <c r="L45">
        <v>192</v>
      </c>
      <c r="M45">
        <v>45</v>
      </c>
      <c r="N45" s="120">
        <v>0</v>
      </c>
      <c r="O45" s="120">
        <v>0</v>
      </c>
      <c r="P45">
        <v>-51</v>
      </c>
    </row>
    <row r="46" spans="1:16">
      <c r="A46" t="s">
        <v>243</v>
      </c>
      <c r="B46">
        <v>145</v>
      </c>
      <c r="C46">
        <v>142</v>
      </c>
      <c r="D46">
        <v>212</v>
      </c>
      <c r="E46">
        <v>61</v>
      </c>
      <c r="F46">
        <v>125</v>
      </c>
      <c r="G46">
        <v>210</v>
      </c>
      <c r="H46">
        <v>401.09999999999997</v>
      </c>
      <c r="I46" s="14">
        <v>564.51960573650842</v>
      </c>
      <c r="J46">
        <v>191</v>
      </c>
      <c r="K46">
        <v>45</v>
      </c>
      <c r="L46">
        <v>196</v>
      </c>
      <c r="M46">
        <v>47</v>
      </c>
      <c r="N46" s="120" t="e">
        <v>#N/A</v>
      </c>
      <c r="O46" s="120" t="e">
        <v>#N/A</v>
      </c>
      <c r="P46" t="e">
        <v>#N/A</v>
      </c>
    </row>
    <row r="47" spans="1:16">
      <c r="A47" t="s">
        <v>136</v>
      </c>
      <c r="B47">
        <v>158</v>
      </c>
      <c r="C47">
        <v>100</v>
      </c>
      <c r="D47">
        <v>119</v>
      </c>
      <c r="E47">
        <v>186</v>
      </c>
      <c r="F47">
        <v>166</v>
      </c>
      <c r="G47">
        <v>188</v>
      </c>
      <c r="H47">
        <v>405.20000000000005</v>
      </c>
      <c r="I47" s="14">
        <v>542.75754940553156</v>
      </c>
      <c r="J47">
        <v>193</v>
      </c>
      <c r="K47">
        <v>46</v>
      </c>
      <c r="L47">
        <v>188</v>
      </c>
      <c r="M47">
        <v>43</v>
      </c>
      <c r="N47" s="120">
        <v>0</v>
      </c>
      <c r="O47" s="120">
        <v>0</v>
      </c>
      <c r="P47">
        <v>13</v>
      </c>
    </row>
    <row r="48" spans="1:16">
      <c r="A48" t="s">
        <v>171</v>
      </c>
      <c r="B48">
        <v>186</v>
      </c>
      <c r="C48">
        <v>126</v>
      </c>
      <c r="D48">
        <v>117</v>
      </c>
      <c r="E48">
        <v>110</v>
      </c>
      <c r="F48">
        <v>178</v>
      </c>
      <c r="G48">
        <v>128</v>
      </c>
      <c r="H48">
        <v>415</v>
      </c>
      <c r="I48" s="14">
        <v>476.64489066368338</v>
      </c>
      <c r="J48">
        <v>196</v>
      </c>
      <c r="K48">
        <v>47</v>
      </c>
      <c r="L48">
        <v>162</v>
      </c>
      <c r="M48">
        <v>27</v>
      </c>
      <c r="N48" s="120">
        <v>0</v>
      </c>
      <c r="O48" s="120">
        <v>0</v>
      </c>
      <c r="P48">
        <v>-37</v>
      </c>
    </row>
    <row r="49" spans="1:16">
      <c r="A49" t="s">
        <v>94</v>
      </c>
      <c r="B49">
        <v>130</v>
      </c>
      <c r="C49">
        <v>181</v>
      </c>
      <c r="D49">
        <v>201</v>
      </c>
      <c r="E49">
        <v>185</v>
      </c>
      <c r="F49">
        <v>62</v>
      </c>
      <c r="G49">
        <v>171</v>
      </c>
      <c r="H49">
        <v>420.1</v>
      </c>
      <c r="I49" s="14">
        <v>557.60037605660318</v>
      </c>
      <c r="J49">
        <v>197</v>
      </c>
      <c r="K49">
        <v>48</v>
      </c>
      <c r="L49">
        <v>193</v>
      </c>
      <c r="M49">
        <v>46</v>
      </c>
      <c r="N49" s="120">
        <v>0</v>
      </c>
      <c r="O49" s="120">
        <v>0</v>
      </c>
      <c r="P49">
        <v>20</v>
      </c>
    </row>
    <row r="50" spans="1:16">
      <c r="A50" t="s">
        <v>43</v>
      </c>
      <c r="B50">
        <v>50</v>
      </c>
      <c r="C50">
        <v>209</v>
      </c>
      <c r="D50">
        <v>180</v>
      </c>
      <c r="E50">
        <v>191</v>
      </c>
      <c r="F50">
        <v>184</v>
      </c>
      <c r="G50">
        <v>201</v>
      </c>
      <c r="H50">
        <v>420.9</v>
      </c>
      <c r="I50" s="14">
        <v>599.82248469379545</v>
      </c>
      <c r="J50">
        <v>198</v>
      </c>
      <c r="K50">
        <v>49</v>
      </c>
      <c r="L50">
        <v>207</v>
      </c>
      <c r="M50">
        <v>52</v>
      </c>
      <c r="N50" s="120">
        <v>0</v>
      </c>
      <c r="O50" s="120">
        <v>0</v>
      </c>
      <c r="P50">
        <v>-7</v>
      </c>
    </row>
    <row r="51" spans="1:16">
      <c r="A51" t="s">
        <v>61</v>
      </c>
      <c r="B51">
        <v>96</v>
      </c>
      <c r="C51">
        <v>170</v>
      </c>
      <c r="D51">
        <v>191</v>
      </c>
      <c r="E51">
        <v>199</v>
      </c>
      <c r="F51">
        <v>152</v>
      </c>
      <c r="G51">
        <v>191</v>
      </c>
      <c r="H51">
        <v>432</v>
      </c>
      <c r="I51" s="14">
        <v>593.49292186116099</v>
      </c>
      <c r="J51">
        <v>202</v>
      </c>
      <c r="K51">
        <v>50</v>
      </c>
      <c r="L51">
        <v>205</v>
      </c>
      <c r="M51">
        <v>51</v>
      </c>
      <c r="N51" s="120">
        <v>0</v>
      </c>
      <c r="O51" s="120">
        <v>0</v>
      </c>
      <c r="P51">
        <v>-13</v>
      </c>
    </row>
    <row r="52" spans="1:16">
      <c r="A52" t="s">
        <v>168</v>
      </c>
      <c r="B52">
        <v>165</v>
      </c>
      <c r="C52">
        <v>35</v>
      </c>
      <c r="D52">
        <v>208</v>
      </c>
      <c r="E52">
        <v>175</v>
      </c>
      <c r="F52">
        <v>187</v>
      </c>
      <c r="G52">
        <v>198</v>
      </c>
      <c r="H52">
        <v>437.8</v>
      </c>
      <c r="I52" s="14">
        <v>592.00334013811562</v>
      </c>
      <c r="J52">
        <v>203</v>
      </c>
      <c r="K52">
        <v>51</v>
      </c>
      <c r="L52">
        <v>204</v>
      </c>
      <c r="M52">
        <v>50</v>
      </c>
      <c r="N52" s="120">
        <v>0</v>
      </c>
      <c r="O52" s="120">
        <v>0</v>
      </c>
      <c r="P52">
        <v>-9</v>
      </c>
    </row>
    <row r="53" spans="1:16">
      <c r="A53" t="s">
        <v>221</v>
      </c>
      <c r="B53">
        <v>104</v>
      </c>
      <c r="C53">
        <v>130</v>
      </c>
      <c r="D53">
        <v>210</v>
      </c>
      <c r="E53">
        <v>145</v>
      </c>
      <c r="F53">
        <v>212</v>
      </c>
      <c r="G53">
        <v>212</v>
      </c>
      <c r="H53">
        <v>438.2</v>
      </c>
      <c r="I53" s="14">
        <v>614.59479656800727</v>
      </c>
      <c r="J53">
        <v>204</v>
      </c>
      <c r="K53">
        <v>52</v>
      </c>
      <c r="L53">
        <v>210</v>
      </c>
      <c r="M53">
        <v>55</v>
      </c>
      <c r="N53" s="120" t="e">
        <v>#N/A</v>
      </c>
      <c r="O53" s="120" t="e">
        <v>#N/A</v>
      </c>
      <c r="P53">
        <v>-3</v>
      </c>
    </row>
    <row r="54" spans="1:16">
      <c r="A54" t="s">
        <v>219</v>
      </c>
      <c r="B54">
        <v>194</v>
      </c>
      <c r="C54">
        <v>54</v>
      </c>
      <c r="D54">
        <v>171</v>
      </c>
      <c r="E54">
        <v>204</v>
      </c>
      <c r="F54">
        <v>156</v>
      </c>
      <c r="G54">
        <v>192</v>
      </c>
      <c r="H54">
        <v>444.40000000000003</v>
      </c>
      <c r="I54" s="14">
        <v>583.8140449706932</v>
      </c>
      <c r="J54">
        <v>206</v>
      </c>
      <c r="K54">
        <v>53</v>
      </c>
      <c r="L54">
        <v>200</v>
      </c>
      <c r="M54">
        <v>48</v>
      </c>
      <c r="N54" s="120">
        <v>0</v>
      </c>
      <c r="O54" s="120">
        <v>0</v>
      </c>
      <c r="P54">
        <v>12</v>
      </c>
    </row>
    <row r="55" spans="1:16">
      <c r="A55" t="s">
        <v>173</v>
      </c>
      <c r="B55">
        <v>189</v>
      </c>
      <c r="C55">
        <v>89</v>
      </c>
      <c r="D55">
        <v>194</v>
      </c>
      <c r="E55">
        <v>116</v>
      </c>
      <c r="F55">
        <v>211</v>
      </c>
      <c r="G55">
        <v>208</v>
      </c>
      <c r="H55">
        <v>464</v>
      </c>
      <c r="I55" s="14">
        <v>610.58745314110411</v>
      </c>
      <c r="J55">
        <v>210</v>
      </c>
      <c r="K55">
        <v>54</v>
      </c>
      <c r="L55">
        <v>209</v>
      </c>
      <c r="M55">
        <v>54</v>
      </c>
      <c r="N55" s="120">
        <v>0</v>
      </c>
      <c r="O55" s="120">
        <v>0</v>
      </c>
      <c r="P55">
        <v>0</v>
      </c>
    </row>
    <row r="56" spans="1:16">
      <c r="A56" t="s">
        <v>169</v>
      </c>
      <c r="B56">
        <v>191</v>
      </c>
      <c r="C56">
        <v>136</v>
      </c>
      <c r="D56">
        <v>202</v>
      </c>
      <c r="E56">
        <v>97</v>
      </c>
      <c r="F56">
        <v>171</v>
      </c>
      <c r="G56">
        <v>205</v>
      </c>
      <c r="H56">
        <v>466.3</v>
      </c>
      <c r="I56" s="14">
        <v>608.58719389173143</v>
      </c>
      <c r="J56">
        <v>211</v>
      </c>
      <c r="K56">
        <v>55</v>
      </c>
      <c r="L56">
        <v>208</v>
      </c>
      <c r="M56">
        <v>53</v>
      </c>
      <c r="N56" s="120">
        <v>0</v>
      </c>
      <c r="O56" s="120">
        <v>2.7027027027027029E-2</v>
      </c>
      <c r="P56">
        <v>0</v>
      </c>
    </row>
  </sheetData>
  <autoFilter ref="A1:S56" xr:uid="{FE4BF24C-8AB4-4AD9-B2BE-5159F7BEF651}">
    <sortState xmlns:xlrd2="http://schemas.microsoft.com/office/spreadsheetml/2017/richdata2" ref="A2:S56">
      <sortCondition ref="Q1:Q56"/>
    </sortState>
  </autoFilter>
  <conditionalFormatting sqref="N2:O1048576">
    <cfRule type="cellIs" dxfId="111" priority="5" operator="greaterThanOrEqual">
      <formula>20%</formula>
    </cfRule>
    <cfRule type="cellIs" dxfId="110" priority="6" operator="between">
      <formula>10%</formula>
      <formula>20%</formula>
    </cfRule>
    <cfRule type="cellIs" dxfId="109" priority="7" operator="between">
      <formula>0.01%</formula>
      <formula>10%</formula>
    </cfRule>
  </conditionalFormatting>
  <conditionalFormatting sqref="B1:F1 B2:G1048576 J1:M1048576">
    <cfRule type="cellIs" dxfId="108" priority="8" operator="between">
      <formula>101</formula>
      <formula>250</formula>
    </cfRule>
    <cfRule type="cellIs" dxfId="107" priority="9" operator="between">
      <formula>51</formula>
      <formula>100.5</formula>
    </cfRule>
    <cfRule type="cellIs" dxfId="106" priority="10" operator="between">
      <formula>21</formula>
      <formula>50.5</formula>
    </cfRule>
    <cfRule type="cellIs" dxfId="105"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7471D-D453-42C5-8A88-DEA1918431AB}">
  <sheetPr codeName="Sheet53">
    <tabColor rgb="FFFF0000"/>
  </sheetPr>
  <dimension ref="A1:V109"/>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54</v>
      </c>
      <c r="B2">
        <v>29</v>
      </c>
      <c r="C2">
        <v>195</v>
      </c>
      <c r="D2">
        <v>69</v>
      </c>
      <c r="E2">
        <v>63</v>
      </c>
      <c r="F2">
        <v>129</v>
      </c>
      <c r="G2">
        <v>84</v>
      </c>
      <c r="H2">
        <v>271.89999999999998</v>
      </c>
      <c r="I2" s="14">
        <v>325.22210708787657</v>
      </c>
      <c r="J2">
        <v>63</v>
      </c>
      <c r="K2">
        <v>54</v>
      </c>
      <c r="L2">
        <v>75</v>
      </c>
      <c r="M2">
        <v>63</v>
      </c>
      <c r="N2" s="120">
        <v>0</v>
      </c>
      <c r="O2" s="120">
        <v>0.04</v>
      </c>
      <c r="P2">
        <v>-38</v>
      </c>
      <c r="Q2">
        <v>1</v>
      </c>
    </row>
    <row r="3" spans="1:22">
      <c r="A3" t="s">
        <v>15</v>
      </c>
      <c r="B3">
        <v>6</v>
      </c>
      <c r="C3">
        <v>94</v>
      </c>
      <c r="D3">
        <v>5</v>
      </c>
      <c r="E3">
        <v>31</v>
      </c>
      <c r="F3">
        <v>9</v>
      </c>
      <c r="G3">
        <v>1</v>
      </c>
      <c r="H3">
        <v>78.5</v>
      </c>
      <c r="I3" s="14">
        <v>69.888065598009746</v>
      </c>
      <c r="J3">
        <v>1</v>
      </c>
      <c r="K3">
        <v>1</v>
      </c>
      <c r="L3">
        <v>1</v>
      </c>
      <c r="M3">
        <v>1</v>
      </c>
      <c r="N3" s="120">
        <v>0.15</v>
      </c>
      <c r="O3" s="120">
        <v>0.3</v>
      </c>
      <c r="P3">
        <v>2</v>
      </c>
    </row>
    <row r="4" spans="1:22">
      <c r="A4" t="s">
        <v>66</v>
      </c>
      <c r="B4">
        <v>53</v>
      </c>
      <c r="C4">
        <v>66</v>
      </c>
      <c r="D4">
        <v>15</v>
      </c>
      <c r="E4">
        <v>26</v>
      </c>
      <c r="F4">
        <v>5</v>
      </c>
      <c r="G4">
        <v>3</v>
      </c>
      <c r="H4">
        <v>102.8</v>
      </c>
      <c r="I4" s="14">
        <v>86.19301305284786</v>
      </c>
      <c r="J4">
        <v>2</v>
      </c>
      <c r="K4">
        <v>2</v>
      </c>
      <c r="L4">
        <v>2</v>
      </c>
      <c r="M4">
        <v>2</v>
      </c>
      <c r="N4" s="120">
        <v>0.08</v>
      </c>
      <c r="O4" s="120">
        <v>0.16</v>
      </c>
      <c r="P4">
        <v>4</v>
      </c>
    </row>
    <row r="5" spans="1:22">
      <c r="A5" t="s">
        <v>68</v>
      </c>
      <c r="B5">
        <v>62</v>
      </c>
      <c r="C5">
        <v>28</v>
      </c>
      <c r="D5">
        <v>23</v>
      </c>
      <c r="E5">
        <v>78</v>
      </c>
      <c r="F5">
        <v>26</v>
      </c>
      <c r="G5">
        <v>5</v>
      </c>
      <c r="H5">
        <v>118.9</v>
      </c>
      <c r="I5" s="14">
        <v>115.09510232980719</v>
      </c>
      <c r="J5">
        <v>4</v>
      </c>
      <c r="K5">
        <v>4</v>
      </c>
      <c r="L5">
        <v>4</v>
      </c>
      <c r="M5">
        <v>3</v>
      </c>
      <c r="N5" s="120">
        <v>0</v>
      </c>
      <c r="O5" s="120">
        <v>0.16666666666666666</v>
      </c>
      <c r="P5">
        <v>10</v>
      </c>
    </row>
    <row r="6" spans="1:22">
      <c r="A6" t="s">
        <v>35</v>
      </c>
      <c r="B6">
        <v>28</v>
      </c>
      <c r="C6">
        <v>28</v>
      </c>
      <c r="D6">
        <v>14</v>
      </c>
      <c r="E6">
        <v>68</v>
      </c>
      <c r="F6">
        <v>95</v>
      </c>
      <c r="G6">
        <v>7</v>
      </c>
      <c r="H6">
        <v>116.9</v>
      </c>
      <c r="I6" s="14">
        <v>119.5505927871183</v>
      </c>
      <c r="J6">
        <v>3</v>
      </c>
      <c r="K6">
        <v>3</v>
      </c>
      <c r="L6">
        <v>5</v>
      </c>
      <c r="M6">
        <v>4</v>
      </c>
      <c r="N6" s="120">
        <v>4.3478260869565216E-2</v>
      </c>
      <c r="O6" s="120">
        <v>0.17391304347826086</v>
      </c>
      <c r="P6">
        <v>25</v>
      </c>
    </row>
    <row r="7" spans="1:22">
      <c r="A7" t="s">
        <v>69</v>
      </c>
      <c r="B7">
        <v>68</v>
      </c>
      <c r="C7">
        <v>90</v>
      </c>
      <c r="D7">
        <v>6</v>
      </c>
      <c r="E7">
        <v>60</v>
      </c>
      <c r="F7">
        <v>24</v>
      </c>
      <c r="G7">
        <v>2</v>
      </c>
      <c r="H7">
        <v>142.60000000000002</v>
      </c>
      <c r="I7" s="14">
        <v>122.70098768057869</v>
      </c>
      <c r="J7">
        <v>8</v>
      </c>
      <c r="K7">
        <v>7</v>
      </c>
      <c r="L7">
        <v>6</v>
      </c>
      <c r="M7">
        <v>5</v>
      </c>
      <c r="N7" s="120">
        <v>4.1666666666666664E-2</v>
      </c>
      <c r="O7" s="120">
        <v>0.125</v>
      </c>
      <c r="P7">
        <v>0</v>
      </c>
    </row>
    <row r="8" spans="1:22">
      <c r="A8" t="s">
        <v>40</v>
      </c>
      <c r="B8">
        <v>17</v>
      </c>
      <c r="C8">
        <v>58</v>
      </c>
      <c r="D8">
        <v>81</v>
      </c>
      <c r="E8">
        <v>45</v>
      </c>
      <c r="F8">
        <v>29</v>
      </c>
      <c r="G8">
        <v>10</v>
      </c>
      <c r="H8">
        <v>133.1</v>
      </c>
      <c r="I8" s="14">
        <v>136.10451421590113</v>
      </c>
      <c r="J8">
        <v>6</v>
      </c>
      <c r="K8">
        <v>5</v>
      </c>
      <c r="L8">
        <v>7</v>
      </c>
      <c r="M8">
        <v>6</v>
      </c>
      <c r="N8" s="120">
        <v>0</v>
      </c>
      <c r="O8" s="120">
        <v>9.5238095238095233E-2</v>
      </c>
      <c r="P8">
        <v>4</v>
      </c>
    </row>
    <row r="9" spans="1:22">
      <c r="A9" t="s">
        <v>85</v>
      </c>
      <c r="B9">
        <v>90</v>
      </c>
      <c r="C9">
        <v>99</v>
      </c>
      <c r="D9">
        <v>38</v>
      </c>
      <c r="E9">
        <v>7</v>
      </c>
      <c r="F9">
        <v>17</v>
      </c>
      <c r="G9">
        <v>11</v>
      </c>
      <c r="H9">
        <v>168.6</v>
      </c>
      <c r="I9" s="14">
        <v>141.01448689192293</v>
      </c>
      <c r="J9">
        <v>11</v>
      </c>
      <c r="K9">
        <v>10</v>
      </c>
      <c r="L9">
        <v>8</v>
      </c>
      <c r="M9">
        <v>7</v>
      </c>
      <c r="N9" s="120">
        <v>0</v>
      </c>
      <c r="O9" s="120">
        <v>4.7619047619047616E-2</v>
      </c>
      <c r="P9">
        <v>-10</v>
      </c>
    </row>
    <row r="10" spans="1:22">
      <c r="A10" t="s">
        <v>124</v>
      </c>
      <c r="B10">
        <v>124</v>
      </c>
      <c r="C10">
        <v>8</v>
      </c>
      <c r="D10">
        <v>16</v>
      </c>
      <c r="E10">
        <v>15</v>
      </c>
      <c r="F10">
        <v>99</v>
      </c>
      <c r="G10">
        <v>21</v>
      </c>
      <c r="H10">
        <v>169.2</v>
      </c>
      <c r="I10" s="14">
        <v>152.38233821053359</v>
      </c>
      <c r="J10">
        <v>12</v>
      </c>
      <c r="K10">
        <v>11</v>
      </c>
      <c r="L10">
        <v>9</v>
      </c>
      <c r="M10">
        <v>8</v>
      </c>
      <c r="N10" s="120">
        <v>3.7037037037037035E-2</v>
      </c>
      <c r="O10" s="120">
        <v>0.1111111111111111</v>
      </c>
      <c r="P10">
        <v>-13</v>
      </c>
    </row>
    <row r="11" spans="1:22">
      <c r="A11" t="s">
        <v>51</v>
      </c>
      <c r="B11">
        <v>42</v>
      </c>
      <c r="C11">
        <v>25</v>
      </c>
      <c r="D11">
        <v>43</v>
      </c>
      <c r="E11">
        <v>124</v>
      </c>
      <c r="F11">
        <v>43</v>
      </c>
      <c r="G11">
        <v>13</v>
      </c>
      <c r="H11">
        <v>137.4</v>
      </c>
      <c r="I11" s="14">
        <v>154.64821252773569</v>
      </c>
      <c r="J11">
        <v>7</v>
      </c>
      <c r="K11">
        <v>6</v>
      </c>
      <c r="L11">
        <v>10</v>
      </c>
      <c r="M11">
        <v>9</v>
      </c>
      <c r="N11" s="120">
        <v>0</v>
      </c>
      <c r="O11" s="120">
        <v>4.7619047619047616E-2</v>
      </c>
      <c r="P11">
        <v>-3</v>
      </c>
    </row>
    <row r="12" spans="1:22">
      <c r="A12" t="s">
        <v>135</v>
      </c>
      <c r="B12">
        <v>146</v>
      </c>
      <c r="C12">
        <v>3</v>
      </c>
      <c r="D12">
        <v>9</v>
      </c>
      <c r="E12">
        <v>59</v>
      </c>
      <c r="F12">
        <v>94</v>
      </c>
      <c r="G12">
        <v>8</v>
      </c>
      <c r="H12">
        <v>189.6</v>
      </c>
      <c r="I12" s="14">
        <v>162.43049381812381</v>
      </c>
      <c r="J12">
        <v>16</v>
      </c>
      <c r="K12">
        <v>15</v>
      </c>
      <c r="L12">
        <v>11</v>
      </c>
      <c r="M12">
        <v>10</v>
      </c>
      <c r="N12" s="120">
        <v>0</v>
      </c>
      <c r="O12" s="120">
        <v>0.12</v>
      </c>
      <c r="P12">
        <v>9</v>
      </c>
    </row>
    <row r="13" spans="1:22">
      <c r="A13" t="s">
        <v>44</v>
      </c>
      <c r="B13">
        <v>35</v>
      </c>
      <c r="C13">
        <v>67</v>
      </c>
      <c r="D13">
        <v>7</v>
      </c>
      <c r="E13">
        <v>112</v>
      </c>
      <c r="F13">
        <v>89</v>
      </c>
      <c r="G13">
        <v>20</v>
      </c>
      <c r="H13">
        <v>151.19999999999999</v>
      </c>
      <c r="I13" s="14">
        <v>167.66177695482881</v>
      </c>
      <c r="J13">
        <v>9</v>
      </c>
      <c r="K13">
        <v>8</v>
      </c>
      <c r="L13">
        <v>12</v>
      </c>
      <c r="M13">
        <v>11</v>
      </c>
      <c r="N13" s="120">
        <v>0</v>
      </c>
      <c r="O13" s="120">
        <v>0.11538461538461539</v>
      </c>
      <c r="P13">
        <v>48</v>
      </c>
    </row>
    <row r="14" spans="1:22">
      <c r="A14" t="s">
        <v>113</v>
      </c>
      <c r="B14">
        <v>76</v>
      </c>
      <c r="C14">
        <v>46</v>
      </c>
      <c r="D14">
        <v>60</v>
      </c>
      <c r="E14">
        <v>33</v>
      </c>
      <c r="F14">
        <v>78</v>
      </c>
      <c r="G14">
        <v>17</v>
      </c>
      <c r="H14">
        <v>179.3</v>
      </c>
      <c r="I14" s="14">
        <v>170.31514947539347</v>
      </c>
      <c r="J14">
        <v>15</v>
      </c>
      <c r="K14">
        <v>14</v>
      </c>
      <c r="L14">
        <v>13</v>
      </c>
      <c r="M14">
        <v>12</v>
      </c>
      <c r="N14" s="120">
        <v>0</v>
      </c>
      <c r="O14" s="120">
        <v>9.6774193548387094E-2</v>
      </c>
      <c r="P14">
        <v>30</v>
      </c>
    </row>
    <row r="15" spans="1:22">
      <c r="A15" t="s">
        <v>128</v>
      </c>
      <c r="B15">
        <v>103</v>
      </c>
      <c r="C15">
        <v>12</v>
      </c>
      <c r="D15">
        <v>30</v>
      </c>
      <c r="E15">
        <v>63</v>
      </c>
      <c r="F15">
        <v>81</v>
      </c>
      <c r="G15">
        <v>24</v>
      </c>
      <c r="H15">
        <v>170</v>
      </c>
      <c r="I15" s="14">
        <v>170.6477734972558</v>
      </c>
      <c r="J15">
        <v>13</v>
      </c>
      <c r="K15">
        <v>12</v>
      </c>
      <c r="L15">
        <v>14</v>
      </c>
      <c r="M15">
        <v>13</v>
      </c>
      <c r="N15" s="120">
        <v>3.3333333333333333E-2</v>
      </c>
      <c r="O15" s="120">
        <v>6.6666666666666666E-2</v>
      </c>
      <c r="P15">
        <v>-2</v>
      </c>
    </row>
    <row r="16" spans="1:22">
      <c r="A16" t="s">
        <v>132</v>
      </c>
      <c r="B16">
        <v>119</v>
      </c>
      <c r="C16">
        <v>86</v>
      </c>
      <c r="D16">
        <v>31</v>
      </c>
      <c r="E16">
        <v>39</v>
      </c>
      <c r="F16">
        <v>37</v>
      </c>
      <c r="G16">
        <v>14</v>
      </c>
      <c r="H16">
        <v>198.7</v>
      </c>
      <c r="I16" s="14">
        <v>172.60120719217858</v>
      </c>
      <c r="J16">
        <v>19</v>
      </c>
      <c r="K16">
        <v>18</v>
      </c>
      <c r="L16">
        <v>15</v>
      </c>
      <c r="M16">
        <v>14</v>
      </c>
      <c r="N16" s="120">
        <v>3.4482758620689655E-2</v>
      </c>
      <c r="O16" s="120">
        <v>0.10344827586206896</v>
      </c>
      <c r="P16">
        <v>22</v>
      </c>
    </row>
    <row r="17" spans="1:16">
      <c r="A17" t="s">
        <v>6</v>
      </c>
      <c r="B17">
        <v>1</v>
      </c>
      <c r="C17">
        <v>189</v>
      </c>
      <c r="D17">
        <v>8</v>
      </c>
      <c r="E17">
        <v>11</v>
      </c>
      <c r="F17">
        <v>171</v>
      </c>
      <c r="G17">
        <v>9</v>
      </c>
      <c r="H17">
        <v>208.59999999999997</v>
      </c>
      <c r="I17" s="14">
        <v>184.96726350225572</v>
      </c>
      <c r="J17">
        <v>23</v>
      </c>
      <c r="K17">
        <v>22</v>
      </c>
      <c r="L17">
        <v>16</v>
      </c>
      <c r="M17">
        <v>15</v>
      </c>
      <c r="N17" s="120">
        <v>5.5555555555555552E-2</v>
      </c>
      <c r="O17" s="120">
        <v>5.5555555555555552E-2</v>
      </c>
      <c r="P17" t="e">
        <v>#N/A</v>
      </c>
    </row>
    <row r="18" spans="1:16">
      <c r="A18" t="s">
        <v>158</v>
      </c>
      <c r="B18">
        <v>139</v>
      </c>
      <c r="C18">
        <v>101</v>
      </c>
      <c r="D18">
        <v>42</v>
      </c>
      <c r="E18">
        <v>22</v>
      </c>
      <c r="F18">
        <v>42</v>
      </c>
      <c r="G18">
        <v>15</v>
      </c>
      <c r="H18">
        <v>228.8</v>
      </c>
      <c r="I18" s="14">
        <v>192.73256133131659</v>
      </c>
      <c r="J18">
        <v>31</v>
      </c>
      <c r="K18">
        <v>28</v>
      </c>
      <c r="L18">
        <v>17</v>
      </c>
      <c r="M18">
        <v>16</v>
      </c>
      <c r="N18" s="120">
        <v>0</v>
      </c>
      <c r="O18" s="120">
        <v>0.1</v>
      </c>
      <c r="P18">
        <v>37</v>
      </c>
    </row>
    <row r="19" spans="1:16">
      <c r="A19" t="s">
        <v>73</v>
      </c>
      <c r="B19">
        <v>65</v>
      </c>
      <c r="C19">
        <v>152</v>
      </c>
      <c r="D19">
        <v>3</v>
      </c>
      <c r="E19">
        <v>126</v>
      </c>
      <c r="F19">
        <v>50</v>
      </c>
      <c r="G19">
        <v>6</v>
      </c>
      <c r="H19">
        <v>208.09999999999997</v>
      </c>
      <c r="I19" s="14">
        <v>194.92554276603559</v>
      </c>
      <c r="J19">
        <v>22</v>
      </c>
      <c r="K19">
        <v>21</v>
      </c>
      <c r="L19">
        <v>18</v>
      </c>
      <c r="M19">
        <v>17</v>
      </c>
      <c r="N19" s="120">
        <v>0</v>
      </c>
      <c r="O19" s="120">
        <v>0.13043478260869565</v>
      </c>
      <c r="P19">
        <v>3</v>
      </c>
    </row>
    <row r="20" spans="1:16">
      <c r="A20" t="s">
        <v>74</v>
      </c>
      <c r="B20">
        <v>32</v>
      </c>
      <c r="C20">
        <v>13</v>
      </c>
      <c r="D20">
        <v>22</v>
      </c>
      <c r="E20">
        <v>95</v>
      </c>
      <c r="F20">
        <v>179</v>
      </c>
      <c r="G20">
        <v>32</v>
      </c>
      <c r="H20">
        <v>166.8</v>
      </c>
      <c r="I20" s="14">
        <v>196.04199163042699</v>
      </c>
      <c r="J20">
        <v>10</v>
      </c>
      <c r="K20">
        <v>9</v>
      </c>
      <c r="L20">
        <v>19</v>
      </c>
      <c r="M20">
        <v>18</v>
      </c>
      <c r="N20" s="120">
        <v>0</v>
      </c>
      <c r="O20" s="120">
        <v>5.5555555555555552E-2</v>
      </c>
      <c r="P20" t="e">
        <v>#N/A</v>
      </c>
    </row>
    <row r="21" spans="1:16">
      <c r="A21" t="s">
        <v>233</v>
      </c>
      <c r="B21">
        <v>21</v>
      </c>
      <c r="C21">
        <v>134</v>
      </c>
      <c r="D21">
        <v>89</v>
      </c>
      <c r="E21">
        <v>83</v>
      </c>
      <c r="F21">
        <v>27</v>
      </c>
      <c r="G21">
        <v>12</v>
      </c>
      <c r="H21">
        <v>197.9</v>
      </c>
      <c r="I21" s="14">
        <v>198.05531273914889</v>
      </c>
      <c r="J21">
        <v>18</v>
      </c>
      <c r="K21">
        <v>17</v>
      </c>
      <c r="L21">
        <v>20</v>
      </c>
      <c r="M21">
        <v>19</v>
      </c>
      <c r="N21" s="120">
        <v>0</v>
      </c>
      <c r="O21" s="120">
        <v>0.125</v>
      </c>
      <c r="P21">
        <v>26</v>
      </c>
    </row>
    <row r="22" spans="1:16">
      <c r="A22" t="s">
        <v>14</v>
      </c>
      <c r="B22">
        <v>15</v>
      </c>
      <c r="C22">
        <v>11</v>
      </c>
      <c r="D22">
        <v>112</v>
      </c>
      <c r="E22">
        <v>57</v>
      </c>
      <c r="F22">
        <v>122</v>
      </c>
      <c r="G22">
        <v>28</v>
      </c>
      <c r="H22">
        <v>175.1</v>
      </c>
      <c r="I22" s="14">
        <v>200.44762767357878</v>
      </c>
      <c r="J22">
        <v>14</v>
      </c>
      <c r="K22">
        <v>13</v>
      </c>
      <c r="L22">
        <v>21</v>
      </c>
      <c r="M22">
        <v>20</v>
      </c>
      <c r="N22" s="120">
        <v>0</v>
      </c>
      <c r="O22" s="120">
        <v>0.1</v>
      </c>
      <c r="P22">
        <v>43</v>
      </c>
    </row>
    <row r="23" spans="1:16">
      <c r="A23" t="s">
        <v>143</v>
      </c>
      <c r="B23">
        <v>171</v>
      </c>
      <c r="C23">
        <v>22</v>
      </c>
      <c r="D23">
        <v>54</v>
      </c>
      <c r="E23">
        <v>80</v>
      </c>
      <c r="F23">
        <v>20</v>
      </c>
      <c r="G23">
        <v>19</v>
      </c>
      <c r="H23">
        <v>221.8</v>
      </c>
      <c r="I23" s="14">
        <v>202.86898350219107</v>
      </c>
      <c r="J23">
        <v>28</v>
      </c>
      <c r="K23">
        <v>26</v>
      </c>
      <c r="L23">
        <v>22</v>
      </c>
      <c r="M23">
        <v>21</v>
      </c>
      <c r="N23" s="120">
        <v>0.05</v>
      </c>
      <c r="O23" s="120">
        <v>0.1</v>
      </c>
      <c r="P23">
        <v>9</v>
      </c>
    </row>
    <row r="24" spans="1:16">
      <c r="A24" t="s">
        <v>92</v>
      </c>
      <c r="B24">
        <v>85</v>
      </c>
      <c r="C24">
        <v>71</v>
      </c>
      <c r="D24">
        <v>57</v>
      </c>
      <c r="E24">
        <v>12</v>
      </c>
      <c r="F24">
        <v>96</v>
      </c>
      <c r="G24">
        <v>44</v>
      </c>
      <c r="H24">
        <v>202.1</v>
      </c>
      <c r="I24" s="14">
        <v>209.64087973157842</v>
      </c>
      <c r="J24">
        <v>20</v>
      </c>
      <c r="K24">
        <v>19</v>
      </c>
      <c r="L24">
        <v>23</v>
      </c>
      <c r="M24">
        <v>22</v>
      </c>
      <c r="N24" s="120">
        <v>0</v>
      </c>
      <c r="O24" s="120">
        <v>6.0606060606060608E-2</v>
      </c>
      <c r="P24">
        <v>-21</v>
      </c>
    </row>
    <row r="25" spans="1:16">
      <c r="A25" t="s">
        <v>139</v>
      </c>
      <c r="B25">
        <v>134</v>
      </c>
      <c r="C25">
        <v>36</v>
      </c>
      <c r="D25">
        <v>2</v>
      </c>
      <c r="E25">
        <v>188</v>
      </c>
      <c r="F25">
        <v>45</v>
      </c>
      <c r="G25">
        <v>18</v>
      </c>
      <c r="H25">
        <v>209.10000000000002</v>
      </c>
      <c r="I25" s="14">
        <v>215.8969908520852</v>
      </c>
      <c r="J25">
        <v>24</v>
      </c>
      <c r="K25">
        <v>23</v>
      </c>
      <c r="L25">
        <v>24</v>
      </c>
      <c r="M25">
        <v>23</v>
      </c>
      <c r="N25" s="120">
        <v>0</v>
      </c>
      <c r="O25" s="120">
        <v>9.0909090909090912E-2</v>
      </c>
      <c r="P25">
        <v>-5</v>
      </c>
    </row>
    <row r="26" spans="1:16">
      <c r="A26" t="s">
        <v>188</v>
      </c>
      <c r="B26">
        <v>201</v>
      </c>
      <c r="C26">
        <v>5</v>
      </c>
      <c r="D26">
        <v>78</v>
      </c>
      <c r="E26">
        <v>23</v>
      </c>
      <c r="F26">
        <v>30</v>
      </c>
      <c r="G26">
        <v>31</v>
      </c>
      <c r="H26">
        <v>240.3</v>
      </c>
      <c r="I26" s="14">
        <v>216.59650138688542</v>
      </c>
      <c r="J26">
        <v>38</v>
      </c>
      <c r="K26">
        <v>34</v>
      </c>
      <c r="L26">
        <v>25</v>
      </c>
      <c r="M26">
        <v>24</v>
      </c>
      <c r="N26" s="120">
        <v>0</v>
      </c>
      <c r="O26" s="120">
        <v>9.6774193548387094E-2</v>
      </c>
      <c r="P26">
        <v>4</v>
      </c>
    </row>
    <row r="27" spans="1:16">
      <c r="A27" t="s">
        <v>141</v>
      </c>
      <c r="B27">
        <v>138</v>
      </c>
      <c r="C27">
        <v>39</v>
      </c>
      <c r="D27">
        <v>32</v>
      </c>
      <c r="E27">
        <v>130</v>
      </c>
      <c r="F27">
        <v>34</v>
      </c>
      <c r="G27">
        <v>30</v>
      </c>
      <c r="H27">
        <v>212.20000000000002</v>
      </c>
      <c r="I27" s="14">
        <v>219.46601884734201</v>
      </c>
      <c r="J27">
        <v>25</v>
      </c>
      <c r="K27">
        <v>24</v>
      </c>
      <c r="L27">
        <v>27</v>
      </c>
      <c r="M27">
        <v>25</v>
      </c>
      <c r="N27" s="120">
        <v>0</v>
      </c>
      <c r="O27" s="120">
        <v>0.10714285714285714</v>
      </c>
      <c r="P27">
        <v>-5</v>
      </c>
    </row>
    <row r="28" spans="1:16">
      <c r="A28" t="s">
        <v>71</v>
      </c>
      <c r="B28">
        <v>77</v>
      </c>
      <c r="C28">
        <v>168</v>
      </c>
      <c r="D28">
        <v>72</v>
      </c>
      <c r="E28">
        <v>76</v>
      </c>
      <c r="F28">
        <v>8</v>
      </c>
      <c r="G28">
        <v>16</v>
      </c>
      <c r="H28">
        <v>239.60000000000002</v>
      </c>
      <c r="I28" s="14">
        <v>223.38233984495966</v>
      </c>
      <c r="J28">
        <v>37</v>
      </c>
      <c r="K28">
        <v>33</v>
      </c>
      <c r="L28">
        <v>28</v>
      </c>
      <c r="M28">
        <v>26</v>
      </c>
      <c r="N28" s="120">
        <v>0</v>
      </c>
      <c r="O28" s="120">
        <v>8.5714285714285715E-2</v>
      </c>
      <c r="P28">
        <v>-5</v>
      </c>
    </row>
    <row r="29" spans="1:16">
      <c r="A29" t="s">
        <v>183</v>
      </c>
      <c r="B29">
        <v>195</v>
      </c>
      <c r="C29">
        <v>27</v>
      </c>
      <c r="D29">
        <v>86</v>
      </c>
      <c r="E29">
        <v>37</v>
      </c>
      <c r="F29">
        <v>12</v>
      </c>
      <c r="G29">
        <v>40</v>
      </c>
      <c r="H29">
        <v>249.49999999999997</v>
      </c>
      <c r="I29" s="14">
        <v>236.6882926706927</v>
      </c>
      <c r="J29">
        <v>46</v>
      </c>
      <c r="K29">
        <v>40</v>
      </c>
      <c r="L29">
        <v>29</v>
      </c>
      <c r="M29">
        <v>27</v>
      </c>
      <c r="N29" s="120">
        <v>0</v>
      </c>
      <c r="O29" s="120">
        <v>6.0606060606060608E-2</v>
      </c>
      <c r="P29">
        <v>0</v>
      </c>
    </row>
    <row r="30" spans="1:16">
      <c r="A30" t="s">
        <v>231</v>
      </c>
      <c r="B30">
        <v>70</v>
      </c>
      <c r="C30">
        <v>82</v>
      </c>
      <c r="D30">
        <v>172</v>
      </c>
      <c r="E30">
        <v>17</v>
      </c>
      <c r="F30">
        <v>12</v>
      </c>
      <c r="G30">
        <v>33</v>
      </c>
      <c r="H30">
        <v>236.69999999999996</v>
      </c>
      <c r="I30" s="14">
        <v>239.62400119974905</v>
      </c>
      <c r="J30">
        <v>34</v>
      </c>
      <c r="K30">
        <v>30</v>
      </c>
      <c r="L30">
        <v>30</v>
      </c>
      <c r="M30">
        <v>28</v>
      </c>
      <c r="N30" s="120">
        <v>0</v>
      </c>
      <c r="O30" s="120">
        <v>6.6666666666666666E-2</v>
      </c>
      <c r="P30">
        <v>15</v>
      </c>
    </row>
    <row r="31" spans="1:16">
      <c r="A31" t="s">
        <v>42</v>
      </c>
      <c r="B31">
        <v>38</v>
      </c>
      <c r="C31">
        <v>171</v>
      </c>
      <c r="D31">
        <v>94</v>
      </c>
      <c r="E31">
        <v>1</v>
      </c>
      <c r="F31">
        <v>115</v>
      </c>
      <c r="G31">
        <v>25</v>
      </c>
      <c r="H31">
        <v>256.60000000000002</v>
      </c>
      <c r="I31" s="14">
        <v>241.20626046183207</v>
      </c>
      <c r="J31">
        <v>50</v>
      </c>
      <c r="K31">
        <v>43</v>
      </c>
      <c r="L31">
        <v>31</v>
      </c>
      <c r="M31">
        <v>29</v>
      </c>
      <c r="N31" s="120">
        <v>0</v>
      </c>
      <c r="O31" s="120">
        <v>4.7619047619047616E-2</v>
      </c>
      <c r="P31">
        <v>102</v>
      </c>
    </row>
    <row r="32" spans="1:16">
      <c r="A32" t="s">
        <v>63</v>
      </c>
      <c r="B32">
        <v>31</v>
      </c>
      <c r="C32">
        <v>122</v>
      </c>
      <c r="D32">
        <v>164</v>
      </c>
      <c r="E32">
        <v>73</v>
      </c>
      <c r="F32">
        <v>4</v>
      </c>
      <c r="G32">
        <v>22</v>
      </c>
      <c r="H32">
        <v>236.70000000000002</v>
      </c>
      <c r="I32" s="14">
        <v>244.29505011080866</v>
      </c>
      <c r="J32">
        <v>35</v>
      </c>
      <c r="K32">
        <v>31</v>
      </c>
      <c r="L32">
        <v>32</v>
      </c>
      <c r="M32">
        <v>30</v>
      </c>
      <c r="N32" s="120">
        <v>0</v>
      </c>
      <c r="O32" s="120">
        <v>0.125</v>
      </c>
      <c r="P32">
        <v>-10</v>
      </c>
    </row>
    <row r="33" spans="1:16">
      <c r="A33" t="s">
        <v>22</v>
      </c>
      <c r="B33">
        <v>32</v>
      </c>
      <c r="C33">
        <v>57</v>
      </c>
      <c r="D33">
        <v>61</v>
      </c>
      <c r="E33">
        <v>135</v>
      </c>
      <c r="F33">
        <v>106</v>
      </c>
      <c r="G33">
        <v>47</v>
      </c>
      <c r="H33">
        <v>196</v>
      </c>
      <c r="I33" s="14">
        <v>244.34940834465493</v>
      </c>
      <c r="J33">
        <v>17</v>
      </c>
      <c r="K33">
        <v>16</v>
      </c>
      <c r="L33">
        <v>33</v>
      </c>
      <c r="M33">
        <v>31</v>
      </c>
      <c r="N33" s="120">
        <v>0</v>
      </c>
      <c r="O33" s="120">
        <v>2.8571428571428571E-2</v>
      </c>
      <c r="P33">
        <v>17</v>
      </c>
    </row>
    <row r="34" spans="1:16">
      <c r="A34" t="s">
        <v>95</v>
      </c>
      <c r="B34">
        <v>82</v>
      </c>
      <c r="C34">
        <v>138</v>
      </c>
      <c r="D34">
        <v>87</v>
      </c>
      <c r="E34">
        <v>28</v>
      </c>
      <c r="F34">
        <v>48</v>
      </c>
      <c r="G34">
        <v>45</v>
      </c>
      <c r="H34">
        <v>241.70000000000002</v>
      </c>
      <c r="I34" s="14">
        <v>246.67834783903589</v>
      </c>
      <c r="J34">
        <v>40</v>
      </c>
      <c r="K34">
        <v>36</v>
      </c>
      <c r="L34">
        <v>34</v>
      </c>
      <c r="M34">
        <v>32</v>
      </c>
      <c r="N34" s="120">
        <v>0</v>
      </c>
      <c r="O34" s="120">
        <v>3.4482758620689655E-2</v>
      </c>
      <c r="P34">
        <v>-6</v>
      </c>
    </row>
    <row r="35" spans="1:16">
      <c r="A35" t="s">
        <v>64</v>
      </c>
      <c r="B35">
        <v>93</v>
      </c>
      <c r="C35">
        <v>191</v>
      </c>
      <c r="D35">
        <v>40</v>
      </c>
      <c r="E35">
        <v>43</v>
      </c>
      <c r="F35">
        <v>58</v>
      </c>
      <c r="G35">
        <v>39</v>
      </c>
      <c r="H35">
        <v>258.89999999999998</v>
      </c>
      <c r="I35" s="14">
        <v>250.18500695670534</v>
      </c>
      <c r="J35">
        <v>54</v>
      </c>
      <c r="K35">
        <v>47</v>
      </c>
      <c r="L35">
        <v>36</v>
      </c>
      <c r="M35">
        <v>33</v>
      </c>
      <c r="N35" s="120">
        <v>0</v>
      </c>
      <c r="O35" s="120">
        <v>0.16129032258064516</v>
      </c>
      <c r="P35">
        <v>57</v>
      </c>
    </row>
    <row r="36" spans="1:16">
      <c r="A36" t="s">
        <v>47</v>
      </c>
      <c r="B36">
        <v>37</v>
      </c>
      <c r="C36">
        <v>42</v>
      </c>
      <c r="D36">
        <v>75</v>
      </c>
      <c r="E36">
        <v>141</v>
      </c>
      <c r="F36">
        <v>115</v>
      </c>
      <c r="G36">
        <v>42</v>
      </c>
      <c r="H36">
        <v>207.1</v>
      </c>
      <c r="I36" s="14">
        <v>251.60397315826202</v>
      </c>
      <c r="J36">
        <v>21</v>
      </c>
      <c r="K36">
        <v>20</v>
      </c>
      <c r="L36">
        <v>38</v>
      </c>
      <c r="M36">
        <v>34</v>
      </c>
      <c r="N36" s="120">
        <v>0</v>
      </c>
      <c r="O36" s="120">
        <v>8.6956521739130432E-2</v>
      </c>
      <c r="P36">
        <v>23</v>
      </c>
    </row>
    <row r="37" spans="1:16">
      <c r="A37" t="s">
        <v>129</v>
      </c>
      <c r="B37">
        <v>116</v>
      </c>
      <c r="C37">
        <v>126</v>
      </c>
      <c r="D37">
        <v>88</v>
      </c>
      <c r="E37">
        <v>3</v>
      </c>
      <c r="F37">
        <v>82</v>
      </c>
      <c r="G37">
        <v>36</v>
      </c>
      <c r="H37">
        <v>271.89999999999998</v>
      </c>
      <c r="I37" s="14">
        <v>254.03348772405261</v>
      </c>
      <c r="J37">
        <v>63</v>
      </c>
      <c r="K37">
        <v>55</v>
      </c>
      <c r="L37">
        <v>39</v>
      </c>
      <c r="M37">
        <v>35</v>
      </c>
      <c r="N37" s="120">
        <v>0</v>
      </c>
      <c r="O37" s="120">
        <v>3.8461538461538464E-2</v>
      </c>
      <c r="P37">
        <v>45</v>
      </c>
    </row>
    <row r="38" spans="1:16">
      <c r="A38" t="s">
        <v>154</v>
      </c>
      <c r="B38">
        <v>128</v>
      </c>
      <c r="C38">
        <v>9</v>
      </c>
      <c r="D38">
        <v>96</v>
      </c>
      <c r="E38">
        <v>92</v>
      </c>
      <c r="F38">
        <v>74</v>
      </c>
      <c r="G38">
        <v>40</v>
      </c>
      <c r="H38">
        <v>239.6</v>
      </c>
      <c r="I38" s="14">
        <v>254.4840484100292</v>
      </c>
      <c r="J38">
        <v>36</v>
      </c>
      <c r="K38">
        <v>32</v>
      </c>
      <c r="L38">
        <v>40</v>
      </c>
      <c r="M38">
        <v>36</v>
      </c>
      <c r="N38" s="120">
        <v>0</v>
      </c>
      <c r="O38" s="120">
        <v>7.1428571428571425E-2</v>
      </c>
      <c r="P38">
        <v>-7</v>
      </c>
    </row>
    <row r="39" spans="1:16">
      <c r="A39" t="s">
        <v>58</v>
      </c>
      <c r="B39">
        <v>86</v>
      </c>
      <c r="C39">
        <v>110</v>
      </c>
      <c r="D39">
        <v>56</v>
      </c>
      <c r="E39">
        <v>116</v>
      </c>
      <c r="F39">
        <v>71</v>
      </c>
      <c r="G39">
        <v>33</v>
      </c>
      <c r="H39">
        <v>244.3</v>
      </c>
      <c r="I39" s="14">
        <v>254.74831314161156</v>
      </c>
      <c r="J39">
        <v>44</v>
      </c>
      <c r="K39">
        <v>38</v>
      </c>
      <c r="L39">
        <v>41</v>
      </c>
      <c r="M39">
        <v>37</v>
      </c>
      <c r="N39" s="120">
        <v>4.1666666666666664E-2</v>
      </c>
      <c r="O39" s="120">
        <v>0.125</v>
      </c>
      <c r="P39">
        <v>71</v>
      </c>
    </row>
    <row r="40" spans="1:16">
      <c r="A40" t="s">
        <v>72</v>
      </c>
      <c r="B40">
        <v>60</v>
      </c>
      <c r="C40">
        <v>35</v>
      </c>
      <c r="D40">
        <v>184</v>
      </c>
      <c r="E40">
        <v>25</v>
      </c>
      <c r="F40">
        <v>47</v>
      </c>
      <c r="G40">
        <v>49</v>
      </c>
      <c r="H40">
        <v>228.79999999999998</v>
      </c>
      <c r="I40" s="14">
        <v>256.56842384530262</v>
      </c>
      <c r="J40">
        <v>30</v>
      </c>
      <c r="K40">
        <v>27</v>
      </c>
      <c r="L40">
        <v>42</v>
      </c>
      <c r="M40">
        <v>38</v>
      </c>
      <c r="N40" s="120">
        <v>0</v>
      </c>
      <c r="O40" s="120">
        <v>4.3478260869565216E-2</v>
      </c>
      <c r="P40">
        <v>-32</v>
      </c>
    </row>
    <row r="41" spans="1:16">
      <c r="A41" t="s">
        <v>110</v>
      </c>
      <c r="B41">
        <v>150</v>
      </c>
      <c r="C41">
        <v>30</v>
      </c>
      <c r="D41">
        <v>19</v>
      </c>
      <c r="E41">
        <v>161</v>
      </c>
      <c r="F41">
        <v>43</v>
      </c>
      <c r="G41">
        <v>57</v>
      </c>
      <c r="H41">
        <v>221.10000000000002</v>
      </c>
      <c r="I41" s="14">
        <v>258.43848108788842</v>
      </c>
      <c r="J41">
        <v>27</v>
      </c>
      <c r="K41">
        <v>25</v>
      </c>
      <c r="L41">
        <v>43</v>
      </c>
      <c r="M41">
        <v>39</v>
      </c>
      <c r="N41" s="120">
        <v>0</v>
      </c>
      <c r="O41" s="120">
        <v>7.1428571428571425E-2</v>
      </c>
      <c r="P41">
        <v>33</v>
      </c>
    </row>
    <row r="42" spans="1:16">
      <c r="A42" t="s">
        <v>97</v>
      </c>
      <c r="B42">
        <v>80</v>
      </c>
      <c r="C42">
        <v>185</v>
      </c>
      <c r="D42">
        <v>38</v>
      </c>
      <c r="E42">
        <v>70</v>
      </c>
      <c r="F42">
        <v>85</v>
      </c>
      <c r="G42">
        <v>35</v>
      </c>
      <c r="H42">
        <v>265.10000000000002</v>
      </c>
      <c r="I42" s="14">
        <v>260.30359309276298</v>
      </c>
      <c r="J42">
        <v>57</v>
      </c>
      <c r="K42">
        <v>50</v>
      </c>
      <c r="L42">
        <v>44</v>
      </c>
      <c r="M42">
        <v>40</v>
      </c>
      <c r="N42" s="120">
        <v>0</v>
      </c>
      <c r="O42" s="120">
        <v>2.7027027027027029E-2</v>
      </c>
      <c r="P42">
        <v>15</v>
      </c>
    </row>
    <row r="43" spans="1:16">
      <c r="A43" t="s">
        <v>146</v>
      </c>
      <c r="B43">
        <v>126</v>
      </c>
      <c r="C43">
        <v>150</v>
      </c>
      <c r="D43">
        <v>18</v>
      </c>
      <c r="E43">
        <v>172</v>
      </c>
      <c r="F43">
        <v>6</v>
      </c>
      <c r="G43">
        <v>29</v>
      </c>
      <c r="H43">
        <v>258</v>
      </c>
      <c r="I43" s="14">
        <v>261.22989262601152</v>
      </c>
      <c r="J43">
        <v>53</v>
      </c>
      <c r="K43">
        <v>46</v>
      </c>
      <c r="L43">
        <v>45</v>
      </c>
      <c r="M43">
        <v>41</v>
      </c>
      <c r="N43" s="120">
        <v>0</v>
      </c>
      <c r="O43" s="120">
        <v>5.7142857142857141E-2</v>
      </c>
      <c r="P43">
        <v>51</v>
      </c>
    </row>
    <row r="44" spans="1:16">
      <c r="A44" t="s">
        <v>18</v>
      </c>
      <c r="B44">
        <v>7</v>
      </c>
      <c r="C44">
        <v>196</v>
      </c>
      <c r="D44">
        <v>67</v>
      </c>
      <c r="E44">
        <v>56</v>
      </c>
      <c r="F44">
        <v>109</v>
      </c>
      <c r="G44">
        <v>46</v>
      </c>
      <c r="H44">
        <v>241.4</v>
      </c>
      <c r="I44" s="14">
        <v>262.44242973150699</v>
      </c>
      <c r="J44">
        <v>39</v>
      </c>
      <c r="K44">
        <v>35</v>
      </c>
      <c r="L44">
        <v>46</v>
      </c>
      <c r="M44">
        <v>42</v>
      </c>
      <c r="N44" s="120">
        <v>0</v>
      </c>
      <c r="O44" s="120">
        <v>7.1428571428571425E-2</v>
      </c>
      <c r="P44">
        <v>32</v>
      </c>
    </row>
    <row r="45" spans="1:16">
      <c r="A45" t="s">
        <v>105</v>
      </c>
      <c r="B45">
        <v>91</v>
      </c>
      <c r="C45">
        <v>118</v>
      </c>
      <c r="D45">
        <v>165</v>
      </c>
      <c r="E45">
        <v>24</v>
      </c>
      <c r="F45">
        <v>7</v>
      </c>
      <c r="G45">
        <v>37</v>
      </c>
      <c r="H45">
        <v>269.79999999999995</v>
      </c>
      <c r="I45" s="14">
        <v>267.48810147475899</v>
      </c>
      <c r="J45">
        <v>60</v>
      </c>
      <c r="K45">
        <v>52</v>
      </c>
      <c r="L45">
        <v>48</v>
      </c>
      <c r="M45">
        <v>43</v>
      </c>
      <c r="N45" s="120">
        <v>3.8461538461538464E-2</v>
      </c>
      <c r="O45" s="120">
        <v>0.11538461538461539</v>
      </c>
      <c r="P45">
        <v>40</v>
      </c>
    </row>
    <row r="46" spans="1:16">
      <c r="A46" t="s">
        <v>149</v>
      </c>
      <c r="B46">
        <v>182</v>
      </c>
      <c r="C46">
        <v>87</v>
      </c>
      <c r="D46">
        <v>26</v>
      </c>
      <c r="E46">
        <v>20</v>
      </c>
      <c r="F46">
        <v>118</v>
      </c>
      <c r="G46">
        <v>56</v>
      </c>
      <c r="H46">
        <v>281</v>
      </c>
      <c r="I46" s="14">
        <v>272.07518231632866</v>
      </c>
      <c r="J46">
        <v>69</v>
      </c>
      <c r="K46">
        <v>59</v>
      </c>
      <c r="L46">
        <v>49</v>
      </c>
      <c r="M46">
        <v>44</v>
      </c>
      <c r="N46" s="120">
        <v>0</v>
      </c>
      <c r="O46" s="120">
        <v>5.7142857142857141E-2</v>
      </c>
      <c r="P46">
        <v>-7</v>
      </c>
    </row>
    <row r="47" spans="1:16">
      <c r="A47" t="s">
        <v>46</v>
      </c>
      <c r="B47">
        <v>24</v>
      </c>
      <c r="C47">
        <v>143</v>
      </c>
      <c r="D47">
        <v>105</v>
      </c>
      <c r="E47">
        <v>61</v>
      </c>
      <c r="F47">
        <v>75</v>
      </c>
      <c r="G47">
        <v>64</v>
      </c>
      <c r="H47">
        <v>234.3</v>
      </c>
      <c r="I47" s="14">
        <v>278.03263398597147</v>
      </c>
      <c r="J47">
        <v>32</v>
      </c>
      <c r="K47">
        <v>29</v>
      </c>
      <c r="L47">
        <v>51</v>
      </c>
      <c r="M47">
        <v>45</v>
      </c>
      <c r="N47" s="120">
        <v>0</v>
      </c>
      <c r="O47" s="120">
        <v>6.8965517241379309E-2</v>
      </c>
      <c r="P47">
        <v>-23</v>
      </c>
    </row>
    <row r="48" spans="1:16">
      <c r="A48" t="s">
        <v>137</v>
      </c>
      <c r="B48">
        <v>154</v>
      </c>
      <c r="C48">
        <v>7</v>
      </c>
      <c r="D48">
        <v>58</v>
      </c>
      <c r="E48">
        <v>51</v>
      </c>
      <c r="F48">
        <v>171</v>
      </c>
      <c r="G48">
        <v>54</v>
      </c>
      <c r="H48">
        <v>268.8</v>
      </c>
      <c r="I48" s="14">
        <v>279.23965499227569</v>
      </c>
      <c r="J48">
        <v>59</v>
      </c>
      <c r="K48">
        <v>51</v>
      </c>
      <c r="L48">
        <v>52</v>
      </c>
      <c r="M48">
        <v>46</v>
      </c>
      <c r="N48" s="120">
        <v>0</v>
      </c>
      <c r="O48" s="120">
        <v>9.6774193548387094E-2</v>
      </c>
      <c r="P48">
        <v>-24</v>
      </c>
    </row>
    <row r="49" spans="1:16">
      <c r="A49" t="s">
        <v>79</v>
      </c>
      <c r="B49">
        <v>91</v>
      </c>
      <c r="C49">
        <v>119</v>
      </c>
      <c r="D49">
        <v>71</v>
      </c>
      <c r="E49">
        <v>89</v>
      </c>
      <c r="F49">
        <v>80</v>
      </c>
      <c r="G49">
        <v>52</v>
      </c>
      <c r="H49">
        <v>260.59999999999997</v>
      </c>
      <c r="I49" s="14">
        <v>282.07382989539474</v>
      </c>
      <c r="J49">
        <v>55</v>
      </c>
      <c r="K49">
        <v>48</v>
      </c>
      <c r="L49">
        <v>53</v>
      </c>
      <c r="M49">
        <v>47</v>
      </c>
      <c r="N49" s="120">
        <v>0</v>
      </c>
      <c r="O49" s="120">
        <v>6.0606060606060608E-2</v>
      </c>
      <c r="P49">
        <v>-9</v>
      </c>
    </row>
    <row r="50" spans="1:16">
      <c r="A50" t="s">
        <v>114</v>
      </c>
      <c r="B50">
        <v>141</v>
      </c>
      <c r="C50">
        <v>172</v>
      </c>
      <c r="D50">
        <v>63</v>
      </c>
      <c r="E50">
        <v>52</v>
      </c>
      <c r="F50">
        <v>23</v>
      </c>
      <c r="G50">
        <v>60</v>
      </c>
      <c r="H50">
        <v>287.20000000000005</v>
      </c>
      <c r="I50" s="14">
        <v>291.79867591797472</v>
      </c>
      <c r="J50">
        <v>81</v>
      </c>
      <c r="K50">
        <v>67</v>
      </c>
      <c r="L50">
        <v>54</v>
      </c>
      <c r="M50">
        <v>48</v>
      </c>
      <c r="N50" s="120">
        <v>0</v>
      </c>
      <c r="O50" s="120">
        <v>2.7027027027027029E-2</v>
      </c>
      <c r="P50">
        <v>59</v>
      </c>
    </row>
    <row r="51" spans="1:16">
      <c r="A51" t="s">
        <v>20</v>
      </c>
      <c r="B51">
        <v>24</v>
      </c>
      <c r="C51">
        <v>182</v>
      </c>
      <c r="D51">
        <v>45</v>
      </c>
      <c r="E51">
        <v>66</v>
      </c>
      <c r="F51">
        <v>153</v>
      </c>
      <c r="G51">
        <v>67</v>
      </c>
      <c r="H51">
        <v>256.20000000000005</v>
      </c>
      <c r="I51" s="14">
        <v>295.32192365102856</v>
      </c>
      <c r="J51">
        <v>49</v>
      </c>
      <c r="K51">
        <v>42</v>
      </c>
      <c r="L51">
        <v>55</v>
      </c>
      <c r="M51">
        <v>49</v>
      </c>
      <c r="N51" s="120">
        <v>0</v>
      </c>
      <c r="O51" s="120">
        <v>7.6923076923076927E-2</v>
      </c>
      <c r="P51">
        <v>19</v>
      </c>
    </row>
    <row r="52" spans="1:16">
      <c r="A52" t="s">
        <v>130</v>
      </c>
      <c r="B52">
        <v>170</v>
      </c>
      <c r="C52">
        <v>100</v>
      </c>
      <c r="D52">
        <v>68</v>
      </c>
      <c r="E52">
        <v>50</v>
      </c>
      <c r="F52">
        <v>83</v>
      </c>
      <c r="G52">
        <v>55</v>
      </c>
      <c r="H52">
        <v>300.10000000000002</v>
      </c>
      <c r="I52" s="14">
        <v>298.25745359452395</v>
      </c>
      <c r="J52">
        <v>95</v>
      </c>
      <c r="K52">
        <v>76</v>
      </c>
      <c r="L52">
        <v>56</v>
      </c>
      <c r="M52">
        <v>50</v>
      </c>
      <c r="N52" s="120">
        <v>2.8571428571428571E-2</v>
      </c>
      <c r="O52" s="120">
        <v>5.7142857142857141E-2</v>
      </c>
      <c r="P52">
        <v>18</v>
      </c>
    </row>
    <row r="53" spans="1:16">
      <c r="A53" t="s">
        <v>49</v>
      </c>
      <c r="B53">
        <v>81</v>
      </c>
      <c r="C53">
        <v>136</v>
      </c>
      <c r="D53">
        <v>73</v>
      </c>
      <c r="E53">
        <v>101</v>
      </c>
      <c r="F53">
        <v>60</v>
      </c>
      <c r="G53">
        <v>70</v>
      </c>
      <c r="H53">
        <v>257.79999999999995</v>
      </c>
      <c r="I53" s="14">
        <v>300.76969821489257</v>
      </c>
      <c r="J53">
        <v>52</v>
      </c>
      <c r="K53">
        <v>45</v>
      </c>
      <c r="L53">
        <v>58</v>
      </c>
      <c r="M53">
        <v>51</v>
      </c>
      <c r="N53" s="120">
        <v>0</v>
      </c>
      <c r="O53" s="120">
        <v>0</v>
      </c>
      <c r="P53">
        <v>29</v>
      </c>
    </row>
    <row r="54" spans="1:16">
      <c r="A54" t="s">
        <v>38</v>
      </c>
      <c r="B54">
        <v>44</v>
      </c>
      <c r="C54">
        <v>177</v>
      </c>
      <c r="D54">
        <v>133</v>
      </c>
      <c r="E54">
        <v>39</v>
      </c>
      <c r="F54">
        <v>77</v>
      </c>
      <c r="G54">
        <v>51</v>
      </c>
      <c r="H54">
        <v>284.7</v>
      </c>
      <c r="I54" s="14">
        <v>300.93792228516907</v>
      </c>
      <c r="J54">
        <v>77</v>
      </c>
      <c r="K54">
        <v>63</v>
      </c>
      <c r="L54">
        <v>59</v>
      </c>
      <c r="M54">
        <v>52</v>
      </c>
      <c r="N54" s="120">
        <v>0</v>
      </c>
      <c r="O54" s="120">
        <v>6.0606060606060608E-2</v>
      </c>
      <c r="P54">
        <v>7</v>
      </c>
    </row>
    <row r="55" spans="1:16">
      <c r="A55" t="s">
        <v>164</v>
      </c>
      <c r="B55">
        <v>155</v>
      </c>
      <c r="C55">
        <v>116</v>
      </c>
      <c r="D55">
        <v>129</v>
      </c>
      <c r="E55">
        <v>44</v>
      </c>
      <c r="F55">
        <v>19</v>
      </c>
      <c r="G55">
        <v>50</v>
      </c>
      <c r="H55">
        <v>306.59999999999997</v>
      </c>
      <c r="I55" s="14">
        <v>303.11072855545785</v>
      </c>
      <c r="J55">
        <v>102</v>
      </c>
      <c r="K55">
        <v>80</v>
      </c>
      <c r="L55">
        <v>60</v>
      </c>
      <c r="M55">
        <v>53</v>
      </c>
      <c r="N55" s="120">
        <v>0</v>
      </c>
      <c r="O55" s="120">
        <v>4.5454545454545456E-2</v>
      </c>
      <c r="P55">
        <v>44</v>
      </c>
    </row>
    <row r="56" spans="1:16">
      <c r="A56" t="s">
        <v>104</v>
      </c>
      <c r="B56">
        <v>101</v>
      </c>
      <c r="C56">
        <v>192</v>
      </c>
      <c r="D56">
        <v>125</v>
      </c>
      <c r="E56">
        <v>31</v>
      </c>
      <c r="F56">
        <v>22</v>
      </c>
      <c r="G56">
        <v>53</v>
      </c>
      <c r="H56">
        <v>303.8</v>
      </c>
      <c r="I56" s="14">
        <v>305.46131143200626</v>
      </c>
      <c r="J56">
        <v>99</v>
      </c>
      <c r="K56">
        <v>79</v>
      </c>
      <c r="L56">
        <v>62</v>
      </c>
      <c r="M56">
        <v>54</v>
      </c>
      <c r="N56" s="120">
        <v>3.3333333333333333E-2</v>
      </c>
      <c r="O56" s="120">
        <v>3.3333333333333333E-2</v>
      </c>
      <c r="P56">
        <v>-9</v>
      </c>
    </row>
    <row r="57" spans="1:16">
      <c r="A57" t="s">
        <v>39</v>
      </c>
      <c r="B57">
        <v>69</v>
      </c>
      <c r="C57">
        <v>120</v>
      </c>
      <c r="D57">
        <v>169</v>
      </c>
      <c r="E57">
        <v>106</v>
      </c>
      <c r="F57">
        <v>14</v>
      </c>
      <c r="G57">
        <v>43</v>
      </c>
      <c r="H57">
        <v>284.3</v>
      </c>
      <c r="I57" s="14">
        <v>307.90246604831322</v>
      </c>
      <c r="J57">
        <v>75</v>
      </c>
      <c r="K57">
        <v>62</v>
      </c>
      <c r="L57">
        <v>64</v>
      </c>
      <c r="M57">
        <v>55</v>
      </c>
      <c r="N57" s="120">
        <v>0</v>
      </c>
      <c r="O57" s="120">
        <v>2.7777777777777776E-2</v>
      </c>
      <c r="P57">
        <v>10</v>
      </c>
    </row>
    <row r="58" spans="1:16">
      <c r="A58" t="s">
        <v>27</v>
      </c>
      <c r="B58">
        <v>16</v>
      </c>
      <c r="C58">
        <v>128</v>
      </c>
      <c r="D58">
        <v>171</v>
      </c>
      <c r="E58">
        <v>110</v>
      </c>
      <c r="F58">
        <v>16</v>
      </c>
      <c r="G58">
        <v>65</v>
      </c>
      <c r="H58">
        <v>250.29999999999998</v>
      </c>
      <c r="I58" s="14">
        <v>310.1099347927601</v>
      </c>
      <c r="J58">
        <v>47</v>
      </c>
      <c r="K58">
        <v>41</v>
      </c>
      <c r="L58">
        <v>66</v>
      </c>
      <c r="M58">
        <v>56</v>
      </c>
      <c r="N58" s="120">
        <v>0</v>
      </c>
      <c r="O58" s="120">
        <v>7.6923076923076927E-2</v>
      </c>
      <c r="P58">
        <v>18</v>
      </c>
    </row>
    <row r="59" spans="1:16">
      <c r="A59" t="s">
        <v>115</v>
      </c>
      <c r="B59">
        <v>115</v>
      </c>
      <c r="C59">
        <v>65</v>
      </c>
      <c r="D59">
        <v>90</v>
      </c>
      <c r="E59">
        <v>49</v>
      </c>
      <c r="F59">
        <v>69</v>
      </c>
      <c r="G59">
        <v>105</v>
      </c>
      <c r="H59">
        <v>243.2</v>
      </c>
      <c r="I59" s="14">
        <v>311.71442598823523</v>
      </c>
      <c r="J59">
        <v>42</v>
      </c>
      <c r="K59">
        <v>37</v>
      </c>
      <c r="L59">
        <v>67</v>
      </c>
      <c r="M59">
        <v>57</v>
      </c>
      <c r="N59" s="120">
        <v>0</v>
      </c>
      <c r="O59" s="120">
        <v>4.3478260869565216E-2</v>
      </c>
      <c r="P59">
        <v>9</v>
      </c>
    </row>
    <row r="60" spans="1:16">
      <c r="A60" t="s">
        <v>112</v>
      </c>
      <c r="B60">
        <v>114</v>
      </c>
      <c r="C60">
        <v>64</v>
      </c>
      <c r="D60">
        <v>127</v>
      </c>
      <c r="E60">
        <v>46</v>
      </c>
      <c r="F60">
        <v>105</v>
      </c>
      <c r="G60">
        <v>68</v>
      </c>
      <c r="H60">
        <v>284.8</v>
      </c>
      <c r="I60" s="14">
        <v>314.08735304303082</v>
      </c>
      <c r="J60">
        <v>78</v>
      </c>
      <c r="K60">
        <v>64</v>
      </c>
      <c r="L60">
        <v>68</v>
      </c>
      <c r="M60">
        <v>58</v>
      </c>
      <c r="N60" s="120">
        <v>0</v>
      </c>
      <c r="O60" s="120">
        <v>3.125E-2</v>
      </c>
      <c r="P60">
        <v>-17</v>
      </c>
    </row>
    <row r="61" spans="1:16">
      <c r="A61" t="s">
        <v>101</v>
      </c>
      <c r="B61">
        <v>108</v>
      </c>
      <c r="C61">
        <v>95</v>
      </c>
      <c r="D61">
        <v>66</v>
      </c>
      <c r="E61">
        <v>160</v>
      </c>
      <c r="F61">
        <v>68</v>
      </c>
      <c r="G61">
        <v>63</v>
      </c>
      <c r="H61">
        <v>271.60000000000002</v>
      </c>
      <c r="I61" s="14">
        <v>315.79965664667361</v>
      </c>
      <c r="J61">
        <v>62</v>
      </c>
      <c r="K61">
        <v>53</v>
      </c>
      <c r="L61">
        <v>70</v>
      </c>
      <c r="M61">
        <v>59</v>
      </c>
      <c r="N61" s="120">
        <v>0</v>
      </c>
      <c r="O61" s="120">
        <v>2.9411764705882353E-2</v>
      </c>
      <c r="P61">
        <v>37</v>
      </c>
    </row>
    <row r="62" spans="1:16">
      <c r="A62" t="s">
        <v>10</v>
      </c>
      <c r="B62">
        <v>12</v>
      </c>
      <c r="C62">
        <v>201</v>
      </c>
      <c r="D62">
        <v>115</v>
      </c>
      <c r="E62">
        <v>5</v>
      </c>
      <c r="F62">
        <v>135</v>
      </c>
      <c r="G62">
        <v>78</v>
      </c>
      <c r="H62">
        <v>279.7</v>
      </c>
      <c r="I62" s="14">
        <v>319.92796359432128</v>
      </c>
      <c r="J62">
        <v>67</v>
      </c>
      <c r="K62">
        <v>57</v>
      </c>
      <c r="L62">
        <v>72</v>
      </c>
      <c r="M62">
        <v>60</v>
      </c>
      <c r="N62" s="120">
        <v>0</v>
      </c>
      <c r="O62" s="120">
        <v>3.2258064516129031E-2</v>
      </c>
      <c r="P62">
        <v>17</v>
      </c>
    </row>
    <row r="63" spans="1:16">
      <c r="A63" t="s">
        <v>59</v>
      </c>
      <c r="B63">
        <v>83</v>
      </c>
      <c r="C63">
        <v>121</v>
      </c>
      <c r="D63">
        <v>170</v>
      </c>
      <c r="E63">
        <v>6</v>
      </c>
      <c r="F63">
        <v>53</v>
      </c>
      <c r="G63">
        <v>80</v>
      </c>
      <c r="H63">
        <v>286.3</v>
      </c>
      <c r="I63" s="14">
        <v>323.36065206514263</v>
      </c>
      <c r="J63">
        <v>79</v>
      </c>
      <c r="K63">
        <v>65</v>
      </c>
      <c r="L63">
        <v>73</v>
      </c>
      <c r="M63">
        <v>61</v>
      </c>
      <c r="N63" s="120">
        <v>0</v>
      </c>
      <c r="O63" s="120">
        <v>0</v>
      </c>
      <c r="P63">
        <v>21</v>
      </c>
    </row>
    <row r="64" spans="1:16">
      <c r="A64" t="s">
        <v>134</v>
      </c>
      <c r="B64">
        <v>149</v>
      </c>
      <c r="C64">
        <v>72</v>
      </c>
      <c r="D64">
        <v>105</v>
      </c>
      <c r="E64">
        <v>102</v>
      </c>
      <c r="F64">
        <v>41</v>
      </c>
      <c r="G64">
        <v>74</v>
      </c>
      <c r="H64">
        <v>287</v>
      </c>
      <c r="I64" s="14">
        <v>324.64457459149088</v>
      </c>
      <c r="J64">
        <v>80</v>
      </c>
      <c r="K64">
        <v>66</v>
      </c>
      <c r="L64">
        <v>74</v>
      </c>
      <c r="M64">
        <v>62</v>
      </c>
      <c r="N64" s="120">
        <v>0</v>
      </c>
      <c r="O64" s="120">
        <v>2.9411764705882353E-2</v>
      </c>
      <c r="P64">
        <v>-37</v>
      </c>
    </row>
    <row r="65" spans="1:16">
      <c r="A65" t="s">
        <v>9</v>
      </c>
      <c r="B65">
        <v>5</v>
      </c>
      <c r="C65">
        <v>129</v>
      </c>
      <c r="D65">
        <v>21</v>
      </c>
      <c r="E65">
        <v>182</v>
      </c>
      <c r="F65">
        <v>191</v>
      </c>
      <c r="G65">
        <v>79</v>
      </c>
      <c r="H65">
        <v>246.2</v>
      </c>
      <c r="I65" s="14">
        <v>328.76064005183719</v>
      </c>
      <c r="J65">
        <v>45</v>
      </c>
      <c r="K65">
        <v>39</v>
      </c>
      <c r="L65">
        <v>76</v>
      </c>
      <c r="M65">
        <v>64</v>
      </c>
      <c r="N65" s="120">
        <v>0</v>
      </c>
      <c r="O65" s="120">
        <v>0</v>
      </c>
      <c r="P65">
        <v>-26</v>
      </c>
    </row>
    <row r="66" spans="1:16">
      <c r="A66" t="s">
        <v>60</v>
      </c>
      <c r="B66">
        <v>58</v>
      </c>
      <c r="C66">
        <v>24</v>
      </c>
      <c r="D66">
        <v>120</v>
      </c>
      <c r="E66">
        <v>175</v>
      </c>
      <c r="F66">
        <v>120</v>
      </c>
      <c r="G66">
        <v>73</v>
      </c>
      <c r="H66">
        <v>257.3</v>
      </c>
      <c r="I66" s="14">
        <v>334.73584328401023</v>
      </c>
      <c r="J66">
        <v>51</v>
      </c>
      <c r="K66">
        <v>44</v>
      </c>
      <c r="L66">
        <v>78</v>
      </c>
      <c r="M66">
        <v>65</v>
      </c>
      <c r="N66" s="120">
        <v>0</v>
      </c>
      <c r="O66" s="120">
        <v>7.1428571428571425E-2</v>
      </c>
      <c r="P66">
        <v>-49</v>
      </c>
    </row>
    <row r="67" spans="1:16">
      <c r="A67" t="s">
        <v>147</v>
      </c>
      <c r="B67">
        <v>157</v>
      </c>
      <c r="C67">
        <v>80</v>
      </c>
      <c r="D67">
        <v>123</v>
      </c>
      <c r="E67">
        <v>128</v>
      </c>
      <c r="F67">
        <v>25</v>
      </c>
      <c r="G67">
        <v>66</v>
      </c>
      <c r="H67">
        <v>310.60000000000002</v>
      </c>
      <c r="I67" s="14">
        <v>342.08967113175908</v>
      </c>
      <c r="J67">
        <v>105</v>
      </c>
      <c r="K67">
        <v>82</v>
      </c>
      <c r="L67">
        <v>83</v>
      </c>
      <c r="M67">
        <v>66</v>
      </c>
      <c r="N67" s="120">
        <v>0</v>
      </c>
      <c r="O67" s="120">
        <v>5.4054054054054057E-2</v>
      </c>
      <c r="P67">
        <v>-35</v>
      </c>
    </row>
    <row r="68" spans="1:16">
      <c r="A68" t="s">
        <v>152</v>
      </c>
      <c r="B68">
        <v>148</v>
      </c>
      <c r="C68">
        <v>6</v>
      </c>
      <c r="D68">
        <v>102</v>
      </c>
      <c r="E68">
        <v>54</v>
      </c>
      <c r="F68">
        <v>159</v>
      </c>
      <c r="G68">
        <v>95</v>
      </c>
      <c r="H68">
        <v>289.09999999999997</v>
      </c>
      <c r="I68" s="14">
        <v>342.99413421674018</v>
      </c>
      <c r="J68">
        <v>82</v>
      </c>
      <c r="K68">
        <v>68</v>
      </c>
      <c r="L68">
        <v>84</v>
      </c>
      <c r="M68">
        <v>67</v>
      </c>
      <c r="N68" s="120">
        <v>0</v>
      </c>
      <c r="O68" s="120">
        <v>3.125E-2</v>
      </c>
      <c r="P68">
        <v>-23</v>
      </c>
    </row>
    <row r="69" spans="1:16">
      <c r="A69" t="s">
        <v>56</v>
      </c>
      <c r="B69">
        <v>47</v>
      </c>
      <c r="C69">
        <v>161</v>
      </c>
      <c r="D69">
        <v>141</v>
      </c>
      <c r="E69">
        <v>72</v>
      </c>
      <c r="F69">
        <v>56</v>
      </c>
      <c r="G69">
        <v>90</v>
      </c>
      <c r="H69">
        <v>282.5</v>
      </c>
      <c r="I69" s="14">
        <v>345.85007794512723</v>
      </c>
      <c r="J69">
        <v>72</v>
      </c>
      <c r="K69">
        <v>61</v>
      </c>
      <c r="L69">
        <v>85</v>
      </c>
      <c r="M69">
        <v>68</v>
      </c>
      <c r="N69" s="120">
        <v>0</v>
      </c>
      <c r="O69" s="120">
        <v>0</v>
      </c>
      <c r="P69">
        <v>42</v>
      </c>
    </row>
    <row r="70" spans="1:16">
      <c r="A70" t="s">
        <v>125</v>
      </c>
      <c r="B70">
        <v>132</v>
      </c>
      <c r="C70">
        <v>109</v>
      </c>
      <c r="D70">
        <v>128</v>
      </c>
      <c r="E70">
        <v>33</v>
      </c>
      <c r="F70">
        <v>51</v>
      </c>
      <c r="G70">
        <v>108</v>
      </c>
      <c r="H70">
        <v>296</v>
      </c>
      <c r="I70" s="14">
        <v>354.39355244452304</v>
      </c>
      <c r="J70">
        <v>89</v>
      </c>
      <c r="K70">
        <v>73</v>
      </c>
      <c r="L70">
        <v>89</v>
      </c>
      <c r="M70">
        <v>69</v>
      </c>
      <c r="N70" s="120">
        <v>0</v>
      </c>
      <c r="O70" s="120">
        <v>3.3333333333333333E-2</v>
      </c>
      <c r="P70">
        <v>-19</v>
      </c>
    </row>
    <row r="71" spans="1:16">
      <c r="A71" t="s">
        <v>36</v>
      </c>
      <c r="B71">
        <v>57</v>
      </c>
      <c r="C71">
        <v>140</v>
      </c>
      <c r="D71">
        <v>12</v>
      </c>
      <c r="E71">
        <v>164</v>
      </c>
      <c r="F71">
        <v>185</v>
      </c>
      <c r="G71">
        <v>91</v>
      </c>
      <c r="H71">
        <v>279.7</v>
      </c>
      <c r="I71" s="14">
        <v>355.51438446635882</v>
      </c>
      <c r="J71">
        <v>67</v>
      </c>
      <c r="K71">
        <v>58</v>
      </c>
      <c r="L71">
        <v>90</v>
      </c>
      <c r="M71">
        <v>70</v>
      </c>
      <c r="N71" s="120">
        <v>0</v>
      </c>
      <c r="O71" s="120">
        <v>2.7027027027027029E-2</v>
      </c>
      <c r="P71">
        <v>-28</v>
      </c>
    </row>
    <row r="72" spans="1:16">
      <c r="A72" t="s">
        <v>76</v>
      </c>
      <c r="B72">
        <v>51</v>
      </c>
      <c r="C72">
        <v>177</v>
      </c>
      <c r="D72">
        <v>79</v>
      </c>
      <c r="E72">
        <v>65</v>
      </c>
      <c r="F72">
        <v>142</v>
      </c>
      <c r="G72">
        <v>99</v>
      </c>
      <c r="H72">
        <v>292.8</v>
      </c>
      <c r="I72" s="14">
        <v>357.11181851725769</v>
      </c>
      <c r="J72">
        <v>86</v>
      </c>
      <c r="K72">
        <v>71</v>
      </c>
      <c r="L72">
        <v>91</v>
      </c>
      <c r="M72">
        <v>71</v>
      </c>
      <c r="N72" s="120">
        <v>0</v>
      </c>
      <c r="O72" s="120">
        <v>4.5454545454545456E-2</v>
      </c>
      <c r="P72">
        <v>18</v>
      </c>
    </row>
    <row r="73" spans="1:16">
      <c r="A73" t="s">
        <v>182</v>
      </c>
      <c r="B73">
        <v>199</v>
      </c>
      <c r="C73">
        <v>115</v>
      </c>
      <c r="D73">
        <v>137</v>
      </c>
      <c r="E73">
        <v>21</v>
      </c>
      <c r="F73">
        <v>54</v>
      </c>
      <c r="G73">
        <v>72</v>
      </c>
      <c r="H73">
        <v>357.40000000000003</v>
      </c>
      <c r="I73" s="14">
        <v>358.00807517308397</v>
      </c>
      <c r="J73">
        <v>151</v>
      </c>
      <c r="K73">
        <v>97</v>
      </c>
      <c r="L73">
        <v>92</v>
      </c>
      <c r="M73">
        <v>72</v>
      </c>
      <c r="N73" s="120">
        <v>0</v>
      </c>
      <c r="O73" s="120">
        <v>7.6923076923076927E-2</v>
      </c>
      <c r="P73">
        <v>-12</v>
      </c>
    </row>
    <row r="74" spans="1:16">
      <c r="A74" t="s">
        <v>93</v>
      </c>
      <c r="B74">
        <v>98</v>
      </c>
      <c r="C74">
        <v>102</v>
      </c>
      <c r="D74">
        <v>55</v>
      </c>
      <c r="E74">
        <v>153</v>
      </c>
      <c r="F74">
        <v>155</v>
      </c>
      <c r="G74">
        <v>82</v>
      </c>
      <c r="H74">
        <v>301.5</v>
      </c>
      <c r="I74" s="14">
        <v>361.21151027476151</v>
      </c>
      <c r="J74">
        <v>97</v>
      </c>
      <c r="K74">
        <v>77</v>
      </c>
      <c r="L74">
        <v>94</v>
      </c>
      <c r="M74">
        <v>73</v>
      </c>
      <c r="N74" s="120">
        <v>0</v>
      </c>
      <c r="O74" s="120">
        <v>0</v>
      </c>
      <c r="P74">
        <v>-23</v>
      </c>
    </row>
    <row r="75" spans="1:16">
      <c r="A75" t="s">
        <v>161</v>
      </c>
      <c r="B75">
        <v>140</v>
      </c>
      <c r="C75">
        <v>60</v>
      </c>
      <c r="D75">
        <v>124</v>
      </c>
      <c r="E75">
        <v>81</v>
      </c>
      <c r="F75">
        <v>67</v>
      </c>
      <c r="G75">
        <v>110</v>
      </c>
      <c r="H75">
        <v>292.60000000000002</v>
      </c>
      <c r="I75" s="14">
        <v>365.24534029804852</v>
      </c>
      <c r="J75">
        <v>85</v>
      </c>
      <c r="K75">
        <v>70</v>
      </c>
      <c r="L75">
        <v>97</v>
      </c>
      <c r="M75">
        <v>74</v>
      </c>
      <c r="N75" s="120">
        <v>0</v>
      </c>
      <c r="O75" s="120">
        <v>0</v>
      </c>
      <c r="P75">
        <v>-31</v>
      </c>
    </row>
    <row r="76" spans="1:16">
      <c r="A76" t="s">
        <v>17</v>
      </c>
      <c r="B76">
        <v>8</v>
      </c>
      <c r="C76">
        <v>150</v>
      </c>
      <c r="D76">
        <v>11</v>
      </c>
      <c r="E76">
        <v>209</v>
      </c>
      <c r="F76">
        <v>194</v>
      </c>
      <c r="G76">
        <v>112</v>
      </c>
      <c r="H76">
        <v>263.8</v>
      </c>
      <c r="I76" s="14">
        <v>380.35916776809785</v>
      </c>
      <c r="J76">
        <v>56</v>
      </c>
      <c r="K76">
        <v>49</v>
      </c>
      <c r="L76">
        <v>100</v>
      </c>
      <c r="M76">
        <v>75</v>
      </c>
      <c r="N76" s="120">
        <v>0</v>
      </c>
      <c r="O76" s="120">
        <v>8.3333333333333329E-2</v>
      </c>
      <c r="P76">
        <v>17</v>
      </c>
    </row>
    <row r="77" spans="1:16">
      <c r="A77" t="s">
        <v>109</v>
      </c>
      <c r="B77">
        <v>135</v>
      </c>
      <c r="C77">
        <v>20</v>
      </c>
      <c r="D77">
        <v>99</v>
      </c>
      <c r="E77">
        <v>203</v>
      </c>
      <c r="F77">
        <v>63</v>
      </c>
      <c r="G77">
        <v>114</v>
      </c>
      <c r="H77">
        <v>281.70000000000005</v>
      </c>
      <c r="I77" s="14">
        <v>387.19547384433963</v>
      </c>
      <c r="J77">
        <v>71</v>
      </c>
      <c r="K77">
        <v>60</v>
      </c>
      <c r="L77">
        <v>106</v>
      </c>
      <c r="M77">
        <v>76</v>
      </c>
      <c r="N77" s="120">
        <v>0</v>
      </c>
      <c r="O77" s="120">
        <v>2.8571428571428571E-2</v>
      </c>
      <c r="P77">
        <v>43</v>
      </c>
    </row>
    <row r="78" spans="1:16">
      <c r="A78" t="s">
        <v>142</v>
      </c>
      <c r="B78">
        <v>159</v>
      </c>
      <c r="C78">
        <v>198</v>
      </c>
      <c r="D78">
        <v>143</v>
      </c>
      <c r="E78">
        <v>36</v>
      </c>
      <c r="F78">
        <v>18</v>
      </c>
      <c r="G78">
        <v>89</v>
      </c>
      <c r="H78">
        <v>365.90000000000003</v>
      </c>
      <c r="I78" s="14">
        <v>387.51600306628853</v>
      </c>
      <c r="J78">
        <v>158</v>
      </c>
      <c r="K78">
        <v>101</v>
      </c>
      <c r="L78">
        <v>107</v>
      </c>
      <c r="M78">
        <v>77</v>
      </c>
      <c r="N78" s="120">
        <v>0</v>
      </c>
      <c r="O78" s="120">
        <v>2.8571428571428571E-2</v>
      </c>
      <c r="P78">
        <v>64</v>
      </c>
    </row>
    <row r="79" spans="1:16">
      <c r="A79" t="s">
        <v>170</v>
      </c>
      <c r="B79">
        <v>150</v>
      </c>
      <c r="C79">
        <v>17</v>
      </c>
      <c r="D79">
        <v>174</v>
      </c>
      <c r="E79">
        <v>144</v>
      </c>
      <c r="F79">
        <v>15</v>
      </c>
      <c r="G79">
        <v>106</v>
      </c>
      <c r="H79">
        <v>302.7</v>
      </c>
      <c r="I79" s="14">
        <v>387.57155707213315</v>
      </c>
      <c r="J79">
        <v>98</v>
      </c>
      <c r="K79">
        <v>78</v>
      </c>
      <c r="L79">
        <v>108</v>
      </c>
      <c r="M79">
        <v>78</v>
      </c>
      <c r="N79" s="120">
        <v>0</v>
      </c>
      <c r="O79" s="120">
        <v>0</v>
      </c>
      <c r="P79">
        <v>60</v>
      </c>
    </row>
    <row r="80" spans="1:16">
      <c r="A80" t="s">
        <v>23</v>
      </c>
      <c r="B80">
        <v>27</v>
      </c>
      <c r="C80">
        <v>174</v>
      </c>
      <c r="D80">
        <v>50</v>
      </c>
      <c r="E80">
        <v>109</v>
      </c>
      <c r="F80">
        <v>212</v>
      </c>
      <c r="G80">
        <v>113</v>
      </c>
      <c r="H80">
        <v>299.7</v>
      </c>
      <c r="I80" s="14">
        <v>389.78222542635689</v>
      </c>
      <c r="J80">
        <v>93</v>
      </c>
      <c r="K80">
        <v>74</v>
      </c>
      <c r="L80">
        <v>109</v>
      </c>
      <c r="M80">
        <v>79</v>
      </c>
      <c r="N80" s="120">
        <v>0</v>
      </c>
      <c r="O80" s="120">
        <v>0</v>
      </c>
      <c r="P80">
        <v>22</v>
      </c>
    </row>
    <row r="81" spans="1:16">
      <c r="A81" t="s">
        <v>33</v>
      </c>
      <c r="B81">
        <v>22</v>
      </c>
      <c r="C81">
        <v>158</v>
      </c>
      <c r="D81">
        <v>150</v>
      </c>
      <c r="E81">
        <v>165</v>
      </c>
      <c r="F81">
        <v>66</v>
      </c>
      <c r="G81">
        <v>97</v>
      </c>
      <c r="H81">
        <v>299.89999999999998</v>
      </c>
      <c r="I81" s="14">
        <v>393.42867208217103</v>
      </c>
      <c r="J81">
        <v>94</v>
      </c>
      <c r="K81">
        <v>75</v>
      </c>
      <c r="L81">
        <v>110</v>
      </c>
      <c r="M81">
        <v>80</v>
      </c>
      <c r="N81" s="120">
        <v>0</v>
      </c>
      <c r="O81" s="120">
        <v>3.125E-2</v>
      </c>
      <c r="P81">
        <v>27</v>
      </c>
    </row>
    <row r="82" spans="1:16">
      <c r="A82" t="s">
        <v>163</v>
      </c>
      <c r="B82">
        <v>164</v>
      </c>
      <c r="C82">
        <v>23</v>
      </c>
      <c r="D82">
        <v>74</v>
      </c>
      <c r="E82">
        <v>27</v>
      </c>
      <c r="F82">
        <v>209</v>
      </c>
      <c r="G82">
        <v>139</v>
      </c>
      <c r="H82">
        <v>309.39999999999998</v>
      </c>
      <c r="I82" s="14">
        <v>393.63840009795683</v>
      </c>
      <c r="J82">
        <v>103</v>
      </c>
      <c r="K82">
        <v>81</v>
      </c>
      <c r="L82">
        <v>111</v>
      </c>
      <c r="M82">
        <v>81</v>
      </c>
      <c r="N82" s="120">
        <v>0</v>
      </c>
      <c r="O82" s="120">
        <v>5.7142857142857141E-2</v>
      </c>
      <c r="P82">
        <v>-8</v>
      </c>
    </row>
    <row r="83" spans="1:16">
      <c r="A83" t="s">
        <v>28</v>
      </c>
      <c r="B83">
        <v>19</v>
      </c>
      <c r="C83">
        <v>105</v>
      </c>
      <c r="D83">
        <v>90</v>
      </c>
      <c r="E83">
        <v>159</v>
      </c>
      <c r="F83">
        <v>178</v>
      </c>
      <c r="G83">
        <v>117</v>
      </c>
      <c r="H83">
        <v>277.89999999999998</v>
      </c>
      <c r="I83" s="14">
        <v>393.7290363568294</v>
      </c>
      <c r="J83">
        <v>66</v>
      </c>
      <c r="K83">
        <v>56</v>
      </c>
      <c r="L83">
        <v>112</v>
      </c>
      <c r="M83">
        <v>82</v>
      </c>
      <c r="N83" s="120">
        <v>0</v>
      </c>
      <c r="O83" s="120">
        <v>6.6666666666666666E-2</v>
      </c>
      <c r="P83">
        <v>-41</v>
      </c>
    </row>
    <row r="84" spans="1:16">
      <c r="A84" t="s">
        <v>87</v>
      </c>
      <c r="B84">
        <v>67</v>
      </c>
      <c r="C84">
        <v>110</v>
      </c>
      <c r="D84">
        <v>83</v>
      </c>
      <c r="E84">
        <v>139</v>
      </c>
      <c r="F84">
        <v>140</v>
      </c>
      <c r="G84">
        <v>128</v>
      </c>
      <c r="H84">
        <v>289.39999999999998</v>
      </c>
      <c r="I84" s="14">
        <v>400.58380604747316</v>
      </c>
      <c r="J84">
        <v>83</v>
      </c>
      <c r="K84">
        <v>69</v>
      </c>
      <c r="L84">
        <v>116</v>
      </c>
      <c r="M84">
        <v>83</v>
      </c>
      <c r="N84" s="120">
        <v>0</v>
      </c>
      <c r="O84" s="120">
        <v>0</v>
      </c>
      <c r="P84">
        <v>-5</v>
      </c>
    </row>
    <row r="85" spans="1:16">
      <c r="A85" t="s">
        <v>32</v>
      </c>
      <c r="B85">
        <v>72</v>
      </c>
      <c r="C85">
        <v>167</v>
      </c>
      <c r="D85">
        <v>90</v>
      </c>
      <c r="E85">
        <v>154</v>
      </c>
      <c r="F85">
        <v>114</v>
      </c>
      <c r="G85">
        <v>107</v>
      </c>
      <c r="H85">
        <v>324</v>
      </c>
      <c r="I85" s="14">
        <v>408.7787177428566</v>
      </c>
      <c r="J85">
        <v>121</v>
      </c>
      <c r="K85">
        <v>87</v>
      </c>
      <c r="L85">
        <v>118</v>
      </c>
      <c r="M85">
        <v>84</v>
      </c>
      <c r="N85" s="120">
        <v>0</v>
      </c>
      <c r="O85" s="120">
        <v>3.0303030303030304E-2</v>
      </c>
      <c r="P85">
        <v>5</v>
      </c>
    </row>
    <row r="86" spans="1:16">
      <c r="A86" t="s">
        <v>89</v>
      </c>
      <c r="B86">
        <v>107</v>
      </c>
      <c r="C86">
        <v>160</v>
      </c>
      <c r="D86">
        <v>134</v>
      </c>
      <c r="E86">
        <v>67</v>
      </c>
      <c r="F86">
        <v>119</v>
      </c>
      <c r="G86">
        <v>101</v>
      </c>
      <c r="H86">
        <v>355.00000000000006</v>
      </c>
      <c r="I86" s="14">
        <v>408.98659909242764</v>
      </c>
      <c r="J86">
        <v>150</v>
      </c>
      <c r="K86">
        <v>96</v>
      </c>
      <c r="L86">
        <v>119</v>
      </c>
      <c r="M86">
        <v>85</v>
      </c>
      <c r="N86" s="120">
        <v>0</v>
      </c>
      <c r="O86" s="120">
        <v>0</v>
      </c>
      <c r="P86">
        <v>17</v>
      </c>
    </row>
    <row r="87" spans="1:16">
      <c r="A87" t="s">
        <v>67</v>
      </c>
      <c r="B87">
        <v>61</v>
      </c>
      <c r="C87">
        <v>194</v>
      </c>
      <c r="D87">
        <v>195</v>
      </c>
      <c r="E87">
        <v>115</v>
      </c>
      <c r="F87">
        <v>28</v>
      </c>
      <c r="G87">
        <v>92</v>
      </c>
      <c r="H87">
        <v>350.2</v>
      </c>
      <c r="I87" s="14">
        <v>415.49259102427669</v>
      </c>
      <c r="J87">
        <v>144</v>
      </c>
      <c r="K87">
        <v>94</v>
      </c>
      <c r="L87">
        <v>120</v>
      </c>
      <c r="M87">
        <v>86</v>
      </c>
      <c r="N87" s="120">
        <v>0</v>
      </c>
      <c r="O87" s="120">
        <v>0</v>
      </c>
      <c r="P87">
        <v>-66</v>
      </c>
    </row>
    <row r="88" spans="1:16">
      <c r="A88" t="s">
        <v>16</v>
      </c>
      <c r="B88">
        <v>24</v>
      </c>
      <c r="C88">
        <v>214</v>
      </c>
      <c r="D88">
        <v>84</v>
      </c>
      <c r="E88">
        <v>145</v>
      </c>
      <c r="F88">
        <v>154</v>
      </c>
      <c r="G88">
        <v>120</v>
      </c>
      <c r="H88">
        <v>326.90000000000003</v>
      </c>
      <c r="I88" s="14">
        <v>428.09827396674729</v>
      </c>
      <c r="J88">
        <v>124</v>
      </c>
      <c r="K88">
        <v>88</v>
      </c>
      <c r="L88">
        <v>124</v>
      </c>
      <c r="M88">
        <v>87</v>
      </c>
      <c r="N88" s="120">
        <v>0</v>
      </c>
      <c r="O88" s="120">
        <v>0</v>
      </c>
      <c r="P88">
        <v>-9</v>
      </c>
    </row>
    <row r="89" spans="1:16">
      <c r="A89" t="s">
        <v>55</v>
      </c>
      <c r="B89">
        <v>111</v>
      </c>
      <c r="C89">
        <v>132</v>
      </c>
      <c r="D89">
        <v>24</v>
      </c>
      <c r="E89">
        <v>174</v>
      </c>
      <c r="F89">
        <v>173</v>
      </c>
      <c r="G89">
        <v>132</v>
      </c>
      <c r="H89">
        <v>323.5</v>
      </c>
      <c r="I89" s="14">
        <v>428.63343750969079</v>
      </c>
      <c r="J89">
        <v>120</v>
      </c>
      <c r="K89">
        <v>86</v>
      </c>
      <c r="L89">
        <v>126</v>
      </c>
      <c r="M89">
        <v>88</v>
      </c>
      <c r="N89" s="120">
        <v>0</v>
      </c>
      <c r="O89" s="120">
        <v>0</v>
      </c>
      <c r="P89">
        <v>-4</v>
      </c>
    </row>
    <row r="90" spans="1:16">
      <c r="A90" t="s">
        <v>29</v>
      </c>
      <c r="B90">
        <v>14</v>
      </c>
      <c r="C90">
        <v>163</v>
      </c>
      <c r="D90">
        <v>100</v>
      </c>
      <c r="E90">
        <v>150</v>
      </c>
      <c r="F90">
        <v>190</v>
      </c>
      <c r="G90">
        <v>125</v>
      </c>
      <c r="H90">
        <v>319</v>
      </c>
      <c r="I90" s="14">
        <v>433.97439240232222</v>
      </c>
      <c r="J90">
        <v>112</v>
      </c>
      <c r="K90">
        <v>83</v>
      </c>
      <c r="L90">
        <v>130</v>
      </c>
      <c r="M90">
        <v>89</v>
      </c>
      <c r="N90" s="120">
        <v>0</v>
      </c>
      <c r="O90" s="120">
        <v>0</v>
      </c>
      <c r="P90">
        <v>-59</v>
      </c>
    </row>
    <row r="91" spans="1:16">
      <c r="A91" t="s">
        <v>107</v>
      </c>
      <c r="B91">
        <v>109</v>
      </c>
      <c r="C91">
        <v>176</v>
      </c>
      <c r="D91">
        <v>174</v>
      </c>
      <c r="E91">
        <v>29</v>
      </c>
      <c r="F91">
        <v>86</v>
      </c>
      <c r="G91">
        <v>127</v>
      </c>
      <c r="H91">
        <v>366.3</v>
      </c>
      <c r="I91" s="14">
        <v>438.00367260781888</v>
      </c>
      <c r="J91">
        <v>160</v>
      </c>
      <c r="K91">
        <v>102</v>
      </c>
      <c r="L91">
        <v>132</v>
      </c>
      <c r="M91">
        <v>90</v>
      </c>
      <c r="N91" s="120">
        <v>0</v>
      </c>
      <c r="O91" s="120">
        <v>2.8571428571428571E-2</v>
      </c>
      <c r="P91">
        <v>-18</v>
      </c>
    </row>
    <row r="92" spans="1:16">
      <c r="A92" t="s">
        <v>50</v>
      </c>
      <c r="B92">
        <v>71</v>
      </c>
      <c r="C92">
        <v>165</v>
      </c>
      <c r="D92">
        <v>75</v>
      </c>
      <c r="E92">
        <v>113</v>
      </c>
      <c r="F92">
        <v>193</v>
      </c>
      <c r="G92">
        <v>143</v>
      </c>
      <c r="H92">
        <v>338.70000000000005</v>
      </c>
      <c r="I92" s="14">
        <v>449.16017645083076</v>
      </c>
      <c r="J92">
        <v>132</v>
      </c>
      <c r="K92">
        <v>89</v>
      </c>
      <c r="L92">
        <v>135</v>
      </c>
      <c r="M92">
        <v>91</v>
      </c>
      <c r="N92" s="120">
        <v>0</v>
      </c>
      <c r="O92" s="120">
        <v>0</v>
      </c>
      <c r="P92">
        <v>32</v>
      </c>
    </row>
    <row r="93" spans="1:16">
      <c r="A93" t="s">
        <v>238</v>
      </c>
      <c r="B93">
        <v>207</v>
      </c>
      <c r="C93">
        <v>145</v>
      </c>
      <c r="D93">
        <v>20</v>
      </c>
      <c r="E93">
        <v>162</v>
      </c>
      <c r="F93">
        <v>130</v>
      </c>
      <c r="G93">
        <v>126</v>
      </c>
      <c r="H93">
        <v>380.20000000000005</v>
      </c>
      <c r="I93" s="14">
        <v>450.87724670904515</v>
      </c>
      <c r="J93">
        <v>167</v>
      </c>
      <c r="K93">
        <v>103</v>
      </c>
      <c r="L93">
        <v>137</v>
      </c>
      <c r="M93">
        <v>92</v>
      </c>
      <c r="N93" s="120">
        <v>0</v>
      </c>
      <c r="O93" s="120">
        <v>0</v>
      </c>
      <c r="P93" t="e">
        <v>#N/A</v>
      </c>
    </row>
    <row r="94" spans="1:16">
      <c r="A94" t="s">
        <v>165</v>
      </c>
      <c r="B94">
        <v>176</v>
      </c>
      <c r="C94">
        <v>33</v>
      </c>
      <c r="D94">
        <v>185</v>
      </c>
      <c r="E94">
        <v>4</v>
      </c>
      <c r="F94">
        <v>139</v>
      </c>
      <c r="G94">
        <v>154</v>
      </c>
      <c r="H94">
        <v>360.8</v>
      </c>
      <c r="I94" s="14">
        <v>453.49224609210376</v>
      </c>
      <c r="J94">
        <v>153</v>
      </c>
      <c r="K94">
        <v>98</v>
      </c>
      <c r="L94">
        <v>138</v>
      </c>
      <c r="M94">
        <v>93</v>
      </c>
      <c r="N94" s="120">
        <v>0</v>
      </c>
      <c r="O94" s="120">
        <v>0</v>
      </c>
      <c r="P94">
        <v>-8</v>
      </c>
    </row>
    <row r="95" spans="1:16">
      <c r="A95" t="s">
        <v>166</v>
      </c>
      <c r="B95">
        <v>178</v>
      </c>
      <c r="C95">
        <v>1</v>
      </c>
      <c r="D95">
        <v>103</v>
      </c>
      <c r="E95">
        <v>89</v>
      </c>
      <c r="F95">
        <v>197</v>
      </c>
      <c r="G95">
        <v>158</v>
      </c>
      <c r="H95">
        <v>340.29999999999995</v>
      </c>
      <c r="I95" s="14">
        <v>453.88383606245867</v>
      </c>
      <c r="J95">
        <v>134</v>
      </c>
      <c r="K95">
        <v>90</v>
      </c>
      <c r="L95">
        <v>139</v>
      </c>
      <c r="M95">
        <v>94</v>
      </c>
      <c r="N95" s="120">
        <v>0.04</v>
      </c>
      <c r="O95" s="120">
        <v>0.04</v>
      </c>
      <c r="P95">
        <v>-11</v>
      </c>
    </row>
    <row r="96" spans="1:16">
      <c r="A96" t="s">
        <v>123</v>
      </c>
      <c r="B96">
        <v>130</v>
      </c>
      <c r="C96">
        <v>76</v>
      </c>
      <c r="D96">
        <v>160</v>
      </c>
      <c r="E96">
        <v>125</v>
      </c>
      <c r="F96">
        <v>104</v>
      </c>
      <c r="G96">
        <v>134</v>
      </c>
      <c r="H96">
        <v>351.1</v>
      </c>
      <c r="I96" s="14">
        <v>453.92877146734662</v>
      </c>
      <c r="J96">
        <v>145</v>
      </c>
      <c r="K96">
        <v>95</v>
      </c>
      <c r="L96">
        <v>140</v>
      </c>
      <c r="M96">
        <v>95</v>
      </c>
      <c r="N96" s="120">
        <v>0</v>
      </c>
      <c r="O96" s="120">
        <v>0</v>
      </c>
      <c r="P96">
        <v>-24</v>
      </c>
    </row>
    <row r="97" spans="1:16">
      <c r="A97" t="s">
        <v>145</v>
      </c>
      <c r="B97">
        <v>161</v>
      </c>
      <c r="C97">
        <v>18</v>
      </c>
      <c r="D97">
        <v>64</v>
      </c>
      <c r="E97">
        <v>180</v>
      </c>
      <c r="F97">
        <v>170</v>
      </c>
      <c r="G97">
        <v>157</v>
      </c>
      <c r="H97">
        <v>323.40000000000003</v>
      </c>
      <c r="I97" s="14">
        <v>456.11289867557855</v>
      </c>
      <c r="J97">
        <v>119</v>
      </c>
      <c r="K97">
        <v>85</v>
      </c>
      <c r="L97">
        <v>141</v>
      </c>
      <c r="M97">
        <v>96</v>
      </c>
      <c r="N97" s="120">
        <v>0</v>
      </c>
      <c r="O97" s="120">
        <v>0</v>
      </c>
      <c r="P97">
        <v>4</v>
      </c>
    </row>
    <row r="98" spans="1:16">
      <c r="A98" t="s">
        <v>102</v>
      </c>
      <c r="B98">
        <v>98</v>
      </c>
      <c r="C98">
        <v>41</v>
      </c>
      <c r="D98">
        <v>53</v>
      </c>
      <c r="E98">
        <v>181</v>
      </c>
      <c r="F98">
        <v>198</v>
      </c>
      <c r="G98">
        <v>175</v>
      </c>
      <c r="H98">
        <v>293.39999999999998</v>
      </c>
      <c r="I98" s="14">
        <v>457.3904419554375</v>
      </c>
      <c r="J98">
        <v>87</v>
      </c>
      <c r="K98">
        <v>72</v>
      </c>
      <c r="L98">
        <v>142</v>
      </c>
      <c r="M98">
        <v>97</v>
      </c>
      <c r="N98" s="120">
        <v>0</v>
      </c>
      <c r="O98" s="120">
        <v>0</v>
      </c>
      <c r="P98">
        <v>13</v>
      </c>
    </row>
    <row r="99" spans="1:16">
      <c r="A99" t="s">
        <v>90</v>
      </c>
      <c r="B99">
        <v>77</v>
      </c>
      <c r="C99">
        <v>93</v>
      </c>
      <c r="D99">
        <v>96</v>
      </c>
      <c r="E99">
        <v>179</v>
      </c>
      <c r="F99">
        <v>163</v>
      </c>
      <c r="G99">
        <v>150</v>
      </c>
      <c r="H99">
        <v>319.79999999999995</v>
      </c>
      <c r="I99" s="14">
        <v>458.35667186088642</v>
      </c>
      <c r="J99">
        <v>113</v>
      </c>
      <c r="K99">
        <v>84</v>
      </c>
      <c r="L99">
        <v>143</v>
      </c>
      <c r="M99">
        <v>98</v>
      </c>
      <c r="N99" s="120">
        <v>0</v>
      </c>
      <c r="O99" s="120">
        <v>6.0606060606060608E-2</v>
      </c>
      <c r="P99">
        <v>-44</v>
      </c>
    </row>
    <row r="100" spans="1:16">
      <c r="A100" t="s">
        <v>19</v>
      </c>
      <c r="B100">
        <v>45</v>
      </c>
      <c r="C100">
        <v>200</v>
      </c>
      <c r="D100">
        <v>132</v>
      </c>
      <c r="E100">
        <v>94</v>
      </c>
      <c r="F100">
        <v>173</v>
      </c>
      <c r="G100">
        <v>137</v>
      </c>
      <c r="H100">
        <v>363.09999999999997</v>
      </c>
      <c r="I100" s="14">
        <v>466.98965194121257</v>
      </c>
      <c r="J100">
        <v>154</v>
      </c>
      <c r="K100">
        <v>99</v>
      </c>
      <c r="L100">
        <v>151</v>
      </c>
      <c r="M100">
        <v>99</v>
      </c>
      <c r="N100" s="120">
        <v>0</v>
      </c>
      <c r="O100" s="120">
        <v>0</v>
      </c>
      <c r="P100">
        <v>-44</v>
      </c>
    </row>
    <row r="101" spans="1:16">
      <c r="A101" t="s">
        <v>21</v>
      </c>
      <c r="B101">
        <v>32</v>
      </c>
      <c r="C101">
        <v>203</v>
      </c>
      <c r="D101">
        <v>114</v>
      </c>
      <c r="E101">
        <v>193</v>
      </c>
      <c r="F101">
        <v>117</v>
      </c>
      <c r="G101">
        <v>144</v>
      </c>
      <c r="H101">
        <v>343.59999999999997</v>
      </c>
      <c r="I101" s="14">
        <v>478.02045789753805</v>
      </c>
      <c r="J101">
        <v>136</v>
      </c>
      <c r="K101">
        <v>92</v>
      </c>
      <c r="L101">
        <v>156</v>
      </c>
      <c r="M101">
        <v>100</v>
      </c>
      <c r="N101" s="120">
        <v>0</v>
      </c>
      <c r="O101" s="120">
        <v>2.8571428571428571E-2</v>
      </c>
      <c r="P101">
        <v>-102</v>
      </c>
    </row>
    <row r="102" spans="1:16">
      <c r="A102" t="s">
        <v>24</v>
      </c>
      <c r="B102">
        <v>20</v>
      </c>
      <c r="C102">
        <v>216</v>
      </c>
      <c r="D102">
        <v>110</v>
      </c>
      <c r="E102">
        <v>158</v>
      </c>
      <c r="F102">
        <v>145</v>
      </c>
      <c r="G102">
        <v>155</v>
      </c>
      <c r="H102">
        <v>342.5</v>
      </c>
      <c r="I102" s="14">
        <v>481.9898413575479</v>
      </c>
      <c r="J102">
        <v>135</v>
      </c>
      <c r="K102">
        <v>91</v>
      </c>
      <c r="L102">
        <v>158</v>
      </c>
      <c r="M102">
        <v>101</v>
      </c>
      <c r="N102" s="120">
        <v>0</v>
      </c>
      <c r="O102" s="120">
        <v>3.7037037037037035E-2</v>
      </c>
      <c r="P102">
        <v>-10</v>
      </c>
    </row>
    <row r="103" spans="1:16">
      <c r="A103" t="s">
        <v>91</v>
      </c>
      <c r="B103">
        <v>58</v>
      </c>
      <c r="C103">
        <v>142</v>
      </c>
      <c r="D103">
        <v>149</v>
      </c>
      <c r="E103">
        <v>70</v>
      </c>
      <c r="F103">
        <v>184</v>
      </c>
      <c r="G103">
        <v>168</v>
      </c>
      <c r="H103">
        <v>348.90000000000003</v>
      </c>
      <c r="I103" s="14">
        <v>483.21930616350733</v>
      </c>
      <c r="J103">
        <v>141</v>
      </c>
      <c r="K103">
        <v>93</v>
      </c>
      <c r="L103">
        <v>159</v>
      </c>
      <c r="M103">
        <v>102</v>
      </c>
      <c r="N103" s="120">
        <v>0</v>
      </c>
      <c r="O103" s="120">
        <v>3.0303030303030304E-2</v>
      </c>
      <c r="P103">
        <v>-6</v>
      </c>
    </row>
    <row r="104" spans="1:16">
      <c r="A104" t="s">
        <v>320</v>
      </c>
      <c r="B104">
        <v>161</v>
      </c>
      <c r="C104">
        <v>106</v>
      </c>
      <c r="D104">
        <v>158</v>
      </c>
      <c r="E104">
        <v>168</v>
      </c>
      <c r="F104">
        <v>55</v>
      </c>
      <c r="G104">
        <v>149</v>
      </c>
      <c r="H104">
        <v>380.9</v>
      </c>
      <c r="I104" s="14">
        <v>495.95142533801402</v>
      </c>
      <c r="J104">
        <v>168</v>
      </c>
      <c r="K104">
        <v>104</v>
      </c>
      <c r="L104">
        <v>162</v>
      </c>
      <c r="M104">
        <v>103</v>
      </c>
      <c r="N104" s="120" t="e">
        <v>#N/A</v>
      </c>
      <c r="O104" s="120" t="e">
        <v>#N/A</v>
      </c>
      <c r="P104">
        <v>0</v>
      </c>
    </row>
    <row r="105" spans="1:16">
      <c r="A105" t="s">
        <v>156</v>
      </c>
      <c r="B105">
        <v>176</v>
      </c>
      <c r="C105">
        <v>44</v>
      </c>
      <c r="D105">
        <v>82</v>
      </c>
      <c r="E105">
        <v>163</v>
      </c>
      <c r="F105">
        <v>181</v>
      </c>
      <c r="G105">
        <v>171</v>
      </c>
      <c r="H105">
        <v>364</v>
      </c>
      <c r="I105" s="14">
        <v>499.25929190326281</v>
      </c>
      <c r="J105">
        <v>155</v>
      </c>
      <c r="K105">
        <v>100</v>
      </c>
      <c r="L105">
        <v>163</v>
      </c>
      <c r="M105">
        <v>104</v>
      </c>
      <c r="N105" s="120">
        <v>0</v>
      </c>
      <c r="O105" s="120">
        <v>2.9411764705882353E-2</v>
      </c>
      <c r="P105">
        <v>-1</v>
      </c>
    </row>
    <row r="106" spans="1:16">
      <c r="A106" t="s">
        <v>242</v>
      </c>
      <c r="B106">
        <v>206</v>
      </c>
      <c r="C106">
        <v>70</v>
      </c>
      <c r="D106">
        <v>159</v>
      </c>
      <c r="E106">
        <v>155</v>
      </c>
      <c r="F106">
        <v>65</v>
      </c>
      <c r="G106">
        <v>169</v>
      </c>
      <c r="H106">
        <v>397.1</v>
      </c>
      <c r="I106" s="14">
        <v>521.82157360672886</v>
      </c>
      <c r="J106">
        <v>181</v>
      </c>
      <c r="K106">
        <v>105</v>
      </c>
      <c r="L106">
        <v>169</v>
      </c>
      <c r="M106">
        <v>105</v>
      </c>
      <c r="N106" s="120">
        <v>0</v>
      </c>
      <c r="O106" s="120">
        <v>0</v>
      </c>
      <c r="P106">
        <v>4</v>
      </c>
    </row>
    <row r="107" spans="1:16">
      <c r="A107" t="s">
        <v>37</v>
      </c>
      <c r="B107">
        <v>48</v>
      </c>
      <c r="C107">
        <v>212</v>
      </c>
      <c r="D107">
        <v>189</v>
      </c>
      <c r="E107">
        <v>208</v>
      </c>
      <c r="F107">
        <v>79</v>
      </c>
      <c r="G107">
        <v>192</v>
      </c>
      <c r="H107">
        <v>399.79999999999995</v>
      </c>
      <c r="I107" s="14">
        <v>580.23480345508551</v>
      </c>
      <c r="J107">
        <v>182</v>
      </c>
      <c r="K107">
        <v>106</v>
      </c>
      <c r="L107">
        <v>192</v>
      </c>
      <c r="M107">
        <v>106</v>
      </c>
      <c r="N107" s="120">
        <v>0</v>
      </c>
      <c r="O107" s="120">
        <v>0</v>
      </c>
      <c r="P107">
        <v>-10</v>
      </c>
    </row>
    <row r="108" spans="1:16">
      <c r="A108" t="s">
        <v>239</v>
      </c>
      <c r="B108">
        <v>183</v>
      </c>
      <c r="C108">
        <v>69</v>
      </c>
      <c r="D108">
        <v>177</v>
      </c>
      <c r="E108">
        <v>146</v>
      </c>
      <c r="F108">
        <v>207</v>
      </c>
      <c r="G108">
        <v>193</v>
      </c>
      <c r="H108">
        <v>459</v>
      </c>
      <c r="I108" s="14">
        <v>605.64732846719676</v>
      </c>
      <c r="J108">
        <v>203</v>
      </c>
      <c r="K108">
        <v>108</v>
      </c>
      <c r="L108">
        <v>201</v>
      </c>
      <c r="M108">
        <v>107</v>
      </c>
      <c r="N108" s="120">
        <v>0</v>
      </c>
      <c r="O108" s="120">
        <v>0</v>
      </c>
      <c r="P108">
        <v>-137</v>
      </c>
    </row>
    <row r="109" spans="1:16">
      <c r="A109" t="s">
        <v>177</v>
      </c>
      <c r="B109">
        <v>187</v>
      </c>
      <c r="C109">
        <v>16</v>
      </c>
      <c r="D109">
        <v>173</v>
      </c>
      <c r="E109">
        <v>186</v>
      </c>
      <c r="F109">
        <v>203</v>
      </c>
      <c r="G109">
        <v>205</v>
      </c>
      <c r="H109">
        <v>437.59999999999997</v>
      </c>
      <c r="I109" s="14">
        <v>609.71105657327439</v>
      </c>
      <c r="J109">
        <v>196</v>
      </c>
      <c r="K109">
        <v>107</v>
      </c>
      <c r="L109">
        <v>202</v>
      </c>
      <c r="M109">
        <v>108</v>
      </c>
      <c r="N109" s="120">
        <v>0</v>
      </c>
      <c r="O109" s="120">
        <v>0</v>
      </c>
      <c r="P109">
        <v>0</v>
      </c>
    </row>
  </sheetData>
  <autoFilter ref="A1:S109" xr:uid="{FE4BF24C-8AB4-4AD9-B2BE-5159F7BEF651}">
    <sortState xmlns:xlrd2="http://schemas.microsoft.com/office/spreadsheetml/2017/richdata2" ref="A2:S109">
      <sortCondition ref="Q1:Q109"/>
    </sortState>
  </autoFilter>
  <conditionalFormatting sqref="N2:O1048576">
    <cfRule type="cellIs" dxfId="104" priority="5" operator="greaterThanOrEqual">
      <formula>20%</formula>
    </cfRule>
    <cfRule type="cellIs" dxfId="103" priority="6" operator="between">
      <formula>10%</formula>
      <formula>20%</formula>
    </cfRule>
    <cfRule type="cellIs" dxfId="102" priority="7" operator="between">
      <formula>0.01%</formula>
      <formula>10%</formula>
    </cfRule>
  </conditionalFormatting>
  <conditionalFormatting sqref="B1:F1 B2:G1048576 J1:M1048576">
    <cfRule type="cellIs" dxfId="101" priority="8" operator="between">
      <formula>101</formula>
      <formula>250</formula>
    </cfRule>
    <cfRule type="cellIs" dxfId="100" priority="9" operator="between">
      <formula>51</formula>
      <formula>100.5</formula>
    </cfRule>
    <cfRule type="cellIs" dxfId="99" priority="10" operator="between">
      <formula>21</formula>
      <formula>50.5</formula>
    </cfRule>
    <cfRule type="cellIs" dxfId="98"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82FE6-A965-4430-939B-7CEAF82A7AC5}">
  <sheetPr codeName="Sheet54">
    <tabColor rgb="FF92D050"/>
  </sheetPr>
  <dimension ref="A1:V140"/>
  <sheetViews>
    <sheetView topLeftCell="A12"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35</v>
      </c>
      <c r="B2">
        <v>23</v>
      </c>
      <c r="C2">
        <v>50</v>
      </c>
      <c r="D2">
        <v>12</v>
      </c>
      <c r="E2">
        <v>56</v>
      </c>
      <c r="F2">
        <v>100</v>
      </c>
      <c r="G2">
        <v>5</v>
      </c>
      <c r="H2">
        <v>117.3</v>
      </c>
      <c r="I2" s="14">
        <v>122.44258371612</v>
      </c>
      <c r="J2">
        <v>5</v>
      </c>
      <c r="K2">
        <v>5</v>
      </c>
      <c r="L2">
        <v>5</v>
      </c>
      <c r="M2">
        <v>5</v>
      </c>
      <c r="N2" s="120">
        <v>4.3478260869565216E-2</v>
      </c>
      <c r="O2" s="120">
        <v>0.21739130434782608</v>
      </c>
      <c r="P2">
        <v>22</v>
      </c>
      <c r="Q2">
        <v>1</v>
      </c>
    </row>
    <row r="3" spans="1:22">
      <c r="A3" t="s">
        <v>15</v>
      </c>
      <c r="B3">
        <v>8</v>
      </c>
      <c r="C3">
        <v>119</v>
      </c>
      <c r="D3">
        <v>5</v>
      </c>
      <c r="E3">
        <v>22</v>
      </c>
      <c r="F3">
        <v>7</v>
      </c>
      <c r="G3">
        <v>1</v>
      </c>
      <c r="H3">
        <v>102.39999999999999</v>
      </c>
      <c r="I3" s="14">
        <v>77.747112475154395</v>
      </c>
      <c r="J3">
        <v>3</v>
      </c>
      <c r="K3">
        <v>3</v>
      </c>
      <c r="L3">
        <v>1</v>
      </c>
      <c r="M3">
        <v>1</v>
      </c>
      <c r="N3" s="120">
        <v>0.15</v>
      </c>
      <c r="O3" s="120">
        <v>0.3</v>
      </c>
      <c r="P3">
        <v>3</v>
      </c>
    </row>
    <row r="4" spans="1:22">
      <c r="A4" t="s">
        <v>66</v>
      </c>
      <c r="B4">
        <v>59</v>
      </c>
      <c r="C4">
        <v>57</v>
      </c>
      <c r="D4">
        <v>6</v>
      </c>
      <c r="E4">
        <v>45</v>
      </c>
      <c r="F4">
        <v>8</v>
      </c>
      <c r="G4">
        <v>2</v>
      </c>
      <c r="H4">
        <v>94.800000000000011</v>
      </c>
      <c r="I4" s="14">
        <v>90.408782026837883</v>
      </c>
      <c r="J4">
        <v>2</v>
      </c>
      <c r="K4">
        <v>2</v>
      </c>
      <c r="L4">
        <v>2</v>
      </c>
      <c r="M4">
        <v>2</v>
      </c>
      <c r="N4" s="120">
        <v>0.08</v>
      </c>
      <c r="O4" s="120">
        <v>0.16</v>
      </c>
      <c r="P4">
        <v>3</v>
      </c>
    </row>
    <row r="5" spans="1:22">
      <c r="A5" t="s">
        <v>68</v>
      </c>
      <c r="B5">
        <v>57</v>
      </c>
      <c r="C5">
        <v>29</v>
      </c>
      <c r="D5">
        <v>25</v>
      </c>
      <c r="E5">
        <v>57</v>
      </c>
      <c r="F5">
        <v>14</v>
      </c>
      <c r="G5">
        <v>6</v>
      </c>
      <c r="H5">
        <v>94.699999999999989</v>
      </c>
      <c r="I5" s="14">
        <v>102.46213733502867</v>
      </c>
      <c r="J5">
        <v>1</v>
      </c>
      <c r="K5">
        <v>1</v>
      </c>
      <c r="L5">
        <v>3</v>
      </c>
      <c r="M5">
        <v>3</v>
      </c>
      <c r="N5" s="120">
        <v>0</v>
      </c>
      <c r="O5" s="120">
        <v>0.20833333333333334</v>
      </c>
      <c r="P5">
        <v>5</v>
      </c>
    </row>
    <row r="6" spans="1:22">
      <c r="A6" t="s">
        <v>40</v>
      </c>
      <c r="B6">
        <v>20</v>
      </c>
      <c r="C6">
        <v>47</v>
      </c>
      <c r="D6">
        <v>62</v>
      </c>
      <c r="E6">
        <v>39</v>
      </c>
      <c r="F6">
        <v>39</v>
      </c>
      <c r="G6">
        <v>7</v>
      </c>
      <c r="H6">
        <v>117.5</v>
      </c>
      <c r="I6" s="14">
        <v>120.31062399329306</v>
      </c>
      <c r="J6">
        <v>6</v>
      </c>
      <c r="K6">
        <v>6</v>
      </c>
      <c r="L6">
        <v>4</v>
      </c>
      <c r="M6">
        <v>4</v>
      </c>
      <c r="N6" s="120">
        <v>0</v>
      </c>
      <c r="O6" s="120">
        <v>0.14285714285714285</v>
      </c>
      <c r="P6">
        <v>9</v>
      </c>
    </row>
    <row r="7" spans="1:22">
      <c r="A7" t="s">
        <v>51</v>
      </c>
      <c r="B7">
        <v>30</v>
      </c>
      <c r="C7">
        <v>16</v>
      </c>
      <c r="D7">
        <v>28</v>
      </c>
      <c r="E7">
        <v>136</v>
      </c>
      <c r="F7">
        <v>40</v>
      </c>
      <c r="G7">
        <v>8</v>
      </c>
      <c r="H7">
        <v>116.2</v>
      </c>
      <c r="I7" s="14">
        <v>136.68044879617827</v>
      </c>
      <c r="J7">
        <v>4</v>
      </c>
      <c r="K7">
        <v>4</v>
      </c>
      <c r="L7">
        <v>6</v>
      </c>
      <c r="M7">
        <v>6</v>
      </c>
      <c r="N7" s="120">
        <v>0</v>
      </c>
      <c r="O7" s="120">
        <v>9.5238095238095233E-2</v>
      </c>
      <c r="P7">
        <v>4</v>
      </c>
    </row>
    <row r="8" spans="1:22">
      <c r="A8" t="s">
        <v>69</v>
      </c>
      <c r="B8">
        <v>64</v>
      </c>
      <c r="C8">
        <v>98</v>
      </c>
      <c r="D8">
        <v>3</v>
      </c>
      <c r="E8">
        <v>78</v>
      </c>
      <c r="F8">
        <v>32</v>
      </c>
      <c r="G8">
        <v>3</v>
      </c>
      <c r="H8">
        <v>146.69999999999999</v>
      </c>
      <c r="I8" s="14">
        <v>138.15336395605823</v>
      </c>
      <c r="J8">
        <v>10</v>
      </c>
      <c r="K8">
        <v>10</v>
      </c>
      <c r="L8">
        <v>7</v>
      </c>
      <c r="M8">
        <v>7</v>
      </c>
      <c r="N8" s="120">
        <v>4.1666666666666664E-2</v>
      </c>
      <c r="O8" s="120">
        <v>0.125</v>
      </c>
      <c r="P8">
        <v>-1</v>
      </c>
    </row>
    <row r="9" spans="1:22">
      <c r="A9" t="s">
        <v>124</v>
      </c>
      <c r="B9">
        <v>125</v>
      </c>
      <c r="C9">
        <v>4</v>
      </c>
      <c r="D9">
        <v>13</v>
      </c>
      <c r="E9">
        <v>24</v>
      </c>
      <c r="F9">
        <v>105</v>
      </c>
      <c r="G9">
        <v>17</v>
      </c>
      <c r="H9">
        <v>126</v>
      </c>
      <c r="I9" s="14">
        <v>156.0138754009636</v>
      </c>
      <c r="J9">
        <v>7</v>
      </c>
      <c r="K9">
        <v>7</v>
      </c>
      <c r="L9">
        <v>8</v>
      </c>
      <c r="M9">
        <v>8</v>
      </c>
      <c r="N9" s="120">
        <v>3.7037037037037035E-2</v>
      </c>
      <c r="O9" s="120">
        <v>0.1111111111111111</v>
      </c>
      <c r="P9">
        <v>-7</v>
      </c>
    </row>
    <row r="10" spans="1:22">
      <c r="A10" t="s">
        <v>44</v>
      </c>
      <c r="B10">
        <v>39</v>
      </c>
      <c r="C10">
        <v>92</v>
      </c>
      <c r="D10">
        <v>9</v>
      </c>
      <c r="E10">
        <v>88</v>
      </c>
      <c r="F10">
        <v>63</v>
      </c>
      <c r="G10">
        <v>14</v>
      </c>
      <c r="H10">
        <v>150.6</v>
      </c>
      <c r="I10" s="14">
        <v>156.15376777522994</v>
      </c>
      <c r="J10">
        <v>11</v>
      </c>
      <c r="K10">
        <v>11</v>
      </c>
      <c r="L10">
        <v>9</v>
      </c>
      <c r="M10">
        <v>9</v>
      </c>
      <c r="N10" s="120">
        <v>0</v>
      </c>
      <c r="O10" s="120">
        <v>0.11538461538461539</v>
      </c>
      <c r="P10">
        <v>22</v>
      </c>
    </row>
    <row r="11" spans="1:22">
      <c r="A11" t="s">
        <v>132</v>
      </c>
      <c r="B11">
        <v>121</v>
      </c>
      <c r="C11">
        <v>74</v>
      </c>
      <c r="D11">
        <v>31</v>
      </c>
      <c r="E11">
        <v>36</v>
      </c>
      <c r="F11">
        <v>25</v>
      </c>
      <c r="G11">
        <v>12</v>
      </c>
      <c r="H11">
        <v>158.4</v>
      </c>
      <c r="I11" s="14">
        <v>162.97419822268918</v>
      </c>
      <c r="J11">
        <v>13</v>
      </c>
      <c r="K11">
        <v>13</v>
      </c>
      <c r="L11">
        <v>10</v>
      </c>
      <c r="M11">
        <v>10</v>
      </c>
      <c r="N11" s="120">
        <v>3.4482758620689655E-2</v>
      </c>
      <c r="O11" s="120">
        <v>0.10344827586206896</v>
      </c>
      <c r="P11">
        <v>19</v>
      </c>
    </row>
    <row r="12" spans="1:22">
      <c r="A12" t="s">
        <v>6</v>
      </c>
      <c r="B12">
        <v>1</v>
      </c>
      <c r="C12">
        <v>183</v>
      </c>
      <c r="D12">
        <v>7</v>
      </c>
      <c r="E12">
        <v>4</v>
      </c>
      <c r="F12">
        <v>151</v>
      </c>
      <c r="G12">
        <v>4</v>
      </c>
      <c r="H12">
        <v>195.5</v>
      </c>
      <c r="I12" s="14">
        <v>165.05667483564565</v>
      </c>
      <c r="J12">
        <v>25</v>
      </c>
      <c r="K12">
        <v>24</v>
      </c>
      <c r="L12">
        <v>11</v>
      </c>
      <c r="M12">
        <v>11</v>
      </c>
      <c r="N12" s="120">
        <v>5.5555555555555552E-2</v>
      </c>
      <c r="O12" s="120">
        <v>0.1111111111111111</v>
      </c>
      <c r="P12" t="e">
        <v>#N/A</v>
      </c>
    </row>
    <row r="13" spans="1:22">
      <c r="A13" t="s">
        <v>113</v>
      </c>
      <c r="B13">
        <v>85</v>
      </c>
      <c r="C13">
        <v>40</v>
      </c>
      <c r="D13">
        <v>70</v>
      </c>
      <c r="E13">
        <v>28</v>
      </c>
      <c r="F13">
        <v>67</v>
      </c>
      <c r="G13">
        <v>11</v>
      </c>
      <c r="H13">
        <v>157.5</v>
      </c>
      <c r="I13" s="14">
        <v>169.53303812560353</v>
      </c>
      <c r="J13">
        <v>12</v>
      </c>
      <c r="K13">
        <v>12</v>
      </c>
      <c r="L13">
        <v>12</v>
      </c>
      <c r="M13">
        <v>12</v>
      </c>
      <c r="N13" s="120">
        <v>0</v>
      </c>
      <c r="O13" s="120">
        <v>9.6774193548387094E-2</v>
      </c>
      <c r="P13">
        <v>2</v>
      </c>
    </row>
    <row r="14" spans="1:22">
      <c r="A14" t="s">
        <v>135</v>
      </c>
      <c r="B14">
        <v>145</v>
      </c>
      <c r="C14">
        <v>3</v>
      </c>
      <c r="D14">
        <v>10</v>
      </c>
      <c r="E14">
        <v>60</v>
      </c>
      <c r="F14">
        <v>101</v>
      </c>
      <c r="G14">
        <v>10</v>
      </c>
      <c r="H14">
        <v>146</v>
      </c>
      <c r="I14" s="14">
        <v>173.1959966985597</v>
      </c>
      <c r="J14">
        <v>8</v>
      </c>
      <c r="K14">
        <v>8</v>
      </c>
      <c r="L14">
        <v>13</v>
      </c>
      <c r="M14">
        <v>13</v>
      </c>
      <c r="N14" s="120">
        <v>0</v>
      </c>
      <c r="O14" s="120">
        <v>0.12</v>
      </c>
      <c r="P14">
        <v>-2</v>
      </c>
    </row>
    <row r="15" spans="1:22">
      <c r="A15" t="s">
        <v>128</v>
      </c>
      <c r="B15">
        <v>105</v>
      </c>
      <c r="C15">
        <v>15</v>
      </c>
      <c r="D15">
        <v>36</v>
      </c>
      <c r="E15">
        <v>65</v>
      </c>
      <c r="F15">
        <v>81</v>
      </c>
      <c r="G15">
        <v>26</v>
      </c>
      <c r="H15">
        <v>146.6</v>
      </c>
      <c r="I15" s="14">
        <v>184.56148562273924</v>
      </c>
      <c r="J15">
        <v>9</v>
      </c>
      <c r="K15">
        <v>9</v>
      </c>
      <c r="L15">
        <v>14</v>
      </c>
      <c r="M15">
        <v>14</v>
      </c>
      <c r="N15" s="120">
        <v>3.3333333333333333E-2</v>
      </c>
      <c r="O15" s="120">
        <v>6.6666666666666666E-2</v>
      </c>
      <c r="P15">
        <v>-7</v>
      </c>
    </row>
    <row r="16" spans="1:22">
      <c r="A16" t="s">
        <v>73</v>
      </c>
      <c r="B16">
        <v>78</v>
      </c>
      <c r="C16">
        <v>154</v>
      </c>
      <c r="D16">
        <v>4</v>
      </c>
      <c r="E16">
        <v>100</v>
      </c>
      <c r="F16">
        <v>33</v>
      </c>
      <c r="G16">
        <v>9</v>
      </c>
      <c r="H16">
        <v>202.8</v>
      </c>
      <c r="I16" s="14">
        <v>189.5629180822514</v>
      </c>
      <c r="J16">
        <v>31</v>
      </c>
      <c r="K16">
        <v>29</v>
      </c>
      <c r="L16">
        <v>15</v>
      </c>
      <c r="M16">
        <v>15</v>
      </c>
      <c r="N16" s="120">
        <v>0</v>
      </c>
      <c r="O16" s="120">
        <v>0.13043478260869565</v>
      </c>
      <c r="P16">
        <v>-6</v>
      </c>
    </row>
    <row r="17" spans="1:16">
      <c r="A17" t="s">
        <v>14</v>
      </c>
      <c r="B17">
        <v>13</v>
      </c>
      <c r="C17">
        <v>11</v>
      </c>
      <c r="D17">
        <v>101</v>
      </c>
      <c r="E17">
        <v>76</v>
      </c>
      <c r="F17">
        <v>116</v>
      </c>
      <c r="G17">
        <v>25</v>
      </c>
      <c r="H17">
        <v>161.69999999999999</v>
      </c>
      <c r="I17" s="14">
        <v>198.92417918537609</v>
      </c>
      <c r="J17">
        <v>14</v>
      </c>
      <c r="K17">
        <v>14</v>
      </c>
      <c r="L17">
        <v>16</v>
      </c>
      <c r="M17">
        <v>16</v>
      </c>
      <c r="N17" s="120">
        <v>0</v>
      </c>
      <c r="O17" s="120">
        <v>0.1</v>
      </c>
      <c r="P17">
        <v>42</v>
      </c>
    </row>
    <row r="18" spans="1:16">
      <c r="A18" t="s">
        <v>85</v>
      </c>
      <c r="B18">
        <v>103</v>
      </c>
      <c r="C18">
        <v>128</v>
      </c>
      <c r="D18">
        <v>39</v>
      </c>
      <c r="E18">
        <v>5</v>
      </c>
      <c r="F18">
        <v>75</v>
      </c>
      <c r="G18">
        <v>20</v>
      </c>
      <c r="H18">
        <v>200.39999999999998</v>
      </c>
      <c r="I18" s="14">
        <v>199.39262799987426</v>
      </c>
      <c r="J18">
        <v>28</v>
      </c>
      <c r="K18">
        <v>27</v>
      </c>
      <c r="L18">
        <v>17</v>
      </c>
      <c r="M18">
        <v>17</v>
      </c>
      <c r="N18" s="120">
        <v>0</v>
      </c>
      <c r="O18" s="120">
        <v>4.7619047619047616E-2</v>
      </c>
      <c r="P18">
        <v>-19</v>
      </c>
    </row>
    <row r="19" spans="1:16">
      <c r="A19" t="s">
        <v>158</v>
      </c>
      <c r="B19">
        <v>144</v>
      </c>
      <c r="C19">
        <v>95</v>
      </c>
      <c r="D19">
        <v>42</v>
      </c>
      <c r="E19">
        <v>32</v>
      </c>
      <c r="F19">
        <v>43</v>
      </c>
      <c r="G19">
        <v>17</v>
      </c>
      <c r="H19">
        <v>197.9</v>
      </c>
      <c r="I19" s="14">
        <v>204.21114022128697</v>
      </c>
      <c r="J19">
        <v>26</v>
      </c>
      <c r="K19">
        <v>25</v>
      </c>
      <c r="L19">
        <v>18</v>
      </c>
      <c r="M19">
        <v>18</v>
      </c>
      <c r="N19" s="120">
        <v>0</v>
      </c>
      <c r="O19" s="120">
        <v>0.1</v>
      </c>
      <c r="P19">
        <v>29</v>
      </c>
    </row>
    <row r="20" spans="1:16">
      <c r="A20" t="s">
        <v>42</v>
      </c>
      <c r="B20">
        <v>34</v>
      </c>
      <c r="C20">
        <v>150</v>
      </c>
      <c r="D20">
        <v>74</v>
      </c>
      <c r="E20">
        <v>1</v>
      </c>
      <c r="F20">
        <v>113</v>
      </c>
      <c r="G20">
        <v>19</v>
      </c>
      <c r="H20">
        <v>219.40000000000003</v>
      </c>
      <c r="I20" s="14">
        <v>211.11126997655219</v>
      </c>
      <c r="J20">
        <v>36</v>
      </c>
      <c r="K20">
        <v>34</v>
      </c>
      <c r="L20">
        <v>19</v>
      </c>
      <c r="M20">
        <v>19</v>
      </c>
      <c r="N20" s="120">
        <v>0</v>
      </c>
      <c r="O20" s="120">
        <v>4.7619047619047616E-2</v>
      </c>
      <c r="P20">
        <v>66</v>
      </c>
    </row>
    <row r="21" spans="1:16">
      <c r="A21" t="s">
        <v>144</v>
      </c>
      <c r="B21">
        <v>156</v>
      </c>
      <c r="C21">
        <v>37</v>
      </c>
      <c r="D21">
        <v>73</v>
      </c>
      <c r="E21">
        <v>19</v>
      </c>
      <c r="F21">
        <v>60</v>
      </c>
      <c r="G21">
        <v>23</v>
      </c>
      <c r="H21">
        <v>186.6</v>
      </c>
      <c r="I21" s="14">
        <v>213.26528815127935</v>
      </c>
      <c r="J21">
        <v>20</v>
      </c>
      <c r="K21">
        <v>20</v>
      </c>
      <c r="L21">
        <v>20</v>
      </c>
      <c r="M21">
        <v>20</v>
      </c>
      <c r="N21" s="120">
        <v>0</v>
      </c>
      <c r="O21" s="120">
        <v>7.407407407407407E-2</v>
      </c>
      <c r="P21">
        <v>-3</v>
      </c>
    </row>
    <row r="22" spans="1:16">
      <c r="A22" t="s">
        <v>188</v>
      </c>
      <c r="B22">
        <v>204</v>
      </c>
      <c r="C22">
        <v>6</v>
      </c>
      <c r="D22">
        <v>67</v>
      </c>
      <c r="E22">
        <v>14</v>
      </c>
      <c r="F22">
        <v>29</v>
      </c>
      <c r="G22">
        <v>33</v>
      </c>
      <c r="H22">
        <v>170.29999999999998</v>
      </c>
      <c r="I22" s="14">
        <v>214.19128019498538</v>
      </c>
      <c r="J22">
        <v>16</v>
      </c>
      <c r="K22">
        <v>16</v>
      </c>
      <c r="L22">
        <v>21</v>
      </c>
      <c r="M22">
        <v>21</v>
      </c>
      <c r="N22" s="120">
        <v>0</v>
      </c>
      <c r="O22" s="120">
        <v>9.6774193548387094E-2</v>
      </c>
      <c r="P22">
        <v>-3</v>
      </c>
    </row>
    <row r="23" spans="1:16">
      <c r="A23" t="s">
        <v>141</v>
      </c>
      <c r="B23">
        <v>138</v>
      </c>
      <c r="C23">
        <v>26</v>
      </c>
      <c r="D23">
        <v>35</v>
      </c>
      <c r="E23">
        <v>102</v>
      </c>
      <c r="F23">
        <v>41</v>
      </c>
      <c r="G23">
        <v>34</v>
      </c>
      <c r="H23">
        <v>168.9</v>
      </c>
      <c r="I23" s="14">
        <v>214.731494859744</v>
      </c>
      <c r="J23">
        <v>15</v>
      </c>
      <c r="K23">
        <v>15</v>
      </c>
      <c r="L23">
        <v>22</v>
      </c>
      <c r="M23">
        <v>22</v>
      </c>
      <c r="N23" s="120">
        <v>0</v>
      </c>
      <c r="O23" s="120">
        <v>0.10714285714285714</v>
      </c>
      <c r="P23">
        <v>-10</v>
      </c>
    </row>
    <row r="24" spans="1:16">
      <c r="A24" t="s">
        <v>139</v>
      </c>
      <c r="B24">
        <v>135</v>
      </c>
      <c r="C24">
        <v>41</v>
      </c>
      <c r="D24">
        <v>2</v>
      </c>
      <c r="E24">
        <v>183</v>
      </c>
      <c r="F24">
        <v>38</v>
      </c>
      <c r="G24">
        <v>16</v>
      </c>
      <c r="H24">
        <v>186</v>
      </c>
      <c r="I24" s="14">
        <v>217.22300253033205</v>
      </c>
      <c r="J24">
        <v>19</v>
      </c>
      <c r="K24">
        <v>19</v>
      </c>
      <c r="L24">
        <v>23</v>
      </c>
      <c r="M24">
        <v>23</v>
      </c>
      <c r="N24" s="120">
        <v>0</v>
      </c>
      <c r="O24" s="120">
        <v>9.0909090909090912E-2</v>
      </c>
      <c r="P24">
        <v>-2</v>
      </c>
    </row>
    <row r="25" spans="1:16">
      <c r="A25" t="s">
        <v>233</v>
      </c>
      <c r="B25">
        <v>19</v>
      </c>
      <c r="C25">
        <v>96</v>
      </c>
      <c r="D25">
        <v>85</v>
      </c>
      <c r="E25">
        <v>128</v>
      </c>
      <c r="F25">
        <v>64</v>
      </c>
      <c r="G25">
        <v>13</v>
      </c>
      <c r="H25">
        <v>212.99999999999997</v>
      </c>
      <c r="I25" s="14">
        <v>219.80255790003503</v>
      </c>
      <c r="J25">
        <v>33</v>
      </c>
      <c r="K25">
        <v>31</v>
      </c>
      <c r="L25">
        <v>24</v>
      </c>
      <c r="M25">
        <v>24</v>
      </c>
      <c r="N25" s="120">
        <v>0</v>
      </c>
      <c r="O25" s="120">
        <v>0.125</v>
      </c>
      <c r="P25">
        <v>40</v>
      </c>
    </row>
    <row r="26" spans="1:16">
      <c r="A26" t="s">
        <v>143</v>
      </c>
      <c r="B26">
        <v>167</v>
      </c>
      <c r="C26">
        <v>24</v>
      </c>
      <c r="D26">
        <v>54</v>
      </c>
      <c r="E26">
        <v>94</v>
      </c>
      <c r="F26">
        <v>18</v>
      </c>
      <c r="G26">
        <v>29</v>
      </c>
      <c r="H26">
        <v>182.89999999999998</v>
      </c>
      <c r="I26" s="14">
        <v>223.49285614373241</v>
      </c>
      <c r="J26">
        <v>18</v>
      </c>
      <c r="K26">
        <v>18</v>
      </c>
      <c r="L26">
        <v>25</v>
      </c>
      <c r="M26">
        <v>25</v>
      </c>
      <c r="N26" s="120">
        <v>0.05</v>
      </c>
      <c r="O26" s="120">
        <v>0.1</v>
      </c>
      <c r="P26">
        <v>-4</v>
      </c>
    </row>
    <row r="27" spans="1:16">
      <c r="A27" t="s">
        <v>54</v>
      </c>
      <c r="B27">
        <v>34</v>
      </c>
      <c r="C27">
        <v>162</v>
      </c>
      <c r="D27">
        <v>55</v>
      </c>
      <c r="E27">
        <v>51</v>
      </c>
      <c r="F27">
        <v>79</v>
      </c>
      <c r="G27">
        <v>38</v>
      </c>
      <c r="H27">
        <v>220.89999999999998</v>
      </c>
      <c r="I27" s="14">
        <v>231.24621565441541</v>
      </c>
      <c r="J27">
        <v>38</v>
      </c>
      <c r="K27">
        <v>36</v>
      </c>
      <c r="L27">
        <v>26</v>
      </c>
      <c r="M27">
        <v>26</v>
      </c>
      <c r="N27" s="120">
        <v>0.04</v>
      </c>
      <c r="O27" s="120">
        <v>0.08</v>
      </c>
      <c r="P27">
        <v>43</v>
      </c>
    </row>
    <row r="28" spans="1:16">
      <c r="A28" t="s">
        <v>47</v>
      </c>
      <c r="B28">
        <v>37</v>
      </c>
      <c r="C28">
        <v>34</v>
      </c>
      <c r="D28">
        <v>56</v>
      </c>
      <c r="E28">
        <v>169</v>
      </c>
      <c r="F28">
        <v>98</v>
      </c>
      <c r="G28">
        <v>28</v>
      </c>
      <c r="H28">
        <v>188.3</v>
      </c>
      <c r="I28" s="14">
        <v>231.36009345730702</v>
      </c>
      <c r="J28">
        <v>21</v>
      </c>
      <c r="K28">
        <v>21</v>
      </c>
      <c r="L28">
        <v>27</v>
      </c>
      <c r="M28">
        <v>27</v>
      </c>
      <c r="N28" s="120">
        <v>0</v>
      </c>
      <c r="O28" s="120">
        <v>0.13043478260869565</v>
      </c>
      <c r="P28">
        <v>30</v>
      </c>
    </row>
    <row r="29" spans="1:16">
      <c r="A29" t="s">
        <v>183</v>
      </c>
      <c r="B29">
        <v>197</v>
      </c>
      <c r="C29">
        <v>27</v>
      </c>
      <c r="D29">
        <v>71</v>
      </c>
      <c r="E29">
        <v>47</v>
      </c>
      <c r="F29">
        <v>10</v>
      </c>
      <c r="G29">
        <v>37</v>
      </c>
      <c r="H29">
        <v>189.9</v>
      </c>
      <c r="I29" s="14">
        <v>234.39200685765471</v>
      </c>
      <c r="J29">
        <v>22</v>
      </c>
      <c r="K29">
        <v>22</v>
      </c>
      <c r="L29">
        <v>29</v>
      </c>
      <c r="M29">
        <v>28</v>
      </c>
      <c r="N29" s="120">
        <v>0</v>
      </c>
      <c r="O29" s="120">
        <v>6.0606060606060608E-2</v>
      </c>
      <c r="P29">
        <v>-3</v>
      </c>
    </row>
    <row r="30" spans="1:16">
      <c r="A30" t="s">
        <v>92</v>
      </c>
      <c r="B30">
        <v>96</v>
      </c>
      <c r="C30">
        <v>70</v>
      </c>
      <c r="D30">
        <v>65</v>
      </c>
      <c r="E30">
        <v>17</v>
      </c>
      <c r="F30">
        <v>111</v>
      </c>
      <c r="G30">
        <v>46</v>
      </c>
      <c r="H30">
        <v>193.70000000000002</v>
      </c>
      <c r="I30" s="14">
        <v>235.5982254080829</v>
      </c>
      <c r="J30">
        <v>24</v>
      </c>
      <c r="K30">
        <v>23</v>
      </c>
      <c r="L30">
        <v>30</v>
      </c>
      <c r="M30">
        <v>29</v>
      </c>
      <c r="N30" s="120">
        <v>0</v>
      </c>
      <c r="O30" s="120">
        <v>6.0606060606060608E-2</v>
      </c>
      <c r="P30">
        <v>-24</v>
      </c>
    </row>
    <row r="31" spans="1:16">
      <c r="A31" t="s">
        <v>64</v>
      </c>
      <c r="B31">
        <v>80</v>
      </c>
      <c r="C31">
        <v>188</v>
      </c>
      <c r="D31">
        <v>38</v>
      </c>
      <c r="E31">
        <v>52</v>
      </c>
      <c r="F31">
        <v>49</v>
      </c>
      <c r="G31">
        <v>32</v>
      </c>
      <c r="H31">
        <v>238.6</v>
      </c>
      <c r="I31" s="14">
        <v>237.00875159341791</v>
      </c>
      <c r="J31">
        <v>54</v>
      </c>
      <c r="K31">
        <v>49</v>
      </c>
      <c r="L31">
        <v>31</v>
      </c>
      <c r="M31">
        <v>30</v>
      </c>
      <c r="N31" s="120">
        <v>0</v>
      </c>
      <c r="O31" s="120">
        <v>0.16129032258064516</v>
      </c>
      <c r="P31">
        <v>38</v>
      </c>
    </row>
    <row r="32" spans="1:16">
      <c r="A32" t="s">
        <v>241</v>
      </c>
      <c r="B32">
        <v>7</v>
      </c>
      <c r="C32">
        <v>140</v>
      </c>
      <c r="D32">
        <v>27</v>
      </c>
      <c r="E32">
        <v>106</v>
      </c>
      <c r="F32">
        <v>164</v>
      </c>
      <c r="G32">
        <v>24</v>
      </c>
      <c r="H32">
        <v>228.40000000000003</v>
      </c>
      <c r="I32" s="14">
        <v>238.73794189577245</v>
      </c>
      <c r="J32">
        <v>45</v>
      </c>
      <c r="K32">
        <v>41</v>
      </c>
      <c r="L32">
        <v>32</v>
      </c>
      <c r="M32">
        <v>31</v>
      </c>
      <c r="N32" s="120">
        <v>0</v>
      </c>
      <c r="O32" s="120">
        <v>0</v>
      </c>
      <c r="P32">
        <v>-15</v>
      </c>
    </row>
    <row r="33" spans="1:16">
      <c r="A33" t="s">
        <v>46</v>
      </c>
      <c r="B33">
        <v>24</v>
      </c>
      <c r="C33">
        <v>127</v>
      </c>
      <c r="D33">
        <v>107</v>
      </c>
      <c r="E33">
        <v>37</v>
      </c>
      <c r="F33">
        <v>69</v>
      </c>
      <c r="G33">
        <v>43</v>
      </c>
      <c r="H33">
        <v>218.2</v>
      </c>
      <c r="I33" s="14">
        <v>239.84416726948319</v>
      </c>
      <c r="J33">
        <v>35</v>
      </c>
      <c r="K33">
        <v>33</v>
      </c>
      <c r="L33">
        <v>34</v>
      </c>
      <c r="M33">
        <v>32</v>
      </c>
      <c r="N33" s="120">
        <v>0</v>
      </c>
      <c r="O33" s="120">
        <v>6.8965517241379309E-2</v>
      </c>
      <c r="P33">
        <v>-1</v>
      </c>
    </row>
    <row r="34" spans="1:16">
      <c r="A34" t="s">
        <v>58</v>
      </c>
      <c r="B34">
        <v>91</v>
      </c>
      <c r="C34">
        <v>88</v>
      </c>
      <c r="D34">
        <v>49</v>
      </c>
      <c r="E34">
        <v>126</v>
      </c>
      <c r="F34">
        <v>59</v>
      </c>
      <c r="G34">
        <v>27</v>
      </c>
      <c r="H34">
        <v>215.39999999999998</v>
      </c>
      <c r="I34" s="14">
        <v>240.65337327374505</v>
      </c>
      <c r="J34">
        <v>34</v>
      </c>
      <c r="K34">
        <v>32</v>
      </c>
      <c r="L34">
        <v>35</v>
      </c>
      <c r="M34">
        <v>33</v>
      </c>
      <c r="N34" s="120">
        <v>4.1666666666666664E-2</v>
      </c>
      <c r="O34" s="120">
        <v>0.16666666666666666</v>
      </c>
      <c r="P34">
        <v>13</v>
      </c>
    </row>
    <row r="35" spans="1:16">
      <c r="A35" t="s">
        <v>63</v>
      </c>
      <c r="B35">
        <v>30</v>
      </c>
      <c r="C35">
        <v>122</v>
      </c>
      <c r="D35">
        <v>148</v>
      </c>
      <c r="E35">
        <v>83</v>
      </c>
      <c r="F35">
        <v>4</v>
      </c>
      <c r="G35">
        <v>22</v>
      </c>
      <c r="H35">
        <v>238.79999999999998</v>
      </c>
      <c r="I35" s="14">
        <v>241.50000645883659</v>
      </c>
      <c r="J35">
        <v>55</v>
      </c>
      <c r="K35">
        <v>50</v>
      </c>
      <c r="L35">
        <v>36</v>
      </c>
      <c r="M35">
        <v>34</v>
      </c>
      <c r="N35" s="120">
        <v>0</v>
      </c>
      <c r="O35" s="120">
        <v>0.125</v>
      </c>
      <c r="P35">
        <v>-7</v>
      </c>
    </row>
    <row r="36" spans="1:16">
      <c r="A36" t="s">
        <v>18</v>
      </c>
      <c r="B36">
        <v>4</v>
      </c>
      <c r="C36">
        <v>195</v>
      </c>
      <c r="D36">
        <v>47</v>
      </c>
      <c r="E36">
        <v>63</v>
      </c>
      <c r="F36">
        <v>99</v>
      </c>
      <c r="G36">
        <v>40</v>
      </c>
      <c r="H36">
        <v>236.20000000000002</v>
      </c>
      <c r="I36" s="14">
        <v>241.5683307468932</v>
      </c>
      <c r="J36">
        <v>52</v>
      </c>
      <c r="K36">
        <v>47</v>
      </c>
      <c r="L36">
        <v>37</v>
      </c>
      <c r="M36">
        <v>35</v>
      </c>
      <c r="N36" s="120">
        <v>0</v>
      </c>
      <c r="O36" s="120">
        <v>7.1428571428571425E-2</v>
      </c>
      <c r="P36">
        <v>36</v>
      </c>
    </row>
    <row r="37" spans="1:16">
      <c r="A37" t="s">
        <v>74</v>
      </c>
      <c r="B37">
        <v>40</v>
      </c>
      <c r="C37">
        <v>22</v>
      </c>
      <c r="D37">
        <v>51</v>
      </c>
      <c r="E37">
        <v>107</v>
      </c>
      <c r="F37">
        <v>147</v>
      </c>
      <c r="G37">
        <v>59</v>
      </c>
      <c r="H37">
        <v>172.70000000000002</v>
      </c>
      <c r="I37" s="14">
        <v>246.92533874691384</v>
      </c>
      <c r="J37">
        <v>17</v>
      </c>
      <c r="K37">
        <v>17</v>
      </c>
      <c r="L37">
        <v>38</v>
      </c>
      <c r="M37">
        <v>36</v>
      </c>
      <c r="N37" s="120">
        <v>0</v>
      </c>
      <c r="O37" s="120">
        <v>5.5555555555555552E-2</v>
      </c>
      <c r="P37" t="e">
        <v>#N/A</v>
      </c>
    </row>
    <row r="38" spans="1:16">
      <c r="A38" t="s">
        <v>72</v>
      </c>
      <c r="B38">
        <v>51</v>
      </c>
      <c r="C38">
        <v>73</v>
      </c>
      <c r="D38">
        <v>159</v>
      </c>
      <c r="E38">
        <v>43</v>
      </c>
      <c r="F38">
        <v>53</v>
      </c>
      <c r="G38">
        <v>31</v>
      </c>
      <c r="H38">
        <v>226.29999999999995</v>
      </c>
      <c r="I38" s="14">
        <v>249.90750017080356</v>
      </c>
      <c r="J38">
        <v>41</v>
      </c>
      <c r="K38">
        <v>39</v>
      </c>
      <c r="L38">
        <v>39</v>
      </c>
      <c r="M38">
        <v>37</v>
      </c>
      <c r="N38" s="120">
        <v>0</v>
      </c>
      <c r="O38" s="120">
        <v>4.3478260869565216E-2</v>
      </c>
      <c r="P38">
        <v>-14</v>
      </c>
    </row>
    <row r="39" spans="1:16">
      <c r="A39" t="s">
        <v>97</v>
      </c>
      <c r="B39">
        <v>65</v>
      </c>
      <c r="C39">
        <v>182</v>
      </c>
      <c r="D39">
        <v>66</v>
      </c>
      <c r="E39">
        <v>46</v>
      </c>
      <c r="F39">
        <v>70</v>
      </c>
      <c r="G39">
        <v>30</v>
      </c>
      <c r="H39">
        <v>252.49999999999997</v>
      </c>
      <c r="I39" s="14">
        <v>250.49575118459836</v>
      </c>
      <c r="J39">
        <v>70</v>
      </c>
      <c r="K39">
        <v>60</v>
      </c>
      <c r="L39">
        <v>40</v>
      </c>
      <c r="M39">
        <v>38</v>
      </c>
      <c r="N39" s="120">
        <v>0</v>
      </c>
      <c r="O39" s="120">
        <v>2.7027027027027029E-2</v>
      </c>
      <c r="P39">
        <v>15</v>
      </c>
    </row>
    <row r="40" spans="1:16">
      <c r="A40" t="s">
        <v>95</v>
      </c>
      <c r="B40">
        <v>81</v>
      </c>
      <c r="C40">
        <v>123</v>
      </c>
      <c r="D40">
        <v>97</v>
      </c>
      <c r="E40">
        <v>29</v>
      </c>
      <c r="F40">
        <v>34</v>
      </c>
      <c r="G40">
        <v>52</v>
      </c>
      <c r="H40">
        <v>219.7</v>
      </c>
      <c r="I40" s="14">
        <v>250.98034294042398</v>
      </c>
      <c r="J40">
        <v>37</v>
      </c>
      <c r="K40">
        <v>35</v>
      </c>
      <c r="L40">
        <v>41</v>
      </c>
      <c r="M40">
        <v>39</v>
      </c>
      <c r="N40" s="120">
        <v>0</v>
      </c>
      <c r="O40" s="120">
        <v>3.4482758620689655E-2</v>
      </c>
      <c r="P40">
        <v>-19</v>
      </c>
    </row>
    <row r="41" spans="1:16">
      <c r="A41" t="s">
        <v>98</v>
      </c>
      <c r="B41">
        <v>59</v>
      </c>
      <c r="C41">
        <v>157</v>
      </c>
      <c r="D41">
        <v>132</v>
      </c>
      <c r="E41">
        <v>70</v>
      </c>
      <c r="F41">
        <v>1</v>
      </c>
      <c r="G41">
        <v>20</v>
      </c>
      <c r="H41">
        <v>260.19999999999993</v>
      </c>
      <c r="I41" s="14">
        <v>252.36485615789147</v>
      </c>
      <c r="J41">
        <v>83</v>
      </c>
      <c r="K41">
        <v>71</v>
      </c>
      <c r="L41">
        <v>42</v>
      </c>
      <c r="M41">
        <v>40</v>
      </c>
      <c r="N41" s="120">
        <v>0</v>
      </c>
      <c r="O41" s="120">
        <v>0.14285714285714285</v>
      </c>
      <c r="P41">
        <v>1</v>
      </c>
    </row>
    <row r="42" spans="1:16">
      <c r="A42" t="s">
        <v>129</v>
      </c>
      <c r="B42">
        <v>117</v>
      </c>
      <c r="C42">
        <v>121</v>
      </c>
      <c r="D42">
        <v>80</v>
      </c>
      <c r="E42">
        <v>10</v>
      </c>
      <c r="F42">
        <v>77</v>
      </c>
      <c r="G42">
        <v>45</v>
      </c>
      <c r="H42">
        <v>234</v>
      </c>
      <c r="I42" s="14">
        <v>261.05491290394463</v>
      </c>
      <c r="J42">
        <v>51</v>
      </c>
      <c r="K42">
        <v>46</v>
      </c>
      <c r="L42">
        <v>43</v>
      </c>
      <c r="M42">
        <v>41</v>
      </c>
      <c r="N42" s="120">
        <v>0</v>
      </c>
      <c r="O42" s="120">
        <v>3.8461538461538464E-2</v>
      </c>
      <c r="P42">
        <v>-4</v>
      </c>
    </row>
    <row r="43" spans="1:16">
      <c r="A43" t="s">
        <v>149</v>
      </c>
      <c r="B43">
        <v>173</v>
      </c>
      <c r="C43">
        <v>101</v>
      </c>
      <c r="D43">
        <v>33</v>
      </c>
      <c r="E43">
        <v>13</v>
      </c>
      <c r="F43">
        <v>104</v>
      </c>
      <c r="G43">
        <v>50</v>
      </c>
      <c r="H43">
        <v>227.09999999999997</v>
      </c>
      <c r="I43" s="14">
        <v>268.0590776498654</v>
      </c>
      <c r="J43">
        <v>43</v>
      </c>
      <c r="K43">
        <v>40</v>
      </c>
      <c r="L43">
        <v>44</v>
      </c>
      <c r="M43">
        <v>42</v>
      </c>
      <c r="N43" s="120">
        <v>0</v>
      </c>
      <c r="O43" s="120">
        <v>5.7142857142857141E-2</v>
      </c>
      <c r="P43">
        <v>7</v>
      </c>
    </row>
    <row r="44" spans="1:16">
      <c r="A44" t="s">
        <v>130</v>
      </c>
      <c r="B44">
        <v>172</v>
      </c>
      <c r="C44">
        <v>90</v>
      </c>
      <c r="D44">
        <v>58</v>
      </c>
      <c r="E44">
        <v>62</v>
      </c>
      <c r="F44">
        <v>45</v>
      </c>
      <c r="G44">
        <v>41</v>
      </c>
      <c r="H44">
        <v>232.4</v>
      </c>
      <c r="I44" s="14">
        <v>268.09431319457275</v>
      </c>
      <c r="J44">
        <v>48.5</v>
      </c>
      <c r="K44">
        <v>44</v>
      </c>
      <c r="L44">
        <v>45</v>
      </c>
      <c r="M44">
        <v>43</v>
      </c>
      <c r="N44" s="120">
        <v>2.8571428571428571E-2</v>
      </c>
      <c r="O44" s="120">
        <v>5.7142857142857141E-2</v>
      </c>
      <c r="P44">
        <v>19</v>
      </c>
    </row>
    <row r="45" spans="1:16">
      <c r="A45" t="s">
        <v>110</v>
      </c>
      <c r="B45">
        <v>146</v>
      </c>
      <c r="C45">
        <v>36</v>
      </c>
      <c r="D45">
        <v>26</v>
      </c>
      <c r="E45">
        <v>164</v>
      </c>
      <c r="F45">
        <v>43</v>
      </c>
      <c r="G45">
        <v>56</v>
      </c>
      <c r="H45">
        <v>199.2</v>
      </c>
      <c r="I45" s="14">
        <v>270.765922455382</v>
      </c>
      <c r="J45">
        <v>27</v>
      </c>
      <c r="K45">
        <v>26</v>
      </c>
      <c r="L45">
        <v>46</v>
      </c>
      <c r="M45">
        <v>44</v>
      </c>
      <c r="N45" s="120">
        <v>0</v>
      </c>
      <c r="O45" s="120">
        <v>7.1428571428571425E-2</v>
      </c>
      <c r="P45">
        <v>34</v>
      </c>
    </row>
    <row r="46" spans="1:16">
      <c r="A46" t="s">
        <v>146</v>
      </c>
      <c r="B46">
        <v>129</v>
      </c>
      <c r="C46">
        <v>147</v>
      </c>
      <c r="D46">
        <v>20</v>
      </c>
      <c r="E46">
        <v>174</v>
      </c>
      <c r="F46">
        <v>5</v>
      </c>
      <c r="G46">
        <v>35</v>
      </c>
      <c r="H46">
        <v>253</v>
      </c>
      <c r="I46" s="14">
        <v>274.91956998548784</v>
      </c>
      <c r="J46">
        <v>72</v>
      </c>
      <c r="K46">
        <v>61</v>
      </c>
      <c r="L46">
        <v>47</v>
      </c>
      <c r="M46">
        <v>45</v>
      </c>
      <c r="N46" s="120">
        <v>0</v>
      </c>
      <c r="O46" s="120">
        <v>5.7142857142857141E-2</v>
      </c>
      <c r="P46">
        <v>15</v>
      </c>
    </row>
    <row r="47" spans="1:16">
      <c r="A47" t="s">
        <v>52</v>
      </c>
      <c r="B47">
        <v>57</v>
      </c>
      <c r="C47">
        <v>158</v>
      </c>
      <c r="D47">
        <v>99</v>
      </c>
      <c r="E47">
        <v>16</v>
      </c>
      <c r="F47">
        <v>103</v>
      </c>
      <c r="G47">
        <v>49</v>
      </c>
      <c r="H47">
        <v>256</v>
      </c>
      <c r="I47" s="14">
        <v>277.72173308902541</v>
      </c>
      <c r="J47">
        <v>76</v>
      </c>
      <c r="K47">
        <v>64</v>
      </c>
      <c r="L47">
        <v>48</v>
      </c>
      <c r="M47">
        <v>46</v>
      </c>
      <c r="N47" s="120">
        <v>0</v>
      </c>
      <c r="O47" s="120">
        <v>3.0303030303030304E-2</v>
      </c>
      <c r="P47">
        <v>16</v>
      </c>
    </row>
    <row r="48" spans="1:16">
      <c r="A48" t="s">
        <v>9</v>
      </c>
      <c r="B48">
        <v>3</v>
      </c>
      <c r="C48">
        <v>137</v>
      </c>
      <c r="D48">
        <v>14</v>
      </c>
      <c r="E48">
        <v>148</v>
      </c>
      <c r="F48">
        <v>188</v>
      </c>
      <c r="G48">
        <v>47</v>
      </c>
      <c r="H48">
        <v>241.59999999999997</v>
      </c>
      <c r="I48" s="14">
        <v>280.68903207451092</v>
      </c>
      <c r="J48">
        <v>59</v>
      </c>
      <c r="K48">
        <v>53</v>
      </c>
      <c r="L48">
        <v>49</v>
      </c>
      <c r="M48">
        <v>47</v>
      </c>
      <c r="N48" s="120">
        <v>0</v>
      </c>
      <c r="O48" s="120">
        <v>4.1666666666666664E-2</v>
      </c>
      <c r="P48">
        <v>1</v>
      </c>
    </row>
    <row r="49" spans="1:16">
      <c r="A49" t="s">
        <v>231</v>
      </c>
      <c r="B49">
        <v>72</v>
      </c>
      <c r="C49">
        <v>80</v>
      </c>
      <c r="D49">
        <v>180</v>
      </c>
      <c r="E49">
        <v>19</v>
      </c>
      <c r="F49">
        <v>17</v>
      </c>
      <c r="G49">
        <v>61</v>
      </c>
      <c r="H49">
        <v>232.4</v>
      </c>
      <c r="I49" s="14">
        <v>281.03678127294859</v>
      </c>
      <c r="J49">
        <v>48.5</v>
      </c>
      <c r="K49">
        <v>43</v>
      </c>
      <c r="L49">
        <v>50</v>
      </c>
      <c r="M49">
        <v>48</v>
      </c>
      <c r="N49" s="120">
        <v>0</v>
      </c>
      <c r="O49" s="120">
        <v>6.6666666666666666E-2</v>
      </c>
      <c r="P49">
        <v>-18</v>
      </c>
    </row>
    <row r="50" spans="1:16">
      <c r="A50" t="s">
        <v>76</v>
      </c>
      <c r="B50">
        <v>54</v>
      </c>
      <c r="C50">
        <v>174</v>
      </c>
      <c r="D50">
        <v>77</v>
      </c>
      <c r="E50">
        <v>18</v>
      </c>
      <c r="F50">
        <v>122</v>
      </c>
      <c r="G50">
        <v>53</v>
      </c>
      <c r="H50">
        <v>258.7</v>
      </c>
      <c r="I50" s="14">
        <v>281.66071582231592</v>
      </c>
      <c r="J50">
        <v>80</v>
      </c>
      <c r="K50">
        <v>68</v>
      </c>
      <c r="L50">
        <v>51</v>
      </c>
      <c r="M50">
        <v>49</v>
      </c>
      <c r="N50" s="120">
        <v>0</v>
      </c>
      <c r="O50" s="120">
        <v>9.0909090909090912E-2</v>
      </c>
      <c r="P50">
        <v>66</v>
      </c>
    </row>
    <row r="51" spans="1:16">
      <c r="A51" t="s">
        <v>22</v>
      </c>
      <c r="B51">
        <v>28</v>
      </c>
      <c r="C51">
        <v>52</v>
      </c>
      <c r="D51">
        <v>61</v>
      </c>
      <c r="E51">
        <v>151</v>
      </c>
      <c r="F51">
        <v>121</v>
      </c>
      <c r="G51">
        <v>71</v>
      </c>
      <c r="H51">
        <v>201.9</v>
      </c>
      <c r="I51" s="14">
        <v>282.97929716963966</v>
      </c>
      <c r="J51">
        <v>29</v>
      </c>
      <c r="K51">
        <v>28</v>
      </c>
      <c r="L51">
        <v>52</v>
      </c>
      <c r="M51">
        <v>50</v>
      </c>
      <c r="N51" s="120">
        <v>0</v>
      </c>
      <c r="O51" s="120">
        <v>2.8571428571428571E-2</v>
      </c>
      <c r="P51">
        <v>-8</v>
      </c>
    </row>
    <row r="52" spans="1:16">
      <c r="A52" t="s">
        <v>100</v>
      </c>
      <c r="B52">
        <v>147</v>
      </c>
      <c r="C52">
        <v>133</v>
      </c>
      <c r="D52">
        <v>88</v>
      </c>
      <c r="E52">
        <v>34</v>
      </c>
      <c r="F52">
        <v>46</v>
      </c>
      <c r="G52">
        <v>42</v>
      </c>
      <c r="H52">
        <v>260.2</v>
      </c>
      <c r="I52" s="14">
        <v>283.130137161893</v>
      </c>
      <c r="J52">
        <v>84</v>
      </c>
      <c r="K52">
        <v>72</v>
      </c>
      <c r="L52">
        <v>53</v>
      </c>
      <c r="M52">
        <v>51</v>
      </c>
      <c r="N52" s="120">
        <v>0</v>
      </c>
      <c r="O52" s="120">
        <v>0</v>
      </c>
      <c r="P52">
        <v>51</v>
      </c>
    </row>
    <row r="53" spans="1:16">
      <c r="A53" t="s">
        <v>164</v>
      </c>
      <c r="B53">
        <v>148</v>
      </c>
      <c r="C53">
        <v>123</v>
      </c>
      <c r="D53">
        <v>108</v>
      </c>
      <c r="E53">
        <v>38</v>
      </c>
      <c r="F53">
        <v>31</v>
      </c>
      <c r="G53">
        <v>44</v>
      </c>
      <c r="H53">
        <v>263.29999999999995</v>
      </c>
      <c r="I53" s="14">
        <v>290.24488361938165</v>
      </c>
      <c r="J53">
        <v>89</v>
      </c>
      <c r="K53">
        <v>76</v>
      </c>
      <c r="L53">
        <v>54</v>
      </c>
      <c r="M53">
        <v>52</v>
      </c>
      <c r="N53" s="120">
        <v>0</v>
      </c>
      <c r="O53" s="120">
        <v>4.5454545454545456E-2</v>
      </c>
      <c r="P53">
        <v>48</v>
      </c>
    </row>
    <row r="54" spans="1:16">
      <c r="A54" t="s">
        <v>235</v>
      </c>
      <c r="B54">
        <v>36</v>
      </c>
      <c r="C54">
        <v>202</v>
      </c>
      <c r="D54">
        <v>68</v>
      </c>
      <c r="E54">
        <v>68</v>
      </c>
      <c r="F54">
        <v>96</v>
      </c>
      <c r="G54">
        <v>58</v>
      </c>
      <c r="H54">
        <v>272.60000000000002</v>
      </c>
      <c r="I54" s="14">
        <v>296.0901740051969</v>
      </c>
      <c r="J54">
        <v>99</v>
      </c>
      <c r="K54">
        <v>85</v>
      </c>
      <c r="L54">
        <v>56</v>
      </c>
      <c r="M54">
        <v>53</v>
      </c>
      <c r="N54" s="120">
        <v>0</v>
      </c>
      <c r="O54" s="120">
        <v>6.6666666666666666E-2</v>
      </c>
      <c r="P54">
        <v>20</v>
      </c>
    </row>
    <row r="55" spans="1:16">
      <c r="A55" t="s">
        <v>39</v>
      </c>
      <c r="B55">
        <v>68</v>
      </c>
      <c r="C55">
        <v>113</v>
      </c>
      <c r="D55">
        <v>163</v>
      </c>
      <c r="E55">
        <v>105</v>
      </c>
      <c r="F55">
        <v>11</v>
      </c>
      <c r="G55">
        <v>39</v>
      </c>
      <c r="H55">
        <v>273.59999999999997</v>
      </c>
      <c r="I55" s="14">
        <v>299.63648846476337</v>
      </c>
      <c r="J55">
        <v>100</v>
      </c>
      <c r="K55">
        <v>86</v>
      </c>
      <c r="L55">
        <v>57</v>
      </c>
      <c r="M55">
        <v>54</v>
      </c>
      <c r="N55" s="120">
        <v>0</v>
      </c>
      <c r="O55" s="120">
        <v>2.7777777777777776E-2</v>
      </c>
      <c r="P55">
        <v>8</v>
      </c>
    </row>
    <row r="56" spans="1:16">
      <c r="A56" t="s">
        <v>104</v>
      </c>
      <c r="B56">
        <v>100</v>
      </c>
      <c r="C56">
        <v>186</v>
      </c>
      <c r="D56">
        <v>124</v>
      </c>
      <c r="E56">
        <v>23</v>
      </c>
      <c r="F56">
        <v>19</v>
      </c>
      <c r="G56">
        <v>55</v>
      </c>
      <c r="H56">
        <v>283.8</v>
      </c>
      <c r="I56" s="14">
        <v>302.5441677849883</v>
      </c>
      <c r="J56">
        <v>109</v>
      </c>
      <c r="K56">
        <v>94</v>
      </c>
      <c r="L56">
        <v>60</v>
      </c>
      <c r="M56">
        <v>55</v>
      </c>
      <c r="N56" s="120">
        <v>3.3333333333333333E-2</v>
      </c>
      <c r="O56" s="120">
        <v>3.3333333333333333E-2</v>
      </c>
      <c r="P56">
        <v>-18</v>
      </c>
    </row>
    <row r="57" spans="1:16">
      <c r="A57" t="s">
        <v>20</v>
      </c>
      <c r="B57">
        <v>22</v>
      </c>
      <c r="C57">
        <v>175</v>
      </c>
      <c r="D57">
        <v>48</v>
      </c>
      <c r="E57">
        <v>74</v>
      </c>
      <c r="F57">
        <v>162</v>
      </c>
      <c r="G57">
        <v>67</v>
      </c>
      <c r="H57">
        <v>261.5</v>
      </c>
      <c r="I57" s="14">
        <v>304.16982590540522</v>
      </c>
      <c r="J57">
        <v>85</v>
      </c>
      <c r="K57">
        <v>73</v>
      </c>
      <c r="L57">
        <v>61</v>
      </c>
      <c r="M57">
        <v>56</v>
      </c>
      <c r="N57" s="120">
        <v>0</v>
      </c>
      <c r="O57" s="120">
        <v>7.6923076923076927E-2</v>
      </c>
      <c r="P57">
        <v>1</v>
      </c>
    </row>
    <row r="58" spans="1:16">
      <c r="A58" t="s">
        <v>38</v>
      </c>
      <c r="B58">
        <v>41</v>
      </c>
      <c r="C58">
        <v>178</v>
      </c>
      <c r="D58">
        <v>138</v>
      </c>
      <c r="E58">
        <v>30</v>
      </c>
      <c r="F58">
        <v>78</v>
      </c>
      <c r="G58">
        <v>54</v>
      </c>
      <c r="H58">
        <v>284.89999999999998</v>
      </c>
      <c r="I58" s="14">
        <v>306.12859318965008</v>
      </c>
      <c r="J58">
        <v>111</v>
      </c>
      <c r="K58">
        <v>95</v>
      </c>
      <c r="L58">
        <v>62</v>
      </c>
      <c r="M58">
        <v>57</v>
      </c>
      <c r="N58" s="120">
        <v>0</v>
      </c>
      <c r="O58" s="120">
        <v>6.0606060606060608E-2</v>
      </c>
      <c r="P58">
        <v>8</v>
      </c>
    </row>
    <row r="59" spans="1:16">
      <c r="A59" t="s">
        <v>105</v>
      </c>
      <c r="B59">
        <v>91</v>
      </c>
      <c r="C59">
        <v>109</v>
      </c>
      <c r="D59">
        <v>173</v>
      </c>
      <c r="E59">
        <v>21</v>
      </c>
      <c r="F59">
        <v>12</v>
      </c>
      <c r="G59">
        <v>70</v>
      </c>
      <c r="H59">
        <v>256.09999999999997</v>
      </c>
      <c r="I59" s="14">
        <v>307.49733497716443</v>
      </c>
      <c r="J59">
        <v>77</v>
      </c>
      <c r="K59">
        <v>65</v>
      </c>
      <c r="L59">
        <v>63</v>
      </c>
      <c r="M59">
        <v>58</v>
      </c>
      <c r="N59" s="120">
        <v>3.8461538461538464E-2</v>
      </c>
      <c r="O59" s="120">
        <v>0.11538461538461539</v>
      </c>
      <c r="P59">
        <v>3</v>
      </c>
    </row>
    <row r="60" spans="1:16">
      <c r="A60" t="s">
        <v>112</v>
      </c>
      <c r="B60">
        <v>117</v>
      </c>
      <c r="C60">
        <v>62</v>
      </c>
      <c r="D60">
        <v>126</v>
      </c>
      <c r="E60">
        <v>43</v>
      </c>
      <c r="F60">
        <v>92</v>
      </c>
      <c r="G60">
        <v>65</v>
      </c>
      <c r="H60">
        <v>244.1</v>
      </c>
      <c r="I60" s="14">
        <v>309.3969664243524</v>
      </c>
      <c r="J60">
        <v>61</v>
      </c>
      <c r="K60">
        <v>54</v>
      </c>
      <c r="L60">
        <v>64</v>
      </c>
      <c r="M60">
        <v>59</v>
      </c>
      <c r="N60" s="120">
        <v>0</v>
      </c>
      <c r="O60" s="120">
        <v>3.125E-2</v>
      </c>
      <c r="P60">
        <v>-10</v>
      </c>
    </row>
    <row r="61" spans="1:16">
      <c r="A61" t="s">
        <v>82</v>
      </c>
      <c r="B61">
        <v>97</v>
      </c>
      <c r="C61">
        <v>187</v>
      </c>
      <c r="D61">
        <v>37</v>
      </c>
      <c r="E61">
        <v>7</v>
      </c>
      <c r="F61">
        <v>109</v>
      </c>
      <c r="G61">
        <v>91</v>
      </c>
      <c r="H61">
        <v>251.70000000000002</v>
      </c>
      <c r="I61" s="14">
        <v>309.48992094179789</v>
      </c>
      <c r="J61">
        <v>67</v>
      </c>
      <c r="K61">
        <v>58</v>
      </c>
      <c r="L61">
        <v>65</v>
      </c>
      <c r="M61">
        <v>60</v>
      </c>
      <c r="N61" s="120">
        <v>0</v>
      </c>
      <c r="O61" s="120">
        <v>0</v>
      </c>
      <c r="P61">
        <v>-20</v>
      </c>
    </row>
    <row r="62" spans="1:16">
      <c r="A62" t="s">
        <v>49</v>
      </c>
      <c r="B62">
        <v>75</v>
      </c>
      <c r="C62">
        <v>130</v>
      </c>
      <c r="D62">
        <v>129</v>
      </c>
      <c r="E62">
        <v>79</v>
      </c>
      <c r="F62">
        <v>47</v>
      </c>
      <c r="G62">
        <v>62</v>
      </c>
      <c r="H62">
        <v>269.2</v>
      </c>
      <c r="I62" s="14">
        <v>314.04960809061379</v>
      </c>
      <c r="J62">
        <v>95</v>
      </c>
      <c r="K62">
        <v>81</v>
      </c>
      <c r="L62">
        <v>66</v>
      </c>
      <c r="M62">
        <v>61</v>
      </c>
      <c r="N62" s="120">
        <v>0</v>
      </c>
      <c r="O62" s="120">
        <v>0</v>
      </c>
      <c r="P62">
        <v>25</v>
      </c>
    </row>
    <row r="63" spans="1:16">
      <c r="A63" t="s">
        <v>114</v>
      </c>
      <c r="B63">
        <v>141</v>
      </c>
      <c r="C63">
        <v>167</v>
      </c>
      <c r="D63">
        <v>63</v>
      </c>
      <c r="E63">
        <v>66</v>
      </c>
      <c r="F63">
        <v>24</v>
      </c>
      <c r="G63">
        <v>75</v>
      </c>
      <c r="H63">
        <v>267.5</v>
      </c>
      <c r="I63" s="14">
        <v>316.56157758312088</v>
      </c>
      <c r="J63">
        <v>92</v>
      </c>
      <c r="K63">
        <v>78</v>
      </c>
      <c r="L63">
        <v>67</v>
      </c>
      <c r="M63">
        <v>62</v>
      </c>
      <c r="N63" s="120">
        <v>0</v>
      </c>
      <c r="O63" s="120">
        <v>2.7027027027027029E-2</v>
      </c>
      <c r="P63">
        <v>45</v>
      </c>
    </row>
    <row r="64" spans="1:16">
      <c r="A64" t="s">
        <v>140</v>
      </c>
      <c r="B64">
        <v>117</v>
      </c>
      <c r="C64">
        <v>106</v>
      </c>
      <c r="D64">
        <v>112</v>
      </c>
      <c r="E64">
        <v>117</v>
      </c>
      <c r="F64">
        <v>27</v>
      </c>
      <c r="G64">
        <v>57</v>
      </c>
      <c r="H64">
        <v>268.7</v>
      </c>
      <c r="I64" s="14">
        <v>318.38281167387163</v>
      </c>
      <c r="J64">
        <v>93</v>
      </c>
      <c r="K64">
        <v>79</v>
      </c>
      <c r="L64">
        <v>68</v>
      </c>
      <c r="M64">
        <v>63</v>
      </c>
      <c r="N64" s="120">
        <v>0</v>
      </c>
      <c r="O64" s="120">
        <v>6.6666666666666666E-2</v>
      </c>
      <c r="P64">
        <v>26</v>
      </c>
    </row>
    <row r="65" spans="1:16">
      <c r="A65" t="s">
        <v>79</v>
      </c>
      <c r="B65">
        <v>90</v>
      </c>
      <c r="C65">
        <v>103</v>
      </c>
      <c r="D65">
        <v>81</v>
      </c>
      <c r="E65">
        <v>75</v>
      </c>
      <c r="F65">
        <v>120</v>
      </c>
      <c r="G65">
        <v>73</v>
      </c>
      <c r="H65">
        <v>251.79999999999998</v>
      </c>
      <c r="I65" s="14">
        <v>318.47351947273876</v>
      </c>
      <c r="J65">
        <v>68</v>
      </c>
      <c r="K65">
        <v>59</v>
      </c>
      <c r="L65">
        <v>69</v>
      </c>
      <c r="M65">
        <v>64</v>
      </c>
      <c r="N65" s="120">
        <v>0</v>
      </c>
      <c r="O65" s="120">
        <v>6.0606060606060608E-2</v>
      </c>
      <c r="P65">
        <v>-34</v>
      </c>
    </row>
    <row r="66" spans="1:16">
      <c r="A66" t="s">
        <v>162</v>
      </c>
      <c r="B66">
        <v>184</v>
      </c>
      <c r="C66">
        <v>99</v>
      </c>
      <c r="D66">
        <v>40</v>
      </c>
      <c r="E66">
        <v>50</v>
      </c>
      <c r="F66">
        <v>124</v>
      </c>
      <c r="G66">
        <v>66</v>
      </c>
      <c r="H66">
        <v>258.90000000000003</v>
      </c>
      <c r="I66" s="14">
        <v>321.43305530203395</v>
      </c>
      <c r="J66">
        <v>81</v>
      </c>
      <c r="K66">
        <v>69</v>
      </c>
      <c r="L66">
        <v>70</v>
      </c>
      <c r="M66">
        <v>65</v>
      </c>
      <c r="N66" s="120">
        <v>0</v>
      </c>
      <c r="O66" s="120">
        <v>2.564102564102564E-2</v>
      </c>
      <c r="P66">
        <v>-17</v>
      </c>
    </row>
    <row r="67" spans="1:16">
      <c r="A67" t="s">
        <v>182</v>
      </c>
      <c r="B67">
        <v>198</v>
      </c>
      <c r="C67">
        <v>102</v>
      </c>
      <c r="D67">
        <v>112</v>
      </c>
      <c r="E67">
        <v>11</v>
      </c>
      <c r="F67">
        <v>58</v>
      </c>
      <c r="G67">
        <v>60</v>
      </c>
      <c r="H67">
        <v>276.39999999999998</v>
      </c>
      <c r="I67" s="14">
        <v>325.70492130502555</v>
      </c>
      <c r="J67">
        <v>102</v>
      </c>
      <c r="K67">
        <v>88</v>
      </c>
      <c r="L67">
        <v>74</v>
      </c>
      <c r="M67">
        <v>66</v>
      </c>
      <c r="N67" s="120">
        <v>0</v>
      </c>
      <c r="O67" s="120">
        <v>7.6923076923076927E-2</v>
      </c>
      <c r="P67">
        <v>-9</v>
      </c>
    </row>
    <row r="68" spans="1:16">
      <c r="A68" t="s">
        <v>10</v>
      </c>
      <c r="B68">
        <v>10</v>
      </c>
      <c r="C68">
        <v>194</v>
      </c>
      <c r="D68">
        <v>114</v>
      </c>
      <c r="E68">
        <v>6</v>
      </c>
      <c r="F68">
        <v>143</v>
      </c>
      <c r="G68">
        <v>83</v>
      </c>
      <c r="H68">
        <v>280.2</v>
      </c>
      <c r="I68" s="14">
        <v>326.73730065225601</v>
      </c>
      <c r="J68">
        <v>107</v>
      </c>
      <c r="K68">
        <v>92</v>
      </c>
      <c r="L68">
        <v>75</v>
      </c>
      <c r="M68">
        <v>67</v>
      </c>
      <c r="N68" s="120">
        <v>0</v>
      </c>
      <c r="O68" s="120">
        <v>3.2258064516129031E-2</v>
      </c>
      <c r="P68">
        <v>24</v>
      </c>
    </row>
    <row r="69" spans="1:16">
      <c r="A69" t="s">
        <v>137</v>
      </c>
      <c r="B69">
        <v>152</v>
      </c>
      <c r="C69">
        <v>10</v>
      </c>
      <c r="D69">
        <v>83</v>
      </c>
      <c r="E69">
        <v>47</v>
      </c>
      <c r="F69">
        <v>181</v>
      </c>
      <c r="G69">
        <v>76</v>
      </c>
      <c r="H69">
        <v>232.3</v>
      </c>
      <c r="I69" s="14">
        <v>327.98472332239959</v>
      </c>
      <c r="J69">
        <v>47</v>
      </c>
      <c r="K69">
        <v>42</v>
      </c>
      <c r="L69">
        <v>76</v>
      </c>
      <c r="M69">
        <v>68</v>
      </c>
      <c r="N69" s="120">
        <v>0</v>
      </c>
      <c r="O69" s="120">
        <v>9.6774193548387094E-2</v>
      </c>
      <c r="P69">
        <v>-50</v>
      </c>
    </row>
    <row r="70" spans="1:16">
      <c r="A70" t="s">
        <v>115</v>
      </c>
      <c r="B70">
        <v>123</v>
      </c>
      <c r="C70">
        <v>54</v>
      </c>
      <c r="D70">
        <v>75</v>
      </c>
      <c r="E70">
        <v>67</v>
      </c>
      <c r="F70">
        <v>82</v>
      </c>
      <c r="G70">
        <v>115</v>
      </c>
      <c r="H70">
        <v>211.40000000000003</v>
      </c>
      <c r="I70" s="14">
        <v>330.25414686844522</v>
      </c>
      <c r="J70">
        <v>32</v>
      </c>
      <c r="K70">
        <v>30</v>
      </c>
      <c r="L70">
        <v>77</v>
      </c>
      <c r="M70">
        <v>69</v>
      </c>
      <c r="N70" s="120">
        <v>0</v>
      </c>
      <c r="O70" s="120">
        <v>4.3478260869565216E-2</v>
      </c>
      <c r="P70">
        <v>-1</v>
      </c>
    </row>
    <row r="71" spans="1:16">
      <c r="A71" t="s">
        <v>93</v>
      </c>
      <c r="B71">
        <v>97</v>
      </c>
      <c r="C71">
        <v>93</v>
      </c>
      <c r="D71">
        <v>40</v>
      </c>
      <c r="E71">
        <v>158</v>
      </c>
      <c r="F71">
        <v>145</v>
      </c>
      <c r="G71">
        <v>63</v>
      </c>
      <c r="H71">
        <v>262.8</v>
      </c>
      <c r="I71" s="14">
        <v>331.08052757498456</v>
      </c>
      <c r="J71">
        <v>88</v>
      </c>
      <c r="K71">
        <v>75</v>
      </c>
      <c r="L71">
        <v>78</v>
      </c>
      <c r="M71">
        <v>70</v>
      </c>
      <c r="N71" s="120">
        <v>0</v>
      </c>
      <c r="O71" s="120">
        <v>0</v>
      </c>
      <c r="P71">
        <v>-7</v>
      </c>
    </row>
    <row r="72" spans="1:16">
      <c r="A72" t="s">
        <v>118</v>
      </c>
      <c r="B72">
        <v>127</v>
      </c>
      <c r="C72">
        <v>55</v>
      </c>
      <c r="D72">
        <v>59</v>
      </c>
      <c r="E72">
        <v>87</v>
      </c>
      <c r="F72">
        <v>138</v>
      </c>
      <c r="G72">
        <v>89</v>
      </c>
      <c r="H72">
        <v>233.3</v>
      </c>
      <c r="I72" s="14">
        <v>331.14927724758962</v>
      </c>
      <c r="J72">
        <v>50</v>
      </c>
      <c r="K72">
        <v>45</v>
      </c>
      <c r="L72">
        <v>79</v>
      </c>
      <c r="M72">
        <v>71</v>
      </c>
      <c r="N72" s="120">
        <v>0</v>
      </c>
      <c r="O72" s="120">
        <v>3.0303030303030304E-2</v>
      </c>
      <c r="P72">
        <v>70</v>
      </c>
    </row>
    <row r="73" spans="1:16">
      <c r="A73" t="s">
        <v>59</v>
      </c>
      <c r="B73">
        <v>82</v>
      </c>
      <c r="C73">
        <v>115</v>
      </c>
      <c r="D73">
        <v>157</v>
      </c>
      <c r="E73">
        <v>9</v>
      </c>
      <c r="F73">
        <v>56</v>
      </c>
      <c r="G73">
        <v>93</v>
      </c>
      <c r="H73">
        <v>257.39999999999998</v>
      </c>
      <c r="I73" s="14">
        <v>331.37532653596224</v>
      </c>
      <c r="J73">
        <v>78</v>
      </c>
      <c r="K73">
        <v>66</v>
      </c>
      <c r="L73">
        <v>80</v>
      </c>
      <c r="M73">
        <v>72</v>
      </c>
      <c r="N73" s="120">
        <v>0</v>
      </c>
      <c r="O73" s="120">
        <v>0</v>
      </c>
      <c r="P73">
        <v>11</v>
      </c>
    </row>
    <row r="74" spans="1:16">
      <c r="A74" t="s">
        <v>56</v>
      </c>
      <c r="B74">
        <v>48</v>
      </c>
      <c r="C74">
        <v>169</v>
      </c>
      <c r="D74">
        <v>133</v>
      </c>
      <c r="E74">
        <v>54</v>
      </c>
      <c r="F74">
        <v>50</v>
      </c>
      <c r="G74">
        <v>85</v>
      </c>
      <c r="H74">
        <v>277</v>
      </c>
      <c r="I74" s="14">
        <v>332.22542926199793</v>
      </c>
      <c r="J74">
        <v>103</v>
      </c>
      <c r="K74">
        <v>89</v>
      </c>
      <c r="L74">
        <v>81</v>
      </c>
      <c r="M74">
        <v>73</v>
      </c>
      <c r="N74" s="120">
        <v>0</v>
      </c>
      <c r="O74" s="120">
        <v>0</v>
      </c>
      <c r="P74">
        <v>25</v>
      </c>
    </row>
    <row r="75" spans="1:16">
      <c r="A75" t="s">
        <v>134</v>
      </c>
      <c r="B75">
        <v>151</v>
      </c>
      <c r="C75">
        <v>68</v>
      </c>
      <c r="D75">
        <v>111</v>
      </c>
      <c r="E75">
        <v>116</v>
      </c>
      <c r="F75">
        <v>37</v>
      </c>
      <c r="G75">
        <v>69</v>
      </c>
      <c r="H75">
        <v>262</v>
      </c>
      <c r="I75" s="14">
        <v>334.76710217934374</v>
      </c>
      <c r="J75">
        <v>86</v>
      </c>
      <c r="K75">
        <v>74</v>
      </c>
      <c r="L75">
        <v>82</v>
      </c>
      <c r="M75">
        <v>74</v>
      </c>
      <c r="N75" s="120">
        <v>0</v>
      </c>
      <c r="O75" s="120">
        <v>2.9411764705882353E-2</v>
      </c>
      <c r="P75">
        <v>-37</v>
      </c>
    </row>
    <row r="76" spans="1:16">
      <c r="A76" t="s">
        <v>27</v>
      </c>
      <c r="B76">
        <v>12</v>
      </c>
      <c r="C76">
        <v>138</v>
      </c>
      <c r="D76">
        <v>193</v>
      </c>
      <c r="E76">
        <v>90</v>
      </c>
      <c r="F76">
        <v>12</v>
      </c>
      <c r="G76">
        <v>80</v>
      </c>
      <c r="H76">
        <v>278.5</v>
      </c>
      <c r="I76" s="14">
        <v>335.90148088275009</v>
      </c>
      <c r="J76">
        <v>106</v>
      </c>
      <c r="K76">
        <v>91</v>
      </c>
      <c r="L76">
        <v>83</v>
      </c>
      <c r="M76">
        <v>75</v>
      </c>
      <c r="N76" s="120">
        <v>0</v>
      </c>
      <c r="O76" s="120">
        <v>7.6923076923076927E-2</v>
      </c>
      <c r="P76">
        <v>-2</v>
      </c>
    </row>
    <row r="77" spans="1:16">
      <c r="A77" t="s">
        <v>152</v>
      </c>
      <c r="B77">
        <v>149</v>
      </c>
      <c r="C77">
        <v>7</v>
      </c>
      <c r="D77">
        <v>75</v>
      </c>
      <c r="E77">
        <v>58</v>
      </c>
      <c r="F77">
        <v>172</v>
      </c>
      <c r="G77">
        <v>92</v>
      </c>
      <c r="H77">
        <v>223.90000000000003</v>
      </c>
      <c r="I77" s="14">
        <v>336.61348209929946</v>
      </c>
      <c r="J77">
        <v>40</v>
      </c>
      <c r="K77">
        <v>38</v>
      </c>
      <c r="L77">
        <v>84</v>
      </c>
      <c r="M77">
        <v>76</v>
      </c>
      <c r="N77" s="120">
        <v>0</v>
      </c>
      <c r="O77" s="120">
        <v>3.125E-2</v>
      </c>
      <c r="P77">
        <v>2</v>
      </c>
    </row>
    <row r="78" spans="1:16">
      <c r="A78" t="s">
        <v>154</v>
      </c>
      <c r="B78">
        <v>134</v>
      </c>
      <c r="C78">
        <v>9</v>
      </c>
      <c r="D78">
        <v>130</v>
      </c>
      <c r="E78">
        <v>135</v>
      </c>
      <c r="F78">
        <v>72</v>
      </c>
      <c r="G78">
        <v>77</v>
      </c>
      <c r="H78">
        <v>247.10000000000002</v>
      </c>
      <c r="I78" s="14">
        <v>345.12133975683673</v>
      </c>
      <c r="J78">
        <v>65</v>
      </c>
      <c r="K78">
        <v>56</v>
      </c>
      <c r="L78">
        <v>85</v>
      </c>
      <c r="M78">
        <v>77</v>
      </c>
      <c r="N78" s="120">
        <v>0</v>
      </c>
      <c r="O78" s="120">
        <v>7.1428571428571425E-2</v>
      </c>
      <c r="P78">
        <v>-49</v>
      </c>
    </row>
    <row r="79" spans="1:16">
      <c r="A79" t="s">
        <v>151</v>
      </c>
      <c r="B79">
        <v>139</v>
      </c>
      <c r="C79">
        <v>97</v>
      </c>
      <c r="D79">
        <v>17</v>
      </c>
      <c r="E79">
        <v>176</v>
      </c>
      <c r="F79">
        <v>86</v>
      </c>
      <c r="G79">
        <v>87</v>
      </c>
      <c r="H79">
        <v>254.1</v>
      </c>
      <c r="I79" s="14">
        <v>345.35622708049522</v>
      </c>
      <c r="J79">
        <v>74</v>
      </c>
      <c r="K79">
        <v>62</v>
      </c>
      <c r="L79">
        <v>86</v>
      </c>
      <c r="M79">
        <v>78</v>
      </c>
      <c r="N79" s="120">
        <v>0</v>
      </c>
      <c r="O79" s="120">
        <v>2.9411764705882353E-2</v>
      </c>
      <c r="P79">
        <v>46</v>
      </c>
    </row>
    <row r="80" spans="1:16">
      <c r="A80" t="s">
        <v>161</v>
      </c>
      <c r="B80">
        <v>143</v>
      </c>
      <c r="C80">
        <v>65</v>
      </c>
      <c r="D80">
        <v>95</v>
      </c>
      <c r="E80">
        <v>80</v>
      </c>
      <c r="F80">
        <v>72</v>
      </c>
      <c r="G80">
        <v>102</v>
      </c>
      <c r="H80">
        <v>244.3</v>
      </c>
      <c r="I80" s="14">
        <v>349.10722565128719</v>
      </c>
      <c r="J80">
        <v>62</v>
      </c>
      <c r="K80">
        <v>55</v>
      </c>
      <c r="L80">
        <v>88</v>
      </c>
      <c r="M80">
        <v>79</v>
      </c>
      <c r="N80" s="120">
        <v>0</v>
      </c>
      <c r="O80" s="120">
        <v>0</v>
      </c>
      <c r="P80">
        <v>-25</v>
      </c>
    </row>
    <row r="81" spans="1:16">
      <c r="A81" t="s">
        <v>155</v>
      </c>
      <c r="B81">
        <v>149</v>
      </c>
      <c r="C81">
        <v>179</v>
      </c>
      <c r="D81">
        <v>45</v>
      </c>
      <c r="E81">
        <v>26</v>
      </c>
      <c r="F81">
        <v>119</v>
      </c>
      <c r="G81">
        <v>95</v>
      </c>
      <c r="H81">
        <v>289.3</v>
      </c>
      <c r="I81" s="14">
        <v>357.67434495349528</v>
      </c>
      <c r="J81">
        <v>115</v>
      </c>
      <c r="K81">
        <v>99</v>
      </c>
      <c r="L81">
        <v>91</v>
      </c>
      <c r="M81">
        <v>80</v>
      </c>
      <c r="N81" s="120">
        <v>0</v>
      </c>
      <c r="O81" s="120">
        <v>0</v>
      </c>
      <c r="P81">
        <v>8</v>
      </c>
    </row>
    <row r="82" spans="1:16">
      <c r="A82" t="s">
        <v>127</v>
      </c>
      <c r="B82">
        <v>85</v>
      </c>
      <c r="C82">
        <v>87</v>
      </c>
      <c r="D82">
        <v>94</v>
      </c>
      <c r="E82">
        <v>53</v>
      </c>
      <c r="F82">
        <v>163</v>
      </c>
      <c r="G82">
        <v>105</v>
      </c>
      <c r="H82">
        <v>255.59999999999997</v>
      </c>
      <c r="I82" s="14">
        <v>358.44849140059978</v>
      </c>
      <c r="J82">
        <v>75</v>
      </c>
      <c r="K82">
        <v>63</v>
      </c>
      <c r="L82">
        <v>92</v>
      </c>
      <c r="M82">
        <v>81</v>
      </c>
      <c r="N82" s="120">
        <v>0</v>
      </c>
      <c r="O82" s="120">
        <v>0</v>
      </c>
      <c r="P82">
        <v>50</v>
      </c>
    </row>
    <row r="83" spans="1:16">
      <c r="A83" t="s">
        <v>101</v>
      </c>
      <c r="B83">
        <v>113</v>
      </c>
      <c r="C83">
        <v>77</v>
      </c>
      <c r="D83">
        <v>93</v>
      </c>
      <c r="E83">
        <v>172</v>
      </c>
      <c r="F83">
        <v>74</v>
      </c>
      <c r="G83">
        <v>78</v>
      </c>
      <c r="H83">
        <v>273.90000000000003</v>
      </c>
      <c r="I83" s="14">
        <v>359.07237318580576</v>
      </c>
      <c r="J83">
        <v>101</v>
      </c>
      <c r="K83">
        <v>87</v>
      </c>
      <c r="L83">
        <v>93</v>
      </c>
      <c r="M83">
        <v>82</v>
      </c>
      <c r="N83" s="120">
        <v>0</v>
      </c>
      <c r="O83" s="120">
        <v>2.9411764705882353E-2</v>
      </c>
      <c r="P83">
        <v>11</v>
      </c>
    </row>
    <row r="84" spans="1:16">
      <c r="A84" t="s">
        <v>117</v>
      </c>
      <c r="B84">
        <v>111</v>
      </c>
      <c r="C84">
        <v>81</v>
      </c>
      <c r="D84">
        <v>29</v>
      </c>
      <c r="E84">
        <v>181</v>
      </c>
      <c r="F84">
        <v>148</v>
      </c>
      <c r="G84">
        <v>86</v>
      </c>
      <c r="H84">
        <v>264.10000000000002</v>
      </c>
      <c r="I84" s="14">
        <v>361.10826666345787</v>
      </c>
      <c r="J84">
        <v>91</v>
      </c>
      <c r="K84">
        <v>77</v>
      </c>
      <c r="L84">
        <v>94</v>
      </c>
      <c r="M84">
        <v>83</v>
      </c>
      <c r="N84" s="120">
        <v>0</v>
      </c>
      <c r="O84" s="120">
        <v>0</v>
      </c>
      <c r="P84">
        <v>-11</v>
      </c>
    </row>
    <row r="85" spans="1:16">
      <c r="A85" t="s">
        <v>147</v>
      </c>
      <c r="B85">
        <v>158</v>
      </c>
      <c r="C85">
        <v>85</v>
      </c>
      <c r="D85">
        <v>123</v>
      </c>
      <c r="E85">
        <v>133</v>
      </c>
      <c r="F85">
        <v>26</v>
      </c>
      <c r="G85">
        <v>72</v>
      </c>
      <c r="H85">
        <v>288.2</v>
      </c>
      <c r="I85" s="14">
        <v>361.18151230981545</v>
      </c>
      <c r="J85">
        <v>112</v>
      </c>
      <c r="K85">
        <v>96</v>
      </c>
      <c r="L85">
        <v>95</v>
      </c>
      <c r="M85">
        <v>84</v>
      </c>
      <c r="N85" s="120">
        <v>0</v>
      </c>
      <c r="O85" s="120">
        <v>5.4054054054054057E-2</v>
      </c>
      <c r="P85">
        <v>-37</v>
      </c>
    </row>
    <row r="86" spans="1:16">
      <c r="A86" t="s">
        <v>60</v>
      </c>
      <c r="B86">
        <v>55</v>
      </c>
      <c r="C86">
        <v>19</v>
      </c>
      <c r="D86">
        <v>146</v>
      </c>
      <c r="E86">
        <v>178</v>
      </c>
      <c r="F86">
        <v>112</v>
      </c>
      <c r="G86">
        <v>82</v>
      </c>
      <c r="H86">
        <v>259</v>
      </c>
      <c r="I86" s="14">
        <v>362.51553018858726</v>
      </c>
      <c r="J86">
        <v>82</v>
      </c>
      <c r="K86">
        <v>70</v>
      </c>
      <c r="L86">
        <v>96</v>
      </c>
      <c r="M86">
        <v>85</v>
      </c>
      <c r="N86" s="120">
        <v>0</v>
      </c>
      <c r="O86" s="120">
        <v>7.1428571428571425E-2</v>
      </c>
      <c r="P86">
        <v>-44</v>
      </c>
    </row>
    <row r="87" spans="1:16">
      <c r="A87" t="s">
        <v>55</v>
      </c>
      <c r="B87">
        <v>103</v>
      </c>
      <c r="C87">
        <v>107</v>
      </c>
      <c r="D87">
        <v>19</v>
      </c>
      <c r="E87">
        <v>155</v>
      </c>
      <c r="F87">
        <v>140</v>
      </c>
      <c r="G87">
        <v>104</v>
      </c>
      <c r="H87">
        <v>257.7</v>
      </c>
      <c r="I87" s="14">
        <v>363.22913331576876</v>
      </c>
      <c r="J87">
        <v>79</v>
      </c>
      <c r="K87">
        <v>67</v>
      </c>
      <c r="L87">
        <v>97</v>
      </c>
      <c r="M87">
        <v>86</v>
      </c>
      <c r="N87" s="120">
        <v>0</v>
      </c>
      <c r="O87" s="120">
        <v>2.8571428571428571E-2</v>
      </c>
      <c r="P87">
        <v>34</v>
      </c>
    </row>
    <row r="88" spans="1:16">
      <c r="A88" t="s">
        <v>109</v>
      </c>
      <c r="B88">
        <v>135</v>
      </c>
      <c r="C88">
        <v>25</v>
      </c>
      <c r="D88">
        <v>79</v>
      </c>
      <c r="E88">
        <v>199</v>
      </c>
      <c r="F88">
        <v>52</v>
      </c>
      <c r="G88">
        <v>101</v>
      </c>
      <c r="H88">
        <v>240.70000000000005</v>
      </c>
      <c r="I88" s="14">
        <v>363.40409774171707</v>
      </c>
      <c r="J88">
        <v>58</v>
      </c>
      <c r="K88">
        <v>52</v>
      </c>
      <c r="L88">
        <v>98</v>
      </c>
      <c r="M88">
        <v>87</v>
      </c>
      <c r="N88" s="120">
        <v>0</v>
      </c>
      <c r="O88" s="120">
        <v>2.8571428571428571E-2</v>
      </c>
      <c r="P88">
        <v>43</v>
      </c>
    </row>
    <row r="89" spans="1:16">
      <c r="A89" t="s">
        <v>36</v>
      </c>
      <c r="B89">
        <v>53</v>
      </c>
      <c r="C89">
        <v>129</v>
      </c>
      <c r="D89">
        <v>17</v>
      </c>
      <c r="E89">
        <v>177</v>
      </c>
      <c r="F89">
        <v>174</v>
      </c>
      <c r="G89">
        <v>100</v>
      </c>
      <c r="H89">
        <v>269.10000000000002</v>
      </c>
      <c r="I89" s="14">
        <v>367.16854591008598</v>
      </c>
      <c r="J89">
        <v>94</v>
      </c>
      <c r="K89">
        <v>80</v>
      </c>
      <c r="L89">
        <v>100</v>
      </c>
      <c r="M89">
        <v>88</v>
      </c>
      <c r="N89" s="120">
        <v>0</v>
      </c>
      <c r="O89" s="120">
        <v>2.7027027027027029E-2</v>
      </c>
      <c r="P89">
        <v>-41</v>
      </c>
    </row>
    <row r="90" spans="1:16">
      <c r="A90" t="s">
        <v>122</v>
      </c>
      <c r="B90">
        <v>132</v>
      </c>
      <c r="C90">
        <v>66</v>
      </c>
      <c r="D90">
        <v>104</v>
      </c>
      <c r="E90">
        <v>119</v>
      </c>
      <c r="F90">
        <v>95</v>
      </c>
      <c r="G90">
        <v>94</v>
      </c>
      <c r="H90">
        <v>270.60000000000002</v>
      </c>
      <c r="I90" s="14">
        <v>371.66047645739786</v>
      </c>
      <c r="J90">
        <v>97</v>
      </c>
      <c r="K90">
        <v>83</v>
      </c>
      <c r="L90">
        <v>101</v>
      </c>
      <c r="M90">
        <v>89</v>
      </c>
      <c r="N90" s="120">
        <v>0</v>
      </c>
      <c r="O90" s="120">
        <v>6.25E-2</v>
      </c>
      <c r="P90">
        <v>3</v>
      </c>
    </row>
    <row r="91" spans="1:16">
      <c r="A91" t="s">
        <v>181</v>
      </c>
      <c r="B91">
        <v>199</v>
      </c>
      <c r="C91">
        <v>53</v>
      </c>
      <c r="D91">
        <v>11</v>
      </c>
      <c r="E91">
        <v>123</v>
      </c>
      <c r="F91">
        <v>144</v>
      </c>
      <c r="G91">
        <v>108</v>
      </c>
      <c r="H91">
        <v>251.1</v>
      </c>
      <c r="I91" s="14">
        <v>375.04768331807099</v>
      </c>
      <c r="J91">
        <v>66</v>
      </c>
      <c r="K91">
        <v>57</v>
      </c>
      <c r="L91">
        <v>102</v>
      </c>
      <c r="M91">
        <v>90</v>
      </c>
      <c r="N91" s="120">
        <v>0</v>
      </c>
      <c r="O91" s="120">
        <v>0</v>
      </c>
      <c r="P91">
        <v>-47</v>
      </c>
    </row>
    <row r="92" spans="1:16">
      <c r="A92" t="s">
        <v>126</v>
      </c>
      <c r="B92">
        <v>100</v>
      </c>
      <c r="C92">
        <v>32</v>
      </c>
      <c r="D92">
        <v>89</v>
      </c>
      <c r="E92">
        <v>120</v>
      </c>
      <c r="F92">
        <v>142</v>
      </c>
      <c r="G92">
        <v>120</v>
      </c>
      <c r="H92">
        <v>239.5</v>
      </c>
      <c r="I92" s="14">
        <v>376.06468494753955</v>
      </c>
      <c r="J92">
        <v>56</v>
      </c>
      <c r="K92">
        <v>51</v>
      </c>
      <c r="L92">
        <v>103</v>
      </c>
      <c r="M92">
        <v>91</v>
      </c>
      <c r="N92" s="120">
        <v>0</v>
      </c>
      <c r="O92" s="120">
        <v>3.2258064516129031E-2</v>
      </c>
      <c r="P92">
        <v>-18</v>
      </c>
    </row>
    <row r="93" spans="1:16">
      <c r="A93" t="s">
        <v>163</v>
      </c>
      <c r="B93">
        <v>165</v>
      </c>
      <c r="C93">
        <v>17</v>
      </c>
      <c r="D93">
        <v>52</v>
      </c>
      <c r="E93">
        <v>27</v>
      </c>
      <c r="F93">
        <v>204</v>
      </c>
      <c r="G93">
        <v>136</v>
      </c>
      <c r="H93">
        <v>223.20000000000005</v>
      </c>
      <c r="I93" s="14">
        <v>377.15557894652881</v>
      </c>
      <c r="J93">
        <v>39</v>
      </c>
      <c r="K93">
        <v>37</v>
      </c>
      <c r="L93">
        <v>104</v>
      </c>
      <c r="M93">
        <v>92</v>
      </c>
      <c r="N93" s="120">
        <v>0</v>
      </c>
      <c r="O93" s="120">
        <v>5.7142857142857141E-2</v>
      </c>
      <c r="P93">
        <v>-4</v>
      </c>
    </row>
    <row r="94" spans="1:16">
      <c r="A94" t="s">
        <v>77</v>
      </c>
      <c r="B94">
        <v>50</v>
      </c>
      <c r="C94">
        <v>200</v>
      </c>
      <c r="D94">
        <v>84</v>
      </c>
      <c r="E94">
        <v>150</v>
      </c>
      <c r="F94">
        <v>89</v>
      </c>
      <c r="G94">
        <v>97</v>
      </c>
      <c r="H94">
        <v>319.40000000000003</v>
      </c>
      <c r="I94" s="14">
        <v>390.18539000054784</v>
      </c>
      <c r="J94">
        <v>140</v>
      </c>
      <c r="K94">
        <v>111</v>
      </c>
      <c r="L94">
        <v>107</v>
      </c>
      <c r="M94">
        <v>93</v>
      </c>
      <c r="N94" s="120">
        <v>0</v>
      </c>
      <c r="O94" s="120">
        <v>0</v>
      </c>
      <c r="P94">
        <v>43</v>
      </c>
    </row>
    <row r="95" spans="1:16">
      <c r="A95" t="s">
        <v>87</v>
      </c>
      <c r="B95">
        <v>66</v>
      </c>
      <c r="C95">
        <v>108</v>
      </c>
      <c r="D95">
        <v>64</v>
      </c>
      <c r="E95">
        <v>122</v>
      </c>
      <c r="F95">
        <v>168</v>
      </c>
      <c r="G95">
        <v>124</v>
      </c>
      <c r="H95">
        <v>269.39999999999998</v>
      </c>
      <c r="I95" s="14">
        <v>391.87942879587115</v>
      </c>
      <c r="J95">
        <v>96</v>
      </c>
      <c r="K95">
        <v>82</v>
      </c>
      <c r="L95">
        <v>108</v>
      </c>
      <c r="M95">
        <v>94</v>
      </c>
      <c r="N95" s="120">
        <v>0</v>
      </c>
      <c r="O95" s="120">
        <v>0</v>
      </c>
      <c r="P95">
        <v>3</v>
      </c>
    </row>
    <row r="96" spans="1:16">
      <c r="A96" t="s">
        <v>17</v>
      </c>
      <c r="B96">
        <v>6</v>
      </c>
      <c r="C96">
        <v>141</v>
      </c>
      <c r="D96">
        <v>16</v>
      </c>
      <c r="E96">
        <v>206</v>
      </c>
      <c r="F96">
        <v>192</v>
      </c>
      <c r="G96">
        <v>123</v>
      </c>
      <c r="H96">
        <v>272.10000000000002</v>
      </c>
      <c r="I96" s="14">
        <v>391.93907719719823</v>
      </c>
      <c r="J96">
        <v>98</v>
      </c>
      <c r="K96">
        <v>84</v>
      </c>
      <c r="L96">
        <v>109</v>
      </c>
      <c r="M96">
        <v>95</v>
      </c>
      <c r="N96" s="120">
        <v>0</v>
      </c>
      <c r="O96" s="120">
        <v>8.3333333333333329E-2</v>
      </c>
      <c r="P96">
        <v>23</v>
      </c>
    </row>
    <row r="97" spans="1:16">
      <c r="A97" t="s">
        <v>142</v>
      </c>
      <c r="B97">
        <v>157</v>
      </c>
      <c r="C97">
        <v>197</v>
      </c>
      <c r="D97">
        <v>151</v>
      </c>
      <c r="E97">
        <v>25</v>
      </c>
      <c r="F97">
        <v>16</v>
      </c>
      <c r="G97">
        <v>96</v>
      </c>
      <c r="H97">
        <v>338.49999999999994</v>
      </c>
      <c r="I97" s="14">
        <v>398.26711142602574</v>
      </c>
      <c r="J97">
        <v>158</v>
      </c>
      <c r="K97">
        <v>122</v>
      </c>
      <c r="L97">
        <v>113</v>
      </c>
      <c r="M97">
        <v>96</v>
      </c>
      <c r="N97" s="120">
        <v>0</v>
      </c>
      <c r="O97" s="120">
        <v>2.8571428571428571E-2</v>
      </c>
      <c r="P97">
        <v>30</v>
      </c>
    </row>
    <row r="98" spans="1:16">
      <c r="A98" t="s">
        <v>28</v>
      </c>
      <c r="B98">
        <v>15</v>
      </c>
      <c r="C98">
        <v>111</v>
      </c>
      <c r="D98">
        <v>114</v>
      </c>
      <c r="E98">
        <v>160</v>
      </c>
      <c r="F98">
        <v>154</v>
      </c>
      <c r="G98">
        <v>114</v>
      </c>
      <c r="H98">
        <v>290.60000000000002</v>
      </c>
      <c r="I98" s="14">
        <v>403.00876886734903</v>
      </c>
      <c r="J98">
        <v>118</v>
      </c>
      <c r="K98">
        <v>101</v>
      </c>
      <c r="L98">
        <v>114</v>
      </c>
      <c r="M98">
        <v>97</v>
      </c>
      <c r="N98" s="120">
        <v>0</v>
      </c>
      <c r="O98" s="120">
        <v>6.6666666666666666E-2</v>
      </c>
      <c r="P98">
        <v>-18</v>
      </c>
    </row>
    <row r="99" spans="1:16">
      <c r="A99" t="s">
        <v>102</v>
      </c>
      <c r="B99">
        <v>93</v>
      </c>
      <c r="C99">
        <v>61</v>
      </c>
      <c r="D99">
        <v>23</v>
      </c>
      <c r="E99">
        <v>166</v>
      </c>
      <c r="F99">
        <v>165</v>
      </c>
      <c r="G99">
        <v>153</v>
      </c>
      <c r="H99">
        <v>237.7</v>
      </c>
      <c r="I99" s="14">
        <v>405.28986043035655</v>
      </c>
      <c r="J99">
        <v>53</v>
      </c>
      <c r="K99">
        <v>48</v>
      </c>
      <c r="L99">
        <v>115</v>
      </c>
      <c r="M99">
        <v>98</v>
      </c>
      <c r="N99" s="120">
        <v>0</v>
      </c>
      <c r="O99" s="120">
        <v>0</v>
      </c>
      <c r="P99">
        <v>28</v>
      </c>
    </row>
    <row r="100" spans="1:16">
      <c r="A100" t="s">
        <v>32</v>
      </c>
      <c r="B100">
        <v>66</v>
      </c>
      <c r="C100">
        <v>153</v>
      </c>
      <c r="D100">
        <v>102</v>
      </c>
      <c r="E100">
        <v>136</v>
      </c>
      <c r="F100">
        <v>126</v>
      </c>
      <c r="G100">
        <v>109</v>
      </c>
      <c r="H100">
        <v>316.29999999999995</v>
      </c>
      <c r="I100" s="14">
        <v>412.00926113937379</v>
      </c>
      <c r="J100">
        <v>136</v>
      </c>
      <c r="K100">
        <v>110</v>
      </c>
      <c r="L100">
        <v>119</v>
      </c>
      <c r="M100">
        <v>99</v>
      </c>
      <c r="N100" s="120">
        <v>0</v>
      </c>
      <c r="O100" s="120">
        <v>3.0303030303030304E-2</v>
      </c>
      <c r="P100">
        <v>19</v>
      </c>
    </row>
    <row r="101" spans="1:16">
      <c r="A101" t="s">
        <v>33</v>
      </c>
      <c r="B101">
        <v>18</v>
      </c>
      <c r="C101">
        <v>163</v>
      </c>
      <c r="D101">
        <v>154</v>
      </c>
      <c r="E101">
        <v>159</v>
      </c>
      <c r="F101">
        <v>68</v>
      </c>
      <c r="G101">
        <v>110</v>
      </c>
      <c r="H101">
        <v>321.7</v>
      </c>
      <c r="I101" s="14">
        <v>412.83940432278638</v>
      </c>
      <c r="J101">
        <v>143</v>
      </c>
      <c r="K101">
        <v>113</v>
      </c>
      <c r="L101">
        <v>120</v>
      </c>
      <c r="M101">
        <v>100</v>
      </c>
      <c r="N101" s="120">
        <v>0</v>
      </c>
      <c r="O101" s="120">
        <v>3.125E-2</v>
      </c>
      <c r="P101">
        <v>21</v>
      </c>
    </row>
    <row r="102" spans="1:16">
      <c r="A102" t="s">
        <v>41</v>
      </c>
      <c r="B102">
        <v>28</v>
      </c>
      <c r="C102">
        <v>203</v>
      </c>
      <c r="D102">
        <v>116</v>
      </c>
      <c r="E102">
        <v>162</v>
      </c>
      <c r="F102">
        <v>65</v>
      </c>
      <c r="G102">
        <v>116</v>
      </c>
      <c r="H102">
        <v>328.09999999999997</v>
      </c>
      <c r="I102" s="14">
        <v>416.03544519562854</v>
      </c>
      <c r="J102">
        <v>147</v>
      </c>
      <c r="K102">
        <v>116</v>
      </c>
      <c r="L102">
        <v>122</v>
      </c>
      <c r="M102">
        <v>101</v>
      </c>
      <c r="N102" s="120">
        <v>0</v>
      </c>
      <c r="O102" s="120">
        <v>0</v>
      </c>
      <c r="P102">
        <v>0</v>
      </c>
    </row>
    <row r="103" spans="1:16">
      <c r="A103" t="s">
        <v>19</v>
      </c>
      <c r="B103">
        <v>48</v>
      </c>
      <c r="C103">
        <v>185</v>
      </c>
      <c r="D103">
        <v>137</v>
      </c>
      <c r="E103">
        <v>81</v>
      </c>
      <c r="F103">
        <v>152</v>
      </c>
      <c r="G103">
        <v>107</v>
      </c>
      <c r="H103">
        <v>342.59999999999997</v>
      </c>
      <c r="I103" s="14">
        <v>424.49889885972891</v>
      </c>
      <c r="J103">
        <v>160</v>
      </c>
      <c r="K103">
        <v>123</v>
      </c>
      <c r="L103">
        <v>124</v>
      </c>
      <c r="M103">
        <v>102</v>
      </c>
      <c r="N103" s="120">
        <v>0</v>
      </c>
      <c r="O103" s="120">
        <v>0</v>
      </c>
      <c r="P103">
        <v>-16</v>
      </c>
    </row>
    <row r="104" spans="1:16">
      <c r="A104" t="s">
        <v>236</v>
      </c>
      <c r="B104">
        <v>181</v>
      </c>
      <c r="C104">
        <v>51</v>
      </c>
      <c r="D104">
        <v>164</v>
      </c>
      <c r="E104">
        <v>91</v>
      </c>
      <c r="F104">
        <v>54</v>
      </c>
      <c r="G104">
        <v>119</v>
      </c>
      <c r="H104">
        <v>299</v>
      </c>
      <c r="I104" s="14">
        <v>426.11074626430485</v>
      </c>
      <c r="J104">
        <v>121</v>
      </c>
      <c r="K104">
        <v>103</v>
      </c>
      <c r="L104">
        <v>126</v>
      </c>
      <c r="M104">
        <v>103</v>
      </c>
      <c r="N104" s="120">
        <v>0</v>
      </c>
      <c r="O104" s="120">
        <v>0</v>
      </c>
      <c r="P104">
        <v>-4</v>
      </c>
    </row>
    <row r="105" spans="1:16">
      <c r="A105" t="s">
        <v>133</v>
      </c>
      <c r="B105">
        <v>154</v>
      </c>
      <c r="C105">
        <v>31</v>
      </c>
      <c r="D105">
        <v>128</v>
      </c>
      <c r="E105">
        <v>97</v>
      </c>
      <c r="F105">
        <v>155</v>
      </c>
      <c r="G105">
        <v>120</v>
      </c>
      <c r="H105">
        <v>289.10000000000002</v>
      </c>
      <c r="I105" s="14">
        <v>427.12549524629719</v>
      </c>
      <c r="J105">
        <v>113</v>
      </c>
      <c r="K105">
        <v>97</v>
      </c>
      <c r="L105">
        <v>127</v>
      </c>
      <c r="M105">
        <v>104</v>
      </c>
      <c r="N105" s="120">
        <v>0</v>
      </c>
      <c r="O105" s="120">
        <v>2.8571428571428571E-2</v>
      </c>
      <c r="P105">
        <v>36</v>
      </c>
    </row>
    <row r="106" spans="1:16">
      <c r="A106" t="s">
        <v>23</v>
      </c>
      <c r="B106">
        <v>27</v>
      </c>
      <c r="C106">
        <v>167</v>
      </c>
      <c r="D106">
        <v>57</v>
      </c>
      <c r="E106">
        <v>133</v>
      </c>
      <c r="F106">
        <v>209</v>
      </c>
      <c r="G106">
        <v>134</v>
      </c>
      <c r="H106">
        <v>307.10000000000002</v>
      </c>
      <c r="I106" s="14">
        <v>427.13295035264889</v>
      </c>
      <c r="J106">
        <v>131</v>
      </c>
      <c r="K106">
        <v>107</v>
      </c>
      <c r="L106">
        <v>128</v>
      </c>
      <c r="M106">
        <v>105</v>
      </c>
      <c r="N106" s="120">
        <v>0</v>
      </c>
      <c r="O106" s="120">
        <v>0</v>
      </c>
      <c r="P106">
        <v>-10</v>
      </c>
    </row>
    <row r="107" spans="1:16">
      <c r="A107" t="s">
        <v>67</v>
      </c>
      <c r="B107">
        <v>56</v>
      </c>
      <c r="C107">
        <v>181</v>
      </c>
      <c r="D107">
        <v>195</v>
      </c>
      <c r="E107">
        <v>115</v>
      </c>
      <c r="F107">
        <v>42</v>
      </c>
      <c r="G107">
        <v>103</v>
      </c>
      <c r="H107">
        <v>354</v>
      </c>
      <c r="I107" s="14">
        <v>430.13346034458954</v>
      </c>
      <c r="J107">
        <v>169</v>
      </c>
      <c r="K107">
        <v>128</v>
      </c>
      <c r="L107">
        <v>129</v>
      </c>
      <c r="M107">
        <v>106</v>
      </c>
      <c r="N107" s="120">
        <v>0</v>
      </c>
      <c r="O107" s="120">
        <v>0</v>
      </c>
      <c r="P107">
        <v>-80</v>
      </c>
    </row>
    <row r="108" spans="1:16">
      <c r="A108" t="s">
        <v>90</v>
      </c>
      <c r="B108">
        <v>76</v>
      </c>
      <c r="C108">
        <v>71</v>
      </c>
      <c r="D108">
        <v>72</v>
      </c>
      <c r="E108">
        <v>167</v>
      </c>
      <c r="F108">
        <v>190</v>
      </c>
      <c r="G108">
        <v>137</v>
      </c>
      <c r="H108">
        <v>280.89999999999998</v>
      </c>
      <c r="I108" s="14">
        <v>431.13820522440193</v>
      </c>
      <c r="J108">
        <v>108</v>
      </c>
      <c r="K108">
        <v>93</v>
      </c>
      <c r="L108">
        <v>131</v>
      </c>
      <c r="M108">
        <v>107</v>
      </c>
      <c r="N108" s="120">
        <v>0</v>
      </c>
      <c r="O108" s="120">
        <v>6.0606060606060608E-2</v>
      </c>
      <c r="P108">
        <v>-28</v>
      </c>
    </row>
    <row r="109" spans="1:16">
      <c r="A109" t="s">
        <v>24</v>
      </c>
      <c r="B109">
        <v>16</v>
      </c>
      <c r="C109">
        <v>211</v>
      </c>
      <c r="D109">
        <v>91</v>
      </c>
      <c r="E109">
        <v>147</v>
      </c>
      <c r="F109">
        <v>135</v>
      </c>
      <c r="G109">
        <v>127</v>
      </c>
      <c r="H109">
        <v>332.2</v>
      </c>
      <c r="I109" s="14">
        <v>431.31425586038472</v>
      </c>
      <c r="J109">
        <v>152.5</v>
      </c>
      <c r="K109">
        <v>120</v>
      </c>
      <c r="L109">
        <v>132</v>
      </c>
      <c r="M109">
        <v>108</v>
      </c>
      <c r="N109" s="120">
        <v>0</v>
      </c>
      <c r="O109" s="120">
        <v>7.407407407407407E-2</v>
      </c>
      <c r="P109">
        <v>3</v>
      </c>
    </row>
    <row r="110" spans="1:16">
      <c r="A110" t="s">
        <v>89</v>
      </c>
      <c r="B110">
        <v>107</v>
      </c>
      <c r="C110">
        <v>164</v>
      </c>
      <c r="D110">
        <v>150</v>
      </c>
      <c r="E110">
        <v>64</v>
      </c>
      <c r="F110">
        <v>118</v>
      </c>
      <c r="G110">
        <v>110</v>
      </c>
      <c r="H110">
        <v>346.1</v>
      </c>
      <c r="I110" s="14">
        <v>435.12915845276672</v>
      </c>
      <c r="J110">
        <v>162</v>
      </c>
      <c r="K110">
        <v>124</v>
      </c>
      <c r="L110">
        <v>133</v>
      </c>
      <c r="M110">
        <v>109</v>
      </c>
      <c r="N110" s="120">
        <v>0</v>
      </c>
      <c r="O110" s="120">
        <v>0</v>
      </c>
      <c r="P110">
        <v>8</v>
      </c>
    </row>
    <row r="111" spans="1:16">
      <c r="A111" t="s">
        <v>29</v>
      </c>
      <c r="B111">
        <v>16</v>
      </c>
      <c r="C111">
        <v>165</v>
      </c>
      <c r="D111">
        <v>105</v>
      </c>
      <c r="E111">
        <v>139</v>
      </c>
      <c r="F111">
        <v>189</v>
      </c>
      <c r="G111">
        <v>125</v>
      </c>
      <c r="H111">
        <v>328.2</v>
      </c>
      <c r="I111" s="14">
        <v>438.82419952525316</v>
      </c>
      <c r="J111">
        <v>148</v>
      </c>
      <c r="K111">
        <v>117</v>
      </c>
      <c r="L111">
        <v>135</v>
      </c>
      <c r="M111">
        <v>110</v>
      </c>
      <c r="N111" s="120">
        <v>0</v>
      </c>
      <c r="O111" s="120">
        <v>0</v>
      </c>
      <c r="P111">
        <v>-27</v>
      </c>
    </row>
    <row r="112" spans="1:16">
      <c r="A112" t="s">
        <v>106</v>
      </c>
      <c r="B112">
        <v>102</v>
      </c>
      <c r="C112">
        <v>189</v>
      </c>
      <c r="D112">
        <v>69</v>
      </c>
      <c r="E112">
        <v>207</v>
      </c>
      <c r="F112">
        <v>35</v>
      </c>
      <c r="G112">
        <v>130</v>
      </c>
      <c r="H112">
        <v>328.4</v>
      </c>
      <c r="I112" s="14">
        <v>439.10627399808016</v>
      </c>
      <c r="J112">
        <v>149</v>
      </c>
      <c r="K112">
        <v>118</v>
      </c>
      <c r="L112">
        <v>136</v>
      </c>
      <c r="M112">
        <v>111</v>
      </c>
      <c r="N112" s="120">
        <v>0</v>
      </c>
      <c r="O112" s="120">
        <v>0</v>
      </c>
      <c r="P112">
        <v>15</v>
      </c>
    </row>
    <row r="113" spans="1:16">
      <c r="A113" t="s">
        <v>167</v>
      </c>
      <c r="B113">
        <v>162</v>
      </c>
      <c r="C113">
        <v>39</v>
      </c>
      <c r="D113">
        <v>188</v>
      </c>
      <c r="E113">
        <v>129</v>
      </c>
      <c r="F113">
        <v>23</v>
      </c>
      <c r="G113">
        <v>129</v>
      </c>
      <c r="H113">
        <v>300.7</v>
      </c>
      <c r="I113" s="14">
        <v>441.62109300075133</v>
      </c>
      <c r="J113">
        <v>122</v>
      </c>
      <c r="K113">
        <v>104</v>
      </c>
      <c r="L113">
        <v>137</v>
      </c>
      <c r="M113">
        <v>112</v>
      </c>
      <c r="N113" s="120">
        <v>0</v>
      </c>
      <c r="O113" s="120">
        <v>0</v>
      </c>
      <c r="P113">
        <v>12</v>
      </c>
    </row>
    <row r="114" spans="1:16">
      <c r="A114" t="s">
        <v>166</v>
      </c>
      <c r="B114">
        <v>180</v>
      </c>
      <c r="C114">
        <v>2</v>
      </c>
      <c r="D114">
        <v>122</v>
      </c>
      <c r="E114">
        <v>59</v>
      </c>
      <c r="F114">
        <v>193</v>
      </c>
      <c r="G114">
        <v>148</v>
      </c>
      <c r="H114">
        <v>277.60000000000002</v>
      </c>
      <c r="I114" s="14">
        <v>450.42741164016911</v>
      </c>
      <c r="J114">
        <v>104</v>
      </c>
      <c r="K114">
        <v>90</v>
      </c>
      <c r="L114">
        <v>139</v>
      </c>
      <c r="M114">
        <v>113</v>
      </c>
      <c r="N114" s="120">
        <v>0.04</v>
      </c>
      <c r="O114" s="120">
        <v>0.04</v>
      </c>
      <c r="P114">
        <v>1</v>
      </c>
    </row>
    <row r="115" spans="1:16">
      <c r="A115" t="s">
        <v>53</v>
      </c>
      <c r="B115">
        <v>24</v>
      </c>
      <c r="C115">
        <v>196</v>
      </c>
      <c r="D115">
        <v>82</v>
      </c>
      <c r="E115">
        <v>153</v>
      </c>
      <c r="F115">
        <v>158</v>
      </c>
      <c r="G115">
        <v>145</v>
      </c>
      <c r="H115">
        <v>331</v>
      </c>
      <c r="I115" s="14">
        <v>453.91815504994821</v>
      </c>
      <c r="J115">
        <v>150</v>
      </c>
      <c r="K115">
        <v>119</v>
      </c>
      <c r="L115">
        <v>141</v>
      </c>
      <c r="M115">
        <v>114</v>
      </c>
      <c r="N115" s="120">
        <v>0</v>
      </c>
      <c r="O115" s="120">
        <v>0</v>
      </c>
      <c r="P115">
        <v>-50</v>
      </c>
    </row>
    <row r="116" spans="1:16">
      <c r="A116" t="s">
        <v>123</v>
      </c>
      <c r="B116">
        <v>141</v>
      </c>
      <c r="C116">
        <v>76</v>
      </c>
      <c r="D116">
        <v>161</v>
      </c>
      <c r="E116">
        <v>103</v>
      </c>
      <c r="F116">
        <v>106</v>
      </c>
      <c r="G116">
        <v>133</v>
      </c>
      <c r="H116">
        <v>320</v>
      </c>
      <c r="I116" s="14">
        <v>457.51018658595342</v>
      </c>
      <c r="J116">
        <v>141</v>
      </c>
      <c r="K116">
        <v>112</v>
      </c>
      <c r="L116">
        <v>143</v>
      </c>
      <c r="M116">
        <v>115</v>
      </c>
      <c r="N116" s="120">
        <v>0</v>
      </c>
      <c r="O116" s="120">
        <v>0</v>
      </c>
      <c r="P116">
        <v>-10</v>
      </c>
    </row>
    <row r="117" spans="1:16">
      <c r="A117" t="s">
        <v>185</v>
      </c>
      <c r="B117">
        <v>202</v>
      </c>
      <c r="C117">
        <v>5</v>
      </c>
      <c r="D117">
        <v>109</v>
      </c>
      <c r="E117">
        <v>175</v>
      </c>
      <c r="F117">
        <v>96</v>
      </c>
      <c r="G117">
        <v>139</v>
      </c>
      <c r="H117">
        <v>289.20000000000005</v>
      </c>
      <c r="I117" s="14">
        <v>458.17408797752302</v>
      </c>
      <c r="J117">
        <v>114</v>
      </c>
      <c r="K117">
        <v>98</v>
      </c>
      <c r="L117">
        <v>144</v>
      </c>
      <c r="M117">
        <v>116</v>
      </c>
      <c r="N117" s="120">
        <v>0</v>
      </c>
      <c r="O117" s="120">
        <v>0</v>
      </c>
      <c r="P117">
        <v>-3</v>
      </c>
    </row>
    <row r="118" spans="1:16">
      <c r="A118" t="s">
        <v>165</v>
      </c>
      <c r="B118">
        <v>177</v>
      </c>
      <c r="C118">
        <v>33</v>
      </c>
      <c r="D118">
        <v>181</v>
      </c>
      <c r="E118">
        <v>3</v>
      </c>
      <c r="F118">
        <v>139</v>
      </c>
      <c r="G118">
        <v>159</v>
      </c>
      <c r="H118">
        <v>295.09999999999997</v>
      </c>
      <c r="I118" s="14">
        <v>463.33338737793423</v>
      </c>
      <c r="J118">
        <v>120</v>
      </c>
      <c r="K118">
        <v>102</v>
      </c>
      <c r="L118">
        <v>148</v>
      </c>
      <c r="M118">
        <v>117</v>
      </c>
      <c r="N118" s="120">
        <v>0</v>
      </c>
      <c r="O118" s="120">
        <v>0</v>
      </c>
      <c r="P118">
        <v>-12</v>
      </c>
    </row>
    <row r="119" spans="1:16">
      <c r="A119" t="s">
        <v>160</v>
      </c>
      <c r="B119">
        <v>169</v>
      </c>
      <c r="C119">
        <v>86</v>
      </c>
      <c r="D119">
        <v>139</v>
      </c>
      <c r="E119">
        <v>71</v>
      </c>
      <c r="F119">
        <v>136</v>
      </c>
      <c r="G119">
        <v>138</v>
      </c>
      <c r="H119">
        <v>324.79999999999995</v>
      </c>
      <c r="I119" s="14">
        <v>464.87802416604336</v>
      </c>
      <c r="J119">
        <v>145</v>
      </c>
      <c r="K119">
        <v>114</v>
      </c>
      <c r="L119">
        <v>150</v>
      </c>
      <c r="M119">
        <v>118</v>
      </c>
      <c r="N119" s="120">
        <v>0</v>
      </c>
      <c r="O119" s="120">
        <v>3.0303030303030304E-2</v>
      </c>
      <c r="P119">
        <v>15</v>
      </c>
    </row>
    <row r="120" spans="1:16">
      <c r="A120" t="s">
        <v>116</v>
      </c>
      <c r="B120">
        <v>111</v>
      </c>
      <c r="C120">
        <v>30</v>
      </c>
      <c r="D120">
        <v>166</v>
      </c>
      <c r="E120">
        <v>197</v>
      </c>
      <c r="F120">
        <v>84</v>
      </c>
      <c r="G120">
        <v>140</v>
      </c>
      <c r="H120">
        <v>305.10000000000002</v>
      </c>
      <c r="I120" s="14">
        <v>466.65280348671024</v>
      </c>
      <c r="J120">
        <v>126</v>
      </c>
      <c r="K120">
        <v>105</v>
      </c>
      <c r="L120">
        <v>151</v>
      </c>
      <c r="M120">
        <v>119</v>
      </c>
      <c r="N120" s="120">
        <v>0</v>
      </c>
      <c r="O120" s="120">
        <v>2.9411764705882353E-2</v>
      </c>
      <c r="P120">
        <v>57</v>
      </c>
    </row>
    <row r="121" spans="1:16">
      <c r="A121" t="s">
        <v>107</v>
      </c>
      <c r="B121">
        <v>114</v>
      </c>
      <c r="C121">
        <v>170</v>
      </c>
      <c r="D121">
        <v>174</v>
      </c>
      <c r="E121">
        <v>47</v>
      </c>
      <c r="F121">
        <v>91</v>
      </c>
      <c r="G121">
        <v>149</v>
      </c>
      <c r="H121">
        <v>353</v>
      </c>
      <c r="I121" s="14">
        <v>476.86530931925137</v>
      </c>
      <c r="J121">
        <v>167</v>
      </c>
      <c r="K121">
        <v>127</v>
      </c>
      <c r="L121">
        <v>155</v>
      </c>
      <c r="M121">
        <v>120</v>
      </c>
      <c r="N121" s="120">
        <v>0</v>
      </c>
      <c r="O121" s="120">
        <v>2.8571428571428571E-2</v>
      </c>
      <c r="P121">
        <v>-44</v>
      </c>
    </row>
    <row r="122" spans="1:16">
      <c r="A122" t="s">
        <v>190</v>
      </c>
      <c r="B122">
        <v>210</v>
      </c>
      <c r="C122">
        <v>20</v>
      </c>
      <c r="D122">
        <v>105</v>
      </c>
      <c r="E122">
        <v>127</v>
      </c>
      <c r="F122">
        <v>117</v>
      </c>
      <c r="G122">
        <v>164</v>
      </c>
      <c r="H122">
        <v>290.10000000000002</v>
      </c>
      <c r="I122" s="14">
        <v>477.64616816685839</v>
      </c>
      <c r="J122">
        <v>117</v>
      </c>
      <c r="K122">
        <v>100</v>
      </c>
      <c r="L122">
        <v>156</v>
      </c>
      <c r="M122">
        <v>121</v>
      </c>
      <c r="N122" s="120">
        <v>0</v>
      </c>
      <c r="O122" s="120">
        <v>9.375E-2</v>
      </c>
      <c r="P122">
        <v>14</v>
      </c>
    </row>
    <row r="123" spans="1:16">
      <c r="A123" t="s">
        <v>150</v>
      </c>
      <c r="B123">
        <v>161</v>
      </c>
      <c r="C123">
        <v>64</v>
      </c>
      <c r="D123">
        <v>144</v>
      </c>
      <c r="E123">
        <v>93</v>
      </c>
      <c r="F123">
        <v>132</v>
      </c>
      <c r="G123">
        <v>156</v>
      </c>
      <c r="H123">
        <v>316.10000000000002</v>
      </c>
      <c r="I123" s="14">
        <v>480.89600366331587</v>
      </c>
      <c r="J123">
        <v>135</v>
      </c>
      <c r="K123">
        <v>109</v>
      </c>
      <c r="L123">
        <v>157</v>
      </c>
      <c r="M123">
        <v>122</v>
      </c>
      <c r="N123" s="120">
        <v>0</v>
      </c>
      <c r="O123" s="120">
        <v>0</v>
      </c>
      <c r="P123">
        <v>7</v>
      </c>
    </row>
    <row r="124" spans="1:16">
      <c r="A124" t="s">
        <v>91</v>
      </c>
      <c r="B124">
        <v>59</v>
      </c>
      <c r="C124">
        <v>125</v>
      </c>
      <c r="D124">
        <v>167</v>
      </c>
      <c r="E124">
        <v>73</v>
      </c>
      <c r="F124">
        <v>159</v>
      </c>
      <c r="G124">
        <v>166</v>
      </c>
      <c r="H124">
        <v>326.7</v>
      </c>
      <c r="I124" s="14">
        <v>482.25364829465968</v>
      </c>
      <c r="J124">
        <v>146</v>
      </c>
      <c r="K124">
        <v>115</v>
      </c>
      <c r="L124">
        <v>158</v>
      </c>
      <c r="M124">
        <v>123</v>
      </c>
      <c r="N124" s="120">
        <v>0</v>
      </c>
      <c r="O124" s="120">
        <v>3.0303030303030304E-2</v>
      </c>
      <c r="P124">
        <v>-12</v>
      </c>
    </row>
    <row r="125" spans="1:16">
      <c r="A125" t="s">
        <v>21</v>
      </c>
      <c r="B125">
        <v>44</v>
      </c>
      <c r="C125">
        <v>199</v>
      </c>
      <c r="D125">
        <v>90</v>
      </c>
      <c r="E125">
        <v>198</v>
      </c>
      <c r="F125">
        <v>130</v>
      </c>
      <c r="G125">
        <v>151</v>
      </c>
      <c r="H125">
        <v>355.5</v>
      </c>
      <c r="I125" s="14">
        <v>487.11002029969052</v>
      </c>
      <c r="J125">
        <v>172</v>
      </c>
      <c r="K125">
        <v>129</v>
      </c>
      <c r="L125">
        <v>159</v>
      </c>
      <c r="M125">
        <v>124</v>
      </c>
      <c r="N125" s="120">
        <v>0</v>
      </c>
      <c r="O125" s="120">
        <v>2.8571428571428571E-2</v>
      </c>
      <c r="P125">
        <v>-107</v>
      </c>
    </row>
    <row r="126" spans="1:16">
      <c r="A126" t="s">
        <v>239</v>
      </c>
      <c r="B126">
        <v>183</v>
      </c>
      <c r="C126">
        <v>46</v>
      </c>
      <c r="D126">
        <v>120</v>
      </c>
      <c r="E126">
        <v>143</v>
      </c>
      <c r="F126">
        <v>169</v>
      </c>
      <c r="G126">
        <v>147</v>
      </c>
      <c r="H126">
        <v>332.5</v>
      </c>
      <c r="I126" s="14">
        <v>500.23301439617563</v>
      </c>
      <c r="J126">
        <v>154</v>
      </c>
      <c r="K126">
        <v>121</v>
      </c>
      <c r="L126">
        <v>163</v>
      </c>
      <c r="M126">
        <v>125</v>
      </c>
      <c r="N126" s="120">
        <v>0</v>
      </c>
      <c r="O126" s="120">
        <v>0</v>
      </c>
      <c r="P126">
        <v>-95</v>
      </c>
    </row>
    <row r="127" spans="1:16">
      <c r="A127" t="s">
        <v>145</v>
      </c>
      <c r="B127">
        <v>167</v>
      </c>
      <c r="C127">
        <v>21</v>
      </c>
      <c r="D127">
        <v>86</v>
      </c>
      <c r="E127">
        <v>185</v>
      </c>
      <c r="F127">
        <v>183</v>
      </c>
      <c r="G127">
        <v>171</v>
      </c>
      <c r="H127">
        <v>305.60000000000002</v>
      </c>
      <c r="I127" s="14">
        <v>507.12906143312728</v>
      </c>
      <c r="J127">
        <v>128</v>
      </c>
      <c r="K127">
        <v>106</v>
      </c>
      <c r="L127">
        <v>166</v>
      </c>
      <c r="M127">
        <v>126</v>
      </c>
      <c r="N127" s="120">
        <v>0</v>
      </c>
      <c r="O127" s="120">
        <v>0</v>
      </c>
      <c r="P127">
        <v>-9</v>
      </c>
    </row>
    <row r="128" spans="1:16">
      <c r="A128" t="s">
        <v>156</v>
      </c>
      <c r="B128">
        <v>174</v>
      </c>
      <c r="C128">
        <v>34</v>
      </c>
      <c r="D128">
        <v>102</v>
      </c>
      <c r="E128">
        <v>157</v>
      </c>
      <c r="F128">
        <v>176</v>
      </c>
      <c r="G128">
        <v>168</v>
      </c>
      <c r="H128">
        <v>315.39999999999998</v>
      </c>
      <c r="I128" s="14">
        <v>508.21933688285492</v>
      </c>
      <c r="J128">
        <v>134</v>
      </c>
      <c r="K128">
        <v>108</v>
      </c>
      <c r="L128">
        <v>167</v>
      </c>
      <c r="M128">
        <v>127</v>
      </c>
      <c r="N128" s="120">
        <v>0</v>
      </c>
      <c r="O128" s="120">
        <v>2.9411764705882353E-2</v>
      </c>
      <c r="P128">
        <v>2</v>
      </c>
    </row>
    <row r="129" spans="1:16">
      <c r="A129" t="s">
        <v>121</v>
      </c>
      <c r="B129">
        <v>139</v>
      </c>
      <c r="C129">
        <v>94</v>
      </c>
      <c r="D129">
        <v>160</v>
      </c>
      <c r="E129">
        <v>136</v>
      </c>
      <c r="F129">
        <v>128</v>
      </c>
      <c r="G129">
        <v>167</v>
      </c>
      <c r="H129">
        <v>352.90000000000003</v>
      </c>
      <c r="I129" s="14">
        <v>524.33826105424839</v>
      </c>
      <c r="J129">
        <v>166</v>
      </c>
      <c r="K129">
        <v>126</v>
      </c>
      <c r="L129">
        <v>173</v>
      </c>
      <c r="M129">
        <v>128</v>
      </c>
      <c r="N129" s="120">
        <v>0</v>
      </c>
      <c r="O129" s="120">
        <v>0</v>
      </c>
      <c r="P129">
        <v>-6</v>
      </c>
    </row>
    <row r="130" spans="1:16">
      <c r="A130" t="s">
        <v>180</v>
      </c>
      <c r="B130">
        <v>193</v>
      </c>
      <c r="C130">
        <v>47</v>
      </c>
      <c r="D130">
        <v>189</v>
      </c>
      <c r="E130">
        <v>205</v>
      </c>
      <c r="F130">
        <v>15</v>
      </c>
      <c r="G130">
        <v>180</v>
      </c>
      <c r="H130">
        <v>349.7</v>
      </c>
      <c r="I130" s="14">
        <v>547.59579652753848</v>
      </c>
      <c r="J130">
        <v>165</v>
      </c>
      <c r="K130">
        <v>125</v>
      </c>
      <c r="L130">
        <v>180</v>
      </c>
      <c r="M130">
        <v>129</v>
      </c>
      <c r="N130" s="120">
        <v>0</v>
      </c>
      <c r="O130" s="120">
        <v>0</v>
      </c>
      <c r="P130">
        <v>7</v>
      </c>
    </row>
    <row r="131" spans="1:16">
      <c r="A131" t="s">
        <v>148</v>
      </c>
      <c r="B131">
        <v>179</v>
      </c>
      <c r="C131">
        <v>75</v>
      </c>
      <c r="D131">
        <v>177</v>
      </c>
      <c r="E131">
        <v>165</v>
      </c>
      <c r="F131">
        <v>90</v>
      </c>
      <c r="G131">
        <v>172</v>
      </c>
      <c r="H131">
        <v>367.9</v>
      </c>
      <c r="I131" s="14">
        <v>551.16021118552317</v>
      </c>
      <c r="J131">
        <v>181</v>
      </c>
      <c r="K131">
        <v>131</v>
      </c>
      <c r="L131">
        <v>182</v>
      </c>
      <c r="M131">
        <v>130</v>
      </c>
      <c r="N131" s="120">
        <v>0</v>
      </c>
      <c r="O131" s="120">
        <v>0</v>
      </c>
      <c r="P131">
        <v>-3</v>
      </c>
    </row>
    <row r="132" spans="1:16">
      <c r="A132" t="s">
        <v>99</v>
      </c>
      <c r="B132">
        <v>84</v>
      </c>
      <c r="C132">
        <v>100</v>
      </c>
      <c r="D132">
        <v>147</v>
      </c>
      <c r="E132">
        <v>202</v>
      </c>
      <c r="F132">
        <v>173</v>
      </c>
      <c r="G132">
        <v>188</v>
      </c>
      <c r="H132">
        <v>364.9</v>
      </c>
      <c r="I132" s="14">
        <v>562.12231213198277</v>
      </c>
      <c r="J132">
        <v>179.5</v>
      </c>
      <c r="K132">
        <v>130</v>
      </c>
      <c r="L132">
        <v>183</v>
      </c>
      <c r="M132">
        <v>131</v>
      </c>
      <c r="N132" s="120">
        <v>0</v>
      </c>
      <c r="O132" s="120">
        <v>0</v>
      </c>
      <c r="P132">
        <v>-24</v>
      </c>
    </row>
    <row r="133" spans="1:16">
      <c r="A133" t="s">
        <v>103</v>
      </c>
      <c r="B133">
        <v>110</v>
      </c>
      <c r="C133">
        <v>114</v>
      </c>
      <c r="D133">
        <v>183</v>
      </c>
      <c r="E133">
        <v>189</v>
      </c>
      <c r="F133">
        <v>127</v>
      </c>
      <c r="G133">
        <v>179</v>
      </c>
      <c r="H133">
        <v>389.3</v>
      </c>
      <c r="I133" s="14">
        <v>571.59099083431977</v>
      </c>
      <c r="J133">
        <v>191</v>
      </c>
      <c r="K133">
        <v>134</v>
      </c>
      <c r="L133">
        <v>187</v>
      </c>
      <c r="M133">
        <v>132</v>
      </c>
      <c r="N133" s="120">
        <v>3.2258064516129031E-2</v>
      </c>
      <c r="O133" s="120">
        <v>3.2258064516129031E-2</v>
      </c>
      <c r="P133">
        <v>-40</v>
      </c>
    </row>
    <row r="134" spans="1:16">
      <c r="A134" t="s">
        <v>138</v>
      </c>
      <c r="B134">
        <v>105</v>
      </c>
      <c r="C134">
        <v>206</v>
      </c>
      <c r="D134">
        <v>117</v>
      </c>
      <c r="E134">
        <v>163</v>
      </c>
      <c r="F134">
        <v>145</v>
      </c>
      <c r="G134">
        <v>198</v>
      </c>
      <c r="H134">
        <v>401.79999999999995</v>
      </c>
      <c r="I134" s="14">
        <v>579.22572365898179</v>
      </c>
      <c r="J134">
        <v>193</v>
      </c>
      <c r="K134">
        <v>135</v>
      </c>
      <c r="L134">
        <v>190</v>
      </c>
      <c r="M134">
        <v>133</v>
      </c>
      <c r="N134" s="120">
        <v>0</v>
      </c>
      <c r="O134" s="120">
        <v>0</v>
      </c>
      <c r="P134">
        <v>-4</v>
      </c>
    </row>
    <row r="135" spans="1:16">
      <c r="A135" t="s">
        <v>242</v>
      </c>
      <c r="B135">
        <v>203</v>
      </c>
      <c r="C135">
        <v>83</v>
      </c>
      <c r="D135">
        <v>169</v>
      </c>
      <c r="E135">
        <v>171</v>
      </c>
      <c r="F135">
        <v>87</v>
      </c>
      <c r="G135">
        <v>192</v>
      </c>
      <c r="H135">
        <v>381.09999999999997</v>
      </c>
      <c r="I135" s="14">
        <v>583.8453327774937</v>
      </c>
      <c r="J135">
        <v>185</v>
      </c>
      <c r="K135">
        <v>133</v>
      </c>
      <c r="L135">
        <v>191</v>
      </c>
      <c r="M135">
        <v>134</v>
      </c>
      <c r="N135" s="120">
        <v>0</v>
      </c>
      <c r="O135" s="120">
        <v>0</v>
      </c>
      <c r="P135">
        <v>-18</v>
      </c>
    </row>
    <row r="136" spans="1:16">
      <c r="A136" t="s">
        <v>153</v>
      </c>
      <c r="B136">
        <v>170</v>
      </c>
      <c r="C136">
        <v>134</v>
      </c>
      <c r="D136">
        <v>190</v>
      </c>
      <c r="E136">
        <v>195</v>
      </c>
      <c r="F136">
        <v>48</v>
      </c>
      <c r="G136">
        <v>178</v>
      </c>
      <c r="H136">
        <v>409</v>
      </c>
      <c r="I136" s="14">
        <v>584.09668454389521</v>
      </c>
      <c r="J136">
        <v>195</v>
      </c>
      <c r="K136">
        <v>136</v>
      </c>
      <c r="L136">
        <v>192</v>
      </c>
      <c r="M136">
        <v>135</v>
      </c>
      <c r="N136" s="120">
        <v>0</v>
      </c>
      <c r="O136" s="120">
        <v>0</v>
      </c>
      <c r="P136">
        <v>4</v>
      </c>
    </row>
    <row r="137" spans="1:16">
      <c r="A137" t="s">
        <v>37</v>
      </c>
      <c r="B137">
        <v>46</v>
      </c>
      <c r="C137">
        <v>208</v>
      </c>
      <c r="D137">
        <v>185</v>
      </c>
      <c r="E137">
        <v>208</v>
      </c>
      <c r="F137">
        <v>83</v>
      </c>
      <c r="G137">
        <v>196</v>
      </c>
      <c r="H137">
        <v>414.5</v>
      </c>
      <c r="I137" s="14">
        <v>587.64402713698132</v>
      </c>
      <c r="J137">
        <v>198</v>
      </c>
      <c r="K137">
        <v>137</v>
      </c>
      <c r="L137">
        <v>193</v>
      </c>
      <c r="M137">
        <v>136</v>
      </c>
      <c r="N137" s="120">
        <v>0</v>
      </c>
      <c r="O137" s="120">
        <v>0</v>
      </c>
      <c r="P137">
        <v>-10</v>
      </c>
    </row>
    <row r="138" spans="1:16">
      <c r="A138" t="s">
        <v>119</v>
      </c>
      <c r="B138">
        <v>116</v>
      </c>
      <c r="C138">
        <v>192</v>
      </c>
      <c r="D138">
        <v>153</v>
      </c>
      <c r="E138">
        <v>121</v>
      </c>
      <c r="F138">
        <v>196</v>
      </c>
      <c r="G138">
        <v>184</v>
      </c>
      <c r="H138">
        <v>426.29999999999995</v>
      </c>
      <c r="I138" s="14">
        <v>592.87031698811143</v>
      </c>
      <c r="J138">
        <v>201</v>
      </c>
      <c r="K138">
        <v>138</v>
      </c>
      <c r="L138">
        <v>196</v>
      </c>
      <c r="M138">
        <v>137</v>
      </c>
      <c r="N138" s="120">
        <v>0</v>
      </c>
      <c r="O138" s="120">
        <v>0</v>
      </c>
      <c r="P138">
        <v>-11</v>
      </c>
    </row>
    <row r="139" spans="1:16">
      <c r="A139" t="s">
        <v>177</v>
      </c>
      <c r="B139">
        <v>188</v>
      </c>
      <c r="C139">
        <v>14</v>
      </c>
      <c r="D139">
        <v>175</v>
      </c>
      <c r="E139">
        <v>188</v>
      </c>
      <c r="F139">
        <v>198</v>
      </c>
      <c r="G139">
        <v>201</v>
      </c>
      <c r="H139">
        <v>380.7</v>
      </c>
      <c r="I139" s="14">
        <v>616.40647721786058</v>
      </c>
      <c r="J139">
        <v>184</v>
      </c>
      <c r="K139">
        <v>132</v>
      </c>
      <c r="L139">
        <v>203</v>
      </c>
      <c r="M139">
        <v>138</v>
      </c>
      <c r="N139" s="120">
        <v>0</v>
      </c>
      <c r="O139" s="120">
        <v>0</v>
      </c>
      <c r="P139">
        <v>2</v>
      </c>
    </row>
    <row r="140" spans="1:16">
      <c r="A140" t="s">
        <v>169</v>
      </c>
      <c r="B140">
        <v>189</v>
      </c>
      <c r="C140">
        <v>144</v>
      </c>
      <c r="D140">
        <v>203</v>
      </c>
      <c r="E140">
        <v>129</v>
      </c>
      <c r="F140">
        <v>153</v>
      </c>
      <c r="G140">
        <v>206</v>
      </c>
      <c r="H140">
        <v>450.2</v>
      </c>
      <c r="I140" s="14">
        <v>651.91850469499695</v>
      </c>
      <c r="J140">
        <v>208</v>
      </c>
      <c r="K140">
        <v>139</v>
      </c>
      <c r="L140">
        <v>208</v>
      </c>
      <c r="M140">
        <v>139</v>
      </c>
      <c r="N140" s="120">
        <v>0</v>
      </c>
      <c r="O140" s="120">
        <v>2.7027027027027029E-2</v>
      </c>
      <c r="P140">
        <v>0</v>
      </c>
    </row>
  </sheetData>
  <autoFilter ref="A1:S140" xr:uid="{FE4BF24C-8AB4-4AD9-B2BE-5159F7BEF651}">
    <sortState xmlns:xlrd2="http://schemas.microsoft.com/office/spreadsheetml/2017/richdata2" ref="A2:S140">
      <sortCondition ref="Q1:Q140"/>
    </sortState>
  </autoFilter>
  <conditionalFormatting sqref="N2:O1048576">
    <cfRule type="cellIs" dxfId="97" priority="5" operator="greaterThanOrEqual">
      <formula>20%</formula>
    </cfRule>
    <cfRule type="cellIs" dxfId="96" priority="6" operator="between">
      <formula>10%</formula>
      <formula>20%</formula>
    </cfRule>
    <cfRule type="cellIs" dxfId="95" priority="7" operator="between">
      <formula>0.01%</formula>
      <formula>10%</formula>
    </cfRule>
  </conditionalFormatting>
  <conditionalFormatting sqref="B1:F1 B2:G1048576 J1:M1048576">
    <cfRule type="cellIs" dxfId="94" priority="8" operator="between">
      <formula>101</formula>
      <formula>250</formula>
    </cfRule>
    <cfRule type="cellIs" dxfId="93" priority="9" operator="between">
      <formula>51</formula>
      <formula>100.5</formula>
    </cfRule>
    <cfRule type="cellIs" dxfId="92" priority="10" operator="between">
      <formula>21</formula>
      <formula>50.5</formula>
    </cfRule>
    <cfRule type="cellIs" dxfId="91"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47EBD-81DC-4BA0-97EE-8A4F03BAA582}">
  <sheetPr codeName="Sheet55">
    <tabColor rgb="FFFF0000"/>
  </sheetPr>
  <dimension ref="A1:V131"/>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5703125" style="14" customWidth="1"/>
    <col min="10" max="10" width="15.85546875" bestFit="1" customWidth="1"/>
    <col min="11" max="11" width="19.140625" bestFit="1"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6" t="s">
        <v>0</v>
      </c>
      <c r="B1" s="7" t="s">
        <v>195</v>
      </c>
      <c r="C1" s="7" t="s">
        <v>196</v>
      </c>
      <c r="D1" s="7" t="s">
        <v>197</v>
      </c>
      <c r="E1" s="7" t="s">
        <v>198</v>
      </c>
      <c r="F1" s="7" t="s">
        <v>199</v>
      </c>
      <c r="G1" s="8" t="s">
        <v>200</v>
      </c>
      <c r="H1" s="123" t="s">
        <v>201</v>
      </c>
      <c r="I1" s="124" t="s">
        <v>202</v>
      </c>
      <c r="J1" s="121" t="s">
        <v>203</v>
      </c>
      <c r="K1" s="121" t="s">
        <v>204</v>
      </c>
      <c r="L1" s="124" t="s">
        <v>205</v>
      </c>
      <c r="M1" s="124" t="s">
        <v>206</v>
      </c>
      <c r="N1" s="122" t="s">
        <v>207</v>
      </c>
      <c r="O1" s="122" t="s">
        <v>208</v>
      </c>
      <c r="P1" s="12" t="s">
        <v>209</v>
      </c>
      <c r="Q1" s="115" t="s">
        <v>210</v>
      </c>
      <c r="R1" s="115" t="s">
        <v>211</v>
      </c>
      <c r="S1" s="127" t="s">
        <v>212</v>
      </c>
      <c r="U1" t="s">
        <v>213</v>
      </c>
      <c r="V1" t="s">
        <v>214</v>
      </c>
    </row>
    <row r="2" spans="1:22">
      <c r="A2" t="s">
        <v>49</v>
      </c>
      <c r="B2">
        <v>80</v>
      </c>
      <c r="C2">
        <v>126</v>
      </c>
      <c r="D2">
        <v>98</v>
      </c>
      <c r="E2">
        <v>100</v>
      </c>
      <c r="F2">
        <v>41</v>
      </c>
      <c r="G2">
        <v>49</v>
      </c>
      <c r="H2">
        <v>248.6</v>
      </c>
      <c r="I2" s="14">
        <v>285.65185657150374</v>
      </c>
      <c r="J2">
        <v>60</v>
      </c>
      <c r="K2">
        <v>22</v>
      </c>
      <c r="L2">
        <v>53</v>
      </c>
      <c r="M2">
        <v>18</v>
      </c>
      <c r="N2" s="120">
        <v>0</v>
      </c>
      <c r="O2" s="120">
        <v>0</v>
      </c>
      <c r="P2">
        <v>31</v>
      </c>
      <c r="Q2">
        <v>1</v>
      </c>
    </row>
    <row r="3" spans="1:22">
      <c r="A3" s="20" t="s">
        <v>141</v>
      </c>
      <c r="B3">
        <v>135</v>
      </c>
      <c r="C3">
        <v>24</v>
      </c>
      <c r="D3">
        <v>36</v>
      </c>
      <c r="E3">
        <v>78</v>
      </c>
      <c r="F3">
        <v>52</v>
      </c>
      <c r="G3">
        <v>24</v>
      </c>
      <c r="H3">
        <v>172.60000000000002</v>
      </c>
      <c r="I3" s="14">
        <v>194.58549951779145</v>
      </c>
      <c r="J3">
        <v>17</v>
      </c>
      <c r="K3">
        <v>1</v>
      </c>
      <c r="L3">
        <v>20</v>
      </c>
      <c r="M3">
        <v>3</v>
      </c>
      <c r="N3" s="120">
        <v>0</v>
      </c>
      <c r="O3" s="120">
        <v>0.10714285714285714</v>
      </c>
      <c r="P3">
        <v>-1</v>
      </c>
    </row>
    <row r="4" spans="1:22">
      <c r="A4" s="20" t="s">
        <v>143</v>
      </c>
      <c r="B4">
        <v>165</v>
      </c>
      <c r="C4">
        <v>16</v>
      </c>
      <c r="D4">
        <v>34</v>
      </c>
      <c r="E4">
        <v>69</v>
      </c>
      <c r="F4">
        <v>32</v>
      </c>
      <c r="G4">
        <v>18</v>
      </c>
      <c r="H4">
        <v>172.79999999999998</v>
      </c>
      <c r="I4" s="14">
        <v>186.45348409504751</v>
      </c>
      <c r="J4">
        <v>18</v>
      </c>
      <c r="K4">
        <v>2</v>
      </c>
      <c r="L4">
        <v>16</v>
      </c>
      <c r="M4">
        <v>1</v>
      </c>
      <c r="N4" s="120">
        <v>0.05</v>
      </c>
      <c r="O4" s="120">
        <v>0.15</v>
      </c>
      <c r="P4">
        <v>-7</v>
      </c>
    </row>
    <row r="5" spans="1:22">
      <c r="A5" s="137" t="s">
        <v>22</v>
      </c>
      <c r="B5">
        <v>29</v>
      </c>
      <c r="C5">
        <v>52</v>
      </c>
      <c r="D5">
        <v>47</v>
      </c>
      <c r="E5">
        <v>169</v>
      </c>
      <c r="F5">
        <v>111</v>
      </c>
      <c r="G5">
        <v>63</v>
      </c>
      <c r="H5">
        <v>193.50000000000003</v>
      </c>
      <c r="I5" s="14">
        <v>267.27913690575059</v>
      </c>
      <c r="J5">
        <v>23</v>
      </c>
      <c r="K5">
        <v>3</v>
      </c>
      <c r="L5">
        <v>44</v>
      </c>
      <c r="M5">
        <v>14</v>
      </c>
      <c r="N5" s="120">
        <v>0</v>
      </c>
      <c r="O5" s="120">
        <v>2.8571428571428571E-2</v>
      </c>
      <c r="P5">
        <v>-6</v>
      </c>
    </row>
    <row r="6" spans="1:22">
      <c r="A6" s="136" t="s">
        <v>85</v>
      </c>
      <c r="B6">
        <v>124</v>
      </c>
      <c r="C6">
        <v>130</v>
      </c>
      <c r="D6">
        <v>22</v>
      </c>
      <c r="E6">
        <v>6</v>
      </c>
      <c r="F6">
        <v>74</v>
      </c>
      <c r="G6">
        <v>15</v>
      </c>
      <c r="H6">
        <v>199.79999999999998</v>
      </c>
      <c r="I6" s="14">
        <v>193.0164487951894</v>
      </c>
      <c r="J6">
        <v>26</v>
      </c>
      <c r="K6">
        <v>4</v>
      </c>
      <c r="L6">
        <v>18</v>
      </c>
      <c r="M6">
        <v>2</v>
      </c>
      <c r="N6" s="120">
        <v>0</v>
      </c>
      <c r="O6" s="120">
        <v>4.7619047619047616E-2</v>
      </c>
      <c r="P6">
        <v>-14</v>
      </c>
    </row>
    <row r="7" spans="1:22">
      <c r="A7" t="s">
        <v>92</v>
      </c>
      <c r="B7">
        <v>97</v>
      </c>
      <c r="C7">
        <v>70</v>
      </c>
      <c r="D7">
        <v>75</v>
      </c>
      <c r="E7">
        <v>9</v>
      </c>
      <c r="F7">
        <v>121</v>
      </c>
      <c r="G7">
        <v>54</v>
      </c>
      <c r="H7">
        <v>204.7</v>
      </c>
      <c r="I7" s="14">
        <v>249.81798534185009</v>
      </c>
      <c r="J7">
        <v>29</v>
      </c>
      <c r="K7">
        <v>5</v>
      </c>
      <c r="L7">
        <v>39</v>
      </c>
      <c r="M7">
        <v>10</v>
      </c>
      <c r="N7" s="120">
        <v>0</v>
      </c>
      <c r="O7" s="120">
        <v>6.0606060606060608E-2</v>
      </c>
      <c r="P7">
        <v>-33</v>
      </c>
    </row>
    <row r="8" spans="1:22">
      <c r="A8" t="s">
        <v>42</v>
      </c>
      <c r="B8">
        <v>40</v>
      </c>
      <c r="C8">
        <v>136</v>
      </c>
      <c r="D8">
        <v>61</v>
      </c>
      <c r="E8">
        <v>3</v>
      </c>
      <c r="F8">
        <v>144</v>
      </c>
      <c r="G8">
        <v>25</v>
      </c>
      <c r="H8">
        <v>207.09999999999997</v>
      </c>
      <c r="I8" s="14">
        <v>217.57796667708791</v>
      </c>
      <c r="J8">
        <v>30</v>
      </c>
      <c r="K8">
        <v>6</v>
      </c>
      <c r="L8">
        <v>24</v>
      </c>
      <c r="M8">
        <v>5</v>
      </c>
      <c r="N8" s="120">
        <v>0</v>
      </c>
      <c r="O8" s="120">
        <v>4.7619047619047616E-2</v>
      </c>
      <c r="P8">
        <v>62</v>
      </c>
    </row>
    <row r="9" spans="1:22">
      <c r="A9" t="s">
        <v>158</v>
      </c>
      <c r="B9">
        <v>142</v>
      </c>
      <c r="C9">
        <v>99</v>
      </c>
      <c r="D9">
        <v>56</v>
      </c>
      <c r="E9">
        <v>23</v>
      </c>
      <c r="F9">
        <v>44</v>
      </c>
      <c r="G9">
        <v>23</v>
      </c>
      <c r="H9">
        <v>210.59999999999997</v>
      </c>
      <c r="I9" s="14">
        <v>215.35427204231084</v>
      </c>
      <c r="J9">
        <v>33</v>
      </c>
      <c r="K9">
        <v>7</v>
      </c>
      <c r="L9">
        <v>23</v>
      </c>
      <c r="M9">
        <v>4</v>
      </c>
      <c r="N9" s="120">
        <v>0</v>
      </c>
      <c r="O9" s="120">
        <v>0.1</v>
      </c>
      <c r="P9">
        <v>19</v>
      </c>
    </row>
    <row r="10" spans="1:22">
      <c r="A10" t="s">
        <v>18</v>
      </c>
      <c r="B10">
        <v>5</v>
      </c>
      <c r="C10">
        <v>188</v>
      </c>
      <c r="D10">
        <v>49</v>
      </c>
      <c r="E10">
        <v>64</v>
      </c>
      <c r="F10">
        <v>96</v>
      </c>
      <c r="G10">
        <v>36</v>
      </c>
      <c r="H10">
        <v>214.1</v>
      </c>
      <c r="I10" s="14">
        <v>232.99461677499514</v>
      </c>
      <c r="J10">
        <v>36</v>
      </c>
      <c r="K10">
        <v>8</v>
      </c>
      <c r="L10">
        <v>32</v>
      </c>
      <c r="M10">
        <v>8</v>
      </c>
      <c r="N10" s="120">
        <v>0</v>
      </c>
      <c r="O10" s="120">
        <v>7.1428571428571425E-2</v>
      </c>
      <c r="P10">
        <v>39</v>
      </c>
    </row>
    <row r="11" spans="1:22">
      <c r="A11" t="s">
        <v>76</v>
      </c>
      <c r="B11">
        <v>57</v>
      </c>
      <c r="C11">
        <v>165</v>
      </c>
      <c r="D11">
        <v>57</v>
      </c>
      <c r="E11">
        <v>15</v>
      </c>
      <c r="F11">
        <v>114</v>
      </c>
      <c r="G11">
        <v>39</v>
      </c>
      <c r="H11">
        <v>224.7</v>
      </c>
      <c r="I11" s="14">
        <v>243.58293490585248</v>
      </c>
      <c r="J11">
        <v>40</v>
      </c>
      <c r="K11">
        <v>9</v>
      </c>
      <c r="L11">
        <v>36</v>
      </c>
      <c r="M11">
        <v>9</v>
      </c>
      <c r="N11" s="120">
        <v>0</v>
      </c>
      <c r="O11" s="120">
        <v>9.0909090909090912E-2</v>
      </c>
      <c r="P11">
        <v>112</v>
      </c>
    </row>
    <row r="12" spans="1:22">
      <c r="A12" t="s">
        <v>97</v>
      </c>
      <c r="B12">
        <v>65</v>
      </c>
      <c r="C12">
        <v>187</v>
      </c>
      <c r="D12">
        <v>64</v>
      </c>
      <c r="E12">
        <v>17</v>
      </c>
      <c r="F12">
        <v>66</v>
      </c>
      <c r="G12">
        <v>27</v>
      </c>
      <c r="H12">
        <v>229.20000000000002</v>
      </c>
      <c r="I12" s="14">
        <v>230.33324221104556</v>
      </c>
      <c r="J12">
        <v>43</v>
      </c>
      <c r="K12">
        <v>10</v>
      </c>
      <c r="L12">
        <v>30</v>
      </c>
      <c r="M12">
        <v>7</v>
      </c>
      <c r="N12" s="120">
        <v>0</v>
      </c>
      <c r="O12" s="120">
        <v>2.7027027027027029E-2</v>
      </c>
      <c r="P12">
        <v>28</v>
      </c>
    </row>
    <row r="13" spans="1:22">
      <c r="A13" t="s">
        <v>71</v>
      </c>
      <c r="B13">
        <v>66</v>
      </c>
      <c r="C13">
        <v>163</v>
      </c>
      <c r="D13">
        <v>85</v>
      </c>
      <c r="E13">
        <v>76</v>
      </c>
      <c r="F13">
        <v>6</v>
      </c>
      <c r="G13">
        <v>15</v>
      </c>
      <c r="H13">
        <v>229.70000000000002</v>
      </c>
      <c r="I13" s="14">
        <v>224.45825273027867</v>
      </c>
      <c r="J13">
        <v>44</v>
      </c>
      <c r="K13">
        <v>11</v>
      </c>
      <c r="L13">
        <v>27</v>
      </c>
      <c r="M13">
        <v>6</v>
      </c>
      <c r="N13" s="120">
        <v>0</v>
      </c>
      <c r="O13" s="120">
        <v>8.5714285714285715E-2</v>
      </c>
      <c r="P13">
        <v>1</v>
      </c>
    </row>
    <row r="14" spans="1:22">
      <c r="A14" t="s">
        <v>72</v>
      </c>
      <c r="B14">
        <v>49</v>
      </c>
      <c r="C14">
        <v>89</v>
      </c>
      <c r="D14">
        <v>168</v>
      </c>
      <c r="E14">
        <v>33</v>
      </c>
      <c r="F14">
        <v>46</v>
      </c>
      <c r="G14">
        <v>35</v>
      </c>
      <c r="H14">
        <v>231.99999999999997</v>
      </c>
      <c r="I14" s="14">
        <v>256.91985990449518</v>
      </c>
      <c r="J14">
        <v>45</v>
      </c>
      <c r="K14">
        <v>12</v>
      </c>
      <c r="L14">
        <v>40</v>
      </c>
      <c r="M14">
        <v>11</v>
      </c>
      <c r="N14" s="120">
        <v>0</v>
      </c>
      <c r="O14" s="120">
        <v>4.3478260869565216E-2</v>
      </c>
      <c r="P14">
        <v>9</v>
      </c>
    </row>
    <row r="15" spans="1:22">
      <c r="A15" t="s">
        <v>118</v>
      </c>
      <c r="B15">
        <v>130</v>
      </c>
      <c r="C15">
        <v>40</v>
      </c>
      <c r="D15">
        <v>63</v>
      </c>
      <c r="E15">
        <v>96</v>
      </c>
      <c r="F15">
        <v>127</v>
      </c>
      <c r="G15">
        <v>70</v>
      </c>
      <c r="H15">
        <v>235.3</v>
      </c>
      <c r="I15" s="14">
        <v>306.51046377688351</v>
      </c>
      <c r="J15">
        <v>47</v>
      </c>
      <c r="K15">
        <v>13</v>
      </c>
      <c r="L15">
        <v>62</v>
      </c>
      <c r="M15">
        <v>25</v>
      </c>
      <c r="N15" s="120">
        <v>0</v>
      </c>
      <c r="O15" s="120">
        <v>3.0303030303030304E-2</v>
      </c>
      <c r="P15">
        <v>68</v>
      </c>
    </row>
    <row r="16" spans="1:22">
      <c r="A16" t="s">
        <v>52</v>
      </c>
      <c r="B16">
        <v>58</v>
      </c>
      <c r="C16">
        <v>151</v>
      </c>
      <c r="D16">
        <v>91</v>
      </c>
      <c r="E16">
        <v>12</v>
      </c>
      <c r="F16">
        <v>107</v>
      </c>
      <c r="G16">
        <v>41</v>
      </c>
      <c r="H16">
        <v>236.70000000000002</v>
      </c>
      <c r="I16" s="14">
        <v>259.05788592487755</v>
      </c>
      <c r="J16">
        <v>48</v>
      </c>
      <c r="K16">
        <v>14</v>
      </c>
      <c r="L16">
        <v>42</v>
      </c>
      <c r="M16">
        <v>12</v>
      </c>
      <c r="N16" s="120">
        <v>0</v>
      </c>
      <c r="O16" s="120">
        <v>3.0303030303030304E-2</v>
      </c>
      <c r="P16">
        <v>22</v>
      </c>
    </row>
    <row r="17" spans="1:16">
      <c r="A17" t="s">
        <v>186</v>
      </c>
      <c r="B17">
        <v>203</v>
      </c>
      <c r="C17">
        <v>41</v>
      </c>
      <c r="D17">
        <v>43</v>
      </c>
      <c r="E17">
        <v>55</v>
      </c>
      <c r="F17">
        <v>102</v>
      </c>
      <c r="G17">
        <v>107</v>
      </c>
      <c r="H17">
        <v>239.3</v>
      </c>
      <c r="I17" s="14">
        <v>338.34488376259071</v>
      </c>
      <c r="J17">
        <v>49</v>
      </c>
      <c r="K17">
        <v>15</v>
      </c>
      <c r="L17">
        <v>81</v>
      </c>
      <c r="M17">
        <v>37</v>
      </c>
      <c r="N17" s="120">
        <v>0</v>
      </c>
      <c r="O17" s="120">
        <v>0</v>
      </c>
      <c r="P17">
        <v>1</v>
      </c>
    </row>
    <row r="18" spans="1:16">
      <c r="A18" t="s">
        <v>20</v>
      </c>
      <c r="B18">
        <v>20</v>
      </c>
      <c r="C18">
        <v>178</v>
      </c>
      <c r="D18">
        <v>46</v>
      </c>
      <c r="E18">
        <v>67</v>
      </c>
      <c r="F18">
        <v>155</v>
      </c>
      <c r="G18">
        <v>69</v>
      </c>
      <c r="H18">
        <v>239.8</v>
      </c>
      <c r="I18" s="14">
        <v>295.34900030441395</v>
      </c>
      <c r="J18">
        <v>51</v>
      </c>
      <c r="K18">
        <v>16</v>
      </c>
      <c r="L18">
        <v>58</v>
      </c>
      <c r="M18">
        <v>22</v>
      </c>
      <c r="N18" s="120">
        <v>0</v>
      </c>
      <c r="O18" s="120">
        <v>7.6923076923076927E-2</v>
      </c>
      <c r="P18">
        <v>-7</v>
      </c>
    </row>
    <row r="19" spans="1:16">
      <c r="A19" t="s">
        <v>149</v>
      </c>
      <c r="B19">
        <v>172</v>
      </c>
      <c r="C19">
        <v>101</v>
      </c>
      <c r="D19">
        <v>36</v>
      </c>
      <c r="E19">
        <v>16</v>
      </c>
      <c r="F19">
        <v>116</v>
      </c>
      <c r="G19">
        <v>55</v>
      </c>
      <c r="H19">
        <v>241.8</v>
      </c>
      <c r="I19" s="14">
        <v>279.3232814903082</v>
      </c>
      <c r="J19">
        <v>54</v>
      </c>
      <c r="K19">
        <v>17</v>
      </c>
      <c r="L19">
        <v>50</v>
      </c>
      <c r="M19">
        <v>16</v>
      </c>
      <c r="N19" s="120">
        <v>0</v>
      </c>
      <c r="O19" s="120">
        <v>5.7142857142857141E-2</v>
      </c>
      <c r="P19">
        <v>17</v>
      </c>
    </row>
    <row r="20" spans="1:16">
      <c r="A20" t="s">
        <v>27</v>
      </c>
      <c r="B20">
        <v>18</v>
      </c>
      <c r="C20">
        <v>110</v>
      </c>
      <c r="D20">
        <v>186</v>
      </c>
      <c r="E20">
        <v>77</v>
      </c>
      <c r="F20">
        <v>11</v>
      </c>
      <c r="G20">
        <v>62</v>
      </c>
      <c r="H20">
        <v>242.20000000000002</v>
      </c>
      <c r="I20" s="14">
        <v>295.0368808868335</v>
      </c>
      <c r="J20">
        <v>55</v>
      </c>
      <c r="K20">
        <v>18</v>
      </c>
      <c r="L20">
        <v>57</v>
      </c>
      <c r="M20">
        <v>21</v>
      </c>
      <c r="N20" s="120">
        <v>0</v>
      </c>
      <c r="O20" s="120">
        <v>7.6923076923076927E-2</v>
      </c>
      <c r="P20">
        <v>15</v>
      </c>
    </row>
    <row r="21" spans="1:16">
      <c r="A21" t="s">
        <v>11</v>
      </c>
      <c r="B21">
        <v>8</v>
      </c>
      <c r="C21">
        <v>130</v>
      </c>
      <c r="D21">
        <v>96</v>
      </c>
      <c r="E21">
        <v>207</v>
      </c>
      <c r="F21">
        <v>31</v>
      </c>
      <c r="G21">
        <v>96</v>
      </c>
      <c r="H21">
        <v>245.20000000000002</v>
      </c>
      <c r="I21" s="14">
        <v>341.5287679613084</v>
      </c>
      <c r="J21">
        <v>57</v>
      </c>
      <c r="K21">
        <v>19</v>
      </c>
      <c r="L21">
        <v>84</v>
      </c>
      <c r="M21">
        <v>40</v>
      </c>
      <c r="N21" s="120">
        <v>0</v>
      </c>
      <c r="O21" s="120">
        <v>3.3333333333333333E-2</v>
      </c>
      <c r="P21">
        <v>-5</v>
      </c>
    </row>
    <row r="22" spans="1:16">
      <c r="A22" t="s">
        <v>17</v>
      </c>
      <c r="B22">
        <v>9</v>
      </c>
      <c r="C22">
        <v>120</v>
      </c>
      <c r="D22">
        <v>14</v>
      </c>
      <c r="E22">
        <v>201</v>
      </c>
      <c r="F22">
        <v>197</v>
      </c>
      <c r="G22">
        <v>112</v>
      </c>
      <c r="H22">
        <v>246.40000000000003</v>
      </c>
      <c r="I22" s="14">
        <v>367.32053271404885</v>
      </c>
      <c r="J22">
        <v>58</v>
      </c>
      <c r="K22">
        <v>20</v>
      </c>
      <c r="L22">
        <v>98</v>
      </c>
      <c r="M22">
        <v>47</v>
      </c>
      <c r="N22" s="120">
        <v>0</v>
      </c>
      <c r="O22" s="120">
        <v>8.3333333333333329E-2</v>
      </c>
      <c r="P22">
        <v>37</v>
      </c>
    </row>
    <row r="23" spans="1:16">
      <c r="A23" t="s">
        <v>140</v>
      </c>
      <c r="B23">
        <v>122</v>
      </c>
      <c r="C23">
        <v>83</v>
      </c>
      <c r="D23">
        <v>104</v>
      </c>
      <c r="E23">
        <v>104</v>
      </c>
      <c r="F23">
        <v>25</v>
      </c>
      <c r="G23">
        <v>40</v>
      </c>
      <c r="H23">
        <v>247.4</v>
      </c>
      <c r="I23" s="14">
        <v>278.7922821231615</v>
      </c>
      <c r="J23">
        <v>59</v>
      </c>
      <c r="K23">
        <v>21</v>
      </c>
      <c r="L23">
        <v>49</v>
      </c>
      <c r="M23">
        <v>15</v>
      </c>
      <c r="N23" s="120">
        <v>0</v>
      </c>
      <c r="O23" s="120">
        <v>6.6666666666666666E-2</v>
      </c>
      <c r="P23">
        <v>19</v>
      </c>
    </row>
    <row r="24" spans="1:16">
      <c r="A24" t="s">
        <v>137</v>
      </c>
      <c r="B24">
        <v>158</v>
      </c>
      <c r="C24">
        <v>13</v>
      </c>
      <c r="D24">
        <v>83</v>
      </c>
      <c r="E24">
        <v>46</v>
      </c>
      <c r="F24">
        <v>174</v>
      </c>
      <c r="G24">
        <v>75</v>
      </c>
      <c r="H24">
        <v>248.7</v>
      </c>
      <c r="I24" s="14">
        <v>325.22010144687846</v>
      </c>
      <c r="J24">
        <v>61</v>
      </c>
      <c r="K24">
        <v>23</v>
      </c>
      <c r="L24">
        <v>74</v>
      </c>
      <c r="M24">
        <v>31</v>
      </c>
      <c r="N24" s="120">
        <v>0</v>
      </c>
      <c r="O24" s="120">
        <v>9.6774193548387094E-2</v>
      </c>
      <c r="P24">
        <v>-46</v>
      </c>
    </row>
    <row r="25" spans="1:16">
      <c r="A25" t="s">
        <v>109</v>
      </c>
      <c r="B25">
        <v>136</v>
      </c>
      <c r="C25">
        <v>32</v>
      </c>
      <c r="D25">
        <v>79</v>
      </c>
      <c r="E25">
        <v>182</v>
      </c>
      <c r="F25">
        <v>50</v>
      </c>
      <c r="G25">
        <v>76</v>
      </c>
      <c r="H25">
        <v>248.89999999999998</v>
      </c>
      <c r="I25" s="14">
        <v>330.61591023103489</v>
      </c>
      <c r="J25">
        <v>62</v>
      </c>
      <c r="K25">
        <v>24</v>
      </c>
      <c r="L25">
        <v>78</v>
      </c>
      <c r="M25">
        <v>34</v>
      </c>
      <c r="N25" s="120">
        <v>0</v>
      </c>
      <c r="O25" s="120">
        <v>5.7142857142857141E-2</v>
      </c>
      <c r="P25">
        <v>72</v>
      </c>
    </row>
    <row r="26" spans="1:16">
      <c r="A26" t="s">
        <v>10</v>
      </c>
      <c r="B26">
        <v>12</v>
      </c>
      <c r="C26">
        <v>194</v>
      </c>
      <c r="D26">
        <v>103</v>
      </c>
      <c r="E26">
        <v>1</v>
      </c>
      <c r="F26">
        <v>140</v>
      </c>
      <c r="G26">
        <v>65</v>
      </c>
      <c r="H26">
        <v>252.1</v>
      </c>
      <c r="I26" s="14">
        <v>295.62827832611924</v>
      </c>
      <c r="J26">
        <v>65</v>
      </c>
      <c r="K26">
        <v>25</v>
      </c>
      <c r="L26">
        <v>59</v>
      </c>
      <c r="M26">
        <v>23</v>
      </c>
      <c r="N26" s="120">
        <v>0</v>
      </c>
      <c r="O26" s="120">
        <v>3.2258064516129031E-2</v>
      </c>
      <c r="P26">
        <v>28</v>
      </c>
    </row>
    <row r="27" spans="1:16">
      <c r="A27" t="s">
        <v>127</v>
      </c>
      <c r="B27">
        <v>87</v>
      </c>
      <c r="C27">
        <v>73</v>
      </c>
      <c r="D27">
        <v>124</v>
      </c>
      <c r="E27">
        <v>58</v>
      </c>
      <c r="F27">
        <v>119</v>
      </c>
      <c r="G27">
        <v>90</v>
      </c>
      <c r="H27">
        <v>253.6</v>
      </c>
      <c r="I27" s="14">
        <v>339.12273465797512</v>
      </c>
      <c r="J27">
        <v>66</v>
      </c>
      <c r="K27">
        <v>26</v>
      </c>
      <c r="L27">
        <v>82</v>
      </c>
      <c r="M27">
        <v>38</v>
      </c>
      <c r="N27" s="120">
        <v>0</v>
      </c>
      <c r="O27" s="120">
        <v>0</v>
      </c>
      <c r="P27">
        <v>69</v>
      </c>
    </row>
    <row r="28" spans="1:16">
      <c r="A28" t="s">
        <v>370</v>
      </c>
      <c r="B28">
        <v>94</v>
      </c>
      <c r="C28">
        <v>60</v>
      </c>
      <c r="D28">
        <v>10</v>
      </c>
      <c r="E28">
        <v>193</v>
      </c>
      <c r="F28">
        <v>195</v>
      </c>
      <c r="G28">
        <v>132</v>
      </c>
      <c r="H28">
        <v>254.60000000000002</v>
      </c>
      <c r="I28" s="14">
        <v>398.42269123035624</v>
      </c>
      <c r="J28">
        <v>68</v>
      </c>
      <c r="K28">
        <v>27</v>
      </c>
      <c r="L28">
        <v>115</v>
      </c>
      <c r="M28">
        <v>60</v>
      </c>
      <c r="N28" s="120" t="e">
        <v>#N/A</v>
      </c>
      <c r="O28" s="120" t="e">
        <v>#N/A</v>
      </c>
      <c r="P28">
        <v>59</v>
      </c>
    </row>
    <row r="29" spans="1:16">
      <c r="A29" t="s">
        <v>162</v>
      </c>
      <c r="B29">
        <v>185</v>
      </c>
      <c r="C29">
        <v>85</v>
      </c>
      <c r="D29">
        <v>45</v>
      </c>
      <c r="E29">
        <v>41</v>
      </c>
      <c r="F29">
        <v>112</v>
      </c>
      <c r="G29">
        <v>53</v>
      </c>
      <c r="H29">
        <v>254.70000000000002</v>
      </c>
      <c r="I29" s="14">
        <v>293.74644655616657</v>
      </c>
      <c r="J29">
        <v>69</v>
      </c>
      <c r="K29">
        <v>28</v>
      </c>
      <c r="L29">
        <v>55</v>
      </c>
      <c r="M29">
        <v>20</v>
      </c>
      <c r="N29" s="120">
        <v>0</v>
      </c>
      <c r="O29" s="120">
        <v>2.564102564102564E-2</v>
      </c>
      <c r="P29">
        <v>-20</v>
      </c>
    </row>
    <row r="30" spans="1:16">
      <c r="A30" t="s">
        <v>82</v>
      </c>
      <c r="B30">
        <v>115</v>
      </c>
      <c r="C30">
        <v>185</v>
      </c>
      <c r="D30">
        <v>35</v>
      </c>
      <c r="E30">
        <v>1</v>
      </c>
      <c r="F30">
        <v>125</v>
      </c>
      <c r="G30">
        <v>91</v>
      </c>
      <c r="H30">
        <v>254.9</v>
      </c>
      <c r="I30" s="14">
        <v>318.79000907597185</v>
      </c>
      <c r="J30">
        <v>70</v>
      </c>
      <c r="K30">
        <v>29</v>
      </c>
      <c r="L30">
        <v>72</v>
      </c>
      <c r="M30">
        <v>30</v>
      </c>
      <c r="N30" s="120">
        <v>0</v>
      </c>
      <c r="O30" s="120">
        <v>0</v>
      </c>
      <c r="P30">
        <v>-20</v>
      </c>
    </row>
    <row r="31" spans="1:16">
      <c r="A31" t="s">
        <v>36</v>
      </c>
      <c r="B31">
        <v>49</v>
      </c>
      <c r="C31">
        <v>128</v>
      </c>
      <c r="D31">
        <v>16</v>
      </c>
      <c r="E31">
        <v>161</v>
      </c>
      <c r="F31">
        <v>189</v>
      </c>
      <c r="G31">
        <v>105</v>
      </c>
      <c r="H31">
        <v>257.40000000000003</v>
      </c>
      <c r="I31" s="14">
        <v>364.04187093898099</v>
      </c>
      <c r="J31">
        <v>72</v>
      </c>
      <c r="K31">
        <v>30</v>
      </c>
      <c r="L31">
        <v>96</v>
      </c>
      <c r="M31">
        <v>45</v>
      </c>
      <c r="N31" s="120">
        <v>0</v>
      </c>
      <c r="O31" s="120">
        <v>2.7027027027027029E-2</v>
      </c>
      <c r="P31">
        <v>-36</v>
      </c>
    </row>
    <row r="32" spans="1:16">
      <c r="A32" t="s">
        <v>98</v>
      </c>
      <c r="B32">
        <v>66</v>
      </c>
      <c r="C32">
        <v>153</v>
      </c>
      <c r="D32">
        <v>142</v>
      </c>
      <c r="E32">
        <v>66</v>
      </c>
      <c r="F32">
        <v>1</v>
      </c>
      <c r="G32">
        <v>26</v>
      </c>
      <c r="H32">
        <v>257.59999999999997</v>
      </c>
      <c r="I32" s="14">
        <v>263.88783796853102</v>
      </c>
      <c r="J32">
        <v>73</v>
      </c>
      <c r="K32">
        <v>31</v>
      </c>
      <c r="L32">
        <v>43</v>
      </c>
      <c r="M32">
        <v>13</v>
      </c>
      <c r="N32" s="120">
        <v>0</v>
      </c>
      <c r="O32" s="120">
        <v>0.14285714285714285</v>
      </c>
      <c r="P32">
        <v>-6</v>
      </c>
    </row>
    <row r="33" spans="1:16">
      <c r="A33" t="s">
        <v>114</v>
      </c>
      <c r="B33">
        <v>137</v>
      </c>
      <c r="C33">
        <v>156</v>
      </c>
      <c r="D33">
        <v>64</v>
      </c>
      <c r="E33">
        <v>71</v>
      </c>
      <c r="F33">
        <v>22</v>
      </c>
      <c r="G33">
        <v>56</v>
      </c>
      <c r="H33">
        <v>257.8</v>
      </c>
      <c r="I33" s="14">
        <v>290.7108257209278</v>
      </c>
      <c r="J33">
        <v>74</v>
      </c>
      <c r="K33">
        <v>32</v>
      </c>
      <c r="L33">
        <v>54</v>
      </c>
      <c r="M33">
        <v>19</v>
      </c>
      <c r="N33" s="120">
        <v>0</v>
      </c>
      <c r="O33" s="120">
        <v>2.7027027027027029E-2</v>
      </c>
      <c r="P33">
        <v>55</v>
      </c>
    </row>
    <row r="34" spans="1:16">
      <c r="A34" t="s">
        <v>175</v>
      </c>
      <c r="B34">
        <v>183</v>
      </c>
      <c r="C34">
        <v>67</v>
      </c>
      <c r="D34">
        <v>81</v>
      </c>
      <c r="E34">
        <v>105</v>
      </c>
      <c r="F34">
        <v>26</v>
      </c>
      <c r="G34">
        <v>68</v>
      </c>
      <c r="H34">
        <v>259.09999999999997</v>
      </c>
      <c r="I34" s="14">
        <v>317.30707441647496</v>
      </c>
      <c r="J34">
        <v>75</v>
      </c>
      <c r="K34">
        <v>33</v>
      </c>
      <c r="L34">
        <v>70</v>
      </c>
      <c r="M34">
        <v>29</v>
      </c>
      <c r="N34" s="120">
        <v>0</v>
      </c>
      <c r="O34" s="120">
        <v>0</v>
      </c>
      <c r="P34">
        <v>15</v>
      </c>
    </row>
    <row r="35" spans="1:16">
      <c r="A35" t="s">
        <v>241</v>
      </c>
      <c r="B35">
        <v>6</v>
      </c>
      <c r="C35">
        <v>154</v>
      </c>
      <c r="D35">
        <v>51</v>
      </c>
      <c r="E35">
        <v>146</v>
      </c>
      <c r="F35">
        <v>173</v>
      </c>
      <c r="G35">
        <v>43</v>
      </c>
      <c r="H35">
        <v>259.3</v>
      </c>
      <c r="I35" s="14">
        <v>300.75975100742255</v>
      </c>
      <c r="J35">
        <v>76</v>
      </c>
      <c r="K35">
        <v>34</v>
      </c>
      <c r="L35">
        <v>61</v>
      </c>
      <c r="M35">
        <v>24</v>
      </c>
      <c r="N35" s="120">
        <v>0</v>
      </c>
      <c r="O35" s="120">
        <v>0</v>
      </c>
      <c r="P35" t="e">
        <v>#N/A</v>
      </c>
    </row>
    <row r="36" spans="1:16">
      <c r="A36" t="s">
        <v>163</v>
      </c>
      <c r="B36">
        <v>168</v>
      </c>
      <c r="C36">
        <v>23</v>
      </c>
      <c r="D36">
        <v>72</v>
      </c>
      <c r="E36">
        <v>32</v>
      </c>
      <c r="F36">
        <v>204</v>
      </c>
      <c r="G36">
        <v>154</v>
      </c>
      <c r="H36">
        <v>259.40000000000003</v>
      </c>
      <c r="I36" s="14">
        <v>413.10920231412035</v>
      </c>
      <c r="J36">
        <v>77</v>
      </c>
      <c r="K36">
        <v>35</v>
      </c>
      <c r="L36">
        <v>124</v>
      </c>
      <c r="M36">
        <v>67</v>
      </c>
      <c r="N36" s="120">
        <v>0</v>
      </c>
      <c r="O36" s="120">
        <v>5.7142857142857141E-2</v>
      </c>
      <c r="P36">
        <v>-23</v>
      </c>
    </row>
    <row r="37" spans="1:16">
      <c r="A37" t="s">
        <v>154</v>
      </c>
      <c r="B37">
        <v>138</v>
      </c>
      <c r="C37">
        <v>6</v>
      </c>
      <c r="D37">
        <v>138</v>
      </c>
      <c r="E37">
        <v>129</v>
      </c>
      <c r="F37">
        <v>63</v>
      </c>
      <c r="G37">
        <v>64</v>
      </c>
      <c r="H37">
        <v>259.8</v>
      </c>
      <c r="I37" s="14">
        <v>329.42758880943006</v>
      </c>
      <c r="J37">
        <v>78</v>
      </c>
      <c r="K37">
        <v>36</v>
      </c>
      <c r="L37">
        <v>77</v>
      </c>
      <c r="M37">
        <v>33</v>
      </c>
      <c r="N37" s="120">
        <v>0</v>
      </c>
      <c r="O37" s="120">
        <v>7.1428571428571425E-2</v>
      </c>
      <c r="P37">
        <v>-39</v>
      </c>
    </row>
    <row r="38" spans="1:16">
      <c r="A38" t="s">
        <v>79</v>
      </c>
      <c r="B38">
        <v>87</v>
      </c>
      <c r="C38">
        <v>97</v>
      </c>
      <c r="D38">
        <v>94</v>
      </c>
      <c r="E38">
        <v>74</v>
      </c>
      <c r="F38">
        <v>137</v>
      </c>
      <c r="G38">
        <v>74</v>
      </c>
      <c r="H38">
        <v>260.59999999999997</v>
      </c>
      <c r="I38" s="14">
        <v>328.80432952148158</v>
      </c>
      <c r="J38">
        <v>80</v>
      </c>
      <c r="K38">
        <v>37</v>
      </c>
      <c r="L38">
        <v>76</v>
      </c>
      <c r="M38">
        <v>32</v>
      </c>
      <c r="N38" s="120">
        <v>0</v>
      </c>
      <c r="O38" s="120">
        <v>6.0606060606060608E-2</v>
      </c>
      <c r="P38">
        <v>-23</v>
      </c>
    </row>
    <row r="39" spans="1:16">
      <c r="A39" t="s">
        <v>146</v>
      </c>
      <c r="B39">
        <v>133</v>
      </c>
      <c r="C39">
        <v>137</v>
      </c>
      <c r="D39">
        <v>47</v>
      </c>
      <c r="E39">
        <v>160</v>
      </c>
      <c r="F39">
        <v>5</v>
      </c>
      <c r="G39">
        <v>32</v>
      </c>
      <c r="H39">
        <v>260.89999999999998</v>
      </c>
      <c r="I39" s="14">
        <v>279.51899141539002</v>
      </c>
      <c r="J39">
        <v>81</v>
      </c>
      <c r="K39">
        <v>38</v>
      </c>
      <c r="L39">
        <v>51</v>
      </c>
      <c r="M39">
        <v>17</v>
      </c>
      <c r="N39" s="120">
        <v>0</v>
      </c>
      <c r="O39" s="120">
        <v>5.7142857142857141E-2</v>
      </c>
      <c r="P39">
        <v>16</v>
      </c>
    </row>
    <row r="40" spans="1:16">
      <c r="A40" t="s">
        <v>59</v>
      </c>
      <c r="B40">
        <v>82</v>
      </c>
      <c r="C40">
        <v>121</v>
      </c>
      <c r="D40">
        <v>153</v>
      </c>
      <c r="E40">
        <v>19</v>
      </c>
      <c r="F40">
        <v>63</v>
      </c>
      <c r="G40">
        <v>108</v>
      </c>
      <c r="H40">
        <v>261.7</v>
      </c>
      <c r="I40" s="14">
        <v>352.66468379810965</v>
      </c>
      <c r="J40">
        <v>82.5</v>
      </c>
      <c r="K40">
        <v>39</v>
      </c>
      <c r="L40">
        <v>89</v>
      </c>
      <c r="M40">
        <v>42</v>
      </c>
      <c r="N40" s="120">
        <v>0</v>
      </c>
      <c r="O40" s="120">
        <v>0</v>
      </c>
      <c r="P40">
        <v>-10</v>
      </c>
    </row>
    <row r="41" spans="1:16">
      <c r="A41" t="s">
        <v>179</v>
      </c>
      <c r="B41">
        <v>198</v>
      </c>
      <c r="C41">
        <v>9</v>
      </c>
      <c r="D41">
        <v>31</v>
      </c>
      <c r="E41">
        <v>186</v>
      </c>
      <c r="F41">
        <v>104</v>
      </c>
      <c r="G41">
        <v>116</v>
      </c>
      <c r="H41">
        <v>261.90000000000003</v>
      </c>
      <c r="I41" s="14">
        <v>386.10682527992327</v>
      </c>
      <c r="J41">
        <v>84</v>
      </c>
      <c r="K41">
        <v>40</v>
      </c>
      <c r="L41">
        <v>106</v>
      </c>
      <c r="M41">
        <v>54</v>
      </c>
      <c r="N41" s="120">
        <v>0</v>
      </c>
      <c r="O41" s="120">
        <v>3.3333333333333333E-2</v>
      </c>
      <c r="P41">
        <v>3</v>
      </c>
    </row>
    <row r="42" spans="1:16">
      <c r="A42" t="s">
        <v>151</v>
      </c>
      <c r="B42">
        <v>143</v>
      </c>
      <c r="C42">
        <v>91</v>
      </c>
      <c r="D42">
        <v>28</v>
      </c>
      <c r="E42">
        <v>174</v>
      </c>
      <c r="F42">
        <v>84</v>
      </c>
      <c r="G42">
        <v>81</v>
      </c>
      <c r="H42">
        <v>263.20000000000005</v>
      </c>
      <c r="I42" s="14">
        <v>341.79938182804875</v>
      </c>
      <c r="J42">
        <v>85</v>
      </c>
      <c r="K42">
        <v>41</v>
      </c>
      <c r="L42">
        <v>85</v>
      </c>
      <c r="M42">
        <v>41</v>
      </c>
      <c r="N42" s="120">
        <v>0</v>
      </c>
      <c r="O42" s="120">
        <v>2.9411764705882353E-2</v>
      </c>
      <c r="P42">
        <v>44</v>
      </c>
    </row>
    <row r="43" spans="1:16">
      <c r="A43" t="s">
        <v>126</v>
      </c>
      <c r="B43">
        <v>103</v>
      </c>
      <c r="C43">
        <v>57</v>
      </c>
      <c r="D43">
        <v>86</v>
      </c>
      <c r="E43">
        <v>120</v>
      </c>
      <c r="F43">
        <v>149</v>
      </c>
      <c r="G43">
        <v>124</v>
      </c>
      <c r="H43">
        <v>263.8</v>
      </c>
      <c r="I43" s="14">
        <v>391.31997462020644</v>
      </c>
      <c r="J43">
        <v>86</v>
      </c>
      <c r="K43">
        <v>42</v>
      </c>
      <c r="L43">
        <v>110</v>
      </c>
      <c r="M43">
        <v>56</v>
      </c>
      <c r="N43" s="120">
        <v>0</v>
      </c>
      <c r="O43" s="120">
        <v>3.2258064516129031E-2</v>
      </c>
      <c r="P43">
        <v>-17</v>
      </c>
    </row>
    <row r="44" spans="1:16">
      <c r="A44" t="s">
        <v>187</v>
      </c>
      <c r="B44">
        <v>206</v>
      </c>
      <c r="C44">
        <v>10</v>
      </c>
      <c r="D44">
        <v>114</v>
      </c>
      <c r="E44">
        <v>10</v>
      </c>
      <c r="F44">
        <v>129</v>
      </c>
      <c r="G44">
        <v>111</v>
      </c>
      <c r="H44">
        <v>265</v>
      </c>
      <c r="I44" s="14">
        <v>370.01572916881167</v>
      </c>
      <c r="J44">
        <v>87</v>
      </c>
      <c r="K44">
        <v>43</v>
      </c>
      <c r="L44">
        <v>100</v>
      </c>
      <c r="M44">
        <v>49</v>
      </c>
      <c r="N44" s="120">
        <v>0</v>
      </c>
      <c r="O44" s="120">
        <v>0</v>
      </c>
      <c r="P44">
        <v>15</v>
      </c>
    </row>
    <row r="45" spans="1:16">
      <c r="A45" t="s">
        <v>102</v>
      </c>
      <c r="B45">
        <v>96</v>
      </c>
      <c r="C45">
        <v>65</v>
      </c>
      <c r="D45">
        <v>53</v>
      </c>
      <c r="E45">
        <v>182</v>
      </c>
      <c r="F45">
        <v>147</v>
      </c>
      <c r="G45">
        <v>166</v>
      </c>
      <c r="H45">
        <v>265.3</v>
      </c>
      <c r="I45" s="14">
        <v>439.17507045314926</v>
      </c>
      <c r="J45">
        <v>88</v>
      </c>
      <c r="K45">
        <v>44</v>
      </c>
      <c r="L45">
        <v>138</v>
      </c>
      <c r="M45">
        <v>75</v>
      </c>
      <c r="N45" s="120">
        <v>0</v>
      </c>
      <c r="O45" s="120">
        <v>0</v>
      </c>
      <c r="P45">
        <v>21</v>
      </c>
    </row>
    <row r="46" spans="1:16">
      <c r="A46" t="s">
        <v>56</v>
      </c>
      <c r="B46">
        <v>51</v>
      </c>
      <c r="C46">
        <v>166</v>
      </c>
      <c r="D46">
        <v>134</v>
      </c>
      <c r="E46">
        <v>57</v>
      </c>
      <c r="F46">
        <v>49</v>
      </c>
      <c r="G46">
        <v>84</v>
      </c>
      <c r="H46">
        <v>266.40000000000003</v>
      </c>
      <c r="I46" s="14">
        <v>331.20291699936433</v>
      </c>
      <c r="J46">
        <v>89</v>
      </c>
      <c r="K46">
        <v>45</v>
      </c>
      <c r="L46">
        <v>79</v>
      </c>
      <c r="M46">
        <v>35</v>
      </c>
      <c r="N46" s="120">
        <v>0</v>
      </c>
      <c r="O46" s="120">
        <v>0</v>
      </c>
      <c r="P46">
        <v>33</v>
      </c>
    </row>
    <row r="47" spans="1:16">
      <c r="A47" t="s">
        <v>134</v>
      </c>
      <c r="B47">
        <v>146</v>
      </c>
      <c r="C47">
        <v>76</v>
      </c>
      <c r="D47">
        <v>102</v>
      </c>
      <c r="E47">
        <v>121</v>
      </c>
      <c r="F47">
        <v>37</v>
      </c>
      <c r="G47">
        <v>80</v>
      </c>
      <c r="H47">
        <v>267.79999999999995</v>
      </c>
      <c r="I47" s="14">
        <v>340.82973924473288</v>
      </c>
      <c r="J47">
        <v>91</v>
      </c>
      <c r="K47">
        <v>46</v>
      </c>
      <c r="L47">
        <v>83</v>
      </c>
      <c r="M47">
        <v>39</v>
      </c>
      <c r="N47" s="120">
        <v>0</v>
      </c>
      <c r="O47" s="120">
        <v>2.9411764705882353E-2</v>
      </c>
      <c r="P47">
        <v>-49</v>
      </c>
    </row>
    <row r="48" spans="1:16">
      <c r="A48" t="s">
        <v>181</v>
      </c>
      <c r="B48">
        <v>196</v>
      </c>
      <c r="C48">
        <v>50</v>
      </c>
      <c r="D48">
        <v>13</v>
      </c>
      <c r="E48">
        <v>112</v>
      </c>
      <c r="F48">
        <v>167</v>
      </c>
      <c r="G48">
        <v>120</v>
      </c>
      <c r="H48">
        <v>268.3</v>
      </c>
      <c r="I48" s="14">
        <v>387.36316167238562</v>
      </c>
      <c r="J48">
        <v>93</v>
      </c>
      <c r="K48">
        <v>47</v>
      </c>
      <c r="L48">
        <v>109</v>
      </c>
      <c r="M48">
        <v>55</v>
      </c>
      <c r="N48" s="120">
        <v>0</v>
      </c>
      <c r="O48" s="120">
        <v>0</v>
      </c>
      <c r="P48">
        <v>-54</v>
      </c>
    </row>
    <row r="49" spans="1:16">
      <c r="A49" t="s">
        <v>55</v>
      </c>
      <c r="B49">
        <v>100</v>
      </c>
      <c r="C49">
        <v>108</v>
      </c>
      <c r="D49">
        <v>29</v>
      </c>
      <c r="E49">
        <v>166</v>
      </c>
      <c r="F49">
        <v>143</v>
      </c>
      <c r="G49">
        <v>104</v>
      </c>
      <c r="H49">
        <v>268.7</v>
      </c>
      <c r="I49" s="14">
        <v>372.51135779927893</v>
      </c>
      <c r="J49">
        <v>94.5</v>
      </c>
      <c r="K49">
        <v>48</v>
      </c>
      <c r="L49">
        <v>102</v>
      </c>
      <c r="M49">
        <v>50</v>
      </c>
      <c r="N49" s="120">
        <v>0</v>
      </c>
      <c r="O49" s="120">
        <v>2.8571428571428571E-2</v>
      </c>
      <c r="P49">
        <v>33</v>
      </c>
    </row>
    <row r="50" spans="1:16">
      <c r="A50" t="s">
        <v>235</v>
      </c>
      <c r="B50">
        <v>35</v>
      </c>
      <c r="C50">
        <v>201</v>
      </c>
      <c r="D50">
        <v>88</v>
      </c>
      <c r="E50">
        <v>87</v>
      </c>
      <c r="F50">
        <v>78</v>
      </c>
      <c r="G50">
        <v>66</v>
      </c>
      <c r="H50">
        <v>269.2</v>
      </c>
      <c r="I50" s="14">
        <v>315.70613772541816</v>
      </c>
      <c r="J50">
        <v>96</v>
      </c>
      <c r="K50">
        <v>49</v>
      </c>
      <c r="L50">
        <v>68</v>
      </c>
      <c r="M50">
        <v>27</v>
      </c>
      <c r="N50" s="120">
        <v>0</v>
      </c>
      <c r="O50" s="120">
        <v>6.6666666666666666E-2</v>
      </c>
      <c r="P50">
        <v>4</v>
      </c>
    </row>
    <row r="51" spans="1:16">
      <c r="A51" t="s">
        <v>117</v>
      </c>
      <c r="B51">
        <v>114</v>
      </c>
      <c r="C51">
        <v>79</v>
      </c>
      <c r="D51">
        <v>16</v>
      </c>
      <c r="E51">
        <v>177</v>
      </c>
      <c r="F51">
        <v>184</v>
      </c>
      <c r="G51">
        <v>99</v>
      </c>
      <c r="H51">
        <v>271.39999999999998</v>
      </c>
      <c r="I51" s="14">
        <v>376.44502725470448</v>
      </c>
      <c r="J51">
        <v>98</v>
      </c>
      <c r="K51">
        <v>50</v>
      </c>
      <c r="L51">
        <v>103</v>
      </c>
      <c r="M51">
        <v>51</v>
      </c>
      <c r="N51" s="120">
        <v>0</v>
      </c>
      <c r="O51" s="120">
        <v>0</v>
      </c>
      <c r="P51">
        <v>-26</v>
      </c>
    </row>
    <row r="52" spans="1:16">
      <c r="A52" t="s">
        <v>39</v>
      </c>
      <c r="B52">
        <v>66</v>
      </c>
      <c r="C52">
        <v>115</v>
      </c>
      <c r="D52">
        <v>161</v>
      </c>
      <c r="E52">
        <v>116</v>
      </c>
      <c r="F52">
        <v>14</v>
      </c>
      <c r="G52">
        <v>52</v>
      </c>
      <c r="H52">
        <v>273.3</v>
      </c>
      <c r="I52" s="14">
        <v>316.02438763761796</v>
      </c>
      <c r="J52">
        <v>99</v>
      </c>
      <c r="K52">
        <v>51</v>
      </c>
      <c r="L52">
        <v>69</v>
      </c>
      <c r="M52">
        <v>28</v>
      </c>
      <c r="N52" s="120">
        <v>0</v>
      </c>
      <c r="O52" s="120">
        <v>2.7777777777777776E-2</v>
      </c>
      <c r="P52">
        <v>-11</v>
      </c>
    </row>
    <row r="53" spans="1:16">
      <c r="A53" t="s">
        <v>38</v>
      </c>
      <c r="B53">
        <v>34</v>
      </c>
      <c r="C53">
        <v>177</v>
      </c>
      <c r="D53">
        <v>150</v>
      </c>
      <c r="E53">
        <v>44</v>
      </c>
      <c r="F53">
        <v>62</v>
      </c>
      <c r="G53">
        <v>58</v>
      </c>
      <c r="H53">
        <v>274</v>
      </c>
      <c r="I53" s="14">
        <v>311.77359177786411</v>
      </c>
      <c r="J53">
        <v>101</v>
      </c>
      <c r="K53">
        <v>52</v>
      </c>
      <c r="L53">
        <v>66</v>
      </c>
      <c r="M53">
        <v>26</v>
      </c>
      <c r="N53" s="120">
        <v>0</v>
      </c>
      <c r="O53" s="120">
        <v>6.0606060606060608E-2</v>
      </c>
      <c r="P53">
        <v>3</v>
      </c>
    </row>
    <row r="54" spans="1:16">
      <c r="A54" t="s">
        <v>122</v>
      </c>
      <c r="B54">
        <v>141</v>
      </c>
      <c r="C54">
        <v>75</v>
      </c>
      <c r="D54">
        <v>111</v>
      </c>
      <c r="E54">
        <v>97</v>
      </c>
      <c r="F54">
        <v>76</v>
      </c>
      <c r="G54">
        <v>92</v>
      </c>
      <c r="H54">
        <v>276.5</v>
      </c>
      <c r="I54" s="14">
        <v>361.81811135680613</v>
      </c>
      <c r="J54">
        <v>102</v>
      </c>
      <c r="K54">
        <v>53</v>
      </c>
      <c r="L54">
        <v>95</v>
      </c>
      <c r="M54">
        <v>44</v>
      </c>
      <c r="N54" s="120">
        <v>0</v>
      </c>
      <c r="O54" s="120">
        <v>6.25E-2</v>
      </c>
      <c r="P54">
        <v>17</v>
      </c>
    </row>
    <row r="55" spans="1:16">
      <c r="A55" t="s">
        <v>75</v>
      </c>
      <c r="B55">
        <v>76</v>
      </c>
      <c r="C55">
        <v>139</v>
      </c>
      <c r="D55">
        <v>20</v>
      </c>
      <c r="E55">
        <v>138</v>
      </c>
      <c r="F55">
        <v>201</v>
      </c>
      <c r="G55">
        <v>157</v>
      </c>
      <c r="H55">
        <v>278.60000000000002</v>
      </c>
      <c r="I55" s="14">
        <v>432.71081004555475</v>
      </c>
      <c r="J55">
        <v>104</v>
      </c>
      <c r="K55">
        <v>54</v>
      </c>
      <c r="L55">
        <v>135</v>
      </c>
      <c r="M55">
        <v>73</v>
      </c>
      <c r="N55" s="120">
        <v>0</v>
      </c>
      <c r="O55" s="120">
        <v>0</v>
      </c>
      <c r="P55">
        <v>20</v>
      </c>
    </row>
    <row r="56" spans="1:16">
      <c r="A56" t="s">
        <v>190</v>
      </c>
      <c r="B56">
        <v>209</v>
      </c>
      <c r="C56">
        <v>14</v>
      </c>
      <c r="D56">
        <v>73</v>
      </c>
      <c r="E56">
        <v>155</v>
      </c>
      <c r="F56">
        <v>80</v>
      </c>
      <c r="G56">
        <v>137</v>
      </c>
      <c r="H56">
        <v>278.89999999999998</v>
      </c>
      <c r="I56" s="14">
        <v>419.07688512506292</v>
      </c>
      <c r="J56">
        <v>105</v>
      </c>
      <c r="K56">
        <v>55</v>
      </c>
      <c r="L56">
        <v>129</v>
      </c>
      <c r="M56">
        <v>69</v>
      </c>
      <c r="N56" s="120">
        <v>0</v>
      </c>
      <c r="O56" s="120">
        <v>0.125</v>
      </c>
      <c r="P56">
        <v>45</v>
      </c>
    </row>
    <row r="57" spans="1:16">
      <c r="A57" t="s">
        <v>88</v>
      </c>
      <c r="B57">
        <v>110</v>
      </c>
      <c r="C57">
        <v>82</v>
      </c>
      <c r="D57">
        <v>128</v>
      </c>
      <c r="E57">
        <v>126</v>
      </c>
      <c r="F57">
        <v>75</v>
      </c>
      <c r="G57">
        <v>77</v>
      </c>
      <c r="H57">
        <v>285.2</v>
      </c>
      <c r="I57" s="14">
        <v>358.80120044231785</v>
      </c>
      <c r="J57">
        <v>110</v>
      </c>
      <c r="K57">
        <v>56</v>
      </c>
      <c r="L57">
        <v>93</v>
      </c>
      <c r="M57">
        <v>43</v>
      </c>
      <c r="N57" s="120">
        <v>0</v>
      </c>
      <c r="O57" s="120">
        <v>0</v>
      </c>
      <c r="P57">
        <v>8</v>
      </c>
    </row>
    <row r="58" spans="1:16">
      <c r="A58" t="s">
        <v>34</v>
      </c>
      <c r="B58">
        <v>21</v>
      </c>
      <c r="C58">
        <v>155</v>
      </c>
      <c r="D58">
        <v>132</v>
      </c>
      <c r="E58">
        <v>38</v>
      </c>
      <c r="F58">
        <v>185</v>
      </c>
      <c r="G58">
        <v>147</v>
      </c>
      <c r="H58">
        <v>287.2</v>
      </c>
      <c r="I58" s="14">
        <v>423.24625365366853</v>
      </c>
      <c r="J58">
        <v>111</v>
      </c>
      <c r="K58">
        <v>57</v>
      </c>
      <c r="L58">
        <v>130</v>
      </c>
      <c r="M58">
        <v>70</v>
      </c>
      <c r="N58" s="120">
        <v>0</v>
      </c>
      <c r="O58" s="120">
        <v>0</v>
      </c>
      <c r="P58">
        <v>3</v>
      </c>
    </row>
    <row r="59" spans="1:16">
      <c r="A59" t="s">
        <v>170</v>
      </c>
      <c r="B59">
        <v>155</v>
      </c>
      <c r="C59">
        <v>19</v>
      </c>
      <c r="D59">
        <v>171</v>
      </c>
      <c r="E59">
        <v>142</v>
      </c>
      <c r="F59">
        <v>16</v>
      </c>
      <c r="G59">
        <v>122</v>
      </c>
      <c r="H59">
        <v>287.29999999999995</v>
      </c>
      <c r="I59" s="14">
        <v>411.02424454445429</v>
      </c>
      <c r="J59">
        <v>112</v>
      </c>
      <c r="K59">
        <v>58</v>
      </c>
      <c r="L59">
        <v>123</v>
      </c>
      <c r="M59">
        <v>66</v>
      </c>
      <c r="N59" s="120">
        <v>0</v>
      </c>
      <c r="O59" s="120">
        <v>0</v>
      </c>
      <c r="P59">
        <v>47</v>
      </c>
    </row>
    <row r="60" spans="1:16">
      <c r="A60" t="s">
        <v>101</v>
      </c>
      <c r="B60">
        <v>107</v>
      </c>
      <c r="C60">
        <v>81</v>
      </c>
      <c r="D60">
        <v>101</v>
      </c>
      <c r="E60">
        <v>184</v>
      </c>
      <c r="F60">
        <v>79</v>
      </c>
      <c r="G60">
        <v>101</v>
      </c>
      <c r="H60">
        <v>288.70000000000005</v>
      </c>
      <c r="I60" s="14">
        <v>391.68576754374271</v>
      </c>
      <c r="J60">
        <v>114</v>
      </c>
      <c r="K60">
        <v>59</v>
      </c>
      <c r="L60">
        <v>111</v>
      </c>
      <c r="M60">
        <v>57</v>
      </c>
      <c r="N60" s="120">
        <v>0</v>
      </c>
      <c r="O60" s="120">
        <v>2.9411764705882353E-2</v>
      </c>
      <c r="P60">
        <v>-13</v>
      </c>
    </row>
    <row r="61" spans="1:16">
      <c r="A61" t="s">
        <v>32</v>
      </c>
      <c r="B61">
        <v>63</v>
      </c>
      <c r="C61">
        <v>145</v>
      </c>
      <c r="D61">
        <v>90</v>
      </c>
      <c r="E61">
        <v>118</v>
      </c>
      <c r="F61">
        <v>138</v>
      </c>
      <c r="G61">
        <v>98</v>
      </c>
      <c r="H61">
        <v>290.2</v>
      </c>
      <c r="I61" s="14">
        <v>380.68767281787598</v>
      </c>
      <c r="J61">
        <v>115</v>
      </c>
      <c r="K61">
        <v>60</v>
      </c>
      <c r="L61">
        <v>104</v>
      </c>
      <c r="M61">
        <v>52</v>
      </c>
      <c r="N61" s="120">
        <v>0</v>
      </c>
      <c r="O61" s="120">
        <v>3.0303030303030304E-2</v>
      </c>
      <c r="P61">
        <v>25</v>
      </c>
    </row>
    <row r="62" spans="1:16">
      <c r="A62" t="s">
        <v>161</v>
      </c>
      <c r="B62">
        <v>147</v>
      </c>
      <c r="C62">
        <v>64</v>
      </c>
      <c r="D62">
        <v>129</v>
      </c>
      <c r="E62">
        <v>67</v>
      </c>
      <c r="F62">
        <v>117</v>
      </c>
      <c r="G62">
        <v>134</v>
      </c>
      <c r="H62">
        <v>290.5</v>
      </c>
      <c r="I62" s="14">
        <v>418.51897154954088</v>
      </c>
      <c r="J62">
        <v>116</v>
      </c>
      <c r="K62">
        <v>61</v>
      </c>
      <c r="L62">
        <v>127</v>
      </c>
      <c r="M62">
        <v>68</v>
      </c>
      <c r="N62" s="120">
        <v>0</v>
      </c>
      <c r="O62" s="120">
        <v>0</v>
      </c>
      <c r="P62">
        <v>-58</v>
      </c>
    </row>
    <row r="63" spans="1:16">
      <c r="A63" t="s">
        <v>133</v>
      </c>
      <c r="B63">
        <v>154</v>
      </c>
      <c r="C63">
        <v>49</v>
      </c>
      <c r="D63">
        <v>123</v>
      </c>
      <c r="E63">
        <v>92</v>
      </c>
      <c r="F63">
        <v>118</v>
      </c>
      <c r="G63">
        <v>102</v>
      </c>
      <c r="H63">
        <v>291.89999999999998</v>
      </c>
      <c r="I63" s="14">
        <v>391.8388908709328</v>
      </c>
      <c r="J63">
        <v>117.5</v>
      </c>
      <c r="K63">
        <v>62</v>
      </c>
      <c r="L63">
        <v>112</v>
      </c>
      <c r="M63">
        <v>58</v>
      </c>
      <c r="N63" s="120">
        <v>0</v>
      </c>
      <c r="O63" s="120">
        <v>2.8571428571428571E-2</v>
      </c>
      <c r="P63">
        <v>38</v>
      </c>
    </row>
    <row r="64" spans="1:16">
      <c r="A64" t="s">
        <v>147</v>
      </c>
      <c r="B64">
        <v>159</v>
      </c>
      <c r="C64">
        <v>87</v>
      </c>
      <c r="D64">
        <v>125</v>
      </c>
      <c r="E64">
        <v>130</v>
      </c>
      <c r="F64">
        <v>18</v>
      </c>
      <c r="G64">
        <v>85</v>
      </c>
      <c r="H64">
        <v>294.3</v>
      </c>
      <c r="I64" s="14">
        <v>369.9200509604172</v>
      </c>
      <c r="J64">
        <v>119</v>
      </c>
      <c r="K64">
        <v>63</v>
      </c>
      <c r="L64">
        <v>99</v>
      </c>
      <c r="M64">
        <v>48</v>
      </c>
      <c r="N64" s="120">
        <v>0</v>
      </c>
      <c r="O64" s="120">
        <v>5.4054054054054057E-2</v>
      </c>
      <c r="P64">
        <v>-39</v>
      </c>
    </row>
    <row r="65" spans="1:16">
      <c r="A65" t="s">
        <v>100</v>
      </c>
      <c r="B65">
        <v>152</v>
      </c>
      <c r="C65">
        <v>138</v>
      </c>
      <c r="D65">
        <v>118</v>
      </c>
      <c r="E65">
        <v>63</v>
      </c>
      <c r="F65">
        <v>45</v>
      </c>
      <c r="G65">
        <v>88</v>
      </c>
      <c r="H65">
        <v>299.8</v>
      </c>
      <c r="I65" s="14">
        <v>367.02905230230681</v>
      </c>
      <c r="J65">
        <v>122</v>
      </c>
      <c r="K65">
        <v>64</v>
      </c>
      <c r="L65">
        <v>97</v>
      </c>
      <c r="M65">
        <v>46</v>
      </c>
      <c r="N65" s="120">
        <v>0</v>
      </c>
      <c r="O65" s="120">
        <v>0</v>
      </c>
      <c r="P65">
        <v>-21</v>
      </c>
    </row>
    <row r="66" spans="1:16">
      <c r="A66" t="s">
        <v>106</v>
      </c>
      <c r="B66">
        <v>106</v>
      </c>
      <c r="C66">
        <v>160</v>
      </c>
      <c r="D66">
        <v>62</v>
      </c>
      <c r="E66">
        <v>203</v>
      </c>
      <c r="F66">
        <v>42</v>
      </c>
      <c r="G66">
        <v>114</v>
      </c>
      <c r="H66">
        <v>301</v>
      </c>
      <c r="I66" s="14">
        <v>405.38586276979294</v>
      </c>
      <c r="J66">
        <v>124</v>
      </c>
      <c r="K66">
        <v>65</v>
      </c>
      <c r="L66">
        <v>121</v>
      </c>
      <c r="M66">
        <v>65</v>
      </c>
      <c r="N66" s="120">
        <v>0</v>
      </c>
      <c r="O66" s="120">
        <v>0</v>
      </c>
      <c r="P66">
        <v>44</v>
      </c>
    </row>
    <row r="67" spans="1:16">
      <c r="A67" t="s">
        <v>23</v>
      </c>
      <c r="B67">
        <v>23</v>
      </c>
      <c r="C67">
        <v>168</v>
      </c>
      <c r="D67">
        <v>55</v>
      </c>
      <c r="E67">
        <v>162</v>
      </c>
      <c r="F67">
        <v>208</v>
      </c>
      <c r="G67">
        <v>131</v>
      </c>
      <c r="H67">
        <v>301.09999999999997</v>
      </c>
      <c r="I67" s="14">
        <v>430.62167241143044</v>
      </c>
      <c r="J67">
        <v>125</v>
      </c>
      <c r="K67">
        <v>66</v>
      </c>
      <c r="L67">
        <v>132</v>
      </c>
      <c r="M67">
        <v>71</v>
      </c>
      <c r="N67" s="120">
        <v>0</v>
      </c>
      <c r="O67" s="120">
        <v>0</v>
      </c>
      <c r="P67">
        <v>-4</v>
      </c>
    </row>
    <row r="68" spans="1:16">
      <c r="A68" t="s">
        <v>50</v>
      </c>
      <c r="B68">
        <v>60</v>
      </c>
      <c r="C68">
        <v>167</v>
      </c>
      <c r="D68">
        <v>60</v>
      </c>
      <c r="E68">
        <v>108</v>
      </c>
      <c r="F68">
        <v>202</v>
      </c>
      <c r="G68">
        <v>159</v>
      </c>
      <c r="H68">
        <v>302.2</v>
      </c>
      <c r="I68" s="14">
        <v>452.8218366040295</v>
      </c>
      <c r="J68">
        <v>127</v>
      </c>
      <c r="K68">
        <v>67</v>
      </c>
      <c r="L68">
        <v>143</v>
      </c>
      <c r="M68">
        <v>80</v>
      </c>
      <c r="N68" s="120">
        <v>0</v>
      </c>
      <c r="O68" s="120">
        <v>0</v>
      </c>
      <c r="P68">
        <v>26</v>
      </c>
    </row>
    <row r="69" spans="1:16">
      <c r="A69" t="s">
        <v>41</v>
      </c>
      <c r="B69">
        <v>24</v>
      </c>
      <c r="C69">
        <v>198</v>
      </c>
      <c r="D69">
        <v>115</v>
      </c>
      <c r="E69">
        <v>151</v>
      </c>
      <c r="F69">
        <v>71</v>
      </c>
      <c r="G69">
        <v>113</v>
      </c>
      <c r="H69">
        <v>302.5</v>
      </c>
      <c r="I69" s="14">
        <v>402.30375903951318</v>
      </c>
      <c r="J69">
        <v>128</v>
      </c>
      <c r="K69">
        <v>68</v>
      </c>
      <c r="L69">
        <v>119</v>
      </c>
      <c r="M69">
        <v>63</v>
      </c>
      <c r="N69" s="120">
        <v>0</v>
      </c>
      <c r="O69" s="120">
        <v>0</v>
      </c>
      <c r="P69">
        <v>19</v>
      </c>
    </row>
    <row r="70" spans="1:16">
      <c r="A70" t="s">
        <v>116</v>
      </c>
      <c r="B70">
        <v>118</v>
      </c>
      <c r="C70">
        <v>21</v>
      </c>
      <c r="D70">
        <v>143</v>
      </c>
      <c r="E70">
        <v>200</v>
      </c>
      <c r="F70">
        <v>103</v>
      </c>
      <c r="G70">
        <v>133</v>
      </c>
      <c r="H70">
        <v>304.7</v>
      </c>
      <c r="I70" s="14">
        <v>450.34631245791508</v>
      </c>
      <c r="J70">
        <v>129</v>
      </c>
      <c r="K70">
        <v>69</v>
      </c>
      <c r="L70">
        <v>142</v>
      </c>
      <c r="M70">
        <v>79</v>
      </c>
      <c r="N70" s="120">
        <v>0</v>
      </c>
      <c r="O70" s="120">
        <v>2.9411764705882353E-2</v>
      </c>
      <c r="P70">
        <v>67</v>
      </c>
    </row>
    <row r="71" spans="1:16">
      <c r="A71" t="s">
        <v>16</v>
      </c>
      <c r="B71">
        <v>17</v>
      </c>
      <c r="C71">
        <v>208</v>
      </c>
      <c r="D71">
        <v>92</v>
      </c>
      <c r="E71">
        <v>134</v>
      </c>
      <c r="F71">
        <v>131</v>
      </c>
      <c r="G71">
        <v>106</v>
      </c>
      <c r="H71">
        <v>305.39999999999998</v>
      </c>
      <c r="I71" s="14">
        <v>398.52991220607726</v>
      </c>
      <c r="J71">
        <v>131</v>
      </c>
      <c r="K71">
        <v>70</v>
      </c>
      <c r="L71">
        <v>116</v>
      </c>
      <c r="M71">
        <v>61</v>
      </c>
      <c r="N71" s="120">
        <v>0</v>
      </c>
      <c r="O71" s="120">
        <v>0</v>
      </c>
      <c r="P71">
        <v>-28</v>
      </c>
    </row>
    <row r="72" spans="1:16">
      <c r="A72" t="s">
        <v>45</v>
      </c>
      <c r="B72">
        <v>60</v>
      </c>
      <c r="C72">
        <v>197</v>
      </c>
      <c r="D72">
        <v>119</v>
      </c>
      <c r="E72">
        <v>79</v>
      </c>
      <c r="F72">
        <v>92</v>
      </c>
      <c r="G72">
        <v>153</v>
      </c>
      <c r="H72">
        <v>305.90000000000003</v>
      </c>
      <c r="I72" s="14">
        <v>438.61870061479988</v>
      </c>
      <c r="J72">
        <v>132</v>
      </c>
      <c r="K72">
        <v>71</v>
      </c>
      <c r="L72">
        <v>137</v>
      </c>
      <c r="M72">
        <v>74</v>
      </c>
      <c r="N72" s="120">
        <v>0</v>
      </c>
      <c r="O72" s="120">
        <v>0</v>
      </c>
      <c r="P72">
        <v>-12</v>
      </c>
    </row>
    <row r="73" spans="1:16">
      <c r="A73" t="s">
        <v>171</v>
      </c>
      <c r="B73">
        <v>181</v>
      </c>
      <c r="C73">
        <v>117</v>
      </c>
      <c r="D73">
        <v>95</v>
      </c>
      <c r="E73">
        <v>98</v>
      </c>
      <c r="F73">
        <v>60</v>
      </c>
      <c r="G73">
        <v>42</v>
      </c>
      <c r="H73">
        <v>308.5</v>
      </c>
      <c r="I73" s="14">
        <v>334.70732528108198</v>
      </c>
      <c r="J73">
        <v>135</v>
      </c>
      <c r="K73">
        <v>72</v>
      </c>
      <c r="L73">
        <v>80</v>
      </c>
      <c r="M73">
        <v>36</v>
      </c>
      <c r="N73" s="120">
        <v>0</v>
      </c>
      <c r="O73" s="120">
        <v>0</v>
      </c>
      <c r="P73">
        <v>92</v>
      </c>
    </row>
    <row r="74" spans="1:16">
      <c r="A74" t="s">
        <v>83</v>
      </c>
      <c r="B74">
        <v>47</v>
      </c>
      <c r="C74">
        <v>158</v>
      </c>
      <c r="D74">
        <v>154</v>
      </c>
      <c r="E74">
        <v>114</v>
      </c>
      <c r="F74">
        <v>81</v>
      </c>
      <c r="G74">
        <v>161</v>
      </c>
      <c r="H74">
        <v>308.8</v>
      </c>
      <c r="I74" s="14">
        <v>458.4690481851764</v>
      </c>
      <c r="J74">
        <v>136</v>
      </c>
      <c r="K74">
        <v>73</v>
      </c>
      <c r="L74">
        <v>148</v>
      </c>
      <c r="M74">
        <v>85</v>
      </c>
      <c r="N74" s="120">
        <v>0</v>
      </c>
      <c r="O74" s="120">
        <v>0</v>
      </c>
      <c r="P74">
        <v>-4</v>
      </c>
    </row>
    <row r="75" spans="1:16">
      <c r="A75" t="s">
        <v>145</v>
      </c>
      <c r="B75">
        <v>171</v>
      </c>
      <c r="C75">
        <v>17</v>
      </c>
      <c r="D75">
        <v>111</v>
      </c>
      <c r="E75">
        <v>128</v>
      </c>
      <c r="F75">
        <v>169</v>
      </c>
      <c r="G75">
        <v>158</v>
      </c>
      <c r="H75">
        <v>309.3</v>
      </c>
      <c r="I75" s="14">
        <v>474.35327702942982</v>
      </c>
      <c r="J75">
        <v>137</v>
      </c>
      <c r="K75">
        <v>74</v>
      </c>
      <c r="L75">
        <v>156</v>
      </c>
      <c r="M75">
        <v>89</v>
      </c>
      <c r="N75" s="120">
        <v>0</v>
      </c>
      <c r="O75" s="120">
        <v>0</v>
      </c>
      <c r="P75">
        <v>14</v>
      </c>
    </row>
    <row r="76" spans="1:16">
      <c r="A76" t="s">
        <v>77</v>
      </c>
      <c r="B76">
        <v>51</v>
      </c>
      <c r="C76">
        <v>199</v>
      </c>
      <c r="D76">
        <v>97</v>
      </c>
      <c r="E76">
        <v>150</v>
      </c>
      <c r="F76">
        <v>82</v>
      </c>
      <c r="G76">
        <v>109</v>
      </c>
      <c r="H76">
        <v>310.7</v>
      </c>
      <c r="I76" s="14">
        <v>405.17472545930303</v>
      </c>
      <c r="J76">
        <v>138.5</v>
      </c>
      <c r="K76">
        <v>75</v>
      </c>
      <c r="L76">
        <v>120</v>
      </c>
      <c r="M76">
        <v>64</v>
      </c>
      <c r="N76" s="120">
        <v>0</v>
      </c>
      <c r="O76" s="120">
        <v>0</v>
      </c>
      <c r="P76">
        <v>34</v>
      </c>
    </row>
    <row r="77" spans="1:16">
      <c r="A77" t="s">
        <v>62</v>
      </c>
      <c r="B77">
        <v>84</v>
      </c>
      <c r="C77">
        <v>110</v>
      </c>
      <c r="D77">
        <v>121</v>
      </c>
      <c r="E77">
        <v>92</v>
      </c>
      <c r="F77">
        <v>182</v>
      </c>
      <c r="G77">
        <v>143</v>
      </c>
      <c r="H77">
        <v>310.7</v>
      </c>
      <c r="I77" s="14">
        <v>450.00086388863167</v>
      </c>
      <c r="J77">
        <v>138.5</v>
      </c>
      <c r="K77">
        <v>76</v>
      </c>
      <c r="L77">
        <v>141</v>
      </c>
      <c r="M77">
        <v>78</v>
      </c>
      <c r="N77" s="120">
        <v>0</v>
      </c>
      <c r="O77" s="120">
        <v>3.125E-2</v>
      </c>
      <c r="P77">
        <v>-1</v>
      </c>
    </row>
    <row r="78" spans="1:16">
      <c r="A78" t="s">
        <v>238</v>
      </c>
      <c r="B78">
        <v>205</v>
      </c>
      <c r="C78">
        <v>134</v>
      </c>
      <c r="D78">
        <v>26</v>
      </c>
      <c r="E78">
        <v>172</v>
      </c>
      <c r="F78">
        <v>54</v>
      </c>
      <c r="G78">
        <v>103</v>
      </c>
      <c r="H78">
        <v>312</v>
      </c>
      <c r="I78" s="14">
        <v>401.18018362739855</v>
      </c>
      <c r="J78">
        <v>140</v>
      </c>
      <c r="K78">
        <v>77</v>
      </c>
      <c r="L78">
        <v>118</v>
      </c>
      <c r="M78">
        <v>62</v>
      </c>
      <c r="N78" s="120">
        <v>0</v>
      </c>
      <c r="O78" s="120">
        <v>0</v>
      </c>
      <c r="P78" t="e">
        <v>#N/A</v>
      </c>
    </row>
    <row r="79" spans="1:16">
      <c r="A79" t="s">
        <v>150</v>
      </c>
      <c r="B79">
        <v>159</v>
      </c>
      <c r="C79">
        <v>61</v>
      </c>
      <c r="D79">
        <v>140</v>
      </c>
      <c r="E79">
        <v>85</v>
      </c>
      <c r="F79">
        <v>122</v>
      </c>
      <c r="G79">
        <v>148</v>
      </c>
      <c r="H79">
        <v>312.8</v>
      </c>
      <c r="I79" s="14">
        <v>456.36935544545184</v>
      </c>
      <c r="J79">
        <v>141</v>
      </c>
      <c r="K79">
        <v>78</v>
      </c>
      <c r="L79">
        <v>145</v>
      </c>
      <c r="M79">
        <v>82</v>
      </c>
      <c r="N79" s="120">
        <v>0</v>
      </c>
      <c r="O79" s="120">
        <v>0</v>
      </c>
      <c r="P79">
        <v>16</v>
      </c>
    </row>
    <row r="80" spans="1:16">
      <c r="A80" t="s">
        <v>185</v>
      </c>
      <c r="B80">
        <v>200</v>
      </c>
      <c r="C80">
        <v>8</v>
      </c>
      <c r="D80">
        <v>107</v>
      </c>
      <c r="E80">
        <v>162</v>
      </c>
      <c r="F80">
        <v>126</v>
      </c>
      <c r="G80">
        <v>149</v>
      </c>
      <c r="H80">
        <v>314.89999999999998</v>
      </c>
      <c r="I80" s="14">
        <v>471.38816514429828</v>
      </c>
      <c r="J80">
        <v>142</v>
      </c>
      <c r="K80">
        <v>79</v>
      </c>
      <c r="L80">
        <v>155</v>
      </c>
      <c r="M80">
        <v>88</v>
      </c>
      <c r="N80" s="120">
        <v>0</v>
      </c>
      <c r="O80" s="120">
        <v>0</v>
      </c>
      <c r="P80">
        <v>-3</v>
      </c>
    </row>
    <row r="81" spans="1:16">
      <c r="A81" t="s">
        <v>236</v>
      </c>
      <c r="B81">
        <v>183</v>
      </c>
      <c r="C81">
        <v>51</v>
      </c>
      <c r="D81">
        <v>166</v>
      </c>
      <c r="E81">
        <v>82</v>
      </c>
      <c r="F81">
        <v>68</v>
      </c>
      <c r="G81">
        <v>123</v>
      </c>
      <c r="H81">
        <v>316.60000000000002</v>
      </c>
      <c r="I81" s="14">
        <v>432.44219290724993</v>
      </c>
      <c r="J81">
        <v>144</v>
      </c>
      <c r="K81">
        <v>80</v>
      </c>
      <c r="L81">
        <v>134</v>
      </c>
      <c r="M81">
        <v>72</v>
      </c>
      <c r="N81" s="120">
        <v>0</v>
      </c>
      <c r="O81" s="120">
        <v>0</v>
      </c>
      <c r="P81">
        <v>-5</v>
      </c>
    </row>
    <row r="82" spans="1:16">
      <c r="A82" t="s">
        <v>48</v>
      </c>
      <c r="B82">
        <v>74</v>
      </c>
      <c r="C82">
        <v>171</v>
      </c>
      <c r="D82">
        <v>44</v>
      </c>
      <c r="E82">
        <v>189</v>
      </c>
      <c r="F82">
        <v>159</v>
      </c>
      <c r="G82">
        <v>129</v>
      </c>
      <c r="H82">
        <v>317.00000000000006</v>
      </c>
      <c r="I82" s="14">
        <v>441.03871134485269</v>
      </c>
      <c r="J82">
        <v>145</v>
      </c>
      <c r="K82">
        <v>81</v>
      </c>
      <c r="L82">
        <v>139</v>
      </c>
      <c r="M82">
        <v>76</v>
      </c>
      <c r="N82" s="120">
        <v>0</v>
      </c>
      <c r="O82" s="120">
        <v>0</v>
      </c>
      <c r="P82">
        <v>6</v>
      </c>
    </row>
    <row r="83" spans="1:16">
      <c r="A83" t="s">
        <v>184</v>
      </c>
      <c r="B83">
        <v>192</v>
      </c>
      <c r="C83">
        <v>28</v>
      </c>
      <c r="D83">
        <v>174</v>
      </c>
      <c r="E83">
        <v>80</v>
      </c>
      <c r="F83">
        <v>83</v>
      </c>
      <c r="G83">
        <v>145</v>
      </c>
      <c r="H83">
        <v>319</v>
      </c>
      <c r="I83" s="14">
        <v>460.20756208441611</v>
      </c>
      <c r="J83">
        <v>146</v>
      </c>
      <c r="K83">
        <v>82</v>
      </c>
      <c r="L83">
        <v>149</v>
      </c>
      <c r="M83">
        <v>86</v>
      </c>
      <c r="N83" s="120">
        <v>0</v>
      </c>
      <c r="O83" s="120">
        <v>0</v>
      </c>
      <c r="P83">
        <v>-1</v>
      </c>
    </row>
    <row r="84" spans="1:16">
      <c r="A84" t="s">
        <v>123</v>
      </c>
      <c r="B84">
        <v>139</v>
      </c>
      <c r="C84">
        <v>71</v>
      </c>
      <c r="D84">
        <v>161</v>
      </c>
      <c r="E84">
        <v>107</v>
      </c>
      <c r="F84">
        <v>96</v>
      </c>
      <c r="G84">
        <v>130</v>
      </c>
      <c r="H84">
        <v>319.89999999999998</v>
      </c>
      <c r="I84" s="14">
        <v>445.89154144243196</v>
      </c>
      <c r="J84">
        <v>147</v>
      </c>
      <c r="K84">
        <v>83</v>
      </c>
      <c r="L84">
        <v>140</v>
      </c>
      <c r="M84">
        <v>77</v>
      </c>
      <c r="N84" s="120">
        <v>0</v>
      </c>
      <c r="O84" s="120">
        <v>0</v>
      </c>
      <c r="P84">
        <v>-2</v>
      </c>
    </row>
    <row r="85" spans="1:16">
      <c r="A85" t="s">
        <v>91</v>
      </c>
      <c r="B85">
        <v>66</v>
      </c>
      <c r="C85">
        <v>140</v>
      </c>
      <c r="D85">
        <v>144</v>
      </c>
      <c r="E85">
        <v>110</v>
      </c>
      <c r="F85">
        <v>130</v>
      </c>
      <c r="G85">
        <v>164</v>
      </c>
      <c r="H85">
        <v>320.39999999999998</v>
      </c>
      <c r="I85" s="14">
        <v>476.5397271060362</v>
      </c>
      <c r="J85">
        <v>148</v>
      </c>
      <c r="K85">
        <v>84</v>
      </c>
      <c r="L85">
        <v>157</v>
      </c>
      <c r="M85">
        <v>90</v>
      </c>
      <c r="N85" s="120">
        <v>0</v>
      </c>
      <c r="O85" s="120">
        <v>3.0303030303030304E-2</v>
      </c>
      <c r="P85">
        <v>-8</v>
      </c>
    </row>
    <row r="86" spans="1:16">
      <c r="A86" t="s">
        <v>167</v>
      </c>
      <c r="B86">
        <v>165</v>
      </c>
      <c r="C86">
        <v>45</v>
      </c>
      <c r="D86">
        <v>193</v>
      </c>
      <c r="E86">
        <v>124</v>
      </c>
      <c r="F86">
        <v>27</v>
      </c>
      <c r="G86">
        <v>140</v>
      </c>
      <c r="H86">
        <v>321.50000000000006</v>
      </c>
      <c r="I86" s="14">
        <v>457.96030758736839</v>
      </c>
      <c r="J86">
        <v>149</v>
      </c>
      <c r="K86">
        <v>85</v>
      </c>
      <c r="L86">
        <v>146</v>
      </c>
      <c r="M86">
        <v>83</v>
      </c>
      <c r="N86" s="120">
        <v>0</v>
      </c>
      <c r="O86" s="120">
        <v>0</v>
      </c>
      <c r="P86">
        <v>-7</v>
      </c>
    </row>
    <row r="87" spans="1:16">
      <c r="A87" t="s">
        <v>108</v>
      </c>
      <c r="B87">
        <v>85</v>
      </c>
      <c r="C87">
        <v>170</v>
      </c>
      <c r="D87">
        <v>178</v>
      </c>
      <c r="E87">
        <v>109</v>
      </c>
      <c r="F87">
        <v>4</v>
      </c>
      <c r="G87">
        <v>82</v>
      </c>
      <c r="H87">
        <v>322.80000000000007</v>
      </c>
      <c r="I87" s="14">
        <v>385.47511948397397</v>
      </c>
      <c r="J87">
        <v>150</v>
      </c>
      <c r="K87">
        <v>86</v>
      </c>
      <c r="L87">
        <v>105</v>
      </c>
      <c r="M87">
        <v>53</v>
      </c>
      <c r="N87" s="120">
        <v>0</v>
      </c>
      <c r="O87" s="120">
        <v>2.9411764705882353E-2</v>
      </c>
      <c r="P87">
        <v>-3</v>
      </c>
    </row>
    <row r="88" spans="1:16">
      <c r="A88" t="s">
        <v>160</v>
      </c>
      <c r="B88">
        <v>167</v>
      </c>
      <c r="C88">
        <v>84</v>
      </c>
      <c r="D88">
        <v>146</v>
      </c>
      <c r="E88">
        <v>75</v>
      </c>
      <c r="F88">
        <v>109</v>
      </c>
      <c r="G88">
        <v>139</v>
      </c>
      <c r="H88">
        <v>326.39999999999998</v>
      </c>
      <c r="I88" s="14">
        <v>455.73064329433669</v>
      </c>
      <c r="J88">
        <v>151</v>
      </c>
      <c r="K88">
        <v>87</v>
      </c>
      <c r="L88">
        <v>144</v>
      </c>
      <c r="M88">
        <v>81</v>
      </c>
      <c r="N88" s="120">
        <v>0</v>
      </c>
      <c r="O88" s="120">
        <v>3.0303030303030304E-2</v>
      </c>
      <c r="P88">
        <v>23</v>
      </c>
    </row>
    <row r="89" spans="1:16">
      <c r="A89" t="s">
        <v>159</v>
      </c>
      <c r="B89">
        <v>192</v>
      </c>
      <c r="C89">
        <v>90</v>
      </c>
      <c r="D89">
        <v>99</v>
      </c>
      <c r="E89">
        <v>40</v>
      </c>
      <c r="F89">
        <v>183</v>
      </c>
      <c r="G89">
        <v>142</v>
      </c>
      <c r="H89">
        <v>327.7</v>
      </c>
      <c r="I89" s="14">
        <v>458.12751300938214</v>
      </c>
      <c r="J89">
        <v>152</v>
      </c>
      <c r="K89">
        <v>88</v>
      </c>
      <c r="L89">
        <v>147</v>
      </c>
      <c r="M89">
        <v>84</v>
      </c>
      <c r="N89" s="120">
        <v>0</v>
      </c>
      <c r="O89" s="120">
        <v>0</v>
      </c>
      <c r="P89">
        <v>-28</v>
      </c>
    </row>
    <row r="90" spans="1:16">
      <c r="A90" t="s">
        <v>24</v>
      </c>
      <c r="B90">
        <v>15</v>
      </c>
      <c r="C90">
        <v>209</v>
      </c>
      <c r="D90">
        <v>109</v>
      </c>
      <c r="E90">
        <v>148</v>
      </c>
      <c r="F90">
        <v>150</v>
      </c>
      <c r="G90">
        <v>146</v>
      </c>
      <c r="H90">
        <v>329.9</v>
      </c>
      <c r="I90" s="14">
        <v>465.16986063469068</v>
      </c>
      <c r="J90">
        <v>153</v>
      </c>
      <c r="K90">
        <v>89</v>
      </c>
      <c r="L90">
        <v>151</v>
      </c>
      <c r="M90">
        <v>87</v>
      </c>
      <c r="N90" s="120">
        <v>0</v>
      </c>
      <c r="O90" s="120">
        <v>7.407407407407407E-2</v>
      </c>
      <c r="P90">
        <v>-1</v>
      </c>
    </row>
    <row r="91" spans="1:16">
      <c r="A91" t="s">
        <v>142</v>
      </c>
      <c r="B91">
        <v>153</v>
      </c>
      <c r="C91">
        <v>193</v>
      </c>
      <c r="D91">
        <v>148</v>
      </c>
      <c r="E91">
        <v>27</v>
      </c>
      <c r="F91">
        <v>20</v>
      </c>
      <c r="G91">
        <v>100</v>
      </c>
      <c r="H91">
        <v>330</v>
      </c>
      <c r="I91" s="14">
        <v>397.06621789488776</v>
      </c>
      <c r="J91">
        <v>154</v>
      </c>
      <c r="K91">
        <v>90</v>
      </c>
      <c r="L91">
        <v>114</v>
      </c>
      <c r="M91">
        <v>59</v>
      </c>
      <c r="N91" s="120">
        <v>0</v>
      </c>
      <c r="O91" s="120">
        <v>2.8571428571428571E-2</v>
      </c>
      <c r="P91">
        <v>-8</v>
      </c>
    </row>
    <row r="92" spans="1:16">
      <c r="A92" t="s">
        <v>156</v>
      </c>
      <c r="B92">
        <v>174</v>
      </c>
      <c r="C92">
        <v>35</v>
      </c>
      <c r="D92">
        <v>117</v>
      </c>
      <c r="E92">
        <v>135</v>
      </c>
      <c r="F92">
        <v>172</v>
      </c>
      <c r="G92">
        <v>168</v>
      </c>
      <c r="H92">
        <v>330.09999999999997</v>
      </c>
      <c r="I92" s="14">
        <v>503.14974535560043</v>
      </c>
      <c r="J92">
        <v>155</v>
      </c>
      <c r="K92">
        <v>91</v>
      </c>
      <c r="L92">
        <v>167</v>
      </c>
      <c r="M92">
        <v>99</v>
      </c>
      <c r="N92" s="120">
        <v>0</v>
      </c>
      <c r="O92" s="120">
        <v>2.9411764705882353E-2</v>
      </c>
      <c r="P92">
        <v>-3</v>
      </c>
    </row>
    <row r="93" spans="1:16">
      <c r="A93" t="s">
        <v>96</v>
      </c>
      <c r="B93">
        <v>90</v>
      </c>
      <c r="C93">
        <v>102</v>
      </c>
      <c r="D93">
        <v>130</v>
      </c>
      <c r="E93">
        <v>119</v>
      </c>
      <c r="F93">
        <v>193</v>
      </c>
      <c r="G93">
        <v>163</v>
      </c>
      <c r="H93">
        <v>331</v>
      </c>
      <c r="I93" s="14">
        <v>493.97235475691696</v>
      </c>
      <c r="J93">
        <v>156</v>
      </c>
      <c r="K93">
        <v>92</v>
      </c>
      <c r="L93">
        <v>163</v>
      </c>
      <c r="M93">
        <v>95</v>
      </c>
      <c r="N93" s="120">
        <v>0</v>
      </c>
      <c r="O93" s="120">
        <v>4.3478260869565216E-2</v>
      </c>
      <c r="P93">
        <v>-33</v>
      </c>
    </row>
    <row r="94" spans="1:16">
      <c r="A94" t="s">
        <v>120</v>
      </c>
      <c r="B94">
        <v>118</v>
      </c>
      <c r="C94">
        <v>150</v>
      </c>
      <c r="D94">
        <v>42</v>
      </c>
      <c r="E94">
        <v>204</v>
      </c>
      <c r="F94">
        <v>158</v>
      </c>
      <c r="G94">
        <v>191</v>
      </c>
      <c r="H94">
        <v>335</v>
      </c>
      <c r="I94" s="14">
        <v>522.73197695729618</v>
      </c>
      <c r="J94">
        <v>159</v>
      </c>
      <c r="K94">
        <v>93</v>
      </c>
      <c r="L94">
        <v>175</v>
      </c>
      <c r="M94">
        <v>106</v>
      </c>
      <c r="N94" s="120">
        <v>0</v>
      </c>
      <c r="O94" s="120">
        <v>0</v>
      </c>
      <c r="P94">
        <v>14</v>
      </c>
    </row>
    <row r="95" spans="1:16">
      <c r="A95" t="s">
        <v>86</v>
      </c>
      <c r="B95">
        <v>56</v>
      </c>
      <c r="C95">
        <v>195</v>
      </c>
      <c r="D95">
        <v>199</v>
      </c>
      <c r="E95">
        <v>65</v>
      </c>
      <c r="F95">
        <v>48</v>
      </c>
      <c r="G95">
        <v>192</v>
      </c>
      <c r="H95">
        <v>335.09999999999997</v>
      </c>
      <c r="I95" s="14">
        <v>504.28449362178833</v>
      </c>
      <c r="J95">
        <v>160</v>
      </c>
      <c r="K95">
        <v>94</v>
      </c>
      <c r="L95">
        <v>168</v>
      </c>
      <c r="M95">
        <v>100</v>
      </c>
      <c r="N95" s="120">
        <v>0</v>
      </c>
      <c r="O95" s="120">
        <v>3.2258064516129031E-2</v>
      </c>
      <c r="P95">
        <v>-14</v>
      </c>
    </row>
    <row r="96" spans="1:16">
      <c r="A96" t="s">
        <v>157</v>
      </c>
      <c r="B96">
        <v>150</v>
      </c>
      <c r="C96">
        <v>68</v>
      </c>
      <c r="D96">
        <v>136</v>
      </c>
      <c r="E96">
        <v>81</v>
      </c>
      <c r="F96">
        <v>196</v>
      </c>
      <c r="G96">
        <v>173</v>
      </c>
      <c r="H96">
        <v>336.79999999999995</v>
      </c>
      <c r="I96" s="14">
        <v>508.09171372493233</v>
      </c>
      <c r="J96">
        <v>161</v>
      </c>
      <c r="K96">
        <v>95</v>
      </c>
      <c r="L96">
        <v>169</v>
      </c>
      <c r="M96">
        <v>101</v>
      </c>
      <c r="N96" s="120">
        <v>0</v>
      </c>
      <c r="O96" s="120">
        <v>0</v>
      </c>
      <c r="P96">
        <v>-3</v>
      </c>
    </row>
    <row r="97" spans="1:16">
      <c r="A97" t="s">
        <v>31</v>
      </c>
      <c r="B97">
        <v>36</v>
      </c>
      <c r="C97">
        <v>135</v>
      </c>
      <c r="D97">
        <v>130</v>
      </c>
      <c r="E97">
        <v>154</v>
      </c>
      <c r="F97">
        <v>205</v>
      </c>
      <c r="G97">
        <v>169</v>
      </c>
      <c r="H97">
        <v>337.2</v>
      </c>
      <c r="I97" s="14">
        <v>508.13299222879004</v>
      </c>
      <c r="J97">
        <v>162</v>
      </c>
      <c r="K97">
        <v>96</v>
      </c>
      <c r="L97">
        <v>170</v>
      </c>
      <c r="M97">
        <v>102</v>
      </c>
      <c r="N97" s="120">
        <v>0</v>
      </c>
      <c r="O97" s="120">
        <v>0</v>
      </c>
      <c r="P97">
        <v>21</v>
      </c>
    </row>
    <row r="98" spans="1:16">
      <c r="A98" t="s">
        <v>78</v>
      </c>
      <c r="B98">
        <v>72</v>
      </c>
      <c r="C98">
        <v>124</v>
      </c>
      <c r="D98">
        <v>183</v>
      </c>
      <c r="E98">
        <v>84</v>
      </c>
      <c r="F98">
        <v>145</v>
      </c>
      <c r="G98">
        <v>162</v>
      </c>
      <c r="H98">
        <v>337.3</v>
      </c>
      <c r="I98" s="14">
        <v>492.01963319636945</v>
      </c>
      <c r="J98">
        <v>163</v>
      </c>
      <c r="K98">
        <v>97</v>
      </c>
      <c r="L98">
        <v>162</v>
      </c>
      <c r="M98">
        <v>94</v>
      </c>
      <c r="N98" s="120">
        <v>0</v>
      </c>
      <c r="O98" s="120">
        <v>0</v>
      </c>
      <c r="P98">
        <v>5</v>
      </c>
    </row>
    <row r="99" spans="1:16">
      <c r="A99" t="s">
        <v>99</v>
      </c>
      <c r="B99">
        <v>93</v>
      </c>
      <c r="C99">
        <v>92</v>
      </c>
      <c r="D99">
        <v>122</v>
      </c>
      <c r="E99">
        <v>192</v>
      </c>
      <c r="F99">
        <v>166</v>
      </c>
      <c r="G99">
        <v>173</v>
      </c>
      <c r="H99">
        <v>339.6</v>
      </c>
      <c r="I99" s="14">
        <v>518.7567560860906</v>
      </c>
      <c r="J99">
        <v>165</v>
      </c>
      <c r="K99">
        <v>98</v>
      </c>
      <c r="L99">
        <v>174</v>
      </c>
      <c r="M99">
        <v>105</v>
      </c>
      <c r="N99" s="120">
        <v>0</v>
      </c>
      <c r="O99" s="120">
        <v>0</v>
      </c>
      <c r="P99">
        <v>13</v>
      </c>
    </row>
    <row r="100" spans="1:16">
      <c r="A100" t="s">
        <v>53</v>
      </c>
      <c r="B100">
        <v>30</v>
      </c>
      <c r="C100">
        <v>190</v>
      </c>
      <c r="D100">
        <v>120</v>
      </c>
      <c r="E100">
        <v>157</v>
      </c>
      <c r="F100">
        <v>154</v>
      </c>
      <c r="G100">
        <v>156</v>
      </c>
      <c r="H100">
        <v>340.40000000000003</v>
      </c>
      <c r="I100" s="14">
        <v>488.53157713604463</v>
      </c>
      <c r="J100">
        <v>166</v>
      </c>
      <c r="K100">
        <v>99</v>
      </c>
      <c r="L100">
        <v>161</v>
      </c>
      <c r="M100">
        <v>93</v>
      </c>
      <c r="N100" s="120">
        <v>0</v>
      </c>
      <c r="O100" s="120">
        <v>0</v>
      </c>
      <c r="P100">
        <v>-58</v>
      </c>
    </row>
    <row r="101" spans="1:16">
      <c r="A101" t="s">
        <v>25</v>
      </c>
      <c r="B101">
        <v>30</v>
      </c>
      <c r="C101">
        <v>55</v>
      </c>
      <c r="D101">
        <v>198</v>
      </c>
      <c r="E101">
        <v>198</v>
      </c>
      <c r="F101">
        <v>181</v>
      </c>
      <c r="G101">
        <v>194</v>
      </c>
      <c r="H101">
        <v>341.20000000000005</v>
      </c>
      <c r="I101" s="14">
        <v>551.83152662079715</v>
      </c>
      <c r="J101">
        <v>167</v>
      </c>
      <c r="K101">
        <v>100</v>
      </c>
      <c r="L101">
        <v>182</v>
      </c>
      <c r="M101">
        <v>111</v>
      </c>
      <c r="N101" s="120">
        <v>0</v>
      </c>
      <c r="O101" s="120">
        <v>0</v>
      </c>
      <c r="P101">
        <v>-6</v>
      </c>
    </row>
    <row r="102" spans="1:16">
      <c r="A102" t="s">
        <v>13</v>
      </c>
      <c r="B102">
        <v>26</v>
      </c>
      <c r="C102">
        <v>176</v>
      </c>
      <c r="D102">
        <v>155</v>
      </c>
      <c r="E102">
        <v>116</v>
      </c>
      <c r="F102">
        <v>170</v>
      </c>
      <c r="G102">
        <v>151</v>
      </c>
      <c r="H102">
        <v>344.1</v>
      </c>
      <c r="I102" s="14">
        <v>486.85703654222289</v>
      </c>
      <c r="J102">
        <v>168</v>
      </c>
      <c r="K102">
        <v>101</v>
      </c>
      <c r="L102">
        <v>160</v>
      </c>
      <c r="M102">
        <v>92</v>
      </c>
      <c r="N102" s="120">
        <v>0</v>
      </c>
      <c r="O102" s="120">
        <v>0</v>
      </c>
      <c r="P102">
        <v>10</v>
      </c>
    </row>
    <row r="103" spans="1:16">
      <c r="A103" t="s">
        <v>81</v>
      </c>
      <c r="B103">
        <v>55</v>
      </c>
      <c r="C103">
        <v>148</v>
      </c>
      <c r="D103">
        <v>149</v>
      </c>
      <c r="E103">
        <v>88</v>
      </c>
      <c r="F103">
        <v>209</v>
      </c>
      <c r="G103">
        <v>180</v>
      </c>
      <c r="H103">
        <v>344.90000000000003</v>
      </c>
      <c r="I103" s="14">
        <v>518.46463666070429</v>
      </c>
      <c r="J103">
        <v>169</v>
      </c>
      <c r="K103">
        <v>102</v>
      </c>
      <c r="L103">
        <v>173</v>
      </c>
      <c r="M103">
        <v>104</v>
      </c>
      <c r="N103" s="120">
        <v>0</v>
      </c>
      <c r="O103" s="120">
        <v>0</v>
      </c>
      <c r="P103">
        <v>-4</v>
      </c>
    </row>
    <row r="104" spans="1:16">
      <c r="A104" t="s">
        <v>320</v>
      </c>
      <c r="B104">
        <v>162</v>
      </c>
      <c r="C104">
        <v>130</v>
      </c>
      <c r="D104">
        <v>108</v>
      </c>
      <c r="E104">
        <v>132</v>
      </c>
      <c r="F104">
        <v>110</v>
      </c>
      <c r="G104">
        <v>144</v>
      </c>
      <c r="H104">
        <v>347.59999999999997</v>
      </c>
      <c r="I104" s="14">
        <v>480.39817172779698</v>
      </c>
      <c r="J104">
        <v>170</v>
      </c>
      <c r="K104">
        <v>103</v>
      </c>
      <c r="L104">
        <v>158</v>
      </c>
      <c r="M104">
        <v>91</v>
      </c>
      <c r="N104" s="120" t="e">
        <v>#N/A</v>
      </c>
      <c r="O104" s="120" t="e">
        <v>#N/A</v>
      </c>
      <c r="P104">
        <v>3</v>
      </c>
    </row>
    <row r="105" spans="1:16">
      <c r="A105" t="s">
        <v>148</v>
      </c>
      <c r="B105">
        <v>179</v>
      </c>
      <c r="C105">
        <v>63</v>
      </c>
      <c r="D105">
        <v>191</v>
      </c>
      <c r="E105">
        <v>138</v>
      </c>
      <c r="F105">
        <v>35</v>
      </c>
      <c r="G105">
        <v>154</v>
      </c>
      <c r="H105">
        <v>348.09999999999997</v>
      </c>
      <c r="I105" s="14">
        <v>496.73042770918852</v>
      </c>
      <c r="J105">
        <v>171</v>
      </c>
      <c r="K105">
        <v>104</v>
      </c>
      <c r="L105">
        <v>166</v>
      </c>
      <c r="M105">
        <v>98</v>
      </c>
      <c r="N105" s="120">
        <v>0</v>
      </c>
      <c r="O105" s="120">
        <v>0</v>
      </c>
      <c r="P105">
        <v>9</v>
      </c>
    </row>
    <row r="106" spans="1:16">
      <c r="A106" t="s">
        <v>65</v>
      </c>
      <c r="B106">
        <v>98</v>
      </c>
      <c r="C106">
        <v>104</v>
      </c>
      <c r="D106">
        <v>164</v>
      </c>
      <c r="E106">
        <v>102</v>
      </c>
      <c r="F106">
        <v>191</v>
      </c>
      <c r="G106">
        <v>165</v>
      </c>
      <c r="H106">
        <v>353.20000000000005</v>
      </c>
      <c r="I106" s="14">
        <v>515.97940009510603</v>
      </c>
      <c r="J106">
        <v>173</v>
      </c>
      <c r="K106">
        <v>105</v>
      </c>
      <c r="L106">
        <v>172</v>
      </c>
      <c r="M106">
        <v>103</v>
      </c>
      <c r="N106" s="120">
        <v>0</v>
      </c>
      <c r="O106" s="120">
        <v>3.4482758620689655E-2</v>
      </c>
      <c r="P106">
        <v>-148</v>
      </c>
    </row>
    <row r="107" spans="1:16">
      <c r="A107" t="s">
        <v>136</v>
      </c>
      <c r="B107">
        <v>117</v>
      </c>
      <c r="C107">
        <v>95</v>
      </c>
      <c r="D107">
        <v>141</v>
      </c>
      <c r="E107">
        <v>188</v>
      </c>
      <c r="F107">
        <v>132</v>
      </c>
      <c r="G107">
        <v>172</v>
      </c>
      <c r="H107">
        <v>353.9</v>
      </c>
      <c r="I107" s="14">
        <v>528.31207668141064</v>
      </c>
      <c r="J107">
        <v>174</v>
      </c>
      <c r="K107">
        <v>106</v>
      </c>
      <c r="L107">
        <v>177</v>
      </c>
      <c r="M107">
        <v>108</v>
      </c>
      <c r="N107" s="120">
        <v>0</v>
      </c>
      <c r="O107" s="120">
        <v>2.8571428571428571E-2</v>
      </c>
      <c r="P107">
        <v>22</v>
      </c>
    </row>
    <row r="108" spans="1:16">
      <c r="A108" t="s">
        <v>111</v>
      </c>
      <c r="B108">
        <v>107</v>
      </c>
      <c r="C108">
        <v>146</v>
      </c>
      <c r="D108">
        <v>158</v>
      </c>
      <c r="E108">
        <v>29</v>
      </c>
      <c r="F108">
        <v>206</v>
      </c>
      <c r="G108">
        <v>181</v>
      </c>
      <c r="H108">
        <v>356.4</v>
      </c>
      <c r="I108" s="14">
        <v>523.06611680606102</v>
      </c>
      <c r="J108">
        <v>176</v>
      </c>
      <c r="K108">
        <v>107</v>
      </c>
      <c r="L108">
        <v>176</v>
      </c>
      <c r="M108">
        <v>107</v>
      </c>
      <c r="N108" s="120">
        <v>0</v>
      </c>
      <c r="O108" s="120">
        <v>0</v>
      </c>
      <c r="P108">
        <v>28</v>
      </c>
    </row>
    <row r="109" spans="1:16">
      <c r="A109" t="s">
        <v>107</v>
      </c>
      <c r="B109">
        <v>111</v>
      </c>
      <c r="C109">
        <v>182</v>
      </c>
      <c r="D109">
        <v>179</v>
      </c>
      <c r="E109">
        <v>51</v>
      </c>
      <c r="F109">
        <v>91</v>
      </c>
      <c r="G109">
        <v>160</v>
      </c>
      <c r="H109">
        <v>357.9</v>
      </c>
      <c r="I109" s="14">
        <v>494.56460419528418</v>
      </c>
      <c r="J109">
        <v>177</v>
      </c>
      <c r="K109">
        <v>108</v>
      </c>
      <c r="L109">
        <v>164</v>
      </c>
      <c r="M109">
        <v>96</v>
      </c>
      <c r="N109" s="120">
        <v>0</v>
      </c>
      <c r="O109" s="120">
        <v>2.8571428571428571E-2</v>
      </c>
      <c r="P109">
        <v>-48</v>
      </c>
    </row>
    <row r="110" spans="1:16">
      <c r="A110" t="s">
        <v>57</v>
      </c>
      <c r="B110">
        <v>62</v>
      </c>
      <c r="C110">
        <v>205</v>
      </c>
      <c r="D110">
        <v>201</v>
      </c>
      <c r="E110">
        <v>98</v>
      </c>
      <c r="F110">
        <v>57</v>
      </c>
      <c r="G110">
        <v>189</v>
      </c>
      <c r="H110">
        <v>362.9</v>
      </c>
      <c r="I110" s="14">
        <v>530.55833225859374</v>
      </c>
      <c r="J110">
        <v>178</v>
      </c>
      <c r="K110">
        <v>109</v>
      </c>
      <c r="L110">
        <v>179</v>
      </c>
      <c r="M110">
        <v>109</v>
      </c>
      <c r="N110" s="120">
        <v>0</v>
      </c>
      <c r="O110" s="120">
        <v>0</v>
      </c>
      <c r="P110">
        <v>15</v>
      </c>
    </row>
    <row r="111" spans="1:16">
      <c r="A111" t="s">
        <v>12</v>
      </c>
      <c r="B111">
        <v>10</v>
      </c>
      <c r="C111">
        <v>189</v>
      </c>
      <c r="D111">
        <v>177</v>
      </c>
      <c r="E111">
        <v>138</v>
      </c>
      <c r="F111">
        <v>164</v>
      </c>
      <c r="G111">
        <v>140</v>
      </c>
      <c r="H111">
        <v>364.1</v>
      </c>
      <c r="I111" s="14">
        <v>496.58059164517351</v>
      </c>
      <c r="J111">
        <v>179</v>
      </c>
      <c r="K111">
        <v>110</v>
      </c>
      <c r="L111">
        <v>165</v>
      </c>
      <c r="M111">
        <v>97</v>
      </c>
      <c r="N111" s="120">
        <v>0</v>
      </c>
      <c r="O111" s="120">
        <v>0</v>
      </c>
      <c r="P111">
        <v>-4</v>
      </c>
    </row>
    <row r="112" spans="1:16">
      <c r="A112" t="s">
        <v>121</v>
      </c>
      <c r="B112">
        <v>140</v>
      </c>
      <c r="C112">
        <v>98</v>
      </c>
      <c r="D112">
        <v>152</v>
      </c>
      <c r="E112">
        <v>147</v>
      </c>
      <c r="F112">
        <v>146</v>
      </c>
      <c r="G112">
        <v>177</v>
      </c>
      <c r="H112">
        <v>366.4</v>
      </c>
      <c r="I112" s="14">
        <v>541.24487332714386</v>
      </c>
      <c r="J112">
        <v>180</v>
      </c>
      <c r="K112">
        <v>111</v>
      </c>
      <c r="L112">
        <v>181</v>
      </c>
      <c r="M112">
        <v>110</v>
      </c>
      <c r="N112" s="120">
        <v>0</v>
      </c>
      <c r="O112" s="120">
        <v>0</v>
      </c>
      <c r="P112">
        <v>-11</v>
      </c>
    </row>
    <row r="113" spans="1:16">
      <c r="A113" t="s">
        <v>221</v>
      </c>
      <c r="B113">
        <v>127</v>
      </c>
      <c r="C113">
        <v>62</v>
      </c>
      <c r="D113">
        <v>147</v>
      </c>
      <c r="E113">
        <v>167</v>
      </c>
      <c r="F113">
        <v>210</v>
      </c>
      <c r="G113">
        <v>207</v>
      </c>
      <c r="H113">
        <v>367.1</v>
      </c>
      <c r="I113" s="14">
        <v>582.65990075584432</v>
      </c>
      <c r="J113">
        <v>182</v>
      </c>
      <c r="K113">
        <v>112</v>
      </c>
      <c r="L113">
        <v>193</v>
      </c>
      <c r="M113">
        <v>119</v>
      </c>
      <c r="N113" s="120">
        <v>0</v>
      </c>
      <c r="O113" s="120">
        <v>0</v>
      </c>
      <c r="P113">
        <v>10</v>
      </c>
    </row>
    <row r="114" spans="1:16">
      <c r="A114" t="s">
        <v>180</v>
      </c>
      <c r="B114">
        <v>192</v>
      </c>
      <c r="C114">
        <v>47</v>
      </c>
      <c r="D114">
        <v>195</v>
      </c>
      <c r="E114">
        <v>206</v>
      </c>
      <c r="F114">
        <v>13</v>
      </c>
      <c r="G114">
        <v>190</v>
      </c>
      <c r="H114">
        <v>367.49999999999994</v>
      </c>
      <c r="I114" s="14">
        <v>558.44924692965799</v>
      </c>
      <c r="J114">
        <v>183</v>
      </c>
      <c r="K114">
        <v>113</v>
      </c>
      <c r="L114">
        <v>185</v>
      </c>
      <c r="M114">
        <v>114</v>
      </c>
      <c r="N114" s="120">
        <v>0</v>
      </c>
      <c r="O114" s="120">
        <v>0</v>
      </c>
      <c r="P114">
        <v>2</v>
      </c>
    </row>
    <row r="115" spans="1:16">
      <c r="A115" t="s">
        <v>168</v>
      </c>
      <c r="B115">
        <v>155</v>
      </c>
      <c r="C115">
        <v>39</v>
      </c>
      <c r="D115">
        <v>190</v>
      </c>
      <c r="E115">
        <v>127</v>
      </c>
      <c r="F115">
        <v>175</v>
      </c>
      <c r="G115">
        <v>178</v>
      </c>
      <c r="H115">
        <v>370.2</v>
      </c>
      <c r="I115" s="14">
        <v>553.47683724771719</v>
      </c>
      <c r="J115">
        <v>184</v>
      </c>
      <c r="K115">
        <v>114</v>
      </c>
      <c r="L115">
        <v>183</v>
      </c>
      <c r="M115">
        <v>112</v>
      </c>
      <c r="N115" s="120">
        <v>0</v>
      </c>
      <c r="O115" s="120">
        <v>0</v>
      </c>
      <c r="P115">
        <v>20</v>
      </c>
    </row>
    <row r="116" spans="1:16">
      <c r="A116" t="s">
        <v>103</v>
      </c>
      <c r="B116">
        <v>104</v>
      </c>
      <c r="C116">
        <v>122</v>
      </c>
      <c r="D116">
        <v>181</v>
      </c>
      <c r="E116">
        <v>197</v>
      </c>
      <c r="F116">
        <v>89</v>
      </c>
      <c r="G116">
        <v>179</v>
      </c>
      <c r="H116">
        <v>376.7</v>
      </c>
      <c r="I116" s="14">
        <v>553.8108524702543</v>
      </c>
      <c r="J116">
        <v>186</v>
      </c>
      <c r="K116">
        <v>115</v>
      </c>
      <c r="L116">
        <v>184</v>
      </c>
      <c r="M116">
        <v>113</v>
      </c>
      <c r="N116" s="120">
        <v>3.2258064516129031E-2</v>
      </c>
      <c r="O116" s="120">
        <v>3.2258064516129031E-2</v>
      </c>
      <c r="P116">
        <v>-19</v>
      </c>
    </row>
    <row r="117" spans="1:16">
      <c r="A117" t="s">
        <v>7</v>
      </c>
      <c r="B117">
        <v>2</v>
      </c>
      <c r="C117">
        <v>210</v>
      </c>
      <c r="D117">
        <v>135</v>
      </c>
      <c r="E117">
        <v>208</v>
      </c>
      <c r="F117">
        <v>188</v>
      </c>
      <c r="G117">
        <v>186</v>
      </c>
      <c r="H117">
        <v>380.09999999999997</v>
      </c>
      <c r="I117" s="14">
        <v>563.02852539341109</v>
      </c>
      <c r="J117">
        <v>188</v>
      </c>
      <c r="K117">
        <v>116</v>
      </c>
      <c r="L117">
        <v>188</v>
      </c>
      <c r="M117">
        <v>115</v>
      </c>
      <c r="N117" s="120">
        <v>0</v>
      </c>
      <c r="O117" s="120">
        <v>0</v>
      </c>
      <c r="P117">
        <v>17</v>
      </c>
    </row>
    <row r="118" spans="1:16">
      <c r="A118" t="s">
        <v>177</v>
      </c>
      <c r="B118">
        <v>187</v>
      </c>
      <c r="C118">
        <v>12</v>
      </c>
      <c r="D118">
        <v>170</v>
      </c>
      <c r="E118">
        <v>180</v>
      </c>
      <c r="F118">
        <v>200</v>
      </c>
      <c r="G118">
        <v>199</v>
      </c>
      <c r="H118">
        <v>390.4</v>
      </c>
      <c r="I118" s="14">
        <v>602.37550807425919</v>
      </c>
      <c r="J118">
        <v>189</v>
      </c>
      <c r="K118">
        <v>117</v>
      </c>
      <c r="L118">
        <v>201</v>
      </c>
      <c r="M118">
        <v>125</v>
      </c>
      <c r="N118" s="120">
        <v>0</v>
      </c>
      <c r="O118" s="120">
        <v>0</v>
      </c>
      <c r="P118">
        <v>9</v>
      </c>
    </row>
    <row r="119" spans="1:16">
      <c r="A119" t="s">
        <v>176</v>
      </c>
      <c r="B119">
        <v>189</v>
      </c>
      <c r="C119">
        <v>41</v>
      </c>
      <c r="D119">
        <v>208</v>
      </c>
      <c r="E119">
        <v>164</v>
      </c>
      <c r="F119">
        <v>105</v>
      </c>
      <c r="G119">
        <v>196</v>
      </c>
      <c r="H119">
        <v>391.20000000000005</v>
      </c>
      <c r="I119" s="14">
        <v>590.06570394188259</v>
      </c>
      <c r="J119">
        <v>190</v>
      </c>
      <c r="K119">
        <v>118</v>
      </c>
      <c r="L119">
        <v>194</v>
      </c>
      <c r="M119">
        <v>120</v>
      </c>
      <c r="N119" s="120">
        <v>0</v>
      </c>
      <c r="O119" s="120">
        <v>0</v>
      </c>
      <c r="P119">
        <v>-7</v>
      </c>
    </row>
    <row r="120" spans="1:16">
      <c r="A120" t="s">
        <v>43</v>
      </c>
      <c r="B120">
        <v>43</v>
      </c>
      <c r="C120">
        <v>206</v>
      </c>
      <c r="D120">
        <v>145</v>
      </c>
      <c r="E120">
        <v>178</v>
      </c>
      <c r="F120">
        <v>177</v>
      </c>
      <c r="G120">
        <v>184</v>
      </c>
      <c r="H120">
        <v>392.90000000000003</v>
      </c>
      <c r="I120" s="14">
        <v>568.9567003378495</v>
      </c>
      <c r="J120">
        <v>192</v>
      </c>
      <c r="K120">
        <v>119</v>
      </c>
      <c r="L120">
        <v>189</v>
      </c>
      <c r="M120">
        <v>116</v>
      </c>
      <c r="N120" s="120">
        <v>0</v>
      </c>
      <c r="O120" s="120">
        <v>0</v>
      </c>
      <c r="P120">
        <v>22</v>
      </c>
    </row>
    <row r="121" spans="1:16">
      <c r="A121" t="s">
        <v>8</v>
      </c>
      <c r="B121">
        <v>4</v>
      </c>
      <c r="C121">
        <v>192</v>
      </c>
      <c r="D121">
        <v>202</v>
      </c>
      <c r="E121">
        <v>209</v>
      </c>
      <c r="F121">
        <v>132</v>
      </c>
      <c r="G121">
        <v>204</v>
      </c>
      <c r="H121">
        <v>395.40000000000003</v>
      </c>
      <c r="I121" s="14">
        <v>596.41235954156264</v>
      </c>
      <c r="J121">
        <v>193</v>
      </c>
      <c r="K121">
        <v>120</v>
      </c>
      <c r="L121">
        <v>199</v>
      </c>
      <c r="M121">
        <v>124</v>
      </c>
      <c r="N121" s="120">
        <v>0</v>
      </c>
      <c r="O121" s="120">
        <v>3.4482758620689655E-2</v>
      </c>
      <c r="P121">
        <v>-3</v>
      </c>
    </row>
    <row r="122" spans="1:16">
      <c r="A122" t="s">
        <v>37</v>
      </c>
      <c r="B122">
        <v>41</v>
      </c>
      <c r="C122">
        <v>207</v>
      </c>
      <c r="D122">
        <v>183</v>
      </c>
      <c r="E122">
        <v>205</v>
      </c>
      <c r="F122">
        <v>92</v>
      </c>
      <c r="G122">
        <v>195</v>
      </c>
      <c r="H122">
        <v>395.7</v>
      </c>
      <c r="I122" s="14">
        <v>581.07102968341997</v>
      </c>
      <c r="J122">
        <v>194</v>
      </c>
      <c r="K122">
        <v>121</v>
      </c>
      <c r="L122">
        <v>191</v>
      </c>
      <c r="M122">
        <v>117</v>
      </c>
      <c r="N122" s="120">
        <v>0</v>
      </c>
      <c r="O122" s="120">
        <v>0</v>
      </c>
      <c r="P122">
        <v>0</v>
      </c>
    </row>
    <row r="123" spans="1:16">
      <c r="A123" t="s">
        <v>94</v>
      </c>
      <c r="B123">
        <v>100</v>
      </c>
      <c r="C123">
        <v>183</v>
      </c>
      <c r="D123">
        <v>205</v>
      </c>
      <c r="E123">
        <v>185</v>
      </c>
      <c r="F123">
        <v>55</v>
      </c>
      <c r="G123">
        <v>185</v>
      </c>
      <c r="H123">
        <v>409.3</v>
      </c>
      <c r="I123" s="14">
        <v>581.27515430956169</v>
      </c>
      <c r="J123">
        <v>196</v>
      </c>
      <c r="K123">
        <v>122</v>
      </c>
      <c r="L123">
        <v>192</v>
      </c>
      <c r="M123">
        <v>118</v>
      </c>
      <c r="N123" s="120">
        <v>0</v>
      </c>
      <c r="O123" s="120">
        <v>0</v>
      </c>
      <c r="P123">
        <v>-6</v>
      </c>
    </row>
    <row r="124" spans="1:16">
      <c r="A124" t="s">
        <v>242</v>
      </c>
      <c r="B124">
        <v>204</v>
      </c>
      <c r="C124">
        <v>112</v>
      </c>
      <c r="D124">
        <v>176</v>
      </c>
      <c r="E124">
        <v>142</v>
      </c>
      <c r="F124">
        <v>100</v>
      </c>
      <c r="G124">
        <v>197</v>
      </c>
      <c r="H124">
        <v>409.59999999999997</v>
      </c>
      <c r="I124" s="14">
        <v>596.14302036886454</v>
      </c>
      <c r="J124">
        <v>197</v>
      </c>
      <c r="K124">
        <v>123</v>
      </c>
      <c r="L124">
        <v>198</v>
      </c>
      <c r="M124">
        <v>123</v>
      </c>
      <c r="N124" s="120">
        <v>0</v>
      </c>
      <c r="O124" s="120">
        <v>0</v>
      </c>
      <c r="P124">
        <v>-82</v>
      </c>
    </row>
    <row r="125" spans="1:16">
      <c r="A125" t="s">
        <v>153</v>
      </c>
      <c r="B125">
        <v>170</v>
      </c>
      <c r="C125">
        <v>143</v>
      </c>
      <c r="D125">
        <v>192</v>
      </c>
      <c r="E125">
        <v>195</v>
      </c>
      <c r="F125">
        <v>53</v>
      </c>
      <c r="G125">
        <v>183</v>
      </c>
      <c r="H125">
        <v>421.4</v>
      </c>
      <c r="I125" s="14">
        <v>593.78036335062745</v>
      </c>
      <c r="J125">
        <v>201</v>
      </c>
      <c r="K125">
        <v>124</v>
      </c>
      <c r="L125">
        <v>196</v>
      </c>
      <c r="M125">
        <v>122</v>
      </c>
      <c r="N125" s="120">
        <v>0</v>
      </c>
      <c r="O125" s="120">
        <v>0</v>
      </c>
      <c r="P125">
        <v>-2</v>
      </c>
    </row>
    <row r="126" spans="1:16">
      <c r="A126" t="s">
        <v>119</v>
      </c>
      <c r="B126">
        <v>127</v>
      </c>
      <c r="C126">
        <v>196</v>
      </c>
      <c r="D126">
        <v>156</v>
      </c>
      <c r="E126">
        <v>106</v>
      </c>
      <c r="F126">
        <v>192</v>
      </c>
      <c r="G126">
        <v>187</v>
      </c>
      <c r="H126">
        <v>422.2</v>
      </c>
      <c r="I126" s="14">
        <v>592.40987637579826</v>
      </c>
      <c r="J126">
        <v>202</v>
      </c>
      <c r="K126">
        <v>125</v>
      </c>
      <c r="L126">
        <v>195</v>
      </c>
      <c r="M126">
        <v>121</v>
      </c>
      <c r="N126" s="120">
        <v>0</v>
      </c>
      <c r="O126" s="120">
        <v>0</v>
      </c>
      <c r="P126">
        <v>-12</v>
      </c>
    </row>
    <row r="127" spans="1:16">
      <c r="A127" t="s">
        <v>61</v>
      </c>
      <c r="B127">
        <v>77</v>
      </c>
      <c r="C127">
        <v>173</v>
      </c>
      <c r="D127">
        <v>185</v>
      </c>
      <c r="E127">
        <v>202</v>
      </c>
      <c r="F127">
        <v>156</v>
      </c>
      <c r="G127">
        <v>193</v>
      </c>
      <c r="H127">
        <v>422.70000000000005</v>
      </c>
      <c r="I127" s="14">
        <v>611.70353618349873</v>
      </c>
      <c r="J127">
        <v>203</v>
      </c>
      <c r="K127">
        <v>126</v>
      </c>
      <c r="L127">
        <v>204</v>
      </c>
      <c r="M127">
        <v>126</v>
      </c>
      <c r="N127" s="120">
        <v>0</v>
      </c>
      <c r="O127" s="120">
        <v>0</v>
      </c>
      <c r="P127">
        <v>3</v>
      </c>
    </row>
    <row r="128" spans="1:16">
      <c r="A128" t="s">
        <v>173</v>
      </c>
      <c r="B128">
        <v>195</v>
      </c>
      <c r="C128">
        <v>118</v>
      </c>
      <c r="D128">
        <v>200</v>
      </c>
      <c r="E128">
        <v>112</v>
      </c>
      <c r="F128">
        <v>207</v>
      </c>
      <c r="G128">
        <v>201</v>
      </c>
      <c r="H128">
        <v>455.40000000000003</v>
      </c>
      <c r="I128" s="14">
        <v>648.26498047512621</v>
      </c>
      <c r="J128">
        <v>207</v>
      </c>
      <c r="K128">
        <v>127</v>
      </c>
      <c r="L128">
        <v>207</v>
      </c>
      <c r="M128">
        <v>128</v>
      </c>
      <c r="N128" s="120">
        <v>0</v>
      </c>
      <c r="O128" s="120">
        <v>0</v>
      </c>
      <c r="P128">
        <v>12</v>
      </c>
    </row>
    <row r="129" spans="1:16">
      <c r="A129" t="s">
        <v>245</v>
      </c>
      <c r="B129">
        <v>199</v>
      </c>
      <c r="C129">
        <v>157</v>
      </c>
      <c r="D129">
        <v>204</v>
      </c>
      <c r="E129">
        <v>133</v>
      </c>
      <c r="F129">
        <v>115</v>
      </c>
      <c r="G129">
        <v>202</v>
      </c>
      <c r="H129">
        <v>455.59999999999997</v>
      </c>
      <c r="I129" s="14">
        <v>640.9976661805016</v>
      </c>
      <c r="J129">
        <v>208</v>
      </c>
      <c r="K129">
        <v>128</v>
      </c>
      <c r="L129">
        <v>206</v>
      </c>
      <c r="M129">
        <v>127</v>
      </c>
      <c r="N129" s="120">
        <v>0</v>
      </c>
      <c r="O129" s="120">
        <v>0</v>
      </c>
      <c r="P129">
        <v>-3</v>
      </c>
    </row>
    <row r="130" spans="1:16">
      <c r="A130" t="s">
        <v>250</v>
      </c>
      <c r="B130">
        <v>129</v>
      </c>
      <c r="C130">
        <v>175</v>
      </c>
      <c r="D130">
        <v>189</v>
      </c>
      <c r="E130">
        <v>210</v>
      </c>
      <c r="F130">
        <v>160</v>
      </c>
      <c r="G130">
        <v>205</v>
      </c>
      <c r="H130">
        <v>462.69999999999993</v>
      </c>
      <c r="I130" s="14">
        <v>661.28117095714276</v>
      </c>
      <c r="J130">
        <v>209</v>
      </c>
      <c r="K130">
        <v>129</v>
      </c>
      <c r="L130">
        <v>209</v>
      </c>
      <c r="M130">
        <v>129</v>
      </c>
      <c r="N130" s="120">
        <v>0</v>
      </c>
      <c r="O130" s="120">
        <v>0</v>
      </c>
      <c r="P130" t="e">
        <v>#N/A</v>
      </c>
    </row>
    <row r="131" spans="1:16">
      <c r="A131" t="s">
        <v>169</v>
      </c>
      <c r="B131">
        <v>188</v>
      </c>
      <c r="C131">
        <v>147</v>
      </c>
      <c r="D131">
        <v>203</v>
      </c>
      <c r="E131">
        <v>131</v>
      </c>
      <c r="F131">
        <v>178</v>
      </c>
      <c r="G131">
        <v>209</v>
      </c>
      <c r="H131">
        <v>466.7</v>
      </c>
      <c r="I131" s="14">
        <v>664.03555274589451</v>
      </c>
      <c r="J131">
        <v>210</v>
      </c>
      <c r="K131">
        <v>130</v>
      </c>
      <c r="L131">
        <v>210</v>
      </c>
      <c r="M131">
        <v>130</v>
      </c>
      <c r="N131" s="120">
        <v>0</v>
      </c>
      <c r="O131" s="120">
        <v>2.7027027027027029E-2</v>
      </c>
      <c r="P131">
        <v>1</v>
      </c>
    </row>
  </sheetData>
  <autoFilter ref="A1:S131" xr:uid="{FE4BF24C-8AB4-4AD9-B2BE-5159F7BEF651}">
    <sortState xmlns:xlrd2="http://schemas.microsoft.com/office/spreadsheetml/2017/richdata2" ref="A2:S131">
      <sortCondition ref="Q1:Q131"/>
    </sortState>
  </autoFilter>
  <conditionalFormatting sqref="N2:O1048576">
    <cfRule type="cellIs" dxfId="90" priority="5" operator="greaterThanOrEqual">
      <formula>20%</formula>
    </cfRule>
    <cfRule type="cellIs" dxfId="89" priority="6" operator="between">
      <formula>10%</formula>
      <formula>20%</formula>
    </cfRule>
    <cfRule type="cellIs" dxfId="88" priority="7" operator="between">
      <formula>0.01%</formula>
      <formula>10%</formula>
    </cfRule>
  </conditionalFormatting>
  <conditionalFormatting sqref="B1:F1 B2:G1048576 J1:M1048576">
    <cfRule type="cellIs" dxfId="87" priority="8" operator="between">
      <formula>101</formula>
      <formula>250</formula>
    </cfRule>
    <cfRule type="cellIs" dxfId="86" priority="9" operator="between">
      <formula>51</formula>
      <formula>100.5</formula>
    </cfRule>
    <cfRule type="cellIs" dxfId="85" priority="10" operator="between">
      <formula>21</formula>
      <formula>50.5</formula>
    </cfRule>
    <cfRule type="cellIs" dxfId="84"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BB04B-E797-4967-B58A-AF52B5C3088B}">
  <sheetPr codeName="Sheet57">
    <tabColor rgb="FFFF0000"/>
  </sheetPr>
  <dimension ref="A1:V29"/>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5.85546875" bestFit="1"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27</v>
      </c>
      <c r="B2">
        <v>43</v>
      </c>
      <c r="C2">
        <v>41</v>
      </c>
      <c r="D2">
        <v>4</v>
      </c>
      <c r="E2">
        <v>62</v>
      </c>
      <c r="F2">
        <v>96</v>
      </c>
      <c r="G2">
        <v>5</v>
      </c>
      <c r="H2">
        <v>118</v>
      </c>
      <c r="I2" s="14">
        <v>125.7637420721033</v>
      </c>
      <c r="J2">
        <v>1</v>
      </c>
      <c r="K2">
        <v>1</v>
      </c>
      <c r="L2">
        <v>1</v>
      </c>
      <c r="M2">
        <v>1</v>
      </c>
      <c r="N2" s="143" t="e">
        <v>#DIV/0!</v>
      </c>
      <c r="O2" s="143" t="e">
        <v>#DIV/0!</v>
      </c>
      <c r="P2">
        <v>0</v>
      </c>
    </row>
    <row r="3" spans="1:22">
      <c r="A3" t="s">
        <v>135</v>
      </c>
      <c r="B3">
        <v>74</v>
      </c>
      <c r="C3">
        <v>59</v>
      </c>
      <c r="D3">
        <v>2</v>
      </c>
      <c r="E3">
        <v>132</v>
      </c>
      <c r="F3">
        <v>10</v>
      </c>
      <c r="G3">
        <v>2</v>
      </c>
      <c r="H3">
        <v>128.70000000000002</v>
      </c>
      <c r="I3" s="14">
        <v>143.59192525980524</v>
      </c>
      <c r="J3">
        <v>4</v>
      </c>
      <c r="K3">
        <v>3</v>
      </c>
      <c r="L3">
        <v>2</v>
      </c>
      <c r="M3">
        <v>2</v>
      </c>
      <c r="N3" s="143" t="e">
        <v>#DIV/0!</v>
      </c>
      <c r="O3" s="143" t="e">
        <v>#DIV/0!</v>
      </c>
      <c r="P3">
        <v>0</v>
      </c>
    </row>
    <row r="4" spans="1:22">
      <c r="A4" t="s">
        <v>409</v>
      </c>
      <c r="B4">
        <v>72</v>
      </c>
      <c r="C4">
        <v>126</v>
      </c>
      <c r="D4">
        <v>5</v>
      </c>
      <c r="E4">
        <v>13</v>
      </c>
      <c r="F4">
        <v>67</v>
      </c>
      <c r="G4">
        <v>9</v>
      </c>
      <c r="H4">
        <v>130.39999999999998</v>
      </c>
      <c r="I4" s="14">
        <v>147.1242676398607</v>
      </c>
      <c r="J4">
        <v>5</v>
      </c>
      <c r="K4">
        <v>4</v>
      </c>
      <c r="L4">
        <v>3</v>
      </c>
      <c r="M4">
        <v>3</v>
      </c>
      <c r="N4" s="143" t="e">
        <v>#DIV/0!</v>
      </c>
      <c r="O4" s="143" t="e">
        <v>#DIV/0!</v>
      </c>
      <c r="P4">
        <v>8</v>
      </c>
    </row>
    <row r="5" spans="1:22">
      <c r="A5" t="s">
        <v>113</v>
      </c>
      <c r="B5">
        <v>62</v>
      </c>
      <c r="C5">
        <v>48</v>
      </c>
      <c r="D5">
        <v>61</v>
      </c>
      <c r="E5">
        <v>7</v>
      </c>
      <c r="F5">
        <v>98</v>
      </c>
      <c r="G5">
        <v>7</v>
      </c>
      <c r="H5">
        <v>152.30000000000001</v>
      </c>
      <c r="I5" s="14">
        <v>155.70702628687371</v>
      </c>
      <c r="J5">
        <v>7</v>
      </c>
      <c r="K5">
        <v>6</v>
      </c>
      <c r="L5">
        <v>4</v>
      </c>
      <c r="M5">
        <v>4</v>
      </c>
      <c r="N5" s="143" t="e">
        <v>#DIV/0!</v>
      </c>
      <c r="O5" s="143" t="e">
        <v>#DIV/0!</v>
      </c>
      <c r="P5">
        <v>-1</v>
      </c>
    </row>
    <row r="6" spans="1:22">
      <c r="A6" t="s">
        <v>406</v>
      </c>
      <c r="B6">
        <v>30</v>
      </c>
      <c r="C6">
        <v>145</v>
      </c>
      <c r="D6">
        <v>45</v>
      </c>
      <c r="E6">
        <v>60</v>
      </c>
      <c r="F6">
        <v>13</v>
      </c>
      <c r="G6">
        <v>11</v>
      </c>
      <c r="H6">
        <v>126.5</v>
      </c>
      <c r="I6" s="14">
        <v>162.5230770096851</v>
      </c>
      <c r="J6">
        <v>3</v>
      </c>
      <c r="K6">
        <v>2</v>
      </c>
      <c r="L6">
        <v>6</v>
      </c>
      <c r="M6">
        <v>5</v>
      </c>
      <c r="N6" s="143" t="e">
        <v>#DIV/0!</v>
      </c>
      <c r="O6" s="143" t="e">
        <v>#DIV/0!</v>
      </c>
      <c r="P6">
        <v>-2</v>
      </c>
    </row>
    <row r="7" spans="1:22">
      <c r="A7" t="s">
        <v>287</v>
      </c>
      <c r="B7">
        <v>111</v>
      </c>
      <c r="C7">
        <v>156</v>
      </c>
      <c r="D7">
        <v>7</v>
      </c>
      <c r="E7">
        <v>76</v>
      </c>
      <c r="F7">
        <v>11</v>
      </c>
      <c r="G7">
        <v>9</v>
      </c>
      <c r="H7">
        <v>165.29999999999998</v>
      </c>
      <c r="I7" s="14">
        <v>190.8070238527842</v>
      </c>
      <c r="J7">
        <v>9</v>
      </c>
      <c r="K7">
        <v>8</v>
      </c>
      <c r="L7">
        <v>9</v>
      </c>
      <c r="M7">
        <v>6</v>
      </c>
      <c r="N7" s="143" t="e">
        <v>#DIV/0!</v>
      </c>
      <c r="O7" s="143" t="e">
        <v>#DIV/0!</v>
      </c>
      <c r="P7">
        <v>5</v>
      </c>
    </row>
    <row r="8" spans="1:22">
      <c r="A8" t="s">
        <v>388</v>
      </c>
      <c r="B8">
        <v>31</v>
      </c>
      <c r="C8">
        <v>61</v>
      </c>
      <c r="D8">
        <v>29</v>
      </c>
      <c r="E8">
        <v>196</v>
      </c>
      <c r="F8">
        <v>7</v>
      </c>
      <c r="G8">
        <v>30</v>
      </c>
      <c r="H8">
        <v>142.19999999999999</v>
      </c>
      <c r="I8" s="14">
        <v>199.12372094855786</v>
      </c>
      <c r="J8">
        <v>6</v>
      </c>
      <c r="K8">
        <v>5</v>
      </c>
      <c r="L8">
        <v>11</v>
      </c>
      <c r="M8">
        <v>7</v>
      </c>
      <c r="N8" s="143" t="e">
        <v>#DIV/0!</v>
      </c>
      <c r="O8" s="143" t="e">
        <v>#DIV/0!</v>
      </c>
      <c r="P8">
        <v>-2</v>
      </c>
    </row>
    <row r="9" spans="1:22">
      <c r="A9" t="s">
        <v>73</v>
      </c>
      <c r="B9">
        <v>3</v>
      </c>
      <c r="C9">
        <v>185</v>
      </c>
      <c r="D9">
        <v>15</v>
      </c>
      <c r="E9">
        <v>91</v>
      </c>
      <c r="F9">
        <v>120</v>
      </c>
      <c r="G9">
        <v>39</v>
      </c>
      <c r="H9">
        <v>164.5</v>
      </c>
      <c r="I9" s="14">
        <v>236.06481408761553</v>
      </c>
      <c r="J9">
        <v>8</v>
      </c>
      <c r="K9">
        <v>7</v>
      </c>
      <c r="L9">
        <v>16</v>
      </c>
      <c r="M9">
        <v>8</v>
      </c>
      <c r="N9" s="143" t="e">
        <v>#DIV/0!</v>
      </c>
      <c r="O9" s="143" t="e">
        <v>#DIV/0!</v>
      </c>
      <c r="P9">
        <v>-4</v>
      </c>
    </row>
    <row r="10" spans="1:22">
      <c r="A10" t="s">
        <v>137</v>
      </c>
      <c r="B10">
        <v>125</v>
      </c>
      <c r="C10">
        <v>36</v>
      </c>
      <c r="D10">
        <v>34</v>
      </c>
      <c r="E10">
        <v>183</v>
      </c>
      <c r="F10">
        <v>41</v>
      </c>
      <c r="G10">
        <v>24</v>
      </c>
      <c r="H10">
        <v>215.8</v>
      </c>
      <c r="I10" s="14">
        <v>247.0646047460632</v>
      </c>
      <c r="J10">
        <v>34</v>
      </c>
      <c r="K10">
        <v>13</v>
      </c>
      <c r="L10">
        <v>23</v>
      </c>
      <c r="M10">
        <v>9</v>
      </c>
      <c r="N10" s="143" t="e">
        <v>#DIV/0!</v>
      </c>
      <c r="O10" s="143" t="e">
        <v>#DIV/0!</v>
      </c>
      <c r="P10">
        <v>-1</v>
      </c>
    </row>
    <row r="11" spans="1:22">
      <c r="A11" t="s">
        <v>42</v>
      </c>
      <c r="B11">
        <v>28</v>
      </c>
      <c r="C11">
        <v>177</v>
      </c>
      <c r="D11">
        <v>11</v>
      </c>
      <c r="E11">
        <v>24</v>
      </c>
      <c r="F11">
        <v>208</v>
      </c>
      <c r="G11">
        <v>39</v>
      </c>
      <c r="H11">
        <v>194</v>
      </c>
      <c r="I11" s="14">
        <v>249.34387218550117</v>
      </c>
      <c r="J11">
        <v>20</v>
      </c>
      <c r="K11">
        <v>10</v>
      </c>
      <c r="L11">
        <v>25</v>
      </c>
      <c r="M11">
        <v>10</v>
      </c>
      <c r="N11" s="143" t="e">
        <v>#DIV/0!</v>
      </c>
      <c r="O11" s="143" t="e">
        <v>#DIV/0!</v>
      </c>
      <c r="P11">
        <v>-4</v>
      </c>
    </row>
    <row r="12" spans="1:22">
      <c r="A12" t="s">
        <v>47</v>
      </c>
      <c r="B12">
        <v>36</v>
      </c>
      <c r="C12">
        <v>5</v>
      </c>
      <c r="D12">
        <v>40</v>
      </c>
      <c r="E12">
        <v>240</v>
      </c>
      <c r="F12">
        <v>36</v>
      </c>
      <c r="G12">
        <v>69</v>
      </c>
      <c r="H12">
        <v>168.7</v>
      </c>
      <c r="I12" s="14">
        <v>259.13350928918089</v>
      </c>
      <c r="J12">
        <v>10</v>
      </c>
      <c r="K12">
        <v>9</v>
      </c>
      <c r="L12">
        <v>29</v>
      </c>
      <c r="M12">
        <v>11</v>
      </c>
      <c r="N12" s="143" t="e">
        <v>#DIV/0!</v>
      </c>
      <c r="O12" s="143" t="e">
        <v>#DIV/0!</v>
      </c>
      <c r="P12">
        <v>-4</v>
      </c>
    </row>
    <row r="13" spans="1:22">
      <c r="A13" t="s">
        <v>92</v>
      </c>
      <c r="B13">
        <v>57</v>
      </c>
      <c r="C13">
        <v>51</v>
      </c>
      <c r="D13">
        <v>53</v>
      </c>
      <c r="E13">
        <v>130</v>
      </c>
      <c r="F13">
        <v>114</v>
      </c>
      <c r="G13">
        <v>50</v>
      </c>
      <c r="H13">
        <v>201.29999999999998</v>
      </c>
      <c r="I13" s="14">
        <v>261.43795754250249</v>
      </c>
      <c r="J13">
        <v>26</v>
      </c>
      <c r="K13">
        <v>11</v>
      </c>
      <c r="L13">
        <v>30</v>
      </c>
      <c r="M13">
        <v>12</v>
      </c>
      <c r="N13" s="143" t="e">
        <v>#DIV/0!</v>
      </c>
      <c r="O13" s="143" t="e">
        <v>#DIV/0!</v>
      </c>
      <c r="P13">
        <v>0</v>
      </c>
    </row>
    <row r="14" spans="1:22">
      <c r="A14" t="s">
        <v>76</v>
      </c>
      <c r="B14">
        <v>11</v>
      </c>
      <c r="C14">
        <v>85</v>
      </c>
      <c r="D14">
        <v>191</v>
      </c>
      <c r="E14">
        <v>40</v>
      </c>
      <c r="F14">
        <v>115</v>
      </c>
      <c r="G14">
        <v>39</v>
      </c>
      <c r="H14">
        <v>240.39999999999998</v>
      </c>
      <c r="I14" s="14">
        <v>294.34489799384619</v>
      </c>
      <c r="J14">
        <v>45</v>
      </c>
      <c r="K14">
        <v>14</v>
      </c>
      <c r="L14">
        <v>38</v>
      </c>
      <c r="M14">
        <v>13</v>
      </c>
      <c r="N14" s="143" t="e">
        <v>#DIV/0!</v>
      </c>
      <c r="O14" s="143" t="e">
        <v>#DIV/0!</v>
      </c>
      <c r="P14">
        <v>-4</v>
      </c>
    </row>
    <row r="15" spans="1:22">
      <c r="A15" t="s">
        <v>66</v>
      </c>
      <c r="B15">
        <v>69</v>
      </c>
      <c r="C15">
        <v>165</v>
      </c>
      <c r="D15">
        <v>86</v>
      </c>
      <c r="E15">
        <v>67</v>
      </c>
      <c r="F15">
        <v>116</v>
      </c>
      <c r="G15">
        <v>59</v>
      </c>
      <c r="H15">
        <v>242.8</v>
      </c>
      <c r="I15" s="14">
        <v>321.42781525682727</v>
      </c>
      <c r="J15">
        <v>47</v>
      </c>
      <c r="K15">
        <v>15</v>
      </c>
      <c r="L15">
        <v>42</v>
      </c>
      <c r="M15">
        <v>14</v>
      </c>
      <c r="N15" s="143" t="e">
        <v>#DIV/0!</v>
      </c>
      <c r="O15" s="143" t="e">
        <v>#DIV/0!</v>
      </c>
      <c r="P15">
        <v>-5</v>
      </c>
    </row>
    <row r="16" spans="1:22">
      <c r="A16" t="s">
        <v>129</v>
      </c>
      <c r="B16">
        <v>20</v>
      </c>
      <c r="C16">
        <v>128</v>
      </c>
      <c r="D16">
        <v>28</v>
      </c>
      <c r="E16">
        <v>57</v>
      </c>
      <c r="F16">
        <v>227</v>
      </c>
      <c r="G16">
        <v>110</v>
      </c>
      <c r="H16">
        <v>208.3</v>
      </c>
      <c r="I16" s="14">
        <v>331.40948339717386</v>
      </c>
      <c r="J16">
        <v>31</v>
      </c>
      <c r="K16">
        <v>12</v>
      </c>
      <c r="L16">
        <v>45</v>
      </c>
      <c r="M16">
        <v>15</v>
      </c>
      <c r="N16" s="143" t="e">
        <v>#DIV/0!</v>
      </c>
      <c r="O16" s="143" t="e">
        <v>#DIV/0!</v>
      </c>
      <c r="P16">
        <v>4</v>
      </c>
    </row>
    <row r="17" spans="1:16">
      <c r="A17" t="s">
        <v>404</v>
      </c>
      <c r="B17">
        <v>38</v>
      </c>
      <c r="C17">
        <v>149</v>
      </c>
      <c r="D17">
        <v>152</v>
      </c>
      <c r="E17">
        <v>17</v>
      </c>
      <c r="F17">
        <v>152</v>
      </c>
      <c r="G17">
        <v>84</v>
      </c>
      <c r="H17">
        <v>260.5</v>
      </c>
      <c r="I17" s="14">
        <v>360.32598845695622</v>
      </c>
      <c r="J17">
        <v>57</v>
      </c>
      <c r="K17">
        <v>16</v>
      </c>
      <c r="L17">
        <v>56</v>
      </c>
      <c r="M17">
        <v>16</v>
      </c>
      <c r="N17" s="143" t="e">
        <v>#DIV/0!</v>
      </c>
      <c r="O17" s="143" t="e">
        <v>#DIV/0!</v>
      </c>
      <c r="P17">
        <v>-19</v>
      </c>
    </row>
    <row r="18" spans="1:16">
      <c r="A18" t="s">
        <v>69</v>
      </c>
      <c r="B18">
        <v>83</v>
      </c>
      <c r="C18">
        <v>155</v>
      </c>
      <c r="D18">
        <v>47</v>
      </c>
      <c r="E18">
        <v>42</v>
      </c>
      <c r="F18">
        <v>239</v>
      </c>
      <c r="G18">
        <v>136</v>
      </c>
      <c r="H18">
        <v>273.8</v>
      </c>
      <c r="I18" s="14">
        <v>416.58494923382273</v>
      </c>
      <c r="J18">
        <v>69</v>
      </c>
      <c r="K18">
        <v>18</v>
      </c>
      <c r="L18">
        <v>75</v>
      </c>
      <c r="M18">
        <v>17</v>
      </c>
      <c r="N18" s="143" t="e">
        <v>#DIV/0!</v>
      </c>
      <c r="O18" s="143" t="e">
        <v>#DIV/0!</v>
      </c>
      <c r="P18">
        <v>-3</v>
      </c>
    </row>
    <row r="19" spans="1:16">
      <c r="A19" t="s">
        <v>125</v>
      </c>
      <c r="B19">
        <v>108</v>
      </c>
      <c r="C19">
        <v>88</v>
      </c>
      <c r="D19">
        <v>44</v>
      </c>
      <c r="E19">
        <v>66</v>
      </c>
      <c r="F19">
        <v>223</v>
      </c>
      <c r="G19">
        <v>185</v>
      </c>
      <c r="H19">
        <v>270.70000000000005</v>
      </c>
      <c r="I19" s="14">
        <v>452.13388347447022</v>
      </c>
      <c r="J19">
        <v>66</v>
      </c>
      <c r="K19">
        <v>17</v>
      </c>
      <c r="L19">
        <v>92</v>
      </c>
      <c r="M19">
        <v>18</v>
      </c>
      <c r="N19" s="143" t="e">
        <v>#DIV/0!</v>
      </c>
      <c r="O19" s="143" t="e">
        <v>#DIV/0!</v>
      </c>
      <c r="P19">
        <v>13</v>
      </c>
    </row>
    <row r="20" spans="1:16">
      <c r="A20" t="s">
        <v>128</v>
      </c>
      <c r="B20">
        <v>50</v>
      </c>
      <c r="C20">
        <v>118</v>
      </c>
      <c r="D20">
        <v>114</v>
      </c>
      <c r="E20">
        <v>183</v>
      </c>
      <c r="F20">
        <v>153</v>
      </c>
      <c r="G20">
        <v>129</v>
      </c>
      <c r="H20">
        <v>299.89999999999998</v>
      </c>
      <c r="I20" s="14">
        <v>455.6529113513551</v>
      </c>
      <c r="J20">
        <v>87</v>
      </c>
      <c r="K20">
        <v>19</v>
      </c>
      <c r="L20">
        <v>94</v>
      </c>
      <c r="M20">
        <v>19</v>
      </c>
      <c r="N20" s="143" t="e">
        <v>#DIV/0!</v>
      </c>
      <c r="O20" s="143" t="e">
        <v>#DIV/0!</v>
      </c>
      <c r="P20">
        <v>-1</v>
      </c>
    </row>
    <row r="21" spans="1:16">
      <c r="A21" t="s">
        <v>145</v>
      </c>
      <c r="B21">
        <v>97</v>
      </c>
      <c r="C21">
        <v>1</v>
      </c>
      <c r="D21">
        <v>57</v>
      </c>
      <c r="E21">
        <v>222</v>
      </c>
      <c r="F21">
        <v>207</v>
      </c>
      <c r="G21">
        <v>158</v>
      </c>
      <c r="H21">
        <v>300.39999999999998</v>
      </c>
      <c r="I21" s="14">
        <v>461.27064628010146</v>
      </c>
      <c r="J21">
        <v>88</v>
      </c>
      <c r="K21">
        <v>20</v>
      </c>
      <c r="L21">
        <v>96</v>
      </c>
      <c r="M21">
        <v>20</v>
      </c>
      <c r="N21" s="143" t="e">
        <v>#DIV/0!</v>
      </c>
      <c r="O21" s="143" t="e">
        <v>#DIV/0!</v>
      </c>
      <c r="P21">
        <v>6</v>
      </c>
    </row>
    <row r="22" spans="1:16">
      <c r="A22" t="s">
        <v>242</v>
      </c>
      <c r="B22">
        <v>84</v>
      </c>
      <c r="C22">
        <v>2</v>
      </c>
      <c r="D22">
        <v>226</v>
      </c>
      <c r="E22">
        <v>119</v>
      </c>
      <c r="F22">
        <v>105</v>
      </c>
      <c r="G22">
        <v>178</v>
      </c>
      <c r="H22">
        <v>317.7</v>
      </c>
      <c r="I22" s="14">
        <v>497.8920620350778</v>
      </c>
      <c r="J22">
        <v>103</v>
      </c>
      <c r="K22">
        <v>21</v>
      </c>
      <c r="L22">
        <v>103</v>
      </c>
      <c r="M22">
        <v>21</v>
      </c>
      <c r="N22" s="143" t="e">
        <v>#DIV/0!</v>
      </c>
      <c r="O22" s="143" t="e">
        <v>#DIV/0!</v>
      </c>
      <c r="P22">
        <v>-5</v>
      </c>
    </row>
    <row r="23" spans="1:16">
      <c r="A23" t="s">
        <v>417</v>
      </c>
      <c r="B23">
        <v>139</v>
      </c>
      <c r="C23">
        <v>15</v>
      </c>
      <c r="D23">
        <v>199</v>
      </c>
      <c r="E23">
        <v>228</v>
      </c>
      <c r="F23">
        <v>29</v>
      </c>
      <c r="G23">
        <v>148</v>
      </c>
      <c r="H23">
        <v>346.79999999999995</v>
      </c>
      <c r="I23" s="14">
        <v>506.28770193809459</v>
      </c>
      <c r="J23">
        <v>121</v>
      </c>
      <c r="K23">
        <v>26</v>
      </c>
      <c r="L23">
        <v>105</v>
      </c>
      <c r="M23">
        <v>22</v>
      </c>
      <c r="N23" s="143" t="e">
        <v>#DIV/0!</v>
      </c>
      <c r="O23" s="143" t="e">
        <v>#DIV/0!</v>
      </c>
      <c r="P23">
        <v>-7</v>
      </c>
    </row>
    <row r="24" spans="1:16">
      <c r="A24" t="s">
        <v>386</v>
      </c>
      <c r="B24">
        <v>143</v>
      </c>
      <c r="C24">
        <v>81</v>
      </c>
      <c r="D24">
        <v>211</v>
      </c>
      <c r="E24">
        <v>43</v>
      </c>
      <c r="F24">
        <v>70</v>
      </c>
      <c r="G24">
        <v>186</v>
      </c>
      <c r="H24">
        <v>324.29999999999995</v>
      </c>
      <c r="I24" s="14">
        <v>509.34362995952188</v>
      </c>
      <c r="J24">
        <v>105</v>
      </c>
      <c r="K24">
        <v>22</v>
      </c>
      <c r="L24">
        <v>106</v>
      </c>
      <c r="M24">
        <v>23</v>
      </c>
      <c r="N24" s="143" t="e">
        <v>#DIV/0!</v>
      </c>
      <c r="O24" s="143" t="e">
        <v>#DIV/0!</v>
      </c>
      <c r="P24">
        <v>-10</v>
      </c>
    </row>
    <row r="25" spans="1:16">
      <c r="A25" t="s">
        <v>29</v>
      </c>
      <c r="B25">
        <v>57</v>
      </c>
      <c r="C25">
        <v>107</v>
      </c>
      <c r="D25">
        <v>136</v>
      </c>
      <c r="E25">
        <v>181</v>
      </c>
      <c r="F25">
        <v>186</v>
      </c>
      <c r="G25">
        <v>177</v>
      </c>
      <c r="H25">
        <v>332.6</v>
      </c>
      <c r="I25" s="14">
        <v>532.46663697910662</v>
      </c>
      <c r="J25">
        <v>116</v>
      </c>
      <c r="K25">
        <v>25</v>
      </c>
      <c r="L25">
        <v>116</v>
      </c>
      <c r="M25">
        <v>24</v>
      </c>
      <c r="N25" s="143" t="e">
        <v>#DIV/0!</v>
      </c>
      <c r="O25" s="143" t="e">
        <v>#DIV/0!</v>
      </c>
      <c r="P25">
        <v>-2</v>
      </c>
    </row>
    <row r="26" spans="1:16">
      <c r="A26" t="s">
        <v>307</v>
      </c>
      <c r="B26">
        <v>13</v>
      </c>
      <c r="C26">
        <v>193</v>
      </c>
      <c r="D26">
        <v>195</v>
      </c>
      <c r="E26">
        <v>163</v>
      </c>
      <c r="F26">
        <v>117</v>
      </c>
      <c r="G26">
        <v>167</v>
      </c>
      <c r="H26">
        <v>327.2</v>
      </c>
      <c r="I26" s="14">
        <v>538.86032607695449</v>
      </c>
      <c r="J26">
        <v>112</v>
      </c>
      <c r="K26">
        <v>24</v>
      </c>
      <c r="L26">
        <v>118</v>
      </c>
      <c r="M26">
        <v>25</v>
      </c>
      <c r="N26" s="143" t="e">
        <v>#DIV/0!</v>
      </c>
      <c r="O26" s="143" t="e">
        <v>#DIV/0!</v>
      </c>
      <c r="P26">
        <v>-5</v>
      </c>
    </row>
    <row r="27" spans="1:16">
      <c r="A27" t="s">
        <v>65</v>
      </c>
      <c r="B27">
        <v>42</v>
      </c>
      <c r="C27">
        <v>164</v>
      </c>
      <c r="D27">
        <v>110</v>
      </c>
      <c r="E27">
        <v>231</v>
      </c>
      <c r="F27">
        <v>154</v>
      </c>
      <c r="G27">
        <v>193</v>
      </c>
      <c r="H27">
        <v>325</v>
      </c>
      <c r="I27" s="14">
        <v>558.0065987485616</v>
      </c>
      <c r="J27">
        <v>109</v>
      </c>
      <c r="K27">
        <v>23</v>
      </c>
      <c r="L27">
        <v>120</v>
      </c>
      <c r="M27">
        <v>26</v>
      </c>
      <c r="N27" s="143" t="e">
        <v>#DIV/0!</v>
      </c>
      <c r="O27" s="143" t="e">
        <v>#DIV/0!</v>
      </c>
      <c r="P27">
        <v>-9</v>
      </c>
    </row>
    <row r="28" spans="1:16">
      <c r="A28" t="s">
        <v>67</v>
      </c>
      <c r="B28">
        <v>123</v>
      </c>
      <c r="C28">
        <v>256</v>
      </c>
      <c r="D28">
        <v>239</v>
      </c>
      <c r="E28">
        <v>23</v>
      </c>
      <c r="F28">
        <v>79</v>
      </c>
      <c r="G28">
        <v>188</v>
      </c>
      <c r="H28">
        <v>378.89999999999992</v>
      </c>
      <c r="I28" s="14">
        <v>593.42910923541308</v>
      </c>
      <c r="J28">
        <v>129</v>
      </c>
      <c r="K28">
        <v>27</v>
      </c>
      <c r="L28">
        <v>129</v>
      </c>
      <c r="M28">
        <v>27</v>
      </c>
      <c r="N28" s="143" t="e">
        <v>#DIV/0!</v>
      </c>
      <c r="O28" s="143" t="e">
        <v>#DIV/0!</v>
      </c>
      <c r="P28">
        <v>-11</v>
      </c>
    </row>
    <row r="29" spans="1:16">
      <c r="A29" t="s">
        <v>53</v>
      </c>
      <c r="B29">
        <v>104</v>
      </c>
      <c r="C29">
        <v>176</v>
      </c>
      <c r="D29">
        <v>99</v>
      </c>
      <c r="E29">
        <v>217</v>
      </c>
      <c r="F29">
        <v>199</v>
      </c>
      <c r="G29">
        <v>223</v>
      </c>
      <c r="H29">
        <v>381.2</v>
      </c>
      <c r="I29" s="14">
        <v>633.60384407676418</v>
      </c>
      <c r="J29">
        <v>130</v>
      </c>
      <c r="K29">
        <v>28</v>
      </c>
      <c r="L29">
        <v>134</v>
      </c>
      <c r="M29">
        <v>28</v>
      </c>
      <c r="N29" s="143" t="e">
        <v>#DIV/0!</v>
      </c>
      <c r="O29" s="143" t="e">
        <v>#DIV/0!</v>
      </c>
      <c r="P29">
        <v>-20</v>
      </c>
    </row>
  </sheetData>
  <conditionalFormatting sqref="N2:O1048576">
    <cfRule type="cellIs" dxfId="83" priority="5" operator="greaterThanOrEqual">
      <formula>20%</formula>
    </cfRule>
    <cfRule type="cellIs" dxfId="82" priority="6" operator="between">
      <formula>10%</formula>
      <formula>20%</formula>
    </cfRule>
    <cfRule type="cellIs" dxfId="81" priority="7" operator="between">
      <formula>0.01%</formula>
      <formula>10%</formula>
    </cfRule>
  </conditionalFormatting>
  <conditionalFormatting sqref="B2:G1048576 J2:M1048576">
    <cfRule type="cellIs" dxfId="80" priority="8" operator="between">
      <formula>101</formula>
      <formula>250</formula>
    </cfRule>
    <cfRule type="cellIs" dxfId="79" priority="9" operator="between">
      <formula>51</formula>
      <formula>100.5</formula>
    </cfRule>
    <cfRule type="cellIs" dxfId="78" priority="10" operator="between">
      <formula>21</formula>
      <formula>50.5</formula>
    </cfRule>
    <cfRule type="cellIs" dxfId="77"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BE78C-E1E4-460D-B9C9-0F7C85263704}">
  <sheetPr codeName="Sheet58">
    <tabColor rgb="FFFF0000"/>
  </sheetPr>
  <dimension ref="A1:V114"/>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5.85546875" bestFit="1"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129</v>
      </c>
      <c r="B2">
        <v>52</v>
      </c>
      <c r="C2">
        <v>80</v>
      </c>
      <c r="D2">
        <v>21</v>
      </c>
      <c r="E2">
        <v>47</v>
      </c>
      <c r="F2">
        <v>205</v>
      </c>
      <c r="G2">
        <v>91</v>
      </c>
      <c r="H2">
        <v>196.39999999999998</v>
      </c>
      <c r="I2" s="14">
        <v>286.46848286167483</v>
      </c>
      <c r="J2">
        <v>31</v>
      </c>
      <c r="K2">
        <v>9</v>
      </c>
      <c r="L2">
        <v>48</v>
      </c>
      <c r="M2">
        <v>21</v>
      </c>
      <c r="N2" s="143" t="e">
        <v>#DIV/0!</v>
      </c>
      <c r="O2" s="143" t="e">
        <v>#DIV/0!</v>
      </c>
      <c r="P2">
        <v>19</v>
      </c>
      <c r="Q2">
        <v>1</v>
      </c>
    </row>
    <row r="3" spans="1:22">
      <c r="A3" s="20" t="s">
        <v>287</v>
      </c>
      <c r="B3">
        <v>87</v>
      </c>
      <c r="C3">
        <v>74</v>
      </c>
      <c r="D3">
        <v>8</v>
      </c>
      <c r="E3">
        <v>56</v>
      </c>
      <c r="F3">
        <v>4</v>
      </c>
      <c r="G3">
        <v>1</v>
      </c>
      <c r="H3">
        <v>113.1</v>
      </c>
      <c r="I3" s="14">
        <v>116.74867444376349</v>
      </c>
      <c r="J3">
        <v>4</v>
      </c>
      <c r="K3">
        <v>1</v>
      </c>
      <c r="L3">
        <v>3</v>
      </c>
      <c r="M3">
        <v>1</v>
      </c>
      <c r="N3" s="143" t="e">
        <v>#DIV/0!</v>
      </c>
      <c r="O3" s="143" t="e">
        <v>#DIV/0!</v>
      </c>
      <c r="P3">
        <v>8</v>
      </c>
    </row>
    <row r="4" spans="1:22">
      <c r="A4" s="137" t="s">
        <v>406</v>
      </c>
      <c r="B4">
        <v>35</v>
      </c>
      <c r="C4">
        <v>94</v>
      </c>
      <c r="D4">
        <v>41</v>
      </c>
      <c r="E4">
        <v>82</v>
      </c>
      <c r="F4">
        <v>11</v>
      </c>
      <c r="G4">
        <v>15</v>
      </c>
      <c r="H4">
        <v>119.70000000000002</v>
      </c>
      <c r="I4" s="14">
        <v>151.2301304769635</v>
      </c>
      <c r="J4">
        <v>5</v>
      </c>
      <c r="K4">
        <v>2</v>
      </c>
      <c r="L4">
        <v>7</v>
      </c>
      <c r="M4">
        <v>4</v>
      </c>
      <c r="N4" s="143" t="e">
        <v>#DIV/0!</v>
      </c>
      <c r="O4" s="143" t="e">
        <v>#DIV/0!</v>
      </c>
      <c r="P4">
        <v>-4</v>
      </c>
    </row>
    <row r="5" spans="1:22">
      <c r="A5" s="20" t="s">
        <v>409</v>
      </c>
      <c r="B5">
        <v>68</v>
      </c>
      <c r="C5">
        <v>72</v>
      </c>
      <c r="D5">
        <v>9</v>
      </c>
      <c r="E5">
        <v>14</v>
      </c>
      <c r="F5">
        <v>86</v>
      </c>
      <c r="G5">
        <v>12</v>
      </c>
      <c r="H5">
        <v>124.09999999999998</v>
      </c>
      <c r="I5" s="14">
        <v>133.37782568981763</v>
      </c>
      <c r="J5">
        <v>6</v>
      </c>
      <c r="K5">
        <v>3</v>
      </c>
      <c r="L5">
        <v>5</v>
      </c>
      <c r="M5">
        <v>2</v>
      </c>
      <c r="N5" s="143" t="e">
        <v>#DIV/0!</v>
      </c>
      <c r="O5" s="143" t="e">
        <v>#DIV/0!</v>
      </c>
      <c r="P5">
        <v>-3</v>
      </c>
    </row>
    <row r="6" spans="1:22">
      <c r="A6" s="136" t="s">
        <v>113</v>
      </c>
      <c r="B6">
        <v>62</v>
      </c>
      <c r="C6">
        <v>35</v>
      </c>
      <c r="D6">
        <v>56</v>
      </c>
      <c r="E6">
        <v>12</v>
      </c>
      <c r="F6">
        <v>81</v>
      </c>
      <c r="G6">
        <v>8</v>
      </c>
      <c r="H6">
        <v>138.39999999999998</v>
      </c>
      <c r="I6" s="14">
        <v>140.66868544792612</v>
      </c>
      <c r="J6">
        <v>7</v>
      </c>
      <c r="K6">
        <v>4</v>
      </c>
      <c r="L6">
        <v>6</v>
      </c>
      <c r="M6">
        <v>3</v>
      </c>
      <c r="N6" s="143" t="e">
        <v>#DIV/0!</v>
      </c>
      <c r="O6" s="143" t="e">
        <v>#DIV/0!</v>
      </c>
      <c r="P6">
        <v>-1</v>
      </c>
    </row>
    <row r="7" spans="1:22">
      <c r="A7" t="s">
        <v>102</v>
      </c>
      <c r="B7">
        <v>93</v>
      </c>
      <c r="C7">
        <v>67</v>
      </c>
      <c r="D7">
        <v>42</v>
      </c>
      <c r="E7">
        <v>19</v>
      </c>
      <c r="F7">
        <v>57</v>
      </c>
      <c r="G7">
        <v>17</v>
      </c>
      <c r="H7">
        <v>150.69999999999999</v>
      </c>
      <c r="I7" s="14">
        <v>163.11181567836127</v>
      </c>
      <c r="J7">
        <v>9</v>
      </c>
      <c r="K7">
        <v>5</v>
      </c>
      <c r="L7">
        <v>8</v>
      </c>
      <c r="M7">
        <v>5</v>
      </c>
      <c r="N7" s="143" t="e">
        <v>#DIV/0!</v>
      </c>
      <c r="O7" s="143" t="e">
        <v>#DIV/0!</v>
      </c>
      <c r="P7">
        <v>1</v>
      </c>
    </row>
    <row r="8" spans="1:22">
      <c r="A8" t="s">
        <v>98</v>
      </c>
      <c r="B8">
        <v>31</v>
      </c>
      <c r="C8">
        <v>150</v>
      </c>
      <c r="D8">
        <v>49</v>
      </c>
      <c r="E8">
        <v>77</v>
      </c>
      <c r="F8">
        <v>62</v>
      </c>
      <c r="G8">
        <v>18</v>
      </c>
      <c r="H8">
        <v>162.80000000000001</v>
      </c>
      <c r="I8" s="14">
        <v>203.05140629859841</v>
      </c>
      <c r="J8">
        <v>11</v>
      </c>
      <c r="K8">
        <v>6</v>
      </c>
      <c r="L8">
        <v>16</v>
      </c>
      <c r="M8">
        <v>8</v>
      </c>
      <c r="N8" s="143" t="e">
        <v>#DIV/0!</v>
      </c>
      <c r="O8" s="143" t="e">
        <v>#DIV/0!</v>
      </c>
      <c r="P8">
        <v>1</v>
      </c>
    </row>
    <row r="9" spans="1:22">
      <c r="A9" t="s">
        <v>60</v>
      </c>
      <c r="B9">
        <v>96</v>
      </c>
      <c r="C9">
        <v>51</v>
      </c>
      <c r="D9">
        <v>23</v>
      </c>
      <c r="E9">
        <v>125</v>
      </c>
      <c r="F9">
        <v>51</v>
      </c>
      <c r="G9">
        <v>14</v>
      </c>
      <c r="H9">
        <v>174.09999999999997</v>
      </c>
      <c r="I9" s="14">
        <v>191.45655885868518</v>
      </c>
      <c r="J9">
        <v>18</v>
      </c>
      <c r="K9">
        <v>7</v>
      </c>
      <c r="L9">
        <v>12</v>
      </c>
      <c r="M9">
        <v>6</v>
      </c>
      <c r="N9" s="143" t="e">
        <v>#DIV/0!</v>
      </c>
      <c r="O9" s="143" t="e">
        <v>#DIV/0!</v>
      </c>
      <c r="P9">
        <v>2</v>
      </c>
    </row>
    <row r="10" spans="1:22">
      <c r="A10" t="s">
        <v>119</v>
      </c>
      <c r="B10">
        <v>90</v>
      </c>
      <c r="C10">
        <v>18</v>
      </c>
      <c r="D10">
        <v>131</v>
      </c>
      <c r="E10">
        <v>54</v>
      </c>
      <c r="F10">
        <v>18</v>
      </c>
      <c r="G10">
        <v>38</v>
      </c>
      <c r="H10">
        <v>190.69999999999996</v>
      </c>
      <c r="I10" s="14">
        <v>225.35327318773477</v>
      </c>
      <c r="J10">
        <v>27</v>
      </c>
      <c r="K10">
        <v>8</v>
      </c>
      <c r="L10">
        <v>25</v>
      </c>
      <c r="M10">
        <v>10</v>
      </c>
      <c r="N10" s="143" t="e">
        <v>#DIV/0!</v>
      </c>
      <c r="O10" s="143" t="e">
        <v>#DIV/0!</v>
      </c>
      <c r="P10">
        <v>5</v>
      </c>
    </row>
    <row r="11" spans="1:22">
      <c r="A11" t="s">
        <v>404</v>
      </c>
      <c r="B11">
        <v>60</v>
      </c>
      <c r="C11">
        <v>116</v>
      </c>
      <c r="D11">
        <v>125</v>
      </c>
      <c r="E11">
        <v>13</v>
      </c>
      <c r="F11">
        <v>56</v>
      </c>
      <c r="G11">
        <v>23</v>
      </c>
      <c r="H11">
        <v>197.5</v>
      </c>
      <c r="I11" s="14">
        <v>229.23845202698806</v>
      </c>
      <c r="J11">
        <v>33</v>
      </c>
      <c r="K11">
        <v>10</v>
      </c>
      <c r="L11">
        <v>28</v>
      </c>
      <c r="M11">
        <v>11</v>
      </c>
      <c r="N11" s="143" t="e">
        <v>#DIV/0!</v>
      </c>
      <c r="O11" s="143" t="e">
        <v>#DIV/0!</v>
      </c>
      <c r="P11">
        <v>61</v>
      </c>
    </row>
    <row r="12" spans="1:22">
      <c r="A12" t="s">
        <v>166</v>
      </c>
      <c r="B12">
        <v>142</v>
      </c>
      <c r="C12">
        <v>17</v>
      </c>
      <c r="D12">
        <v>4</v>
      </c>
      <c r="E12">
        <v>70</v>
      </c>
      <c r="F12">
        <v>125</v>
      </c>
      <c r="G12">
        <v>20</v>
      </c>
      <c r="H12">
        <v>197.79999999999998</v>
      </c>
      <c r="I12" s="14">
        <v>199.94863859855457</v>
      </c>
      <c r="J12">
        <v>34.5</v>
      </c>
      <c r="K12">
        <v>12</v>
      </c>
      <c r="L12">
        <v>15</v>
      </c>
      <c r="M12">
        <v>7</v>
      </c>
      <c r="N12" s="143" t="e">
        <v>#DIV/0!</v>
      </c>
      <c r="O12" s="143" t="e">
        <v>#DIV/0!</v>
      </c>
      <c r="P12">
        <v>1</v>
      </c>
    </row>
    <row r="13" spans="1:22">
      <c r="A13" t="s">
        <v>56</v>
      </c>
      <c r="B13">
        <v>50</v>
      </c>
      <c r="C13">
        <v>189</v>
      </c>
      <c r="D13">
        <v>23</v>
      </c>
      <c r="E13">
        <v>210</v>
      </c>
      <c r="F13">
        <v>12</v>
      </c>
      <c r="G13">
        <v>31</v>
      </c>
      <c r="H13">
        <v>197.79999999999998</v>
      </c>
      <c r="I13" s="14">
        <v>268.74534347514179</v>
      </c>
      <c r="J13">
        <v>34.5</v>
      </c>
      <c r="K13">
        <v>11</v>
      </c>
      <c r="L13">
        <v>43</v>
      </c>
      <c r="M13">
        <v>19</v>
      </c>
      <c r="N13" s="143" t="e">
        <v>#DIV/0!</v>
      </c>
      <c r="O13" s="143" t="e">
        <v>#DIV/0!</v>
      </c>
      <c r="P13">
        <v>1</v>
      </c>
    </row>
    <row r="14" spans="1:22">
      <c r="A14" t="s">
        <v>388</v>
      </c>
      <c r="B14">
        <v>63</v>
      </c>
      <c r="C14">
        <v>29</v>
      </c>
      <c r="D14">
        <v>82</v>
      </c>
      <c r="E14">
        <v>176</v>
      </c>
      <c r="F14">
        <v>46</v>
      </c>
      <c r="G14">
        <v>125</v>
      </c>
      <c r="H14">
        <v>203.6</v>
      </c>
      <c r="I14" s="14">
        <v>340.86243663283375</v>
      </c>
      <c r="J14">
        <v>37</v>
      </c>
      <c r="K14">
        <v>13</v>
      </c>
      <c r="L14">
        <v>75</v>
      </c>
      <c r="M14">
        <v>35</v>
      </c>
      <c r="N14" s="143" t="e">
        <v>#DIV/0!</v>
      </c>
      <c r="O14" s="143" t="e">
        <v>#DIV/0!</v>
      </c>
      <c r="P14">
        <v>-95</v>
      </c>
    </row>
    <row r="15" spans="1:22">
      <c r="A15" t="s">
        <v>93</v>
      </c>
      <c r="B15">
        <v>73</v>
      </c>
      <c r="C15">
        <v>9</v>
      </c>
      <c r="D15">
        <v>100</v>
      </c>
      <c r="E15">
        <v>165</v>
      </c>
      <c r="F15">
        <v>43</v>
      </c>
      <c r="G15">
        <v>27</v>
      </c>
      <c r="H15">
        <v>211.3</v>
      </c>
      <c r="I15" s="14">
        <v>245.72587468542258</v>
      </c>
      <c r="J15">
        <v>41</v>
      </c>
      <c r="K15">
        <v>14</v>
      </c>
      <c r="L15">
        <v>33</v>
      </c>
      <c r="M15">
        <v>14</v>
      </c>
      <c r="N15" s="143" t="e">
        <v>#DIV/0!</v>
      </c>
      <c r="O15" s="143" t="e">
        <v>#DIV/0!</v>
      </c>
      <c r="P15">
        <v>0</v>
      </c>
    </row>
    <row r="16" spans="1:22">
      <c r="A16" t="s">
        <v>245</v>
      </c>
      <c r="B16">
        <v>151</v>
      </c>
      <c r="C16">
        <v>39</v>
      </c>
      <c r="D16">
        <v>87</v>
      </c>
      <c r="E16">
        <v>2</v>
      </c>
      <c r="F16">
        <v>72</v>
      </c>
      <c r="G16">
        <v>10</v>
      </c>
      <c r="H16">
        <v>215.1</v>
      </c>
      <c r="I16" s="14">
        <v>206.45639935046987</v>
      </c>
      <c r="J16">
        <v>43</v>
      </c>
      <c r="K16">
        <v>15</v>
      </c>
      <c r="L16">
        <v>17</v>
      </c>
      <c r="M16">
        <v>9</v>
      </c>
      <c r="N16" s="143" t="e">
        <v>#DIV/0!</v>
      </c>
      <c r="O16" s="143" t="e">
        <v>#DIV/0!</v>
      </c>
      <c r="P16">
        <v>2</v>
      </c>
    </row>
    <row r="17" spans="1:16">
      <c r="A17" t="s">
        <v>14</v>
      </c>
      <c r="B17">
        <v>35</v>
      </c>
      <c r="C17">
        <v>85</v>
      </c>
      <c r="D17">
        <v>140</v>
      </c>
      <c r="E17">
        <v>38</v>
      </c>
      <c r="F17">
        <v>109</v>
      </c>
      <c r="G17">
        <v>42</v>
      </c>
      <c r="H17">
        <v>217.7</v>
      </c>
      <c r="I17" s="14">
        <v>268.48152406126309</v>
      </c>
      <c r="J17">
        <v>45</v>
      </c>
      <c r="K17">
        <v>16</v>
      </c>
      <c r="L17">
        <v>42</v>
      </c>
      <c r="M17">
        <v>18</v>
      </c>
      <c r="N17" s="143" t="e">
        <v>#DIV/0!</v>
      </c>
      <c r="O17" s="143" t="e">
        <v>#DIV/0!</v>
      </c>
      <c r="P17">
        <v>5</v>
      </c>
    </row>
    <row r="18" spans="1:16">
      <c r="A18" t="s">
        <v>139</v>
      </c>
      <c r="B18">
        <v>109</v>
      </c>
      <c r="C18">
        <v>114</v>
      </c>
      <c r="D18">
        <v>2</v>
      </c>
      <c r="E18">
        <v>84</v>
      </c>
      <c r="F18">
        <v>147</v>
      </c>
      <c r="G18">
        <v>41</v>
      </c>
      <c r="H18">
        <v>219</v>
      </c>
      <c r="I18" s="14">
        <v>260.99630676246466</v>
      </c>
      <c r="J18">
        <v>46</v>
      </c>
      <c r="K18">
        <v>17</v>
      </c>
      <c r="L18">
        <v>38</v>
      </c>
      <c r="M18">
        <v>16</v>
      </c>
      <c r="N18" s="143" t="e">
        <v>#DIV/0!</v>
      </c>
      <c r="O18" s="143" t="e">
        <v>#DIV/0!</v>
      </c>
      <c r="P18">
        <v>5</v>
      </c>
    </row>
    <row r="19" spans="1:16">
      <c r="A19" t="s">
        <v>116</v>
      </c>
      <c r="B19">
        <v>126</v>
      </c>
      <c r="C19">
        <v>16</v>
      </c>
      <c r="D19">
        <v>73</v>
      </c>
      <c r="E19">
        <v>49</v>
      </c>
      <c r="F19">
        <v>115</v>
      </c>
      <c r="G19">
        <v>33</v>
      </c>
      <c r="H19">
        <v>221.19999999999996</v>
      </c>
      <c r="I19" s="14">
        <v>238.68724650971808</v>
      </c>
      <c r="J19">
        <v>48</v>
      </c>
      <c r="K19">
        <v>18</v>
      </c>
      <c r="L19">
        <v>31</v>
      </c>
      <c r="M19">
        <v>12</v>
      </c>
      <c r="N19" s="143" t="e">
        <v>#DIV/0!</v>
      </c>
      <c r="O19" s="143" t="e">
        <v>#DIV/0!</v>
      </c>
      <c r="P19">
        <v>2</v>
      </c>
    </row>
    <row r="20" spans="1:16">
      <c r="A20" t="s">
        <v>132</v>
      </c>
      <c r="B20">
        <v>145</v>
      </c>
      <c r="C20">
        <v>44</v>
      </c>
      <c r="D20">
        <v>64</v>
      </c>
      <c r="E20">
        <v>48</v>
      </c>
      <c r="F20">
        <v>85</v>
      </c>
      <c r="G20">
        <v>48</v>
      </c>
      <c r="H20">
        <v>221.2</v>
      </c>
      <c r="I20" s="14">
        <v>255.69589756030945</v>
      </c>
      <c r="J20">
        <v>49</v>
      </c>
      <c r="K20">
        <v>19</v>
      </c>
      <c r="L20">
        <v>36</v>
      </c>
      <c r="M20">
        <v>15</v>
      </c>
      <c r="N20" s="143" t="e">
        <v>#DIV/0!</v>
      </c>
      <c r="O20" s="143" t="e">
        <v>#DIV/0!</v>
      </c>
      <c r="P20">
        <v>5</v>
      </c>
    </row>
    <row r="21" spans="1:16">
      <c r="A21" t="s">
        <v>90</v>
      </c>
      <c r="B21">
        <v>39</v>
      </c>
      <c r="C21">
        <v>50</v>
      </c>
      <c r="D21">
        <v>63</v>
      </c>
      <c r="E21">
        <v>146</v>
      </c>
      <c r="F21">
        <v>163</v>
      </c>
      <c r="G21">
        <v>90</v>
      </c>
      <c r="H21">
        <v>226.3</v>
      </c>
      <c r="I21" s="14">
        <v>326.26962814828312</v>
      </c>
      <c r="J21">
        <v>50</v>
      </c>
      <c r="K21">
        <v>20</v>
      </c>
      <c r="L21">
        <v>67</v>
      </c>
      <c r="M21">
        <v>30</v>
      </c>
      <c r="N21" s="143" t="e">
        <v>#DIV/0!</v>
      </c>
      <c r="O21" s="143" t="e">
        <v>#DIV/0!</v>
      </c>
      <c r="P21">
        <v>9</v>
      </c>
    </row>
    <row r="22" spans="1:16">
      <c r="A22" t="s">
        <v>137</v>
      </c>
      <c r="B22">
        <v>124</v>
      </c>
      <c r="C22">
        <v>19</v>
      </c>
      <c r="D22">
        <v>47</v>
      </c>
      <c r="E22">
        <v>195</v>
      </c>
      <c r="F22">
        <v>58</v>
      </c>
      <c r="G22">
        <v>49</v>
      </c>
      <c r="H22">
        <v>232.4</v>
      </c>
      <c r="I22" s="14">
        <v>283.4614308830952</v>
      </c>
      <c r="J22">
        <v>53</v>
      </c>
      <c r="K22">
        <v>21</v>
      </c>
      <c r="L22">
        <v>47</v>
      </c>
      <c r="M22">
        <v>20</v>
      </c>
      <c r="N22" s="143" t="e">
        <v>#DIV/0!</v>
      </c>
      <c r="O22" s="143" t="e">
        <v>#DIV/0!</v>
      </c>
      <c r="P22">
        <v>-25</v>
      </c>
    </row>
    <row r="23" spans="1:16">
      <c r="A23" t="s">
        <v>389</v>
      </c>
      <c r="B23">
        <v>47</v>
      </c>
      <c r="C23">
        <v>91</v>
      </c>
      <c r="D23">
        <v>28</v>
      </c>
      <c r="E23">
        <v>213</v>
      </c>
      <c r="F23">
        <v>140</v>
      </c>
      <c r="G23">
        <v>118</v>
      </c>
      <c r="H23">
        <v>235</v>
      </c>
      <c r="I23" s="14">
        <v>374.43424781172058</v>
      </c>
      <c r="J23">
        <v>55</v>
      </c>
      <c r="K23">
        <v>22</v>
      </c>
      <c r="L23">
        <v>96</v>
      </c>
      <c r="M23">
        <v>47</v>
      </c>
      <c r="N23" s="143" t="e">
        <v>#DIV/0!</v>
      </c>
      <c r="O23" s="143" t="e">
        <v>#DIV/0!</v>
      </c>
      <c r="P23">
        <v>8</v>
      </c>
    </row>
    <row r="24" spans="1:16">
      <c r="A24" t="s">
        <v>140</v>
      </c>
      <c r="B24">
        <v>183</v>
      </c>
      <c r="C24">
        <v>52</v>
      </c>
      <c r="D24">
        <v>97</v>
      </c>
      <c r="E24">
        <v>29</v>
      </c>
      <c r="F24">
        <v>25</v>
      </c>
      <c r="G24">
        <v>24</v>
      </c>
      <c r="H24">
        <v>235.69999999999996</v>
      </c>
      <c r="I24" s="14">
        <v>243.10414542270723</v>
      </c>
      <c r="J24">
        <v>57</v>
      </c>
      <c r="K24">
        <v>23</v>
      </c>
      <c r="L24">
        <v>32</v>
      </c>
      <c r="M24">
        <v>13</v>
      </c>
      <c r="N24" s="143" t="e">
        <v>#DIV/0!</v>
      </c>
      <c r="O24" s="143" t="e">
        <v>#DIV/0!</v>
      </c>
      <c r="P24">
        <v>0</v>
      </c>
    </row>
    <row r="25" spans="1:16">
      <c r="A25" t="s">
        <v>24</v>
      </c>
      <c r="B25">
        <v>4</v>
      </c>
      <c r="C25">
        <v>185</v>
      </c>
      <c r="D25">
        <v>151</v>
      </c>
      <c r="E25">
        <v>127</v>
      </c>
      <c r="F25">
        <v>43</v>
      </c>
      <c r="G25">
        <v>53</v>
      </c>
      <c r="H25">
        <v>236.3</v>
      </c>
      <c r="I25" s="14">
        <v>329.02984719752038</v>
      </c>
      <c r="J25">
        <v>58</v>
      </c>
      <c r="K25">
        <v>24</v>
      </c>
      <c r="L25">
        <v>70</v>
      </c>
      <c r="M25">
        <v>32</v>
      </c>
      <c r="N25" s="143" t="e">
        <v>#DIV/0!</v>
      </c>
      <c r="O25" s="143" t="e">
        <v>#DIV/0!</v>
      </c>
      <c r="P25">
        <v>7</v>
      </c>
    </row>
    <row r="26" spans="1:16">
      <c r="A26" t="s">
        <v>9</v>
      </c>
      <c r="B26">
        <v>1</v>
      </c>
      <c r="C26">
        <v>146</v>
      </c>
      <c r="D26">
        <v>165</v>
      </c>
      <c r="E26">
        <v>115</v>
      </c>
      <c r="F26">
        <v>61</v>
      </c>
      <c r="G26">
        <v>50</v>
      </c>
      <c r="H26">
        <v>236.5</v>
      </c>
      <c r="I26" s="14">
        <v>319.59503788522562</v>
      </c>
      <c r="J26">
        <v>59</v>
      </c>
      <c r="K26">
        <v>25</v>
      </c>
      <c r="L26">
        <v>64</v>
      </c>
      <c r="M26">
        <v>27</v>
      </c>
      <c r="N26" s="143" t="e">
        <v>#DIV/0!</v>
      </c>
      <c r="O26" s="143" t="e">
        <v>#DIV/0!</v>
      </c>
      <c r="P26">
        <v>4</v>
      </c>
    </row>
    <row r="27" spans="1:16">
      <c r="A27" t="s">
        <v>79</v>
      </c>
      <c r="B27">
        <v>70</v>
      </c>
      <c r="C27">
        <v>127</v>
      </c>
      <c r="D27">
        <v>84</v>
      </c>
      <c r="E27">
        <v>63</v>
      </c>
      <c r="F27">
        <v>133</v>
      </c>
      <c r="G27">
        <v>70</v>
      </c>
      <c r="H27">
        <v>237.59999999999997</v>
      </c>
      <c r="I27" s="14">
        <v>316.89866175661166</v>
      </c>
      <c r="J27">
        <v>61</v>
      </c>
      <c r="K27">
        <v>26</v>
      </c>
      <c r="L27">
        <v>63</v>
      </c>
      <c r="M27">
        <v>26</v>
      </c>
      <c r="N27" s="143" t="e">
        <v>#DIV/0!</v>
      </c>
      <c r="O27" s="143" t="e">
        <v>#DIV/0!</v>
      </c>
      <c r="P27">
        <v>9</v>
      </c>
    </row>
    <row r="28" spans="1:16">
      <c r="A28" t="s">
        <v>120</v>
      </c>
      <c r="B28">
        <v>133</v>
      </c>
      <c r="C28">
        <v>130</v>
      </c>
      <c r="D28">
        <v>32</v>
      </c>
      <c r="E28">
        <v>198</v>
      </c>
      <c r="F28">
        <v>14</v>
      </c>
      <c r="G28">
        <v>56</v>
      </c>
      <c r="H28">
        <v>240.7</v>
      </c>
      <c r="I28" s="14">
        <v>314.68272885001244</v>
      </c>
      <c r="J28">
        <v>65</v>
      </c>
      <c r="K28">
        <v>27</v>
      </c>
      <c r="L28">
        <v>60</v>
      </c>
      <c r="M28">
        <v>25</v>
      </c>
      <c r="N28" s="143" t="e">
        <v>#DIV/0!</v>
      </c>
      <c r="O28" s="143" t="e">
        <v>#DIV/0!</v>
      </c>
      <c r="P28">
        <v>9</v>
      </c>
    </row>
    <row r="29" spans="1:16">
      <c r="A29" t="s">
        <v>55</v>
      </c>
      <c r="B29">
        <v>65</v>
      </c>
      <c r="C29">
        <v>66</v>
      </c>
      <c r="D29">
        <v>67</v>
      </c>
      <c r="E29">
        <v>172</v>
      </c>
      <c r="F29">
        <v>120</v>
      </c>
      <c r="G29">
        <v>84</v>
      </c>
      <c r="H29">
        <v>241</v>
      </c>
      <c r="I29" s="14">
        <v>337.91744187225356</v>
      </c>
      <c r="J29">
        <v>67.5</v>
      </c>
      <c r="K29">
        <v>28</v>
      </c>
      <c r="L29">
        <v>73</v>
      </c>
      <c r="M29">
        <v>34</v>
      </c>
      <c r="N29" s="143" t="e">
        <v>#DIV/0!</v>
      </c>
      <c r="O29" s="143" t="e">
        <v>#DIV/0!</v>
      </c>
      <c r="P29">
        <v>9</v>
      </c>
    </row>
    <row r="30" spans="1:16">
      <c r="A30" t="s">
        <v>45</v>
      </c>
      <c r="B30">
        <v>95</v>
      </c>
      <c r="C30">
        <v>188</v>
      </c>
      <c r="D30">
        <v>43</v>
      </c>
      <c r="E30">
        <v>60</v>
      </c>
      <c r="F30">
        <v>128</v>
      </c>
      <c r="G30">
        <v>134</v>
      </c>
      <c r="H30">
        <v>241</v>
      </c>
      <c r="I30" s="14">
        <v>387.814650548396</v>
      </c>
      <c r="J30">
        <v>67.5</v>
      </c>
      <c r="K30">
        <v>29</v>
      </c>
      <c r="L30">
        <v>103</v>
      </c>
      <c r="M30">
        <v>50</v>
      </c>
      <c r="N30" s="143" t="e">
        <v>#DIV/0!</v>
      </c>
      <c r="O30" s="143" t="e">
        <v>#DIV/0!</v>
      </c>
      <c r="P30">
        <v>7</v>
      </c>
    </row>
    <row r="31" spans="1:16">
      <c r="A31" t="s">
        <v>105</v>
      </c>
      <c r="B31">
        <v>148</v>
      </c>
      <c r="C31">
        <v>49</v>
      </c>
      <c r="D31">
        <v>51</v>
      </c>
      <c r="E31">
        <v>87</v>
      </c>
      <c r="F31">
        <v>114</v>
      </c>
      <c r="G31">
        <v>62</v>
      </c>
      <c r="H31">
        <v>245.8</v>
      </c>
      <c r="I31" s="14">
        <v>296.86137164617571</v>
      </c>
      <c r="J31">
        <v>71</v>
      </c>
      <c r="K31">
        <v>30</v>
      </c>
      <c r="L31">
        <v>55</v>
      </c>
      <c r="M31">
        <v>23</v>
      </c>
      <c r="N31" s="143" t="e">
        <v>#DIV/0!</v>
      </c>
      <c r="O31" s="143" t="e">
        <v>#DIV/0!</v>
      </c>
      <c r="P31">
        <v>-4</v>
      </c>
    </row>
    <row r="32" spans="1:16">
      <c r="A32" t="s">
        <v>162</v>
      </c>
      <c r="B32">
        <v>210</v>
      </c>
      <c r="C32">
        <v>96</v>
      </c>
      <c r="D32">
        <v>40</v>
      </c>
      <c r="E32">
        <v>26</v>
      </c>
      <c r="F32">
        <v>66</v>
      </c>
      <c r="G32">
        <v>34</v>
      </c>
      <c r="H32">
        <v>247.20000000000002</v>
      </c>
      <c r="I32" s="14">
        <v>262.96510422039006</v>
      </c>
      <c r="J32">
        <v>72</v>
      </c>
      <c r="K32">
        <v>31</v>
      </c>
      <c r="L32">
        <v>39</v>
      </c>
      <c r="M32">
        <v>17</v>
      </c>
      <c r="N32" s="143" t="e">
        <v>#DIV/0!</v>
      </c>
      <c r="O32" s="143" t="e">
        <v>#DIV/0!</v>
      </c>
      <c r="P32">
        <v>2</v>
      </c>
    </row>
    <row r="33" spans="1:16">
      <c r="A33" t="s">
        <v>397</v>
      </c>
      <c r="B33">
        <v>91</v>
      </c>
      <c r="C33">
        <v>77</v>
      </c>
      <c r="D33">
        <v>179</v>
      </c>
      <c r="E33">
        <v>17</v>
      </c>
      <c r="F33">
        <v>67</v>
      </c>
      <c r="G33">
        <v>46</v>
      </c>
      <c r="H33">
        <v>252.4</v>
      </c>
      <c r="I33" s="14">
        <v>298.24369247883811</v>
      </c>
      <c r="J33">
        <v>74</v>
      </c>
      <c r="K33">
        <v>32</v>
      </c>
      <c r="L33">
        <v>57</v>
      </c>
      <c r="M33">
        <v>24</v>
      </c>
      <c r="N33" s="143" t="e">
        <v>#DIV/0!</v>
      </c>
      <c r="O33" s="143" t="e">
        <v>#DIV/0!</v>
      </c>
      <c r="P33">
        <v>5</v>
      </c>
    </row>
    <row r="34" spans="1:16">
      <c r="A34" t="s">
        <v>92</v>
      </c>
      <c r="B34">
        <v>75</v>
      </c>
      <c r="C34">
        <v>38</v>
      </c>
      <c r="D34">
        <v>89</v>
      </c>
      <c r="E34">
        <v>151</v>
      </c>
      <c r="F34">
        <v>135</v>
      </c>
      <c r="G34">
        <v>93</v>
      </c>
      <c r="H34">
        <v>254.1</v>
      </c>
      <c r="I34" s="14">
        <v>352.33151610801508</v>
      </c>
      <c r="J34">
        <v>77</v>
      </c>
      <c r="K34">
        <v>33</v>
      </c>
      <c r="L34">
        <v>85</v>
      </c>
      <c r="M34">
        <v>40</v>
      </c>
      <c r="N34" s="143" t="e">
        <v>#DIV/0!</v>
      </c>
      <c r="O34" s="143" t="e">
        <v>#DIV/0!</v>
      </c>
      <c r="P34">
        <v>-43</v>
      </c>
    </row>
    <row r="35" spans="1:16">
      <c r="A35" t="s">
        <v>167</v>
      </c>
      <c r="B35">
        <v>158</v>
      </c>
      <c r="C35">
        <v>79</v>
      </c>
      <c r="D35">
        <v>109</v>
      </c>
      <c r="E35">
        <v>116</v>
      </c>
      <c r="F35">
        <v>3</v>
      </c>
      <c r="G35">
        <v>30</v>
      </c>
      <c r="H35">
        <v>258.5</v>
      </c>
      <c r="I35" s="14">
        <v>289.64651090601762</v>
      </c>
      <c r="J35">
        <v>79.5</v>
      </c>
      <c r="K35">
        <v>34</v>
      </c>
      <c r="L35">
        <v>50</v>
      </c>
      <c r="M35">
        <v>22</v>
      </c>
      <c r="N35" s="143" t="e">
        <v>#DIV/0!</v>
      </c>
      <c r="O35" s="143" t="e">
        <v>#DIV/0!</v>
      </c>
      <c r="P35">
        <v>1</v>
      </c>
    </row>
    <row r="36" spans="1:16">
      <c r="A36" t="s">
        <v>122</v>
      </c>
      <c r="B36">
        <v>92</v>
      </c>
      <c r="C36">
        <v>145</v>
      </c>
      <c r="D36">
        <v>139</v>
      </c>
      <c r="E36">
        <v>126</v>
      </c>
      <c r="F36">
        <v>8</v>
      </c>
      <c r="G36">
        <v>52</v>
      </c>
      <c r="H36">
        <v>259.60000000000002</v>
      </c>
      <c r="I36" s="14">
        <v>333.51996569228118</v>
      </c>
      <c r="J36">
        <v>81</v>
      </c>
      <c r="K36">
        <v>35</v>
      </c>
      <c r="L36">
        <v>72</v>
      </c>
      <c r="M36">
        <v>33</v>
      </c>
      <c r="N36" s="143" t="e">
        <v>#DIV/0!</v>
      </c>
      <c r="O36" s="143" t="e">
        <v>#DIV/0!</v>
      </c>
      <c r="P36">
        <v>5</v>
      </c>
    </row>
    <row r="37" spans="1:16">
      <c r="A37" t="s">
        <v>41</v>
      </c>
      <c r="B37">
        <v>22</v>
      </c>
      <c r="C37">
        <v>193</v>
      </c>
      <c r="D37">
        <v>203</v>
      </c>
      <c r="E37">
        <v>74</v>
      </c>
      <c r="F37">
        <v>30</v>
      </c>
      <c r="G37">
        <v>106</v>
      </c>
      <c r="H37">
        <v>260</v>
      </c>
      <c r="I37" s="14">
        <v>400.55776356335707</v>
      </c>
      <c r="J37">
        <v>83</v>
      </c>
      <c r="K37">
        <v>36</v>
      </c>
      <c r="L37">
        <v>112</v>
      </c>
      <c r="M37">
        <v>53</v>
      </c>
      <c r="N37" s="143" t="e">
        <v>#DIV/0!</v>
      </c>
      <c r="O37" s="143" t="e">
        <v>#DIV/0!</v>
      </c>
      <c r="P37">
        <v>7</v>
      </c>
    </row>
    <row r="38" spans="1:16">
      <c r="A38" t="s">
        <v>237</v>
      </c>
      <c r="B38">
        <v>29</v>
      </c>
      <c r="C38">
        <v>160</v>
      </c>
      <c r="D38">
        <v>128</v>
      </c>
      <c r="E38">
        <v>123</v>
      </c>
      <c r="F38">
        <v>107</v>
      </c>
      <c r="G38">
        <v>78</v>
      </c>
      <c r="H38">
        <v>260.59999999999997</v>
      </c>
      <c r="I38" s="14">
        <v>367.14313621044028</v>
      </c>
      <c r="J38">
        <v>85</v>
      </c>
      <c r="K38">
        <v>37</v>
      </c>
      <c r="L38">
        <v>94</v>
      </c>
      <c r="M38">
        <v>45</v>
      </c>
      <c r="N38" s="143" t="e">
        <v>#DIV/0!</v>
      </c>
      <c r="O38" s="143" t="e">
        <v>#DIV/0!</v>
      </c>
      <c r="P38">
        <v>9</v>
      </c>
    </row>
    <row r="39" spans="1:16">
      <c r="A39" t="s">
        <v>125</v>
      </c>
      <c r="B39">
        <v>128</v>
      </c>
      <c r="C39">
        <v>47</v>
      </c>
      <c r="D39">
        <v>72</v>
      </c>
      <c r="E39">
        <v>36</v>
      </c>
      <c r="F39">
        <v>190</v>
      </c>
      <c r="G39">
        <v>182</v>
      </c>
      <c r="H39">
        <v>263.5</v>
      </c>
      <c r="I39" s="14">
        <v>429.19586122714702</v>
      </c>
      <c r="J39">
        <v>87</v>
      </c>
      <c r="K39">
        <v>38</v>
      </c>
      <c r="L39">
        <v>126</v>
      </c>
      <c r="M39">
        <v>63</v>
      </c>
      <c r="N39" s="143" t="e">
        <v>#DIV/0!</v>
      </c>
      <c r="O39" s="143" t="e">
        <v>#DIV/0!</v>
      </c>
      <c r="P39">
        <v>3</v>
      </c>
    </row>
    <row r="40" spans="1:16">
      <c r="A40" t="s">
        <v>106</v>
      </c>
      <c r="B40">
        <v>56</v>
      </c>
      <c r="C40">
        <v>170</v>
      </c>
      <c r="D40">
        <v>93</v>
      </c>
      <c r="E40">
        <v>162</v>
      </c>
      <c r="F40">
        <v>89</v>
      </c>
      <c r="G40">
        <v>120</v>
      </c>
      <c r="H40">
        <v>264.59999999999997</v>
      </c>
      <c r="I40" s="14">
        <v>414.32458838135608</v>
      </c>
      <c r="J40">
        <v>89</v>
      </c>
      <c r="K40">
        <v>39</v>
      </c>
      <c r="L40">
        <v>120</v>
      </c>
      <c r="M40">
        <v>59</v>
      </c>
      <c r="N40" s="143" t="e">
        <v>#DIV/0!</v>
      </c>
      <c r="O40" s="143" t="e">
        <v>#DIV/0!</v>
      </c>
      <c r="P40">
        <v>8</v>
      </c>
    </row>
    <row r="41" spans="1:16">
      <c r="A41" t="s">
        <v>99</v>
      </c>
      <c r="B41">
        <v>75</v>
      </c>
      <c r="C41">
        <v>35</v>
      </c>
      <c r="D41">
        <v>45</v>
      </c>
      <c r="E41">
        <v>169</v>
      </c>
      <c r="F41">
        <v>214</v>
      </c>
      <c r="G41">
        <v>131</v>
      </c>
      <c r="H41">
        <v>269.10000000000002</v>
      </c>
      <c r="I41" s="14">
        <v>402.054819278737</v>
      </c>
      <c r="J41">
        <v>91</v>
      </c>
      <c r="K41">
        <v>40</v>
      </c>
      <c r="L41">
        <v>114</v>
      </c>
      <c r="M41">
        <v>55</v>
      </c>
      <c r="N41" s="143" t="e">
        <v>#DIV/0!</v>
      </c>
      <c r="O41" s="143" t="e">
        <v>#DIV/0!</v>
      </c>
      <c r="P41">
        <v>8</v>
      </c>
    </row>
    <row r="42" spans="1:16">
      <c r="A42" t="s">
        <v>401</v>
      </c>
      <c r="B42">
        <v>39</v>
      </c>
      <c r="C42">
        <v>211</v>
      </c>
      <c r="D42">
        <v>167</v>
      </c>
      <c r="E42">
        <v>89</v>
      </c>
      <c r="F42">
        <v>54</v>
      </c>
      <c r="G42">
        <v>88</v>
      </c>
      <c r="H42">
        <v>270.10000000000002</v>
      </c>
      <c r="I42" s="14">
        <v>392.08654654670096</v>
      </c>
      <c r="J42">
        <v>92</v>
      </c>
      <c r="K42">
        <v>41</v>
      </c>
      <c r="L42">
        <v>108</v>
      </c>
      <c r="M42">
        <v>52</v>
      </c>
      <c r="N42" s="143" t="e">
        <v>#DIV/0!</v>
      </c>
      <c r="O42" s="143" t="e">
        <v>#DIV/0!</v>
      </c>
      <c r="P42">
        <v>9</v>
      </c>
    </row>
    <row r="43" spans="1:16">
      <c r="A43" t="s">
        <v>183</v>
      </c>
      <c r="B43">
        <v>173</v>
      </c>
      <c r="C43">
        <v>126</v>
      </c>
      <c r="D43">
        <v>54</v>
      </c>
      <c r="E43">
        <v>93</v>
      </c>
      <c r="F43">
        <v>78</v>
      </c>
      <c r="G43">
        <v>71</v>
      </c>
      <c r="H43">
        <v>272.89999999999998</v>
      </c>
      <c r="I43" s="14">
        <v>342.11698651887804</v>
      </c>
      <c r="J43">
        <v>94.5</v>
      </c>
      <c r="K43">
        <v>43</v>
      </c>
      <c r="L43">
        <v>76</v>
      </c>
      <c r="M43">
        <v>36</v>
      </c>
      <c r="N43" s="143" t="e">
        <v>#DIV/0!</v>
      </c>
      <c r="O43" s="143" t="e">
        <v>#DIV/0!</v>
      </c>
      <c r="P43">
        <v>9</v>
      </c>
    </row>
    <row r="44" spans="1:16">
      <c r="A44" t="s">
        <v>86</v>
      </c>
      <c r="B44">
        <v>109</v>
      </c>
      <c r="C44">
        <v>81</v>
      </c>
      <c r="D44">
        <v>161</v>
      </c>
      <c r="E44">
        <v>114</v>
      </c>
      <c r="F44">
        <v>28</v>
      </c>
      <c r="G44">
        <v>76</v>
      </c>
      <c r="H44">
        <v>272.89999999999998</v>
      </c>
      <c r="I44" s="14">
        <v>357.77163604934924</v>
      </c>
      <c r="J44">
        <v>94.5</v>
      </c>
      <c r="K44">
        <v>42</v>
      </c>
      <c r="L44">
        <v>88</v>
      </c>
      <c r="M44">
        <v>42</v>
      </c>
      <c r="N44" s="143" t="e">
        <v>#DIV/0!</v>
      </c>
      <c r="O44" s="143" t="e">
        <v>#DIV/0!</v>
      </c>
      <c r="P44">
        <v>10</v>
      </c>
    </row>
    <row r="45" spans="1:16">
      <c r="A45" t="s">
        <v>188</v>
      </c>
      <c r="B45">
        <v>217</v>
      </c>
      <c r="C45">
        <v>60</v>
      </c>
      <c r="D45">
        <v>86</v>
      </c>
      <c r="E45">
        <v>106</v>
      </c>
      <c r="F45">
        <v>6</v>
      </c>
      <c r="G45">
        <v>57</v>
      </c>
      <c r="H45">
        <v>275.5</v>
      </c>
      <c r="I45" s="14">
        <v>320.25624846633127</v>
      </c>
      <c r="J45">
        <v>99</v>
      </c>
      <c r="K45">
        <v>44</v>
      </c>
      <c r="L45">
        <v>66</v>
      </c>
      <c r="M45">
        <v>29</v>
      </c>
      <c r="N45" s="143" t="e">
        <v>#DIV/0!</v>
      </c>
      <c r="O45" s="143" t="e">
        <v>#DIV/0!</v>
      </c>
      <c r="P45">
        <v>9</v>
      </c>
    </row>
    <row r="46" spans="1:16">
      <c r="A46" t="s">
        <v>179</v>
      </c>
      <c r="B46">
        <v>169</v>
      </c>
      <c r="C46">
        <v>57</v>
      </c>
      <c r="D46">
        <v>39</v>
      </c>
      <c r="E46">
        <v>90</v>
      </c>
      <c r="F46">
        <v>158</v>
      </c>
      <c r="G46">
        <v>96</v>
      </c>
      <c r="H46">
        <v>277.7</v>
      </c>
      <c r="I46" s="14">
        <v>358.65304915780337</v>
      </c>
      <c r="J46">
        <v>102</v>
      </c>
      <c r="K46">
        <v>45</v>
      </c>
      <c r="L46">
        <v>89</v>
      </c>
      <c r="M46">
        <v>43</v>
      </c>
      <c r="N46" s="143" t="e">
        <v>#DIV/0!</v>
      </c>
      <c r="O46" s="143" t="e">
        <v>#DIV/0!</v>
      </c>
      <c r="P46">
        <v>7</v>
      </c>
    </row>
    <row r="47" spans="1:16">
      <c r="A47" t="s">
        <v>58</v>
      </c>
      <c r="B47">
        <v>58</v>
      </c>
      <c r="C47">
        <v>143</v>
      </c>
      <c r="D47">
        <v>104</v>
      </c>
      <c r="E47">
        <v>131</v>
      </c>
      <c r="F47">
        <v>141</v>
      </c>
      <c r="G47">
        <v>101</v>
      </c>
      <c r="H47">
        <v>279.20000000000005</v>
      </c>
      <c r="I47" s="14">
        <v>400.61963128037905</v>
      </c>
      <c r="J47">
        <v>103</v>
      </c>
      <c r="K47">
        <v>46</v>
      </c>
      <c r="L47">
        <v>113</v>
      </c>
      <c r="M47">
        <v>54</v>
      </c>
      <c r="N47" s="143" t="e">
        <v>#DIV/0!</v>
      </c>
      <c r="O47" s="143" t="e">
        <v>#DIV/0!</v>
      </c>
      <c r="P47">
        <v>7</v>
      </c>
    </row>
    <row r="48" spans="1:16">
      <c r="A48" t="s">
        <v>242</v>
      </c>
      <c r="B48">
        <v>144</v>
      </c>
      <c r="C48">
        <v>1</v>
      </c>
      <c r="D48">
        <v>168</v>
      </c>
      <c r="E48">
        <v>110</v>
      </c>
      <c r="F48">
        <v>36</v>
      </c>
      <c r="G48">
        <v>105</v>
      </c>
      <c r="H48">
        <v>280.7</v>
      </c>
      <c r="I48" s="14">
        <v>377.5451916598148</v>
      </c>
      <c r="J48">
        <v>104</v>
      </c>
      <c r="K48">
        <v>47</v>
      </c>
      <c r="L48">
        <v>98</v>
      </c>
      <c r="M48">
        <v>48</v>
      </c>
      <c r="N48" s="143" t="e">
        <v>#DIV/0!</v>
      </c>
      <c r="O48" s="143" t="e">
        <v>#DIV/0!</v>
      </c>
      <c r="P48">
        <v>73</v>
      </c>
    </row>
    <row r="49" spans="1:16">
      <c r="A49" t="s">
        <v>152</v>
      </c>
      <c r="B49">
        <v>177</v>
      </c>
      <c r="C49">
        <v>37</v>
      </c>
      <c r="D49">
        <v>5</v>
      </c>
      <c r="E49">
        <v>129</v>
      </c>
      <c r="F49">
        <v>182</v>
      </c>
      <c r="G49">
        <v>63</v>
      </c>
      <c r="H49">
        <v>281.10000000000002</v>
      </c>
      <c r="I49" s="14">
        <v>327.10074431490926</v>
      </c>
      <c r="J49">
        <v>105</v>
      </c>
      <c r="K49">
        <v>48</v>
      </c>
      <c r="L49">
        <v>68</v>
      </c>
      <c r="M49">
        <v>31</v>
      </c>
      <c r="N49" s="143" t="e">
        <v>#DIV/0!</v>
      </c>
      <c r="O49" s="143" t="e">
        <v>#DIV/0!</v>
      </c>
      <c r="P49">
        <v>8</v>
      </c>
    </row>
    <row r="50" spans="1:16">
      <c r="A50" t="s">
        <v>148</v>
      </c>
      <c r="B50">
        <v>168</v>
      </c>
      <c r="C50">
        <v>45</v>
      </c>
      <c r="D50">
        <v>11</v>
      </c>
      <c r="E50">
        <v>162</v>
      </c>
      <c r="F50">
        <v>156</v>
      </c>
      <c r="G50">
        <v>72</v>
      </c>
      <c r="H50">
        <v>281.59999999999997</v>
      </c>
      <c r="I50" s="14">
        <v>343.78832066589973</v>
      </c>
      <c r="J50">
        <v>107</v>
      </c>
      <c r="K50">
        <v>49</v>
      </c>
      <c r="L50">
        <v>77</v>
      </c>
      <c r="M50">
        <v>37</v>
      </c>
      <c r="N50" s="143" t="e">
        <v>#DIV/0!</v>
      </c>
      <c r="O50" s="143" t="e">
        <v>#DIV/0!</v>
      </c>
      <c r="P50">
        <v>9</v>
      </c>
    </row>
    <row r="51" spans="1:16">
      <c r="A51" t="s">
        <v>144</v>
      </c>
      <c r="B51">
        <v>186</v>
      </c>
      <c r="C51">
        <v>25</v>
      </c>
      <c r="D51">
        <v>173</v>
      </c>
      <c r="E51">
        <v>16</v>
      </c>
      <c r="F51">
        <v>35</v>
      </c>
      <c r="G51">
        <v>58</v>
      </c>
      <c r="H51">
        <v>282.69999999999993</v>
      </c>
      <c r="I51" s="14">
        <v>320.01392791831523</v>
      </c>
      <c r="J51">
        <v>109</v>
      </c>
      <c r="K51">
        <v>50</v>
      </c>
      <c r="L51">
        <v>65</v>
      </c>
      <c r="M51">
        <v>28</v>
      </c>
      <c r="N51" s="143" t="e">
        <v>#DIV/0!</v>
      </c>
      <c r="O51" s="143" t="e">
        <v>#DIV/0!</v>
      </c>
      <c r="P51">
        <v>9</v>
      </c>
    </row>
    <row r="52" spans="1:16">
      <c r="A52" t="s">
        <v>157</v>
      </c>
      <c r="B52">
        <v>149</v>
      </c>
      <c r="C52">
        <v>65</v>
      </c>
      <c r="D52">
        <v>48</v>
      </c>
      <c r="E52">
        <v>118</v>
      </c>
      <c r="F52">
        <v>157</v>
      </c>
      <c r="G52">
        <v>114</v>
      </c>
      <c r="H52">
        <v>283.09999999999997</v>
      </c>
      <c r="I52" s="14">
        <v>389.3480972507212</v>
      </c>
      <c r="J52">
        <v>110</v>
      </c>
      <c r="K52">
        <v>51</v>
      </c>
      <c r="L52">
        <v>104</v>
      </c>
      <c r="M52">
        <v>51</v>
      </c>
      <c r="N52" s="143" t="e">
        <v>#DIV/0!</v>
      </c>
      <c r="O52" s="143" t="e">
        <v>#DIV/0!</v>
      </c>
      <c r="P52">
        <v>6</v>
      </c>
    </row>
    <row r="53" spans="1:16">
      <c r="A53" t="s">
        <v>36</v>
      </c>
      <c r="B53">
        <v>88</v>
      </c>
      <c r="C53">
        <v>182</v>
      </c>
      <c r="D53">
        <v>60</v>
      </c>
      <c r="E53">
        <v>186</v>
      </c>
      <c r="F53">
        <v>103</v>
      </c>
      <c r="G53">
        <v>92</v>
      </c>
      <c r="H53">
        <v>284.10000000000002</v>
      </c>
      <c r="I53" s="14">
        <v>403.57593400323452</v>
      </c>
      <c r="J53">
        <v>112</v>
      </c>
      <c r="K53">
        <v>52</v>
      </c>
      <c r="L53">
        <v>115</v>
      </c>
      <c r="M53">
        <v>56</v>
      </c>
      <c r="N53" s="143" t="e">
        <v>#DIV/0!</v>
      </c>
      <c r="O53" s="143" t="e">
        <v>#DIV/0!</v>
      </c>
      <c r="P53">
        <v>8</v>
      </c>
    </row>
    <row r="54" spans="1:16">
      <c r="A54" t="s">
        <v>29</v>
      </c>
      <c r="B54">
        <v>55</v>
      </c>
      <c r="C54">
        <v>73</v>
      </c>
      <c r="D54">
        <v>119</v>
      </c>
      <c r="E54">
        <v>151</v>
      </c>
      <c r="F54">
        <v>161</v>
      </c>
      <c r="G54">
        <v>138</v>
      </c>
      <c r="H54">
        <v>284.60000000000002</v>
      </c>
      <c r="I54" s="14">
        <v>435.29448711953501</v>
      </c>
      <c r="J54">
        <v>113</v>
      </c>
      <c r="K54">
        <v>53</v>
      </c>
      <c r="L54">
        <v>129</v>
      </c>
      <c r="M54">
        <v>66</v>
      </c>
      <c r="N54" s="143" t="e">
        <v>#DIV/0!</v>
      </c>
      <c r="O54" s="143" t="e">
        <v>#DIV/0!</v>
      </c>
      <c r="P54">
        <v>39</v>
      </c>
    </row>
    <row r="55" spans="1:16">
      <c r="A55" t="s">
        <v>64</v>
      </c>
      <c r="B55">
        <v>105</v>
      </c>
      <c r="C55">
        <v>209</v>
      </c>
      <c r="D55">
        <v>35</v>
      </c>
      <c r="E55">
        <v>95</v>
      </c>
      <c r="F55">
        <v>172</v>
      </c>
      <c r="G55">
        <v>68</v>
      </c>
      <c r="H55">
        <v>284.7</v>
      </c>
      <c r="I55" s="14">
        <v>368.25356705680809</v>
      </c>
      <c r="J55">
        <v>114</v>
      </c>
      <c r="K55">
        <v>54</v>
      </c>
      <c r="L55">
        <v>95</v>
      </c>
      <c r="M55">
        <v>46</v>
      </c>
      <c r="N55" s="143" t="e">
        <v>#DIV/0!</v>
      </c>
      <c r="O55" s="143" t="e">
        <v>#DIV/0!</v>
      </c>
      <c r="P55">
        <v>9</v>
      </c>
    </row>
    <row r="56" spans="1:16">
      <c r="A56" t="s">
        <v>386</v>
      </c>
      <c r="B56">
        <v>171</v>
      </c>
      <c r="C56">
        <v>7</v>
      </c>
      <c r="D56">
        <v>133</v>
      </c>
      <c r="E56">
        <v>65</v>
      </c>
      <c r="F56">
        <v>90</v>
      </c>
      <c r="G56">
        <v>143</v>
      </c>
      <c r="H56">
        <v>285.89999999999998</v>
      </c>
      <c r="I56" s="14">
        <v>409.5162020493114</v>
      </c>
      <c r="J56">
        <v>115</v>
      </c>
      <c r="K56">
        <v>55</v>
      </c>
      <c r="L56">
        <v>118</v>
      </c>
      <c r="M56">
        <v>57</v>
      </c>
      <c r="N56" s="143" t="e">
        <v>#DIV/0!</v>
      </c>
      <c r="O56" s="143" t="e">
        <v>#DIV/0!</v>
      </c>
      <c r="P56">
        <v>43</v>
      </c>
    </row>
    <row r="57" spans="1:16">
      <c r="A57" t="s">
        <v>52</v>
      </c>
      <c r="B57">
        <v>188</v>
      </c>
      <c r="C57">
        <v>99</v>
      </c>
      <c r="D57">
        <v>145</v>
      </c>
      <c r="E57">
        <v>6</v>
      </c>
      <c r="F57">
        <v>48</v>
      </c>
      <c r="G57">
        <v>83</v>
      </c>
      <c r="H57">
        <v>289.19999999999993</v>
      </c>
      <c r="I57" s="14">
        <v>359.1369997446435</v>
      </c>
      <c r="J57">
        <v>121</v>
      </c>
      <c r="K57">
        <v>56</v>
      </c>
      <c r="L57">
        <v>90</v>
      </c>
      <c r="M57">
        <v>44</v>
      </c>
      <c r="N57" s="143" t="e">
        <v>#DIV/0!</v>
      </c>
      <c r="O57" s="143" t="e">
        <v>#DIV/0!</v>
      </c>
      <c r="P57">
        <v>9</v>
      </c>
    </row>
    <row r="58" spans="1:16">
      <c r="A58" t="s">
        <v>413</v>
      </c>
      <c r="B58">
        <v>115</v>
      </c>
      <c r="C58">
        <v>175</v>
      </c>
      <c r="D58">
        <v>59</v>
      </c>
      <c r="E58">
        <v>109</v>
      </c>
      <c r="F58">
        <v>143</v>
      </c>
      <c r="G58">
        <v>136</v>
      </c>
      <c r="H58">
        <v>289.39999999999998</v>
      </c>
      <c r="I58" s="14">
        <v>438.06654594660415</v>
      </c>
      <c r="J58">
        <v>122</v>
      </c>
      <c r="K58">
        <v>57</v>
      </c>
      <c r="L58">
        <v>130</v>
      </c>
      <c r="M58">
        <v>67</v>
      </c>
      <c r="N58" s="143" t="e">
        <v>#DIV/0!</v>
      </c>
      <c r="O58" s="143" t="e">
        <v>#DIV/0!</v>
      </c>
      <c r="P58">
        <v>8</v>
      </c>
    </row>
    <row r="59" spans="1:16">
      <c r="A59" t="s">
        <v>181</v>
      </c>
      <c r="B59">
        <v>146</v>
      </c>
      <c r="C59">
        <v>32</v>
      </c>
      <c r="D59">
        <v>46</v>
      </c>
      <c r="E59">
        <v>104</v>
      </c>
      <c r="F59">
        <v>209</v>
      </c>
      <c r="G59">
        <v>150</v>
      </c>
      <c r="H59">
        <v>290.09999999999997</v>
      </c>
      <c r="I59" s="14">
        <v>424.39024820349215</v>
      </c>
      <c r="J59">
        <v>123</v>
      </c>
      <c r="K59">
        <v>58</v>
      </c>
      <c r="L59">
        <v>124</v>
      </c>
      <c r="M59">
        <v>62</v>
      </c>
      <c r="N59" s="143" t="e">
        <v>#DIV/0!</v>
      </c>
      <c r="O59" s="143" t="e">
        <v>#DIV/0!</v>
      </c>
      <c r="P59">
        <v>10</v>
      </c>
    </row>
    <row r="60" spans="1:16">
      <c r="A60" t="s">
        <v>127</v>
      </c>
      <c r="B60">
        <v>203</v>
      </c>
      <c r="C60">
        <v>68</v>
      </c>
      <c r="D60">
        <v>80</v>
      </c>
      <c r="E60">
        <v>40</v>
      </c>
      <c r="F60">
        <v>113</v>
      </c>
      <c r="G60">
        <v>74</v>
      </c>
      <c r="H60">
        <v>291</v>
      </c>
      <c r="I60" s="14">
        <v>344.23976554190085</v>
      </c>
      <c r="J60">
        <v>124</v>
      </c>
      <c r="K60">
        <v>59</v>
      </c>
      <c r="L60">
        <v>79</v>
      </c>
      <c r="M60">
        <v>38</v>
      </c>
      <c r="N60" s="143" t="e">
        <v>#DIV/0!</v>
      </c>
      <c r="O60" s="143" t="e">
        <v>#DIV/0!</v>
      </c>
      <c r="P60">
        <v>9</v>
      </c>
    </row>
    <row r="61" spans="1:16">
      <c r="A61" t="s">
        <v>115</v>
      </c>
      <c r="B61">
        <v>185</v>
      </c>
      <c r="C61">
        <v>6</v>
      </c>
      <c r="D61">
        <v>220</v>
      </c>
      <c r="E61">
        <v>5</v>
      </c>
      <c r="F61">
        <v>15</v>
      </c>
      <c r="G61">
        <v>159</v>
      </c>
      <c r="H61">
        <v>294.8</v>
      </c>
      <c r="I61" s="14">
        <v>431.59595279711311</v>
      </c>
      <c r="J61">
        <v>128</v>
      </c>
      <c r="K61">
        <v>60</v>
      </c>
      <c r="L61">
        <v>127</v>
      </c>
      <c r="M61">
        <v>64</v>
      </c>
      <c r="N61" s="143" t="e">
        <v>#DIV/0!</v>
      </c>
      <c r="O61" s="143" t="e">
        <v>#DIV/0!</v>
      </c>
      <c r="P61" t="e">
        <v>#N/A</v>
      </c>
    </row>
    <row r="62" spans="1:16">
      <c r="A62" t="s">
        <v>415</v>
      </c>
      <c r="B62">
        <v>138</v>
      </c>
      <c r="C62">
        <v>193</v>
      </c>
      <c r="D62">
        <v>90</v>
      </c>
      <c r="E62">
        <v>139</v>
      </c>
      <c r="F62">
        <v>49</v>
      </c>
      <c r="G62">
        <v>117</v>
      </c>
      <c r="H62">
        <v>297.60000000000002</v>
      </c>
      <c r="I62" s="14">
        <v>434.35668617207693</v>
      </c>
      <c r="J62">
        <v>129</v>
      </c>
      <c r="K62">
        <v>61</v>
      </c>
      <c r="L62">
        <v>128</v>
      </c>
      <c r="M62">
        <v>65</v>
      </c>
      <c r="N62" s="143" t="e">
        <v>#DIV/0!</v>
      </c>
      <c r="O62" s="143" t="e">
        <v>#DIV/0!</v>
      </c>
      <c r="P62">
        <v>7</v>
      </c>
    </row>
    <row r="63" spans="1:16">
      <c r="A63" t="s">
        <v>189</v>
      </c>
      <c r="B63">
        <v>177</v>
      </c>
      <c r="C63">
        <v>54</v>
      </c>
      <c r="D63">
        <v>112</v>
      </c>
      <c r="E63">
        <v>21</v>
      </c>
      <c r="F63">
        <v>145</v>
      </c>
      <c r="G63">
        <v>109</v>
      </c>
      <c r="H63">
        <v>299.39999999999998</v>
      </c>
      <c r="I63" s="14">
        <v>387.07905053131452</v>
      </c>
      <c r="J63">
        <v>130</v>
      </c>
      <c r="K63">
        <v>62</v>
      </c>
      <c r="L63">
        <v>102</v>
      </c>
      <c r="M63">
        <v>49</v>
      </c>
      <c r="N63" s="143" t="e">
        <v>#DIV/0!</v>
      </c>
      <c r="O63" s="143" t="e">
        <v>#DIV/0!</v>
      </c>
      <c r="P63">
        <v>7</v>
      </c>
    </row>
    <row r="64" spans="1:16">
      <c r="A64" t="s">
        <v>128</v>
      </c>
      <c r="B64">
        <v>70</v>
      </c>
      <c r="C64">
        <v>76</v>
      </c>
      <c r="D64">
        <v>149</v>
      </c>
      <c r="E64">
        <v>149</v>
      </c>
      <c r="F64">
        <v>130</v>
      </c>
      <c r="G64">
        <v>132</v>
      </c>
      <c r="H64">
        <v>300.7</v>
      </c>
      <c r="I64" s="14">
        <v>445.46885869270608</v>
      </c>
      <c r="J64">
        <v>131</v>
      </c>
      <c r="K64">
        <v>63</v>
      </c>
      <c r="L64">
        <v>132</v>
      </c>
      <c r="M64">
        <v>69</v>
      </c>
      <c r="N64" s="143" t="e">
        <v>#DIV/0!</v>
      </c>
      <c r="O64" s="143" t="e">
        <v>#DIV/0!</v>
      </c>
      <c r="P64">
        <v>-3</v>
      </c>
    </row>
    <row r="65" spans="1:16">
      <c r="A65" t="s">
        <v>20</v>
      </c>
      <c r="B65">
        <v>3</v>
      </c>
      <c r="C65">
        <v>193</v>
      </c>
      <c r="D65">
        <v>99</v>
      </c>
      <c r="E65">
        <v>159</v>
      </c>
      <c r="F65">
        <v>216</v>
      </c>
      <c r="G65">
        <v>189</v>
      </c>
      <c r="H65">
        <v>300.89999999999998</v>
      </c>
      <c r="I65" s="14">
        <v>524.96792051819614</v>
      </c>
      <c r="J65">
        <v>133</v>
      </c>
      <c r="K65">
        <v>64</v>
      </c>
      <c r="L65">
        <v>172</v>
      </c>
      <c r="M65">
        <v>88</v>
      </c>
      <c r="N65" s="143" t="e">
        <v>#DIV/0!</v>
      </c>
      <c r="O65" s="143" t="e">
        <v>#DIV/0!</v>
      </c>
      <c r="P65">
        <v>14</v>
      </c>
    </row>
    <row r="66" spans="1:16">
      <c r="A66" t="s">
        <v>420</v>
      </c>
      <c r="B66">
        <v>190</v>
      </c>
      <c r="C66">
        <v>193</v>
      </c>
      <c r="D66">
        <v>7</v>
      </c>
      <c r="E66">
        <v>11</v>
      </c>
      <c r="F66">
        <v>203</v>
      </c>
      <c r="G66">
        <v>119</v>
      </c>
      <c r="H66">
        <v>301.70000000000005</v>
      </c>
      <c r="I66" s="14">
        <v>410.34500938338141</v>
      </c>
      <c r="J66">
        <v>134</v>
      </c>
      <c r="K66">
        <v>65</v>
      </c>
      <c r="L66">
        <v>119</v>
      </c>
      <c r="M66">
        <v>58</v>
      </c>
      <c r="N66" s="143" t="e">
        <v>#DIV/0!</v>
      </c>
      <c r="O66" s="143" t="e">
        <v>#DIV/0!</v>
      </c>
      <c r="P66">
        <v>8</v>
      </c>
    </row>
    <row r="67" spans="1:16">
      <c r="A67" t="s">
        <v>423</v>
      </c>
      <c r="B67">
        <v>211</v>
      </c>
      <c r="C67">
        <v>101</v>
      </c>
      <c r="D67">
        <v>30</v>
      </c>
      <c r="E67">
        <v>28</v>
      </c>
      <c r="F67">
        <v>184</v>
      </c>
      <c r="G67">
        <v>75</v>
      </c>
      <c r="H67">
        <v>302.2</v>
      </c>
      <c r="I67" s="14">
        <v>354.07409677959828</v>
      </c>
      <c r="J67">
        <v>135</v>
      </c>
      <c r="K67">
        <v>66</v>
      </c>
      <c r="L67">
        <v>86</v>
      </c>
      <c r="M67">
        <v>41</v>
      </c>
      <c r="N67" s="143" t="e">
        <v>#DIV/0!</v>
      </c>
      <c r="O67" s="143" t="e">
        <v>#DIV/0!</v>
      </c>
      <c r="P67">
        <v>10</v>
      </c>
    </row>
    <row r="68" spans="1:16">
      <c r="A68" t="s">
        <v>65</v>
      </c>
      <c r="B68">
        <v>61</v>
      </c>
      <c r="C68">
        <v>83</v>
      </c>
      <c r="D68">
        <v>111</v>
      </c>
      <c r="E68">
        <v>215</v>
      </c>
      <c r="F68">
        <v>145</v>
      </c>
      <c r="G68">
        <v>177</v>
      </c>
      <c r="H68">
        <v>303.79999999999995</v>
      </c>
      <c r="I68" s="14">
        <v>501.02126850974423</v>
      </c>
      <c r="J68">
        <v>136</v>
      </c>
      <c r="K68">
        <v>67</v>
      </c>
      <c r="L68">
        <v>158</v>
      </c>
      <c r="M68">
        <v>81</v>
      </c>
      <c r="N68" s="143" t="e">
        <v>#DIV/0!</v>
      </c>
      <c r="O68" s="143" t="e">
        <v>#DIV/0!</v>
      </c>
      <c r="P68">
        <v>16</v>
      </c>
    </row>
    <row r="69" spans="1:16">
      <c r="A69" t="s">
        <v>168</v>
      </c>
      <c r="B69">
        <v>160</v>
      </c>
      <c r="C69">
        <v>22</v>
      </c>
      <c r="D69">
        <v>112</v>
      </c>
      <c r="E69">
        <v>150</v>
      </c>
      <c r="F69">
        <v>100</v>
      </c>
      <c r="G69">
        <v>148</v>
      </c>
      <c r="H69">
        <v>307</v>
      </c>
      <c r="I69" s="14">
        <v>447.07075745624081</v>
      </c>
      <c r="J69">
        <v>138</v>
      </c>
      <c r="K69">
        <v>68</v>
      </c>
      <c r="L69">
        <v>134</v>
      </c>
      <c r="M69">
        <v>71</v>
      </c>
      <c r="N69" s="143" t="e">
        <v>#DIV/0!</v>
      </c>
      <c r="O69" s="143" t="e">
        <v>#DIV/0!</v>
      </c>
      <c r="P69">
        <v>9</v>
      </c>
    </row>
    <row r="70" spans="1:16">
      <c r="A70" t="s">
        <v>87</v>
      </c>
      <c r="B70">
        <v>66</v>
      </c>
      <c r="C70">
        <v>187</v>
      </c>
      <c r="D70">
        <v>74</v>
      </c>
      <c r="E70">
        <v>135</v>
      </c>
      <c r="F70">
        <v>200</v>
      </c>
      <c r="G70">
        <v>108</v>
      </c>
      <c r="H70">
        <v>308.10000000000002</v>
      </c>
      <c r="I70" s="14">
        <v>438.35284764115079</v>
      </c>
      <c r="J70">
        <v>139</v>
      </c>
      <c r="K70">
        <v>69</v>
      </c>
      <c r="L70">
        <v>131</v>
      </c>
      <c r="M70">
        <v>68</v>
      </c>
      <c r="N70" s="143" t="e">
        <v>#DIV/0!</v>
      </c>
      <c r="O70" s="143" t="e">
        <v>#DIV/0!</v>
      </c>
      <c r="P70">
        <v>7</v>
      </c>
    </row>
    <row r="71" spans="1:16">
      <c r="A71" t="s">
        <v>174</v>
      </c>
      <c r="B71">
        <v>124</v>
      </c>
      <c r="C71">
        <v>140</v>
      </c>
      <c r="D71">
        <v>155</v>
      </c>
      <c r="E71">
        <v>143</v>
      </c>
      <c r="F71">
        <v>29</v>
      </c>
      <c r="G71">
        <v>142</v>
      </c>
      <c r="H71">
        <v>309</v>
      </c>
      <c r="I71" s="14">
        <v>468.50251164764381</v>
      </c>
      <c r="J71">
        <v>140</v>
      </c>
      <c r="K71">
        <v>70</v>
      </c>
      <c r="L71">
        <v>146</v>
      </c>
      <c r="M71">
        <v>76</v>
      </c>
      <c r="N71" s="143" t="e">
        <v>#DIV/0!</v>
      </c>
      <c r="O71" s="143" t="e">
        <v>#DIV/0!</v>
      </c>
      <c r="P71">
        <v>9</v>
      </c>
    </row>
    <row r="72" spans="1:16">
      <c r="A72" t="s">
        <v>186</v>
      </c>
      <c r="B72">
        <v>137</v>
      </c>
      <c r="C72">
        <v>96</v>
      </c>
      <c r="D72">
        <v>150</v>
      </c>
      <c r="E72">
        <v>108</v>
      </c>
      <c r="F72">
        <v>83</v>
      </c>
      <c r="G72">
        <v>155</v>
      </c>
      <c r="H72">
        <v>314.39999999999998</v>
      </c>
      <c r="I72" s="14">
        <v>472.66458172486927</v>
      </c>
      <c r="J72">
        <v>142</v>
      </c>
      <c r="K72">
        <v>71</v>
      </c>
      <c r="L72">
        <v>147</v>
      </c>
      <c r="M72">
        <v>77</v>
      </c>
      <c r="N72" s="143" t="e">
        <v>#DIV/0!</v>
      </c>
      <c r="O72" s="143" t="e">
        <v>#DIV/0!</v>
      </c>
      <c r="P72">
        <v>10</v>
      </c>
    </row>
    <row r="73" spans="1:16">
      <c r="A73" t="s">
        <v>142</v>
      </c>
      <c r="B73">
        <v>159</v>
      </c>
      <c r="C73">
        <v>204</v>
      </c>
      <c r="D73">
        <v>49</v>
      </c>
      <c r="E73">
        <v>41</v>
      </c>
      <c r="F73">
        <v>183</v>
      </c>
      <c r="G73">
        <v>103</v>
      </c>
      <c r="H73">
        <v>314.70000000000005</v>
      </c>
      <c r="I73" s="14">
        <v>418.63005147233753</v>
      </c>
      <c r="J73">
        <v>143</v>
      </c>
      <c r="K73">
        <v>72</v>
      </c>
      <c r="L73">
        <v>121</v>
      </c>
      <c r="M73">
        <v>60</v>
      </c>
      <c r="N73" s="143" t="e">
        <v>#DIV/0!</v>
      </c>
      <c r="O73" s="143" t="e">
        <v>#DIV/0!</v>
      </c>
      <c r="P73">
        <v>8</v>
      </c>
    </row>
    <row r="74" spans="1:16">
      <c r="A74" t="s">
        <v>246</v>
      </c>
      <c r="B74">
        <v>135</v>
      </c>
      <c r="C74">
        <v>43</v>
      </c>
      <c r="D74">
        <v>117</v>
      </c>
      <c r="E74">
        <v>155</v>
      </c>
      <c r="F74">
        <v>127</v>
      </c>
      <c r="G74">
        <v>163</v>
      </c>
      <c r="H74">
        <v>314.8</v>
      </c>
      <c r="I74" s="14">
        <v>476.00588219034233</v>
      </c>
      <c r="J74">
        <v>144</v>
      </c>
      <c r="K74">
        <v>73</v>
      </c>
      <c r="L74">
        <v>151</v>
      </c>
      <c r="M74">
        <v>78</v>
      </c>
      <c r="N74" s="143" t="e">
        <v>#DIV/0!</v>
      </c>
      <c r="O74" s="143" t="e">
        <v>#DIV/0!</v>
      </c>
      <c r="P74">
        <v>10</v>
      </c>
    </row>
    <row r="75" spans="1:16">
      <c r="A75" t="s">
        <v>393</v>
      </c>
      <c r="B75">
        <v>119</v>
      </c>
      <c r="C75">
        <v>120</v>
      </c>
      <c r="D75">
        <v>152</v>
      </c>
      <c r="E75">
        <v>65</v>
      </c>
      <c r="F75">
        <v>136</v>
      </c>
      <c r="G75">
        <v>128</v>
      </c>
      <c r="H75">
        <v>319.7</v>
      </c>
      <c r="I75" s="14">
        <v>450.2842216519208</v>
      </c>
      <c r="J75">
        <v>146</v>
      </c>
      <c r="K75">
        <v>74</v>
      </c>
      <c r="L75">
        <v>135</v>
      </c>
      <c r="M75">
        <v>72</v>
      </c>
      <c r="N75" s="143" t="e">
        <v>#DIV/0!</v>
      </c>
      <c r="O75" s="143" t="e">
        <v>#DIV/0!</v>
      </c>
      <c r="P75">
        <v>7</v>
      </c>
    </row>
    <row r="76" spans="1:16">
      <c r="A76" t="s">
        <v>112</v>
      </c>
      <c r="B76">
        <v>166</v>
      </c>
      <c r="C76">
        <v>95</v>
      </c>
      <c r="D76">
        <v>160</v>
      </c>
      <c r="E76">
        <v>99</v>
      </c>
      <c r="F76">
        <v>47</v>
      </c>
      <c r="G76">
        <v>102</v>
      </c>
      <c r="H76">
        <v>319.8</v>
      </c>
      <c r="I76" s="14">
        <v>421.45932609656188</v>
      </c>
      <c r="J76">
        <v>147</v>
      </c>
      <c r="K76">
        <v>75</v>
      </c>
      <c r="L76">
        <v>122</v>
      </c>
      <c r="M76">
        <v>61</v>
      </c>
      <c r="N76" s="143" t="e">
        <v>#DIV/0!</v>
      </c>
      <c r="O76" s="143" t="e">
        <v>#DIV/0!</v>
      </c>
      <c r="P76">
        <v>7</v>
      </c>
    </row>
    <row r="77" spans="1:16">
      <c r="A77" t="s">
        <v>145</v>
      </c>
      <c r="B77">
        <v>107</v>
      </c>
      <c r="C77">
        <v>2</v>
      </c>
      <c r="D77">
        <v>103</v>
      </c>
      <c r="E77">
        <v>184</v>
      </c>
      <c r="F77">
        <v>206</v>
      </c>
      <c r="G77">
        <v>175</v>
      </c>
      <c r="H77">
        <v>324.2</v>
      </c>
      <c r="I77" s="14">
        <v>495.02597501791342</v>
      </c>
      <c r="J77">
        <v>150</v>
      </c>
      <c r="K77">
        <v>76</v>
      </c>
      <c r="L77">
        <v>156</v>
      </c>
      <c r="M77">
        <v>79</v>
      </c>
      <c r="N77" s="143" t="e">
        <v>#DIV/0!</v>
      </c>
      <c r="O77" s="143" t="e">
        <v>#DIV/0!</v>
      </c>
      <c r="P77">
        <v>-17</v>
      </c>
    </row>
    <row r="78" spans="1:16">
      <c r="A78" t="s">
        <v>222</v>
      </c>
      <c r="B78">
        <v>184</v>
      </c>
      <c r="C78">
        <v>124</v>
      </c>
      <c r="D78">
        <v>120</v>
      </c>
      <c r="E78">
        <v>44</v>
      </c>
      <c r="F78">
        <v>116</v>
      </c>
      <c r="G78">
        <v>151</v>
      </c>
      <c r="H78">
        <v>325.59999999999997</v>
      </c>
      <c r="I78" s="14">
        <v>467.76131681486396</v>
      </c>
      <c r="J78">
        <v>151</v>
      </c>
      <c r="K78">
        <v>77</v>
      </c>
      <c r="L78">
        <v>145</v>
      </c>
      <c r="M78">
        <v>75</v>
      </c>
      <c r="N78" s="143" t="e">
        <v>#DIV/0!</v>
      </c>
      <c r="O78" s="143" t="e">
        <v>#DIV/0!</v>
      </c>
      <c r="P78">
        <v>10</v>
      </c>
    </row>
    <row r="79" spans="1:16">
      <c r="A79" t="s">
        <v>118</v>
      </c>
      <c r="B79">
        <v>157</v>
      </c>
      <c r="C79">
        <v>138</v>
      </c>
      <c r="D79">
        <v>92</v>
      </c>
      <c r="E79">
        <v>157</v>
      </c>
      <c r="F79">
        <v>96</v>
      </c>
      <c r="G79">
        <v>129</v>
      </c>
      <c r="H79">
        <v>326.5</v>
      </c>
      <c r="I79" s="14">
        <v>464.47945765293434</v>
      </c>
      <c r="J79">
        <v>153</v>
      </c>
      <c r="K79">
        <v>78</v>
      </c>
      <c r="L79">
        <v>143</v>
      </c>
      <c r="M79">
        <v>73</v>
      </c>
      <c r="N79" s="143" t="e">
        <v>#DIV/0!</v>
      </c>
      <c r="O79" s="143" t="e">
        <v>#DIV/0!</v>
      </c>
      <c r="P79">
        <v>8</v>
      </c>
    </row>
    <row r="80" spans="1:16">
      <c r="A80" t="s">
        <v>146</v>
      </c>
      <c r="B80">
        <v>113</v>
      </c>
      <c r="C80">
        <v>162</v>
      </c>
      <c r="D80">
        <v>84</v>
      </c>
      <c r="E80">
        <v>205</v>
      </c>
      <c r="F80">
        <v>121</v>
      </c>
      <c r="G80">
        <v>160</v>
      </c>
      <c r="H80">
        <v>329</v>
      </c>
      <c r="I80" s="14">
        <v>511.59452655337788</v>
      </c>
      <c r="J80">
        <v>157</v>
      </c>
      <c r="K80">
        <v>79</v>
      </c>
      <c r="L80">
        <v>164</v>
      </c>
      <c r="M80">
        <v>86</v>
      </c>
      <c r="N80" s="143" t="e">
        <v>#DIV/0!</v>
      </c>
      <c r="O80" s="143" t="e">
        <v>#DIV/0!</v>
      </c>
      <c r="P80">
        <v>10</v>
      </c>
    </row>
    <row r="81" spans="1:16">
      <c r="A81" t="s">
        <v>53</v>
      </c>
      <c r="B81">
        <v>101</v>
      </c>
      <c r="C81">
        <v>82</v>
      </c>
      <c r="D81">
        <v>91</v>
      </c>
      <c r="E81">
        <v>188</v>
      </c>
      <c r="F81">
        <v>191</v>
      </c>
      <c r="G81">
        <v>196</v>
      </c>
      <c r="H81">
        <v>329.7</v>
      </c>
      <c r="I81" s="14">
        <v>534.30776881948987</v>
      </c>
      <c r="J81">
        <v>158</v>
      </c>
      <c r="K81">
        <v>80</v>
      </c>
      <c r="L81">
        <v>178</v>
      </c>
      <c r="M81">
        <v>90</v>
      </c>
      <c r="N81" s="143" t="e">
        <v>#DIV/0!</v>
      </c>
      <c r="O81" s="143" t="e">
        <v>#DIV/0!</v>
      </c>
      <c r="P81">
        <v>27</v>
      </c>
    </row>
    <row r="82" spans="1:16">
      <c r="A82" t="s">
        <v>414</v>
      </c>
      <c r="B82">
        <v>187</v>
      </c>
      <c r="C82">
        <v>218</v>
      </c>
      <c r="D82">
        <v>184</v>
      </c>
      <c r="E82">
        <v>1</v>
      </c>
      <c r="F82">
        <v>13</v>
      </c>
      <c r="G82">
        <v>7</v>
      </c>
      <c r="H82">
        <v>332</v>
      </c>
      <c r="I82" s="14">
        <v>344.61028428414369</v>
      </c>
      <c r="J82">
        <v>160</v>
      </c>
      <c r="K82">
        <v>81</v>
      </c>
      <c r="L82">
        <v>80</v>
      </c>
      <c r="M82">
        <v>39</v>
      </c>
      <c r="N82" s="143" t="e">
        <v>#DIV/0!</v>
      </c>
      <c r="O82" s="143" t="e">
        <v>#DIV/0!</v>
      </c>
      <c r="P82">
        <v>1</v>
      </c>
    </row>
    <row r="83" spans="1:16">
      <c r="A83" t="s">
        <v>247</v>
      </c>
      <c r="B83">
        <v>167</v>
      </c>
      <c r="C83">
        <v>156</v>
      </c>
      <c r="D83">
        <v>127</v>
      </c>
      <c r="E83">
        <v>75</v>
      </c>
      <c r="F83">
        <v>102</v>
      </c>
      <c r="G83">
        <v>169</v>
      </c>
      <c r="H83">
        <v>333.59999999999997</v>
      </c>
      <c r="I83" s="14">
        <v>504.76734983224907</v>
      </c>
      <c r="J83">
        <v>161</v>
      </c>
      <c r="K83">
        <v>82</v>
      </c>
      <c r="L83">
        <v>160</v>
      </c>
      <c r="M83">
        <v>82</v>
      </c>
      <c r="N83" s="143" t="e">
        <v>#DIV/0!</v>
      </c>
      <c r="O83" s="143" t="e">
        <v>#DIV/0!</v>
      </c>
      <c r="P83">
        <v>10</v>
      </c>
    </row>
    <row r="84" spans="1:16">
      <c r="A84" t="s">
        <v>134</v>
      </c>
      <c r="B84">
        <v>156</v>
      </c>
      <c r="C84">
        <v>113</v>
      </c>
      <c r="D84">
        <v>118</v>
      </c>
      <c r="E84">
        <v>106</v>
      </c>
      <c r="F84">
        <v>134</v>
      </c>
      <c r="G84">
        <v>130</v>
      </c>
      <c r="H84">
        <v>335.1</v>
      </c>
      <c r="I84" s="14">
        <v>464.48128957080837</v>
      </c>
      <c r="J84">
        <v>163</v>
      </c>
      <c r="K84">
        <v>83</v>
      </c>
      <c r="L84">
        <v>144</v>
      </c>
      <c r="M84">
        <v>74</v>
      </c>
      <c r="N84" s="143" t="e">
        <v>#DIV/0!</v>
      </c>
      <c r="O84" s="143" t="e">
        <v>#DIV/0!</v>
      </c>
      <c r="P84">
        <v>8</v>
      </c>
    </row>
    <row r="85" spans="1:16">
      <c r="A85" t="s">
        <v>100</v>
      </c>
      <c r="B85">
        <v>180</v>
      </c>
      <c r="C85">
        <v>112</v>
      </c>
      <c r="D85">
        <v>61</v>
      </c>
      <c r="E85">
        <v>192</v>
      </c>
      <c r="F85">
        <v>116</v>
      </c>
      <c r="G85">
        <v>106</v>
      </c>
      <c r="H85">
        <v>337.1</v>
      </c>
      <c r="I85" s="14">
        <v>446.84941546917315</v>
      </c>
      <c r="J85">
        <v>164</v>
      </c>
      <c r="K85">
        <v>84</v>
      </c>
      <c r="L85">
        <v>133</v>
      </c>
      <c r="M85">
        <v>70</v>
      </c>
      <c r="N85" s="143" t="e">
        <v>#DIV/0!</v>
      </c>
      <c r="O85" s="143" t="e">
        <v>#DIV/0!</v>
      </c>
      <c r="P85">
        <v>7</v>
      </c>
    </row>
    <row r="86" spans="1:16">
      <c r="A86" t="s">
        <v>126</v>
      </c>
      <c r="B86">
        <v>84</v>
      </c>
      <c r="C86">
        <v>84</v>
      </c>
      <c r="D86">
        <v>181</v>
      </c>
      <c r="E86">
        <v>57</v>
      </c>
      <c r="F86">
        <v>210</v>
      </c>
      <c r="G86">
        <v>202</v>
      </c>
      <c r="H86">
        <v>338.5</v>
      </c>
      <c r="I86" s="14">
        <v>539.98863392380554</v>
      </c>
      <c r="J86">
        <v>165</v>
      </c>
      <c r="K86">
        <v>85</v>
      </c>
      <c r="L86">
        <v>179</v>
      </c>
      <c r="M86">
        <v>91</v>
      </c>
      <c r="N86" s="143" t="e">
        <v>#N/A</v>
      </c>
      <c r="O86" s="143" t="e">
        <v>#N/A</v>
      </c>
      <c r="P86">
        <v>13</v>
      </c>
    </row>
    <row r="87" spans="1:16">
      <c r="A87" t="s">
        <v>221</v>
      </c>
      <c r="B87">
        <v>153</v>
      </c>
      <c r="C87">
        <v>22</v>
      </c>
      <c r="D87">
        <v>77</v>
      </c>
      <c r="E87">
        <v>194</v>
      </c>
      <c r="F87">
        <v>198</v>
      </c>
      <c r="G87">
        <v>173</v>
      </c>
      <c r="H87">
        <v>344.2</v>
      </c>
      <c r="I87" s="14">
        <v>509.49015856455276</v>
      </c>
      <c r="J87">
        <v>167</v>
      </c>
      <c r="K87">
        <v>86</v>
      </c>
      <c r="L87">
        <v>163</v>
      </c>
      <c r="M87">
        <v>85</v>
      </c>
      <c r="N87" s="143" t="e">
        <v>#DIV/0!</v>
      </c>
      <c r="O87" s="143" t="e">
        <v>#DIV/0!</v>
      </c>
      <c r="P87">
        <v>10</v>
      </c>
    </row>
    <row r="88" spans="1:16">
      <c r="A88" t="s">
        <v>54</v>
      </c>
      <c r="B88">
        <v>77</v>
      </c>
      <c r="C88">
        <v>217</v>
      </c>
      <c r="D88">
        <v>66</v>
      </c>
      <c r="E88">
        <v>212</v>
      </c>
      <c r="F88">
        <v>189</v>
      </c>
      <c r="G88">
        <v>198</v>
      </c>
      <c r="H88">
        <v>344.5</v>
      </c>
      <c r="I88" s="14">
        <v>575.37951671277006</v>
      </c>
      <c r="J88">
        <v>168</v>
      </c>
      <c r="K88">
        <v>87</v>
      </c>
      <c r="L88">
        <v>190</v>
      </c>
      <c r="M88">
        <v>97</v>
      </c>
      <c r="N88" s="143" t="e">
        <v>#DIV/0!</v>
      </c>
      <c r="O88" s="143" t="e">
        <v>#DIV/0!</v>
      </c>
      <c r="P88">
        <v>13</v>
      </c>
    </row>
    <row r="89" spans="1:16">
      <c r="A89" t="s">
        <v>170</v>
      </c>
      <c r="B89">
        <v>205</v>
      </c>
      <c r="C89">
        <v>61</v>
      </c>
      <c r="D89">
        <v>142</v>
      </c>
      <c r="E89">
        <v>134</v>
      </c>
      <c r="F89">
        <v>77</v>
      </c>
      <c r="G89">
        <v>153</v>
      </c>
      <c r="H89">
        <v>353.3</v>
      </c>
      <c r="I89" s="14">
        <v>497.03929407892417</v>
      </c>
      <c r="J89">
        <v>170</v>
      </c>
      <c r="K89">
        <v>88</v>
      </c>
      <c r="L89">
        <v>157</v>
      </c>
      <c r="M89">
        <v>80</v>
      </c>
      <c r="N89" s="143" t="e">
        <v>#DIV/0!</v>
      </c>
      <c r="O89" s="143" t="e">
        <v>#DIV/0!</v>
      </c>
      <c r="P89">
        <v>10</v>
      </c>
    </row>
    <row r="90" spans="1:16">
      <c r="A90" t="s">
        <v>236</v>
      </c>
      <c r="B90">
        <v>196</v>
      </c>
      <c r="C90">
        <v>30</v>
      </c>
      <c r="D90">
        <v>195</v>
      </c>
      <c r="E90">
        <v>120</v>
      </c>
      <c r="F90">
        <v>50</v>
      </c>
      <c r="G90">
        <v>162</v>
      </c>
      <c r="H90">
        <v>355.7</v>
      </c>
      <c r="I90" s="14">
        <v>506.64823930952281</v>
      </c>
      <c r="J90">
        <v>172</v>
      </c>
      <c r="K90">
        <v>89</v>
      </c>
      <c r="L90">
        <v>162</v>
      </c>
      <c r="M90">
        <v>84</v>
      </c>
      <c r="N90" s="143" t="e">
        <v>#DIV/0!</v>
      </c>
      <c r="O90" s="143" t="e">
        <v>#DIV/0!</v>
      </c>
      <c r="P90">
        <v>10</v>
      </c>
    </row>
    <row r="91" spans="1:16">
      <c r="A91" t="s">
        <v>191</v>
      </c>
      <c r="B91">
        <v>220</v>
      </c>
      <c r="C91">
        <v>12</v>
      </c>
      <c r="D91">
        <v>124</v>
      </c>
      <c r="E91">
        <v>111</v>
      </c>
      <c r="F91">
        <v>139</v>
      </c>
      <c r="G91">
        <v>171</v>
      </c>
      <c r="H91">
        <v>358.29999999999995</v>
      </c>
      <c r="I91" s="14">
        <v>505.33982739984782</v>
      </c>
      <c r="J91">
        <v>175</v>
      </c>
      <c r="K91">
        <v>90</v>
      </c>
      <c r="L91">
        <v>161</v>
      </c>
      <c r="M91">
        <v>83</v>
      </c>
      <c r="N91" s="143" t="e">
        <v>#DIV/0!</v>
      </c>
      <c r="O91" s="143" t="e">
        <v>#DIV/0!</v>
      </c>
      <c r="P91">
        <v>10</v>
      </c>
    </row>
    <row r="92" spans="1:16">
      <c r="A92" t="s">
        <v>403</v>
      </c>
      <c r="B92">
        <v>37</v>
      </c>
      <c r="C92">
        <v>184</v>
      </c>
      <c r="D92">
        <v>207</v>
      </c>
      <c r="E92">
        <v>196</v>
      </c>
      <c r="F92">
        <v>110</v>
      </c>
      <c r="G92">
        <v>203</v>
      </c>
      <c r="H92">
        <v>359.4</v>
      </c>
      <c r="I92" s="14">
        <v>602.31264223310563</v>
      </c>
      <c r="J92">
        <v>176</v>
      </c>
      <c r="K92">
        <v>91</v>
      </c>
      <c r="L92">
        <v>201</v>
      </c>
      <c r="M92">
        <v>103</v>
      </c>
      <c r="N92" s="143" t="e">
        <v>#DIV/0!</v>
      </c>
      <c r="O92" s="143" t="e">
        <v>#DIV/0!</v>
      </c>
      <c r="P92">
        <v>14</v>
      </c>
    </row>
    <row r="93" spans="1:16">
      <c r="A93" t="s">
        <v>220</v>
      </c>
      <c r="B93">
        <v>212</v>
      </c>
      <c r="C93">
        <v>122</v>
      </c>
      <c r="D93">
        <v>208</v>
      </c>
      <c r="E93">
        <v>53</v>
      </c>
      <c r="F93">
        <v>16</v>
      </c>
      <c r="G93">
        <v>176</v>
      </c>
      <c r="H93">
        <v>359.79999999999995</v>
      </c>
      <c r="I93" s="14">
        <v>530.06557622456353</v>
      </c>
      <c r="J93">
        <v>178</v>
      </c>
      <c r="K93">
        <v>92</v>
      </c>
      <c r="L93">
        <v>174</v>
      </c>
      <c r="M93">
        <v>89</v>
      </c>
      <c r="N93" s="143" t="e">
        <v>#DIV/0!</v>
      </c>
      <c r="O93" s="143" t="e">
        <v>#DIV/0!</v>
      </c>
      <c r="P93">
        <v>11</v>
      </c>
    </row>
    <row r="94" spans="1:16">
      <c r="A94" t="s">
        <v>405</v>
      </c>
      <c r="B94">
        <v>102</v>
      </c>
      <c r="C94">
        <v>206</v>
      </c>
      <c r="D94">
        <v>213</v>
      </c>
      <c r="E94">
        <v>113</v>
      </c>
      <c r="F94">
        <v>69</v>
      </c>
      <c r="G94">
        <v>192</v>
      </c>
      <c r="H94">
        <v>361.99999999999994</v>
      </c>
      <c r="I94" s="14">
        <v>580.55612177795888</v>
      </c>
      <c r="J94">
        <v>180</v>
      </c>
      <c r="K94">
        <v>93</v>
      </c>
      <c r="L94">
        <v>193</v>
      </c>
      <c r="M94">
        <v>99</v>
      </c>
      <c r="N94" s="143" t="e">
        <v>#DIV/0!</v>
      </c>
      <c r="O94" s="143" t="e">
        <v>#DIV/0!</v>
      </c>
      <c r="P94">
        <v>15</v>
      </c>
    </row>
    <row r="95" spans="1:16">
      <c r="A95" t="s">
        <v>243</v>
      </c>
      <c r="B95">
        <v>116</v>
      </c>
      <c r="C95">
        <v>141</v>
      </c>
      <c r="D95">
        <v>197</v>
      </c>
      <c r="E95">
        <v>39</v>
      </c>
      <c r="F95">
        <v>179</v>
      </c>
      <c r="G95">
        <v>191</v>
      </c>
      <c r="H95">
        <v>366.5</v>
      </c>
      <c r="I95" s="14">
        <v>559.95123177845801</v>
      </c>
      <c r="J95">
        <v>181</v>
      </c>
      <c r="K95">
        <v>94</v>
      </c>
      <c r="L95">
        <v>185</v>
      </c>
      <c r="M95">
        <v>94</v>
      </c>
      <c r="N95" s="143" t="e">
        <v>#DIV/0!</v>
      </c>
      <c r="O95" s="143" t="e">
        <v>#DIV/0!</v>
      </c>
      <c r="P95">
        <v>15</v>
      </c>
    </row>
    <row r="96" spans="1:16">
      <c r="A96" t="s">
        <v>154</v>
      </c>
      <c r="B96">
        <v>172</v>
      </c>
      <c r="C96">
        <v>11</v>
      </c>
      <c r="D96">
        <v>194</v>
      </c>
      <c r="E96">
        <v>141</v>
      </c>
      <c r="F96">
        <v>104</v>
      </c>
      <c r="G96">
        <v>183</v>
      </c>
      <c r="H96">
        <v>367.9</v>
      </c>
      <c r="I96" s="14">
        <v>540.54732061055074</v>
      </c>
      <c r="J96">
        <v>183</v>
      </c>
      <c r="K96">
        <v>95</v>
      </c>
      <c r="L96">
        <v>180</v>
      </c>
      <c r="M96">
        <v>92</v>
      </c>
      <c r="N96" s="143" t="e">
        <v>#DIV/0!</v>
      </c>
      <c r="O96" s="143" t="e">
        <v>#DIV/0!</v>
      </c>
      <c r="P96">
        <v>13</v>
      </c>
    </row>
    <row r="97" spans="1:16">
      <c r="A97" t="s">
        <v>163</v>
      </c>
      <c r="B97">
        <v>139</v>
      </c>
      <c r="C97">
        <v>110</v>
      </c>
      <c r="D97">
        <v>121</v>
      </c>
      <c r="E97">
        <v>181</v>
      </c>
      <c r="F97">
        <v>166</v>
      </c>
      <c r="G97">
        <v>137</v>
      </c>
      <c r="H97">
        <v>370.4</v>
      </c>
      <c r="I97" s="14">
        <v>515.235698416373</v>
      </c>
      <c r="J97">
        <v>184</v>
      </c>
      <c r="K97">
        <v>96</v>
      </c>
      <c r="L97">
        <v>168</v>
      </c>
      <c r="M97">
        <v>87</v>
      </c>
      <c r="N97" s="143" t="e">
        <v>#DIV/0!</v>
      </c>
      <c r="O97" s="143" t="e">
        <v>#DIV/0!</v>
      </c>
      <c r="P97">
        <v>8</v>
      </c>
    </row>
    <row r="98" spans="1:16">
      <c r="A98" t="s">
        <v>91</v>
      </c>
      <c r="B98">
        <v>88</v>
      </c>
      <c r="C98">
        <v>166</v>
      </c>
      <c r="D98">
        <v>169</v>
      </c>
      <c r="E98">
        <v>196</v>
      </c>
      <c r="F98">
        <v>131</v>
      </c>
      <c r="G98">
        <v>178</v>
      </c>
      <c r="H98">
        <v>373.6</v>
      </c>
      <c r="I98" s="14">
        <v>579.31186060213599</v>
      </c>
      <c r="J98">
        <v>185</v>
      </c>
      <c r="K98">
        <v>97</v>
      </c>
      <c r="L98">
        <v>192</v>
      </c>
      <c r="M98">
        <v>98</v>
      </c>
      <c r="N98" s="143" t="e">
        <v>#DIV/0!</v>
      </c>
      <c r="O98" s="143" t="e">
        <v>#DIV/0!</v>
      </c>
      <c r="P98">
        <v>13</v>
      </c>
    </row>
    <row r="99" spans="1:16">
      <c r="A99" t="s">
        <v>417</v>
      </c>
      <c r="B99">
        <v>164</v>
      </c>
      <c r="C99">
        <v>3</v>
      </c>
      <c r="D99">
        <v>183</v>
      </c>
      <c r="E99">
        <v>211</v>
      </c>
      <c r="F99">
        <v>92</v>
      </c>
      <c r="G99">
        <v>188</v>
      </c>
      <c r="H99">
        <v>374.20000000000005</v>
      </c>
      <c r="I99" s="14">
        <v>559.38226169849486</v>
      </c>
      <c r="J99">
        <v>186</v>
      </c>
      <c r="K99">
        <v>98</v>
      </c>
      <c r="L99">
        <v>184</v>
      </c>
      <c r="M99">
        <v>93</v>
      </c>
      <c r="N99" s="143" t="e">
        <v>#DIV/0!</v>
      </c>
      <c r="O99" s="143" t="e">
        <v>#DIV/0!</v>
      </c>
      <c r="P99">
        <v>-40</v>
      </c>
    </row>
    <row r="100" spans="1:16">
      <c r="A100" t="s">
        <v>21</v>
      </c>
      <c r="B100">
        <v>29</v>
      </c>
      <c r="C100">
        <v>146</v>
      </c>
      <c r="D100">
        <v>185</v>
      </c>
      <c r="E100">
        <v>218</v>
      </c>
      <c r="F100">
        <v>215</v>
      </c>
      <c r="G100">
        <v>211</v>
      </c>
      <c r="H100">
        <v>388.3</v>
      </c>
      <c r="I100" s="14">
        <v>632.0862207146447</v>
      </c>
      <c r="J100">
        <v>189</v>
      </c>
      <c r="K100">
        <v>99</v>
      </c>
      <c r="L100">
        <v>208</v>
      </c>
      <c r="M100">
        <v>108</v>
      </c>
      <c r="N100" s="143" t="e">
        <v>#N/A</v>
      </c>
      <c r="O100" s="143" t="e">
        <v>#N/A</v>
      </c>
      <c r="P100">
        <v>17</v>
      </c>
    </row>
    <row r="101" spans="1:16">
      <c r="A101" t="s">
        <v>171</v>
      </c>
      <c r="B101">
        <v>190</v>
      </c>
      <c r="C101">
        <v>173</v>
      </c>
      <c r="D101">
        <v>114</v>
      </c>
      <c r="E101">
        <v>143</v>
      </c>
      <c r="F101">
        <v>142</v>
      </c>
      <c r="G101">
        <v>164</v>
      </c>
      <c r="H101">
        <v>392.9</v>
      </c>
      <c r="I101" s="14">
        <v>562.68808096630733</v>
      </c>
      <c r="J101">
        <v>193</v>
      </c>
      <c r="K101">
        <v>100</v>
      </c>
      <c r="L101">
        <v>187</v>
      </c>
      <c r="M101">
        <v>96</v>
      </c>
      <c r="N101" s="143" t="e">
        <v>#DIV/0!</v>
      </c>
      <c r="O101" s="143" t="e">
        <v>#DIV/0!</v>
      </c>
      <c r="P101">
        <v>10</v>
      </c>
    </row>
    <row r="102" spans="1:16">
      <c r="A102" t="s">
        <v>223</v>
      </c>
      <c r="B102">
        <v>121</v>
      </c>
      <c r="C102">
        <v>205</v>
      </c>
      <c r="D102">
        <v>193</v>
      </c>
      <c r="E102">
        <v>200</v>
      </c>
      <c r="F102">
        <v>70</v>
      </c>
      <c r="G102">
        <v>154</v>
      </c>
      <c r="H102">
        <v>396.29999999999995</v>
      </c>
      <c r="I102" s="14">
        <v>582.14359397568751</v>
      </c>
      <c r="J102">
        <v>196</v>
      </c>
      <c r="K102">
        <v>101</v>
      </c>
      <c r="L102">
        <v>194</v>
      </c>
      <c r="M102">
        <v>100</v>
      </c>
      <c r="N102" s="143" t="e">
        <v>#DIV/0!</v>
      </c>
      <c r="O102" s="143" t="e">
        <v>#DIV/0!</v>
      </c>
      <c r="P102">
        <v>10</v>
      </c>
    </row>
    <row r="103" spans="1:16">
      <c r="A103" t="s">
        <v>133</v>
      </c>
      <c r="B103">
        <v>161</v>
      </c>
      <c r="C103">
        <v>86</v>
      </c>
      <c r="D103">
        <v>196</v>
      </c>
      <c r="E103">
        <v>208</v>
      </c>
      <c r="F103">
        <v>76</v>
      </c>
      <c r="G103">
        <v>201</v>
      </c>
      <c r="H103">
        <v>396.9</v>
      </c>
      <c r="I103" s="14">
        <v>607.77211510481652</v>
      </c>
      <c r="J103">
        <v>197</v>
      </c>
      <c r="K103">
        <v>102</v>
      </c>
      <c r="L103">
        <v>202</v>
      </c>
      <c r="M103">
        <v>104</v>
      </c>
      <c r="N103" s="143" t="e">
        <v>#DIV/0!</v>
      </c>
      <c r="O103" s="143" t="e">
        <v>#DIV/0!</v>
      </c>
      <c r="P103">
        <v>13</v>
      </c>
    </row>
    <row r="104" spans="1:16">
      <c r="A104" t="s">
        <v>238</v>
      </c>
      <c r="B104">
        <v>223</v>
      </c>
      <c r="C104">
        <v>101</v>
      </c>
      <c r="D104">
        <v>163</v>
      </c>
      <c r="E104">
        <v>3</v>
      </c>
      <c r="F104">
        <v>213</v>
      </c>
      <c r="G104">
        <v>219</v>
      </c>
      <c r="H104">
        <v>408.2</v>
      </c>
      <c r="I104" s="14">
        <v>601.66568163276793</v>
      </c>
      <c r="J104">
        <v>203</v>
      </c>
      <c r="K104">
        <v>103</v>
      </c>
      <c r="L104">
        <v>200</v>
      </c>
      <c r="M104">
        <v>102</v>
      </c>
      <c r="N104" s="143" t="e">
        <v>#DIV/0!</v>
      </c>
      <c r="O104" s="143" t="e">
        <v>#DIV/0!</v>
      </c>
      <c r="P104">
        <v>20</v>
      </c>
    </row>
    <row r="105" spans="1:16">
      <c r="A105" t="s">
        <v>130</v>
      </c>
      <c r="B105">
        <v>180</v>
      </c>
      <c r="C105">
        <v>114</v>
      </c>
      <c r="D105">
        <v>164</v>
      </c>
      <c r="E105">
        <v>133</v>
      </c>
      <c r="F105">
        <v>162</v>
      </c>
      <c r="G105">
        <v>179</v>
      </c>
      <c r="H105">
        <v>409.2</v>
      </c>
      <c r="I105" s="14">
        <v>586.66475917703019</v>
      </c>
      <c r="J105">
        <v>204</v>
      </c>
      <c r="K105">
        <v>104</v>
      </c>
      <c r="L105">
        <v>197</v>
      </c>
      <c r="M105">
        <v>101</v>
      </c>
      <c r="N105" s="143" t="e">
        <v>#DIV/0!</v>
      </c>
      <c r="O105" s="143" t="e">
        <v>#DIV/0!</v>
      </c>
      <c r="P105">
        <v>13</v>
      </c>
    </row>
    <row r="106" spans="1:16">
      <c r="A106" t="s">
        <v>185</v>
      </c>
      <c r="B106">
        <v>200</v>
      </c>
      <c r="C106">
        <v>19</v>
      </c>
      <c r="D106">
        <v>174</v>
      </c>
      <c r="E106">
        <v>206</v>
      </c>
      <c r="F106">
        <v>123</v>
      </c>
      <c r="G106">
        <v>158</v>
      </c>
      <c r="H106">
        <v>411.4</v>
      </c>
      <c r="I106" s="14">
        <v>561.13579519833957</v>
      </c>
      <c r="J106">
        <v>205</v>
      </c>
      <c r="K106">
        <v>105</v>
      </c>
      <c r="L106">
        <v>186</v>
      </c>
      <c r="M106">
        <v>95</v>
      </c>
      <c r="N106" s="143" t="e">
        <v>#DIV/0!</v>
      </c>
      <c r="O106" s="143" t="e">
        <v>#DIV/0!</v>
      </c>
      <c r="P106">
        <v>11</v>
      </c>
    </row>
    <row r="107" spans="1:16">
      <c r="A107" t="s">
        <v>84</v>
      </c>
      <c r="B107">
        <v>31</v>
      </c>
      <c r="C107">
        <v>222</v>
      </c>
      <c r="D107">
        <v>215</v>
      </c>
      <c r="E107">
        <v>202</v>
      </c>
      <c r="F107">
        <v>193</v>
      </c>
      <c r="G107">
        <v>217</v>
      </c>
      <c r="H107">
        <v>416.1</v>
      </c>
      <c r="I107" s="14">
        <v>676.21165829192</v>
      </c>
      <c r="J107">
        <v>206</v>
      </c>
      <c r="K107">
        <v>106</v>
      </c>
      <c r="L107">
        <v>216</v>
      </c>
      <c r="M107">
        <v>112</v>
      </c>
      <c r="N107" s="143" t="e">
        <v>#N/A</v>
      </c>
      <c r="O107" s="143" t="e">
        <v>#N/A</v>
      </c>
      <c r="P107">
        <v>20</v>
      </c>
    </row>
    <row r="108" spans="1:16">
      <c r="A108" t="s">
        <v>165</v>
      </c>
      <c r="B108">
        <v>205</v>
      </c>
      <c r="C108">
        <v>167</v>
      </c>
      <c r="D108">
        <v>142</v>
      </c>
      <c r="E108">
        <v>138</v>
      </c>
      <c r="F108">
        <v>150</v>
      </c>
      <c r="G108">
        <v>193</v>
      </c>
      <c r="H108">
        <v>423.2</v>
      </c>
      <c r="I108" s="14">
        <v>618.6815479809386</v>
      </c>
      <c r="J108">
        <v>207</v>
      </c>
      <c r="K108">
        <v>107</v>
      </c>
      <c r="L108">
        <v>204</v>
      </c>
      <c r="M108">
        <v>105</v>
      </c>
      <c r="N108" s="143" t="e">
        <v>#DIV/0!</v>
      </c>
      <c r="O108" s="143" t="e">
        <v>#DIV/0!</v>
      </c>
      <c r="P108">
        <v>15</v>
      </c>
    </row>
    <row r="109" spans="1:16">
      <c r="A109" t="s">
        <v>387</v>
      </c>
      <c r="B109">
        <v>176</v>
      </c>
      <c r="C109">
        <v>26</v>
      </c>
      <c r="D109">
        <v>197</v>
      </c>
      <c r="E109">
        <v>160</v>
      </c>
      <c r="F109">
        <v>197</v>
      </c>
      <c r="G109">
        <v>210</v>
      </c>
      <c r="H109">
        <v>431.4</v>
      </c>
      <c r="I109" s="14">
        <v>630.27902585439006</v>
      </c>
      <c r="J109">
        <v>208</v>
      </c>
      <c r="K109">
        <v>108</v>
      </c>
      <c r="L109">
        <v>207</v>
      </c>
      <c r="M109">
        <v>107</v>
      </c>
      <c r="N109" s="143" t="e">
        <v>#DIV/0!</v>
      </c>
      <c r="O109" s="143" t="e">
        <v>#DIV/0!</v>
      </c>
      <c r="P109">
        <v>23</v>
      </c>
    </row>
    <row r="110" spans="1:16">
      <c r="A110" t="s">
        <v>419</v>
      </c>
      <c r="B110">
        <v>207</v>
      </c>
      <c r="C110">
        <v>176</v>
      </c>
      <c r="D110">
        <v>182</v>
      </c>
      <c r="E110">
        <v>79</v>
      </c>
      <c r="F110">
        <v>158</v>
      </c>
      <c r="G110">
        <v>209</v>
      </c>
      <c r="H110">
        <v>435.7</v>
      </c>
      <c r="I110" s="14">
        <v>642.72877481138346</v>
      </c>
      <c r="J110">
        <v>210</v>
      </c>
      <c r="K110">
        <v>109</v>
      </c>
      <c r="L110">
        <v>209</v>
      </c>
      <c r="M110">
        <v>109</v>
      </c>
      <c r="N110" s="143" t="e">
        <v>#DIV/0!</v>
      </c>
      <c r="O110" s="143" t="e">
        <v>#DIV/0!</v>
      </c>
      <c r="P110">
        <v>17</v>
      </c>
    </row>
    <row r="111" spans="1:16">
      <c r="A111" t="s">
        <v>385</v>
      </c>
      <c r="B111">
        <v>213</v>
      </c>
      <c r="C111">
        <v>15</v>
      </c>
      <c r="D111">
        <v>158</v>
      </c>
      <c r="E111">
        <v>207</v>
      </c>
      <c r="F111">
        <v>178</v>
      </c>
      <c r="G111">
        <v>205</v>
      </c>
      <c r="H111">
        <v>436</v>
      </c>
      <c r="I111" s="14">
        <v>627.38656489015796</v>
      </c>
      <c r="J111">
        <v>211</v>
      </c>
      <c r="K111">
        <v>110</v>
      </c>
      <c r="L111">
        <v>206</v>
      </c>
      <c r="M111">
        <v>106</v>
      </c>
      <c r="N111" s="143" t="e">
        <v>#DIV/0!</v>
      </c>
      <c r="O111" s="143" t="e">
        <v>#DIV/0!</v>
      </c>
      <c r="P111">
        <v>14</v>
      </c>
    </row>
    <row r="112" spans="1:16">
      <c r="A112" t="s">
        <v>416</v>
      </c>
      <c r="B112">
        <v>170</v>
      </c>
      <c r="C112">
        <v>173</v>
      </c>
      <c r="D112">
        <v>212</v>
      </c>
      <c r="E112">
        <v>58</v>
      </c>
      <c r="F112">
        <v>219</v>
      </c>
      <c r="G112">
        <v>216</v>
      </c>
      <c r="H112">
        <v>451.99999999999994</v>
      </c>
      <c r="I112" s="14">
        <v>667.09681966592075</v>
      </c>
      <c r="J112">
        <v>214</v>
      </c>
      <c r="K112">
        <v>111</v>
      </c>
      <c r="L112">
        <v>214</v>
      </c>
      <c r="M112">
        <v>111</v>
      </c>
      <c r="N112" s="143" t="e">
        <v>#DIV/0!</v>
      </c>
      <c r="O112" s="143" t="e">
        <v>#DIV/0!</v>
      </c>
      <c r="P112">
        <v>20</v>
      </c>
    </row>
    <row r="113" spans="1:16">
      <c r="A113" t="s">
        <v>147</v>
      </c>
      <c r="B113">
        <v>199</v>
      </c>
      <c r="C113">
        <v>151</v>
      </c>
      <c r="D113">
        <v>214</v>
      </c>
      <c r="E113">
        <v>81</v>
      </c>
      <c r="F113">
        <v>174</v>
      </c>
      <c r="G113">
        <v>212</v>
      </c>
      <c r="H113">
        <v>453.79999999999995</v>
      </c>
      <c r="I113" s="14">
        <v>661.86329250593394</v>
      </c>
      <c r="J113">
        <v>215</v>
      </c>
      <c r="K113">
        <v>112</v>
      </c>
      <c r="L113">
        <v>213</v>
      </c>
      <c r="M113">
        <v>110</v>
      </c>
      <c r="N113" s="143" t="e">
        <v>#DIV/0!</v>
      </c>
      <c r="O113" s="143" t="e">
        <v>#DIV/0!</v>
      </c>
      <c r="P113">
        <v>17</v>
      </c>
    </row>
    <row r="114" spans="1:16">
      <c r="A114" t="s">
        <v>110</v>
      </c>
      <c r="B114">
        <v>135</v>
      </c>
      <c r="C114">
        <v>168</v>
      </c>
      <c r="D114">
        <v>187</v>
      </c>
      <c r="E114">
        <v>209</v>
      </c>
      <c r="F114">
        <v>207</v>
      </c>
      <c r="G114">
        <v>215</v>
      </c>
      <c r="H114">
        <v>462.90000000000003</v>
      </c>
      <c r="I114" s="14">
        <v>696.99776528212942</v>
      </c>
      <c r="J114">
        <v>218</v>
      </c>
      <c r="K114">
        <v>113</v>
      </c>
      <c r="L114">
        <v>218</v>
      </c>
      <c r="M114">
        <v>113</v>
      </c>
      <c r="N114" s="143" t="e">
        <v>#DIV/0!</v>
      </c>
      <c r="O114" s="143" t="e">
        <v>#DIV/0!</v>
      </c>
      <c r="P114">
        <v>19</v>
      </c>
    </row>
  </sheetData>
  <conditionalFormatting sqref="N2:O1048576">
    <cfRule type="cellIs" dxfId="76" priority="5" operator="greaterThanOrEqual">
      <formula>20%</formula>
    </cfRule>
    <cfRule type="cellIs" dxfId="75" priority="6" operator="between">
      <formula>10%</formula>
      <formula>20%</formula>
    </cfRule>
    <cfRule type="cellIs" dxfId="74" priority="7" operator="between">
      <formula>0.01%</formula>
      <formula>10%</formula>
    </cfRule>
  </conditionalFormatting>
  <conditionalFormatting sqref="B2:G1048576 J2:M1048576">
    <cfRule type="cellIs" dxfId="73" priority="8" operator="between">
      <formula>101</formula>
      <formula>250</formula>
    </cfRule>
    <cfRule type="cellIs" dxfId="72" priority="9" operator="between">
      <formula>51</formula>
      <formula>100.5</formula>
    </cfRule>
    <cfRule type="cellIs" dxfId="71" priority="10" operator="between">
      <formula>21</formula>
      <formula>50.5</formula>
    </cfRule>
    <cfRule type="cellIs" dxfId="70"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BA0FC-5971-47F7-AD8C-44A0444D4B71}">
  <sheetPr codeName="Sheet56">
    <tabColor rgb="FFFF0000"/>
  </sheetPr>
  <dimension ref="A1:V120"/>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5.85546875" bestFit="1"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76</v>
      </c>
      <c r="B2">
        <v>26</v>
      </c>
      <c r="C2">
        <v>138</v>
      </c>
      <c r="D2">
        <v>55</v>
      </c>
      <c r="E2">
        <v>87</v>
      </c>
      <c r="F2">
        <v>180</v>
      </c>
      <c r="G2">
        <v>72</v>
      </c>
      <c r="H2">
        <v>241.10000000000002</v>
      </c>
      <c r="I2" s="14">
        <v>313.13666348020172</v>
      </c>
      <c r="J2">
        <v>70</v>
      </c>
      <c r="K2">
        <v>46</v>
      </c>
      <c r="L2">
        <v>66</v>
      </c>
      <c r="M2">
        <v>44</v>
      </c>
      <c r="N2" s="143" t="e">
        <v>#DIV/0!</v>
      </c>
      <c r="O2" s="143" t="e">
        <v>#DIV/0!</v>
      </c>
      <c r="P2">
        <v>-11</v>
      </c>
      <c r="Q2">
        <v>1</v>
      </c>
    </row>
    <row r="3" spans="1:22">
      <c r="A3" t="s">
        <v>166</v>
      </c>
      <c r="B3">
        <v>108</v>
      </c>
      <c r="C3">
        <v>23</v>
      </c>
      <c r="D3">
        <v>1</v>
      </c>
      <c r="E3">
        <v>27</v>
      </c>
      <c r="F3">
        <v>66</v>
      </c>
      <c r="G3">
        <v>6</v>
      </c>
      <c r="H3">
        <v>105.7</v>
      </c>
      <c r="I3" s="14">
        <v>119.57966977444107</v>
      </c>
      <c r="J3">
        <v>1</v>
      </c>
      <c r="K3">
        <v>1</v>
      </c>
      <c r="L3">
        <v>2</v>
      </c>
      <c r="M3">
        <v>1</v>
      </c>
      <c r="N3" s="143" t="e">
        <v>#DIV/0!</v>
      </c>
      <c r="O3" s="143" t="e">
        <v>#DIV/0!</v>
      </c>
      <c r="P3">
        <v>5</v>
      </c>
    </row>
    <row r="4" spans="1:22">
      <c r="A4" t="s">
        <v>72</v>
      </c>
      <c r="B4">
        <v>139</v>
      </c>
      <c r="C4">
        <v>40</v>
      </c>
      <c r="D4">
        <v>14</v>
      </c>
      <c r="E4">
        <v>14</v>
      </c>
      <c r="F4">
        <v>20</v>
      </c>
      <c r="G4">
        <v>1</v>
      </c>
      <c r="H4">
        <v>116.89999999999999</v>
      </c>
      <c r="I4" s="14">
        <v>120.87307459603798</v>
      </c>
      <c r="J4">
        <v>3</v>
      </c>
      <c r="K4">
        <v>2</v>
      </c>
      <c r="L4">
        <v>4</v>
      </c>
      <c r="M4">
        <v>2</v>
      </c>
      <c r="N4" s="143" t="e">
        <v>#DIV/0!</v>
      </c>
      <c r="O4" s="143" t="e">
        <v>#DIV/0!</v>
      </c>
      <c r="P4">
        <v>1</v>
      </c>
    </row>
    <row r="5" spans="1:22">
      <c r="A5" t="s">
        <v>42</v>
      </c>
      <c r="B5">
        <v>17</v>
      </c>
      <c r="C5">
        <v>139</v>
      </c>
      <c r="D5">
        <v>5</v>
      </c>
      <c r="E5">
        <v>35</v>
      </c>
      <c r="F5">
        <v>99</v>
      </c>
      <c r="G5">
        <v>3</v>
      </c>
      <c r="H5">
        <v>149</v>
      </c>
      <c r="I5" s="14">
        <v>141.10125967473721</v>
      </c>
      <c r="J5">
        <v>11</v>
      </c>
      <c r="K5">
        <v>7</v>
      </c>
      <c r="L5">
        <v>5</v>
      </c>
      <c r="M5">
        <v>3</v>
      </c>
      <c r="N5" s="143" t="e">
        <v>#DIV/0!</v>
      </c>
      <c r="O5" s="143" t="e">
        <v>#DIV/0!</v>
      </c>
      <c r="P5">
        <v>4</v>
      </c>
    </row>
    <row r="6" spans="1:22">
      <c r="A6" t="s">
        <v>287</v>
      </c>
      <c r="B6">
        <v>111</v>
      </c>
      <c r="C6">
        <v>148</v>
      </c>
      <c r="D6">
        <v>8</v>
      </c>
      <c r="E6">
        <v>21</v>
      </c>
      <c r="F6">
        <v>3</v>
      </c>
      <c r="G6">
        <v>2</v>
      </c>
      <c r="H6">
        <v>159.5</v>
      </c>
      <c r="I6" s="14">
        <v>146.73297215823251</v>
      </c>
      <c r="J6">
        <v>16</v>
      </c>
      <c r="K6">
        <v>10</v>
      </c>
      <c r="L6">
        <v>6</v>
      </c>
      <c r="M6">
        <v>4</v>
      </c>
      <c r="N6" s="143" t="e">
        <v>#DIV/0!</v>
      </c>
      <c r="O6" s="143" t="e">
        <v>#DIV/0!</v>
      </c>
      <c r="P6">
        <v>3</v>
      </c>
    </row>
    <row r="7" spans="1:22">
      <c r="A7" t="s">
        <v>384</v>
      </c>
      <c r="B7">
        <v>175</v>
      </c>
      <c r="C7">
        <v>15</v>
      </c>
      <c r="D7">
        <v>23</v>
      </c>
      <c r="E7">
        <v>9</v>
      </c>
      <c r="F7">
        <v>45</v>
      </c>
      <c r="G7">
        <v>4</v>
      </c>
      <c r="H7">
        <v>134.19999999999999</v>
      </c>
      <c r="I7" s="14">
        <v>147.52212010673088</v>
      </c>
      <c r="J7">
        <v>7</v>
      </c>
      <c r="K7">
        <v>4</v>
      </c>
      <c r="L7">
        <v>7</v>
      </c>
      <c r="M7">
        <v>5</v>
      </c>
      <c r="N7" s="143" t="e">
        <v>#DIV/0!</v>
      </c>
      <c r="O7" s="143" t="e">
        <v>#DIV/0!</v>
      </c>
      <c r="P7">
        <v>20</v>
      </c>
    </row>
    <row r="8" spans="1:22">
      <c r="A8" t="s">
        <v>141</v>
      </c>
      <c r="B8">
        <v>128</v>
      </c>
      <c r="C8">
        <v>28</v>
      </c>
      <c r="D8">
        <v>20</v>
      </c>
      <c r="E8">
        <v>26</v>
      </c>
      <c r="F8">
        <v>50</v>
      </c>
      <c r="G8">
        <v>19</v>
      </c>
      <c r="H8">
        <v>125.2</v>
      </c>
      <c r="I8" s="14">
        <v>151.44173296332488</v>
      </c>
      <c r="J8">
        <v>5</v>
      </c>
      <c r="K8">
        <v>3</v>
      </c>
      <c r="L8">
        <v>8</v>
      </c>
      <c r="M8">
        <v>6</v>
      </c>
      <c r="N8" s="143" t="e">
        <v>#DIV/0!</v>
      </c>
      <c r="O8" s="143" t="e">
        <v>#DIV/0!</v>
      </c>
      <c r="P8">
        <v>25</v>
      </c>
    </row>
    <row r="9" spans="1:22">
      <c r="A9" t="s">
        <v>113</v>
      </c>
      <c r="B9">
        <v>78</v>
      </c>
      <c r="C9">
        <v>41</v>
      </c>
      <c r="D9">
        <v>86</v>
      </c>
      <c r="E9">
        <v>11</v>
      </c>
      <c r="F9">
        <v>43</v>
      </c>
      <c r="G9">
        <v>12</v>
      </c>
      <c r="H9">
        <v>145.39999999999998</v>
      </c>
      <c r="I9" s="14">
        <v>159.22576272432445</v>
      </c>
      <c r="J9">
        <v>9</v>
      </c>
      <c r="K9">
        <v>5</v>
      </c>
      <c r="L9">
        <v>11</v>
      </c>
      <c r="M9">
        <v>7</v>
      </c>
      <c r="N9" s="143" t="e">
        <v>#DIV/0!</v>
      </c>
      <c r="O9" s="143" t="e">
        <v>#DIV/0!</v>
      </c>
      <c r="P9">
        <v>-8</v>
      </c>
    </row>
    <row r="10" spans="1:22">
      <c r="A10" t="s">
        <v>74</v>
      </c>
      <c r="B10">
        <v>100</v>
      </c>
      <c r="C10">
        <v>69</v>
      </c>
      <c r="D10">
        <v>11</v>
      </c>
      <c r="E10">
        <v>119</v>
      </c>
      <c r="F10">
        <v>17</v>
      </c>
      <c r="G10">
        <v>9</v>
      </c>
      <c r="H10">
        <v>153.50000000000003</v>
      </c>
      <c r="I10" s="14">
        <v>169.91392186276065</v>
      </c>
      <c r="J10">
        <v>13</v>
      </c>
      <c r="K10">
        <v>8</v>
      </c>
      <c r="L10">
        <v>12</v>
      </c>
      <c r="M10">
        <v>8</v>
      </c>
      <c r="N10" s="143" t="e">
        <v>#DIV/0!</v>
      </c>
      <c r="O10" s="143" t="e">
        <v>#DIV/0!</v>
      </c>
      <c r="P10" t="e">
        <v>#N/A</v>
      </c>
    </row>
    <row r="11" spans="1:22">
      <c r="A11" t="s">
        <v>132</v>
      </c>
      <c r="B11">
        <v>97</v>
      </c>
      <c r="C11">
        <v>51</v>
      </c>
      <c r="D11">
        <v>45</v>
      </c>
      <c r="E11">
        <v>10</v>
      </c>
      <c r="F11">
        <v>103</v>
      </c>
      <c r="G11">
        <v>18</v>
      </c>
      <c r="H11">
        <v>155.80000000000001</v>
      </c>
      <c r="I11" s="14">
        <v>177.78836897593013</v>
      </c>
      <c r="J11">
        <v>15</v>
      </c>
      <c r="K11">
        <v>9</v>
      </c>
      <c r="L11">
        <v>14</v>
      </c>
      <c r="M11">
        <v>9</v>
      </c>
      <c r="N11" s="143" t="e">
        <v>#DIV/0!</v>
      </c>
      <c r="O11" s="143" t="e">
        <v>#DIV/0!</v>
      </c>
      <c r="P11">
        <v>7</v>
      </c>
    </row>
    <row r="12" spans="1:22">
      <c r="A12" t="s">
        <v>135</v>
      </c>
      <c r="B12">
        <v>88</v>
      </c>
      <c r="C12">
        <v>9</v>
      </c>
      <c r="D12">
        <v>21</v>
      </c>
      <c r="E12">
        <v>176</v>
      </c>
      <c r="F12">
        <v>31</v>
      </c>
      <c r="G12">
        <v>14</v>
      </c>
      <c r="H12">
        <v>146.9</v>
      </c>
      <c r="I12" s="14">
        <v>183.48350381148416</v>
      </c>
      <c r="J12">
        <v>10</v>
      </c>
      <c r="K12">
        <v>6</v>
      </c>
      <c r="L12">
        <v>15</v>
      </c>
      <c r="M12">
        <v>10</v>
      </c>
      <c r="N12" s="143" t="e">
        <v>#DIV/0!</v>
      </c>
      <c r="O12" s="143" t="e">
        <v>#DIV/0!</v>
      </c>
      <c r="P12">
        <v>-13</v>
      </c>
    </row>
    <row r="13" spans="1:22">
      <c r="A13" t="s">
        <v>382</v>
      </c>
      <c r="B13">
        <v>49</v>
      </c>
      <c r="C13">
        <v>147</v>
      </c>
      <c r="D13">
        <v>26</v>
      </c>
      <c r="E13">
        <v>6</v>
      </c>
      <c r="F13">
        <v>133</v>
      </c>
      <c r="G13">
        <v>16</v>
      </c>
      <c r="H13">
        <v>186.5</v>
      </c>
      <c r="I13" s="14">
        <v>191.00178521928342</v>
      </c>
      <c r="J13">
        <v>27</v>
      </c>
      <c r="K13">
        <v>17</v>
      </c>
      <c r="L13">
        <v>17</v>
      </c>
      <c r="M13">
        <v>11</v>
      </c>
      <c r="N13" s="143" t="e">
        <v>#DIV/0!</v>
      </c>
      <c r="O13" s="143" t="e">
        <v>#DIV/0!</v>
      </c>
      <c r="P13">
        <v>-2</v>
      </c>
    </row>
    <row r="14" spans="1:22">
      <c r="A14" t="s">
        <v>150</v>
      </c>
      <c r="B14">
        <v>172</v>
      </c>
      <c r="C14">
        <v>85</v>
      </c>
      <c r="D14">
        <v>40</v>
      </c>
      <c r="E14">
        <v>15</v>
      </c>
      <c r="F14">
        <v>18</v>
      </c>
      <c r="G14">
        <v>22</v>
      </c>
      <c r="H14">
        <v>178.2</v>
      </c>
      <c r="I14" s="14">
        <v>198.18974166186322</v>
      </c>
      <c r="J14">
        <v>23</v>
      </c>
      <c r="K14">
        <v>13</v>
      </c>
      <c r="L14">
        <v>19</v>
      </c>
      <c r="M14">
        <v>12</v>
      </c>
      <c r="N14" s="143" t="e">
        <v>#DIV/0!</v>
      </c>
      <c r="O14" s="143" t="e">
        <v>#DIV/0!</v>
      </c>
      <c r="P14">
        <v>12</v>
      </c>
    </row>
    <row r="15" spans="1:22">
      <c r="A15" t="s">
        <v>115</v>
      </c>
      <c r="B15">
        <v>146</v>
      </c>
      <c r="C15">
        <v>21</v>
      </c>
      <c r="D15">
        <v>109</v>
      </c>
      <c r="E15">
        <v>29</v>
      </c>
      <c r="F15">
        <v>11</v>
      </c>
      <c r="G15">
        <v>13</v>
      </c>
      <c r="H15">
        <v>177.89999999999998</v>
      </c>
      <c r="I15" s="14">
        <v>199.09157018838471</v>
      </c>
      <c r="J15">
        <v>22</v>
      </c>
      <c r="K15">
        <v>12</v>
      </c>
      <c r="L15">
        <v>20</v>
      </c>
      <c r="M15">
        <v>13</v>
      </c>
      <c r="N15" s="143" t="e">
        <v>#DIV/0!</v>
      </c>
      <c r="O15" s="143" t="e">
        <v>#DIV/0!</v>
      </c>
      <c r="P15">
        <v>16</v>
      </c>
    </row>
    <row r="16" spans="1:22">
      <c r="A16" t="s">
        <v>40</v>
      </c>
      <c r="B16">
        <v>70</v>
      </c>
      <c r="C16">
        <v>58</v>
      </c>
      <c r="D16">
        <v>146</v>
      </c>
      <c r="E16">
        <v>16</v>
      </c>
      <c r="F16">
        <v>21</v>
      </c>
      <c r="G16">
        <v>15</v>
      </c>
      <c r="H16">
        <v>186.8</v>
      </c>
      <c r="I16" s="14">
        <v>200.64859623787606</v>
      </c>
      <c r="J16">
        <v>28</v>
      </c>
      <c r="K16">
        <v>18</v>
      </c>
      <c r="L16">
        <v>23</v>
      </c>
      <c r="M16">
        <v>14</v>
      </c>
      <c r="N16" s="143" t="e">
        <v>#DIV/0!</v>
      </c>
      <c r="O16" s="143" t="e">
        <v>#DIV/0!</v>
      </c>
      <c r="P16">
        <v>-7</v>
      </c>
    </row>
    <row r="17" spans="1:16">
      <c r="A17" t="s">
        <v>51</v>
      </c>
      <c r="B17">
        <v>80</v>
      </c>
      <c r="C17">
        <v>153</v>
      </c>
      <c r="D17">
        <v>61</v>
      </c>
      <c r="E17">
        <v>77</v>
      </c>
      <c r="F17">
        <v>1</v>
      </c>
      <c r="G17">
        <v>7</v>
      </c>
      <c r="H17">
        <v>205.70000000000002</v>
      </c>
      <c r="I17" s="14">
        <v>201.97579552264136</v>
      </c>
      <c r="J17">
        <v>35</v>
      </c>
      <c r="K17">
        <v>20</v>
      </c>
      <c r="L17">
        <v>24</v>
      </c>
      <c r="M17">
        <v>15</v>
      </c>
      <c r="N17" s="143" t="e">
        <v>#DIV/0!</v>
      </c>
      <c r="O17" s="143" t="e">
        <v>#DIV/0!</v>
      </c>
      <c r="P17">
        <v>59</v>
      </c>
    </row>
    <row r="18" spans="1:16">
      <c r="A18" t="s">
        <v>93</v>
      </c>
      <c r="B18">
        <v>83</v>
      </c>
      <c r="C18">
        <v>38</v>
      </c>
      <c r="D18">
        <v>44</v>
      </c>
      <c r="E18">
        <v>105</v>
      </c>
      <c r="F18">
        <v>104</v>
      </c>
      <c r="G18">
        <v>23</v>
      </c>
      <c r="H18">
        <v>178.7</v>
      </c>
      <c r="I18" s="14">
        <v>216.77033085134184</v>
      </c>
      <c r="J18">
        <v>24</v>
      </c>
      <c r="K18">
        <v>14</v>
      </c>
      <c r="L18">
        <v>28</v>
      </c>
      <c r="M18">
        <v>16</v>
      </c>
      <c r="N18" s="143" t="e">
        <v>#DIV/0!</v>
      </c>
      <c r="O18" s="143" t="e">
        <v>#DIV/0!</v>
      </c>
      <c r="P18">
        <v>9</v>
      </c>
    </row>
    <row r="19" spans="1:16">
      <c r="A19" t="s">
        <v>139</v>
      </c>
      <c r="B19">
        <v>111</v>
      </c>
      <c r="C19">
        <v>71</v>
      </c>
      <c r="D19">
        <v>7</v>
      </c>
      <c r="E19">
        <v>68</v>
      </c>
      <c r="F19">
        <v>132</v>
      </c>
      <c r="G19">
        <v>26</v>
      </c>
      <c r="H19">
        <v>183</v>
      </c>
      <c r="I19" s="14">
        <v>217.76655424161123</v>
      </c>
      <c r="J19">
        <v>26</v>
      </c>
      <c r="K19">
        <v>16</v>
      </c>
      <c r="L19">
        <v>29</v>
      </c>
      <c r="M19">
        <v>17</v>
      </c>
      <c r="N19" s="143" t="e">
        <v>#DIV/0!</v>
      </c>
      <c r="O19" s="143" t="e">
        <v>#DIV/0!</v>
      </c>
      <c r="P19">
        <v>-6</v>
      </c>
    </row>
    <row r="20" spans="1:16">
      <c r="A20" t="s">
        <v>234</v>
      </c>
      <c r="B20">
        <v>68</v>
      </c>
      <c r="C20">
        <v>120</v>
      </c>
      <c r="D20">
        <v>18</v>
      </c>
      <c r="E20">
        <v>121</v>
      </c>
      <c r="F20">
        <v>85</v>
      </c>
      <c r="G20">
        <v>29</v>
      </c>
      <c r="H20">
        <v>201</v>
      </c>
      <c r="I20" s="14">
        <v>232.40537501954014</v>
      </c>
      <c r="J20">
        <v>32</v>
      </c>
      <c r="K20">
        <v>19</v>
      </c>
      <c r="L20">
        <v>31</v>
      </c>
      <c r="M20">
        <v>18</v>
      </c>
      <c r="N20" s="143" t="e">
        <v>#DIV/0!</v>
      </c>
      <c r="O20" s="143" t="e">
        <v>#DIV/0!</v>
      </c>
      <c r="P20">
        <v>-11</v>
      </c>
    </row>
    <row r="21" spans="1:16">
      <c r="A21" t="s">
        <v>102</v>
      </c>
      <c r="B21">
        <v>122</v>
      </c>
      <c r="C21">
        <v>46</v>
      </c>
      <c r="D21">
        <v>77</v>
      </c>
      <c r="E21">
        <v>24</v>
      </c>
      <c r="F21">
        <v>56</v>
      </c>
      <c r="G21">
        <v>53</v>
      </c>
      <c r="H21">
        <v>174.5</v>
      </c>
      <c r="I21" s="14">
        <v>232.51893445878233</v>
      </c>
      <c r="J21">
        <v>21</v>
      </c>
      <c r="K21">
        <v>11</v>
      </c>
      <c r="L21">
        <v>32</v>
      </c>
      <c r="M21">
        <v>19</v>
      </c>
      <c r="N21" s="143" t="e">
        <v>#DIV/0!</v>
      </c>
      <c r="O21" s="143" t="e">
        <v>#DIV/0!</v>
      </c>
      <c r="P21">
        <v>-16</v>
      </c>
    </row>
    <row r="22" spans="1:16">
      <c r="A22" t="s">
        <v>23</v>
      </c>
      <c r="B22">
        <v>8</v>
      </c>
      <c r="C22">
        <v>168</v>
      </c>
      <c r="D22">
        <v>24</v>
      </c>
      <c r="E22">
        <v>17</v>
      </c>
      <c r="F22">
        <v>202</v>
      </c>
      <c r="G22">
        <v>35</v>
      </c>
      <c r="H22">
        <v>209.20000000000002</v>
      </c>
      <c r="I22" s="14">
        <v>232.66182580551566</v>
      </c>
      <c r="J22">
        <v>39</v>
      </c>
      <c r="K22">
        <v>23</v>
      </c>
      <c r="L22">
        <v>33</v>
      </c>
      <c r="M22">
        <v>20</v>
      </c>
      <c r="N22" s="143" t="e">
        <v>#DIV/0!</v>
      </c>
      <c r="O22" s="143" t="e">
        <v>#DIV/0!</v>
      </c>
      <c r="P22">
        <v>-16</v>
      </c>
    </row>
    <row r="23" spans="1:16">
      <c r="A23" t="s">
        <v>98</v>
      </c>
      <c r="B23">
        <v>44</v>
      </c>
      <c r="C23">
        <v>136</v>
      </c>
      <c r="D23">
        <v>57</v>
      </c>
      <c r="E23">
        <v>131</v>
      </c>
      <c r="F23">
        <v>39</v>
      </c>
      <c r="G23">
        <v>33</v>
      </c>
      <c r="H23">
        <v>211.5</v>
      </c>
      <c r="I23" s="14">
        <v>242.30263809817805</v>
      </c>
      <c r="J23">
        <v>41</v>
      </c>
      <c r="K23">
        <v>25</v>
      </c>
      <c r="L23">
        <v>36</v>
      </c>
      <c r="M23">
        <v>21</v>
      </c>
      <c r="N23" s="143" t="e">
        <v>#DIV/0!</v>
      </c>
      <c r="O23" s="143" t="e">
        <v>#DIV/0!</v>
      </c>
      <c r="P23">
        <v>-20</v>
      </c>
    </row>
    <row r="24" spans="1:16">
      <c r="A24" t="s">
        <v>85</v>
      </c>
      <c r="B24">
        <v>81</v>
      </c>
      <c r="C24">
        <v>113</v>
      </c>
      <c r="D24">
        <v>153</v>
      </c>
      <c r="E24">
        <v>2</v>
      </c>
      <c r="F24">
        <v>27</v>
      </c>
      <c r="G24">
        <v>28</v>
      </c>
      <c r="H24">
        <v>227</v>
      </c>
      <c r="I24" s="14">
        <v>245.08214398475309</v>
      </c>
      <c r="J24">
        <v>55</v>
      </c>
      <c r="K24">
        <v>36</v>
      </c>
      <c r="L24">
        <v>38</v>
      </c>
      <c r="M24">
        <v>22</v>
      </c>
      <c r="N24" s="143" t="e">
        <v>#DIV/0!</v>
      </c>
      <c r="O24" s="143" t="e">
        <v>#DIV/0!</v>
      </c>
      <c r="P24" t="e">
        <v>#N/A</v>
      </c>
    </row>
    <row r="25" spans="1:16">
      <c r="A25" t="s">
        <v>9</v>
      </c>
      <c r="B25">
        <v>3</v>
      </c>
      <c r="C25">
        <v>122</v>
      </c>
      <c r="D25">
        <v>117</v>
      </c>
      <c r="E25">
        <v>118</v>
      </c>
      <c r="F25">
        <v>42</v>
      </c>
      <c r="G25">
        <v>32</v>
      </c>
      <c r="H25">
        <v>220.60000000000002</v>
      </c>
      <c r="I25" s="14">
        <v>250.13562322676376</v>
      </c>
      <c r="J25">
        <v>48</v>
      </c>
      <c r="K25">
        <v>30</v>
      </c>
      <c r="L25">
        <v>39</v>
      </c>
      <c r="M25">
        <v>23</v>
      </c>
      <c r="N25" s="143" t="e">
        <v>#DIV/0!</v>
      </c>
      <c r="O25" s="143" t="e">
        <v>#DIV/0!</v>
      </c>
      <c r="P25">
        <v>-4</v>
      </c>
    </row>
    <row r="26" spans="1:16">
      <c r="A26" t="s">
        <v>144</v>
      </c>
      <c r="B26">
        <v>176</v>
      </c>
      <c r="C26">
        <v>45</v>
      </c>
      <c r="D26">
        <v>134</v>
      </c>
      <c r="E26">
        <v>3</v>
      </c>
      <c r="F26">
        <v>12</v>
      </c>
      <c r="G26">
        <v>38</v>
      </c>
      <c r="H26">
        <v>214.8</v>
      </c>
      <c r="I26" s="14">
        <v>256.41323274159748</v>
      </c>
      <c r="J26">
        <v>43</v>
      </c>
      <c r="K26">
        <v>27</v>
      </c>
      <c r="L26">
        <v>40</v>
      </c>
      <c r="M26">
        <v>24</v>
      </c>
      <c r="N26" s="143" t="e">
        <v>#DIV/0!</v>
      </c>
      <c r="O26" s="143" t="e">
        <v>#DIV/0!</v>
      </c>
      <c r="P26">
        <v>19</v>
      </c>
    </row>
    <row r="27" spans="1:16">
      <c r="A27" t="s">
        <v>104</v>
      </c>
      <c r="B27">
        <v>128</v>
      </c>
      <c r="C27">
        <v>94</v>
      </c>
      <c r="D27">
        <v>111</v>
      </c>
      <c r="E27">
        <v>41</v>
      </c>
      <c r="F27">
        <v>9</v>
      </c>
      <c r="G27">
        <v>41</v>
      </c>
      <c r="H27">
        <v>218.1</v>
      </c>
      <c r="I27" s="14">
        <v>256.68094152373862</v>
      </c>
      <c r="J27">
        <v>45</v>
      </c>
      <c r="K27">
        <v>28</v>
      </c>
      <c r="L27">
        <v>41</v>
      </c>
      <c r="M27">
        <v>25</v>
      </c>
      <c r="N27" s="143" t="e">
        <v>#DIV/0!</v>
      </c>
      <c r="O27" s="143" t="e">
        <v>#DIV/0!</v>
      </c>
      <c r="P27">
        <v>-20</v>
      </c>
    </row>
    <row r="28" spans="1:16">
      <c r="A28" t="s">
        <v>95</v>
      </c>
      <c r="B28">
        <v>111</v>
      </c>
      <c r="C28">
        <v>160</v>
      </c>
      <c r="D28">
        <v>63</v>
      </c>
      <c r="E28">
        <v>70</v>
      </c>
      <c r="F28">
        <v>33</v>
      </c>
      <c r="G28">
        <v>37</v>
      </c>
      <c r="H28">
        <v>236.79999999999998</v>
      </c>
      <c r="I28" s="14">
        <v>264.51573133822137</v>
      </c>
      <c r="J28">
        <v>67</v>
      </c>
      <c r="K28">
        <v>44</v>
      </c>
      <c r="L28">
        <v>43</v>
      </c>
      <c r="M28">
        <v>26</v>
      </c>
      <c r="N28" s="143" t="e">
        <v>#DIV/0!</v>
      </c>
      <c r="O28" s="143" t="e">
        <v>#DIV/0!</v>
      </c>
      <c r="P28">
        <v>57</v>
      </c>
    </row>
    <row r="29" spans="1:16">
      <c r="A29" t="s">
        <v>395</v>
      </c>
      <c r="B29">
        <v>34</v>
      </c>
      <c r="C29">
        <v>140</v>
      </c>
      <c r="D29">
        <v>32</v>
      </c>
      <c r="E29">
        <v>174</v>
      </c>
      <c r="F29">
        <v>77</v>
      </c>
      <c r="G29">
        <v>39</v>
      </c>
      <c r="H29">
        <v>223.8</v>
      </c>
      <c r="I29" s="14">
        <v>265.80354522293942</v>
      </c>
      <c r="J29">
        <v>51</v>
      </c>
      <c r="K29">
        <v>33</v>
      </c>
      <c r="L29">
        <v>44</v>
      </c>
      <c r="M29">
        <v>27</v>
      </c>
      <c r="N29" s="143" t="e">
        <v>#DIV/0!</v>
      </c>
      <c r="O29" s="143" t="e">
        <v>#DIV/0!</v>
      </c>
      <c r="P29">
        <v>25</v>
      </c>
    </row>
    <row r="30" spans="1:16">
      <c r="A30" t="s">
        <v>383</v>
      </c>
      <c r="B30">
        <v>76</v>
      </c>
      <c r="C30">
        <v>125</v>
      </c>
      <c r="D30">
        <v>49</v>
      </c>
      <c r="E30">
        <v>57</v>
      </c>
      <c r="F30">
        <v>94</v>
      </c>
      <c r="G30">
        <v>63</v>
      </c>
      <c r="H30">
        <v>207.70000000000002</v>
      </c>
      <c r="I30" s="14">
        <v>267.00478076290597</v>
      </c>
      <c r="J30">
        <v>36</v>
      </c>
      <c r="K30">
        <v>21</v>
      </c>
      <c r="L30">
        <v>45</v>
      </c>
      <c r="M30">
        <v>28</v>
      </c>
      <c r="N30" s="143" t="e">
        <v>#DIV/0!</v>
      </c>
      <c r="O30" s="143" t="e">
        <v>#DIV/0!</v>
      </c>
      <c r="P30">
        <v>-41</v>
      </c>
    </row>
    <row r="31" spans="1:16">
      <c r="A31" t="s">
        <v>388</v>
      </c>
      <c r="B31">
        <v>55</v>
      </c>
      <c r="C31">
        <v>50</v>
      </c>
      <c r="D31">
        <v>73</v>
      </c>
      <c r="E31">
        <v>147</v>
      </c>
      <c r="F31">
        <v>31</v>
      </c>
      <c r="G31">
        <v>79</v>
      </c>
      <c r="H31">
        <v>179.8</v>
      </c>
      <c r="I31" s="14">
        <v>271.34623722760773</v>
      </c>
      <c r="J31">
        <v>25</v>
      </c>
      <c r="K31">
        <v>15</v>
      </c>
      <c r="L31">
        <v>47</v>
      </c>
      <c r="M31">
        <v>29</v>
      </c>
      <c r="N31" s="143" t="e">
        <v>#DIV/0!</v>
      </c>
      <c r="O31" s="143" t="e">
        <v>#DIV/0!</v>
      </c>
      <c r="P31">
        <v>-11</v>
      </c>
    </row>
    <row r="32" spans="1:16">
      <c r="A32" t="s">
        <v>140</v>
      </c>
      <c r="B32">
        <v>157</v>
      </c>
      <c r="C32">
        <v>37</v>
      </c>
      <c r="D32">
        <v>137</v>
      </c>
      <c r="E32">
        <v>55</v>
      </c>
      <c r="F32">
        <v>14</v>
      </c>
      <c r="G32">
        <v>44</v>
      </c>
      <c r="H32">
        <v>224.2</v>
      </c>
      <c r="I32" s="14">
        <v>277.6198285522305</v>
      </c>
      <c r="J32">
        <v>52</v>
      </c>
      <c r="K32">
        <v>34</v>
      </c>
      <c r="L32">
        <v>48</v>
      </c>
      <c r="M32">
        <v>30</v>
      </c>
      <c r="N32" s="143" t="e">
        <v>#DIV/0!</v>
      </c>
      <c r="O32" s="143" t="e">
        <v>#DIV/0!</v>
      </c>
      <c r="P32">
        <v>-12</v>
      </c>
    </row>
    <row r="33" spans="1:16">
      <c r="A33" t="s">
        <v>242</v>
      </c>
      <c r="B33">
        <v>177</v>
      </c>
      <c r="C33">
        <v>5</v>
      </c>
      <c r="D33">
        <v>159</v>
      </c>
      <c r="E33">
        <v>37</v>
      </c>
      <c r="F33">
        <v>7</v>
      </c>
      <c r="G33">
        <v>47</v>
      </c>
      <c r="H33">
        <v>220.40000000000003</v>
      </c>
      <c r="I33" s="14">
        <v>280.52041862172189</v>
      </c>
      <c r="J33">
        <v>47</v>
      </c>
      <c r="K33">
        <v>29</v>
      </c>
      <c r="L33">
        <v>50</v>
      </c>
      <c r="M33">
        <v>31</v>
      </c>
      <c r="N33" s="143" t="e">
        <v>#DIV/0!</v>
      </c>
      <c r="O33" s="143" t="e">
        <v>#DIV/0!</v>
      </c>
      <c r="P33">
        <v>6</v>
      </c>
    </row>
    <row r="34" spans="1:16">
      <c r="A34" t="s">
        <v>397</v>
      </c>
      <c r="B34">
        <v>66</v>
      </c>
      <c r="C34">
        <v>123</v>
      </c>
      <c r="D34">
        <v>98</v>
      </c>
      <c r="E34">
        <v>17</v>
      </c>
      <c r="F34">
        <v>139</v>
      </c>
      <c r="G34">
        <v>48</v>
      </c>
      <c r="H34">
        <v>237.79999999999998</v>
      </c>
      <c r="I34" s="14">
        <v>280.90016802212773</v>
      </c>
      <c r="J34">
        <v>68</v>
      </c>
      <c r="K34">
        <v>45</v>
      </c>
      <c r="L34">
        <v>51</v>
      </c>
      <c r="M34">
        <v>32</v>
      </c>
      <c r="N34" s="143" t="e">
        <v>#DIV/0!</v>
      </c>
      <c r="O34" s="143" t="e">
        <v>#DIV/0!</v>
      </c>
      <c r="P34">
        <v>8</v>
      </c>
    </row>
    <row r="35" spans="1:16">
      <c r="A35" t="s">
        <v>123</v>
      </c>
      <c r="B35">
        <v>118</v>
      </c>
      <c r="C35">
        <v>4</v>
      </c>
      <c r="D35">
        <v>147</v>
      </c>
      <c r="E35">
        <v>32</v>
      </c>
      <c r="F35">
        <v>82</v>
      </c>
      <c r="G35">
        <v>57</v>
      </c>
      <c r="H35">
        <v>209.9</v>
      </c>
      <c r="I35" s="14">
        <v>281.05499536161358</v>
      </c>
      <c r="J35">
        <v>40</v>
      </c>
      <c r="K35">
        <v>24</v>
      </c>
      <c r="L35">
        <v>52</v>
      </c>
      <c r="M35">
        <v>33</v>
      </c>
      <c r="N35" s="143" t="e">
        <v>#DIV/0!</v>
      </c>
      <c r="O35" s="143" t="e">
        <v>#DIV/0!</v>
      </c>
      <c r="P35">
        <v>57</v>
      </c>
    </row>
    <row r="36" spans="1:16">
      <c r="A36" t="s">
        <v>231</v>
      </c>
      <c r="B36">
        <v>58</v>
      </c>
      <c r="C36">
        <v>130</v>
      </c>
      <c r="D36">
        <v>37</v>
      </c>
      <c r="E36">
        <v>92</v>
      </c>
      <c r="F36">
        <v>161</v>
      </c>
      <c r="G36">
        <v>49</v>
      </c>
      <c r="H36">
        <v>234.10000000000002</v>
      </c>
      <c r="I36" s="14">
        <v>285.03514793900911</v>
      </c>
      <c r="J36">
        <v>64</v>
      </c>
      <c r="K36">
        <v>43</v>
      </c>
      <c r="L36">
        <v>53</v>
      </c>
      <c r="M36">
        <v>34</v>
      </c>
      <c r="N36" s="143" t="e">
        <v>#DIV/0!</v>
      </c>
      <c r="O36" s="143" t="e">
        <v>#DIV/0!</v>
      </c>
      <c r="P36">
        <v>-1</v>
      </c>
    </row>
    <row r="37" spans="1:16">
      <c r="A37" t="s">
        <v>131</v>
      </c>
      <c r="B37">
        <v>111</v>
      </c>
      <c r="C37">
        <v>114</v>
      </c>
      <c r="D37">
        <v>71</v>
      </c>
      <c r="E37">
        <v>30</v>
      </c>
      <c r="F37">
        <v>111</v>
      </c>
      <c r="G37">
        <v>61</v>
      </c>
      <c r="H37">
        <v>230</v>
      </c>
      <c r="I37" s="14">
        <v>288.95384937714903</v>
      </c>
      <c r="J37">
        <v>59</v>
      </c>
      <c r="K37">
        <v>40</v>
      </c>
      <c r="L37">
        <v>54</v>
      </c>
      <c r="M37">
        <v>35</v>
      </c>
      <c r="N37" s="143" t="e">
        <v>#DIV/0!</v>
      </c>
      <c r="O37" s="143" t="e">
        <v>#DIV/0!</v>
      </c>
      <c r="P37">
        <v>2</v>
      </c>
    </row>
    <row r="38" spans="1:16">
      <c r="A38" t="s">
        <v>380</v>
      </c>
      <c r="B38">
        <v>87</v>
      </c>
      <c r="C38">
        <v>161</v>
      </c>
      <c r="D38">
        <v>83</v>
      </c>
      <c r="E38">
        <v>22</v>
      </c>
      <c r="F38">
        <v>97</v>
      </c>
      <c r="G38">
        <v>60</v>
      </c>
      <c r="H38">
        <v>245.8</v>
      </c>
      <c r="I38" s="14">
        <v>294.15975396546827</v>
      </c>
      <c r="J38">
        <v>72</v>
      </c>
      <c r="K38">
        <v>48</v>
      </c>
      <c r="L38">
        <v>57</v>
      </c>
      <c r="M38">
        <v>36</v>
      </c>
      <c r="N38" s="143" t="e">
        <v>#DIV/0!</v>
      </c>
      <c r="O38" s="143" t="e">
        <v>#DIV/0!</v>
      </c>
      <c r="P38">
        <v>30</v>
      </c>
    </row>
    <row r="39" spans="1:16">
      <c r="A39" t="s">
        <v>59</v>
      </c>
      <c r="B39">
        <v>26</v>
      </c>
      <c r="C39">
        <v>205</v>
      </c>
      <c r="D39">
        <v>167</v>
      </c>
      <c r="E39">
        <v>44</v>
      </c>
      <c r="F39">
        <v>4</v>
      </c>
      <c r="G39">
        <v>46</v>
      </c>
      <c r="H39">
        <v>272.10000000000002</v>
      </c>
      <c r="I39" s="14">
        <v>295.08385380161161</v>
      </c>
      <c r="J39">
        <v>100</v>
      </c>
      <c r="K39">
        <v>64</v>
      </c>
      <c r="L39">
        <v>58</v>
      </c>
      <c r="M39">
        <v>37</v>
      </c>
      <c r="N39" s="143" t="e">
        <v>#DIV/0!</v>
      </c>
      <c r="O39" s="143" t="e">
        <v>#DIV/0!</v>
      </c>
      <c r="P39">
        <v>25</v>
      </c>
    </row>
    <row r="40" spans="1:16">
      <c r="A40" t="s">
        <v>181</v>
      </c>
      <c r="B40">
        <v>136</v>
      </c>
      <c r="C40">
        <v>19</v>
      </c>
      <c r="D40">
        <v>16</v>
      </c>
      <c r="E40">
        <v>98</v>
      </c>
      <c r="F40">
        <v>196</v>
      </c>
      <c r="G40">
        <v>67</v>
      </c>
      <c r="H40">
        <v>208.20000000000002</v>
      </c>
      <c r="I40" s="14">
        <v>299.62253758377085</v>
      </c>
      <c r="J40">
        <v>37</v>
      </c>
      <c r="K40">
        <v>22</v>
      </c>
      <c r="L40">
        <v>60</v>
      </c>
      <c r="M40">
        <v>38</v>
      </c>
      <c r="N40" s="143" t="e">
        <v>#DIV/0!</v>
      </c>
      <c r="O40" s="143" t="e">
        <v>#DIV/0!</v>
      </c>
      <c r="P40">
        <v>13</v>
      </c>
    </row>
    <row r="41" spans="1:16">
      <c r="A41" t="s">
        <v>188</v>
      </c>
      <c r="B41">
        <v>209</v>
      </c>
      <c r="C41">
        <v>11</v>
      </c>
      <c r="D41">
        <v>129</v>
      </c>
      <c r="E41">
        <v>43</v>
      </c>
      <c r="F41">
        <v>10</v>
      </c>
      <c r="G41">
        <v>65</v>
      </c>
      <c r="H41">
        <v>222.59999999999997</v>
      </c>
      <c r="I41" s="14">
        <v>301.7221631031519</v>
      </c>
      <c r="J41">
        <v>49</v>
      </c>
      <c r="K41">
        <v>31</v>
      </c>
      <c r="L41">
        <v>61</v>
      </c>
      <c r="M41">
        <v>39</v>
      </c>
      <c r="N41" s="143" t="e">
        <v>#DIV/0!</v>
      </c>
      <c r="O41" s="143" t="e">
        <v>#DIV/0!</v>
      </c>
      <c r="P41">
        <v>-23</v>
      </c>
    </row>
    <row r="42" spans="1:16">
      <c r="A42" t="s">
        <v>122</v>
      </c>
      <c r="B42">
        <v>125</v>
      </c>
      <c r="C42">
        <v>66</v>
      </c>
      <c r="D42">
        <v>89</v>
      </c>
      <c r="E42">
        <v>91</v>
      </c>
      <c r="F42">
        <v>67</v>
      </c>
      <c r="G42">
        <v>66</v>
      </c>
      <c r="H42">
        <v>227.6</v>
      </c>
      <c r="I42" s="14">
        <v>303.35640479977673</v>
      </c>
      <c r="J42">
        <v>57</v>
      </c>
      <c r="K42">
        <v>38</v>
      </c>
      <c r="L42">
        <v>62</v>
      </c>
      <c r="M42">
        <v>40</v>
      </c>
      <c r="N42" s="143" t="e">
        <v>#DIV/0!</v>
      </c>
      <c r="O42" s="143" t="e">
        <v>#DIV/0!</v>
      </c>
      <c r="P42">
        <v>25</v>
      </c>
    </row>
    <row r="43" spans="1:16">
      <c r="A43" t="s">
        <v>112</v>
      </c>
      <c r="B43">
        <v>155</v>
      </c>
      <c r="C43">
        <v>33</v>
      </c>
      <c r="D43">
        <v>82</v>
      </c>
      <c r="E43">
        <v>113</v>
      </c>
      <c r="F43">
        <v>68</v>
      </c>
      <c r="G43">
        <v>58</v>
      </c>
      <c r="H43">
        <v>227.09999999999997</v>
      </c>
      <c r="I43" s="14">
        <v>303.38437360283751</v>
      </c>
      <c r="J43">
        <v>56</v>
      </c>
      <c r="K43">
        <v>37</v>
      </c>
      <c r="L43">
        <v>63</v>
      </c>
      <c r="M43">
        <v>41</v>
      </c>
      <c r="N43" s="143" t="e">
        <v>#DIV/0!</v>
      </c>
      <c r="O43" s="143" t="e">
        <v>#DIV/0!</v>
      </c>
      <c r="P43">
        <v>16</v>
      </c>
    </row>
    <row r="44" spans="1:16">
      <c r="A44" t="s">
        <v>116</v>
      </c>
      <c r="B44">
        <v>142</v>
      </c>
      <c r="C44">
        <v>3</v>
      </c>
      <c r="D44">
        <v>75</v>
      </c>
      <c r="E44">
        <v>54</v>
      </c>
      <c r="F44">
        <v>165</v>
      </c>
      <c r="G44">
        <v>69</v>
      </c>
      <c r="H44">
        <v>212.9</v>
      </c>
      <c r="I44" s="14">
        <v>303.3938889138808</v>
      </c>
      <c r="J44">
        <v>42</v>
      </c>
      <c r="K44">
        <v>26</v>
      </c>
      <c r="L44">
        <v>64</v>
      </c>
      <c r="M44">
        <v>42</v>
      </c>
      <c r="N44" s="143" t="e">
        <v>#DIV/0!</v>
      </c>
      <c r="O44" s="143" t="e">
        <v>#DIV/0!</v>
      </c>
      <c r="P44">
        <v>-20</v>
      </c>
    </row>
    <row r="45" spans="1:16">
      <c r="A45" t="s">
        <v>156</v>
      </c>
      <c r="B45">
        <v>148</v>
      </c>
      <c r="C45">
        <v>107</v>
      </c>
      <c r="D45">
        <v>64</v>
      </c>
      <c r="E45">
        <v>137</v>
      </c>
      <c r="F45">
        <v>35</v>
      </c>
      <c r="G45">
        <v>54</v>
      </c>
      <c r="H45">
        <v>251.8</v>
      </c>
      <c r="I45" s="14">
        <v>313.10211916030102</v>
      </c>
      <c r="J45">
        <v>75</v>
      </c>
      <c r="K45">
        <v>50</v>
      </c>
      <c r="L45">
        <v>65</v>
      </c>
      <c r="M45">
        <v>43</v>
      </c>
      <c r="N45" s="143" t="e">
        <v>#DIV/0!</v>
      </c>
      <c r="O45" s="143" t="e">
        <v>#DIV/0!</v>
      </c>
      <c r="P45">
        <v>-8</v>
      </c>
    </row>
    <row r="46" spans="1:16">
      <c r="A46" t="s">
        <v>381</v>
      </c>
      <c r="B46">
        <v>107</v>
      </c>
      <c r="C46">
        <v>56</v>
      </c>
      <c r="D46">
        <v>34</v>
      </c>
      <c r="E46">
        <v>131</v>
      </c>
      <c r="F46">
        <v>154</v>
      </c>
      <c r="G46">
        <v>73</v>
      </c>
      <c r="H46">
        <v>224.9</v>
      </c>
      <c r="I46" s="14">
        <v>316.69842970105873</v>
      </c>
      <c r="J46">
        <v>53</v>
      </c>
      <c r="K46">
        <v>35</v>
      </c>
      <c r="L46">
        <v>67</v>
      </c>
      <c r="M46">
        <v>45</v>
      </c>
      <c r="N46" s="143" t="e">
        <v>#DIV/0!</v>
      </c>
      <c r="O46" s="143" t="e">
        <v>#DIV/0!</v>
      </c>
      <c r="P46">
        <v>23</v>
      </c>
    </row>
    <row r="47" spans="1:16">
      <c r="A47" t="s">
        <v>55</v>
      </c>
      <c r="B47">
        <v>46</v>
      </c>
      <c r="C47">
        <v>55</v>
      </c>
      <c r="D47">
        <v>121</v>
      </c>
      <c r="E47">
        <v>115</v>
      </c>
      <c r="F47">
        <v>106</v>
      </c>
      <c r="G47">
        <v>82</v>
      </c>
      <c r="H47">
        <v>229.1</v>
      </c>
      <c r="I47" s="14">
        <v>323.91995325529331</v>
      </c>
      <c r="J47">
        <v>58</v>
      </c>
      <c r="K47">
        <v>39</v>
      </c>
      <c r="L47">
        <v>68</v>
      </c>
      <c r="M47">
        <v>46</v>
      </c>
      <c r="N47" s="143" t="e">
        <v>#DIV/0!</v>
      </c>
      <c r="O47" s="143" t="e">
        <v>#DIV/0!</v>
      </c>
      <c r="P47">
        <v>45</v>
      </c>
    </row>
    <row r="48" spans="1:16">
      <c r="A48" t="s">
        <v>390</v>
      </c>
      <c r="B48">
        <v>169</v>
      </c>
      <c r="C48">
        <v>48</v>
      </c>
      <c r="D48">
        <v>93</v>
      </c>
      <c r="E48">
        <v>31</v>
      </c>
      <c r="F48">
        <v>107</v>
      </c>
      <c r="G48">
        <v>80</v>
      </c>
      <c r="H48">
        <v>233.6</v>
      </c>
      <c r="I48" s="14">
        <v>324.17297676809864</v>
      </c>
      <c r="J48">
        <v>63</v>
      </c>
      <c r="K48">
        <v>42</v>
      </c>
      <c r="L48">
        <v>69</v>
      </c>
      <c r="M48">
        <v>47</v>
      </c>
      <c r="N48" s="143" t="e">
        <v>#DIV/0!</v>
      </c>
      <c r="O48" s="143" t="e">
        <v>#DIV/0!</v>
      </c>
      <c r="P48">
        <v>60</v>
      </c>
    </row>
    <row r="49" spans="1:16">
      <c r="A49" t="s">
        <v>91</v>
      </c>
      <c r="B49">
        <v>67</v>
      </c>
      <c r="C49">
        <v>180</v>
      </c>
      <c r="D49">
        <v>39</v>
      </c>
      <c r="E49">
        <v>137</v>
      </c>
      <c r="F49">
        <v>101</v>
      </c>
      <c r="G49">
        <v>71</v>
      </c>
      <c r="H49">
        <v>264</v>
      </c>
      <c r="I49" s="14">
        <v>331.12737813082185</v>
      </c>
      <c r="J49">
        <v>92</v>
      </c>
      <c r="K49">
        <v>61</v>
      </c>
      <c r="L49">
        <v>71</v>
      </c>
      <c r="M49">
        <v>48</v>
      </c>
      <c r="N49" s="143" t="e">
        <v>#DIV/0!</v>
      </c>
      <c r="O49" s="143" t="e">
        <v>#DIV/0!</v>
      </c>
      <c r="P49">
        <v>26</v>
      </c>
    </row>
    <row r="50" spans="1:16">
      <c r="A50" t="s">
        <v>89</v>
      </c>
      <c r="B50">
        <v>83</v>
      </c>
      <c r="C50">
        <v>178</v>
      </c>
      <c r="D50">
        <v>151</v>
      </c>
      <c r="E50">
        <v>58</v>
      </c>
      <c r="F50">
        <v>23</v>
      </c>
      <c r="G50">
        <v>59</v>
      </c>
      <c r="H50">
        <v>286.39999999999998</v>
      </c>
      <c r="I50" s="14">
        <v>331.31908966717299</v>
      </c>
      <c r="J50">
        <v>123</v>
      </c>
      <c r="K50">
        <v>81</v>
      </c>
      <c r="L50">
        <v>72</v>
      </c>
      <c r="M50">
        <v>49</v>
      </c>
      <c r="N50" s="143" t="e">
        <v>#DIV/0!</v>
      </c>
      <c r="O50" s="143" t="e">
        <v>#DIV/0!</v>
      </c>
      <c r="P50">
        <v>24</v>
      </c>
    </row>
    <row r="51" spans="1:16">
      <c r="A51" t="s">
        <v>128</v>
      </c>
      <c r="B51">
        <v>52</v>
      </c>
      <c r="C51">
        <v>61</v>
      </c>
      <c r="D51">
        <v>128</v>
      </c>
      <c r="E51">
        <v>97</v>
      </c>
      <c r="F51">
        <v>149</v>
      </c>
      <c r="G51">
        <v>76</v>
      </c>
      <c r="H51">
        <v>250.6</v>
      </c>
      <c r="I51" s="14">
        <v>339.42489528187434</v>
      </c>
      <c r="J51">
        <v>74</v>
      </c>
      <c r="K51">
        <v>49</v>
      </c>
      <c r="L51">
        <v>74</v>
      </c>
      <c r="M51">
        <v>50</v>
      </c>
      <c r="N51" s="143" t="e">
        <v>#DIV/0!</v>
      </c>
      <c r="O51" s="143" t="e">
        <v>#DIV/0!</v>
      </c>
      <c r="P51">
        <v>17</v>
      </c>
    </row>
    <row r="52" spans="1:16">
      <c r="A52" t="s">
        <v>80</v>
      </c>
      <c r="B52">
        <v>79</v>
      </c>
      <c r="C52">
        <v>166</v>
      </c>
      <c r="D52">
        <v>47</v>
      </c>
      <c r="E52">
        <v>150</v>
      </c>
      <c r="F52">
        <v>87</v>
      </c>
      <c r="G52">
        <v>74</v>
      </c>
      <c r="H52">
        <v>266.8</v>
      </c>
      <c r="I52" s="14">
        <v>340.20093439805214</v>
      </c>
      <c r="J52">
        <v>95</v>
      </c>
      <c r="K52">
        <v>62</v>
      </c>
      <c r="L52">
        <v>76</v>
      </c>
      <c r="M52">
        <v>51</v>
      </c>
      <c r="N52" s="143" t="e">
        <v>#DIV/0!</v>
      </c>
      <c r="O52" s="143" t="e">
        <v>#DIV/0!</v>
      </c>
      <c r="P52">
        <v>-34</v>
      </c>
    </row>
    <row r="53" spans="1:16">
      <c r="A53" t="s">
        <v>137</v>
      </c>
      <c r="B53">
        <v>135</v>
      </c>
      <c r="C53">
        <v>12</v>
      </c>
      <c r="D53">
        <v>56</v>
      </c>
      <c r="E53">
        <v>178</v>
      </c>
      <c r="F53">
        <v>118</v>
      </c>
      <c r="G53">
        <v>88</v>
      </c>
      <c r="H53">
        <v>232.3</v>
      </c>
      <c r="I53" s="14">
        <v>349.98993251226455</v>
      </c>
      <c r="J53">
        <v>60</v>
      </c>
      <c r="K53">
        <v>41</v>
      </c>
      <c r="L53">
        <v>80</v>
      </c>
      <c r="M53">
        <v>52</v>
      </c>
      <c r="N53" s="143" t="e">
        <v>#DIV/0!</v>
      </c>
      <c r="O53" s="143" t="e">
        <v>#DIV/0!</v>
      </c>
      <c r="P53">
        <v>15</v>
      </c>
    </row>
    <row r="54" spans="1:16">
      <c r="A54" t="s">
        <v>391</v>
      </c>
      <c r="B54">
        <v>179</v>
      </c>
      <c r="C54">
        <v>133</v>
      </c>
      <c r="D54">
        <v>74</v>
      </c>
      <c r="E54">
        <v>39</v>
      </c>
      <c r="F54">
        <v>78</v>
      </c>
      <c r="G54">
        <v>85</v>
      </c>
      <c r="H54">
        <v>267.90000000000003</v>
      </c>
      <c r="I54" s="14">
        <v>350.18441796892091</v>
      </c>
      <c r="J54">
        <v>96</v>
      </c>
      <c r="K54">
        <v>63</v>
      </c>
      <c r="L54">
        <v>81</v>
      </c>
      <c r="M54">
        <v>53</v>
      </c>
      <c r="N54" s="143" t="e">
        <v>#DIV/0!</v>
      </c>
      <c r="O54" s="143" t="e">
        <v>#DIV/0!</v>
      </c>
      <c r="P54">
        <v>-13</v>
      </c>
    </row>
    <row r="55" spans="1:16">
      <c r="A55" t="s">
        <v>64</v>
      </c>
      <c r="B55">
        <v>76</v>
      </c>
      <c r="C55">
        <v>185</v>
      </c>
      <c r="D55">
        <v>80</v>
      </c>
      <c r="E55">
        <v>60</v>
      </c>
      <c r="F55">
        <v>135</v>
      </c>
      <c r="G55">
        <v>77</v>
      </c>
      <c r="H55">
        <v>283</v>
      </c>
      <c r="I55" s="14">
        <v>350.24464586003944</v>
      </c>
      <c r="J55">
        <v>118.5</v>
      </c>
      <c r="K55">
        <v>77</v>
      </c>
      <c r="L55">
        <v>82</v>
      </c>
      <c r="M55">
        <v>54</v>
      </c>
      <c r="N55" s="143" t="e">
        <v>#DIV/0!</v>
      </c>
      <c r="O55" s="143" t="e">
        <v>#DIV/0!</v>
      </c>
      <c r="P55">
        <v>-23</v>
      </c>
    </row>
    <row r="56" spans="1:16">
      <c r="A56" t="s">
        <v>154</v>
      </c>
      <c r="B56">
        <v>173</v>
      </c>
      <c r="C56">
        <v>20</v>
      </c>
      <c r="D56">
        <v>130</v>
      </c>
      <c r="E56">
        <v>106</v>
      </c>
      <c r="F56">
        <v>57</v>
      </c>
      <c r="G56">
        <v>78</v>
      </c>
      <c r="H56">
        <v>254.70000000000002</v>
      </c>
      <c r="I56" s="14">
        <v>352.93068756592658</v>
      </c>
      <c r="J56">
        <v>78</v>
      </c>
      <c r="K56">
        <v>53</v>
      </c>
      <c r="L56">
        <v>83</v>
      </c>
      <c r="M56">
        <v>55</v>
      </c>
      <c r="N56" s="143" t="e">
        <v>#DIV/0!</v>
      </c>
      <c r="O56" s="143" t="e">
        <v>#DIV/0!</v>
      </c>
      <c r="P56">
        <v>26</v>
      </c>
    </row>
    <row r="57" spans="1:16">
      <c r="A57" t="s">
        <v>77</v>
      </c>
      <c r="B57">
        <v>64</v>
      </c>
      <c r="C57">
        <v>201</v>
      </c>
      <c r="D57">
        <v>70</v>
      </c>
      <c r="E57">
        <v>74</v>
      </c>
      <c r="F57">
        <v>107</v>
      </c>
      <c r="G57">
        <v>94</v>
      </c>
      <c r="H57">
        <v>274</v>
      </c>
      <c r="I57" s="14">
        <v>355.06864393257166</v>
      </c>
      <c r="J57">
        <v>102</v>
      </c>
      <c r="K57">
        <v>65</v>
      </c>
      <c r="L57">
        <v>84</v>
      </c>
      <c r="M57">
        <v>56</v>
      </c>
      <c r="N57" s="143" t="e">
        <v>#DIV/0!</v>
      </c>
      <c r="O57" s="143" t="e">
        <v>#DIV/0!</v>
      </c>
      <c r="P57">
        <v>70</v>
      </c>
    </row>
    <row r="58" spans="1:16">
      <c r="A58" t="s">
        <v>183</v>
      </c>
      <c r="B58">
        <v>197</v>
      </c>
      <c r="C58">
        <v>100</v>
      </c>
      <c r="D58">
        <v>67</v>
      </c>
      <c r="E58">
        <v>79</v>
      </c>
      <c r="F58">
        <v>63</v>
      </c>
      <c r="G58">
        <v>87</v>
      </c>
      <c r="H58">
        <v>262.2</v>
      </c>
      <c r="I58" s="14">
        <v>355.42025107570112</v>
      </c>
      <c r="J58">
        <v>91</v>
      </c>
      <c r="K58">
        <v>60</v>
      </c>
      <c r="L58">
        <v>85</v>
      </c>
      <c r="M58">
        <v>57</v>
      </c>
      <c r="N58" s="143" t="e">
        <v>#DIV/0!</v>
      </c>
      <c r="O58" s="143" t="e">
        <v>#DIV/0!</v>
      </c>
      <c r="P58">
        <v>-36</v>
      </c>
    </row>
    <row r="59" spans="1:16">
      <c r="A59" t="s">
        <v>238</v>
      </c>
      <c r="B59">
        <v>198</v>
      </c>
      <c r="C59">
        <v>125</v>
      </c>
      <c r="D59">
        <v>4</v>
      </c>
      <c r="E59">
        <v>93</v>
      </c>
      <c r="F59">
        <v>114</v>
      </c>
      <c r="G59">
        <v>91</v>
      </c>
      <c r="H59">
        <v>259.60000000000002</v>
      </c>
      <c r="I59" s="14">
        <v>356.71951607195723</v>
      </c>
      <c r="J59">
        <v>85</v>
      </c>
      <c r="K59">
        <v>56</v>
      </c>
      <c r="L59">
        <v>86</v>
      </c>
      <c r="M59">
        <v>58</v>
      </c>
      <c r="N59" s="143" t="e">
        <v>#DIV/0!</v>
      </c>
      <c r="O59" s="143" t="e">
        <v>#DIV/0!</v>
      </c>
      <c r="P59">
        <v>50</v>
      </c>
    </row>
    <row r="60" spans="1:16">
      <c r="A60" t="s">
        <v>44</v>
      </c>
      <c r="B60">
        <v>13</v>
      </c>
      <c r="C60">
        <v>156</v>
      </c>
      <c r="D60">
        <v>83</v>
      </c>
      <c r="E60">
        <v>59</v>
      </c>
      <c r="F60">
        <v>185</v>
      </c>
      <c r="G60">
        <v>107</v>
      </c>
      <c r="H60">
        <v>255.79999999999998</v>
      </c>
      <c r="I60" s="14">
        <v>357.26963705009575</v>
      </c>
      <c r="J60">
        <v>81</v>
      </c>
      <c r="K60">
        <v>55</v>
      </c>
      <c r="L60">
        <v>87</v>
      </c>
      <c r="M60">
        <v>59</v>
      </c>
      <c r="N60" s="143" t="e">
        <v>#DIV/0!</v>
      </c>
      <c r="O60" s="143" t="e">
        <v>#DIV/0!</v>
      </c>
      <c r="P60">
        <v>6</v>
      </c>
    </row>
    <row r="61" spans="1:16">
      <c r="A61" t="s">
        <v>173</v>
      </c>
      <c r="B61">
        <v>166</v>
      </c>
      <c r="C61">
        <v>65</v>
      </c>
      <c r="D61">
        <v>142</v>
      </c>
      <c r="E61">
        <v>20</v>
      </c>
      <c r="F61">
        <v>60</v>
      </c>
      <c r="G61">
        <v>101</v>
      </c>
      <c r="H61">
        <v>253.39999999999998</v>
      </c>
      <c r="I61" s="14">
        <v>359.07038174600893</v>
      </c>
      <c r="J61">
        <v>77</v>
      </c>
      <c r="K61">
        <v>52</v>
      </c>
      <c r="L61">
        <v>89</v>
      </c>
      <c r="M61">
        <v>60</v>
      </c>
      <c r="N61" s="143" t="e">
        <v>#DIV/0!</v>
      </c>
      <c r="O61" s="143" t="e">
        <v>#DIV/0!</v>
      </c>
      <c r="P61">
        <v>-17</v>
      </c>
    </row>
    <row r="62" spans="1:16">
      <c r="A62" t="s">
        <v>167</v>
      </c>
      <c r="B62">
        <v>162</v>
      </c>
      <c r="C62">
        <v>62</v>
      </c>
      <c r="D62">
        <v>156</v>
      </c>
      <c r="E62">
        <v>114</v>
      </c>
      <c r="F62">
        <v>19</v>
      </c>
      <c r="G62">
        <v>70</v>
      </c>
      <c r="H62">
        <v>280.60000000000002</v>
      </c>
      <c r="I62" s="14">
        <v>363.02039242462871</v>
      </c>
      <c r="J62">
        <v>114</v>
      </c>
      <c r="K62">
        <v>73</v>
      </c>
      <c r="L62">
        <v>91</v>
      </c>
      <c r="M62">
        <v>61</v>
      </c>
      <c r="N62" s="143" t="e">
        <v>#DIV/0!</v>
      </c>
      <c r="O62" s="143" t="e">
        <v>#DIV/0!</v>
      </c>
      <c r="P62">
        <v>25</v>
      </c>
    </row>
    <row r="63" spans="1:16">
      <c r="A63" t="s">
        <v>119</v>
      </c>
      <c r="B63">
        <v>95</v>
      </c>
      <c r="C63">
        <v>89</v>
      </c>
      <c r="D63">
        <v>126</v>
      </c>
      <c r="E63">
        <v>85</v>
      </c>
      <c r="F63">
        <v>81</v>
      </c>
      <c r="G63">
        <v>106</v>
      </c>
      <c r="H63">
        <v>255.5</v>
      </c>
      <c r="I63" s="14">
        <v>367.02417189045809</v>
      </c>
      <c r="J63">
        <v>80</v>
      </c>
      <c r="K63">
        <v>54</v>
      </c>
      <c r="L63">
        <v>94</v>
      </c>
      <c r="M63">
        <v>62</v>
      </c>
      <c r="N63" s="143" t="e">
        <v>#DIV/0!</v>
      </c>
      <c r="O63" s="143" t="e">
        <v>#DIV/0!</v>
      </c>
      <c r="P63">
        <v>-14</v>
      </c>
    </row>
    <row r="64" spans="1:16">
      <c r="A64" t="s">
        <v>389</v>
      </c>
      <c r="B64">
        <v>36</v>
      </c>
      <c r="C64">
        <v>70</v>
      </c>
      <c r="D64">
        <v>34</v>
      </c>
      <c r="E64">
        <v>207</v>
      </c>
      <c r="F64">
        <v>142</v>
      </c>
      <c r="G64">
        <v>131</v>
      </c>
      <c r="H64">
        <v>223.40000000000003</v>
      </c>
      <c r="I64" s="14">
        <v>375.00674705439747</v>
      </c>
      <c r="J64">
        <v>50</v>
      </c>
      <c r="K64">
        <v>32</v>
      </c>
      <c r="L64">
        <v>98</v>
      </c>
      <c r="M64">
        <v>63</v>
      </c>
      <c r="N64" s="143" t="e">
        <v>#DIV/0!</v>
      </c>
      <c r="O64" s="143" t="e">
        <v>#DIV/0!</v>
      </c>
      <c r="P64">
        <v>-43</v>
      </c>
    </row>
    <row r="65" spans="1:16">
      <c r="A65" t="s">
        <v>138</v>
      </c>
      <c r="B65">
        <v>54</v>
      </c>
      <c r="C65">
        <v>172</v>
      </c>
      <c r="D65">
        <v>60</v>
      </c>
      <c r="E65">
        <v>179</v>
      </c>
      <c r="F65">
        <v>80</v>
      </c>
      <c r="G65">
        <v>103</v>
      </c>
      <c r="H65">
        <v>275.8</v>
      </c>
      <c r="I65" s="14">
        <v>378.89168547888301</v>
      </c>
      <c r="J65">
        <v>106</v>
      </c>
      <c r="K65">
        <v>69</v>
      </c>
      <c r="L65">
        <v>100</v>
      </c>
      <c r="M65">
        <v>64</v>
      </c>
      <c r="N65" s="143" t="e">
        <v>#DIV/0!</v>
      </c>
      <c r="O65" s="143" t="e">
        <v>#DIV/0!</v>
      </c>
      <c r="P65">
        <v>-3</v>
      </c>
    </row>
    <row r="66" spans="1:16">
      <c r="A66" t="s">
        <v>121</v>
      </c>
      <c r="B66">
        <v>139</v>
      </c>
      <c r="C66">
        <v>77</v>
      </c>
      <c r="D66">
        <v>43</v>
      </c>
      <c r="E66">
        <v>84</v>
      </c>
      <c r="F66">
        <v>183</v>
      </c>
      <c r="G66">
        <v>113</v>
      </c>
      <c r="H66">
        <v>252.59999999999997</v>
      </c>
      <c r="I66" s="14">
        <v>379.60116605913771</v>
      </c>
      <c r="J66">
        <v>76</v>
      </c>
      <c r="K66">
        <v>51</v>
      </c>
      <c r="L66">
        <v>101</v>
      </c>
      <c r="M66">
        <v>65</v>
      </c>
      <c r="N66" s="143" t="e">
        <v>#DIV/0!</v>
      </c>
      <c r="O66" s="143" t="e">
        <v>#DIV/0!</v>
      </c>
      <c r="P66">
        <v>29</v>
      </c>
    </row>
    <row r="67" spans="1:16">
      <c r="A67" t="s">
        <v>164</v>
      </c>
      <c r="B67">
        <v>128</v>
      </c>
      <c r="C67">
        <v>52</v>
      </c>
      <c r="D67">
        <v>168</v>
      </c>
      <c r="E67">
        <v>7</v>
      </c>
      <c r="F67">
        <v>169</v>
      </c>
      <c r="G67">
        <v>92</v>
      </c>
      <c r="H67">
        <v>283.20000000000005</v>
      </c>
      <c r="I67" s="14">
        <v>385.13792506718517</v>
      </c>
      <c r="J67">
        <v>120</v>
      </c>
      <c r="K67">
        <v>78</v>
      </c>
      <c r="L67">
        <v>103</v>
      </c>
      <c r="M67">
        <v>66</v>
      </c>
      <c r="N67" s="143" t="e">
        <v>#DIV/0!</v>
      </c>
      <c r="O67" s="143" t="e">
        <v>#DIV/0!</v>
      </c>
      <c r="P67">
        <v>16</v>
      </c>
    </row>
    <row r="68" spans="1:16">
      <c r="A68" t="s">
        <v>110</v>
      </c>
      <c r="B68">
        <v>90</v>
      </c>
      <c r="C68">
        <v>117</v>
      </c>
      <c r="D68">
        <v>125</v>
      </c>
      <c r="E68">
        <v>155</v>
      </c>
      <c r="F68">
        <v>48</v>
      </c>
      <c r="G68">
        <v>96</v>
      </c>
      <c r="H68">
        <v>283.89999999999998</v>
      </c>
      <c r="I68" s="14">
        <v>386.31377395509605</v>
      </c>
      <c r="J68">
        <v>121</v>
      </c>
      <c r="K68">
        <v>79</v>
      </c>
      <c r="L68">
        <v>104</v>
      </c>
      <c r="M68">
        <v>67</v>
      </c>
      <c r="N68" s="143" t="e">
        <v>#DIV/0!</v>
      </c>
      <c r="O68" s="143" t="e">
        <v>#DIV/0!</v>
      </c>
      <c r="P68">
        <v>76</v>
      </c>
    </row>
    <row r="69" spans="1:16">
      <c r="A69" t="s">
        <v>127</v>
      </c>
      <c r="B69">
        <v>161</v>
      </c>
      <c r="C69">
        <v>60</v>
      </c>
      <c r="D69">
        <v>100</v>
      </c>
      <c r="E69">
        <v>175</v>
      </c>
      <c r="F69">
        <v>54</v>
      </c>
      <c r="G69">
        <v>90</v>
      </c>
      <c r="H69">
        <v>278.10000000000002</v>
      </c>
      <c r="I69" s="14">
        <v>388.36622877317677</v>
      </c>
      <c r="J69">
        <v>112</v>
      </c>
      <c r="K69">
        <v>72</v>
      </c>
      <c r="L69">
        <v>106</v>
      </c>
      <c r="M69">
        <v>68</v>
      </c>
      <c r="N69" s="143" t="e">
        <v>#DIV/0!</v>
      </c>
      <c r="O69" s="143" t="e">
        <v>#DIV/0!</v>
      </c>
      <c r="P69">
        <v>-1</v>
      </c>
    </row>
    <row r="70" spans="1:16">
      <c r="A70" t="s">
        <v>92</v>
      </c>
      <c r="B70">
        <v>91</v>
      </c>
      <c r="C70">
        <v>68</v>
      </c>
      <c r="D70">
        <v>143</v>
      </c>
      <c r="E70">
        <v>108</v>
      </c>
      <c r="F70">
        <v>131</v>
      </c>
      <c r="G70">
        <v>97</v>
      </c>
      <c r="H70">
        <v>282</v>
      </c>
      <c r="I70" s="14">
        <v>392.81699793575217</v>
      </c>
      <c r="J70">
        <v>116</v>
      </c>
      <c r="K70">
        <v>75</v>
      </c>
      <c r="L70">
        <v>109</v>
      </c>
      <c r="M70">
        <v>69</v>
      </c>
      <c r="N70" s="143" t="e">
        <v>#DIV/0!</v>
      </c>
      <c r="O70" s="143" t="e">
        <v>#DIV/0!</v>
      </c>
      <c r="P70">
        <v>-27</v>
      </c>
    </row>
    <row r="71" spans="1:16">
      <c r="A71" t="s">
        <v>158</v>
      </c>
      <c r="B71">
        <v>118</v>
      </c>
      <c r="C71">
        <v>99</v>
      </c>
      <c r="D71">
        <v>105</v>
      </c>
      <c r="E71">
        <v>99</v>
      </c>
      <c r="F71">
        <v>128</v>
      </c>
      <c r="G71">
        <v>105</v>
      </c>
      <c r="H71">
        <v>282.7</v>
      </c>
      <c r="I71" s="14">
        <v>396.59195087641126</v>
      </c>
      <c r="J71">
        <v>117</v>
      </c>
      <c r="K71">
        <v>76</v>
      </c>
      <c r="L71">
        <v>110</v>
      </c>
      <c r="M71">
        <v>70</v>
      </c>
      <c r="N71" s="143" t="e">
        <v>#DIV/0!</v>
      </c>
      <c r="O71" s="143" t="e">
        <v>#DIV/0!</v>
      </c>
      <c r="P71">
        <v>13</v>
      </c>
    </row>
    <row r="72" spans="1:16">
      <c r="A72" t="s">
        <v>145</v>
      </c>
      <c r="B72">
        <v>123</v>
      </c>
      <c r="C72">
        <v>14</v>
      </c>
      <c r="D72">
        <v>42</v>
      </c>
      <c r="E72">
        <v>165</v>
      </c>
      <c r="F72">
        <v>194</v>
      </c>
      <c r="G72">
        <v>123</v>
      </c>
      <c r="H72">
        <v>242.90000000000003</v>
      </c>
      <c r="I72" s="14">
        <v>397.50960032323621</v>
      </c>
      <c r="J72">
        <v>71</v>
      </c>
      <c r="K72">
        <v>47</v>
      </c>
      <c r="L72">
        <v>112</v>
      </c>
      <c r="M72">
        <v>71</v>
      </c>
      <c r="N72" s="143" t="e">
        <v>#DIV/0!</v>
      </c>
      <c r="O72" s="143" t="e">
        <v>#DIV/0!</v>
      </c>
      <c r="P72">
        <v>14</v>
      </c>
    </row>
    <row r="73" spans="1:16">
      <c r="A73" t="s">
        <v>65</v>
      </c>
      <c r="B73">
        <v>106</v>
      </c>
      <c r="C73">
        <v>75</v>
      </c>
      <c r="D73">
        <v>22</v>
      </c>
      <c r="E73">
        <v>190</v>
      </c>
      <c r="F73">
        <v>177</v>
      </c>
      <c r="G73">
        <v>119</v>
      </c>
      <c r="H73">
        <v>260.2</v>
      </c>
      <c r="I73" s="14">
        <v>402.29787529517336</v>
      </c>
      <c r="J73">
        <v>89</v>
      </c>
      <c r="K73">
        <v>58</v>
      </c>
      <c r="L73">
        <v>116</v>
      </c>
      <c r="M73">
        <v>72</v>
      </c>
      <c r="N73" s="143" t="e">
        <v>#DIV/0!</v>
      </c>
      <c r="O73" s="143" t="e">
        <v>#DIV/0!</v>
      </c>
      <c r="P73">
        <v>20</v>
      </c>
    </row>
    <row r="74" spans="1:16">
      <c r="A74" t="s">
        <v>79</v>
      </c>
      <c r="B74">
        <v>45</v>
      </c>
      <c r="C74">
        <v>76</v>
      </c>
      <c r="D74">
        <v>124</v>
      </c>
      <c r="E74">
        <v>143</v>
      </c>
      <c r="F74">
        <v>155</v>
      </c>
      <c r="G74">
        <v>122</v>
      </c>
      <c r="H74">
        <v>274.09999999999997</v>
      </c>
      <c r="I74" s="14">
        <v>411.36046534274612</v>
      </c>
      <c r="J74">
        <v>103</v>
      </c>
      <c r="K74">
        <v>66</v>
      </c>
      <c r="L74">
        <v>118</v>
      </c>
      <c r="M74">
        <v>73</v>
      </c>
      <c r="N74" s="143" t="e">
        <v>#DIV/0!</v>
      </c>
      <c r="O74" s="143" t="e">
        <v>#DIV/0!</v>
      </c>
      <c r="P74">
        <v>-7</v>
      </c>
    </row>
    <row r="75" spans="1:16">
      <c r="A75" t="s">
        <v>191</v>
      </c>
      <c r="B75">
        <v>208</v>
      </c>
      <c r="C75">
        <v>2</v>
      </c>
      <c r="D75">
        <v>110</v>
      </c>
      <c r="E75">
        <v>50</v>
      </c>
      <c r="F75">
        <v>144</v>
      </c>
      <c r="G75">
        <v>138</v>
      </c>
      <c r="H75">
        <v>259.8</v>
      </c>
      <c r="I75" s="14">
        <v>421.21508837552994</v>
      </c>
      <c r="J75">
        <v>86.5</v>
      </c>
      <c r="K75">
        <v>57</v>
      </c>
      <c r="L75">
        <v>121</v>
      </c>
      <c r="M75">
        <v>74</v>
      </c>
      <c r="N75" s="143" t="e">
        <v>#DIV/0!</v>
      </c>
      <c r="O75" s="143" t="e">
        <v>#DIV/0!</v>
      </c>
      <c r="P75">
        <v>42</v>
      </c>
    </row>
    <row r="76" spans="1:16">
      <c r="A76" t="s">
        <v>146</v>
      </c>
      <c r="B76">
        <v>136</v>
      </c>
      <c r="C76">
        <v>135</v>
      </c>
      <c r="D76">
        <v>132</v>
      </c>
      <c r="E76">
        <v>95</v>
      </c>
      <c r="F76">
        <v>74</v>
      </c>
      <c r="G76">
        <v>116</v>
      </c>
      <c r="H76">
        <v>309</v>
      </c>
      <c r="I76" s="14">
        <v>426.17798780965427</v>
      </c>
      <c r="J76">
        <v>140</v>
      </c>
      <c r="K76">
        <v>89</v>
      </c>
      <c r="L76">
        <v>124</v>
      </c>
      <c r="M76">
        <v>75</v>
      </c>
      <c r="N76" s="143" t="e">
        <v>#DIV/0!</v>
      </c>
      <c r="O76" s="143" t="e">
        <v>#DIV/0!</v>
      </c>
      <c r="P76">
        <v>18</v>
      </c>
    </row>
    <row r="77" spans="1:16">
      <c r="A77" t="s">
        <v>142</v>
      </c>
      <c r="B77">
        <v>116</v>
      </c>
      <c r="C77">
        <v>195</v>
      </c>
      <c r="D77">
        <v>97</v>
      </c>
      <c r="E77">
        <v>101</v>
      </c>
      <c r="F77">
        <v>92</v>
      </c>
      <c r="G77">
        <v>117</v>
      </c>
      <c r="H77">
        <v>320.09999999999997</v>
      </c>
      <c r="I77" s="14">
        <v>429.62834959229411</v>
      </c>
      <c r="J77">
        <v>149</v>
      </c>
      <c r="K77">
        <v>96</v>
      </c>
      <c r="L77">
        <v>125</v>
      </c>
      <c r="M77">
        <v>76</v>
      </c>
      <c r="N77" s="143" t="e">
        <v>#DIV/0!</v>
      </c>
      <c r="O77" s="143" t="e">
        <v>#DIV/0!</v>
      </c>
      <c r="P77">
        <v>6</v>
      </c>
    </row>
    <row r="78" spans="1:16">
      <c r="A78" t="s">
        <v>29</v>
      </c>
      <c r="B78">
        <v>73</v>
      </c>
      <c r="C78">
        <v>145</v>
      </c>
      <c r="D78">
        <v>108</v>
      </c>
      <c r="E78">
        <v>136</v>
      </c>
      <c r="F78">
        <v>122</v>
      </c>
      <c r="G78">
        <v>128</v>
      </c>
      <c r="H78">
        <v>302.3</v>
      </c>
      <c r="I78" s="14">
        <v>433.75482137195763</v>
      </c>
      <c r="J78">
        <v>137</v>
      </c>
      <c r="K78">
        <v>88</v>
      </c>
      <c r="L78">
        <v>126</v>
      </c>
      <c r="M78">
        <v>77</v>
      </c>
      <c r="N78" s="143" t="e">
        <v>#DIV/0!</v>
      </c>
      <c r="O78" s="143" t="e">
        <v>#DIV/0!</v>
      </c>
      <c r="P78">
        <v>-6</v>
      </c>
    </row>
    <row r="79" spans="1:16">
      <c r="A79" t="s">
        <v>175</v>
      </c>
      <c r="B79">
        <v>170</v>
      </c>
      <c r="C79">
        <v>24</v>
      </c>
      <c r="D79">
        <v>172</v>
      </c>
      <c r="E79">
        <v>104</v>
      </c>
      <c r="F79">
        <v>73</v>
      </c>
      <c r="G79">
        <v>124</v>
      </c>
      <c r="H79">
        <v>290.60000000000002</v>
      </c>
      <c r="I79" s="14">
        <v>435.23704875970958</v>
      </c>
      <c r="J79">
        <v>125</v>
      </c>
      <c r="K79">
        <v>83</v>
      </c>
      <c r="L79">
        <v>127</v>
      </c>
      <c r="M79">
        <v>78</v>
      </c>
      <c r="N79" s="143" t="e">
        <v>#DIV/0!</v>
      </c>
      <c r="O79" s="143" t="e">
        <v>#DIV/0!</v>
      </c>
      <c r="P79">
        <v>41</v>
      </c>
    </row>
    <row r="80" spans="1:16">
      <c r="A80" t="s">
        <v>90</v>
      </c>
      <c r="B80">
        <v>52</v>
      </c>
      <c r="C80">
        <v>31</v>
      </c>
      <c r="D80">
        <v>141</v>
      </c>
      <c r="E80">
        <v>171</v>
      </c>
      <c r="F80">
        <v>158</v>
      </c>
      <c r="G80">
        <v>135</v>
      </c>
      <c r="H80">
        <v>274.89999999999998</v>
      </c>
      <c r="I80" s="14">
        <v>435.43357083712982</v>
      </c>
      <c r="J80">
        <v>104</v>
      </c>
      <c r="K80">
        <v>67</v>
      </c>
      <c r="L80">
        <v>128</v>
      </c>
      <c r="M80">
        <v>79</v>
      </c>
      <c r="N80" s="143" t="e">
        <v>#DIV/0!</v>
      </c>
      <c r="O80" s="143" t="e">
        <v>#DIV/0!</v>
      </c>
      <c r="P80">
        <v>-57</v>
      </c>
    </row>
    <row r="81" spans="1:16">
      <c r="A81" t="s">
        <v>396</v>
      </c>
      <c r="B81">
        <v>46</v>
      </c>
      <c r="C81">
        <v>143</v>
      </c>
      <c r="D81">
        <v>62</v>
      </c>
      <c r="E81">
        <v>205</v>
      </c>
      <c r="F81">
        <v>127</v>
      </c>
      <c r="G81">
        <v>146</v>
      </c>
      <c r="H81">
        <v>285</v>
      </c>
      <c r="I81" s="14">
        <v>440.38063997400587</v>
      </c>
      <c r="J81">
        <v>122</v>
      </c>
      <c r="K81">
        <v>80</v>
      </c>
      <c r="L81">
        <v>130</v>
      </c>
      <c r="M81">
        <v>80</v>
      </c>
      <c r="N81" s="143" t="e">
        <v>#DIV/0!</v>
      </c>
      <c r="O81" s="143" t="e">
        <v>#DIV/0!</v>
      </c>
      <c r="P81">
        <v>-40</v>
      </c>
    </row>
    <row r="82" spans="1:16">
      <c r="A82" t="s">
        <v>394</v>
      </c>
      <c r="B82">
        <v>120</v>
      </c>
      <c r="C82">
        <v>98</v>
      </c>
      <c r="D82">
        <v>188</v>
      </c>
      <c r="E82">
        <v>94</v>
      </c>
      <c r="F82">
        <v>96</v>
      </c>
      <c r="G82">
        <v>108</v>
      </c>
      <c r="H82">
        <v>326.39999999999998</v>
      </c>
      <c r="I82" s="14">
        <v>442.12897594148615</v>
      </c>
      <c r="J82">
        <v>156.5</v>
      </c>
      <c r="K82">
        <v>101</v>
      </c>
      <c r="L82">
        <v>131</v>
      </c>
      <c r="M82">
        <v>81</v>
      </c>
      <c r="N82" s="143" t="e">
        <v>#DIV/0!</v>
      </c>
      <c r="O82" s="143" t="e">
        <v>#DIV/0!</v>
      </c>
      <c r="P82">
        <v>69</v>
      </c>
    </row>
    <row r="83" spans="1:16">
      <c r="A83" t="s">
        <v>373</v>
      </c>
      <c r="B83">
        <v>166</v>
      </c>
      <c r="C83">
        <v>103</v>
      </c>
      <c r="D83">
        <v>33</v>
      </c>
      <c r="E83">
        <v>133</v>
      </c>
      <c r="F83">
        <v>99</v>
      </c>
      <c r="G83">
        <v>170</v>
      </c>
      <c r="H83">
        <v>260.70000000000005</v>
      </c>
      <c r="I83" s="14">
        <v>442.24117108121635</v>
      </c>
      <c r="J83">
        <v>90</v>
      </c>
      <c r="K83">
        <v>59</v>
      </c>
      <c r="L83">
        <v>132</v>
      </c>
      <c r="M83">
        <v>82</v>
      </c>
      <c r="N83" s="143" t="e">
        <v>#DIV/0!</v>
      </c>
      <c r="O83" s="143" t="e">
        <v>#DIV/0!</v>
      </c>
      <c r="P83">
        <v>-15</v>
      </c>
    </row>
    <row r="84" spans="1:16">
      <c r="A84" t="s">
        <v>130</v>
      </c>
      <c r="B84">
        <v>158</v>
      </c>
      <c r="C84">
        <v>64</v>
      </c>
      <c r="D84">
        <v>65</v>
      </c>
      <c r="E84">
        <v>140</v>
      </c>
      <c r="F84">
        <v>174</v>
      </c>
      <c r="G84">
        <v>133</v>
      </c>
      <c r="H84">
        <v>288.5</v>
      </c>
      <c r="I84" s="14">
        <v>443.7701487925533</v>
      </c>
      <c r="J84">
        <v>124</v>
      </c>
      <c r="K84">
        <v>82</v>
      </c>
      <c r="L84">
        <v>133</v>
      </c>
      <c r="M84">
        <v>83</v>
      </c>
      <c r="N84" s="143" t="e">
        <v>#DIV/0!</v>
      </c>
      <c r="O84" s="143" t="e">
        <v>#DIV/0!</v>
      </c>
      <c r="P84">
        <v>43</v>
      </c>
    </row>
    <row r="85" spans="1:16">
      <c r="A85" t="s">
        <v>117</v>
      </c>
      <c r="B85">
        <v>68</v>
      </c>
      <c r="C85">
        <v>73</v>
      </c>
      <c r="D85">
        <v>138</v>
      </c>
      <c r="E85">
        <v>47</v>
      </c>
      <c r="F85">
        <v>205</v>
      </c>
      <c r="G85">
        <v>159</v>
      </c>
      <c r="H85">
        <v>275.2</v>
      </c>
      <c r="I85" s="14">
        <v>444.06531064245235</v>
      </c>
      <c r="J85">
        <v>105</v>
      </c>
      <c r="K85">
        <v>68</v>
      </c>
      <c r="L85">
        <v>134</v>
      </c>
      <c r="M85">
        <v>84</v>
      </c>
      <c r="N85" s="143" t="e">
        <v>#DIV/0!</v>
      </c>
      <c r="O85" s="143" t="e">
        <v>#DIV/0!</v>
      </c>
      <c r="P85">
        <v>-47</v>
      </c>
    </row>
    <row r="86" spans="1:16">
      <c r="A86" t="s">
        <v>18</v>
      </c>
      <c r="B86">
        <v>6</v>
      </c>
      <c r="C86">
        <v>197</v>
      </c>
      <c r="D86">
        <v>184</v>
      </c>
      <c r="E86">
        <v>154</v>
      </c>
      <c r="F86">
        <v>37</v>
      </c>
      <c r="G86">
        <v>128</v>
      </c>
      <c r="H86">
        <v>326.39999999999998</v>
      </c>
      <c r="I86" s="14">
        <v>444.96082265009807</v>
      </c>
      <c r="J86">
        <v>156.5</v>
      </c>
      <c r="K86">
        <v>100</v>
      </c>
      <c r="L86">
        <v>135</v>
      </c>
      <c r="M86">
        <v>85</v>
      </c>
      <c r="N86" s="143" t="e">
        <v>#DIV/0!</v>
      </c>
      <c r="O86" s="143" t="e">
        <v>#DIV/0!</v>
      </c>
      <c r="P86">
        <v>-46</v>
      </c>
    </row>
    <row r="87" spans="1:16">
      <c r="A87" t="s">
        <v>236</v>
      </c>
      <c r="B87">
        <v>194</v>
      </c>
      <c r="C87">
        <v>39</v>
      </c>
      <c r="D87">
        <v>176</v>
      </c>
      <c r="E87">
        <v>67</v>
      </c>
      <c r="F87">
        <v>75</v>
      </c>
      <c r="G87">
        <v>132</v>
      </c>
      <c r="H87">
        <v>300.39999999999998</v>
      </c>
      <c r="I87" s="14">
        <v>448.24058297171564</v>
      </c>
      <c r="J87">
        <v>134</v>
      </c>
      <c r="K87">
        <v>86</v>
      </c>
      <c r="L87">
        <v>137</v>
      </c>
      <c r="M87">
        <v>86</v>
      </c>
      <c r="N87" s="143" t="e">
        <v>#DIV/0!</v>
      </c>
      <c r="O87" s="143" t="e">
        <v>#DIV/0!</v>
      </c>
      <c r="P87">
        <v>-8</v>
      </c>
    </row>
    <row r="88" spans="1:16">
      <c r="A88" t="s">
        <v>170</v>
      </c>
      <c r="B88">
        <v>202</v>
      </c>
      <c r="C88">
        <v>88</v>
      </c>
      <c r="D88">
        <v>166</v>
      </c>
      <c r="E88">
        <v>73</v>
      </c>
      <c r="F88">
        <v>46</v>
      </c>
      <c r="G88">
        <v>125</v>
      </c>
      <c r="H88">
        <v>317.59999999999997</v>
      </c>
      <c r="I88" s="14">
        <v>450.34776445682627</v>
      </c>
      <c r="J88">
        <v>146</v>
      </c>
      <c r="K88">
        <v>94</v>
      </c>
      <c r="L88">
        <v>138</v>
      </c>
      <c r="M88">
        <v>87</v>
      </c>
      <c r="N88" s="143" t="e">
        <v>#DIV/0!</v>
      </c>
      <c r="O88" s="143" t="e">
        <v>#DIV/0!</v>
      </c>
      <c r="P88">
        <v>8</v>
      </c>
    </row>
    <row r="89" spans="1:16">
      <c r="A89" t="s">
        <v>148</v>
      </c>
      <c r="B89">
        <v>180</v>
      </c>
      <c r="C89">
        <v>44</v>
      </c>
      <c r="D89">
        <v>51</v>
      </c>
      <c r="E89">
        <v>159</v>
      </c>
      <c r="F89">
        <v>151</v>
      </c>
      <c r="G89">
        <v>149</v>
      </c>
      <c r="H89">
        <v>276.10000000000002</v>
      </c>
      <c r="I89" s="14">
        <v>451.86802344475501</v>
      </c>
      <c r="J89">
        <v>107</v>
      </c>
      <c r="K89">
        <v>70</v>
      </c>
      <c r="L89">
        <v>139</v>
      </c>
      <c r="M89">
        <v>88</v>
      </c>
      <c r="N89" s="143" t="e">
        <v>#DIV/0!</v>
      </c>
      <c r="O89" s="143" t="e">
        <v>#DIV/0!</v>
      </c>
      <c r="P89">
        <v>-48</v>
      </c>
    </row>
    <row r="90" spans="1:16">
      <c r="A90" t="s">
        <v>189</v>
      </c>
      <c r="B90">
        <v>189</v>
      </c>
      <c r="C90">
        <v>54</v>
      </c>
      <c r="D90">
        <v>154</v>
      </c>
      <c r="E90">
        <v>12</v>
      </c>
      <c r="F90">
        <v>156</v>
      </c>
      <c r="G90">
        <v>140</v>
      </c>
      <c r="H90">
        <v>301.89999999999998</v>
      </c>
      <c r="I90" s="14">
        <v>453.92353078045926</v>
      </c>
      <c r="J90">
        <v>136</v>
      </c>
      <c r="K90">
        <v>87</v>
      </c>
      <c r="L90">
        <v>140</v>
      </c>
      <c r="M90">
        <v>89</v>
      </c>
      <c r="N90" s="143" t="e">
        <v>#DIV/0!</v>
      </c>
      <c r="O90" s="143" t="e">
        <v>#DIV/0!</v>
      </c>
      <c r="P90">
        <v>23</v>
      </c>
    </row>
    <row r="91" spans="1:16">
      <c r="A91" t="s">
        <v>393</v>
      </c>
      <c r="B91">
        <v>128</v>
      </c>
      <c r="C91">
        <v>137</v>
      </c>
      <c r="D91">
        <v>126</v>
      </c>
      <c r="E91">
        <v>102</v>
      </c>
      <c r="F91">
        <v>123</v>
      </c>
      <c r="G91">
        <v>126</v>
      </c>
      <c r="H91">
        <v>324.39999999999998</v>
      </c>
      <c r="I91" s="14">
        <v>454.30381114836439</v>
      </c>
      <c r="J91">
        <v>154</v>
      </c>
      <c r="K91">
        <v>99</v>
      </c>
      <c r="L91">
        <v>141</v>
      </c>
      <c r="M91">
        <v>90</v>
      </c>
      <c r="N91" s="143" t="e">
        <v>#DIV/0!</v>
      </c>
      <c r="O91" s="143" t="e">
        <v>#DIV/0!</v>
      </c>
      <c r="P91">
        <v>9</v>
      </c>
    </row>
    <row r="92" spans="1:16">
      <c r="A92" t="s">
        <v>153</v>
      </c>
      <c r="B92">
        <v>125</v>
      </c>
      <c r="C92">
        <v>144</v>
      </c>
      <c r="D92">
        <v>72</v>
      </c>
      <c r="E92">
        <v>198</v>
      </c>
      <c r="F92">
        <v>91</v>
      </c>
      <c r="G92">
        <v>134</v>
      </c>
      <c r="H92">
        <v>314.89999999999998</v>
      </c>
      <c r="I92" s="14">
        <v>459.07478382283125</v>
      </c>
      <c r="J92">
        <v>145</v>
      </c>
      <c r="K92">
        <v>93</v>
      </c>
      <c r="L92">
        <v>143</v>
      </c>
      <c r="M92">
        <v>91</v>
      </c>
      <c r="N92" s="143" t="e">
        <v>#DIV/0!</v>
      </c>
      <c r="O92" s="143" t="e">
        <v>#DIV/0!</v>
      </c>
      <c r="P92">
        <v>24</v>
      </c>
    </row>
    <row r="93" spans="1:16">
      <c r="A93" t="s">
        <v>120</v>
      </c>
      <c r="B93">
        <v>158</v>
      </c>
      <c r="C93">
        <v>86</v>
      </c>
      <c r="D93">
        <v>101</v>
      </c>
      <c r="E93">
        <v>156</v>
      </c>
      <c r="F93">
        <v>89</v>
      </c>
      <c r="G93">
        <v>148</v>
      </c>
      <c r="H93">
        <v>299.3</v>
      </c>
      <c r="I93" s="14">
        <v>463.555576213932</v>
      </c>
      <c r="J93">
        <v>132.5</v>
      </c>
      <c r="K93">
        <v>85</v>
      </c>
      <c r="L93">
        <v>144</v>
      </c>
      <c r="M93">
        <v>92</v>
      </c>
      <c r="N93" s="143" t="e">
        <v>#DIV/0!</v>
      </c>
      <c r="O93" s="143" t="e">
        <v>#DIV/0!</v>
      </c>
      <c r="P93">
        <v>-37</v>
      </c>
    </row>
    <row r="94" spans="1:16">
      <c r="A94" t="s">
        <v>243</v>
      </c>
      <c r="B94">
        <v>120</v>
      </c>
      <c r="C94">
        <v>157</v>
      </c>
      <c r="D94">
        <v>174</v>
      </c>
      <c r="E94">
        <v>37</v>
      </c>
      <c r="F94">
        <v>120</v>
      </c>
      <c r="G94">
        <v>142</v>
      </c>
      <c r="H94">
        <v>338.8</v>
      </c>
      <c r="I94" s="14">
        <v>475.045787554149</v>
      </c>
      <c r="J94">
        <v>166</v>
      </c>
      <c r="K94">
        <v>106</v>
      </c>
      <c r="L94">
        <v>148</v>
      </c>
      <c r="M94">
        <v>93</v>
      </c>
      <c r="N94" s="143" t="e">
        <v>#DIV/0!</v>
      </c>
      <c r="O94" s="143" t="e">
        <v>#DIV/0!</v>
      </c>
      <c r="P94">
        <v>31</v>
      </c>
    </row>
    <row r="95" spans="1:16">
      <c r="A95" t="s">
        <v>41</v>
      </c>
      <c r="B95">
        <v>19</v>
      </c>
      <c r="C95">
        <v>202</v>
      </c>
      <c r="D95">
        <v>202</v>
      </c>
      <c r="E95">
        <v>126</v>
      </c>
      <c r="F95">
        <v>28</v>
      </c>
      <c r="G95">
        <v>155</v>
      </c>
      <c r="H95">
        <v>333.7</v>
      </c>
      <c r="I95" s="14">
        <v>475.92454034917478</v>
      </c>
      <c r="J95">
        <v>162</v>
      </c>
      <c r="K95">
        <v>103</v>
      </c>
      <c r="L95">
        <v>149</v>
      </c>
      <c r="M95">
        <v>94</v>
      </c>
      <c r="N95" s="143" t="e">
        <v>#DIV/0!</v>
      </c>
      <c r="O95" s="143" t="e">
        <v>#DIV/0!</v>
      </c>
      <c r="P95">
        <v>-25</v>
      </c>
    </row>
    <row r="96" spans="1:16">
      <c r="A96" t="s">
        <v>177</v>
      </c>
      <c r="B96">
        <v>205</v>
      </c>
      <c r="C96">
        <v>6</v>
      </c>
      <c r="D96">
        <v>65</v>
      </c>
      <c r="E96">
        <v>122</v>
      </c>
      <c r="F96">
        <v>193</v>
      </c>
      <c r="G96">
        <v>167</v>
      </c>
      <c r="H96">
        <v>277.60000000000002</v>
      </c>
      <c r="I96" s="14">
        <v>476.89719670434687</v>
      </c>
      <c r="J96">
        <v>111</v>
      </c>
      <c r="K96">
        <v>71</v>
      </c>
      <c r="L96">
        <v>151</v>
      </c>
      <c r="M96">
        <v>95</v>
      </c>
      <c r="N96" s="143" t="e">
        <v>#DIV/0!</v>
      </c>
      <c r="O96" s="143" t="e">
        <v>#DIV/0!</v>
      </c>
      <c r="P96">
        <v>-68</v>
      </c>
    </row>
    <row r="97" spans="1:16">
      <c r="A97" t="s">
        <v>247</v>
      </c>
      <c r="B97">
        <v>165</v>
      </c>
      <c r="C97">
        <v>93</v>
      </c>
      <c r="D97">
        <v>116</v>
      </c>
      <c r="E97">
        <v>103</v>
      </c>
      <c r="F97">
        <v>143</v>
      </c>
      <c r="G97">
        <v>150</v>
      </c>
      <c r="H97">
        <v>317.89999999999998</v>
      </c>
      <c r="I97" s="14">
        <v>481.1746661466849</v>
      </c>
      <c r="J97">
        <v>147</v>
      </c>
      <c r="K97">
        <v>95</v>
      </c>
      <c r="L97">
        <v>153</v>
      </c>
      <c r="M97">
        <v>96</v>
      </c>
      <c r="N97" s="143" t="e">
        <v>#DIV/0!</v>
      </c>
      <c r="O97" s="143" t="e">
        <v>#DIV/0!</v>
      </c>
      <c r="P97">
        <v>16</v>
      </c>
    </row>
    <row r="98" spans="1:16">
      <c r="A98" t="s">
        <v>157</v>
      </c>
      <c r="B98">
        <v>158</v>
      </c>
      <c r="C98">
        <v>101</v>
      </c>
      <c r="D98">
        <v>53</v>
      </c>
      <c r="E98">
        <v>142</v>
      </c>
      <c r="F98">
        <v>190</v>
      </c>
      <c r="G98">
        <v>154</v>
      </c>
      <c r="H98">
        <v>309.5</v>
      </c>
      <c r="I98" s="14">
        <v>481.19500484837448</v>
      </c>
      <c r="J98">
        <v>141</v>
      </c>
      <c r="K98">
        <v>90</v>
      </c>
      <c r="L98">
        <v>154</v>
      </c>
      <c r="M98">
        <v>97</v>
      </c>
      <c r="N98" s="143" t="e">
        <v>#DIV/0!</v>
      </c>
      <c r="O98" s="143" t="e">
        <v>#DIV/0!</v>
      </c>
      <c r="P98">
        <v>17</v>
      </c>
    </row>
    <row r="99" spans="1:16">
      <c r="A99" t="s">
        <v>20</v>
      </c>
      <c r="B99">
        <v>5</v>
      </c>
      <c r="C99">
        <v>192</v>
      </c>
      <c r="D99">
        <v>52</v>
      </c>
      <c r="E99">
        <v>183</v>
      </c>
      <c r="F99">
        <v>206</v>
      </c>
      <c r="G99">
        <v>171</v>
      </c>
      <c r="H99">
        <v>309.70000000000005</v>
      </c>
      <c r="I99" s="14">
        <v>482.9409867619097</v>
      </c>
      <c r="J99">
        <v>142</v>
      </c>
      <c r="K99">
        <v>91</v>
      </c>
      <c r="L99">
        <v>157</v>
      </c>
      <c r="M99">
        <v>98</v>
      </c>
      <c r="N99" s="143" t="e">
        <v>#DIV/0!</v>
      </c>
      <c r="O99" s="143" t="e">
        <v>#DIV/0!</v>
      </c>
      <c r="P99">
        <v>-1</v>
      </c>
    </row>
    <row r="100" spans="1:16">
      <c r="A100" t="s">
        <v>386</v>
      </c>
      <c r="B100">
        <v>192</v>
      </c>
      <c r="C100">
        <v>15</v>
      </c>
      <c r="D100">
        <v>106</v>
      </c>
      <c r="E100">
        <v>135</v>
      </c>
      <c r="F100">
        <v>121</v>
      </c>
      <c r="G100">
        <v>174</v>
      </c>
      <c r="H100">
        <v>281.60000000000002</v>
      </c>
      <c r="I100" s="14">
        <v>483.71664245628529</v>
      </c>
      <c r="J100">
        <v>115</v>
      </c>
      <c r="K100">
        <v>74</v>
      </c>
      <c r="L100">
        <v>158</v>
      </c>
      <c r="M100">
        <v>99</v>
      </c>
      <c r="N100" s="143" t="e">
        <v>#DIV/0!</v>
      </c>
      <c r="O100" s="143" t="e">
        <v>#DIV/0!</v>
      </c>
      <c r="P100">
        <v>-49</v>
      </c>
    </row>
    <row r="101" spans="1:16">
      <c r="A101" t="s">
        <v>53</v>
      </c>
      <c r="B101">
        <v>50</v>
      </c>
      <c r="C101">
        <v>115</v>
      </c>
      <c r="D101">
        <v>123</v>
      </c>
      <c r="E101">
        <v>189</v>
      </c>
      <c r="F101">
        <v>109</v>
      </c>
      <c r="G101">
        <v>173</v>
      </c>
      <c r="H101">
        <v>299.3</v>
      </c>
      <c r="I101" s="14">
        <v>484.0716853035978</v>
      </c>
      <c r="J101">
        <v>132.5</v>
      </c>
      <c r="K101">
        <v>84</v>
      </c>
      <c r="L101">
        <v>159</v>
      </c>
      <c r="M101">
        <v>100</v>
      </c>
      <c r="N101" s="143" t="e">
        <v>#DIV/0!</v>
      </c>
      <c r="O101" s="143" t="e">
        <v>#DIV/0!</v>
      </c>
      <c r="P101">
        <v>1</v>
      </c>
    </row>
    <row r="102" spans="1:16">
      <c r="A102" t="s">
        <v>52</v>
      </c>
      <c r="B102">
        <v>189</v>
      </c>
      <c r="C102">
        <v>172</v>
      </c>
      <c r="D102">
        <v>164</v>
      </c>
      <c r="E102">
        <v>13</v>
      </c>
      <c r="F102">
        <v>54</v>
      </c>
      <c r="G102">
        <v>156</v>
      </c>
      <c r="H102">
        <v>339.3</v>
      </c>
      <c r="I102" s="14">
        <v>484.1624320900346</v>
      </c>
      <c r="J102">
        <v>168</v>
      </c>
      <c r="K102">
        <v>107</v>
      </c>
      <c r="L102">
        <v>160</v>
      </c>
      <c r="M102">
        <v>101</v>
      </c>
      <c r="N102" s="143" t="e">
        <v>#DIV/0!</v>
      </c>
      <c r="O102" s="143" t="e">
        <v>#DIV/0!</v>
      </c>
      <c r="P102">
        <v>-2</v>
      </c>
    </row>
    <row r="103" spans="1:16">
      <c r="A103" t="s">
        <v>126</v>
      </c>
      <c r="B103">
        <v>94</v>
      </c>
      <c r="C103">
        <v>118</v>
      </c>
      <c r="D103">
        <v>181</v>
      </c>
      <c r="E103">
        <v>99</v>
      </c>
      <c r="F103">
        <v>147</v>
      </c>
      <c r="G103">
        <v>139</v>
      </c>
      <c r="H103">
        <v>342.90000000000003</v>
      </c>
      <c r="I103" s="14">
        <v>488.74274027257604</v>
      </c>
      <c r="J103">
        <v>171</v>
      </c>
      <c r="K103">
        <v>108</v>
      </c>
      <c r="L103">
        <v>161</v>
      </c>
      <c r="M103">
        <v>102</v>
      </c>
      <c r="N103" s="143" t="e">
        <v>#DIV/0!</v>
      </c>
      <c r="O103" s="143" t="e">
        <v>#DIV/0!</v>
      </c>
      <c r="P103">
        <v>9</v>
      </c>
    </row>
    <row r="104" spans="1:16">
      <c r="A104" t="s">
        <v>86</v>
      </c>
      <c r="B104">
        <v>99</v>
      </c>
      <c r="C104">
        <v>129</v>
      </c>
      <c r="D104">
        <v>195</v>
      </c>
      <c r="E104">
        <v>127</v>
      </c>
      <c r="F104">
        <v>49</v>
      </c>
      <c r="G104">
        <v>153</v>
      </c>
      <c r="H104">
        <v>333.8</v>
      </c>
      <c r="I104" s="14">
        <v>489.76687282472534</v>
      </c>
      <c r="J104">
        <v>163</v>
      </c>
      <c r="K104">
        <v>104</v>
      </c>
      <c r="L104">
        <v>162</v>
      </c>
      <c r="M104">
        <v>103</v>
      </c>
      <c r="N104" s="143" t="e">
        <v>#DIV/0!</v>
      </c>
      <c r="O104" s="143" t="e">
        <v>#DIV/0!</v>
      </c>
      <c r="P104">
        <v>-33</v>
      </c>
    </row>
    <row r="105" spans="1:16">
      <c r="A105" t="s">
        <v>56</v>
      </c>
      <c r="B105">
        <v>60</v>
      </c>
      <c r="C105">
        <v>193</v>
      </c>
      <c r="D105">
        <v>112</v>
      </c>
      <c r="E105">
        <v>203</v>
      </c>
      <c r="F105">
        <v>72</v>
      </c>
      <c r="G105">
        <v>168</v>
      </c>
      <c r="H105">
        <v>334.2</v>
      </c>
      <c r="I105" s="14">
        <v>501.98555138293443</v>
      </c>
      <c r="J105">
        <v>164</v>
      </c>
      <c r="K105">
        <v>105</v>
      </c>
      <c r="L105">
        <v>163</v>
      </c>
      <c r="M105">
        <v>104</v>
      </c>
      <c r="N105" s="143" t="e">
        <v>#DIV/0!</v>
      </c>
      <c r="O105" s="143" t="e">
        <v>#DIV/0!</v>
      </c>
      <c r="P105">
        <v>-12</v>
      </c>
    </row>
    <row r="106" spans="1:16">
      <c r="A106" t="s">
        <v>174</v>
      </c>
      <c r="B106">
        <v>141</v>
      </c>
      <c r="C106">
        <v>91</v>
      </c>
      <c r="D106">
        <v>186</v>
      </c>
      <c r="E106">
        <v>151</v>
      </c>
      <c r="F106">
        <v>40</v>
      </c>
      <c r="G106">
        <v>165</v>
      </c>
      <c r="H106">
        <v>331.7</v>
      </c>
      <c r="I106" s="14">
        <v>509.10994936386732</v>
      </c>
      <c r="J106">
        <v>160</v>
      </c>
      <c r="K106">
        <v>102</v>
      </c>
      <c r="L106">
        <v>164</v>
      </c>
      <c r="M106">
        <v>105</v>
      </c>
      <c r="N106" s="143" t="e">
        <v>#DIV/0!</v>
      </c>
      <c r="O106" s="143" t="e">
        <v>#DIV/0!</v>
      </c>
      <c r="P106">
        <v>-33</v>
      </c>
    </row>
    <row r="107" spans="1:16">
      <c r="A107" t="s">
        <v>222</v>
      </c>
      <c r="B107">
        <v>155</v>
      </c>
      <c r="C107">
        <v>110</v>
      </c>
      <c r="D107">
        <v>113</v>
      </c>
      <c r="E107">
        <v>42</v>
      </c>
      <c r="F107">
        <v>203</v>
      </c>
      <c r="G107">
        <v>184</v>
      </c>
      <c r="H107">
        <v>320.60000000000002</v>
      </c>
      <c r="I107" s="14">
        <v>511.95145090539614</v>
      </c>
      <c r="J107">
        <v>151</v>
      </c>
      <c r="K107">
        <v>97</v>
      </c>
      <c r="L107">
        <v>165</v>
      </c>
      <c r="M107">
        <v>106</v>
      </c>
      <c r="N107" s="143" t="e">
        <v>#DIV/0!</v>
      </c>
      <c r="O107" s="143" t="e">
        <v>#DIV/0!</v>
      </c>
      <c r="P107">
        <v>-55</v>
      </c>
    </row>
    <row r="108" spans="1:16">
      <c r="A108" t="s">
        <v>155</v>
      </c>
      <c r="B108">
        <v>125</v>
      </c>
      <c r="C108">
        <v>187</v>
      </c>
      <c r="D108">
        <v>163</v>
      </c>
      <c r="E108">
        <v>75</v>
      </c>
      <c r="F108">
        <v>124</v>
      </c>
      <c r="G108">
        <v>151</v>
      </c>
      <c r="H108">
        <v>368.4</v>
      </c>
      <c r="I108" s="14">
        <v>513.36941754221743</v>
      </c>
      <c r="J108">
        <v>188</v>
      </c>
      <c r="K108">
        <v>113</v>
      </c>
      <c r="L108">
        <v>166</v>
      </c>
      <c r="M108">
        <v>107</v>
      </c>
      <c r="N108" s="143" t="e">
        <v>#DIV/0!</v>
      </c>
      <c r="O108" s="143" t="e">
        <v>#DIV/0!</v>
      </c>
      <c r="P108">
        <v>9</v>
      </c>
    </row>
    <row r="109" spans="1:16">
      <c r="A109" t="s">
        <v>220</v>
      </c>
      <c r="B109">
        <v>206</v>
      </c>
      <c r="C109">
        <v>92</v>
      </c>
      <c r="D109">
        <v>209</v>
      </c>
      <c r="E109">
        <v>47</v>
      </c>
      <c r="F109">
        <v>2</v>
      </c>
      <c r="G109">
        <v>192</v>
      </c>
      <c r="H109">
        <v>324.10000000000002</v>
      </c>
      <c r="I109" s="14">
        <v>518.77637651757118</v>
      </c>
      <c r="J109">
        <v>153</v>
      </c>
      <c r="K109">
        <v>98</v>
      </c>
      <c r="L109">
        <v>168</v>
      </c>
      <c r="M109">
        <v>108</v>
      </c>
      <c r="N109" s="143" t="e">
        <v>#DIV/0!</v>
      </c>
      <c r="O109" s="143" t="e">
        <v>#DIV/0!</v>
      </c>
      <c r="P109">
        <v>-7</v>
      </c>
    </row>
    <row r="110" spans="1:16">
      <c r="A110" t="s">
        <v>385</v>
      </c>
      <c r="B110">
        <v>203</v>
      </c>
      <c r="C110">
        <v>34</v>
      </c>
      <c r="D110">
        <v>92</v>
      </c>
      <c r="E110">
        <v>192</v>
      </c>
      <c r="F110">
        <v>117</v>
      </c>
      <c r="G110">
        <v>180</v>
      </c>
      <c r="H110">
        <v>309.90000000000003</v>
      </c>
      <c r="I110" s="14">
        <v>521.12409198445926</v>
      </c>
      <c r="J110">
        <v>143</v>
      </c>
      <c r="K110">
        <v>92</v>
      </c>
      <c r="L110">
        <v>169</v>
      </c>
      <c r="M110">
        <v>109</v>
      </c>
      <c r="N110" s="143" t="e">
        <v>#DIV/0!</v>
      </c>
      <c r="O110" s="143" t="e">
        <v>#DIV/0!</v>
      </c>
      <c r="P110">
        <v>13</v>
      </c>
    </row>
    <row r="111" spans="1:16">
      <c r="A111" t="s">
        <v>83</v>
      </c>
      <c r="B111">
        <v>60</v>
      </c>
      <c r="C111">
        <v>196</v>
      </c>
      <c r="D111">
        <v>205</v>
      </c>
      <c r="E111">
        <v>148</v>
      </c>
      <c r="F111">
        <v>8</v>
      </c>
      <c r="G111">
        <v>178</v>
      </c>
      <c r="H111">
        <v>353.5</v>
      </c>
      <c r="I111" s="14">
        <v>522.63906693778927</v>
      </c>
      <c r="J111">
        <v>177</v>
      </c>
      <c r="K111">
        <v>110</v>
      </c>
      <c r="L111">
        <v>171</v>
      </c>
      <c r="M111">
        <v>110</v>
      </c>
      <c r="N111" s="143" t="e">
        <v>#DIV/0!</v>
      </c>
      <c r="O111" s="143" t="e">
        <v>#DIV/0!</v>
      </c>
      <c r="P111">
        <v>1</v>
      </c>
    </row>
    <row r="112" spans="1:16">
      <c r="A112" t="s">
        <v>32</v>
      </c>
      <c r="B112">
        <v>91</v>
      </c>
      <c r="C112">
        <v>167</v>
      </c>
      <c r="D112">
        <v>131</v>
      </c>
      <c r="E112">
        <v>146</v>
      </c>
      <c r="F112">
        <v>173</v>
      </c>
      <c r="G112">
        <v>160</v>
      </c>
      <c r="H112">
        <v>364.99999999999994</v>
      </c>
      <c r="I112" s="14">
        <v>530.08745896003825</v>
      </c>
      <c r="J112">
        <v>185</v>
      </c>
      <c r="K112">
        <v>111</v>
      </c>
      <c r="L112">
        <v>174</v>
      </c>
      <c r="M112">
        <v>111</v>
      </c>
      <c r="N112" s="143" t="e">
        <v>#DIV/0!</v>
      </c>
      <c r="O112" s="143" t="e">
        <v>#DIV/0!</v>
      </c>
      <c r="P112">
        <v>-91</v>
      </c>
    </row>
    <row r="113" spans="1:16">
      <c r="A113" t="s">
        <v>398</v>
      </c>
      <c r="B113">
        <v>10</v>
      </c>
      <c r="C113">
        <v>207</v>
      </c>
      <c r="D113">
        <v>196</v>
      </c>
      <c r="E113">
        <v>107</v>
      </c>
      <c r="F113">
        <v>145</v>
      </c>
      <c r="G113">
        <v>183</v>
      </c>
      <c r="H113">
        <v>367.2</v>
      </c>
      <c r="I113" s="14">
        <v>540.79037050062925</v>
      </c>
      <c r="J113">
        <v>186.5</v>
      </c>
      <c r="K113">
        <v>112</v>
      </c>
      <c r="L113">
        <v>180</v>
      </c>
      <c r="M113">
        <v>112</v>
      </c>
      <c r="N113" s="143" t="e">
        <v>#DIV/0!</v>
      </c>
      <c r="O113" s="143" t="e">
        <v>#DIV/0!</v>
      </c>
      <c r="P113">
        <v>4</v>
      </c>
    </row>
    <row r="114" spans="1:16">
      <c r="A114" t="s">
        <v>94</v>
      </c>
      <c r="B114">
        <v>153</v>
      </c>
      <c r="C114">
        <v>154</v>
      </c>
      <c r="D114">
        <v>165</v>
      </c>
      <c r="E114">
        <v>157</v>
      </c>
      <c r="F114">
        <v>65</v>
      </c>
      <c r="G114">
        <v>172</v>
      </c>
      <c r="H114">
        <v>373.2</v>
      </c>
      <c r="I114" s="14">
        <v>550.49499927624504</v>
      </c>
      <c r="J114">
        <v>191</v>
      </c>
      <c r="K114">
        <v>114</v>
      </c>
      <c r="L114">
        <v>182</v>
      </c>
      <c r="M114">
        <v>113</v>
      </c>
      <c r="N114" s="143" t="e">
        <v>#DIV/0!</v>
      </c>
      <c r="O114" s="143" t="e">
        <v>#DIV/0!</v>
      </c>
      <c r="P114">
        <v>34</v>
      </c>
    </row>
    <row r="115" spans="1:16">
      <c r="A115" t="s">
        <v>106</v>
      </c>
      <c r="B115">
        <v>71</v>
      </c>
      <c r="C115">
        <v>194</v>
      </c>
      <c r="D115">
        <v>190</v>
      </c>
      <c r="E115">
        <v>199</v>
      </c>
      <c r="F115">
        <v>25</v>
      </c>
      <c r="G115">
        <v>192</v>
      </c>
      <c r="H115">
        <v>374.5</v>
      </c>
      <c r="I115" s="14">
        <v>564.44000599044375</v>
      </c>
      <c r="J115">
        <v>194</v>
      </c>
      <c r="K115">
        <v>115</v>
      </c>
      <c r="L115">
        <v>193</v>
      </c>
      <c r="M115">
        <v>114</v>
      </c>
      <c r="N115" s="143" t="e">
        <v>#DIV/0!</v>
      </c>
      <c r="O115" s="143" t="e">
        <v>#DIV/0!</v>
      </c>
      <c r="P115">
        <v>0</v>
      </c>
    </row>
    <row r="116" spans="1:16">
      <c r="A116" t="s">
        <v>168</v>
      </c>
      <c r="B116">
        <v>164</v>
      </c>
      <c r="C116">
        <v>17</v>
      </c>
      <c r="D116">
        <v>160</v>
      </c>
      <c r="E116">
        <v>167</v>
      </c>
      <c r="F116">
        <v>181</v>
      </c>
      <c r="G116">
        <v>190</v>
      </c>
      <c r="H116">
        <v>343.4</v>
      </c>
      <c r="I116" s="14">
        <v>567.15930203658661</v>
      </c>
      <c r="J116">
        <v>172</v>
      </c>
      <c r="K116">
        <v>109</v>
      </c>
      <c r="L116">
        <v>194</v>
      </c>
      <c r="M116">
        <v>115</v>
      </c>
      <c r="N116" s="143" t="e">
        <v>#DIV/0!</v>
      </c>
      <c r="O116" s="143" t="e">
        <v>#DIV/0!</v>
      </c>
      <c r="P116">
        <v>-23</v>
      </c>
    </row>
    <row r="117" spans="1:16">
      <c r="A117" t="s">
        <v>240</v>
      </c>
      <c r="B117">
        <v>108</v>
      </c>
      <c r="C117">
        <v>190</v>
      </c>
      <c r="D117">
        <v>133</v>
      </c>
      <c r="E117">
        <v>193</v>
      </c>
      <c r="F117">
        <v>158</v>
      </c>
      <c r="G117">
        <v>179</v>
      </c>
      <c r="H117">
        <v>401.5</v>
      </c>
      <c r="I117" s="14">
        <v>586.90146653640682</v>
      </c>
      <c r="J117">
        <v>203</v>
      </c>
      <c r="K117">
        <v>117</v>
      </c>
      <c r="L117">
        <v>197</v>
      </c>
      <c r="M117">
        <v>116</v>
      </c>
      <c r="N117" s="143" t="e">
        <v>#DIV/0!</v>
      </c>
      <c r="O117" s="143" t="e">
        <v>#DIV/0!</v>
      </c>
      <c r="P117">
        <v>9</v>
      </c>
    </row>
    <row r="118" spans="1:16">
      <c r="A118" t="s">
        <v>387</v>
      </c>
      <c r="B118">
        <v>166</v>
      </c>
      <c r="C118">
        <v>95</v>
      </c>
      <c r="D118">
        <v>198</v>
      </c>
      <c r="E118">
        <v>78</v>
      </c>
      <c r="F118">
        <v>200</v>
      </c>
      <c r="G118">
        <v>204</v>
      </c>
      <c r="H118">
        <v>389.8</v>
      </c>
      <c r="I118" s="14">
        <v>608.32678842573216</v>
      </c>
      <c r="J118">
        <v>201</v>
      </c>
      <c r="K118">
        <v>116</v>
      </c>
      <c r="L118">
        <v>203</v>
      </c>
      <c r="M118">
        <v>117</v>
      </c>
      <c r="N118" s="143" t="e">
        <v>#DIV/0!</v>
      </c>
      <c r="O118" s="143" t="e">
        <v>#DIV/0!</v>
      </c>
      <c r="P118">
        <v>5</v>
      </c>
    </row>
    <row r="119" spans="1:16">
      <c r="A119" t="s">
        <v>61</v>
      </c>
      <c r="B119">
        <v>108</v>
      </c>
      <c r="C119">
        <v>151</v>
      </c>
      <c r="D119">
        <v>170</v>
      </c>
      <c r="E119">
        <v>187</v>
      </c>
      <c r="F119">
        <v>198</v>
      </c>
      <c r="G119">
        <v>203</v>
      </c>
      <c r="H119">
        <v>417.59999999999997</v>
      </c>
      <c r="I119" s="14">
        <v>634.86157939473037</v>
      </c>
      <c r="J119">
        <v>205</v>
      </c>
      <c r="K119">
        <v>118</v>
      </c>
      <c r="L119">
        <v>205</v>
      </c>
      <c r="M119">
        <v>118</v>
      </c>
      <c r="N119" s="143" t="e">
        <v>#DIV/0!</v>
      </c>
      <c r="O119" s="143" t="e">
        <v>#DIV/0!</v>
      </c>
      <c r="P119">
        <v>-9</v>
      </c>
    </row>
    <row r="120" spans="1:16">
      <c r="A120" t="s">
        <v>392</v>
      </c>
      <c r="B120">
        <v>145</v>
      </c>
      <c r="C120">
        <v>189</v>
      </c>
      <c r="D120">
        <v>179</v>
      </c>
      <c r="E120">
        <v>129</v>
      </c>
      <c r="F120">
        <v>209</v>
      </c>
      <c r="G120">
        <v>209</v>
      </c>
      <c r="H120">
        <v>446.40000000000003</v>
      </c>
      <c r="I120" s="14">
        <v>660.41272347065888</v>
      </c>
      <c r="J120">
        <v>207</v>
      </c>
      <c r="K120">
        <v>119</v>
      </c>
      <c r="L120">
        <v>207</v>
      </c>
      <c r="M120">
        <v>119</v>
      </c>
      <c r="N120" s="143" t="e">
        <v>#DIV/0!</v>
      </c>
      <c r="O120" s="143" t="e">
        <v>#DIV/0!</v>
      </c>
      <c r="P120">
        <v>7</v>
      </c>
    </row>
  </sheetData>
  <conditionalFormatting sqref="N2:O1048576">
    <cfRule type="cellIs" dxfId="69" priority="5" operator="greaterThanOrEqual">
      <formula>20%</formula>
    </cfRule>
    <cfRule type="cellIs" dxfId="68" priority="6" operator="between">
      <formula>10%</formula>
      <formula>20%</formula>
    </cfRule>
    <cfRule type="cellIs" dxfId="67" priority="7" operator="between">
      <formula>0.01%</formula>
      <formula>10%</formula>
    </cfRule>
  </conditionalFormatting>
  <conditionalFormatting sqref="B2:G1048576 J2:M1048576">
    <cfRule type="cellIs" dxfId="66" priority="8" operator="between">
      <formula>101</formula>
      <formula>250</formula>
    </cfRule>
    <cfRule type="cellIs" dxfId="65" priority="9" operator="between">
      <formula>51</formula>
      <formula>100.5</formula>
    </cfRule>
    <cfRule type="cellIs" dxfId="64" priority="10" operator="between">
      <formula>21</formula>
      <formula>50.5</formula>
    </cfRule>
    <cfRule type="cellIs" dxfId="63"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772C0-E9EC-48B5-8F85-6CF9FF56F7B0}">
  <sheetPr codeName="Sheet59">
    <tabColor rgb="FFFF0000"/>
  </sheetPr>
  <dimension ref="A1:V150"/>
  <sheetViews>
    <sheetView zoomScaleNormal="100" workbookViewId="0">
      <selection activeCell="R1" sqref="R1"/>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23</v>
      </c>
      <c r="B2">
        <v>5</v>
      </c>
      <c r="C2">
        <v>169</v>
      </c>
      <c r="D2">
        <v>33</v>
      </c>
      <c r="E2">
        <v>16</v>
      </c>
      <c r="F2">
        <v>208</v>
      </c>
      <c r="G2">
        <v>23</v>
      </c>
      <c r="H2">
        <v>222</v>
      </c>
      <c r="I2" s="14">
        <v>231.89370622216296</v>
      </c>
      <c r="J2">
        <v>26</v>
      </c>
      <c r="K2">
        <v>19</v>
      </c>
      <c r="L2">
        <v>21</v>
      </c>
      <c r="M2">
        <v>16</v>
      </c>
      <c r="N2" s="143" t="e">
        <v>#DIV/0!</v>
      </c>
      <c r="O2" s="143" t="e">
        <v>#DIV/0!</v>
      </c>
      <c r="P2">
        <v>-1</v>
      </c>
      <c r="Q2">
        <v>1</v>
      </c>
    </row>
    <row r="3" spans="1:22">
      <c r="A3" s="20" t="s">
        <v>27</v>
      </c>
      <c r="B3">
        <v>39</v>
      </c>
      <c r="C3">
        <v>19</v>
      </c>
      <c r="D3">
        <v>8</v>
      </c>
      <c r="E3">
        <v>57</v>
      </c>
      <c r="F3">
        <v>92</v>
      </c>
      <c r="G3">
        <v>7</v>
      </c>
      <c r="H3">
        <v>115.10000000000001</v>
      </c>
      <c r="I3" s="14">
        <v>116.83095992941003</v>
      </c>
      <c r="J3">
        <v>1</v>
      </c>
      <c r="K3">
        <v>1</v>
      </c>
      <c r="L3">
        <v>1</v>
      </c>
      <c r="M3">
        <v>1</v>
      </c>
      <c r="N3" s="143" t="e">
        <v>#DIV/0!</v>
      </c>
      <c r="O3" s="143" t="e">
        <v>#DIV/0!</v>
      </c>
      <c r="P3">
        <v>-2</v>
      </c>
    </row>
    <row r="4" spans="1:22">
      <c r="A4" s="20" t="s">
        <v>15</v>
      </c>
      <c r="B4">
        <v>36</v>
      </c>
      <c r="C4">
        <v>52</v>
      </c>
      <c r="D4">
        <v>12</v>
      </c>
      <c r="E4">
        <v>119</v>
      </c>
      <c r="F4">
        <v>41</v>
      </c>
      <c r="G4">
        <v>2</v>
      </c>
      <c r="H4">
        <v>131.30000000000001</v>
      </c>
      <c r="I4" s="14">
        <v>137.89349920369932</v>
      </c>
      <c r="J4">
        <v>2</v>
      </c>
      <c r="K4">
        <v>2</v>
      </c>
      <c r="L4">
        <v>3</v>
      </c>
      <c r="M4">
        <v>2</v>
      </c>
      <c r="N4" s="143" t="e">
        <v>#DIV/0!</v>
      </c>
      <c r="O4" s="143" t="e">
        <v>#DIV/0!</v>
      </c>
      <c r="P4" t="e">
        <v>#N/A</v>
      </c>
    </row>
    <row r="5" spans="1:22">
      <c r="A5" s="20" t="s">
        <v>113</v>
      </c>
      <c r="B5">
        <v>58</v>
      </c>
      <c r="C5">
        <v>30</v>
      </c>
      <c r="D5">
        <v>69</v>
      </c>
      <c r="E5">
        <v>9</v>
      </c>
      <c r="F5">
        <v>109</v>
      </c>
      <c r="G5">
        <v>8</v>
      </c>
      <c r="H5">
        <v>167.8</v>
      </c>
      <c r="I5" s="14">
        <v>164.81414706003366</v>
      </c>
      <c r="J5">
        <v>4</v>
      </c>
      <c r="K5">
        <v>3</v>
      </c>
      <c r="L5">
        <v>4</v>
      </c>
      <c r="M5">
        <v>3</v>
      </c>
      <c r="N5" s="143" t="e">
        <v>#DIV/0!</v>
      </c>
      <c r="O5" s="143" t="e">
        <v>#DIV/0!</v>
      </c>
      <c r="P5">
        <v>-1</v>
      </c>
    </row>
    <row r="6" spans="1:22">
      <c r="A6" t="s">
        <v>409</v>
      </c>
      <c r="B6">
        <v>75</v>
      </c>
      <c r="C6">
        <v>86</v>
      </c>
      <c r="D6">
        <v>9</v>
      </c>
      <c r="E6">
        <v>28</v>
      </c>
      <c r="F6">
        <v>107</v>
      </c>
      <c r="G6">
        <v>17</v>
      </c>
      <c r="H6">
        <v>174</v>
      </c>
      <c r="I6" s="14">
        <v>171.43848247395883</v>
      </c>
      <c r="J6">
        <v>6</v>
      </c>
      <c r="K6">
        <v>5</v>
      </c>
      <c r="L6">
        <v>5</v>
      </c>
      <c r="M6">
        <v>4</v>
      </c>
      <c r="N6" s="143" t="e">
        <v>#DIV/0!</v>
      </c>
      <c r="O6" s="143" t="e">
        <v>#DIV/0!</v>
      </c>
      <c r="P6">
        <v>-8</v>
      </c>
    </row>
    <row r="7" spans="1:22">
      <c r="A7" t="s">
        <v>231</v>
      </c>
      <c r="B7">
        <v>61</v>
      </c>
      <c r="C7">
        <v>125</v>
      </c>
      <c r="D7">
        <v>35</v>
      </c>
      <c r="E7">
        <v>31</v>
      </c>
      <c r="F7">
        <v>77</v>
      </c>
      <c r="G7">
        <v>10</v>
      </c>
      <c r="H7">
        <v>186.70000000000002</v>
      </c>
      <c r="I7" s="14">
        <v>182.51143536830509</v>
      </c>
      <c r="J7">
        <v>11</v>
      </c>
      <c r="K7">
        <v>7</v>
      </c>
      <c r="L7">
        <v>7</v>
      </c>
      <c r="M7">
        <v>5</v>
      </c>
      <c r="N7" s="143" t="e">
        <v>#DIV/0!</v>
      </c>
      <c r="O7" s="143" t="e">
        <v>#DIV/0!</v>
      </c>
      <c r="P7">
        <v>5</v>
      </c>
    </row>
    <row r="8" spans="1:22">
      <c r="A8" t="s">
        <v>406</v>
      </c>
      <c r="B8">
        <v>48</v>
      </c>
      <c r="C8">
        <v>122</v>
      </c>
      <c r="D8">
        <v>43</v>
      </c>
      <c r="E8">
        <v>95</v>
      </c>
      <c r="F8">
        <v>12</v>
      </c>
      <c r="G8">
        <v>14</v>
      </c>
      <c r="H8">
        <v>173.5</v>
      </c>
      <c r="I8" s="14">
        <v>187.95491785478728</v>
      </c>
      <c r="J8">
        <v>5</v>
      </c>
      <c r="K8">
        <v>4</v>
      </c>
      <c r="L8">
        <v>9</v>
      </c>
      <c r="M8">
        <v>6</v>
      </c>
      <c r="N8" s="143" t="e">
        <v>#DIV/0!</v>
      </c>
      <c r="O8" s="143" t="e">
        <v>#DIV/0!</v>
      </c>
      <c r="P8">
        <v>-3</v>
      </c>
    </row>
    <row r="9" spans="1:22">
      <c r="A9" t="s">
        <v>42</v>
      </c>
      <c r="B9">
        <v>32</v>
      </c>
      <c r="C9">
        <v>95</v>
      </c>
      <c r="D9">
        <v>27</v>
      </c>
      <c r="E9">
        <v>18</v>
      </c>
      <c r="F9">
        <v>185</v>
      </c>
      <c r="G9">
        <v>22</v>
      </c>
      <c r="H9">
        <v>191.7</v>
      </c>
      <c r="I9" s="14">
        <v>199.00784415357714</v>
      </c>
      <c r="J9">
        <v>14</v>
      </c>
      <c r="K9">
        <v>9</v>
      </c>
      <c r="L9">
        <v>10</v>
      </c>
      <c r="M9">
        <v>7</v>
      </c>
      <c r="N9" s="143" t="e">
        <v>#DIV/0!</v>
      </c>
      <c r="O9" s="143" t="e">
        <v>#DIV/0!</v>
      </c>
      <c r="P9">
        <v>17</v>
      </c>
    </row>
    <row r="10" spans="1:22">
      <c r="A10" t="s">
        <v>399</v>
      </c>
      <c r="B10">
        <v>2</v>
      </c>
      <c r="C10">
        <v>171</v>
      </c>
      <c r="D10">
        <v>130</v>
      </c>
      <c r="E10">
        <v>4</v>
      </c>
      <c r="F10">
        <v>13</v>
      </c>
      <c r="G10">
        <v>12</v>
      </c>
      <c r="H10">
        <v>186.2</v>
      </c>
      <c r="I10" s="14">
        <v>202.20401404526632</v>
      </c>
      <c r="J10">
        <v>10</v>
      </c>
      <c r="K10">
        <v>6</v>
      </c>
      <c r="L10">
        <v>11</v>
      </c>
      <c r="M10">
        <v>8</v>
      </c>
      <c r="N10" s="143" t="e">
        <v>#DIV/0!</v>
      </c>
      <c r="O10" s="143" t="e">
        <v>#DIV/0!</v>
      </c>
      <c r="P10">
        <v>-8</v>
      </c>
    </row>
    <row r="11" spans="1:22">
      <c r="A11" t="s">
        <v>93</v>
      </c>
      <c r="B11">
        <v>81</v>
      </c>
      <c r="C11">
        <v>35</v>
      </c>
      <c r="D11">
        <v>36</v>
      </c>
      <c r="E11">
        <v>154</v>
      </c>
      <c r="F11">
        <v>44</v>
      </c>
      <c r="G11">
        <v>11</v>
      </c>
      <c r="H11">
        <v>191.1</v>
      </c>
      <c r="I11" s="14">
        <v>204.67524371742806</v>
      </c>
      <c r="J11">
        <v>13</v>
      </c>
      <c r="K11">
        <v>8</v>
      </c>
      <c r="L11">
        <v>12</v>
      </c>
      <c r="M11">
        <v>9</v>
      </c>
      <c r="N11" s="143" t="e">
        <v>#DIV/0!</v>
      </c>
      <c r="O11" s="143" t="e">
        <v>#DIV/0!</v>
      </c>
      <c r="P11">
        <v>16</v>
      </c>
    </row>
    <row r="12" spans="1:22">
      <c r="A12" t="s">
        <v>161</v>
      </c>
      <c r="B12">
        <v>83</v>
      </c>
      <c r="C12">
        <v>24</v>
      </c>
      <c r="D12">
        <v>24</v>
      </c>
      <c r="E12">
        <v>27</v>
      </c>
      <c r="F12">
        <v>175</v>
      </c>
      <c r="G12">
        <v>37</v>
      </c>
      <c r="H12">
        <v>193.5</v>
      </c>
      <c r="I12" s="14">
        <v>209.76402557715562</v>
      </c>
      <c r="J12">
        <v>15</v>
      </c>
      <c r="K12">
        <v>10</v>
      </c>
      <c r="L12">
        <v>13</v>
      </c>
      <c r="M12">
        <v>10</v>
      </c>
      <c r="N12" s="143" t="e">
        <v>#DIV/0!</v>
      </c>
      <c r="O12" s="143" t="e">
        <v>#DIV/0!</v>
      </c>
      <c r="P12">
        <v>11</v>
      </c>
    </row>
    <row r="13" spans="1:22">
      <c r="A13" t="s">
        <v>178</v>
      </c>
      <c r="B13">
        <v>208</v>
      </c>
      <c r="C13">
        <v>45</v>
      </c>
      <c r="D13">
        <v>3</v>
      </c>
      <c r="E13">
        <v>71</v>
      </c>
      <c r="F13">
        <v>42</v>
      </c>
      <c r="G13">
        <v>9</v>
      </c>
      <c r="H13">
        <v>240.4</v>
      </c>
      <c r="I13" s="14">
        <v>212.6741900111823</v>
      </c>
      <c r="J13">
        <v>34</v>
      </c>
      <c r="K13">
        <v>24</v>
      </c>
      <c r="L13">
        <v>14</v>
      </c>
      <c r="M13">
        <v>11</v>
      </c>
      <c r="N13" s="143" t="e">
        <v>#DIV/0!</v>
      </c>
      <c r="O13" s="143" t="e">
        <v>#DIV/0!</v>
      </c>
      <c r="P13" t="e">
        <v>#N/A</v>
      </c>
    </row>
    <row r="14" spans="1:22">
      <c r="A14" t="s">
        <v>104</v>
      </c>
      <c r="B14">
        <v>118</v>
      </c>
      <c r="C14">
        <v>61</v>
      </c>
      <c r="D14">
        <v>99</v>
      </c>
      <c r="E14">
        <v>22</v>
      </c>
      <c r="F14">
        <v>25</v>
      </c>
      <c r="G14">
        <v>20</v>
      </c>
      <c r="H14">
        <v>215.5</v>
      </c>
      <c r="I14" s="14">
        <v>219.50260592980482</v>
      </c>
      <c r="J14">
        <v>23</v>
      </c>
      <c r="K14">
        <v>16</v>
      </c>
      <c r="L14">
        <v>16</v>
      </c>
      <c r="M14">
        <v>12</v>
      </c>
      <c r="N14" s="143" t="e">
        <v>#DIV/0!</v>
      </c>
      <c r="O14" s="143" t="e">
        <v>#DIV/0!</v>
      </c>
      <c r="P14">
        <v>3</v>
      </c>
    </row>
    <row r="15" spans="1:22">
      <c r="A15" t="s">
        <v>60</v>
      </c>
      <c r="B15">
        <v>88</v>
      </c>
      <c r="C15">
        <v>25</v>
      </c>
      <c r="D15">
        <v>61</v>
      </c>
      <c r="E15">
        <v>105</v>
      </c>
      <c r="F15">
        <v>79</v>
      </c>
      <c r="G15">
        <v>19</v>
      </c>
      <c r="H15">
        <v>207.1</v>
      </c>
      <c r="I15" s="14">
        <v>222.04547381695861</v>
      </c>
      <c r="J15">
        <v>18</v>
      </c>
      <c r="K15">
        <v>13</v>
      </c>
      <c r="L15">
        <v>17</v>
      </c>
      <c r="M15">
        <v>13</v>
      </c>
      <c r="N15" s="143" t="e">
        <v>#DIV/0!</v>
      </c>
      <c r="O15" s="143" t="e">
        <v>#DIV/0!</v>
      </c>
      <c r="P15">
        <v>-3</v>
      </c>
    </row>
    <row r="16" spans="1:22">
      <c r="A16" t="s">
        <v>129</v>
      </c>
      <c r="B16">
        <v>56</v>
      </c>
      <c r="C16">
        <v>71</v>
      </c>
      <c r="D16">
        <v>21</v>
      </c>
      <c r="E16">
        <v>45</v>
      </c>
      <c r="F16">
        <v>181</v>
      </c>
      <c r="G16">
        <v>36</v>
      </c>
      <c r="H16">
        <v>203.5</v>
      </c>
      <c r="I16" s="14">
        <v>223.99098604663965</v>
      </c>
      <c r="J16">
        <v>16</v>
      </c>
      <c r="K16">
        <v>11</v>
      </c>
      <c r="L16">
        <v>18</v>
      </c>
      <c r="M16">
        <v>14</v>
      </c>
      <c r="N16" s="143" t="e">
        <v>#DIV/0!</v>
      </c>
      <c r="O16" s="143" t="e">
        <v>#DIV/0!</v>
      </c>
      <c r="P16">
        <v>74</v>
      </c>
    </row>
    <row r="17" spans="1:16">
      <c r="A17" t="s">
        <v>233</v>
      </c>
      <c r="B17">
        <v>19</v>
      </c>
      <c r="C17">
        <v>191</v>
      </c>
      <c r="D17">
        <v>7</v>
      </c>
      <c r="E17">
        <v>87</v>
      </c>
      <c r="F17">
        <v>141</v>
      </c>
      <c r="G17">
        <v>13</v>
      </c>
      <c r="H17">
        <v>220.9</v>
      </c>
      <c r="I17" s="14">
        <v>226.9156894236196</v>
      </c>
      <c r="J17">
        <v>24</v>
      </c>
      <c r="K17">
        <v>17</v>
      </c>
      <c r="L17">
        <v>20</v>
      </c>
      <c r="M17">
        <v>15</v>
      </c>
      <c r="N17" s="143" t="e">
        <v>#DIV/0!</v>
      </c>
      <c r="O17" s="143" t="e">
        <v>#DIV/0!</v>
      </c>
      <c r="P17">
        <v>7</v>
      </c>
    </row>
    <row r="18" spans="1:16">
      <c r="A18" t="s">
        <v>98</v>
      </c>
      <c r="B18">
        <v>34</v>
      </c>
      <c r="C18">
        <v>130</v>
      </c>
      <c r="D18">
        <v>46</v>
      </c>
      <c r="E18">
        <v>117</v>
      </c>
      <c r="F18">
        <v>87</v>
      </c>
      <c r="G18">
        <v>18</v>
      </c>
      <c r="H18">
        <v>214.70000000000002</v>
      </c>
      <c r="I18" s="14">
        <v>235.03454691458097</v>
      </c>
      <c r="J18">
        <v>21</v>
      </c>
      <c r="K18">
        <v>14</v>
      </c>
      <c r="L18">
        <v>22</v>
      </c>
      <c r="M18">
        <v>17</v>
      </c>
      <c r="N18" s="143" t="e">
        <v>#DIV/0!</v>
      </c>
      <c r="O18" s="143" t="e">
        <v>#DIV/0!</v>
      </c>
      <c r="P18">
        <v>1</v>
      </c>
    </row>
    <row r="19" spans="1:16">
      <c r="A19" t="s">
        <v>234</v>
      </c>
      <c r="B19">
        <v>86</v>
      </c>
      <c r="C19">
        <v>69</v>
      </c>
      <c r="D19">
        <v>9</v>
      </c>
      <c r="E19">
        <v>146</v>
      </c>
      <c r="F19">
        <v>106</v>
      </c>
      <c r="G19">
        <v>25</v>
      </c>
      <c r="H19">
        <v>221</v>
      </c>
      <c r="I19" s="14">
        <v>239.75841059664722</v>
      </c>
      <c r="J19">
        <v>25</v>
      </c>
      <c r="K19">
        <v>18</v>
      </c>
      <c r="L19">
        <v>24</v>
      </c>
      <c r="M19">
        <v>18</v>
      </c>
      <c r="N19" s="143" t="e">
        <v>#DIV/0!</v>
      </c>
      <c r="O19" s="143" t="e">
        <v>#DIV/0!</v>
      </c>
      <c r="P19">
        <v>4</v>
      </c>
    </row>
    <row r="20" spans="1:16">
      <c r="A20" t="s">
        <v>131</v>
      </c>
      <c r="B20">
        <v>122</v>
      </c>
      <c r="C20">
        <v>117</v>
      </c>
      <c r="D20">
        <v>52</v>
      </c>
      <c r="E20">
        <v>72</v>
      </c>
      <c r="F20">
        <v>33</v>
      </c>
      <c r="G20">
        <v>20</v>
      </c>
      <c r="H20">
        <v>237.80000000000004</v>
      </c>
      <c r="I20" s="14">
        <v>240.40813111138741</v>
      </c>
      <c r="J20">
        <v>33</v>
      </c>
      <c r="K20">
        <v>23</v>
      </c>
      <c r="L20">
        <v>26</v>
      </c>
      <c r="M20">
        <v>19</v>
      </c>
      <c r="N20" s="143" t="e">
        <v>#DIV/0!</v>
      </c>
      <c r="O20" s="143" t="e">
        <v>#DIV/0!</v>
      </c>
      <c r="P20">
        <v>-3</v>
      </c>
    </row>
    <row r="21" spans="1:16">
      <c r="A21" t="s">
        <v>141</v>
      </c>
      <c r="B21">
        <v>172</v>
      </c>
      <c r="C21">
        <v>39</v>
      </c>
      <c r="D21">
        <v>70</v>
      </c>
      <c r="E21">
        <v>53</v>
      </c>
      <c r="F21">
        <v>18</v>
      </c>
      <c r="G21">
        <v>31</v>
      </c>
      <c r="H21">
        <v>236.3</v>
      </c>
      <c r="I21" s="14">
        <v>242.94972054903147</v>
      </c>
      <c r="J21">
        <v>30</v>
      </c>
      <c r="K21">
        <v>21</v>
      </c>
      <c r="L21">
        <v>28</v>
      </c>
      <c r="M21">
        <v>20</v>
      </c>
      <c r="N21" s="143" t="e">
        <v>#DIV/0!</v>
      </c>
      <c r="O21" s="143" t="e">
        <v>#DIV/0!</v>
      </c>
      <c r="P21">
        <v>30</v>
      </c>
    </row>
    <row r="22" spans="1:16">
      <c r="A22" t="s">
        <v>35</v>
      </c>
      <c r="B22">
        <v>40</v>
      </c>
      <c r="C22">
        <v>120</v>
      </c>
      <c r="D22">
        <v>89</v>
      </c>
      <c r="E22">
        <v>65</v>
      </c>
      <c r="F22">
        <v>52</v>
      </c>
      <c r="G22">
        <v>44</v>
      </c>
      <c r="H22">
        <v>206.3</v>
      </c>
      <c r="I22" s="14">
        <v>250.83120370695585</v>
      </c>
      <c r="J22">
        <v>17</v>
      </c>
      <c r="K22">
        <v>12</v>
      </c>
      <c r="L22">
        <v>30</v>
      </c>
      <c r="M22">
        <v>21</v>
      </c>
      <c r="N22" s="143" t="e">
        <v>#DIV/0!</v>
      </c>
      <c r="O22" s="143" t="e">
        <v>#DIV/0!</v>
      </c>
      <c r="P22">
        <v>26</v>
      </c>
    </row>
    <row r="23" spans="1:16">
      <c r="A23" t="s">
        <v>73</v>
      </c>
      <c r="B23">
        <v>53</v>
      </c>
      <c r="C23">
        <v>118</v>
      </c>
      <c r="D23">
        <v>65</v>
      </c>
      <c r="E23">
        <v>85</v>
      </c>
      <c r="F23">
        <v>69</v>
      </c>
      <c r="G23">
        <v>38</v>
      </c>
      <c r="H23">
        <v>215.4</v>
      </c>
      <c r="I23" s="14">
        <v>250.93801380953894</v>
      </c>
      <c r="J23">
        <v>22</v>
      </c>
      <c r="K23">
        <v>15</v>
      </c>
      <c r="L23">
        <v>31</v>
      </c>
      <c r="M23">
        <v>22</v>
      </c>
      <c r="N23" s="143" t="e">
        <v>#DIV/0!</v>
      </c>
      <c r="O23" s="143" t="e">
        <v>#DIV/0!</v>
      </c>
      <c r="P23">
        <v>1</v>
      </c>
    </row>
    <row r="24" spans="1:16">
      <c r="A24" t="s">
        <v>139</v>
      </c>
      <c r="B24">
        <v>110</v>
      </c>
      <c r="C24">
        <v>113</v>
      </c>
      <c r="D24">
        <v>5</v>
      </c>
      <c r="E24">
        <v>47</v>
      </c>
      <c r="F24">
        <v>161</v>
      </c>
      <c r="G24">
        <v>32</v>
      </c>
      <c r="H24">
        <v>247.3</v>
      </c>
      <c r="I24" s="14">
        <v>250.96602238905035</v>
      </c>
      <c r="J24">
        <v>40</v>
      </c>
      <c r="K24">
        <v>27</v>
      </c>
      <c r="L24">
        <v>32</v>
      </c>
      <c r="M24">
        <v>23</v>
      </c>
      <c r="N24" s="143" t="e">
        <v>#DIV/0!</v>
      </c>
      <c r="O24" s="143" t="e">
        <v>#DIV/0!</v>
      </c>
      <c r="P24">
        <v>14</v>
      </c>
    </row>
    <row r="25" spans="1:16">
      <c r="A25" t="s">
        <v>383</v>
      </c>
      <c r="B25">
        <v>64</v>
      </c>
      <c r="C25">
        <v>142</v>
      </c>
      <c r="D25">
        <v>87</v>
      </c>
      <c r="E25">
        <v>75</v>
      </c>
      <c r="F25">
        <v>49</v>
      </c>
      <c r="G25">
        <v>39</v>
      </c>
      <c r="H25">
        <v>237.6</v>
      </c>
      <c r="I25" s="14">
        <v>272.60477134655781</v>
      </c>
      <c r="J25">
        <v>32</v>
      </c>
      <c r="K25">
        <v>22</v>
      </c>
      <c r="L25">
        <v>34</v>
      </c>
      <c r="M25">
        <v>24</v>
      </c>
      <c r="N25" s="143" t="e">
        <v>#DIV/0!</v>
      </c>
      <c r="O25" s="143" t="e">
        <v>#DIV/0!</v>
      </c>
      <c r="P25">
        <v>6</v>
      </c>
    </row>
    <row r="26" spans="1:16">
      <c r="A26" t="s">
        <v>14</v>
      </c>
      <c r="B26">
        <v>47</v>
      </c>
      <c r="C26">
        <v>119</v>
      </c>
      <c r="D26">
        <v>143</v>
      </c>
      <c r="E26">
        <v>41</v>
      </c>
      <c r="F26">
        <v>81</v>
      </c>
      <c r="G26">
        <v>26</v>
      </c>
      <c r="H26">
        <v>254.1</v>
      </c>
      <c r="I26" s="14">
        <v>279.63431373571518</v>
      </c>
      <c r="J26">
        <v>44</v>
      </c>
      <c r="K26">
        <v>29</v>
      </c>
      <c r="L26">
        <v>36</v>
      </c>
      <c r="M26">
        <v>25</v>
      </c>
      <c r="N26" s="143" t="e">
        <v>#DIV/0!</v>
      </c>
      <c r="O26" s="143" t="e">
        <v>#DIV/0!</v>
      </c>
      <c r="P26">
        <v>21</v>
      </c>
    </row>
    <row r="27" spans="1:16">
      <c r="A27" t="s">
        <v>404</v>
      </c>
      <c r="B27">
        <v>61</v>
      </c>
      <c r="C27">
        <v>136</v>
      </c>
      <c r="D27">
        <v>151</v>
      </c>
      <c r="E27">
        <v>6</v>
      </c>
      <c r="F27">
        <v>67</v>
      </c>
      <c r="G27">
        <v>30</v>
      </c>
      <c r="H27">
        <v>258.39999999999998</v>
      </c>
      <c r="I27" s="14">
        <v>281.41227499731644</v>
      </c>
      <c r="J27">
        <v>45</v>
      </c>
      <c r="K27">
        <v>30</v>
      </c>
      <c r="L27">
        <v>37</v>
      </c>
      <c r="M27">
        <v>26</v>
      </c>
      <c r="N27" s="143" t="e">
        <v>#DIV/0!</v>
      </c>
      <c r="O27" s="143" t="e">
        <v>#DIV/0!</v>
      </c>
      <c r="P27">
        <v>54</v>
      </c>
    </row>
    <row r="28" spans="1:16">
      <c r="A28" t="s">
        <v>241</v>
      </c>
      <c r="B28">
        <v>7</v>
      </c>
      <c r="C28">
        <v>99</v>
      </c>
      <c r="D28">
        <v>114</v>
      </c>
      <c r="E28">
        <v>93</v>
      </c>
      <c r="F28">
        <v>149</v>
      </c>
      <c r="G28">
        <v>34</v>
      </c>
      <c r="H28">
        <v>246.60000000000002</v>
      </c>
      <c r="I28" s="14">
        <v>289.67290856154909</v>
      </c>
      <c r="J28">
        <v>38</v>
      </c>
      <c r="K28">
        <v>25</v>
      </c>
      <c r="L28">
        <v>40</v>
      </c>
      <c r="M28">
        <v>27</v>
      </c>
      <c r="N28" s="143" t="e">
        <v>#DIV/0!</v>
      </c>
      <c r="O28" s="143" t="e">
        <v>#DIV/0!</v>
      </c>
      <c r="P28">
        <v>-6</v>
      </c>
    </row>
    <row r="29" spans="1:16">
      <c r="A29" t="s">
        <v>119</v>
      </c>
      <c r="B29">
        <v>103</v>
      </c>
      <c r="C29">
        <v>42</v>
      </c>
      <c r="D29">
        <v>162</v>
      </c>
      <c r="E29">
        <v>63</v>
      </c>
      <c r="F29">
        <v>10</v>
      </c>
      <c r="G29">
        <v>56</v>
      </c>
      <c r="H29">
        <v>247</v>
      </c>
      <c r="I29" s="14">
        <v>302.27494129455357</v>
      </c>
      <c r="J29">
        <v>39</v>
      </c>
      <c r="K29">
        <v>26</v>
      </c>
      <c r="L29">
        <v>43</v>
      </c>
      <c r="M29">
        <v>28</v>
      </c>
      <c r="N29" s="143" t="e">
        <v>#DIV/0!</v>
      </c>
      <c r="O29" s="143" t="e">
        <v>#DIV/0!</v>
      </c>
      <c r="P29">
        <v>-13</v>
      </c>
    </row>
    <row r="30" spans="1:16">
      <c r="A30" t="s">
        <v>389</v>
      </c>
      <c r="B30">
        <v>43</v>
      </c>
      <c r="C30">
        <v>78</v>
      </c>
      <c r="D30">
        <v>18</v>
      </c>
      <c r="E30">
        <v>222</v>
      </c>
      <c r="F30">
        <v>95</v>
      </c>
      <c r="G30">
        <v>68</v>
      </c>
      <c r="H30">
        <v>222.3</v>
      </c>
      <c r="I30" s="14">
        <v>303.23837967686239</v>
      </c>
      <c r="J30">
        <v>27</v>
      </c>
      <c r="K30">
        <v>20</v>
      </c>
      <c r="L30">
        <v>44</v>
      </c>
      <c r="M30">
        <v>29</v>
      </c>
      <c r="N30" s="143" t="e">
        <v>#DIV/0!</v>
      </c>
      <c r="O30" s="143" t="e">
        <v>#DIV/0!</v>
      </c>
      <c r="P30">
        <v>58</v>
      </c>
    </row>
    <row r="31" spans="1:16">
      <c r="A31" t="s">
        <v>56</v>
      </c>
      <c r="B31">
        <v>49</v>
      </c>
      <c r="C31">
        <v>203</v>
      </c>
      <c r="D31">
        <v>25</v>
      </c>
      <c r="E31">
        <v>223</v>
      </c>
      <c r="F31">
        <v>11</v>
      </c>
      <c r="G31">
        <v>45</v>
      </c>
      <c r="H31">
        <v>252.89999999999998</v>
      </c>
      <c r="I31" s="14">
        <v>309.33553063878662</v>
      </c>
      <c r="J31">
        <v>43</v>
      </c>
      <c r="K31">
        <v>28</v>
      </c>
      <c r="L31">
        <v>47</v>
      </c>
      <c r="M31">
        <v>30</v>
      </c>
      <c r="N31" s="143" t="e">
        <v>#DIV/0!</v>
      </c>
      <c r="O31" s="143" t="e">
        <v>#DIV/0!</v>
      </c>
      <c r="P31">
        <v>-13</v>
      </c>
    </row>
    <row r="32" spans="1:16">
      <c r="A32" t="s">
        <v>58</v>
      </c>
      <c r="B32">
        <v>53</v>
      </c>
      <c r="C32">
        <v>145</v>
      </c>
      <c r="D32">
        <v>53</v>
      </c>
      <c r="E32">
        <v>66</v>
      </c>
      <c r="F32">
        <v>174</v>
      </c>
      <c r="G32">
        <v>57</v>
      </c>
      <c r="H32">
        <v>265.39999999999998</v>
      </c>
      <c r="I32" s="14">
        <v>310.28040334583494</v>
      </c>
      <c r="J32">
        <v>52</v>
      </c>
      <c r="K32">
        <v>34</v>
      </c>
      <c r="L32">
        <v>48</v>
      </c>
      <c r="M32">
        <v>31</v>
      </c>
      <c r="N32" s="143" t="e">
        <v>#DIV/0!</v>
      </c>
      <c r="O32" s="143" t="e">
        <v>#DIV/0!</v>
      </c>
      <c r="P32">
        <v>51</v>
      </c>
    </row>
    <row r="33" spans="1:16">
      <c r="A33" t="s">
        <v>137</v>
      </c>
      <c r="B33">
        <v>133</v>
      </c>
      <c r="C33">
        <v>15</v>
      </c>
      <c r="D33">
        <v>44</v>
      </c>
      <c r="E33">
        <v>198</v>
      </c>
      <c r="F33">
        <v>93</v>
      </c>
      <c r="G33">
        <v>58</v>
      </c>
      <c r="H33">
        <v>270.39999999999998</v>
      </c>
      <c r="I33" s="14">
        <v>325.13809156379222</v>
      </c>
      <c r="J33">
        <v>57</v>
      </c>
      <c r="K33">
        <v>37</v>
      </c>
      <c r="L33">
        <v>55</v>
      </c>
      <c r="M33">
        <v>32</v>
      </c>
      <c r="N33" s="143" t="e">
        <v>#DIV/0!</v>
      </c>
      <c r="O33" s="143" t="e">
        <v>#DIV/0!</v>
      </c>
      <c r="P33">
        <v>-34</v>
      </c>
    </row>
    <row r="34" spans="1:16">
      <c r="A34" t="s">
        <v>66</v>
      </c>
      <c r="B34">
        <v>77</v>
      </c>
      <c r="C34">
        <v>109</v>
      </c>
      <c r="D34">
        <v>104</v>
      </c>
      <c r="E34">
        <v>98</v>
      </c>
      <c r="F34">
        <v>79</v>
      </c>
      <c r="G34">
        <v>60</v>
      </c>
      <c r="H34">
        <v>267.59999999999997</v>
      </c>
      <c r="I34" s="14">
        <v>325.26647624576373</v>
      </c>
      <c r="J34">
        <v>54</v>
      </c>
      <c r="K34">
        <v>35</v>
      </c>
      <c r="L34">
        <v>56</v>
      </c>
      <c r="M34">
        <v>33</v>
      </c>
      <c r="N34" s="143" t="e">
        <v>#DIV/0!</v>
      </c>
      <c r="O34" s="143" t="e">
        <v>#DIV/0!</v>
      </c>
      <c r="P34">
        <v>-1</v>
      </c>
    </row>
    <row r="35" spans="1:16">
      <c r="A35" t="s">
        <v>44</v>
      </c>
      <c r="B35">
        <v>13</v>
      </c>
      <c r="C35">
        <v>77</v>
      </c>
      <c r="D35">
        <v>140</v>
      </c>
      <c r="E35">
        <v>35</v>
      </c>
      <c r="F35">
        <v>207</v>
      </c>
      <c r="G35">
        <v>73</v>
      </c>
      <c r="H35">
        <v>264.39999999999998</v>
      </c>
      <c r="I35" s="14">
        <v>338.37904120087893</v>
      </c>
      <c r="J35">
        <v>49</v>
      </c>
      <c r="K35">
        <v>33</v>
      </c>
      <c r="L35">
        <v>60</v>
      </c>
      <c r="M35">
        <v>34</v>
      </c>
      <c r="N35" s="143" t="e">
        <v>#DIV/0!</v>
      </c>
      <c r="O35" s="143" t="e">
        <v>#DIV/0!</v>
      </c>
      <c r="P35">
        <v>-47</v>
      </c>
    </row>
    <row r="36" spans="1:16">
      <c r="A36" t="s">
        <v>245</v>
      </c>
      <c r="B36">
        <v>171</v>
      </c>
      <c r="C36">
        <v>30</v>
      </c>
      <c r="D36">
        <v>197</v>
      </c>
      <c r="E36">
        <v>2</v>
      </c>
      <c r="F36">
        <v>78</v>
      </c>
      <c r="G36">
        <v>34</v>
      </c>
      <c r="H36">
        <v>329.5</v>
      </c>
      <c r="I36" s="14">
        <v>341.68602064461965</v>
      </c>
      <c r="J36">
        <v>106</v>
      </c>
      <c r="K36">
        <v>65</v>
      </c>
      <c r="L36">
        <v>61</v>
      </c>
      <c r="M36">
        <v>35</v>
      </c>
      <c r="N36" s="143" t="e">
        <v>#DIV/0!</v>
      </c>
      <c r="O36" s="143" t="e">
        <v>#DIV/0!</v>
      </c>
      <c r="P36">
        <v>-22</v>
      </c>
    </row>
    <row r="37" spans="1:16">
      <c r="A37" t="s">
        <v>80</v>
      </c>
      <c r="B37">
        <v>91</v>
      </c>
      <c r="C37">
        <v>148</v>
      </c>
      <c r="D37">
        <v>65</v>
      </c>
      <c r="E37">
        <v>163</v>
      </c>
      <c r="F37">
        <v>58</v>
      </c>
      <c r="G37">
        <v>63</v>
      </c>
      <c r="H37">
        <v>286.5</v>
      </c>
      <c r="I37" s="14">
        <v>348.44951528825726</v>
      </c>
      <c r="J37">
        <v>66</v>
      </c>
      <c r="K37">
        <v>40</v>
      </c>
      <c r="L37">
        <v>64</v>
      </c>
      <c r="M37">
        <v>36</v>
      </c>
      <c r="N37" s="143" t="e">
        <v>#DIV/0!</v>
      </c>
      <c r="O37" s="143" t="e">
        <v>#DIV/0!</v>
      </c>
      <c r="P37">
        <v>43</v>
      </c>
    </row>
    <row r="38" spans="1:16">
      <c r="A38" t="s">
        <v>38</v>
      </c>
      <c r="B38">
        <v>79</v>
      </c>
      <c r="C38">
        <v>229</v>
      </c>
      <c r="D38">
        <v>142</v>
      </c>
      <c r="E38">
        <v>38</v>
      </c>
      <c r="F38">
        <v>36</v>
      </c>
      <c r="G38">
        <v>48</v>
      </c>
      <c r="H38">
        <v>310.29999999999995</v>
      </c>
      <c r="I38" s="14">
        <v>348.58713697097926</v>
      </c>
      <c r="J38">
        <v>82</v>
      </c>
      <c r="K38">
        <v>47</v>
      </c>
      <c r="L38">
        <v>65</v>
      </c>
      <c r="M38">
        <v>37</v>
      </c>
      <c r="N38" s="143" t="e">
        <v>#DIV/0!</v>
      </c>
      <c r="O38" s="143" t="e">
        <v>#DIV/0!</v>
      </c>
      <c r="P38">
        <v>4</v>
      </c>
    </row>
    <row r="39" spans="1:16">
      <c r="A39" t="s">
        <v>76</v>
      </c>
      <c r="B39">
        <v>59</v>
      </c>
      <c r="C39">
        <v>36</v>
      </c>
      <c r="D39">
        <v>215</v>
      </c>
      <c r="E39">
        <v>40</v>
      </c>
      <c r="F39">
        <v>64</v>
      </c>
      <c r="G39">
        <v>78</v>
      </c>
      <c r="H39">
        <v>263.7</v>
      </c>
      <c r="I39" s="14">
        <v>349.30498856247533</v>
      </c>
      <c r="J39">
        <v>47</v>
      </c>
      <c r="K39">
        <v>31</v>
      </c>
      <c r="L39">
        <v>66</v>
      </c>
      <c r="M39">
        <v>38</v>
      </c>
      <c r="N39" s="143" t="e">
        <v>#DIV/0!</v>
      </c>
      <c r="O39" s="143" t="e">
        <v>#DIV/0!</v>
      </c>
      <c r="P39">
        <v>-39</v>
      </c>
    </row>
    <row r="40" spans="1:16">
      <c r="A40" t="s">
        <v>79</v>
      </c>
      <c r="B40">
        <v>68</v>
      </c>
      <c r="C40">
        <v>111</v>
      </c>
      <c r="D40">
        <v>95</v>
      </c>
      <c r="E40">
        <v>91</v>
      </c>
      <c r="F40">
        <v>143</v>
      </c>
      <c r="G40">
        <v>77</v>
      </c>
      <c r="H40">
        <v>284.3</v>
      </c>
      <c r="I40" s="14">
        <v>355.91468556160214</v>
      </c>
      <c r="J40">
        <v>63</v>
      </c>
      <c r="K40">
        <v>39</v>
      </c>
      <c r="L40">
        <v>67</v>
      </c>
      <c r="M40">
        <v>39</v>
      </c>
      <c r="N40" s="143" t="e">
        <v>#DIV/0!</v>
      </c>
      <c r="O40" s="143" t="e">
        <v>#DIV/0!</v>
      </c>
      <c r="P40">
        <v>2</v>
      </c>
    </row>
    <row r="41" spans="1:16">
      <c r="A41" t="s">
        <v>49</v>
      </c>
      <c r="B41">
        <v>93</v>
      </c>
      <c r="C41">
        <v>53</v>
      </c>
      <c r="D41">
        <v>189</v>
      </c>
      <c r="E41">
        <v>38</v>
      </c>
      <c r="F41">
        <v>85</v>
      </c>
      <c r="G41">
        <v>72</v>
      </c>
      <c r="H41">
        <v>290.89999999999998</v>
      </c>
      <c r="I41" s="14">
        <v>359.3613134424026</v>
      </c>
      <c r="J41">
        <v>69</v>
      </c>
      <c r="K41">
        <v>42</v>
      </c>
      <c r="L41">
        <v>68</v>
      </c>
      <c r="M41">
        <v>40</v>
      </c>
      <c r="N41" s="143" t="e">
        <v>#DIV/0!</v>
      </c>
      <c r="O41" s="143" t="e">
        <v>#DIV/0!</v>
      </c>
      <c r="P41">
        <v>-28</v>
      </c>
    </row>
    <row r="42" spans="1:16">
      <c r="A42" t="s">
        <v>167</v>
      </c>
      <c r="B42">
        <v>166</v>
      </c>
      <c r="C42">
        <v>112</v>
      </c>
      <c r="D42">
        <v>124</v>
      </c>
      <c r="E42">
        <v>117</v>
      </c>
      <c r="F42">
        <v>3</v>
      </c>
      <c r="G42">
        <v>49</v>
      </c>
      <c r="H42">
        <v>323.90000000000003</v>
      </c>
      <c r="I42" s="14">
        <v>360.3203456883017</v>
      </c>
      <c r="J42">
        <v>98</v>
      </c>
      <c r="K42">
        <v>59</v>
      </c>
      <c r="L42">
        <v>69</v>
      </c>
      <c r="M42">
        <v>41</v>
      </c>
      <c r="N42" s="143" t="e">
        <v>#DIV/0!</v>
      </c>
      <c r="O42" s="143" t="e">
        <v>#DIV/0!</v>
      </c>
      <c r="P42">
        <v>-18</v>
      </c>
    </row>
    <row r="43" spans="1:16">
      <c r="A43" t="s">
        <v>138</v>
      </c>
      <c r="B43">
        <v>101</v>
      </c>
      <c r="C43">
        <v>190</v>
      </c>
      <c r="D43">
        <v>75</v>
      </c>
      <c r="E43">
        <v>183</v>
      </c>
      <c r="F43">
        <v>30</v>
      </c>
      <c r="G43">
        <v>46</v>
      </c>
      <c r="H43">
        <v>316.5</v>
      </c>
      <c r="I43" s="14">
        <v>362.46599372675166</v>
      </c>
      <c r="J43">
        <v>90</v>
      </c>
      <c r="K43">
        <v>54</v>
      </c>
      <c r="L43">
        <v>70</v>
      </c>
      <c r="M43">
        <v>42</v>
      </c>
      <c r="N43" s="143" t="e">
        <v>#DIV/0!</v>
      </c>
      <c r="O43" s="143" t="e">
        <v>#DIV/0!</v>
      </c>
      <c r="P43">
        <v>-4</v>
      </c>
    </row>
    <row r="44" spans="1:16">
      <c r="A44" t="s">
        <v>162</v>
      </c>
      <c r="B44">
        <v>220</v>
      </c>
      <c r="C44">
        <v>135</v>
      </c>
      <c r="D44">
        <v>62</v>
      </c>
      <c r="E44">
        <v>29</v>
      </c>
      <c r="F44">
        <v>84</v>
      </c>
      <c r="G44">
        <v>67</v>
      </c>
      <c r="H44">
        <v>340.5</v>
      </c>
      <c r="I44" s="14">
        <v>362.59453513827481</v>
      </c>
      <c r="J44">
        <v>117</v>
      </c>
      <c r="K44">
        <v>73</v>
      </c>
      <c r="L44">
        <v>71</v>
      </c>
      <c r="M44">
        <v>43</v>
      </c>
      <c r="N44" s="143" t="e">
        <v>#DIV/0!</v>
      </c>
      <c r="O44" s="143" t="e">
        <v>#DIV/0!</v>
      </c>
      <c r="P44">
        <v>-31</v>
      </c>
    </row>
    <row r="45" spans="1:16">
      <c r="A45" t="s">
        <v>143</v>
      </c>
      <c r="B45">
        <v>98</v>
      </c>
      <c r="C45">
        <v>47</v>
      </c>
      <c r="D45">
        <v>108</v>
      </c>
      <c r="E45">
        <v>177</v>
      </c>
      <c r="F45">
        <v>43</v>
      </c>
      <c r="G45">
        <v>85</v>
      </c>
      <c r="H45">
        <v>269.8</v>
      </c>
      <c r="I45" s="14">
        <v>362.77608526912849</v>
      </c>
      <c r="J45">
        <v>55</v>
      </c>
      <c r="K45">
        <v>36</v>
      </c>
      <c r="L45">
        <v>72</v>
      </c>
      <c r="M45">
        <v>44</v>
      </c>
      <c r="N45" s="143" t="e">
        <v>#DIV/0!</v>
      </c>
      <c r="O45" s="143" t="e">
        <v>#DIV/0!</v>
      </c>
      <c r="P45">
        <v>-10</v>
      </c>
    </row>
    <row r="46" spans="1:16">
      <c r="A46" t="s">
        <v>87</v>
      </c>
      <c r="B46">
        <v>36</v>
      </c>
      <c r="C46">
        <v>198</v>
      </c>
      <c r="D46">
        <v>71</v>
      </c>
      <c r="E46">
        <v>102</v>
      </c>
      <c r="F46">
        <v>191</v>
      </c>
      <c r="G46">
        <v>55</v>
      </c>
      <c r="H46">
        <v>313.8</v>
      </c>
      <c r="I46" s="14">
        <v>363.22900557506756</v>
      </c>
      <c r="J46">
        <v>86</v>
      </c>
      <c r="K46">
        <v>50</v>
      </c>
      <c r="L46">
        <v>74</v>
      </c>
      <c r="M46">
        <v>45</v>
      </c>
      <c r="N46" s="143" t="e">
        <v>#DIV/0!</v>
      </c>
      <c r="O46" s="143" t="e">
        <v>#DIV/0!</v>
      </c>
      <c r="P46">
        <v>60</v>
      </c>
    </row>
    <row r="47" spans="1:16">
      <c r="A47" t="s">
        <v>90</v>
      </c>
      <c r="B47">
        <v>64</v>
      </c>
      <c r="C47">
        <v>46</v>
      </c>
      <c r="D47">
        <v>90</v>
      </c>
      <c r="E47">
        <v>161</v>
      </c>
      <c r="F47">
        <v>153</v>
      </c>
      <c r="G47">
        <v>86</v>
      </c>
      <c r="H47">
        <v>278.10000000000002</v>
      </c>
      <c r="I47" s="14">
        <v>370.03299312037416</v>
      </c>
      <c r="J47">
        <v>61</v>
      </c>
      <c r="K47">
        <v>38</v>
      </c>
      <c r="L47">
        <v>78</v>
      </c>
      <c r="M47">
        <v>46</v>
      </c>
      <c r="N47" s="143" t="e">
        <v>#DIV/0!</v>
      </c>
      <c r="O47" s="143" t="e">
        <v>#DIV/0!</v>
      </c>
      <c r="P47">
        <v>13</v>
      </c>
    </row>
    <row r="48" spans="1:16">
      <c r="A48" t="s">
        <v>55</v>
      </c>
      <c r="B48">
        <v>67</v>
      </c>
      <c r="C48">
        <v>56</v>
      </c>
      <c r="D48">
        <v>74</v>
      </c>
      <c r="E48">
        <v>191</v>
      </c>
      <c r="F48">
        <v>108</v>
      </c>
      <c r="G48">
        <v>98</v>
      </c>
      <c r="H48">
        <v>263.79999999999995</v>
      </c>
      <c r="I48" s="14">
        <v>371.24573557233515</v>
      </c>
      <c r="J48">
        <v>48</v>
      </c>
      <c r="K48">
        <v>32</v>
      </c>
      <c r="L48">
        <v>79</v>
      </c>
      <c r="M48">
        <v>47</v>
      </c>
      <c r="N48" s="143" t="e">
        <v>#DIV/0!</v>
      </c>
      <c r="O48" s="143" t="e">
        <v>#DIV/0!</v>
      </c>
      <c r="P48">
        <v>-5</v>
      </c>
    </row>
    <row r="49" spans="1:16">
      <c r="A49" t="s">
        <v>69</v>
      </c>
      <c r="B49">
        <v>95</v>
      </c>
      <c r="C49">
        <v>151</v>
      </c>
      <c r="D49">
        <v>39</v>
      </c>
      <c r="E49">
        <v>96</v>
      </c>
      <c r="F49">
        <v>211</v>
      </c>
      <c r="G49">
        <v>76</v>
      </c>
      <c r="H49">
        <v>322.70000000000005</v>
      </c>
      <c r="I49" s="14">
        <v>378.57208452274642</v>
      </c>
      <c r="J49">
        <v>96</v>
      </c>
      <c r="K49">
        <v>58</v>
      </c>
      <c r="L49">
        <v>81</v>
      </c>
      <c r="M49">
        <v>48</v>
      </c>
      <c r="N49" s="143" t="e">
        <v>#DIV/0!</v>
      </c>
      <c r="O49" s="143" t="e">
        <v>#DIV/0!</v>
      </c>
      <c r="P49">
        <v>60</v>
      </c>
    </row>
    <row r="50" spans="1:16">
      <c r="A50" t="s">
        <v>18</v>
      </c>
      <c r="B50">
        <v>9</v>
      </c>
      <c r="C50">
        <v>208</v>
      </c>
      <c r="D50">
        <v>163</v>
      </c>
      <c r="E50">
        <v>108</v>
      </c>
      <c r="F50">
        <v>38</v>
      </c>
      <c r="G50">
        <v>79</v>
      </c>
      <c r="H50">
        <v>287.5</v>
      </c>
      <c r="I50" s="14">
        <v>382.33067658659058</v>
      </c>
      <c r="J50">
        <v>67</v>
      </c>
      <c r="K50">
        <v>41</v>
      </c>
      <c r="L50">
        <v>83</v>
      </c>
      <c r="M50">
        <v>49</v>
      </c>
      <c r="N50" s="143" t="e">
        <v>#DIV/0!</v>
      </c>
      <c r="O50" s="143" t="e">
        <v>#DIV/0!</v>
      </c>
      <c r="P50">
        <v>12</v>
      </c>
    </row>
    <row r="51" spans="1:16">
      <c r="A51" t="s">
        <v>423</v>
      </c>
      <c r="B51">
        <v>211</v>
      </c>
      <c r="C51">
        <v>81</v>
      </c>
      <c r="D51">
        <v>41</v>
      </c>
      <c r="E51">
        <v>23</v>
      </c>
      <c r="F51">
        <v>203</v>
      </c>
      <c r="G51">
        <v>83</v>
      </c>
      <c r="H51">
        <v>348.7</v>
      </c>
      <c r="I51" s="14">
        <v>382.42344136269094</v>
      </c>
      <c r="J51">
        <v>130</v>
      </c>
      <c r="K51">
        <v>83</v>
      </c>
      <c r="L51">
        <v>84</v>
      </c>
      <c r="M51">
        <v>50</v>
      </c>
      <c r="N51" s="143" t="e">
        <v>#DIV/0!</v>
      </c>
      <c r="O51" s="143" t="e">
        <v>#DIV/0!</v>
      </c>
      <c r="P51">
        <v>2</v>
      </c>
    </row>
    <row r="52" spans="1:16">
      <c r="A52" t="s">
        <v>155</v>
      </c>
      <c r="B52">
        <v>104</v>
      </c>
      <c r="C52">
        <v>182</v>
      </c>
      <c r="D52">
        <v>14</v>
      </c>
      <c r="E52">
        <v>25</v>
      </c>
      <c r="F52">
        <v>213</v>
      </c>
      <c r="G52">
        <v>117</v>
      </c>
      <c r="H52">
        <v>300.5</v>
      </c>
      <c r="I52" s="14">
        <v>383.0642392910064</v>
      </c>
      <c r="J52">
        <v>77</v>
      </c>
      <c r="K52">
        <v>44</v>
      </c>
      <c r="L52">
        <v>85</v>
      </c>
      <c r="M52">
        <v>51</v>
      </c>
      <c r="N52" s="143" t="e">
        <v>#DIV/0!</v>
      </c>
      <c r="O52" s="143" t="e">
        <v>#DIV/0!</v>
      </c>
      <c r="P52">
        <v>13</v>
      </c>
    </row>
    <row r="53" spans="1:16">
      <c r="A53" t="s">
        <v>381</v>
      </c>
      <c r="B53">
        <v>129</v>
      </c>
      <c r="C53">
        <v>104</v>
      </c>
      <c r="D53">
        <v>23</v>
      </c>
      <c r="E53">
        <v>122</v>
      </c>
      <c r="F53">
        <v>188</v>
      </c>
      <c r="G53">
        <v>102</v>
      </c>
      <c r="H53">
        <v>314.10000000000002</v>
      </c>
      <c r="I53" s="14">
        <v>393.98785063647995</v>
      </c>
      <c r="J53">
        <v>87</v>
      </c>
      <c r="K53">
        <v>51</v>
      </c>
      <c r="L53">
        <v>88</v>
      </c>
      <c r="M53">
        <v>52</v>
      </c>
      <c r="N53" s="143" t="e">
        <v>#DIV/0!</v>
      </c>
      <c r="O53" s="143" t="e">
        <v>#DIV/0!</v>
      </c>
      <c r="P53">
        <v>17</v>
      </c>
    </row>
    <row r="54" spans="1:16">
      <c r="A54" t="s">
        <v>117</v>
      </c>
      <c r="B54">
        <v>151</v>
      </c>
      <c r="C54">
        <v>29</v>
      </c>
      <c r="D54">
        <v>28</v>
      </c>
      <c r="E54">
        <v>133</v>
      </c>
      <c r="F54">
        <v>217</v>
      </c>
      <c r="G54">
        <v>101</v>
      </c>
      <c r="H54">
        <v>316.60000000000002</v>
      </c>
      <c r="I54" s="14">
        <v>394.53069047062417</v>
      </c>
      <c r="J54">
        <v>91</v>
      </c>
      <c r="K54">
        <v>55</v>
      </c>
      <c r="L54">
        <v>89</v>
      </c>
      <c r="M54">
        <v>53</v>
      </c>
      <c r="N54" s="143" t="e">
        <v>#DIV/0!</v>
      </c>
      <c r="O54" s="143" t="e">
        <v>#DIV/0!</v>
      </c>
      <c r="P54">
        <v>31</v>
      </c>
    </row>
    <row r="55" spans="1:16">
      <c r="A55" t="s">
        <v>59</v>
      </c>
      <c r="B55">
        <v>41</v>
      </c>
      <c r="C55">
        <v>234</v>
      </c>
      <c r="D55">
        <v>206</v>
      </c>
      <c r="E55">
        <v>11</v>
      </c>
      <c r="F55">
        <v>8</v>
      </c>
      <c r="G55">
        <v>94</v>
      </c>
      <c r="H55">
        <v>302.39999999999998</v>
      </c>
      <c r="I55" s="14">
        <v>397.81546358660268</v>
      </c>
      <c r="J55">
        <v>79</v>
      </c>
      <c r="K55">
        <v>46</v>
      </c>
      <c r="L55">
        <v>90</v>
      </c>
      <c r="M55">
        <v>54</v>
      </c>
      <c r="N55" s="143" t="e">
        <v>#DIV/0!</v>
      </c>
      <c r="O55" s="143" t="e">
        <v>#DIV/0!</v>
      </c>
      <c r="P55">
        <v>-80</v>
      </c>
    </row>
    <row r="56" spans="1:16">
      <c r="A56" t="s">
        <v>148</v>
      </c>
      <c r="B56">
        <v>190</v>
      </c>
      <c r="C56">
        <v>43</v>
      </c>
      <c r="D56">
        <v>17</v>
      </c>
      <c r="E56">
        <v>170</v>
      </c>
      <c r="F56">
        <v>145</v>
      </c>
      <c r="G56">
        <v>100</v>
      </c>
      <c r="H56">
        <v>325.89999999999998</v>
      </c>
      <c r="I56" s="14">
        <v>401.54260728929398</v>
      </c>
      <c r="J56">
        <v>100</v>
      </c>
      <c r="K56">
        <v>61</v>
      </c>
      <c r="L56">
        <v>91</v>
      </c>
      <c r="M56">
        <v>55</v>
      </c>
      <c r="N56" s="143" t="e">
        <v>#DIV/0!</v>
      </c>
      <c r="O56" s="143" t="e">
        <v>#DIV/0!</v>
      </c>
      <c r="P56">
        <v>-19</v>
      </c>
    </row>
    <row r="57" spans="1:16">
      <c r="A57" t="s">
        <v>414</v>
      </c>
      <c r="B57">
        <v>168</v>
      </c>
      <c r="C57">
        <v>210</v>
      </c>
      <c r="D57">
        <v>177</v>
      </c>
      <c r="E57">
        <v>3</v>
      </c>
      <c r="F57">
        <v>54</v>
      </c>
      <c r="G57">
        <v>42</v>
      </c>
      <c r="H57">
        <v>391.5</v>
      </c>
      <c r="I57" s="14">
        <v>404.43404148574018</v>
      </c>
      <c r="J57">
        <v>171</v>
      </c>
      <c r="K57">
        <v>112</v>
      </c>
      <c r="L57">
        <v>92</v>
      </c>
      <c r="M57">
        <v>56</v>
      </c>
      <c r="N57" s="143" t="e">
        <v>#DIV/0!</v>
      </c>
      <c r="O57" s="143" t="e">
        <v>#DIV/0!</v>
      </c>
      <c r="P57">
        <v>-34</v>
      </c>
    </row>
    <row r="58" spans="1:16">
      <c r="A58" t="s">
        <v>165</v>
      </c>
      <c r="B58">
        <v>213</v>
      </c>
      <c r="C58">
        <v>106</v>
      </c>
      <c r="D58">
        <v>38</v>
      </c>
      <c r="E58">
        <v>206</v>
      </c>
      <c r="F58">
        <v>70</v>
      </c>
      <c r="G58">
        <v>62</v>
      </c>
      <c r="H58">
        <v>367.4</v>
      </c>
      <c r="I58" s="14">
        <v>407.84063423333959</v>
      </c>
      <c r="J58">
        <v>150.5</v>
      </c>
      <c r="K58">
        <v>97</v>
      </c>
      <c r="L58">
        <v>93</v>
      </c>
      <c r="M58">
        <v>57</v>
      </c>
      <c r="N58" s="143" t="e">
        <v>#DIV/0!</v>
      </c>
      <c r="O58" s="143" t="e">
        <v>#DIV/0!</v>
      </c>
      <c r="P58">
        <v>146</v>
      </c>
    </row>
    <row r="59" spans="1:16">
      <c r="A59" t="s">
        <v>115</v>
      </c>
      <c r="B59">
        <v>148</v>
      </c>
      <c r="C59">
        <v>22</v>
      </c>
      <c r="D59">
        <v>228</v>
      </c>
      <c r="E59">
        <v>15</v>
      </c>
      <c r="F59">
        <v>35</v>
      </c>
      <c r="G59">
        <v>108</v>
      </c>
      <c r="H59">
        <v>312.5</v>
      </c>
      <c r="I59" s="14">
        <v>410.1319209913396</v>
      </c>
      <c r="J59">
        <v>84</v>
      </c>
      <c r="K59">
        <v>49</v>
      </c>
      <c r="L59">
        <v>95</v>
      </c>
      <c r="M59">
        <v>58</v>
      </c>
      <c r="N59" s="143" t="e">
        <v>#DIV/0!</v>
      </c>
      <c r="O59" s="143" t="e">
        <v>#DIV/0!</v>
      </c>
      <c r="P59" t="e">
        <v>#N/A</v>
      </c>
    </row>
    <row r="60" spans="1:16">
      <c r="A60" t="s">
        <v>112</v>
      </c>
      <c r="B60">
        <v>177</v>
      </c>
      <c r="C60">
        <v>70</v>
      </c>
      <c r="D60">
        <v>167</v>
      </c>
      <c r="E60">
        <v>68</v>
      </c>
      <c r="F60">
        <v>53</v>
      </c>
      <c r="G60">
        <v>81</v>
      </c>
      <c r="H60">
        <v>347.2</v>
      </c>
      <c r="I60" s="14">
        <v>410.36285114570222</v>
      </c>
      <c r="J60">
        <v>123.5</v>
      </c>
      <c r="K60">
        <v>78</v>
      </c>
      <c r="L60">
        <v>96</v>
      </c>
      <c r="M60">
        <v>59</v>
      </c>
      <c r="N60" s="143" t="e">
        <v>#DIV/0!</v>
      </c>
      <c r="O60" s="143" t="e">
        <v>#DIV/0!</v>
      </c>
      <c r="P60">
        <v>28</v>
      </c>
    </row>
    <row r="61" spans="1:16">
      <c r="A61" t="s">
        <v>382</v>
      </c>
      <c r="B61">
        <v>45</v>
      </c>
      <c r="C61">
        <v>154</v>
      </c>
      <c r="D61">
        <v>107</v>
      </c>
      <c r="E61">
        <v>37</v>
      </c>
      <c r="F61">
        <v>182</v>
      </c>
      <c r="G61">
        <v>127</v>
      </c>
      <c r="H61">
        <v>293.7</v>
      </c>
      <c r="I61" s="14">
        <v>410.59716765556067</v>
      </c>
      <c r="J61">
        <v>72</v>
      </c>
      <c r="K61">
        <v>43</v>
      </c>
      <c r="L61">
        <v>97</v>
      </c>
      <c r="M61">
        <v>60</v>
      </c>
      <c r="N61" s="143" t="e">
        <v>#DIV/0!</v>
      </c>
      <c r="O61" s="143" t="e">
        <v>#DIV/0!</v>
      </c>
      <c r="P61">
        <v>-5</v>
      </c>
    </row>
    <row r="62" spans="1:16">
      <c r="A62" t="s">
        <v>401</v>
      </c>
      <c r="B62">
        <v>23</v>
      </c>
      <c r="C62">
        <v>188</v>
      </c>
      <c r="D62">
        <v>131</v>
      </c>
      <c r="E62">
        <v>187</v>
      </c>
      <c r="F62">
        <v>74</v>
      </c>
      <c r="G62">
        <v>80</v>
      </c>
      <c r="H62">
        <v>315.89999999999998</v>
      </c>
      <c r="I62" s="14">
        <v>415.03735308701295</v>
      </c>
      <c r="J62">
        <v>88.5</v>
      </c>
      <c r="K62">
        <v>52</v>
      </c>
      <c r="L62">
        <v>98</v>
      </c>
      <c r="M62">
        <v>61</v>
      </c>
      <c r="N62" s="143" t="e">
        <v>#DIV/0!</v>
      </c>
      <c r="O62" s="143" t="e">
        <v>#DIV/0!</v>
      </c>
      <c r="P62">
        <v>17</v>
      </c>
    </row>
    <row r="63" spans="1:16">
      <c r="A63" t="s">
        <v>118</v>
      </c>
      <c r="B63">
        <v>131</v>
      </c>
      <c r="C63">
        <v>141</v>
      </c>
      <c r="D63">
        <v>51</v>
      </c>
      <c r="E63">
        <v>105</v>
      </c>
      <c r="F63">
        <v>158</v>
      </c>
      <c r="G63">
        <v>107</v>
      </c>
      <c r="H63">
        <v>332</v>
      </c>
      <c r="I63" s="14">
        <v>416.78086070248816</v>
      </c>
      <c r="J63">
        <v>107</v>
      </c>
      <c r="K63">
        <v>66</v>
      </c>
      <c r="L63">
        <v>99</v>
      </c>
      <c r="M63">
        <v>62</v>
      </c>
      <c r="N63" s="143" t="e">
        <v>#DIV/0!</v>
      </c>
      <c r="O63" s="143" t="e">
        <v>#DIV/0!</v>
      </c>
      <c r="P63">
        <v>30</v>
      </c>
    </row>
    <row r="64" spans="1:16">
      <c r="A64" t="s">
        <v>177</v>
      </c>
      <c r="B64">
        <v>221</v>
      </c>
      <c r="C64">
        <v>23</v>
      </c>
      <c r="D64">
        <v>6</v>
      </c>
      <c r="E64">
        <v>132</v>
      </c>
      <c r="F64">
        <v>189</v>
      </c>
      <c r="G64">
        <v>117</v>
      </c>
      <c r="H64">
        <v>339.8</v>
      </c>
      <c r="I64" s="14">
        <v>419.12040737132583</v>
      </c>
      <c r="J64">
        <v>115</v>
      </c>
      <c r="K64">
        <v>71</v>
      </c>
      <c r="L64">
        <v>101</v>
      </c>
      <c r="M64">
        <v>63</v>
      </c>
      <c r="N64" s="143" t="e">
        <v>#DIV/0!</v>
      </c>
      <c r="O64" s="143" t="e">
        <v>#DIV/0!</v>
      </c>
      <c r="P64">
        <v>-16</v>
      </c>
    </row>
    <row r="65" spans="1:16">
      <c r="A65" t="s">
        <v>400</v>
      </c>
      <c r="B65">
        <v>18</v>
      </c>
      <c r="C65">
        <v>196</v>
      </c>
      <c r="D65">
        <v>128</v>
      </c>
      <c r="E65">
        <v>212</v>
      </c>
      <c r="F65">
        <v>29</v>
      </c>
      <c r="G65">
        <v>97</v>
      </c>
      <c r="H65">
        <v>301.3</v>
      </c>
      <c r="I65" s="14">
        <v>423.17517993785293</v>
      </c>
      <c r="J65">
        <v>78</v>
      </c>
      <c r="K65">
        <v>45</v>
      </c>
      <c r="L65">
        <v>102</v>
      </c>
      <c r="M65">
        <v>64</v>
      </c>
      <c r="N65" s="143" t="e">
        <v>#DIV/0!</v>
      </c>
      <c r="O65" s="143" t="e">
        <v>#DIV/0!</v>
      </c>
      <c r="P65">
        <v>-23</v>
      </c>
    </row>
    <row r="66" spans="1:16">
      <c r="A66" t="s">
        <v>24</v>
      </c>
      <c r="B66">
        <v>6</v>
      </c>
      <c r="C66">
        <v>192</v>
      </c>
      <c r="D66">
        <v>150</v>
      </c>
      <c r="E66">
        <v>141</v>
      </c>
      <c r="F66">
        <v>128</v>
      </c>
      <c r="G66">
        <v>82</v>
      </c>
      <c r="H66">
        <v>326.20000000000005</v>
      </c>
      <c r="I66" s="14">
        <v>423.90133444931274</v>
      </c>
      <c r="J66">
        <v>101</v>
      </c>
      <c r="K66">
        <v>62</v>
      </c>
      <c r="L66">
        <v>103</v>
      </c>
      <c r="M66">
        <v>65</v>
      </c>
      <c r="N66" s="143" t="e">
        <v>#DIV/0!</v>
      </c>
      <c r="O66" s="143" t="e">
        <v>#DIV/0!</v>
      </c>
      <c r="P66">
        <v>-22</v>
      </c>
    </row>
    <row r="67" spans="1:16">
      <c r="A67" t="s">
        <v>64</v>
      </c>
      <c r="B67">
        <v>107</v>
      </c>
      <c r="C67">
        <v>213</v>
      </c>
      <c r="D67">
        <v>86</v>
      </c>
      <c r="E67">
        <v>86</v>
      </c>
      <c r="F67">
        <v>135</v>
      </c>
      <c r="G67">
        <v>89</v>
      </c>
      <c r="H67">
        <v>354.2</v>
      </c>
      <c r="I67" s="14">
        <v>424.72190389221714</v>
      </c>
      <c r="J67">
        <v>136</v>
      </c>
      <c r="K67">
        <v>88</v>
      </c>
      <c r="L67">
        <v>104</v>
      </c>
      <c r="M67">
        <v>66</v>
      </c>
      <c r="N67" s="143" t="e">
        <v>#DIV/0!</v>
      </c>
      <c r="O67" s="143" t="e">
        <v>#DIV/0!</v>
      </c>
      <c r="P67">
        <v>-12</v>
      </c>
    </row>
    <row r="68" spans="1:16">
      <c r="A68" t="s">
        <v>121</v>
      </c>
      <c r="B68">
        <v>136</v>
      </c>
      <c r="C68">
        <v>103</v>
      </c>
      <c r="D68">
        <v>60</v>
      </c>
      <c r="E68">
        <v>69</v>
      </c>
      <c r="F68">
        <v>172</v>
      </c>
      <c r="G68">
        <v>136</v>
      </c>
      <c r="H68">
        <v>315.89999999999998</v>
      </c>
      <c r="I68" s="14">
        <v>425.83218518818904</v>
      </c>
      <c r="J68">
        <v>88.5</v>
      </c>
      <c r="K68">
        <v>53</v>
      </c>
      <c r="L68">
        <v>106</v>
      </c>
      <c r="M68">
        <v>67</v>
      </c>
      <c r="N68" s="143" t="e">
        <v>#DIV/0!</v>
      </c>
      <c r="O68" s="143" t="e">
        <v>#DIV/0!</v>
      </c>
      <c r="P68">
        <v>-2</v>
      </c>
    </row>
    <row r="69" spans="1:16">
      <c r="A69" t="s">
        <v>420</v>
      </c>
      <c r="B69">
        <v>182</v>
      </c>
      <c r="C69">
        <v>184</v>
      </c>
      <c r="D69">
        <v>16</v>
      </c>
      <c r="E69">
        <v>14</v>
      </c>
      <c r="F69">
        <v>210</v>
      </c>
      <c r="G69">
        <v>119</v>
      </c>
      <c r="H69">
        <v>359.4</v>
      </c>
      <c r="I69" s="14">
        <v>427.0724768830155</v>
      </c>
      <c r="J69">
        <v>140</v>
      </c>
      <c r="K69">
        <v>89</v>
      </c>
      <c r="L69">
        <v>107</v>
      </c>
      <c r="M69">
        <v>68</v>
      </c>
      <c r="N69" s="143" t="e">
        <v>#DIV/0!</v>
      </c>
      <c r="O69" s="143" t="e">
        <v>#DIV/0!</v>
      </c>
      <c r="P69">
        <v>8</v>
      </c>
    </row>
    <row r="70" spans="1:16">
      <c r="A70" t="s">
        <v>52</v>
      </c>
      <c r="B70">
        <v>208</v>
      </c>
      <c r="C70">
        <v>131</v>
      </c>
      <c r="D70">
        <v>126</v>
      </c>
      <c r="E70">
        <v>8</v>
      </c>
      <c r="F70">
        <v>75</v>
      </c>
      <c r="G70">
        <v>111</v>
      </c>
      <c r="H70">
        <v>360.8</v>
      </c>
      <c r="I70" s="14">
        <v>432.96914287535833</v>
      </c>
      <c r="J70">
        <v>145</v>
      </c>
      <c r="K70">
        <v>91</v>
      </c>
      <c r="L70">
        <v>109</v>
      </c>
      <c r="M70">
        <v>69</v>
      </c>
      <c r="N70" s="143" t="e">
        <v>#DIV/0!</v>
      </c>
      <c r="O70" s="143" t="e">
        <v>#DIV/0!</v>
      </c>
      <c r="P70">
        <v>-19</v>
      </c>
    </row>
    <row r="71" spans="1:16">
      <c r="A71" t="s">
        <v>222</v>
      </c>
      <c r="B71">
        <v>174</v>
      </c>
      <c r="C71">
        <v>100</v>
      </c>
      <c r="D71">
        <v>97</v>
      </c>
      <c r="E71">
        <v>12</v>
      </c>
      <c r="F71">
        <v>199</v>
      </c>
      <c r="G71">
        <v>116</v>
      </c>
      <c r="H71">
        <v>361.40000000000003</v>
      </c>
      <c r="I71" s="14">
        <v>438.60571560111651</v>
      </c>
      <c r="J71">
        <v>146</v>
      </c>
      <c r="K71">
        <v>92</v>
      </c>
      <c r="L71">
        <v>110</v>
      </c>
      <c r="M71">
        <v>70</v>
      </c>
      <c r="N71" s="143" t="e">
        <v>#DIV/0!</v>
      </c>
      <c r="O71" s="143" t="e">
        <v>#DIV/0!</v>
      </c>
      <c r="P71">
        <v>45</v>
      </c>
    </row>
    <row r="72" spans="1:16">
      <c r="A72" t="s">
        <v>111</v>
      </c>
      <c r="B72">
        <v>216</v>
      </c>
      <c r="C72">
        <v>115</v>
      </c>
      <c r="D72">
        <v>64</v>
      </c>
      <c r="E72">
        <v>214</v>
      </c>
      <c r="F72">
        <v>56</v>
      </c>
      <c r="G72">
        <v>70</v>
      </c>
      <c r="H72">
        <v>388.70000000000005</v>
      </c>
      <c r="I72" s="14">
        <v>440.15833055321923</v>
      </c>
      <c r="J72">
        <v>169</v>
      </c>
      <c r="K72">
        <v>110</v>
      </c>
      <c r="L72">
        <v>111</v>
      </c>
      <c r="M72">
        <v>71</v>
      </c>
      <c r="N72" s="143" t="e">
        <v>#DIV/0!</v>
      </c>
      <c r="O72" s="143" t="e">
        <v>#DIV/0!</v>
      </c>
      <c r="P72">
        <v>23</v>
      </c>
    </row>
    <row r="73" spans="1:16">
      <c r="A73" t="s">
        <v>9</v>
      </c>
      <c r="B73">
        <v>1</v>
      </c>
      <c r="C73">
        <v>163</v>
      </c>
      <c r="D73">
        <v>195</v>
      </c>
      <c r="E73">
        <v>159</v>
      </c>
      <c r="F73">
        <v>57</v>
      </c>
      <c r="G73">
        <v>104</v>
      </c>
      <c r="H73">
        <v>310.90000000000003</v>
      </c>
      <c r="I73" s="14">
        <v>442.50304907089031</v>
      </c>
      <c r="J73">
        <v>83</v>
      </c>
      <c r="K73">
        <v>48</v>
      </c>
      <c r="L73">
        <v>112</v>
      </c>
      <c r="M73">
        <v>72</v>
      </c>
      <c r="N73" s="143" t="e">
        <v>#DIV/0!</v>
      </c>
      <c r="O73" s="143" t="e">
        <v>#DIV/0!</v>
      </c>
      <c r="P73">
        <v>-50</v>
      </c>
    </row>
    <row r="74" spans="1:16">
      <c r="A74" t="s">
        <v>157</v>
      </c>
      <c r="B74">
        <v>178</v>
      </c>
      <c r="C74">
        <v>80</v>
      </c>
      <c r="D74">
        <v>63</v>
      </c>
      <c r="E74">
        <v>125</v>
      </c>
      <c r="F74">
        <v>123</v>
      </c>
      <c r="G74">
        <v>131</v>
      </c>
      <c r="H74">
        <v>338</v>
      </c>
      <c r="I74" s="14">
        <v>445.06166569437568</v>
      </c>
      <c r="J74">
        <v>113</v>
      </c>
      <c r="K74">
        <v>69</v>
      </c>
      <c r="L74">
        <v>116</v>
      </c>
      <c r="M74">
        <v>73</v>
      </c>
      <c r="N74" s="143" t="e">
        <v>#DIV/0!</v>
      </c>
      <c r="O74" s="143" t="e">
        <v>#DIV/0!</v>
      </c>
      <c r="P74">
        <v>-11</v>
      </c>
    </row>
    <row r="75" spans="1:16">
      <c r="A75" t="s">
        <v>100</v>
      </c>
      <c r="B75">
        <v>176</v>
      </c>
      <c r="C75">
        <v>114</v>
      </c>
      <c r="D75">
        <v>84</v>
      </c>
      <c r="E75">
        <v>137</v>
      </c>
      <c r="F75">
        <v>132</v>
      </c>
      <c r="G75">
        <v>90</v>
      </c>
      <c r="H75">
        <v>377.40000000000003</v>
      </c>
      <c r="I75" s="14">
        <v>445.40477298650575</v>
      </c>
      <c r="J75">
        <v>162</v>
      </c>
      <c r="K75">
        <v>105</v>
      </c>
      <c r="L75">
        <v>117</v>
      </c>
      <c r="M75">
        <v>74</v>
      </c>
      <c r="N75" s="143" t="e">
        <v>#DIV/0!</v>
      </c>
      <c r="O75" s="143" t="e">
        <v>#DIV/0!</v>
      </c>
      <c r="P75">
        <v>23</v>
      </c>
    </row>
    <row r="76" spans="1:16">
      <c r="A76" t="s">
        <v>412</v>
      </c>
      <c r="B76">
        <v>94</v>
      </c>
      <c r="C76">
        <v>201</v>
      </c>
      <c r="D76">
        <v>49</v>
      </c>
      <c r="E76">
        <v>181</v>
      </c>
      <c r="F76">
        <v>100</v>
      </c>
      <c r="G76">
        <v>120</v>
      </c>
      <c r="H76">
        <v>332.4</v>
      </c>
      <c r="I76" s="14">
        <v>447.3673843145429</v>
      </c>
      <c r="J76">
        <v>109</v>
      </c>
      <c r="K76">
        <v>67</v>
      </c>
      <c r="L76">
        <v>118</v>
      </c>
      <c r="M76">
        <v>75</v>
      </c>
      <c r="N76" s="143" t="e">
        <v>#DIV/0!</v>
      </c>
      <c r="O76" s="143" t="e">
        <v>#DIV/0!</v>
      </c>
      <c r="P76">
        <v>3</v>
      </c>
    </row>
    <row r="77" spans="1:16">
      <c r="A77" t="s">
        <v>128</v>
      </c>
      <c r="B77">
        <v>70</v>
      </c>
      <c r="C77">
        <v>91</v>
      </c>
      <c r="D77">
        <v>158</v>
      </c>
      <c r="E77">
        <v>134</v>
      </c>
      <c r="F77">
        <v>126</v>
      </c>
      <c r="G77">
        <v>113</v>
      </c>
      <c r="H77">
        <v>328.7</v>
      </c>
      <c r="I77" s="14">
        <v>448.5424456160614</v>
      </c>
      <c r="J77">
        <v>105</v>
      </c>
      <c r="K77">
        <v>64</v>
      </c>
      <c r="L77">
        <v>119</v>
      </c>
      <c r="M77">
        <v>76</v>
      </c>
      <c r="N77" s="143" t="e">
        <v>#DIV/0!</v>
      </c>
      <c r="O77" s="143" t="e">
        <v>#DIV/0!</v>
      </c>
      <c r="P77">
        <v>16</v>
      </c>
    </row>
    <row r="78" spans="1:16">
      <c r="A78" t="s">
        <v>239</v>
      </c>
      <c r="B78">
        <v>164</v>
      </c>
      <c r="C78">
        <v>28</v>
      </c>
      <c r="D78">
        <v>174</v>
      </c>
      <c r="E78">
        <v>54</v>
      </c>
      <c r="F78">
        <v>144</v>
      </c>
      <c r="G78">
        <v>109</v>
      </c>
      <c r="H78">
        <v>360.6</v>
      </c>
      <c r="I78" s="14">
        <v>450.55210184884544</v>
      </c>
      <c r="J78">
        <v>144</v>
      </c>
      <c r="K78">
        <v>90</v>
      </c>
      <c r="L78">
        <v>120</v>
      </c>
      <c r="M78">
        <v>77</v>
      </c>
      <c r="N78" s="143" t="e">
        <v>#DIV/0!</v>
      </c>
      <c r="O78" s="143" t="e">
        <v>#DIV/0!</v>
      </c>
      <c r="P78">
        <v>95</v>
      </c>
    </row>
    <row r="79" spans="1:16">
      <c r="A79" t="s">
        <v>152</v>
      </c>
      <c r="B79">
        <v>179</v>
      </c>
      <c r="C79">
        <v>26</v>
      </c>
      <c r="D79">
        <v>44</v>
      </c>
      <c r="E79">
        <v>178</v>
      </c>
      <c r="F79">
        <v>190</v>
      </c>
      <c r="G79">
        <v>121</v>
      </c>
      <c r="H79">
        <v>353.2</v>
      </c>
      <c r="I79" s="14">
        <v>453.97417075948096</v>
      </c>
      <c r="J79">
        <v>133</v>
      </c>
      <c r="K79">
        <v>86</v>
      </c>
      <c r="L79">
        <v>122</v>
      </c>
      <c r="M79">
        <v>78</v>
      </c>
      <c r="N79" s="143" t="e">
        <v>#DIV/0!</v>
      </c>
      <c r="O79" s="143" t="e">
        <v>#DIV/0!</v>
      </c>
      <c r="P79">
        <v>-50</v>
      </c>
    </row>
    <row r="80" spans="1:16">
      <c r="A80" t="s">
        <v>29</v>
      </c>
      <c r="B80">
        <v>70</v>
      </c>
      <c r="C80">
        <v>93</v>
      </c>
      <c r="D80">
        <v>135</v>
      </c>
      <c r="E80">
        <v>140</v>
      </c>
      <c r="F80">
        <v>142</v>
      </c>
      <c r="G80">
        <v>127</v>
      </c>
      <c r="H80">
        <v>324</v>
      </c>
      <c r="I80" s="14">
        <v>455.6929109541353</v>
      </c>
      <c r="J80">
        <v>99</v>
      </c>
      <c r="K80">
        <v>60</v>
      </c>
      <c r="L80">
        <v>123</v>
      </c>
      <c r="M80">
        <v>79</v>
      </c>
      <c r="N80" s="143" t="e">
        <v>#DIV/0!</v>
      </c>
      <c r="O80" s="143" t="e">
        <v>#DIV/0!</v>
      </c>
      <c r="P80">
        <v>50</v>
      </c>
    </row>
    <row r="81" spans="1:16">
      <c r="A81" t="s">
        <v>169</v>
      </c>
      <c r="B81">
        <v>197</v>
      </c>
      <c r="C81">
        <v>60</v>
      </c>
      <c r="D81">
        <v>92</v>
      </c>
      <c r="E81">
        <v>111</v>
      </c>
      <c r="F81">
        <v>102</v>
      </c>
      <c r="G81">
        <v>135</v>
      </c>
      <c r="H81">
        <v>347.4</v>
      </c>
      <c r="I81" s="14">
        <v>457.28373996655375</v>
      </c>
      <c r="J81">
        <v>126</v>
      </c>
      <c r="K81">
        <v>80</v>
      </c>
      <c r="L81">
        <v>124</v>
      </c>
      <c r="M81">
        <v>80</v>
      </c>
      <c r="N81" s="143" t="e">
        <v>#DIV/0!</v>
      </c>
      <c r="O81" s="143" t="e">
        <v>#DIV/0!</v>
      </c>
      <c r="P81">
        <v>-80</v>
      </c>
    </row>
    <row r="82" spans="1:16">
      <c r="A82" t="s">
        <v>163</v>
      </c>
      <c r="B82">
        <v>141</v>
      </c>
      <c r="C82">
        <v>92</v>
      </c>
      <c r="D82">
        <v>67</v>
      </c>
      <c r="E82">
        <v>123</v>
      </c>
      <c r="F82">
        <v>178</v>
      </c>
      <c r="G82">
        <v>133</v>
      </c>
      <c r="H82">
        <v>343.90000000000003</v>
      </c>
      <c r="I82" s="14">
        <v>457.3742161921532</v>
      </c>
      <c r="J82">
        <v>119</v>
      </c>
      <c r="K82">
        <v>75</v>
      </c>
      <c r="L82">
        <v>125</v>
      </c>
      <c r="M82">
        <v>81</v>
      </c>
      <c r="N82" s="143" t="e">
        <v>#DIV/0!</v>
      </c>
      <c r="O82" s="143" t="e">
        <v>#DIV/0!</v>
      </c>
      <c r="P82">
        <v>12</v>
      </c>
    </row>
    <row r="83" spans="1:16">
      <c r="A83" t="s">
        <v>134</v>
      </c>
      <c r="B83">
        <v>153</v>
      </c>
      <c r="C83">
        <v>110</v>
      </c>
      <c r="D83">
        <v>85</v>
      </c>
      <c r="E83">
        <v>148</v>
      </c>
      <c r="F83">
        <v>135</v>
      </c>
      <c r="G83">
        <v>110</v>
      </c>
      <c r="H83">
        <v>363.6</v>
      </c>
      <c r="I83" s="14">
        <v>457.73634167229943</v>
      </c>
      <c r="J83">
        <v>149</v>
      </c>
      <c r="K83">
        <v>95</v>
      </c>
      <c r="L83">
        <v>126</v>
      </c>
      <c r="M83">
        <v>82</v>
      </c>
      <c r="N83" s="143" t="e">
        <v>#DIV/0!</v>
      </c>
      <c r="O83" s="143" t="e">
        <v>#DIV/0!</v>
      </c>
      <c r="P83">
        <v>28</v>
      </c>
    </row>
    <row r="84" spans="1:16">
      <c r="A84" t="s">
        <v>101</v>
      </c>
      <c r="B84">
        <v>120</v>
      </c>
      <c r="C84">
        <v>68</v>
      </c>
      <c r="D84">
        <v>137</v>
      </c>
      <c r="E84">
        <v>46</v>
      </c>
      <c r="F84">
        <v>206</v>
      </c>
      <c r="G84">
        <v>132</v>
      </c>
      <c r="H84">
        <v>347.29999999999995</v>
      </c>
      <c r="I84" s="14">
        <v>460.19819100641189</v>
      </c>
      <c r="J84">
        <v>125</v>
      </c>
      <c r="K84">
        <v>79</v>
      </c>
      <c r="L84">
        <v>127</v>
      </c>
      <c r="M84">
        <v>83</v>
      </c>
      <c r="N84" s="143" t="e">
        <v>#DIV/0!</v>
      </c>
      <c r="O84" s="143" t="e">
        <v>#DIV/0!</v>
      </c>
      <c r="P84">
        <v>8</v>
      </c>
    </row>
    <row r="85" spans="1:16">
      <c r="A85" t="s">
        <v>17</v>
      </c>
      <c r="B85">
        <v>17</v>
      </c>
      <c r="C85">
        <v>166</v>
      </c>
      <c r="D85">
        <v>157</v>
      </c>
      <c r="E85">
        <v>136</v>
      </c>
      <c r="F85">
        <v>167</v>
      </c>
      <c r="G85">
        <v>105</v>
      </c>
      <c r="H85">
        <v>344.4</v>
      </c>
      <c r="I85" s="14">
        <v>462.04376733320134</v>
      </c>
      <c r="J85">
        <v>120</v>
      </c>
      <c r="K85">
        <v>76</v>
      </c>
      <c r="L85">
        <v>128</v>
      </c>
      <c r="M85">
        <v>84</v>
      </c>
      <c r="N85" s="143" t="e">
        <v>#DIV/0!</v>
      </c>
      <c r="O85" s="143" t="e">
        <v>#DIV/0!</v>
      </c>
      <c r="P85">
        <v>-10</v>
      </c>
    </row>
    <row r="86" spans="1:16">
      <c r="A86" t="s">
        <v>221</v>
      </c>
      <c r="B86">
        <v>146</v>
      </c>
      <c r="C86">
        <v>9</v>
      </c>
      <c r="D86">
        <v>22</v>
      </c>
      <c r="E86">
        <v>200</v>
      </c>
      <c r="F86">
        <v>220</v>
      </c>
      <c r="G86">
        <v>149</v>
      </c>
      <c r="H86">
        <v>326.70000000000005</v>
      </c>
      <c r="I86" s="14">
        <v>462.18275001013455</v>
      </c>
      <c r="J86">
        <v>102</v>
      </c>
      <c r="K86">
        <v>63</v>
      </c>
      <c r="L86">
        <v>129</v>
      </c>
      <c r="M86">
        <v>85</v>
      </c>
      <c r="N86" s="143" t="e">
        <v>#DIV/0!</v>
      </c>
      <c r="O86" s="143" t="e">
        <v>#DIV/0!</v>
      </c>
      <c r="P86">
        <v>34</v>
      </c>
    </row>
    <row r="87" spans="1:16">
      <c r="A87" t="s">
        <v>396</v>
      </c>
      <c r="B87">
        <v>69</v>
      </c>
      <c r="C87">
        <v>102</v>
      </c>
      <c r="D87">
        <v>54</v>
      </c>
      <c r="E87">
        <v>209</v>
      </c>
      <c r="F87">
        <v>184</v>
      </c>
      <c r="G87">
        <v>139</v>
      </c>
      <c r="H87">
        <v>319.60000000000002</v>
      </c>
      <c r="I87" s="14">
        <v>462.54460335750241</v>
      </c>
      <c r="J87">
        <v>94</v>
      </c>
      <c r="K87">
        <v>57</v>
      </c>
      <c r="L87">
        <v>130</v>
      </c>
      <c r="M87">
        <v>86</v>
      </c>
      <c r="N87" s="143" t="e">
        <v>#DIV/0!</v>
      </c>
      <c r="O87" s="143" t="e">
        <v>#DIV/0!</v>
      </c>
      <c r="P87">
        <v>-37</v>
      </c>
    </row>
    <row r="88" spans="1:16">
      <c r="A88" t="s">
        <v>185</v>
      </c>
      <c r="B88">
        <v>206</v>
      </c>
      <c r="C88">
        <v>14</v>
      </c>
      <c r="D88">
        <v>72</v>
      </c>
      <c r="E88">
        <v>204</v>
      </c>
      <c r="F88">
        <v>150</v>
      </c>
      <c r="G88">
        <v>103</v>
      </c>
      <c r="H88">
        <v>378.8</v>
      </c>
      <c r="I88" s="14">
        <v>464.30322110241099</v>
      </c>
      <c r="J88">
        <v>164</v>
      </c>
      <c r="K88">
        <v>107</v>
      </c>
      <c r="L88">
        <v>131</v>
      </c>
      <c r="M88">
        <v>87</v>
      </c>
      <c r="N88" s="143" t="e">
        <v>#DIV/0!</v>
      </c>
      <c r="O88" s="143" t="e">
        <v>#DIV/0!</v>
      </c>
      <c r="P88">
        <v>66</v>
      </c>
    </row>
    <row r="89" spans="1:16">
      <c r="A89" t="s">
        <v>402</v>
      </c>
      <c r="B89">
        <v>51</v>
      </c>
      <c r="C89">
        <v>231</v>
      </c>
      <c r="D89">
        <v>141</v>
      </c>
      <c r="E89">
        <v>113</v>
      </c>
      <c r="F89">
        <v>104</v>
      </c>
      <c r="G89">
        <v>112</v>
      </c>
      <c r="H89">
        <v>352.2</v>
      </c>
      <c r="I89" s="14">
        <v>466.0711648793984</v>
      </c>
      <c r="J89">
        <v>132</v>
      </c>
      <c r="K89">
        <v>85</v>
      </c>
      <c r="L89">
        <v>132</v>
      </c>
      <c r="M89">
        <v>88</v>
      </c>
      <c r="N89" s="143" t="e">
        <v>#DIV/0!</v>
      </c>
      <c r="O89" s="143" t="e">
        <v>#DIV/0!</v>
      </c>
      <c r="P89">
        <v>0</v>
      </c>
    </row>
    <row r="90" spans="1:16">
      <c r="A90" t="s">
        <v>106</v>
      </c>
      <c r="B90">
        <v>60</v>
      </c>
      <c r="C90">
        <v>168</v>
      </c>
      <c r="D90">
        <v>138</v>
      </c>
      <c r="E90">
        <v>193</v>
      </c>
      <c r="F90">
        <v>60</v>
      </c>
      <c r="G90">
        <v>123</v>
      </c>
      <c r="H90">
        <v>335.8</v>
      </c>
      <c r="I90" s="14">
        <v>473.33807713942662</v>
      </c>
      <c r="J90">
        <v>111</v>
      </c>
      <c r="K90">
        <v>68</v>
      </c>
      <c r="L90">
        <v>133</v>
      </c>
      <c r="M90">
        <v>89</v>
      </c>
      <c r="N90" s="143" t="e">
        <v>#DIV/0!</v>
      </c>
      <c r="O90" s="143" t="e">
        <v>#DIV/0!</v>
      </c>
      <c r="P90">
        <v>5</v>
      </c>
    </row>
    <row r="91" spans="1:16">
      <c r="A91" t="s">
        <v>20</v>
      </c>
      <c r="B91">
        <v>3</v>
      </c>
      <c r="C91">
        <v>192</v>
      </c>
      <c r="D91">
        <v>42</v>
      </c>
      <c r="E91">
        <v>197</v>
      </c>
      <c r="F91">
        <v>221</v>
      </c>
      <c r="G91">
        <v>151</v>
      </c>
      <c r="H91">
        <v>317.10000000000002</v>
      </c>
      <c r="I91" s="14">
        <v>477.31921965347721</v>
      </c>
      <c r="J91">
        <v>92.5</v>
      </c>
      <c r="K91">
        <v>56</v>
      </c>
      <c r="L91">
        <v>134</v>
      </c>
      <c r="M91">
        <v>90</v>
      </c>
      <c r="N91" s="143" t="e">
        <v>#DIV/0!</v>
      </c>
      <c r="O91" s="143" t="e">
        <v>#DIV/0!</v>
      </c>
      <c r="P91">
        <v>52</v>
      </c>
    </row>
    <row r="92" spans="1:16">
      <c r="A92" t="s">
        <v>86</v>
      </c>
      <c r="B92">
        <v>118</v>
      </c>
      <c r="C92">
        <v>123</v>
      </c>
      <c r="D92">
        <v>187</v>
      </c>
      <c r="E92">
        <v>138</v>
      </c>
      <c r="F92">
        <v>24</v>
      </c>
      <c r="G92">
        <v>125</v>
      </c>
      <c r="H92">
        <v>354</v>
      </c>
      <c r="I92" s="14">
        <v>482.87114532998163</v>
      </c>
      <c r="J92">
        <v>135</v>
      </c>
      <c r="K92">
        <v>87</v>
      </c>
      <c r="L92">
        <v>138</v>
      </c>
      <c r="M92">
        <v>91</v>
      </c>
      <c r="N92" s="143" t="e">
        <v>#DIV/0!</v>
      </c>
      <c r="O92" s="143" t="e">
        <v>#DIV/0!</v>
      </c>
      <c r="P92">
        <v>-39</v>
      </c>
    </row>
    <row r="93" spans="1:16">
      <c r="A93" t="s">
        <v>413</v>
      </c>
      <c r="B93">
        <v>105</v>
      </c>
      <c r="C93">
        <v>176</v>
      </c>
      <c r="D93">
        <v>73</v>
      </c>
      <c r="E93">
        <v>58</v>
      </c>
      <c r="F93">
        <v>205</v>
      </c>
      <c r="G93">
        <v>162</v>
      </c>
      <c r="H93">
        <v>348.8</v>
      </c>
      <c r="I93" s="14">
        <v>486.17387485874144</v>
      </c>
      <c r="J93">
        <v>131</v>
      </c>
      <c r="K93">
        <v>84</v>
      </c>
      <c r="L93">
        <v>139</v>
      </c>
      <c r="M93">
        <v>92</v>
      </c>
      <c r="N93" s="143" t="e">
        <v>#DIV/0!</v>
      </c>
      <c r="O93" s="143" t="e">
        <v>#DIV/0!</v>
      </c>
      <c r="P93">
        <v>-18</v>
      </c>
    </row>
    <row r="94" spans="1:16">
      <c r="A94" t="s">
        <v>173</v>
      </c>
      <c r="B94">
        <v>204</v>
      </c>
      <c r="C94">
        <v>159</v>
      </c>
      <c r="D94">
        <v>119</v>
      </c>
      <c r="E94">
        <v>83</v>
      </c>
      <c r="F94">
        <v>34</v>
      </c>
      <c r="G94">
        <v>145</v>
      </c>
      <c r="H94">
        <v>376.2</v>
      </c>
      <c r="I94" s="14">
        <v>492.80582226857803</v>
      </c>
      <c r="J94">
        <v>159</v>
      </c>
      <c r="K94">
        <v>103</v>
      </c>
      <c r="L94">
        <v>140</v>
      </c>
      <c r="M94">
        <v>93</v>
      </c>
      <c r="N94" s="143" t="e">
        <v>#DIV/0!</v>
      </c>
      <c r="O94" s="143" t="e">
        <v>#DIV/0!</v>
      </c>
      <c r="P94">
        <v>-40</v>
      </c>
    </row>
    <row r="95" spans="1:16">
      <c r="A95" t="s">
        <v>130</v>
      </c>
      <c r="B95">
        <v>186</v>
      </c>
      <c r="C95">
        <v>100</v>
      </c>
      <c r="D95">
        <v>79</v>
      </c>
      <c r="E95">
        <v>153</v>
      </c>
      <c r="F95">
        <v>118</v>
      </c>
      <c r="G95">
        <v>141</v>
      </c>
      <c r="H95">
        <v>374.3</v>
      </c>
      <c r="I95" s="14">
        <v>494.10137236795799</v>
      </c>
      <c r="J95">
        <v>156</v>
      </c>
      <c r="K95">
        <v>101</v>
      </c>
      <c r="L95">
        <v>141</v>
      </c>
      <c r="M95">
        <v>94</v>
      </c>
      <c r="N95" s="143" t="e">
        <v>#DIV/0!</v>
      </c>
      <c r="O95" s="143" t="e">
        <v>#DIV/0!</v>
      </c>
      <c r="P95">
        <v>51</v>
      </c>
    </row>
    <row r="96" spans="1:16">
      <c r="A96" t="s">
        <v>247</v>
      </c>
      <c r="B96">
        <v>172</v>
      </c>
      <c r="C96">
        <v>97</v>
      </c>
      <c r="D96">
        <v>161</v>
      </c>
      <c r="E96">
        <v>77</v>
      </c>
      <c r="F96">
        <v>86</v>
      </c>
      <c r="G96">
        <v>146</v>
      </c>
      <c r="H96">
        <v>372.59999999999997</v>
      </c>
      <c r="I96" s="14">
        <v>499.65846380742016</v>
      </c>
      <c r="J96">
        <v>154</v>
      </c>
      <c r="K96">
        <v>99</v>
      </c>
      <c r="L96">
        <v>143</v>
      </c>
      <c r="M96">
        <v>95</v>
      </c>
      <c r="N96" s="143" t="e">
        <v>#DIV/0!</v>
      </c>
      <c r="O96" s="143" t="e">
        <v>#DIV/0!</v>
      </c>
      <c r="P96">
        <v>33</v>
      </c>
    </row>
    <row r="97" spans="1:16">
      <c r="A97" t="s">
        <v>142</v>
      </c>
      <c r="B97">
        <v>155</v>
      </c>
      <c r="C97">
        <v>212</v>
      </c>
      <c r="D97">
        <v>93</v>
      </c>
      <c r="E97">
        <v>33</v>
      </c>
      <c r="F97">
        <v>186</v>
      </c>
      <c r="G97">
        <v>136</v>
      </c>
      <c r="H97">
        <v>401.3</v>
      </c>
      <c r="I97" s="14">
        <v>500.66497444330406</v>
      </c>
      <c r="J97">
        <v>177</v>
      </c>
      <c r="K97">
        <v>116</v>
      </c>
      <c r="L97">
        <v>144</v>
      </c>
      <c r="M97">
        <v>96</v>
      </c>
      <c r="N97" s="143" t="e">
        <v>#DIV/0!</v>
      </c>
      <c r="O97" s="143" t="e">
        <v>#DIV/0!</v>
      </c>
      <c r="P97">
        <v>-25</v>
      </c>
    </row>
    <row r="98" spans="1:16">
      <c r="A98" t="s">
        <v>41</v>
      </c>
      <c r="B98">
        <v>33</v>
      </c>
      <c r="C98">
        <v>220</v>
      </c>
      <c r="D98">
        <v>207</v>
      </c>
      <c r="E98">
        <v>120</v>
      </c>
      <c r="F98">
        <v>26</v>
      </c>
      <c r="G98">
        <v>143</v>
      </c>
      <c r="H98">
        <v>342.29999999999995</v>
      </c>
      <c r="I98" s="14">
        <v>501.78673489046412</v>
      </c>
      <c r="J98">
        <v>118</v>
      </c>
      <c r="K98">
        <v>74</v>
      </c>
      <c r="L98">
        <v>146</v>
      </c>
      <c r="M98">
        <v>97</v>
      </c>
      <c r="N98" s="143" t="e">
        <v>#DIV/0!</v>
      </c>
      <c r="O98" s="143" t="e">
        <v>#DIV/0!</v>
      </c>
      <c r="P98">
        <v>-30</v>
      </c>
    </row>
    <row r="99" spans="1:16">
      <c r="A99" t="s">
        <v>36</v>
      </c>
      <c r="B99">
        <v>74</v>
      </c>
      <c r="C99">
        <v>195</v>
      </c>
      <c r="D99">
        <v>96</v>
      </c>
      <c r="E99">
        <v>220</v>
      </c>
      <c r="F99">
        <v>111</v>
      </c>
      <c r="G99">
        <v>130</v>
      </c>
      <c r="H99">
        <v>367.4</v>
      </c>
      <c r="I99" s="14">
        <v>505.18178793302548</v>
      </c>
      <c r="J99">
        <v>150.5</v>
      </c>
      <c r="K99">
        <v>96</v>
      </c>
      <c r="L99">
        <v>149</v>
      </c>
      <c r="M99">
        <v>98</v>
      </c>
      <c r="N99" s="143" t="e">
        <v>#DIV/0!</v>
      </c>
      <c r="O99" s="143" t="e">
        <v>#DIV/0!</v>
      </c>
      <c r="P99">
        <v>-30</v>
      </c>
    </row>
    <row r="100" spans="1:16">
      <c r="A100" t="s">
        <v>33</v>
      </c>
      <c r="B100">
        <v>11</v>
      </c>
      <c r="C100">
        <v>170</v>
      </c>
      <c r="D100">
        <v>208</v>
      </c>
      <c r="E100">
        <v>128</v>
      </c>
      <c r="F100">
        <v>96</v>
      </c>
      <c r="G100">
        <v>150</v>
      </c>
      <c r="H100">
        <v>338.59999999999997</v>
      </c>
      <c r="I100" s="14">
        <v>509.26808062088497</v>
      </c>
      <c r="J100">
        <v>114</v>
      </c>
      <c r="K100">
        <v>70</v>
      </c>
      <c r="L100">
        <v>150</v>
      </c>
      <c r="M100">
        <v>99</v>
      </c>
      <c r="N100" s="143" t="e">
        <v>#DIV/0!</v>
      </c>
      <c r="O100" s="143" t="e">
        <v>#DIV/0!</v>
      </c>
      <c r="P100">
        <v>-46</v>
      </c>
    </row>
    <row r="101" spans="1:16">
      <c r="A101" t="s">
        <v>236</v>
      </c>
      <c r="B101">
        <v>201</v>
      </c>
      <c r="C101">
        <v>54</v>
      </c>
      <c r="D101">
        <v>172</v>
      </c>
      <c r="E101">
        <v>116</v>
      </c>
      <c r="F101">
        <v>47</v>
      </c>
      <c r="G101">
        <v>148</v>
      </c>
      <c r="H101">
        <v>378.1</v>
      </c>
      <c r="I101" s="14">
        <v>510.82551957428069</v>
      </c>
      <c r="J101">
        <v>163</v>
      </c>
      <c r="K101">
        <v>106</v>
      </c>
      <c r="L101">
        <v>151</v>
      </c>
      <c r="M101">
        <v>100</v>
      </c>
      <c r="N101" s="143" t="e">
        <v>#DIV/0!</v>
      </c>
      <c r="O101" s="143" t="e">
        <v>#DIV/0!</v>
      </c>
      <c r="P101">
        <v>24</v>
      </c>
    </row>
    <row r="102" spans="1:16">
      <c r="A102" t="s">
        <v>158</v>
      </c>
      <c r="B102">
        <v>164</v>
      </c>
      <c r="C102">
        <v>129</v>
      </c>
      <c r="D102">
        <v>203</v>
      </c>
      <c r="E102">
        <v>62</v>
      </c>
      <c r="F102">
        <v>72</v>
      </c>
      <c r="G102">
        <v>129</v>
      </c>
      <c r="H102">
        <v>398.6</v>
      </c>
      <c r="I102" s="14">
        <v>511.49229012334166</v>
      </c>
      <c r="J102">
        <v>174</v>
      </c>
      <c r="K102">
        <v>115</v>
      </c>
      <c r="L102">
        <v>153</v>
      </c>
      <c r="M102">
        <v>101</v>
      </c>
      <c r="N102" s="143" t="e">
        <v>#DIV/0!</v>
      </c>
      <c r="O102" s="143" t="e">
        <v>#DIV/0!</v>
      </c>
      <c r="P102">
        <v>26</v>
      </c>
    </row>
    <row r="103" spans="1:16">
      <c r="A103" t="s">
        <v>77</v>
      </c>
      <c r="B103">
        <v>44</v>
      </c>
      <c r="C103">
        <v>211</v>
      </c>
      <c r="D103">
        <v>105</v>
      </c>
      <c r="E103">
        <v>145</v>
      </c>
      <c r="F103">
        <v>152</v>
      </c>
      <c r="G103">
        <v>170</v>
      </c>
      <c r="H103">
        <v>348.2</v>
      </c>
      <c r="I103" s="14">
        <v>520.78727427205206</v>
      </c>
      <c r="J103">
        <v>128</v>
      </c>
      <c r="K103">
        <v>81</v>
      </c>
      <c r="L103">
        <v>154</v>
      </c>
      <c r="M103">
        <v>102</v>
      </c>
      <c r="N103" s="143" t="e">
        <v>#DIV/0!</v>
      </c>
      <c r="O103" s="143" t="e">
        <v>#DIV/0!</v>
      </c>
      <c r="P103">
        <v>-2</v>
      </c>
    </row>
    <row r="104" spans="1:16">
      <c r="A104" t="s">
        <v>45</v>
      </c>
      <c r="B104">
        <v>145</v>
      </c>
      <c r="C104">
        <v>199</v>
      </c>
      <c r="D104">
        <v>82</v>
      </c>
      <c r="E104">
        <v>80</v>
      </c>
      <c r="F104">
        <v>140</v>
      </c>
      <c r="G104">
        <v>179</v>
      </c>
      <c r="H104">
        <v>374.9</v>
      </c>
      <c r="I104" s="14">
        <v>526.96988126517033</v>
      </c>
      <c r="J104">
        <v>158</v>
      </c>
      <c r="K104">
        <v>102</v>
      </c>
      <c r="L104">
        <v>156</v>
      </c>
      <c r="M104">
        <v>103</v>
      </c>
      <c r="N104" s="143" t="e">
        <v>#DIV/0!</v>
      </c>
      <c r="O104" s="143" t="e">
        <v>#DIV/0!</v>
      </c>
      <c r="P104">
        <v>-38</v>
      </c>
    </row>
    <row r="105" spans="1:16">
      <c r="A105" t="s">
        <v>307</v>
      </c>
      <c r="B105">
        <v>24</v>
      </c>
      <c r="C105">
        <v>156</v>
      </c>
      <c r="D105">
        <v>160</v>
      </c>
      <c r="E105">
        <v>130</v>
      </c>
      <c r="F105">
        <v>158</v>
      </c>
      <c r="G105">
        <v>178</v>
      </c>
      <c r="H105">
        <v>340.2</v>
      </c>
      <c r="I105" s="14">
        <v>529.79107513487634</v>
      </c>
      <c r="J105">
        <v>116</v>
      </c>
      <c r="K105">
        <v>72</v>
      </c>
      <c r="L105">
        <v>159</v>
      </c>
      <c r="M105">
        <v>104</v>
      </c>
      <c r="N105" s="143" t="e">
        <v>#DIV/0!</v>
      </c>
      <c r="O105" s="143" t="e">
        <v>#DIV/0!</v>
      </c>
      <c r="P105">
        <v>-11</v>
      </c>
    </row>
    <row r="106" spans="1:16">
      <c r="A106" t="s">
        <v>91</v>
      </c>
      <c r="B106">
        <v>86</v>
      </c>
      <c r="C106">
        <v>178</v>
      </c>
      <c r="D106">
        <v>87</v>
      </c>
      <c r="E106">
        <v>215</v>
      </c>
      <c r="F106">
        <v>139</v>
      </c>
      <c r="G106">
        <v>156</v>
      </c>
      <c r="H106">
        <v>374.20000000000005</v>
      </c>
      <c r="I106" s="14">
        <v>533.46747296121021</v>
      </c>
      <c r="J106">
        <v>155</v>
      </c>
      <c r="K106">
        <v>100</v>
      </c>
      <c r="L106">
        <v>161</v>
      </c>
      <c r="M106">
        <v>105</v>
      </c>
      <c r="N106" s="143" t="e">
        <v>#DIV/0!</v>
      </c>
      <c r="O106" s="143" t="e">
        <v>#DIV/0!</v>
      </c>
      <c r="P106">
        <v>35</v>
      </c>
    </row>
    <row r="107" spans="1:16">
      <c r="A107" t="s">
        <v>126</v>
      </c>
      <c r="B107">
        <v>98</v>
      </c>
      <c r="C107">
        <v>76</v>
      </c>
      <c r="D107">
        <v>168</v>
      </c>
      <c r="E107">
        <v>82</v>
      </c>
      <c r="F107">
        <v>202</v>
      </c>
      <c r="G107">
        <v>181</v>
      </c>
      <c r="H107">
        <v>367.8</v>
      </c>
      <c r="I107" s="14">
        <v>541.27516868588884</v>
      </c>
      <c r="J107">
        <v>152</v>
      </c>
      <c r="K107">
        <v>98</v>
      </c>
      <c r="L107">
        <v>162</v>
      </c>
      <c r="M107">
        <v>106</v>
      </c>
      <c r="N107" s="143" t="e">
        <v>#DIV/0!</v>
      </c>
      <c r="O107" s="143" t="e">
        <v>#DIV/0!</v>
      </c>
      <c r="P107">
        <v>34</v>
      </c>
    </row>
    <row r="108" spans="1:16">
      <c r="A108" t="s">
        <v>68</v>
      </c>
      <c r="B108">
        <v>84</v>
      </c>
      <c r="C108">
        <v>94</v>
      </c>
      <c r="D108">
        <v>175</v>
      </c>
      <c r="E108">
        <v>113</v>
      </c>
      <c r="F108">
        <v>133</v>
      </c>
      <c r="G108">
        <v>195</v>
      </c>
      <c r="H108">
        <v>348.4</v>
      </c>
      <c r="I108" s="14">
        <v>545.82792644528308</v>
      </c>
      <c r="J108">
        <v>129</v>
      </c>
      <c r="K108">
        <v>82</v>
      </c>
      <c r="L108">
        <v>163</v>
      </c>
      <c r="M108">
        <v>107</v>
      </c>
      <c r="N108" s="143" t="e">
        <v>#DIV/0!</v>
      </c>
      <c r="O108" s="143" t="e">
        <v>#DIV/0!</v>
      </c>
      <c r="P108">
        <v>-19</v>
      </c>
    </row>
    <row r="109" spans="1:16">
      <c r="A109" t="s">
        <v>70</v>
      </c>
      <c r="B109">
        <v>141</v>
      </c>
      <c r="C109">
        <v>225</v>
      </c>
      <c r="D109">
        <v>11</v>
      </c>
      <c r="E109">
        <v>224</v>
      </c>
      <c r="F109">
        <v>46</v>
      </c>
      <c r="G109">
        <v>214</v>
      </c>
      <c r="H109">
        <v>345.6</v>
      </c>
      <c r="I109" s="14">
        <v>548.73386278158443</v>
      </c>
      <c r="J109">
        <v>121</v>
      </c>
      <c r="K109">
        <v>77</v>
      </c>
      <c r="L109">
        <v>165</v>
      </c>
      <c r="M109">
        <v>108</v>
      </c>
      <c r="N109" s="143" t="e">
        <v>#DIV/0!</v>
      </c>
      <c r="O109" s="143" t="e">
        <v>#DIV/0!</v>
      </c>
      <c r="P109">
        <v>6</v>
      </c>
    </row>
    <row r="110" spans="1:16">
      <c r="A110" t="s">
        <v>223</v>
      </c>
      <c r="B110">
        <v>115</v>
      </c>
      <c r="C110">
        <v>189</v>
      </c>
      <c r="D110">
        <v>199</v>
      </c>
      <c r="E110">
        <v>147</v>
      </c>
      <c r="F110">
        <v>50</v>
      </c>
      <c r="G110">
        <v>138</v>
      </c>
      <c r="H110">
        <v>409.59999999999997</v>
      </c>
      <c r="I110" s="14">
        <v>550.30368941629104</v>
      </c>
      <c r="J110">
        <v>182</v>
      </c>
      <c r="K110">
        <v>120</v>
      </c>
      <c r="L110">
        <v>166</v>
      </c>
      <c r="M110">
        <v>109</v>
      </c>
      <c r="N110" s="143" t="e">
        <v>#DIV/0!</v>
      </c>
      <c r="O110" s="143" t="e">
        <v>#DIV/0!</v>
      </c>
      <c r="P110">
        <v>26</v>
      </c>
    </row>
    <row r="111" spans="1:16">
      <c r="A111" t="s">
        <v>168</v>
      </c>
      <c r="B111">
        <v>169</v>
      </c>
      <c r="C111">
        <v>11</v>
      </c>
      <c r="D111">
        <v>123</v>
      </c>
      <c r="E111">
        <v>174</v>
      </c>
      <c r="F111">
        <v>165</v>
      </c>
      <c r="G111">
        <v>184</v>
      </c>
      <c r="H111">
        <v>378.90000000000003</v>
      </c>
      <c r="I111" s="14">
        <v>553.03678024235137</v>
      </c>
      <c r="J111">
        <v>165</v>
      </c>
      <c r="K111">
        <v>108</v>
      </c>
      <c r="L111">
        <v>168</v>
      </c>
      <c r="M111">
        <v>110</v>
      </c>
      <c r="N111" s="143" t="e">
        <v>#DIV/0!</v>
      </c>
      <c r="O111" s="143" t="e">
        <v>#DIV/0!</v>
      </c>
      <c r="P111">
        <v>-27</v>
      </c>
    </row>
    <row r="112" spans="1:16">
      <c r="A112" t="s">
        <v>89</v>
      </c>
      <c r="B112">
        <v>132</v>
      </c>
      <c r="C112">
        <v>179</v>
      </c>
      <c r="D112">
        <v>154</v>
      </c>
      <c r="E112">
        <v>194</v>
      </c>
      <c r="F112">
        <v>59</v>
      </c>
      <c r="G112">
        <v>142</v>
      </c>
      <c r="H112">
        <v>410.00000000000006</v>
      </c>
      <c r="I112" s="14">
        <v>553.14012729332285</v>
      </c>
      <c r="J112">
        <v>183</v>
      </c>
      <c r="K112">
        <v>121</v>
      </c>
      <c r="L112">
        <v>169</v>
      </c>
      <c r="M112">
        <v>111</v>
      </c>
      <c r="N112" s="143" t="e">
        <v>#DIV/0!</v>
      </c>
      <c r="O112" s="143" t="e">
        <v>#DIV/0!</v>
      </c>
      <c r="P112">
        <v>-24</v>
      </c>
    </row>
    <row r="113" spans="1:16">
      <c r="A113" t="s">
        <v>398</v>
      </c>
      <c r="B113">
        <v>16</v>
      </c>
      <c r="C113">
        <v>213</v>
      </c>
      <c r="D113">
        <v>209</v>
      </c>
      <c r="E113">
        <v>104</v>
      </c>
      <c r="F113">
        <v>112</v>
      </c>
      <c r="G113">
        <v>177</v>
      </c>
      <c r="H113">
        <v>363.2</v>
      </c>
      <c r="I113" s="14">
        <v>554.39832026010106</v>
      </c>
      <c r="J113" s="16">
        <v>148</v>
      </c>
      <c r="K113">
        <v>94</v>
      </c>
      <c r="L113">
        <v>170</v>
      </c>
      <c r="M113">
        <v>112</v>
      </c>
      <c r="N113" s="143" t="e">
        <v>#DIV/0!</v>
      </c>
      <c r="O113" s="143" t="e">
        <v>#DIV/0!</v>
      </c>
      <c r="P113">
        <v>5</v>
      </c>
    </row>
    <row r="114" spans="1:16">
      <c r="A114" t="s">
        <v>174</v>
      </c>
      <c r="B114">
        <v>146</v>
      </c>
      <c r="C114">
        <v>134</v>
      </c>
      <c r="D114">
        <v>179</v>
      </c>
      <c r="E114">
        <v>189</v>
      </c>
      <c r="F114">
        <v>15</v>
      </c>
      <c r="G114">
        <v>159</v>
      </c>
      <c r="H114">
        <v>392.20000000000005</v>
      </c>
      <c r="I114" s="14">
        <v>555.0874936689562</v>
      </c>
      <c r="J114">
        <v>172</v>
      </c>
      <c r="K114">
        <v>113</v>
      </c>
      <c r="L114">
        <v>172</v>
      </c>
      <c r="M114">
        <v>113</v>
      </c>
      <c r="N114" s="143" t="e">
        <v>#DIV/0!</v>
      </c>
      <c r="O114" s="143" t="e">
        <v>#DIV/0!</v>
      </c>
      <c r="P114">
        <v>-8</v>
      </c>
    </row>
    <row r="115" spans="1:16">
      <c r="A115" t="s">
        <v>99</v>
      </c>
      <c r="B115">
        <v>82</v>
      </c>
      <c r="C115">
        <v>86</v>
      </c>
      <c r="D115">
        <v>112</v>
      </c>
      <c r="E115">
        <v>156</v>
      </c>
      <c r="F115">
        <v>227</v>
      </c>
      <c r="G115">
        <v>194</v>
      </c>
      <c r="H115">
        <v>362.9</v>
      </c>
      <c r="I115" s="14">
        <v>555.28863217818002</v>
      </c>
      <c r="J115">
        <v>147</v>
      </c>
      <c r="K115">
        <v>93</v>
      </c>
      <c r="L115">
        <v>173</v>
      </c>
      <c r="M115">
        <v>114</v>
      </c>
      <c r="N115" s="143" t="e">
        <v>#DIV/0!</v>
      </c>
      <c r="O115" s="143" t="e">
        <v>#DIV/0!</v>
      </c>
      <c r="P115">
        <v>-55</v>
      </c>
    </row>
    <row r="116" spans="1:16">
      <c r="A116" t="s">
        <v>61</v>
      </c>
      <c r="B116">
        <v>127</v>
      </c>
      <c r="C116">
        <v>140</v>
      </c>
      <c r="D116">
        <v>40</v>
      </c>
      <c r="E116">
        <v>201</v>
      </c>
      <c r="F116">
        <v>226</v>
      </c>
      <c r="G116">
        <v>191</v>
      </c>
      <c r="H116">
        <v>393</v>
      </c>
      <c r="I116" s="14">
        <v>570.3857731315544</v>
      </c>
      <c r="J116">
        <v>173</v>
      </c>
      <c r="K116">
        <v>114</v>
      </c>
      <c r="L116">
        <v>176</v>
      </c>
      <c r="M116">
        <v>115</v>
      </c>
      <c r="N116" s="143" t="e">
        <v>#DIV/0!</v>
      </c>
      <c r="O116" s="143" t="e">
        <v>#DIV/0!</v>
      </c>
      <c r="P116">
        <v>-20</v>
      </c>
    </row>
    <row r="117" spans="1:16">
      <c r="A117" t="s">
        <v>425</v>
      </c>
      <c r="B117">
        <v>167</v>
      </c>
      <c r="C117">
        <v>155</v>
      </c>
      <c r="D117">
        <v>188</v>
      </c>
      <c r="E117">
        <v>88</v>
      </c>
      <c r="F117">
        <v>82</v>
      </c>
      <c r="G117">
        <v>168</v>
      </c>
      <c r="H117">
        <v>418.9</v>
      </c>
      <c r="I117" s="14">
        <v>570.5635425807402</v>
      </c>
      <c r="J117">
        <v>188</v>
      </c>
      <c r="K117">
        <v>125</v>
      </c>
      <c r="L117">
        <v>177</v>
      </c>
      <c r="M117">
        <v>116</v>
      </c>
      <c r="N117" s="143" t="e">
        <v>#DIV/0!</v>
      </c>
      <c r="O117" s="143" t="e">
        <v>#DIV/0!</v>
      </c>
      <c r="P117">
        <v>-106</v>
      </c>
    </row>
    <row r="118" spans="1:16">
      <c r="A118" t="s">
        <v>83</v>
      </c>
      <c r="B118">
        <v>91</v>
      </c>
      <c r="C118">
        <v>221</v>
      </c>
      <c r="D118">
        <v>213</v>
      </c>
      <c r="E118">
        <v>159</v>
      </c>
      <c r="F118">
        <v>16</v>
      </c>
      <c r="G118">
        <v>161</v>
      </c>
      <c r="H118">
        <v>404</v>
      </c>
      <c r="I118" s="14">
        <v>575.64055914551295</v>
      </c>
      <c r="J118">
        <v>180</v>
      </c>
      <c r="K118">
        <v>118</v>
      </c>
      <c r="L118">
        <v>179</v>
      </c>
      <c r="M118">
        <v>117</v>
      </c>
      <c r="N118" s="143" t="e">
        <v>#DIV/0!</v>
      </c>
      <c r="O118" s="143" t="e">
        <v>#DIV/0!</v>
      </c>
      <c r="P118">
        <v>-31</v>
      </c>
    </row>
    <row r="119" spans="1:16">
      <c r="A119" t="s">
        <v>191</v>
      </c>
      <c r="B119">
        <v>231</v>
      </c>
      <c r="C119">
        <v>3</v>
      </c>
      <c r="D119">
        <v>145</v>
      </c>
      <c r="E119">
        <v>120</v>
      </c>
      <c r="F119">
        <v>160</v>
      </c>
      <c r="G119">
        <v>189</v>
      </c>
      <c r="H119">
        <v>415.8</v>
      </c>
      <c r="I119" s="14">
        <v>578.16738500336191</v>
      </c>
      <c r="J119">
        <v>187</v>
      </c>
      <c r="K119">
        <v>124</v>
      </c>
      <c r="L119">
        <v>180</v>
      </c>
      <c r="M119">
        <v>118</v>
      </c>
      <c r="N119" s="143" t="e">
        <v>#DIV/0!</v>
      </c>
      <c r="O119" s="143" t="e">
        <v>#DIV/0!</v>
      </c>
      <c r="P119">
        <v>-8</v>
      </c>
    </row>
    <row r="120" spans="1:16">
      <c r="A120" t="s">
        <v>419</v>
      </c>
      <c r="B120">
        <v>203</v>
      </c>
      <c r="C120">
        <v>176</v>
      </c>
      <c r="D120">
        <v>109</v>
      </c>
      <c r="E120">
        <v>148</v>
      </c>
      <c r="F120">
        <v>71</v>
      </c>
      <c r="G120">
        <v>183</v>
      </c>
      <c r="H120">
        <v>421.4</v>
      </c>
      <c r="I120" s="14">
        <v>580.97571972697665</v>
      </c>
      <c r="J120">
        <v>191</v>
      </c>
      <c r="K120">
        <v>127</v>
      </c>
      <c r="L120">
        <v>181</v>
      </c>
      <c r="M120">
        <v>119</v>
      </c>
      <c r="N120" s="143" t="e">
        <v>#DIV/0!</v>
      </c>
      <c r="O120" s="143" t="e">
        <v>#DIV/0!</v>
      </c>
      <c r="P120">
        <v>43</v>
      </c>
    </row>
    <row r="121" spans="1:16">
      <c r="A121" t="s">
        <v>374</v>
      </c>
      <c r="B121">
        <v>57</v>
      </c>
      <c r="C121">
        <v>81</v>
      </c>
      <c r="D121">
        <v>217</v>
      </c>
      <c r="E121">
        <v>179</v>
      </c>
      <c r="F121">
        <v>134</v>
      </c>
      <c r="G121">
        <v>190</v>
      </c>
      <c r="H121">
        <v>376.59999999999997</v>
      </c>
      <c r="I121" s="14">
        <v>586.97063366668726</v>
      </c>
      <c r="J121">
        <v>160</v>
      </c>
      <c r="K121">
        <v>104</v>
      </c>
      <c r="L121">
        <v>183</v>
      </c>
      <c r="M121">
        <v>120</v>
      </c>
      <c r="N121" s="143" t="e">
        <v>#N/A</v>
      </c>
      <c r="O121" s="143" t="e">
        <v>#N/A</v>
      </c>
      <c r="P121">
        <v>10</v>
      </c>
    </row>
    <row r="122" spans="1:16">
      <c r="A122" t="s">
        <v>175</v>
      </c>
      <c r="B122">
        <v>170</v>
      </c>
      <c r="C122">
        <v>13</v>
      </c>
      <c r="D122">
        <v>180</v>
      </c>
      <c r="E122">
        <v>196</v>
      </c>
      <c r="F122">
        <v>114</v>
      </c>
      <c r="G122">
        <v>186</v>
      </c>
      <c r="H122">
        <v>403.9</v>
      </c>
      <c r="I122" s="14">
        <v>590.05174649158357</v>
      </c>
      <c r="J122">
        <v>179</v>
      </c>
      <c r="K122">
        <v>117</v>
      </c>
      <c r="L122">
        <v>185</v>
      </c>
      <c r="M122">
        <v>121</v>
      </c>
      <c r="N122" s="143" t="e">
        <v>#DIV/0!</v>
      </c>
      <c r="O122" s="143" t="e">
        <v>#DIV/0!</v>
      </c>
      <c r="P122">
        <v>-27</v>
      </c>
    </row>
    <row r="123" spans="1:16">
      <c r="A123" t="s">
        <v>159</v>
      </c>
      <c r="B123">
        <v>218</v>
      </c>
      <c r="C123">
        <v>105</v>
      </c>
      <c r="D123">
        <v>219</v>
      </c>
      <c r="E123">
        <v>142</v>
      </c>
      <c r="F123">
        <v>20</v>
      </c>
      <c r="G123">
        <v>157</v>
      </c>
      <c r="H123">
        <v>447</v>
      </c>
      <c r="I123" s="14">
        <v>591.94869674073516</v>
      </c>
      <c r="J123">
        <v>201</v>
      </c>
      <c r="K123">
        <v>133</v>
      </c>
      <c r="L123">
        <v>186</v>
      </c>
      <c r="M123">
        <v>122</v>
      </c>
      <c r="N123" s="143" t="e">
        <v>#DIV/0!</v>
      </c>
      <c r="O123" s="143" t="e">
        <v>#DIV/0!</v>
      </c>
      <c r="P123">
        <v>-4</v>
      </c>
    </row>
    <row r="124" spans="1:16">
      <c r="A124" t="s">
        <v>243</v>
      </c>
      <c r="B124">
        <v>108</v>
      </c>
      <c r="C124">
        <v>153</v>
      </c>
      <c r="D124">
        <v>196</v>
      </c>
      <c r="E124">
        <v>34</v>
      </c>
      <c r="F124">
        <v>198</v>
      </c>
      <c r="G124">
        <v>199</v>
      </c>
      <c r="H124">
        <v>412.70000000000005</v>
      </c>
      <c r="I124" s="14">
        <v>595.6627921291896</v>
      </c>
      <c r="J124">
        <v>186</v>
      </c>
      <c r="K124">
        <v>123</v>
      </c>
      <c r="L124">
        <v>188</v>
      </c>
      <c r="M124">
        <v>123</v>
      </c>
      <c r="N124" s="143" t="e">
        <v>#DIV/0!</v>
      </c>
      <c r="O124" s="143" t="e">
        <v>#DIV/0!</v>
      </c>
      <c r="P124">
        <v>7</v>
      </c>
    </row>
    <row r="125" spans="1:16">
      <c r="A125" t="s">
        <v>219</v>
      </c>
      <c r="B125">
        <v>228</v>
      </c>
      <c r="C125">
        <v>213</v>
      </c>
      <c r="D125">
        <v>181</v>
      </c>
      <c r="E125">
        <v>13</v>
      </c>
      <c r="F125">
        <v>138</v>
      </c>
      <c r="G125">
        <v>152</v>
      </c>
      <c r="H125">
        <v>489.79999999999995</v>
      </c>
      <c r="I125" s="14">
        <v>598.01911738736499</v>
      </c>
      <c r="J125">
        <v>218</v>
      </c>
      <c r="K125">
        <v>146</v>
      </c>
      <c r="L125">
        <v>190</v>
      </c>
      <c r="M125">
        <v>124</v>
      </c>
      <c r="N125" s="143" t="e">
        <v>#DIV/0!</v>
      </c>
      <c r="O125" s="143" t="e">
        <v>#DIV/0!</v>
      </c>
      <c r="P125">
        <v>-6</v>
      </c>
    </row>
    <row r="126" spans="1:16">
      <c r="A126" t="s">
        <v>186</v>
      </c>
      <c r="B126">
        <v>162</v>
      </c>
      <c r="C126">
        <v>62</v>
      </c>
      <c r="D126">
        <v>212</v>
      </c>
      <c r="E126">
        <v>108</v>
      </c>
      <c r="F126">
        <v>105</v>
      </c>
      <c r="G126">
        <v>205</v>
      </c>
      <c r="H126">
        <v>404.7</v>
      </c>
      <c r="I126" s="14">
        <v>601.70434004995343</v>
      </c>
      <c r="J126">
        <v>181</v>
      </c>
      <c r="K126">
        <v>119</v>
      </c>
      <c r="L126">
        <v>192</v>
      </c>
      <c r="M126">
        <v>125</v>
      </c>
      <c r="N126" s="143" t="e">
        <v>#DIV/0!</v>
      </c>
      <c r="O126" s="143" t="e">
        <v>#DIV/0!</v>
      </c>
      <c r="P126">
        <v>-40</v>
      </c>
    </row>
    <row r="127" spans="1:16">
      <c r="A127" t="s">
        <v>394</v>
      </c>
      <c r="B127">
        <v>133</v>
      </c>
      <c r="C127">
        <v>67</v>
      </c>
      <c r="D127">
        <v>221</v>
      </c>
      <c r="E127">
        <v>64</v>
      </c>
      <c r="F127">
        <v>200</v>
      </c>
      <c r="G127">
        <v>200</v>
      </c>
      <c r="H127">
        <v>420.20000000000005</v>
      </c>
      <c r="I127" s="14">
        <v>608.52107866205029</v>
      </c>
      <c r="J127">
        <v>190</v>
      </c>
      <c r="K127">
        <v>126</v>
      </c>
      <c r="L127">
        <v>194</v>
      </c>
      <c r="M127">
        <v>126</v>
      </c>
      <c r="N127" s="143" t="e">
        <v>#DIV/0!</v>
      </c>
      <c r="O127" s="143" t="e">
        <v>#DIV/0!</v>
      </c>
      <c r="P127">
        <v>-25</v>
      </c>
    </row>
    <row r="128" spans="1:16">
      <c r="A128" t="s">
        <v>26</v>
      </c>
      <c r="B128">
        <v>29</v>
      </c>
      <c r="C128">
        <v>159</v>
      </c>
      <c r="D128">
        <v>186</v>
      </c>
      <c r="E128">
        <v>191</v>
      </c>
      <c r="F128">
        <v>157</v>
      </c>
      <c r="G128">
        <v>202</v>
      </c>
      <c r="H128">
        <v>387.79999999999995</v>
      </c>
      <c r="I128" s="14">
        <v>610.26469495280276</v>
      </c>
      <c r="J128">
        <v>168</v>
      </c>
      <c r="K128">
        <v>109</v>
      </c>
      <c r="L128">
        <v>195</v>
      </c>
      <c r="M128">
        <v>127</v>
      </c>
      <c r="N128" s="143" t="e">
        <v>#N/A</v>
      </c>
      <c r="O128" s="143" t="e">
        <v>#N/A</v>
      </c>
      <c r="P128">
        <v>-3</v>
      </c>
    </row>
    <row r="129" spans="1:16">
      <c r="A129" t="s">
        <v>171</v>
      </c>
      <c r="B129">
        <v>189</v>
      </c>
      <c r="C129">
        <v>174</v>
      </c>
      <c r="D129">
        <v>122</v>
      </c>
      <c r="E129">
        <v>211</v>
      </c>
      <c r="F129">
        <v>88</v>
      </c>
      <c r="G129">
        <v>172</v>
      </c>
      <c r="H129">
        <v>452</v>
      </c>
      <c r="I129" s="14">
        <v>611.71322103644184</v>
      </c>
      <c r="J129">
        <v>203</v>
      </c>
      <c r="K129">
        <v>135</v>
      </c>
      <c r="L129">
        <v>196</v>
      </c>
      <c r="M129">
        <v>128</v>
      </c>
      <c r="N129" s="143" t="e">
        <v>#DIV/0!</v>
      </c>
      <c r="O129" s="143" t="e">
        <v>#DIV/0!</v>
      </c>
      <c r="P129">
        <v>2</v>
      </c>
    </row>
    <row r="130" spans="1:16">
      <c r="A130" t="s">
        <v>21</v>
      </c>
      <c r="B130">
        <v>14</v>
      </c>
      <c r="C130">
        <v>126</v>
      </c>
      <c r="D130">
        <v>164</v>
      </c>
      <c r="E130">
        <v>226</v>
      </c>
      <c r="F130">
        <v>222</v>
      </c>
      <c r="G130">
        <v>203</v>
      </c>
      <c r="H130">
        <v>390.4</v>
      </c>
      <c r="I130" s="14">
        <v>617.52219348434733</v>
      </c>
      <c r="J130">
        <v>170</v>
      </c>
      <c r="K130">
        <v>111</v>
      </c>
      <c r="L130">
        <v>197</v>
      </c>
      <c r="M130">
        <v>129</v>
      </c>
      <c r="N130" s="143" t="e">
        <v>#N/A</v>
      </c>
      <c r="O130" s="143" t="e">
        <v>#N/A</v>
      </c>
      <c r="P130">
        <v>25</v>
      </c>
    </row>
    <row r="131" spans="1:16">
      <c r="A131" t="s">
        <v>422</v>
      </c>
      <c r="B131">
        <v>214</v>
      </c>
      <c r="C131">
        <v>98</v>
      </c>
      <c r="D131">
        <v>214</v>
      </c>
      <c r="E131">
        <v>203</v>
      </c>
      <c r="F131">
        <v>9</v>
      </c>
      <c r="G131">
        <v>173</v>
      </c>
      <c r="H131">
        <v>455.7</v>
      </c>
      <c r="I131" s="14">
        <v>625.48311406747348</v>
      </c>
      <c r="J131">
        <v>204</v>
      </c>
      <c r="K131">
        <v>136</v>
      </c>
      <c r="L131">
        <v>198</v>
      </c>
      <c r="M131">
        <v>130</v>
      </c>
      <c r="N131" s="143" t="e">
        <v>#DIV/0!</v>
      </c>
      <c r="O131" s="143" t="e">
        <v>#DIV/0!</v>
      </c>
      <c r="P131">
        <v>-30</v>
      </c>
    </row>
    <row r="132" spans="1:16">
      <c r="A132" t="s">
        <v>244</v>
      </c>
      <c r="B132">
        <v>120</v>
      </c>
      <c r="C132">
        <v>90</v>
      </c>
      <c r="D132">
        <v>173</v>
      </c>
      <c r="E132">
        <v>165</v>
      </c>
      <c r="F132">
        <v>192</v>
      </c>
      <c r="G132">
        <v>206</v>
      </c>
      <c r="H132">
        <v>424.1</v>
      </c>
      <c r="I132" s="14">
        <v>628.89604269121651</v>
      </c>
      <c r="J132">
        <v>192</v>
      </c>
      <c r="K132">
        <v>128</v>
      </c>
      <c r="L132">
        <v>199</v>
      </c>
      <c r="M132">
        <v>131</v>
      </c>
      <c r="N132" s="143" t="e">
        <v>#DIV/0!</v>
      </c>
      <c r="O132" s="143" t="e">
        <v>#DIV/0!</v>
      </c>
      <c r="P132">
        <v>-8</v>
      </c>
    </row>
    <row r="133" spans="1:16">
      <c r="A133" t="s">
        <v>153</v>
      </c>
      <c r="B133">
        <v>158</v>
      </c>
      <c r="C133">
        <v>173</v>
      </c>
      <c r="D133">
        <v>149</v>
      </c>
      <c r="E133">
        <v>157</v>
      </c>
      <c r="F133">
        <v>168</v>
      </c>
      <c r="G133">
        <v>180</v>
      </c>
      <c r="H133">
        <v>464</v>
      </c>
      <c r="I133" s="14">
        <v>629.75314191315817</v>
      </c>
      <c r="J133">
        <v>208</v>
      </c>
      <c r="K133">
        <v>139</v>
      </c>
      <c r="L133">
        <v>200</v>
      </c>
      <c r="M133">
        <v>132</v>
      </c>
      <c r="N133" s="143" t="e">
        <v>#DIV/0!</v>
      </c>
      <c r="O133" s="143" t="e">
        <v>#DIV/0!</v>
      </c>
      <c r="P133">
        <v>15</v>
      </c>
    </row>
    <row r="134" spans="1:16">
      <c r="A134" t="s">
        <v>415</v>
      </c>
      <c r="B134">
        <v>163</v>
      </c>
      <c r="C134">
        <v>209</v>
      </c>
      <c r="D134">
        <v>191</v>
      </c>
      <c r="E134">
        <v>144</v>
      </c>
      <c r="F134">
        <v>68</v>
      </c>
      <c r="G134">
        <v>182</v>
      </c>
      <c r="H134">
        <v>460.20000000000005</v>
      </c>
      <c r="I134" s="14">
        <v>632.42823492035166</v>
      </c>
      <c r="J134">
        <v>206</v>
      </c>
      <c r="K134">
        <v>137</v>
      </c>
      <c r="L134">
        <v>202</v>
      </c>
      <c r="M134">
        <v>133</v>
      </c>
      <c r="N134" s="143" t="e">
        <v>#DIV/0!</v>
      </c>
      <c r="O134" s="143" t="e">
        <v>#DIV/0!</v>
      </c>
      <c r="P134">
        <v>-58</v>
      </c>
    </row>
    <row r="135" spans="1:16">
      <c r="A135" t="s">
        <v>421</v>
      </c>
      <c r="B135">
        <v>201</v>
      </c>
      <c r="C135">
        <v>137</v>
      </c>
      <c r="D135">
        <v>198</v>
      </c>
      <c r="E135">
        <v>138</v>
      </c>
      <c r="F135">
        <v>51</v>
      </c>
      <c r="G135">
        <v>201</v>
      </c>
      <c r="H135">
        <v>448.59999999999997</v>
      </c>
      <c r="I135" s="14">
        <v>635.79829483096353</v>
      </c>
      <c r="J135">
        <v>202</v>
      </c>
      <c r="K135">
        <v>134</v>
      </c>
      <c r="L135">
        <v>203</v>
      </c>
      <c r="M135">
        <v>134</v>
      </c>
      <c r="N135" s="143" t="e">
        <v>#DIV/0!</v>
      </c>
      <c r="O135" s="143" t="e">
        <v>#DIV/0!</v>
      </c>
      <c r="P135">
        <v>24</v>
      </c>
    </row>
    <row r="136" spans="1:16">
      <c r="A136" t="s">
        <v>403</v>
      </c>
      <c r="B136">
        <v>41</v>
      </c>
      <c r="C136">
        <v>182</v>
      </c>
      <c r="D136">
        <v>194</v>
      </c>
      <c r="E136">
        <v>190</v>
      </c>
      <c r="F136">
        <v>151</v>
      </c>
      <c r="G136">
        <v>208</v>
      </c>
      <c r="H136">
        <v>411.1</v>
      </c>
      <c r="I136" s="14">
        <v>637.07539768071388</v>
      </c>
      <c r="J136">
        <v>185</v>
      </c>
      <c r="K136">
        <v>122</v>
      </c>
      <c r="L136">
        <v>204</v>
      </c>
      <c r="M136">
        <v>135</v>
      </c>
      <c r="N136" s="143" t="e">
        <v>#DIV/0!</v>
      </c>
      <c r="O136" s="143" t="e">
        <v>#DIV/0!</v>
      </c>
      <c r="P136">
        <v>9</v>
      </c>
    </row>
    <row r="137" spans="1:16">
      <c r="A137" t="s">
        <v>405</v>
      </c>
      <c r="B137">
        <v>96</v>
      </c>
      <c r="C137">
        <v>205</v>
      </c>
      <c r="D137">
        <v>219</v>
      </c>
      <c r="E137">
        <v>108</v>
      </c>
      <c r="F137">
        <v>114</v>
      </c>
      <c r="G137">
        <v>207</v>
      </c>
      <c r="H137">
        <v>432.8</v>
      </c>
      <c r="I137" s="14">
        <v>639.46053906603868</v>
      </c>
      <c r="J137">
        <v>195</v>
      </c>
      <c r="K137">
        <v>130</v>
      </c>
      <c r="L137">
        <v>205</v>
      </c>
      <c r="M137">
        <v>136</v>
      </c>
      <c r="N137" s="143" t="e">
        <v>#DIV/0!</v>
      </c>
      <c r="O137" s="143" t="e">
        <v>#DIV/0!</v>
      </c>
      <c r="P137">
        <v>0</v>
      </c>
    </row>
    <row r="138" spans="1:16">
      <c r="A138" t="s">
        <v>110</v>
      </c>
      <c r="B138">
        <v>130</v>
      </c>
      <c r="C138">
        <v>162</v>
      </c>
      <c r="D138">
        <v>129</v>
      </c>
      <c r="E138">
        <v>213</v>
      </c>
      <c r="F138">
        <v>170</v>
      </c>
      <c r="G138">
        <v>209</v>
      </c>
      <c r="H138">
        <v>445.5</v>
      </c>
      <c r="I138" s="14">
        <v>651.50800623402074</v>
      </c>
      <c r="J138">
        <v>200</v>
      </c>
      <c r="K138">
        <v>132</v>
      </c>
      <c r="L138">
        <v>207</v>
      </c>
      <c r="M138">
        <v>137</v>
      </c>
      <c r="N138" s="143" t="e">
        <v>#DIV/0!</v>
      </c>
      <c r="O138" s="143" t="e">
        <v>#DIV/0!</v>
      </c>
      <c r="P138">
        <v>25</v>
      </c>
    </row>
    <row r="139" spans="1:16">
      <c r="A139" t="s">
        <v>410</v>
      </c>
      <c r="B139">
        <v>102</v>
      </c>
      <c r="C139">
        <v>167</v>
      </c>
      <c r="D139">
        <v>204</v>
      </c>
      <c r="E139">
        <v>162</v>
      </c>
      <c r="F139">
        <v>116</v>
      </c>
      <c r="G139">
        <v>216</v>
      </c>
      <c r="H139">
        <v>430.7</v>
      </c>
      <c r="I139" s="14">
        <v>652.04759442769137</v>
      </c>
      <c r="J139">
        <v>193</v>
      </c>
      <c r="K139">
        <v>129</v>
      </c>
      <c r="L139">
        <v>208</v>
      </c>
      <c r="M139">
        <v>138</v>
      </c>
      <c r="N139" s="143" t="e">
        <v>#DIV/0!</v>
      </c>
      <c r="O139" s="143" t="e">
        <v>#DIV/0!</v>
      </c>
      <c r="P139">
        <v>-7</v>
      </c>
    </row>
    <row r="140" spans="1:16">
      <c r="A140" t="s">
        <v>54</v>
      </c>
      <c r="B140">
        <v>84</v>
      </c>
      <c r="C140">
        <v>230</v>
      </c>
      <c r="D140">
        <v>116</v>
      </c>
      <c r="E140">
        <v>208</v>
      </c>
      <c r="F140">
        <v>196</v>
      </c>
      <c r="G140">
        <v>217</v>
      </c>
      <c r="H140">
        <v>444.59999999999997</v>
      </c>
      <c r="I140" s="14">
        <v>662.06803520560038</v>
      </c>
      <c r="J140">
        <v>199</v>
      </c>
      <c r="K140">
        <v>131</v>
      </c>
      <c r="L140">
        <v>210</v>
      </c>
      <c r="M140">
        <v>139</v>
      </c>
      <c r="N140" s="143" t="e">
        <v>#DIV/0!</v>
      </c>
      <c r="O140" s="143" t="e">
        <v>#DIV/0!</v>
      </c>
      <c r="P140">
        <v>-6</v>
      </c>
    </row>
    <row r="141" spans="1:16">
      <c r="A141" t="s">
        <v>147</v>
      </c>
      <c r="B141">
        <v>184</v>
      </c>
      <c r="C141">
        <v>147</v>
      </c>
      <c r="D141">
        <v>139</v>
      </c>
      <c r="E141">
        <v>100</v>
      </c>
      <c r="F141">
        <v>225</v>
      </c>
      <c r="G141">
        <v>222</v>
      </c>
      <c r="H141">
        <v>470.5</v>
      </c>
      <c r="I141" s="14">
        <v>663.26103593075595</v>
      </c>
      <c r="J141">
        <v>210</v>
      </c>
      <c r="K141">
        <v>141</v>
      </c>
      <c r="L141">
        <v>211</v>
      </c>
      <c r="M141">
        <v>140</v>
      </c>
      <c r="N141" s="143" t="e">
        <v>#DIV/0!</v>
      </c>
      <c r="O141" s="143" t="e">
        <v>#DIV/0!</v>
      </c>
      <c r="P141">
        <v>7</v>
      </c>
    </row>
    <row r="142" spans="1:16">
      <c r="A142" t="s">
        <v>133</v>
      </c>
      <c r="B142">
        <v>183</v>
      </c>
      <c r="C142">
        <v>121</v>
      </c>
      <c r="D142">
        <v>176</v>
      </c>
      <c r="E142">
        <v>202</v>
      </c>
      <c r="F142">
        <v>101</v>
      </c>
      <c r="G142">
        <v>210</v>
      </c>
      <c r="H142">
        <v>461.40000000000003</v>
      </c>
      <c r="I142" s="14">
        <v>665.53081069185168</v>
      </c>
      <c r="J142">
        <v>207</v>
      </c>
      <c r="K142">
        <v>138</v>
      </c>
      <c r="L142">
        <v>212</v>
      </c>
      <c r="M142">
        <v>141</v>
      </c>
      <c r="N142" s="143" t="e">
        <v>#DIV/0!</v>
      </c>
      <c r="O142" s="143" t="e">
        <v>#DIV/0!</v>
      </c>
      <c r="P142">
        <v>4</v>
      </c>
    </row>
    <row r="143" spans="1:16">
      <c r="A143" t="s">
        <v>391</v>
      </c>
      <c r="B143">
        <v>215</v>
      </c>
      <c r="C143">
        <v>207</v>
      </c>
      <c r="D143">
        <v>111</v>
      </c>
      <c r="E143">
        <v>97</v>
      </c>
      <c r="F143">
        <v>216</v>
      </c>
      <c r="G143">
        <v>211</v>
      </c>
      <c r="H143">
        <v>500</v>
      </c>
      <c r="I143" s="14">
        <v>670.61688921231689</v>
      </c>
      <c r="J143">
        <v>220</v>
      </c>
      <c r="K143">
        <v>147</v>
      </c>
      <c r="L143">
        <v>213</v>
      </c>
      <c r="M143">
        <v>142</v>
      </c>
      <c r="N143" s="143" t="e">
        <v>#DIV/0!</v>
      </c>
      <c r="O143" s="143" t="e">
        <v>#DIV/0!</v>
      </c>
      <c r="P143">
        <v>-1</v>
      </c>
    </row>
    <row r="144" spans="1:16">
      <c r="A144" t="s">
        <v>416</v>
      </c>
      <c r="B144">
        <v>151</v>
      </c>
      <c r="C144">
        <v>127</v>
      </c>
      <c r="D144">
        <v>205</v>
      </c>
      <c r="E144">
        <v>73</v>
      </c>
      <c r="F144">
        <v>230</v>
      </c>
      <c r="G144">
        <v>219</v>
      </c>
      <c r="H144">
        <v>472</v>
      </c>
      <c r="I144" s="14">
        <v>671.47729081436955</v>
      </c>
      <c r="J144">
        <v>211</v>
      </c>
      <c r="K144">
        <v>142</v>
      </c>
      <c r="L144">
        <v>214</v>
      </c>
      <c r="M144">
        <v>143</v>
      </c>
      <c r="N144" s="143" t="e">
        <v>#DIV/0!</v>
      </c>
      <c r="O144" s="143" t="e">
        <v>#DIV/0!</v>
      </c>
      <c r="P144">
        <v>17</v>
      </c>
    </row>
    <row r="145" spans="1:16">
      <c r="A145" t="s">
        <v>94</v>
      </c>
      <c r="B145">
        <v>174</v>
      </c>
      <c r="C145">
        <v>143</v>
      </c>
      <c r="D145">
        <v>193</v>
      </c>
      <c r="E145">
        <v>217</v>
      </c>
      <c r="F145">
        <v>91</v>
      </c>
      <c r="G145">
        <v>214</v>
      </c>
      <c r="H145">
        <v>478.1</v>
      </c>
      <c r="I145" s="14">
        <v>691.02380959320544</v>
      </c>
      <c r="J145">
        <v>213</v>
      </c>
      <c r="K145">
        <v>144</v>
      </c>
      <c r="L145">
        <v>217</v>
      </c>
      <c r="M145">
        <v>144</v>
      </c>
      <c r="N145" s="143" t="e">
        <v>#DIV/0!</v>
      </c>
      <c r="O145" s="143" t="e">
        <v>#DIV/0!</v>
      </c>
      <c r="P145">
        <v>-3</v>
      </c>
    </row>
    <row r="146" spans="1:16">
      <c r="A146" t="s">
        <v>426</v>
      </c>
      <c r="B146">
        <v>155</v>
      </c>
      <c r="C146">
        <v>223</v>
      </c>
      <c r="D146">
        <v>189</v>
      </c>
      <c r="E146">
        <v>225</v>
      </c>
      <c r="F146">
        <v>39</v>
      </c>
      <c r="G146">
        <v>213</v>
      </c>
      <c r="H146">
        <v>477.29999999999995</v>
      </c>
      <c r="I146" s="14">
        <v>692.95942436144401</v>
      </c>
      <c r="J146">
        <v>212</v>
      </c>
      <c r="K146">
        <v>143</v>
      </c>
      <c r="L146">
        <v>218</v>
      </c>
      <c r="M146">
        <v>145</v>
      </c>
      <c r="N146" s="143" t="e">
        <v>#N/A</v>
      </c>
      <c r="O146" s="143" t="e">
        <v>#N/A</v>
      </c>
      <c r="P146">
        <v>-67</v>
      </c>
    </row>
    <row r="147" spans="1:16">
      <c r="A147" t="s">
        <v>95</v>
      </c>
      <c r="B147">
        <v>110</v>
      </c>
      <c r="C147">
        <v>138</v>
      </c>
      <c r="D147">
        <v>227</v>
      </c>
      <c r="E147">
        <v>199</v>
      </c>
      <c r="F147">
        <v>148</v>
      </c>
      <c r="G147">
        <v>225</v>
      </c>
      <c r="H147">
        <v>469.5</v>
      </c>
      <c r="I147" s="14">
        <v>704.54639392617059</v>
      </c>
      <c r="J147">
        <v>209</v>
      </c>
      <c r="K147">
        <v>140</v>
      </c>
      <c r="L147">
        <v>219</v>
      </c>
      <c r="M147">
        <v>146</v>
      </c>
      <c r="N147" s="143" t="e">
        <v>#DIV/0!</v>
      </c>
      <c r="O147" s="143" t="e">
        <v>#DIV/0!</v>
      </c>
      <c r="P147">
        <v>-3</v>
      </c>
    </row>
    <row r="148" spans="1:16">
      <c r="A148" t="s">
        <v>371</v>
      </c>
      <c r="B148">
        <v>139</v>
      </c>
      <c r="C148">
        <v>200</v>
      </c>
      <c r="D148">
        <v>223</v>
      </c>
      <c r="E148">
        <v>107</v>
      </c>
      <c r="F148">
        <v>186</v>
      </c>
      <c r="G148">
        <v>221</v>
      </c>
      <c r="H148">
        <v>503.09999999999997</v>
      </c>
      <c r="I148" s="14">
        <v>712.01079363151894</v>
      </c>
      <c r="J148">
        <v>221</v>
      </c>
      <c r="K148">
        <v>148</v>
      </c>
      <c r="L148">
        <v>220</v>
      </c>
      <c r="M148">
        <v>147</v>
      </c>
      <c r="N148" s="143" t="e">
        <v>#DIV/0!</v>
      </c>
      <c r="O148" s="143" t="e">
        <v>#DIV/0!</v>
      </c>
      <c r="P148">
        <v>-3</v>
      </c>
    </row>
    <row r="149" spans="1:16">
      <c r="A149" t="s">
        <v>84</v>
      </c>
      <c r="B149">
        <v>72</v>
      </c>
      <c r="C149">
        <v>222</v>
      </c>
      <c r="D149">
        <v>224</v>
      </c>
      <c r="E149">
        <v>172</v>
      </c>
      <c r="F149">
        <v>177</v>
      </c>
      <c r="G149">
        <v>226</v>
      </c>
      <c r="H149">
        <v>482.7</v>
      </c>
      <c r="I149" s="14">
        <v>717.91863652138966</v>
      </c>
      <c r="J149">
        <v>216</v>
      </c>
      <c r="K149">
        <v>145</v>
      </c>
      <c r="L149">
        <v>221</v>
      </c>
      <c r="M149">
        <v>148</v>
      </c>
      <c r="N149" s="143" t="e">
        <v>#DIV/0!</v>
      </c>
      <c r="O149" s="143" t="e">
        <v>#DIV/0!</v>
      </c>
      <c r="P149">
        <v>11</v>
      </c>
    </row>
    <row r="150" spans="1:16">
      <c r="A150" t="s">
        <v>240</v>
      </c>
      <c r="B150">
        <v>160</v>
      </c>
      <c r="C150">
        <v>197</v>
      </c>
      <c r="D150">
        <v>226</v>
      </c>
      <c r="E150">
        <v>143</v>
      </c>
      <c r="F150">
        <v>195</v>
      </c>
      <c r="G150">
        <v>218</v>
      </c>
      <c r="H150">
        <v>539.4</v>
      </c>
      <c r="I150" s="14">
        <v>745.53542376553401</v>
      </c>
      <c r="J150">
        <v>223</v>
      </c>
      <c r="K150">
        <v>149</v>
      </c>
      <c r="L150">
        <v>222</v>
      </c>
      <c r="M150">
        <v>149</v>
      </c>
      <c r="N150" s="143" t="e">
        <v>#DIV/0!</v>
      </c>
      <c r="O150" s="143" t="e">
        <v>#DIV/0!</v>
      </c>
      <c r="P150">
        <v>-5</v>
      </c>
    </row>
  </sheetData>
  <conditionalFormatting sqref="N2:O1048576">
    <cfRule type="cellIs" dxfId="62" priority="5" operator="greaterThanOrEqual">
      <formula>20%</formula>
    </cfRule>
    <cfRule type="cellIs" dxfId="61" priority="6" operator="between">
      <formula>10%</formula>
      <formula>20%</formula>
    </cfRule>
    <cfRule type="cellIs" dxfId="60" priority="7" operator="between">
      <formula>0.01%</formula>
      <formula>10%</formula>
    </cfRule>
  </conditionalFormatting>
  <conditionalFormatting sqref="B2:G1048576 J2:M1048576">
    <cfRule type="cellIs" dxfId="59" priority="8" operator="between">
      <formula>101</formula>
      <formula>250</formula>
    </cfRule>
    <cfRule type="cellIs" dxfId="58" priority="9" operator="between">
      <formula>51</formula>
      <formula>100.5</formula>
    </cfRule>
    <cfRule type="cellIs" dxfId="57" priority="10" operator="between">
      <formula>21</formula>
      <formula>50.5</formula>
    </cfRule>
    <cfRule type="cellIs" dxfId="56"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0403E3-26A0-4AEE-A9F7-6D20A840263A}">
  <sheetPr codeName="Sheet60">
    <tabColor rgb="FFFF0000"/>
  </sheetPr>
  <dimension ref="A1:V101"/>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s="20" t="s">
        <v>27</v>
      </c>
      <c r="B2">
        <v>28</v>
      </c>
      <c r="C2">
        <v>20</v>
      </c>
      <c r="D2">
        <v>19</v>
      </c>
      <c r="E2">
        <v>52</v>
      </c>
      <c r="F2">
        <v>90</v>
      </c>
      <c r="G2">
        <v>10</v>
      </c>
      <c r="H2">
        <v>113.5</v>
      </c>
      <c r="I2" s="14">
        <v>118.85868283172769</v>
      </c>
      <c r="J2">
        <v>2</v>
      </c>
      <c r="K2">
        <v>1</v>
      </c>
      <c r="L2">
        <v>3</v>
      </c>
      <c r="M2">
        <v>1</v>
      </c>
      <c r="N2" s="143" t="e">
        <v>#DIV/0!</v>
      </c>
      <c r="O2" s="143" t="e">
        <v>#DIV/0!</v>
      </c>
      <c r="P2">
        <v>-5</v>
      </c>
    </row>
    <row r="3" spans="1:22">
      <c r="A3" s="20" t="s">
        <v>113</v>
      </c>
      <c r="B3">
        <v>53</v>
      </c>
      <c r="C3">
        <v>23</v>
      </c>
      <c r="D3">
        <v>76</v>
      </c>
      <c r="E3">
        <v>2</v>
      </c>
      <c r="F3">
        <v>64</v>
      </c>
      <c r="G3">
        <v>3</v>
      </c>
      <c r="H3">
        <v>142.19999999999999</v>
      </c>
      <c r="I3" s="14">
        <v>135.14178288039412</v>
      </c>
      <c r="J3">
        <v>4</v>
      </c>
      <c r="K3">
        <v>2</v>
      </c>
      <c r="L3">
        <v>4</v>
      </c>
      <c r="M3">
        <v>2</v>
      </c>
      <c r="N3" s="143" t="e">
        <v>#DIV/0!</v>
      </c>
      <c r="O3" s="143" t="e">
        <v>#DIV/0!</v>
      </c>
      <c r="P3">
        <v>3</v>
      </c>
    </row>
    <row r="4" spans="1:22">
      <c r="A4" s="20" t="s">
        <v>15</v>
      </c>
      <c r="B4">
        <v>19</v>
      </c>
      <c r="C4">
        <v>80</v>
      </c>
      <c r="D4">
        <v>9</v>
      </c>
      <c r="E4">
        <v>159</v>
      </c>
      <c r="F4">
        <v>21</v>
      </c>
      <c r="G4">
        <v>1</v>
      </c>
      <c r="H4">
        <v>143.6</v>
      </c>
      <c r="I4" s="14">
        <v>149.20149151374255</v>
      </c>
      <c r="J4">
        <v>5</v>
      </c>
      <c r="K4">
        <v>3</v>
      </c>
      <c r="L4">
        <v>5</v>
      </c>
      <c r="M4">
        <v>3</v>
      </c>
      <c r="N4" s="143" t="e">
        <v>#DIV/0!</v>
      </c>
      <c r="O4" s="143" t="e">
        <v>#DIV/0!</v>
      </c>
      <c r="P4" t="e">
        <v>#N/A</v>
      </c>
    </row>
    <row r="5" spans="1:22">
      <c r="A5" t="s">
        <v>409</v>
      </c>
      <c r="B5">
        <v>62</v>
      </c>
      <c r="C5">
        <v>87</v>
      </c>
      <c r="D5">
        <v>11</v>
      </c>
      <c r="E5">
        <v>11</v>
      </c>
      <c r="F5">
        <v>105</v>
      </c>
      <c r="G5">
        <v>15</v>
      </c>
      <c r="H5">
        <v>166.4</v>
      </c>
      <c r="I5" s="14">
        <v>153.86625119733915</v>
      </c>
      <c r="J5">
        <v>8</v>
      </c>
      <c r="K5">
        <v>4</v>
      </c>
      <c r="L5">
        <v>6</v>
      </c>
      <c r="M5">
        <v>4</v>
      </c>
      <c r="N5" s="143" t="e">
        <v>#DIV/0!</v>
      </c>
      <c r="O5" s="143" t="e">
        <v>#DIV/0!</v>
      </c>
      <c r="P5">
        <v>2</v>
      </c>
    </row>
    <row r="6" spans="1:22">
      <c r="A6" t="s">
        <v>166</v>
      </c>
      <c r="B6">
        <v>115</v>
      </c>
      <c r="C6">
        <v>9</v>
      </c>
      <c r="D6">
        <v>2</v>
      </c>
      <c r="E6">
        <v>78</v>
      </c>
      <c r="F6">
        <v>86</v>
      </c>
      <c r="G6">
        <v>6</v>
      </c>
      <c r="H6">
        <v>173</v>
      </c>
      <c r="I6" s="14">
        <v>160.28282266430813</v>
      </c>
      <c r="J6">
        <v>10</v>
      </c>
      <c r="K6">
        <v>5</v>
      </c>
      <c r="L6">
        <v>8</v>
      </c>
      <c r="M6">
        <v>5</v>
      </c>
      <c r="N6" s="143" t="e">
        <v>#DIV/0!</v>
      </c>
      <c r="O6" s="143" t="e">
        <v>#DIV/0!</v>
      </c>
      <c r="P6">
        <v>11</v>
      </c>
    </row>
    <row r="7" spans="1:22">
      <c r="A7" t="s">
        <v>231</v>
      </c>
      <c r="B7">
        <v>53</v>
      </c>
      <c r="C7">
        <v>129</v>
      </c>
      <c r="D7">
        <v>38</v>
      </c>
      <c r="E7">
        <v>37</v>
      </c>
      <c r="F7">
        <v>58</v>
      </c>
      <c r="G7">
        <v>12</v>
      </c>
      <c r="H7">
        <v>190.20000000000002</v>
      </c>
      <c r="I7" s="14">
        <v>178.50559747513404</v>
      </c>
      <c r="J7">
        <v>15</v>
      </c>
      <c r="K7">
        <v>9</v>
      </c>
      <c r="L7">
        <v>10</v>
      </c>
      <c r="M7">
        <v>6</v>
      </c>
      <c r="N7" s="143" t="e">
        <v>#DIV/0!</v>
      </c>
      <c r="O7" s="143" t="e">
        <v>#DIV/0!</v>
      </c>
      <c r="P7">
        <v>1</v>
      </c>
    </row>
    <row r="8" spans="1:22">
      <c r="A8" t="s">
        <v>23</v>
      </c>
      <c r="B8">
        <v>7</v>
      </c>
      <c r="C8">
        <v>157</v>
      </c>
      <c r="D8">
        <v>12</v>
      </c>
      <c r="E8">
        <v>16</v>
      </c>
      <c r="F8">
        <v>185</v>
      </c>
      <c r="G8">
        <v>9</v>
      </c>
      <c r="H8">
        <v>207.1</v>
      </c>
      <c r="I8" s="14">
        <v>186.63454857226787</v>
      </c>
      <c r="J8">
        <v>22</v>
      </c>
      <c r="K8">
        <v>13</v>
      </c>
      <c r="L8">
        <v>11</v>
      </c>
      <c r="M8">
        <v>7</v>
      </c>
      <c r="N8" s="143" t="e">
        <v>#DIV/0!</v>
      </c>
      <c r="O8" s="143" t="e">
        <v>#DIV/0!</v>
      </c>
      <c r="P8">
        <v>30</v>
      </c>
    </row>
    <row r="9" spans="1:22">
      <c r="A9" t="s">
        <v>35</v>
      </c>
      <c r="B9">
        <v>35</v>
      </c>
      <c r="C9">
        <v>113</v>
      </c>
      <c r="D9">
        <v>39</v>
      </c>
      <c r="E9">
        <v>67</v>
      </c>
      <c r="F9">
        <v>54</v>
      </c>
      <c r="G9">
        <v>29</v>
      </c>
      <c r="H9">
        <v>176.9</v>
      </c>
      <c r="I9" s="14">
        <v>192.14162957803651</v>
      </c>
      <c r="J9">
        <v>12</v>
      </c>
      <c r="K9">
        <v>7</v>
      </c>
      <c r="L9">
        <v>12</v>
      </c>
      <c r="M9">
        <v>8</v>
      </c>
      <c r="N9" s="143" t="e">
        <v>#DIV/0!</v>
      </c>
      <c r="O9" s="143" t="e">
        <v>#DIV/0!</v>
      </c>
      <c r="P9">
        <v>13</v>
      </c>
    </row>
    <row r="10" spans="1:22">
      <c r="A10" t="s">
        <v>178</v>
      </c>
      <c r="B10">
        <v>199</v>
      </c>
      <c r="C10">
        <v>40</v>
      </c>
      <c r="D10">
        <v>3</v>
      </c>
      <c r="E10">
        <v>65</v>
      </c>
      <c r="F10">
        <v>37</v>
      </c>
      <c r="G10">
        <v>7</v>
      </c>
      <c r="H10">
        <v>229.8</v>
      </c>
      <c r="I10" s="14">
        <v>197.58742987132314</v>
      </c>
      <c r="J10">
        <v>33</v>
      </c>
      <c r="K10">
        <v>19</v>
      </c>
      <c r="L10">
        <v>14</v>
      </c>
      <c r="M10">
        <v>9</v>
      </c>
      <c r="N10" s="143" t="e">
        <v>#DIV/0!</v>
      </c>
      <c r="O10" s="143" t="e">
        <v>#DIV/0!</v>
      </c>
      <c r="P10" t="e">
        <v>#N/A</v>
      </c>
    </row>
    <row r="11" spans="1:22">
      <c r="A11" t="s">
        <v>233</v>
      </c>
      <c r="B11">
        <v>20</v>
      </c>
      <c r="C11">
        <v>191</v>
      </c>
      <c r="D11">
        <v>1</v>
      </c>
      <c r="E11">
        <v>57</v>
      </c>
      <c r="F11">
        <v>141</v>
      </c>
      <c r="G11">
        <v>5</v>
      </c>
      <c r="H11">
        <v>224.6</v>
      </c>
      <c r="I11" s="14">
        <v>199.01909431402942</v>
      </c>
      <c r="J11">
        <v>31</v>
      </c>
      <c r="K11">
        <v>17</v>
      </c>
      <c r="L11">
        <v>15</v>
      </c>
      <c r="M11">
        <v>10</v>
      </c>
      <c r="N11" s="143" t="e">
        <v>#DIV/0!</v>
      </c>
      <c r="O11" s="143" t="e">
        <v>#DIV/0!</v>
      </c>
      <c r="P11">
        <v>15</v>
      </c>
    </row>
    <row r="12" spans="1:22">
      <c r="A12" t="s">
        <v>129</v>
      </c>
      <c r="B12">
        <v>42</v>
      </c>
      <c r="C12">
        <v>59</v>
      </c>
      <c r="D12">
        <v>15</v>
      </c>
      <c r="E12">
        <v>36</v>
      </c>
      <c r="F12">
        <v>184</v>
      </c>
      <c r="G12">
        <v>35</v>
      </c>
      <c r="H12">
        <v>185.9</v>
      </c>
      <c r="I12" s="14">
        <v>201.00305813416259</v>
      </c>
      <c r="J12">
        <v>13</v>
      </c>
      <c r="K12">
        <v>8</v>
      </c>
      <c r="L12">
        <v>16</v>
      </c>
      <c r="M12">
        <v>11</v>
      </c>
      <c r="N12" s="143" t="e">
        <v>#DIV/0!</v>
      </c>
      <c r="O12" s="143" t="e">
        <v>#DIV/0!</v>
      </c>
      <c r="P12">
        <v>79</v>
      </c>
    </row>
    <row r="13" spans="1:22">
      <c r="A13" t="s">
        <v>93</v>
      </c>
      <c r="B13">
        <v>84</v>
      </c>
      <c r="C13">
        <v>35</v>
      </c>
      <c r="D13">
        <v>29</v>
      </c>
      <c r="E13">
        <v>128</v>
      </c>
      <c r="F13">
        <v>82</v>
      </c>
      <c r="G13">
        <v>16</v>
      </c>
      <c r="H13">
        <v>200.7</v>
      </c>
      <c r="I13" s="14">
        <v>209.44051473048967</v>
      </c>
      <c r="J13">
        <v>18</v>
      </c>
      <c r="K13">
        <v>11</v>
      </c>
      <c r="L13">
        <v>17</v>
      </c>
      <c r="M13">
        <v>12</v>
      </c>
      <c r="N13" s="143" t="e">
        <v>#DIV/0!</v>
      </c>
      <c r="O13" s="143" t="e">
        <v>#DIV/0!</v>
      </c>
      <c r="P13">
        <v>10</v>
      </c>
    </row>
    <row r="14" spans="1:22">
      <c r="A14" t="s">
        <v>384</v>
      </c>
      <c r="B14">
        <v>192</v>
      </c>
      <c r="C14">
        <v>1</v>
      </c>
      <c r="D14">
        <v>4</v>
      </c>
      <c r="E14">
        <v>43</v>
      </c>
      <c r="F14">
        <v>135</v>
      </c>
      <c r="G14">
        <v>8</v>
      </c>
      <c r="H14">
        <v>241.70000000000002</v>
      </c>
      <c r="I14" s="14">
        <v>209.96577957431026</v>
      </c>
      <c r="J14">
        <v>40</v>
      </c>
      <c r="K14">
        <v>22</v>
      </c>
      <c r="L14">
        <v>18</v>
      </c>
      <c r="M14">
        <v>13</v>
      </c>
      <c r="N14" s="143" t="e">
        <v>#DIV/0!</v>
      </c>
      <c r="O14" s="143" t="e">
        <v>#DIV/0!</v>
      </c>
      <c r="P14" t="e">
        <v>#N/A</v>
      </c>
    </row>
    <row r="15" spans="1:22">
      <c r="A15" t="s">
        <v>102</v>
      </c>
      <c r="B15">
        <v>91</v>
      </c>
      <c r="C15">
        <v>65</v>
      </c>
      <c r="D15">
        <v>82</v>
      </c>
      <c r="E15">
        <v>15</v>
      </c>
      <c r="F15">
        <v>49</v>
      </c>
      <c r="G15">
        <v>32</v>
      </c>
      <c r="H15">
        <v>199.7</v>
      </c>
      <c r="I15" s="14">
        <v>210.93821242241702</v>
      </c>
      <c r="J15">
        <v>17</v>
      </c>
      <c r="K15">
        <v>10</v>
      </c>
      <c r="L15">
        <v>22</v>
      </c>
      <c r="M15">
        <v>14</v>
      </c>
      <c r="N15" s="143" t="e">
        <v>#DIV/0!</v>
      </c>
      <c r="O15" s="143" t="e">
        <v>#DIV/0!</v>
      </c>
      <c r="P15">
        <v>19</v>
      </c>
    </row>
    <row r="16" spans="1:22">
      <c r="A16" t="s">
        <v>42</v>
      </c>
      <c r="B16">
        <v>26</v>
      </c>
      <c r="C16">
        <v>144</v>
      </c>
      <c r="D16">
        <v>18</v>
      </c>
      <c r="E16">
        <v>58</v>
      </c>
      <c r="F16">
        <v>143</v>
      </c>
      <c r="G16">
        <v>27</v>
      </c>
      <c r="H16">
        <v>214.5</v>
      </c>
      <c r="I16" s="14">
        <v>217.87037266410059</v>
      </c>
      <c r="J16">
        <v>26</v>
      </c>
      <c r="K16">
        <v>15</v>
      </c>
      <c r="L16">
        <v>23</v>
      </c>
      <c r="M16">
        <v>15</v>
      </c>
      <c r="N16" s="143" t="e">
        <v>#DIV/0!</v>
      </c>
      <c r="O16" s="143" t="e">
        <v>#DIV/0!</v>
      </c>
      <c r="P16">
        <v>8</v>
      </c>
    </row>
    <row r="17" spans="1:16">
      <c r="A17" t="s">
        <v>399</v>
      </c>
      <c r="B17">
        <v>2</v>
      </c>
      <c r="C17">
        <v>181</v>
      </c>
      <c r="D17">
        <v>132</v>
      </c>
      <c r="E17">
        <v>20</v>
      </c>
      <c r="F17">
        <v>8</v>
      </c>
      <c r="G17">
        <v>21</v>
      </c>
      <c r="H17">
        <v>214.59999999999997</v>
      </c>
      <c r="I17" s="14">
        <v>223.52128657489405</v>
      </c>
      <c r="J17">
        <v>27</v>
      </c>
      <c r="K17">
        <v>16</v>
      </c>
      <c r="L17">
        <v>27</v>
      </c>
      <c r="M17">
        <v>16</v>
      </c>
      <c r="N17" s="143" t="e">
        <v>#DIV/0!</v>
      </c>
      <c r="O17" s="143" t="e">
        <v>#DIV/0!</v>
      </c>
      <c r="P17">
        <v>-17</v>
      </c>
    </row>
    <row r="18" spans="1:16">
      <c r="A18" t="s">
        <v>411</v>
      </c>
      <c r="B18">
        <v>21</v>
      </c>
      <c r="C18">
        <v>3</v>
      </c>
      <c r="D18">
        <v>77</v>
      </c>
      <c r="E18">
        <v>24</v>
      </c>
      <c r="F18">
        <v>187</v>
      </c>
      <c r="G18">
        <v>55</v>
      </c>
      <c r="H18">
        <v>175.6</v>
      </c>
      <c r="I18" s="14">
        <v>226.69336591457662</v>
      </c>
      <c r="J18">
        <v>11</v>
      </c>
      <c r="K18">
        <v>6</v>
      </c>
      <c r="L18">
        <v>28</v>
      </c>
      <c r="M18">
        <v>17</v>
      </c>
      <c r="N18" s="143" t="e">
        <v>#DIV/0!</v>
      </c>
      <c r="O18" s="143" t="e">
        <v>#DIV/0!</v>
      </c>
      <c r="P18">
        <v>-24</v>
      </c>
    </row>
    <row r="19" spans="1:16">
      <c r="A19" t="s">
        <v>383</v>
      </c>
      <c r="B19">
        <v>76</v>
      </c>
      <c r="C19">
        <v>127</v>
      </c>
      <c r="D19">
        <v>81</v>
      </c>
      <c r="E19">
        <v>38</v>
      </c>
      <c r="F19">
        <v>39</v>
      </c>
      <c r="G19">
        <v>25</v>
      </c>
      <c r="H19">
        <v>228.39999999999998</v>
      </c>
      <c r="I19" s="14">
        <v>230.2092451074285</v>
      </c>
      <c r="J19">
        <v>32</v>
      </c>
      <c r="K19">
        <v>18</v>
      </c>
      <c r="L19">
        <v>29</v>
      </c>
      <c r="M19">
        <v>18</v>
      </c>
      <c r="N19" s="143" t="e">
        <v>#DIV/0!</v>
      </c>
      <c r="O19" s="143" t="e">
        <v>#DIV/0!</v>
      </c>
      <c r="P19">
        <v>15</v>
      </c>
    </row>
    <row r="20" spans="1:16">
      <c r="A20" t="s">
        <v>161</v>
      </c>
      <c r="B20">
        <v>86</v>
      </c>
      <c r="C20">
        <v>37</v>
      </c>
      <c r="D20">
        <v>17</v>
      </c>
      <c r="E20">
        <v>45</v>
      </c>
      <c r="F20">
        <v>172</v>
      </c>
      <c r="G20">
        <v>50</v>
      </c>
      <c r="H20">
        <v>206.9</v>
      </c>
      <c r="I20" s="14">
        <v>233.10690113438196</v>
      </c>
      <c r="J20">
        <v>21</v>
      </c>
      <c r="K20">
        <v>12</v>
      </c>
      <c r="L20">
        <v>30</v>
      </c>
      <c r="M20">
        <v>19</v>
      </c>
      <c r="N20" s="143" t="e">
        <v>#DIV/0!</v>
      </c>
      <c r="O20" s="143" t="e">
        <v>#DIV/0!</v>
      </c>
      <c r="P20">
        <v>-4</v>
      </c>
    </row>
    <row r="21" spans="1:16">
      <c r="A21" t="s">
        <v>73</v>
      </c>
      <c r="B21">
        <v>41</v>
      </c>
      <c r="C21">
        <v>104</v>
      </c>
      <c r="D21">
        <v>93</v>
      </c>
      <c r="E21">
        <v>74</v>
      </c>
      <c r="F21">
        <v>42</v>
      </c>
      <c r="G21">
        <v>30</v>
      </c>
      <c r="H21">
        <v>210.9</v>
      </c>
      <c r="I21" s="14">
        <v>233.45446987718438</v>
      </c>
      <c r="J21">
        <v>23</v>
      </c>
      <c r="K21">
        <v>14</v>
      </c>
      <c r="L21">
        <v>31</v>
      </c>
      <c r="M21">
        <v>20</v>
      </c>
      <c r="N21" s="143" t="e">
        <v>#DIV/0!</v>
      </c>
      <c r="O21" s="143" t="e">
        <v>#DIV/0!</v>
      </c>
      <c r="P21">
        <v>5</v>
      </c>
    </row>
    <row r="22" spans="1:16">
      <c r="A22" t="s">
        <v>139</v>
      </c>
      <c r="B22">
        <v>103</v>
      </c>
      <c r="C22">
        <v>102</v>
      </c>
      <c r="D22">
        <v>6</v>
      </c>
      <c r="E22">
        <v>44</v>
      </c>
      <c r="F22">
        <v>157</v>
      </c>
      <c r="G22">
        <v>37</v>
      </c>
      <c r="H22">
        <v>243.89999999999998</v>
      </c>
      <c r="I22" s="14">
        <v>244.13748856859459</v>
      </c>
      <c r="J22">
        <v>41</v>
      </c>
      <c r="K22">
        <v>23</v>
      </c>
      <c r="L22">
        <v>33</v>
      </c>
      <c r="M22">
        <v>21</v>
      </c>
      <c r="N22" s="143" t="e">
        <v>#DIV/0!</v>
      </c>
      <c r="O22" s="143" t="e">
        <v>#DIV/0!</v>
      </c>
      <c r="P22">
        <v>30</v>
      </c>
    </row>
    <row r="23" spans="1:16">
      <c r="A23" t="s">
        <v>141</v>
      </c>
      <c r="B23">
        <v>166</v>
      </c>
      <c r="C23">
        <v>38</v>
      </c>
      <c r="D23">
        <v>60</v>
      </c>
      <c r="E23">
        <v>55</v>
      </c>
      <c r="F23">
        <v>28</v>
      </c>
      <c r="G23">
        <v>41</v>
      </c>
      <c r="H23">
        <v>233.60000000000002</v>
      </c>
      <c r="I23" s="14">
        <v>246.57931253249188</v>
      </c>
      <c r="J23">
        <v>35</v>
      </c>
      <c r="K23">
        <v>20</v>
      </c>
      <c r="L23">
        <v>34</v>
      </c>
      <c r="M23">
        <v>22</v>
      </c>
      <c r="N23" s="143" t="e">
        <v>#DIV/0!</v>
      </c>
      <c r="O23" s="143" t="e">
        <v>#DIV/0!</v>
      </c>
      <c r="P23">
        <v>-11</v>
      </c>
    </row>
    <row r="24" spans="1:16">
      <c r="A24" t="s">
        <v>140</v>
      </c>
      <c r="B24">
        <v>180</v>
      </c>
      <c r="C24">
        <v>32</v>
      </c>
      <c r="D24">
        <v>108</v>
      </c>
      <c r="E24">
        <v>17</v>
      </c>
      <c r="F24">
        <v>18</v>
      </c>
      <c r="G24">
        <v>22</v>
      </c>
      <c r="H24">
        <v>254.6</v>
      </c>
      <c r="I24" s="14">
        <v>246.58071565486492</v>
      </c>
      <c r="J24">
        <v>46</v>
      </c>
      <c r="K24">
        <v>25</v>
      </c>
      <c r="L24">
        <v>35</v>
      </c>
      <c r="M24">
        <v>23</v>
      </c>
      <c r="N24" s="143" t="e">
        <v>#DIV/0!</v>
      </c>
      <c r="O24" s="143" t="e">
        <v>#DIV/0!</v>
      </c>
      <c r="P24">
        <v>22</v>
      </c>
    </row>
    <row r="25" spans="1:16">
      <c r="A25" t="s">
        <v>132</v>
      </c>
      <c r="B25">
        <v>117</v>
      </c>
      <c r="C25">
        <v>46</v>
      </c>
      <c r="D25">
        <v>96</v>
      </c>
      <c r="E25">
        <v>28</v>
      </c>
      <c r="F25">
        <v>99</v>
      </c>
      <c r="G25">
        <v>39</v>
      </c>
      <c r="H25">
        <v>249.09999999999997</v>
      </c>
      <c r="I25" s="14">
        <v>265.20831723485878</v>
      </c>
      <c r="J25">
        <v>43</v>
      </c>
      <c r="K25">
        <v>24</v>
      </c>
      <c r="L25">
        <v>37</v>
      </c>
      <c r="M25">
        <v>24</v>
      </c>
      <c r="N25" s="143" t="e">
        <v>#DIV/0!</v>
      </c>
      <c r="O25" s="143" t="e">
        <v>#DIV/0!</v>
      </c>
      <c r="P25">
        <v>-5</v>
      </c>
    </row>
    <row r="26" spans="1:16">
      <c r="A26" t="s">
        <v>14</v>
      </c>
      <c r="B26">
        <v>38</v>
      </c>
      <c r="C26">
        <v>123</v>
      </c>
      <c r="D26">
        <v>140</v>
      </c>
      <c r="E26">
        <v>35</v>
      </c>
      <c r="F26">
        <v>78</v>
      </c>
      <c r="G26">
        <v>25</v>
      </c>
      <c r="H26">
        <v>255.2</v>
      </c>
      <c r="I26" s="14">
        <v>268.21526317119287</v>
      </c>
      <c r="J26">
        <v>47</v>
      </c>
      <c r="K26">
        <v>26</v>
      </c>
      <c r="L26">
        <v>38</v>
      </c>
      <c r="M26">
        <v>25</v>
      </c>
      <c r="N26" s="143" t="e">
        <v>#DIV/0!</v>
      </c>
      <c r="O26" s="143" t="e">
        <v>#DIV/0!</v>
      </c>
      <c r="P26">
        <v>52</v>
      </c>
    </row>
    <row r="27" spans="1:16">
      <c r="A27" t="s">
        <v>404</v>
      </c>
      <c r="B27">
        <v>55</v>
      </c>
      <c r="C27">
        <v>141</v>
      </c>
      <c r="D27">
        <v>153</v>
      </c>
      <c r="E27">
        <v>4</v>
      </c>
      <c r="F27">
        <v>53</v>
      </c>
      <c r="G27">
        <v>33</v>
      </c>
      <c r="H27">
        <v>263.79999999999995</v>
      </c>
      <c r="I27" s="14">
        <v>277.32654730523041</v>
      </c>
      <c r="J27">
        <v>53</v>
      </c>
      <c r="K27">
        <v>31</v>
      </c>
      <c r="L27">
        <v>40</v>
      </c>
      <c r="M27">
        <v>26</v>
      </c>
      <c r="N27" s="143" t="e">
        <v>#DIV/0!</v>
      </c>
      <c r="O27" s="143" t="e">
        <v>#DIV/0!</v>
      </c>
      <c r="P27">
        <v>32</v>
      </c>
    </row>
    <row r="28" spans="1:16">
      <c r="A28" t="s">
        <v>144</v>
      </c>
      <c r="B28">
        <v>182</v>
      </c>
      <c r="C28">
        <v>17</v>
      </c>
      <c r="D28">
        <v>158</v>
      </c>
      <c r="E28">
        <v>5</v>
      </c>
      <c r="F28">
        <v>25</v>
      </c>
      <c r="G28">
        <v>23</v>
      </c>
      <c r="H28">
        <v>280.89999999999998</v>
      </c>
      <c r="I28" s="14">
        <v>278.18607154870438</v>
      </c>
      <c r="J28">
        <v>68</v>
      </c>
      <c r="K28">
        <v>42</v>
      </c>
      <c r="L28">
        <v>42</v>
      </c>
      <c r="M28">
        <v>27</v>
      </c>
      <c r="N28" s="143" t="e">
        <v>#DIV/0!</v>
      </c>
      <c r="O28" s="143" t="e">
        <v>#DIV/0!</v>
      </c>
      <c r="P28">
        <v>33</v>
      </c>
    </row>
    <row r="29" spans="1:16">
      <c r="A29" t="s">
        <v>119</v>
      </c>
      <c r="B29">
        <v>97</v>
      </c>
      <c r="C29">
        <v>47</v>
      </c>
      <c r="D29">
        <v>137</v>
      </c>
      <c r="E29">
        <v>48</v>
      </c>
      <c r="F29">
        <v>31</v>
      </c>
      <c r="G29">
        <v>58</v>
      </c>
      <c r="H29">
        <v>236.39999999999998</v>
      </c>
      <c r="I29" s="14">
        <v>284.86043850294459</v>
      </c>
      <c r="J29">
        <v>37</v>
      </c>
      <c r="K29">
        <v>21</v>
      </c>
      <c r="L29">
        <v>44</v>
      </c>
      <c r="M29">
        <v>28</v>
      </c>
      <c r="N29" s="143" t="e">
        <v>#DIV/0!</v>
      </c>
      <c r="O29" s="143" t="e">
        <v>#DIV/0!</v>
      </c>
      <c r="P29">
        <v>-25</v>
      </c>
    </row>
    <row r="30" spans="1:16">
      <c r="A30" t="s">
        <v>116</v>
      </c>
      <c r="B30">
        <v>135</v>
      </c>
      <c r="C30">
        <v>12</v>
      </c>
      <c r="D30">
        <v>102</v>
      </c>
      <c r="E30">
        <v>32</v>
      </c>
      <c r="F30">
        <v>126</v>
      </c>
      <c r="G30">
        <v>45</v>
      </c>
      <c r="H30">
        <v>262.39999999999998</v>
      </c>
      <c r="I30" s="14">
        <v>285.38768099017921</v>
      </c>
      <c r="J30">
        <v>51.5</v>
      </c>
      <c r="K30">
        <v>30</v>
      </c>
      <c r="L30">
        <v>45</v>
      </c>
      <c r="M30">
        <v>29</v>
      </c>
      <c r="N30" s="143" t="e">
        <v>#DIV/0!</v>
      </c>
      <c r="O30" s="143" t="e">
        <v>#DIV/0!</v>
      </c>
      <c r="P30">
        <v>-21</v>
      </c>
    </row>
    <row r="31" spans="1:16">
      <c r="A31" t="s">
        <v>183</v>
      </c>
      <c r="B31">
        <v>196</v>
      </c>
      <c r="C31">
        <v>83</v>
      </c>
      <c r="D31">
        <v>42</v>
      </c>
      <c r="E31">
        <v>59</v>
      </c>
      <c r="F31">
        <v>51</v>
      </c>
      <c r="G31">
        <v>43</v>
      </c>
      <c r="H31">
        <v>285.10000000000002</v>
      </c>
      <c r="I31" s="14">
        <v>285.46200561288941</v>
      </c>
      <c r="J31">
        <v>73</v>
      </c>
      <c r="K31">
        <v>45</v>
      </c>
      <c r="L31">
        <v>46</v>
      </c>
      <c r="M31">
        <v>30</v>
      </c>
      <c r="N31" s="143" t="e">
        <v>#DIV/0!</v>
      </c>
      <c r="O31" s="143" t="e">
        <v>#DIV/0!</v>
      </c>
      <c r="P31">
        <v>38</v>
      </c>
    </row>
    <row r="32" spans="1:16">
      <c r="A32" t="s">
        <v>87</v>
      </c>
      <c r="B32">
        <v>34</v>
      </c>
      <c r="C32">
        <v>182</v>
      </c>
      <c r="D32">
        <v>47</v>
      </c>
      <c r="E32">
        <v>75</v>
      </c>
      <c r="F32">
        <v>181</v>
      </c>
      <c r="G32">
        <v>24</v>
      </c>
      <c r="H32">
        <v>289.8</v>
      </c>
      <c r="I32" s="14">
        <v>286.05769468949262</v>
      </c>
      <c r="J32">
        <v>75</v>
      </c>
      <c r="K32">
        <v>46</v>
      </c>
      <c r="L32">
        <v>47</v>
      </c>
      <c r="M32">
        <v>31</v>
      </c>
      <c r="N32" s="143" t="e">
        <v>#DIV/0!</v>
      </c>
      <c r="O32" s="143" t="e">
        <v>#DIV/0!</v>
      </c>
      <c r="P32">
        <v>97</v>
      </c>
    </row>
    <row r="33" spans="1:16">
      <c r="A33" t="s">
        <v>380</v>
      </c>
      <c r="B33">
        <v>42</v>
      </c>
      <c r="C33">
        <v>179</v>
      </c>
      <c r="D33">
        <v>110</v>
      </c>
      <c r="E33">
        <v>46</v>
      </c>
      <c r="F33">
        <v>46</v>
      </c>
      <c r="G33">
        <v>48</v>
      </c>
      <c r="H33">
        <v>259.39999999999998</v>
      </c>
      <c r="I33" s="14">
        <v>286.98409262491253</v>
      </c>
      <c r="J33">
        <v>49</v>
      </c>
      <c r="K33">
        <v>28</v>
      </c>
      <c r="L33">
        <v>48</v>
      </c>
      <c r="M33">
        <v>32</v>
      </c>
      <c r="N33" s="143" t="e">
        <v>#DIV/0!</v>
      </c>
      <c r="O33" s="143" t="e">
        <v>#DIV/0!</v>
      </c>
      <c r="P33">
        <v>-1</v>
      </c>
    </row>
    <row r="34" spans="1:16">
      <c r="A34" t="s">
        <v>117</v>
      </c>
      <c r="B34">
        <v>133</v>
      </c>
      <c r="C34">
        <v>33</v>
      </c>
      <c r="D34">
        <v>10</v>
      </c>
      <c r="E34">
        <v>85</v>
      </c>
      <c r="F34">
        <v>199</v>
      </c>
      <c r="G34">
        <v>62</v>
      </c>
      <c r="H34">
        <v>266.7</v>
      </c>
      <c r="I34" s="14">
        <v>299.05994222022366</v>
      </c>
      <c r="J34">
        <v>56</v>
      </c>
      <c r="K34">
        <v>34</v>
      </c>
      <c r="L34">
        <v>53</v>
      </c>
      <c r="M34">
        <v>33</v>
      </c>
      <c r="N34" s="143" t="e">
        <v>#DIV/0!</v>
      </c>
      <c r="O34" s="143" t="e">
        <v>#DIV/0!</v>
      </c>
      <c r="P34">
        <v>68</v>
      </c>
    </row>
    <row r="35" spans="1:16">
      <c r="A35" t="s">
        <v>58</v>
      </c>
      <c r="B35">
        <v>33</v>
      </c>
      <c r="C35">
        <v>132</v>
      </c>
      <c r="D35">
        <v>26</v>
      </c>
      <c r="E35">
        <v>95</v>
      </c>
      <c r="F35">
        <v>190</v>
      </c>
      <c r="G35">
        <v>65</v>
      </c>
      <c r="H35">
        <v>256.8</v>
      </c>
      <c r="I35" s="14">
        <v>301.51371972824802</v>
      </c>
      <c r="J35">
        <v>48</v>
      </c>
      <c r="K35">
        <v>27</v>
      </c>
      <c r="L35">
        <v>54</v>
      </c>
      <c r="M35">
        <v>34</v>
      </c>
      <c r="N35" s="143" t="e">
        <v>#DIV/0!</v>
      </c>
      <c r="O35" s="143" t="e">
        <v>#DIV/0!</v>
      </c>
      <c r="P35">
        <v>32</v>
      </c>
    </row>
    <row r="36" spans="1:16">
      <c r="A36" t="s">
        <v>38</v>
      </c>
      <c r="B36">
        <v>47</v>
      </c>
      <c r="C36">
        <v>214</v>
      </c>
      <c r="D36">
        <v>155</v>
      </c>
      <c r="E36">
        <v>7</v>
      </c>
      <c r="F36">
        <v>29</v>
      </c>
      <c r="G36">
        <v>41</v>
      </c>
      <c r="H36">
        <v>291.8</v>
      </c>
      <c r="I36" s="14">
        <v>306.37209419912739</v>
      </c>
      <c r="J36">
        <v>76</v>
      </c>
      <c r="K36">
        <v>47</v>
      </c>
      <c r="L36">
        <v>56</v>
      </c>
      <c r="M36">
        <v>35</v>
      </c>
      <c r="N36" s="143" t="e">
        <v>#DIV/0!</v>
      </c>
      <c r="O36" s="143" t="e">
        <v>#DIV/0!</v>
      </c>
      <c r="P36">
        <v>-26</v>
      </c>
    </row>
    <row r="37" spans="1:16">
      <c r="A37" t="s">
        <v>66</v>
      </c>
      <c r="B37">
        <v>73</v>
      </c>
      <c r="C37">
        <v>111</v>
      </c>
      <c r="D37">
        <v>99</v>
      </c>
      <c r="E37">
        <v>108</v>
      </c>
      <c r="F37">
        <v>56</v>
      </c>
      <c r="G37">
        <v>59</v>
      </c>
      <c r="H37">
        <v>265.5</v>
      </c>
      <c r="I37" s="14">
        <v>313.72031136715839</v>
      </c>
      <c r="J37">
        <v>54</v>
      </c>
      <c r="K37">
        <v>32</v>
      </c>
      <c r="L37">
        <v>59</v>
      </c>
      <c r="M37">
        <v>36</v>
      </c>
      <c r="N37" s="143" t="e">
        <v>#DIV/0!</v>
      </c>
      <c r="O37" s="143" t="e">
        <v>#DIV/0!</v>
      </c>
      <c r="P37">
        <v>-5</v>
      </c>
    </row>
    <row r="38" spans="1:16">
      <c r="A38" t="s">
        <v>137</v>
      </c>
      <c r="B38">
        <v>129</v>
      </c>
      <c r="C38">
        <v>16</v>
      </c>
      <c r="D38">
        <v>43</v>
      </c>
      <c r="E38">
        <v>192</v>
      </c>
      <c r="F38">
        <v>93</v>
      </c>
      <c r="G38">
        <v>57</v>
      </c>
      <c r="H38">
        <v>266.20000000000005</v>
      </c>
      <c r="I38" s="14">
        <v>318.26385204909207</v>
      </c>
      <c r="J38">
        <v>55</v>
      </c>
      <c r="K38">
        <v>33</v>
      </c>
      <c r="L38">
        <v>60</v>
      </c>
      <c r="M38">
        <v>37</v>
      </c>
      <c r="N38" s="143" t="e">
        <v>#DIV/0!</v>
      </c>
      <c r="O38" s="143" t="e">
        <v>#DIV/0!</v>
      </c>
      <c r="P38">
        <v>-34</v>
      </c>
    </row>
    <row r="39" spans="1:16">
      <c r="A39" t="s">
        <v>115</v>
      </c>
      <c r="B39">
        <v>119</v>
      </c>
      <c r="C39">
        <v>36</v>
      </c>
      <c r="D39">
        <v>212</v>
      </c>
      <c r="E39">
        <v>10</v>
      </c>
      <c r="F39">
        <v>6</v>
      </c>
      <c r="G39">
        <v>71</v>
      </c>
      <c r="H39">
        <v>272.2</v>
      </c>
      <c r="I39" s="14">
        <v>333.87743846106412</v>
      </c>
      <c r="J39">
        <v>60</v>
      </c>
      <c r="K39">
        <v>37</v>
      </c>
      <c r="L39">
        <v>64</v>
      </c>
      <c r="M39">
        <v>38</v>
      </c>
      <c r="N39" s="143" t="e">
        <v>#DIV/0!</v>
      </c>
      <c r="O39" s="143" t="e">
        <v>#DIV/0!</v>
      </c>
      <c r="P39" t="e">
        <v>#N/A</v>
      </c>
    </row>
    <row r="40" spans="1:16">
      <c r="A40" t="s">
        <v>381</v>
      </c>
      <c r="B40">
        <v>125</v>
      </c>
      <c r="C40">
        <v>77</v>
      </c>
      <c r="D40">
        <v>28</v>
      </c>
      <c r="E40">
        <v>104</v>
      </c>
      <c r="F40">
        <v>155</v>
      </c>
      <c r="G40">
        <v>79</v>
      </c>
      <c r="H40">
        <v>284.89999999999998</v>
      </c>
      <c r="I40" s="14">
        <v>335.79264447431581</v>
      </c>
      <c r="J40">
        <v>72</v>
      </c>
      <c r="K40">
        <v>44</v>
      </c>
      <c r="L40">
        <v>65</v>
      </c>
      <c r="M40">
        <v>39</v>
      </c>
      <c r="N40" s="143" t="e">
        <v>#DIV/0!</v>
      </c>
      <c r="O40" s="143" t="e">
        <v>#DIV/0!</v>
      </c>
      <c r="P40">
        <v>45</v>
      </c>
    </row>
    <row r="41" spans="1:16">
      <c r="A41" t="s">
        <v>123</v>
      </c>
      <c r="B41">
        <v>98</v>
      </c>
      <c r="C41">
        <v>21</v>
      </c>
      <c r="D41">
        <v>124</v>
      </c>
      <c r="E41">
        <v>64</v>
      </c>
      <c r="F41">
        <v>118</v>
      </c>
      <c r="G41">
        <v>86</v>
      </c>
      <c r="H41">
        <v>262.39999999999998</v>
      </c>
      <c r="I41" s="14">
        <v>338.94696457011787</v>
      </c>
      <c r="J41">
        <v>51.5</v>
      </c>
      <c r="K41">
        <v>29</v>
      </c>
      <c r="L41">
        <v>67</v>
      </c>
      <c r="M41">
        <v>40</v>
      </c>
      <c r="N41" s="143" t="e">
        <v>#DIV/0!</v>
      </c>
      <c r="O41" s="143" t="e">
        <v>#DIV/0!</v>
      </c>
      <c r="P41">
        <v>16</v>
      </c>
    </row>
    <row r="42" spans="1:16">
      <c r="A42" t="s">
        <v>92</v>
      </c>
      <c r="B42">
        <v>81</v>
      </c>
      <c r="C42">
        <v>67</v>
      </c>
      <c r="D42">
        <v>53</v>
      </c>
      <c r="E42">
        <v>115</v>
      </c>
      <c r="F42">
        <v>162</v>
      </c>
      <c r="G42">
        <v>88</v>
      </c>
      <c r="H42">
        <v>269.10000000000002</v>
      </c>
      <c r="I42" s="14">
        <v>342.54811888540428</v>
      </c>
      <c r="J42">
        <v>58</v>
      </c>
      <c r="K42">
        <v>35</v>
      </c>
      <c r="L42">
        <v>69</v>
      </c>
      <c r="M42">
        <v>41</v>
      </c>
      <c r="N42" s="143" t="e">
        <v>#DIV/0!</v>
      </c>
      <c r="O42" s="143" t="e">
        <v>#DIV/0!</v>
      </c>
      <c r="P42">
        <v>-38</v>
      </c>
    </row>
    <row r="43" spans="1:16">
      <c r="A43" t="s">
        <v>162</v>
      </c>
      <c r="B43">
        <v>209</v>
      </c>
      <c r="C43">
        <v>134</v>
      </c>
      <c r="D43">
        <v>51</v>
      </c>
      <c r="E43">
        <v>22</v>
      </c>
      <c r="F43">
        <v>95</v>
      </c>
      <c r="G43">
        <v>63</v>
      </c>
      <c r="H43">
        <v>339.6</v>
      </c>
      <c r="I43" s="14">
        <v>344.16803725650993</v>
      </c>
      <c r="J43">
        <v>120</v>
      </c>
      <c r="K43">
        <v>68</v>
      </c>
      <c r="L43">
        <v>70</v>
      </c>
      <c r="M43">
        <v>42</v>
      </c>
      <c r="N43" s="143" t="e">
        <v>#DIV/0!</v>
      </c>
      <c r="O43" s="143" t="e">
        <v>#DIV/0!</v>
      </c>
      <c r="P43">
        <v>-31</v>
      </c>
    </row>
    <row r="44" spans="1:16">
      <c r="A44" t="s">
        <v>90</v>
      </c>
      <c r="B44">
        <v>61</v>
      </c>
      <c r="C44">
        <v>41</v>
      </c>
      <c r="D44">
        <v>70</v>
      </c>
      <c r="E44">
        <v>152</v>
      </c>
      <c r="F44">
        <v>174</v>
      </c>
      <c r="G44">
        <v>85</v>
      </c>
      <c r="H44">
        <v>270.20000000000005</v>
      </c>
      <c r="I44" s="14">
        <v>353.91857981168147</v>
      </c>
      <c r="J44">
        <v>59</v>
      </c>
      <c r="K44">
        <v>36</v>
      </c>
      <c r="L44">
        <v>74</v>
      </c>
      <c r="M44">
        <v>43</v>
      </c>
      <c r="N44" s="143" t="e">
        <v>#DIV/0!</v>
      </c>
      <c r="O44" s="143" t="e">
        <v>#DIV/0!</v>
      </c>
      <c r="P44">
        <v>0</v>
      </c>
    </row>
    <row r="45" spans="1:16">
      <c r="A45" t="s">
        <v>181</v>
      </c>
      <c r="B45">
        <v>139</v>
      </c>
      <c r="C45">
        <v>15</v>
      </c>
      <c r="D45">
        <v>24</v>
      </c>
      <c r="E45">
        <v>91</v>
      </c>
      <c r="F45">
        <v>203</v>
      </c>
      <c r="G45">
        <v>106</v>
      </c>
      <c r="H45">
        <v>274.89999999999998</v>
      </c>
      <c r="I45" s="14">
        <v>354.38658388108519</v>
      </c>
      <c r="J45">
        <v>64</v>
      </c>
      <c r="K45">
        <v>40</v>
      </c>
      <c r="L45">
        <v>75</v>
      </c>
      <c r="M45">
        <v>44</v>
      </c>
      <c r="N45" s="143" t="e">
        <v>#DIV/0!</v>
      </c>
      <c r="O45" s="143" t="e">
        <v>#DIV/0!</v>
      </c>
      <c r="P45">
        <v>30</v>
      </c>
    </row>
    <row r="46" spans="1:16">
      <c r="A46" t="s">
        <v>188</v>
      </c>
      <c r="B46">
        <v>214</v>
      </c>
      <c r="C46">
        <v>45</v>
      </c>
      <c r="D46">
        <v>116</v>
      </c>
      <c r="E46">
        <v>73</v>
      </c>
      <c r="F46">
        <v>5</v>
      </c>
      <c r="G46">
        <v>75</v>
      </c>
      <c r="H46">
        <v>311.09999999999997</v>
      </c>
      <c r="I46" s="14">
        <v>355.74541724381635</v>
      </c>
      <c r="J46">
        <v>89</v>
      </c>
      <c r="K46">
        <v>53</v>
      </c>
      <c r="L46">
        <v>77</v>
      </c>
      <c r="M46">
        <v>45</v>
      </c>
      <c r="N46" s="143" t="e">
        <v>#DIV/0!</v>
      </c>
      <c r="O46" s="143" t="e">
        <v>#DIV/0!</v>
      </c>
      <c r="P46">
        <v>-13</v>
      </c>
    </row>
    <row r="47" spans="1:16">
      <c r="A47" t="s">
        <v>423</v>
      </c>
      <c r="B47">
        <v>203</v>
      </c>
      <c r="C47">
        <v>68</v>
      </c>
      <c r="D47">
        <v>36</v>
      </c>
      <c r="E47">
        <v>17</v>
      </c>
      <c r="F47">
        <v>195</v>
      </c>
      <c r="G47">
        <v>78</v>
      </c>
      <c r="H47">
        <v>332.7</v>
      </c>
      <c r="I47" s="14">
        <v>355.96427203266853</v>
      </c>
      <c r="J47">
        <v>112</v>
      </c>
      <c r="K47">
        <v>63</v>
      </c>
      <c r="L47">
        <v>78</v>
      </c>
      <c r="M47">
        <v>46</v>
      </c>
      <c r="N47" s="143" t="e">
        <v>#DIV/0!</v>
      </c>
      <c r="O47" s="143" t="e">
        <v>#DIV/0!</v>
      </c>
      <c r="P47">
        <v>69</v>
      </c>
    </row>
    <row r="48" spans="1:16">
      <c r="A48" t="s">
        <v>167</v>
      </c>
      <c r="B48">
        <v>160</v>
      </c>
      <c r="C48">
        <v>98</v>
      </c>
      <c r="D48">
        <v>135</v>
      </c>
      <c r="E48">
        <v>100</v>
      </c>
      <c r="F48">
        <v>2</v>
      </c>
      <c r="G48">
        <v>56</v>
      </c>
      <c r="H48">
        <v>322.3</v>
      </c>
      <c r="I48" s="14">
        <v>356.59935068301075</v>
      </c>
      <c r="J48">
        <v>97</v>
      </c>
      <c r="K48">
        <v>57</v>
      </c>
      <c r="L48">
        <v>79</v>
      </c>
      <c r="M48">
        <v>47</v>
      </c>
      <c r="N48" s="143" t="e">
        <v>#DIV/0!</v>
      </c>
      <c r="O48" s="143" t="e">
        <v>#DIV/0!</v>
      </c>
      <c r="P48">
        <v>-12</v>
      </c>
    </row>
    <row r="49" spans="1:16">
      <c r="A49" t="s">
        <v>56</v>
      </c>
      <c r="B49">
        <v>47</v>
      </c>
      <c r="C49">
        <v>202</v>
      </c>
      <c r="D49">
        <v>71</v>
      </c>
      <c r="E49">
        <v>210</v>
      </c>
      <c r="F49">
        <v>7</v>
      </c>
      <c r="G49">
        <v>72</v>
      </c>
      <c r="H49">
        <v>296</v>
      </c>
      <c r="I49" s="14">
        <v>362.329325986642</v>
      </c>
      <c r="J49">
        <v>79</v>
      </c>
      <c r="K49">
        <v>48</v>
      </c>
      <c r="L49">
        <v>83</v>
      </c>
      <c r="M49">
        <v>48</v>
      </c>
      <c r="N49" s="143" t="e">
        <v>#DIV/0!</v>
      </c>
      <c r="O49" s="143" t="e">
        <v>#DIV/0!</v>
      </c>
      <c r="P49">
        <v>-43</v>
      </c>
    </row>
    <row r="50" spans="1:16">
      <c r="A50" t="s">
        <v>111</v>
      </c>
      <c r="B50">
        <v>205</v>
      </c>
      <c r="C50">
        <v>122</v>
      </c>
      <c r="D50">
        <v>45</v>
      </c>
      <c r="E50">
        <v>174</v>
      </c>
      <c r="F50">
        <v>33</v>
      </c>
      <c r="G50">
        <v>44</v>
      </c>
      <c r="H50">
        <v>354.8</v>
      </c>
      <c r="I50" s="14">
        <v>364.40825999048224</v>
      </c>
      <c r="J50">
        <v>140</v>
      </c>
      <c r="K50">
        <v>75</v>
      </c>
      <c r="L50">
        <v>84</v>
      </c>
      <c r="M50">
        <v>49</v>
      </c>
      <c r="N50" s="143" t="e">
        <v>#DIV/0!</v>
      </c>
      <c r="O50" s="143" t="e">
        <v>#DIV/0!</v>
      </c>
      <c r="P50">
        <v>49</v>
      </c>
    </row>
    <row r="51" spans="1:16">
      <c r="A51" t="s">
        <v>18</v>
      </c>
      <c r="B51">
        <v>11</v>
      </c>
      <c r="C51">
        <v>199</v>
      </c>
      <c r="D51">
        <v>168</v>
      </c>
      <c r="E51">
        <v>140</v>
      </c>
      <c r="F51">
        <v>9</v>
      </c>
      <c r="G51">
        <v>64</v>
      </c>
      <c r="H51">
        <v>306.29999999999995</v>
      </c>
      <c r="I51" s="14">
        <v>372.06157283753743</v>
      </c>
      <c r="J51">
        <v>84</v>
      </c>
      <c r="K51">
        <v>50</v>
      </c>
      <c r="L51">
        <v>86</v>
      </c>
      <c r="M51">
        <v>50</v>
      </c>
      <c r="N51" s="143" t="e">
        <v>#DIV/0!</v>
      </c>
      <c r="O51" s="143" t="e">
        <v>#DIV/0!</v>
      </c>
      <c r="P51">
        <v>51</v>
      </c>
    </row>
    <row r="52" spans="1:16">
      <c r="A52" t="s">
        <v>44</v>
      </c>
      <c r="B52">
        <v>14</v>
      </c>
      <c r="C52">
        <v>93</v>
      </c>
      <c r="D52">
        <v>94</v>
      </c>
      <c r="E52">
        <v>102</v>
      </c>
      <c r="F52">
        <v>201</v>
      </c>
      <c r="G52">
        <v>112</v>
      </c>
      <c r="H52">
        <v>274.10000000000002</v>
      </c>
      <c r="I52" s="14">
        <v>381.53010030141843</v>
      </c>
      <c r="J52">
        <v>62</v>
      </c>
      <c r="K52">
        <v>39</v>
      </c>
      <c r="L52">
        <v>88</v>
      </c>
      <c r="M52">
        <v>51</v>
      </c>
      <c r="N52" s="143" t="e">
        <v>#DIV/0!</v>
      </c>
      <c r="O52" s="143" t="e">
        <v>#DIV/0!</v>
      </c>
      <c r="P52">
        <v>-90</v>
      </c>
    </row>
    <row r="53" spans="1:16">
      <c r="A53" t="s">
        <v>59</v>
      </c>
      <c r="B53">
        <v>44</v>
      </c>
      <c r="C53">
        <v>217</v>
      </c>
      <c r="D53">
        <v>189</v>
      </c>
      <c r="E53">
        <v>12</v>
      </c>
      <c r="F53">
        <v>13</v>
      </c>
      <c r="G53">
        <v>98</v>
      </c>
      <c r="H53">
        <v>308.99999999999994</v>
      </c>
      <c r="I53" s="14">
        <v>385.17881393039363</v>
      </c>
      <c r="J53">
        <v>85</v>
      </c>
      <c r="K53">
        <v>51</v>
      </c>
      <c r="L53">
        <v>90</v>
      </c>
      <c r="M53">
        <v>52</v>
      </c>
      <c r="N53" s="143" t="e">
        <v>#DIV/0!</v>
      </c>
      <c r="O53" s="143" t="e">
        <v>#DIV/0!</v>
      </c>
      <c r="P53">
        <v>-86</v>
      </c>
    </row>
    <row r="54" spans="1:16">
      <c r="A54" t="s">
        <v>128</v>
      </c>
      <c r="B54">
        <v>63</v>
      </c>
      <c r="C54">
        <v>79</v>
      </c>
      <c r="D54">
        <v>141</v>
      </c>
      <c r="E54">
        <v>113</v>
      </c>
      <c r="F54">
        <v>111</v>
      </c>
      <c r="G54">
        <v>92</v>
      </c>
      <c r="H54">
        <v>297.2</v>
      </c>
      <c r="I54" s="14">
        <v>386.63409712619188</v>
      </c>
      <c r="J54">
        <v>80</v>
      </c>
      <c r="K54">
        <v>49</v>
      </c>
      <c r="L54">
        <v>92</v>
      </c>
      <c r="M54">
        <v>53</v>
      </c>
      <c r="N54" s="143" t="e">
        <v>#DIV/0!</v>
      </c>
      <c r="O54" s="143" t="e">
        <v>#DIV/0!</v>
      </c>
      <c r="P54">
        <v>36</v>
      </c>
    </row>
    <row r="55" spans="1:16">
      <c r="A55" t="s">
        <v>245</v>
      </c>
      <c r="B55">
        <v>176</v>
      </c>
      <c r="C55">
        <v>53</v>
      </c>
      <c r="D55">
        <v>201</v>
      </c>
      <c r="E55">
        <v>6</v>
      </c>
      <c r="F55">
        <v>35</v>
      </c>
      <c r="G55">
        <v>80</v>
      </c>
      <c r="H55">
        <v>333.2</v>
      </c>
      <c r="I55" s="14">
        <v>387.0806937963149</v>
      </c>
      <c r="J55">
        <v>113</v>
      </c>
      <c r="K55">
        <v>64</v>
      </c>
      <c r="L55">
        <v>93</v>
      </c>
      <c r="M55">
        <v>54</v>
      </c>
      <c r="N55" s="143" t="e">
        <v>#DIV/0!</v>
      </c>
      <c r="O55" s="143" t="e">
        <v>#DIV/0!</v>
      </c>
      <c r="P55">
        <v>-70</v>
      </c>
    </row>
    <row r="56" spans="1:16">
      <c r="A56" t="s">
        <v>131</v>
      </c>
      <c r="B56">
        <v>121</v>
      </c>
      <c r="C56">
        <v>116</v>
      </c>
      <c r="D56">
        <v>117</v>
      </c>
      <c r="E56">
        <v>34</v>
      </c>
      <c r="F56">
        <v>134</v>
      </c>
      <c r="G56">
        <v>94</v>
      </c>
      <c r="H56">
        <v>328.90000000000003</v>
      </c>
      <c r="I56" s="14">
        <v>390.2487216010133</v>
      </c>
      <c r="J56">
        <v>106</v>
      </c>
      <c r="K56">
        <v>60</v>
      </c>
      <c r="L56">
        <v>95</v>
      </c>
      <c r="M56">
        <v>55</v>
      </c>
      <c r="N56" s="143" t="e">
        <v>#DIV/0!</v>
      </c>
      <c r="O56" s="143" t="e">
        <v>#DIV/0!</v>
      </c>
      <c r="P56">
        <v>-78</v>
      </c>
    </row>
    <row r="57" spans="1:16">
      <c r="A57" t="s">
        <v>17</v>
      </c>
      <c r="B57">
        <v>16</v>
      </c>
      <c r="C57">
        <v>183</v>
      </c>
      <c r="D57">
        <v>109</v>
      </c>
      <c r="E57">
        <v>180</v>
      </c>
      <c r="F57">
        <v>94</v>
      </c>
      <c r="G57">
        <v>81</v>
      </c>
      <c r="H57">
        <v>317.89999999999998</v>
      </c>
      <c r="I57" s="14">
        <v>397.55263474583461</v>
      </c>
      <c r="J57">
        <v>96</v>
      </c>
      <c r="K57">
        <v>56</v>
      </c>
      <c r="L57">
        <v>101</v>
      </c>
      <c r="M57">
        <v>56</v>
      </c>
      <c r="N57" s="143" t="e">
        <v>#DIV/0!</v>
      </c>
      <c r="O57" s="143" t="e">
        <v>#DIV/0!</v>
      </c>
      <c r="P57">
        <v>14</v>
      </c>
    </row>
    <row r="58" spans="1:16">
      <c r="A58" t="s">
        <v>55</v>
      </c>
      <c r="B58">
        <v>60</v>
      </c>
      <c r="C58">
        <v>52</v>
      </c>
      <c r="D58">
        <v>91</v>
      </c>
      <c r="E58">
        <v>188</v>
      </c>
      <c r="F58">
        <v>109</v>
      </c>
      <c r="G58">
        <v>119</v>
      </c>
      <c r="H58">
        <v>272.60000000000002</v>
      </c>
      <c r="I58" s="14">
        <v>398.50814703592465</v>
      </c>
      <c r="J58">
        <v>61</v>
      </c>
      <c r="K58">
        <v>38</v>
      </c>
      <c r="L58">
        <v>102</v>
      </c>
      <c r="M58">
        <v>57</v>
      </c>
      <c r="N58" s="143" t="e">
        <v>#DIV/0!</v>
      </c>
      <c r="O58" s="143" t="e">
        <v>#DIV/0!</v>
      </c>
      <c r="P58">
        <v>-32</v>
      </c>
    </row>
    <row r="59" spans="1:16">
      <c r="A59" t="s">
        <v>50</v>
      </c>
      <c r="B59">
        <v>18</v>
      </c>
      <c r="C59">
        <v>209</v>
      </c>
      <c r="D59">
        <v>121</v>
      </c>
      <c r="E59">
        <v>71</v>
      </c>
      <c r="F59">
        <v>149</v>
      </c>
      <c r="G59">
        <v>101</v>
      </c>
      <c r="H59">
        <v>327.39999999999998</v>
      </c>
      <c r="I59" s="14">
        <v>407.70782135752876</v>
      </c>
      <c r="J59">
        <v>101</v>
      </c>
      <c r="K59">
        <v>58</v>
      </c>
      <c r="L59">
        <v>104</v>
      </c>
      <c r="M59">
        <v>58</v>
      </c>
      <c r="N59" s="143" t="e">
        <v>#DIV/0!</v>
      </c>
      <c r="O59" s="143" t="e">
        <v>#DIV/0!</v>
      </c>
      <c r="P59">
        <v>8</v>
      </c>
    </row>
    <row r="60" spans="1:16">
      <c r="A60" t="s">
        <v>236</v>
      </c>
      <c r="B60">
        <v>191</v>
      </c>
      <c r="C60">
        <v>44</v>
      </c>
      <c r="D60">
        <v>142</v>
      </c>
      <c r="E60">
        <v>56</v>
      </c>
      <c r="F60">
        <v>59</v>
      </c>
      <c r="G60">
        <v>108</v>
      </c>
      <c r="H60">
        <v>330.5</v>
      </c>
      <c r="I60" s="14">
        <v>410.48408945469919</v>
      </c>
      <c r="J60">
        <v>109</v>
      </c>
      <c r="K60">
        <v>61</v>
      </c>
      <c r="L60">
        <v>106</v>
      </c>
      <c r="M60">
        <v>59</v>
      </c>
      <c r="N60" s="143" t="e">
        <v>#DIV/0!</v>
      </c>
      <c r="O60" s="143" t="e">
        <v>#DIV/0!</v>
      </c>
      <c r="P60">
        <v>52</v>
      </c>
    </row>
    <row r="61" spans="1:16">
      <c r="A61" t="s">
        <v>179</v>
      </c>
      <c r="B61">
        <v>180</v>
      </c>
      <c r="C61">
        <v>53</v>
      </c>
      <c r="D61">
        <v>44</v>
      </c>
      <c r="E61">
        <v>68</v>
      </c>
      <c r="F61">
        <v>189</v>
      </c>
      <c r="G61">
        <v>123</v>
      </c>
      <c r="H61">
        <v>328.3</v>
      </c>
      <c r="I61" s="14">
        <v>410.72127524182503</v>
      </c>
      <c r="J61">
        <v>104</v>
      </c>
      <c r="K61">
        <v>59</v>
      </c>
      <c r="L61">
        <v>107</v>
      </c>
      <c r="M61">
        <v>60</v>
      </c>
      <c r="N61" s="143" t="e">
        <v>#DIV/0!</v>
      </c>
      <c r="O61" s="143" t="e">
        <v>#DIV/0!</v>
      </c>
      <c r="P61">
        <v>-19</v>
      </c>
    </row>
    <row r="62" spans="1:16">
      <c r="A62" t="s">
        <v>145</v>
      </c>
      <c r="B62">
        <v>100</v>
      </c>
      <c r="C62">
        <v>4</v>
      </c>
      <c r="D62">
        <v>30</v>
      </c>
      <c r="E62">
        <v>197</v>
      </c>
      <c r="F62">
        <v>197</v>
      </c>
      <c r="G62">
        <v>133</v>
      </c>
      <c r="H62">
        <v>280.70000000000005</v>
      </c>
      <c r="I62" s="14">
        <v>410.7304208359522</v>
      </c>
      <c r="J62">
        <v>67</v>
      </c>
      <c r="K62">
        <v>41</v>
      </c>
      <c r="L62">
        <v>108</v>
      </c>
      <c r="M62">
        <v>61</v>
      </c>
      <c r="N62" s="143" t="e">
        <v>#DIV/0!</v>
      </c>
      <c r="O62" s="143" t="e">
        <v>#DIV/0!</v>
      </c>
      <c r="P62">
        <v>31</v>
      </c>
    </row>
    <row r="63" spans="1:16">
      <c r="A63" t="s">
        <v>68</v>
      </c>
      <c r="B63">
        <v>68</v>
      </c>
      <c r="C63">
        <v>107</v>
      </c>
      <c r="D63">
        <v>138</v>
      </c>
      <c r="E63">
        <v>91</v>
      </c>
      <c r="F63">
        <v>66</v>
      </c>
      <c r="G63">
        <v>135</v>
      </c>
      <c r="H63">
        <v>284.60000000000002</v>
      </c>
      <c r="I63" s="14">
        <v>411.23931107072048</v>
      </c>
      <c r="J63">
        <v>71</v>
      </c>
      <c r="K63">
        <v>43</v>
      </c>
      <c r="L63">
        <v>109</v>
      </c>
      <c r="M63">
        <v>62</v>
      </c>
      <c r="N63" s="143" t="e">
        <v>#DIV/0!</v>
      </c>
      <c r="O63" s="143" t="e">
        <v>#DIV/0!</v>
      </c>
      <c r="P63">
        <v>52</v>
      </c>
    </row>
    <row r="64" spans="1:16">
      <c r="A64" t="s">
        <v>391</v>
      </c>
      <c r="B64">
        <v>201</v>
      </c>
      <c r="C64">
        <v>198</v>
      </c>
      <c r="D64">
        <v>23</v>
      </c>
      <c r="E64">
        <v>79</v>
      </c>
      <c r="F64">
        <v>123</v>
      </c>
      <c r="G64">
        <v>89</v>
      </c>
      <c r="H64">
        <v>388.80000000000007</v>
      </c>
      <c r="I64" s="14">
        <v>415.26230077972559</v>
      </c>
      <c r="J64">
        <v>166</v>
      </c>
      <c r="K64">
        <v>90</v>
      </c>
      <c r="L64">
        <v>113</v>
      </c>
      <c r="M64">
        <v>63</v>
      </c>
      <c r="N64" s="143" t="e">
        <v>#DIV/0!</v>
      </c>
      <c r="O64" s="143" t="e">
        <v>#DIV/0!</v>
      </c>
      <c r="P64">
        <v>118</v>
      </c>
    </row>
    <row r="65" spans="1:16">
      <c r="A65" t="s">
        <v>122</v>
      </c>
      <c r="B65">
        <v>105</v>
      </c>
      <c r="C65">
        <v>126</v>
      </c>
      <c r="D65">
        <v>162</v>
      </c>
      <c r="E65">
        <v>146</v>
      </c>
      <c r="F65">
        <v>19</v>
      </c>
      <c r="G65">
        <v>93</v>
      </c>
      <c r="H65">
        <v>340.9</v>
      </c>
      <c r="I65" s="14">
        <v>426.70018679168351</v>
      </c>
      <c r="J65">
        <v>122</v>
      </c>
      <c r="K65">
        <v>69</v>
      </c>
      <c r="L65">
        <v>116</v>
      </c>
      <c r="M65">
        <v>64</v>
      </c>
      <c r="N65" s="143" t="e">
        <v>#DIV/0!</v>
      </c>
      <c r="O65" s="143" t="e">
        <v>#DIV/0!</v>
      </c>
      <c r="P65">
        <v>-41</v>
      </c>
    </row>
    <row r="66" spans="1:16">
      <c r="A66" t="s">
        <v>222</v>
      </c>
      <c r="B66">
        <v>163</v>
      </c>
      <c r="C66">
        <v>104</v>
      </c>
      <c r="D66">
        <v>78</v>
      </c>
      <c r="E66">
        <v>25</v>
      </c>
      <c r="F66">
        <v>192</v>
      </c>
      <c r="G66">
        <v>121</v>
      </c>
      <c r="H66">
        <v>353.4</v>
      </c>
      <c r="I66" s="14">
        <v>427.54680272121175</v>
      </c>
      <c r="J66">
        <v>134</v>
      </c>
      <c r="K66">
        <v>74</v>
      </c>
      <c r="L66">
        <v>117</v>
      </c>
      <c r="M66">
        <v>65</v>
      </c>
      <c r="N66" s="143" t="e">
        <v>#DIV/0!</v>
      </c>
      <c r="O66" s="143" t="e">
        <v>#DIV/0!</v>
      </c>
      <c r="P66">
        <v>10</v>
      </c>
    </row>
    <row r="67" spans="1:16">
      <c r="A67" t="s">
        <v>157</v>
      </c>
      <c r="B67">
        <v>172</v>
      </c>
      <c r="C67">
        <v>75</v>
      </c>
      <c r="D67">
        <v>59</v>
      </c>
      <c r="E67">
        <v>125</v>
      </c>
      <c r="F67">
        <v>122</v>
      </c>
      <c r="G67">
        <v>124</v>
      </c>
      <c r="H67">
        <v>334.9</v>
      </c>
      <c r="I67" s="14">
        <v>428.57175565472869</v>
      </c>
      <c r="J67">
        <v>117</v>
      </c>
      <c r="K67">
        <v>66</v>
      </c>
      <c r="L67">
        <v>118</v>
      </c>
      <c r="M67">
        <v>66</v>
      </c>
      <c r="N67" s="143" t="e">
        <v>#DIV/0!</v>
      </c>
      <c r="O67" s="143" t="e">
        <v>#DIV/0!</v>
      </c>
      <c r="P67">
        <v>-19</v>
      </c>
    </row>
    <row r="68" spans="1:16">
      <c r="A68" t="s">
        <v>185</v>
      </c>
      <c r="B68">
        <v>197</v>
      </c>
      <c r="C68">
        <v>11</v>
      </c>
      <c r="D68">
        <v>67</v>
      </c>
      <c r="E68">
        <v>193</v>
      </c>
      <c r="F68">
        <v>142</v>
      </c>
      <c r="G68">
        <v>100</v>
      </c>
      <c r="H68">
        <v>359.3</v>
      </c>
      <c r="I68" s="14">
        <v>441.20938952439036</v>
      </c>
      <c r="J68">
        <v>145</v>
      </c>
      <c r="K68">
        <v>78</v>
      </c>
      <c r="L68">
        <v>120</v>
      </c>
      <c r="M68">
        <v>67</v>
      </c>
      <c r="N68" s="143" t="e">
        <v>#DIV/0!</v>
      </c>
      <c r="O68" s="143" t="e">
        <v>#DIV/0!</v>
      </c>
      <c r="P68">
        <v>63</v>
      </c>
    </row>
    <row r="69" spans="1:16">
      <c r="A69" t="s">
        <v>76</v>
      </c>
      <c r="B69">
        <v>52</v>
      </c>
      <c r="C69">
        <v>80</v>
      </c>
      <c r="D69">
        <v>203</v>
      </c>
      <c r="E69">
        <v>62</v>
      </c>
      <c r="F69">
        <v>107</v>
      </c>
      <c r="G69">
        <v>138</v>
      </c>
      <c r="H69">
        <v>310</v>
      </c>
      <c r="I69" s="14">
        <v>446.81943943265458</v>
      </c>
      <c r="J69">
        <v>88</v>
      </c>
      <c r="K69">
        <v>52</v>
      </c>
      <c r="L69">
        <v>123</v>
      </c>
      <c r="M69">
        <v>68</v>
      </c>
      <c r="N69" s="143" t="e">
        <v>#DIV/0!</v>
      </c>
      <c r="O69" s="143" t="e">
        <v>#DIV/0!</v>
      </c>
      <c r="P69">
        <v>-103</v>
      </c>
    </row>
    <row r="70" spans="1:16">
      <c r="A70" t="s">
        <v>238</v>
      </c>
      <c r="B70">
        <v>213</v>
      </c>
      <c r="C70">
        <v>71</v>
      </c>
      <c r="D70">
        <v>62</v>
      </c>
      <c r="E70">
        <v>42</v>
      </c>
      <c r="F70">
        <v>115</v>
      </c>
      <c r="G70">
        <v>166</v>
      </c>
      <c r="H70">
        <v>330.7</v>
      </c>
      <c r="I70" s="14">
        <v>448.85356686396511</v>
      </c>
      <c r="J70">
        <v>110</v>
      </c>
      <c r="K70">
        <v>62</v>
      </c>
      <c r="L70">
        <v>126</v>
      </c>
      <c r="M70">
        <v>69</v>
      </c>
      <c r="N70" s="143" t="e">
        <v>#DIV/0!</v>
      </c>
      <c r="O70" s="143" t="e">
        <v>#DIV/0!</v>
      </c>
      <c r="P70" t="e">
        <v>#N/A</v>
      </c>
    </row>
    <row r="71" spans="1:16">
      <c r="A71" t="s">
        <v>158</v>
      </c>
      <c r="B71">
        <v>149</v>
      </c>
      <c r="C71">
        <v>118</v>
      </c>
      <c r="D71">
        <v>171</v>
      </c>
      <c r="E71">
        <v>70</v>
      </c>
      <c r="F71">
        <v>62</v>
      </c>
      <c r="G71">
        <v>107</v>
      </c>
      <c r="H71">
        <v>368.7</v>
      </c>
      <c r="I71" s="14">
        <v>449.92025533978853</v>
      </c>
      <c r="J71">
        <v>148</v>
      </c>
      <c r="K71">
        <v>81</v>
      </c>
      <c r="L71">
        <v>128</v>
      </c>
      <c r="M71">
        <v>70</v>
      </c>
      <c r="N71" s="143" t="e">
        <v>#DIV/0!</v>
      </c>
      <c r="O71" s="143" t="e">
        <v>#DIV/0!</v>
      </c>
      <c r="P71">
        <v>43</v>
      </c>
    </row>
    <row r="72" spans="1:16">
      <c r="A72" t="s">
        <v>125</v>
      </c>
      <c r="B72">
        <v>126</v>
      </c>
      <c r="C72">
        <v>69</v>
      </c>
      <c r="D72">
        <v>139</v>
      </c>
      <c r="E72">
        <v>33</v>
      </c>
      <c r="F72">
        <v>129</v>
      </c>
      <c r="G72">
        <v>178</v>
      </c>
      <c r="H72">
        <v>317.2</v>
      </c>
      <c r="I72" s="14">
        <v>470.23539293405935</v>
      </c>
      <c r="J72">
        <v>95</v>
      </c>
      <c r="K72">
        <v>55</v>
      </c>
      <c r="L72">
        <v>135</v>
      </c>
      <c r="M72">
        <v>71</v>
      </c>
      <c r="N72" s="143" t="e">
        <v>#DIV/0!</v>
      </c>
      <c r="O72" s="143" t="e">
        <v>#DIV/0!</v>
      </c>
      <c r="P72">
        <v>20</v>
      </c>
    </row>
    <row r="73" spans="1:16">
      <c r="A73" t="s">
        <v>65</v>
      </c>
      <c r="B73">
        <v>85</v>
      </c>
      <c r="C73">
        <v>49</v>
      </c>
      <c r="D73">
        <v>84</v>
      </c>
      <c r="E73">
        <v>212</v>
      </c>
      <c r="F73">
        <v>150</v>
      </c>
      <c r="G73">
        <v>153</v>
      </c>
      <c r="H73">
        <v>316</v>
      </c>
      <c r="I73" s="14">
        <v>471.67684467657301</v>
      </c>
      <c r="J73">
        <v>92</v>
      </c>
      <c r="K73">
        <v>54</v>
      </c>
      <c r="L73">
        <v>136</v>
      </c>
      <c r="M73">
        <v>72</v>
      </c>
      <c r="N73" s="143" t="e">
        <v>#DIV/0!</v>
      </c>
      <c r="O73" s="143" t="e">
        <v>#DIV/0!</v>
      </c>
      <c r="P73">
        <v>31</v>
      </c>
    </row>
    <row r="74" spans="1:16">
      <c r="A74" t="s">
        <v>41</v>
      </c>
      <c r="B74">
        <v>23</v>
      </c>
      <c r="C74">
        <v>203</v>
      </c>
      <c r="D74">
        <v>199</v>
      </c>
      <c r="E74">
        <v>111</v>
      </c>
      <c r="F74">
        <v>24</v>
      </c>
      <c r="G74">
        <v>139</v>
      </c>
      <c r="H74">
        <v>335.9</v>
      </c>
      <c r="I74" s="14">
        <v>472.06117674680132</v>
      </c>
      <c r="J74">
        <v>118</v>
      </c>
      <c r="K74">
        <v>67</v>
      </c>
      <c r="L74">
        <v>137</v>
      </c>
      <c r="M74">
        <v>73</v>
      </c>
      <c r="N74" s="143" t="e">
        <v>#DIV/0!</v>
      </c>
      <c r="O74" s="143" t="e">
        <v>#DIV/0!</v>
      </c>
      <c r="P74">
        <v>-32</v>
      </c>
    </row>
    <row r="75" spans="1:16">
      <c r="A75" t="s">
        <v>237</v>
      </c>
      <c r="B75">
        <v>24</v>
      </c>
      <c r="C75">
        <v>151</v>
      </c>
      <c r="D75">
        <v>177</v>
      </c>
      <c r="E75">
        <v>153</v>
      </c>
      <c r="F75">
        <v>104</v>
      </c>
      <c r="G75">
        <v>127</v>
      </c>
      <c r="H75">
        <v>346.9</v>
      </c>
      <c r="I75" s="14">
        <v>477.61415953862348</v>
      </c>
      <c r="J75">
        <v>127</v>
      </c>
      <c r="K75">
        <v>72</v>
      </c>
      <c r="L75">
        <v>140</v>
      </c>
      <c r="M75">
        <v>74</v>
      </c>
      <c r="N75" s="143" t="e">
        <v>#DIV/0!</v>
      </c>
      <c r="O75" s="143" t="e">
        <v>#DIV/0!</v>
      </c>
      <c r="P75">
        <v>-79</v>
      </c>
    </row>
    <row r="76" spans="1:16">
      <c r="A76" t="s">
        <v>89</v>
      </c>
      <c r="B76">
        <v>110</v>
      </c>
      <c r="C76">
        <v>173</v>
      </c>
      <c r="D76">
        <v>157</v>
      </c>
      <c r="E76">
        <v>134</v>
      </c>
      <c r="F76">
        <v>57</v>
      </c>
      <c r="G76">
        <v>113</v>
      </c>
      <c r="H76">
        <v>383.8</v>
      </c>
      <c r="I76" s="14">
        <v>478.169228071308</v>
      </c>
      <c r="J76">
        <v>163</v>
      </c>
      <c r="K76">
        <v>89</v>
      </c>
      <c r="L76">
        <v>141</v>
      </c>
      <c r="M76">
        <v>75</v>
      </c>
      <c r="N76" s="143" t="e">
        <v>#DIV/0!</v>
      </c>
      <c r="O76" s="143" t="e">
        <v>#DIV/0!</v>
      </c>
      <c r="P76">
        <v>-6</v>
      </c>
    </row>
    <row r="77" spans="1:16">
      <c r="A77" t="s">
        <v>45</v>
      </c>
      <c r="B77">
        <v>143</v>
      </c>
      <c r="C77">
        <v>192</v>
      </c>
      <c r="D77">
        <v>106</v>
      </c>
      <c r="E77">
        <v>41</v>
      </c>
      <c r="F77">
        <v>110</v>
      </c>
      <c r="G77">
        <v>152</v>
      </c>
      <c r="H77">
        <v>375.19999999999993</v>
      </c>
      <c r="I77" s="14">
        <v>480.45941800524105</v>
      </c>
      <c r="J77">
        <v>154</v>
      </c>
      <c r="K77">
        <v>83</v>
      </c>
      <c r="L77">
        <v>142</v>
      </c>
      <c r="M77">
        <v>76</v>
      </c>
      <c r="N77" s="143" t="e">
        <v>#DIV/0!</v>
      </c>
      <c r="O77" s="143" t="e">
        <v>#DIV/0!</v>
      </c>
      <c r="P77">
        <v>-36</v>
      </c>
    </row>
    <row r="78" spans="1:16">
      <c r="A78" t="s">
        <v>396</v>
      </c>
      <c r="B78">
        <v>77</v>
      </c>
      <c r="C78">
        <v>92</v>
      </c>
      <c r="D78">
        <v>85</v>
      </c>
      <c r="E78">
        <v>206</v>
      </c>
      <c r="F78">
        <v>152</v>
      </c>
      <c r="G78">
        <v>150</v>
      </c>
      <c r="H78">
        <v>334.7</v>
      </c>
      <c r="I78" s="14">
        <v>482.17030516422676</v>
      </c>
      <c r="J78">
        <v>116</v>
      </c>
      <c r="K78">
        <v>65</v>
      </c>
      <c r="L78">
        <v>143</v>
      </c>
      <c r="M78">
        <v>77</v>
      </c>
      <c r="N78" s="143" t="e">
        <v>#DIV/0!</v>
      </c>
      <c r="O78" s="143" t="e">
        <v>#DIV/0!</v>
      </c>
      <c r="P78">
        <v>-47</v>
      </c>
    </row>
    <row r="79" spans="1:16">
      <c r="A79" t="s">
        <v>91</v>
      </c>
      <c r="B79">
        <v>77</v>
      </c>
      <c r="C79">
        <v>158</v>
      </c>
      <c r="D79">
        <v>100</v>
      </c>
      <c r="E79">
        <v>190</v>
      </c>
      <c r="F79">
        <v>120</v>
      </c>
      <c r="G79">
        <v>137</v>
      </c>
      <c r="H79">
        <v>362.4</v>
      </c>
      <c r="I79" s="14">
        <v>488.44750638134826</v>
      </c>
      <c r="J79">
        <v>146</v>
      </c>
      <c r="K79">
        <v>79</v>
      </c>
      <c r="L79">
        <v>145</v>
      </c>
      <c r="M79">
        <v>78</v>
      </c>
      <c r="N79" s="143" t="e">
        <v>#DIV/0!</v>
      </c>
      <c r="O79" s="143" t="e">
        <v>#DIV/0!</v>
      </c>
      <c r="P79">
        <v>45</v>
      </c>
    </row>
    <row r="80" spans="1:16">
      <c r="A80" t="s">
        <v>154</v>
      </c>
      <c r="B80">
        <v>174</v>
      </c>
      <c r="C80">
        <v>48</v>
      </c>
      <c r="D80">
        <v>175</v>
      </c>
      <c r="E80">
        <v>118</v>
      </c>
      <c r="F80">
        <v>40</v>
      </c>
      <c r="G80">
        <v>148</v>
      </c>
      <c r="H80">
        <v>357.7</v>
      </c>
      <c r="I80" s="14">
        <v>492.18199427542095</v>
      </c>
      <c r="J80">
        <v>143</v>
      </c>
      <c r="K80">
        <v>77</v>
      </c>
      <c r="L80">
        <v>147</v>
      </c>
      <c r="M80">
        <v>79</v>
      </c>
      <c r="N80" s="143" t="e">
        <v>#DIV/0!</v>
      </c>
      <c r="O80" s="143" t="e">
        <v>#DIV/0!</v>
      </c>
      <c r="P80">
        <v>41</v>
      </c>
    </row>
    <row r="81" spans="1:16">
      <c r="A81" t="s">
        <v>170</v>
      </c>
      <c r="B81">
        <v>208</v>
      </c>
      <c r="C81">
        <v>91</v>
      </c>
      <c r="D81">
        <v>128</v>
      </c>
      <c r="E81">
        <v>109</v>
      </c>
      <c r="F81">
        <v>81</v>
      </c>
      <c r="G81">
        <v>142</v>
      </c>
      <c r="H81">
        <v>394.70000000000005</v>
      </c>
      <c r="I81" s="14">
        <v>502.95863822234514</v>
      </c>
      <c r="J81">
        <v>167</v>
      </c>
      <c r="K81">
        <v>91</v>
      </c>
      <c r="L81">
        <v>151</v>
      </c>
      <c r="M81">
        <v>80</v>
      </c>
      <c r="N81" s="143" t="e">
        <v>#DIV/0!</v>
      </c>
      <c r="O81" s="143" t="e">
        <v>#DIV/0!</v>
      </c>
      <c r="P81">
        <v>58</v>
      </c>
    </row>
    <row r="82" spans="1:16">
      <c r="A82" t="s">
        <v>221</v>
      </c>
      <c r="B82">
        <v>142</v>
      </c>
      <c r="C82">
        <v>10</v>
      </c>
      <c r="D82">
        <v>66</v>
      </c>
      <c r="E82">
        <v>183</v>
      </c>
      <c r="F82">
        <v>212</v>
      </c>
      <c r="G82">
        <v>175</v>
      </c>
      <c r="H82">
        <v>345</v>
      </c>
      <c r="I82" s="14">
        <v>508.41380623566204</v>
      </c>
      <c r="J82">
        <v>126</v>
      </c>
      <c r="K82">
        <v>71</v>
      </c>
      <c r="L82">
        <v>154</v>
      </c>
      <c r="M82">
        <v>81</v>
      </c>
      <c r="N82" s="143" t="e">
        <v>#DIV/0!</v>
      </c>
      <c r="O82" s="143" t="e">
        <v>#DIV/0!</v>
      </c>
      <c r="P82">
        <v>-17</v>
      </c>
    </row>
    <row r="83" spans="1:16">
      <c r="A83" t="s">
        <v>307</v>
      </c>
      <c r="B83">
        <v>22</v>
      </c>
      <c r="C83">
        <v>156</v>
      </c>
      <c r="D83">
        <v>165</v>
      </c>
      <c r="E83">
        <v>137</v>
      </c>
      <c r="F83">
        <v>124</v>
      </c>
      <c r="G83">
        <v>169</v>
      </c>
      <c r="H83">
        <v>343.5</v>
      </c>
      <c r="I83" s="14">
        <v>511.86931784144662</v>
      </c>
      <c r="J83">
        <v>124</v>
      </c>
      <c r="K83">
        <v>70</v>
      </c>
      <c r="L83">
        <v>156</v>
      </c>
      <c r="M83">
        <v>82</v>
      </c>
      <c r="N83" s="143" t="e">
        <v>#DIV/0!</v>
      </c>
      <c r="O83" s="143" t="e">
        <v>#DIV/0!</v>
      </c>
      <c r="P83">
        <v>-7</v>
      </c>
    </row>
    <row r="84" spans="1:16">
      <c r="A84" t="s">
        <v>36</v>
      </c>
      <c r="B84">
        <v>66</v>
      </c>
      <c r="C84">
        <v>176</v>
      </c>
      <c r="D84">
        <v>112</v>
      </c>
      <c r="E84">
        <v>211</v>
      </c>
      <c r="F84">
        <v>113</v>
      </c>
      <c r="G84">
        <v>144</v>
      </c>
      <c r="H84">
        <v>377.70000000000005</v>
      </c>
      <c r="I84" s="14">
        <v>514.47089326099024</v>
      </c>
      <c r="J84">
        <v>157</v>
      </c>
      <c r="K84">
        <v>85</v>
      </c>
      <c r="L84">
        <v>157</v>
      </c>
      <c r="M84">
        <v>83</v>
      </c>
      <c r="N84" s="143" t="e">
        <v>#DIV/0!</v>
      </c>
      <c r="O84" s="143" t="e">
        <v>#DIV/0!</v>
      </c>
      <c r="P84">
        <v>-117</v>
      </c>
    </row>
    <row r="85" spans="1:16">
      <c r="A85" t="s">
        <v>186</v>
      </c>
      <c r="B85">
        <v>157</v>
      </c>
      <c r="C85">
        <v>53</v>
      </c>
      <c r="D85">
        <v>198</v>
      </c>
      <c r="E85">
        <v>82</v>
      </c>
      <c r="F85">
        <v>55</v>
      </c>
      <c r="G85">
        <v>176</v>
      </c>
      <c r="H85">
        <v>356.3</v>
      </c>
      <c r="I85" s="14">
        <v>518.30971820866205</v>
      </c>
      <c r="J85">
        <v>141</v>
      </c>
      <c r="K85">
        <v>76</v>
      </c>
      <c r="L85">
        <v>158</v>
      </c>
      <c r="M85">
        <v>84</v>
      </c>
      <c r="N85" s="143" t="e">
        <v>#DIV/0!</v>
      </c>
      <c r="O85" s="143" t="e">
        <v>#DIV/0!</v>
      </c>
      <c r="P85">
        <v>-93</v>
      </c>
    </row>
    <row r="86" spans="1:16">
      <c r="A86" t="s">
        <v>174</v>
      </c>
      <c r="B86">
        <v>139</v>
      </c>
      <c r="C86">
        <v>125</v>
      </c>
      <c r="D86">
        <v>169</v>
      </c>
      <c r="E86">
        <v>163</v>
      </c>
      <c r="F86">
        <v>23</v>
      </c>
      <c r="G86">
        <v>149</v>
      </c>
      <c r="H86">
        <v>381.2</v>
      </c>
      <c r="I86" s="14">
        <v>518.83293764887094</v>
      </c>
      <c r="J86">
        <v>160</v>
      </c>
      <c r="K86">
        <v>87</v>
      </c>
      <c r="L86">
        <v>159</v>
      </c>
      <c r="M86">
        <v>85</v>
      </c>
      <c r="N86" s="143" t="e">
        <v>#DIV/0!</v>
      </c>
      <c r="O86" s="143" t="e">
        <v>#DIV/0!</v>
      </c>
      <c r="P86">
        <v>-20</v>
      </c>
    </row>
    <row r="87" spans="1:16">
      <c r="A87" t="s">
        <v>53</v>
      </c>
      <c r="B87">
        <v>73</v>
      </c>
      <c r="C87">
        <v>108</v>
      </c>
      <c r="D87">
        <v>112</v>
      </c>
      <c r="E87">
        <v>157</v>
      </c>
      <c r="F87">
        <v>170</v>
      </c>
      <c r="G87">
        <v>183</v>
      </c>
      <c r="H87">
        <v>349.4</v>
      </c>
      <c r="I87" s="14">
        <v>523.80098880937226</v>
      </c>
      <c r="J87">
        <v>129</v>
      </c>
      <c r="K87">
        <v>73</v>
      </c>
      <c r="L87">
        <v>160</v>
      </c>
      <c r="M87">
        <v>86</v>
      </c>
      <c r="N87" s="143" t="e">
        <v>#DIV/0!</v>
      </c>
      <c r="O87" s="143" t="e">
        <v>#DIV/0!</v>
      </c>
      <c r="P87">
        <v>20</v>
      </c>
    </row>
    <row r="88" spans="1:16">
      <c r="A88" t="s">
        <v>8</v>
      </c>
      <c r="B88">
        <v>1</v>
      </c>
      <c r="C88">
        <v>168</v>
      </c>
      <c r="D88">
        <v>134</v>
      </c>
      <c r="E88">
        <v>178</v>
      </c>
      <c r="F88">
        <v>200</v>
      </c>
      <c r="G88">
        <v>160</v>
      </c>
      <c r="H88">
        <v>366.59999999999997</v>
      </c>
      <c r="I88" s="14">
        <v>527.21374098648209</v>
      </c>
      <c r="J88">
        <v>147</v>
      </c>
      <c r="K88">
        <v>80</v>
      </c>
      <c r="L88">
        <v>162</v>
      </c>
      <c r="M88">
        <v>87</v>
      </c>
      <c r="N88" s="143" t="e">
        <v>#DIV/0!</v>
      </c>
      <c r="O88" s="143" t="e">
        <v>#DIV/0!</v>
      </c>
      <c r="P88" t="e">
        <v>#N/A</v>
      </c>
    </row>
    <row r="89" spans="1:16">
      <c r="A89" t="s">
        <v>175</v>
      </c>
      <c r="B89">
        <v>161</v>
      </c>
      <c r="C89">
        <v>22</v>
      </c>
      <c r="D89">
        <v>156</v>
      </c>
      <c r="E89">
        <v>179</v>
      </c>
      <c r="F89">
        <v>108</v>
      </c>
      <c r="G89">
        <v>170</v>
      </c>
      <c r="H89">
        <v>376.8</v>
      </c>
      <c r="I89" s="14">
        <v>542.22962641104027</v>
      </c>
      <c r="J89">
        <v>156</v>
      </c>
      <c r="K89">
        <v>84</v>
      </c>
      <c r="L89">
        <v>165</v>
      </c>
      <c r="M89">
        <v>88</v>
      </c>
      <c r="N89" s="143" t="e">
        <v>#DIV/0!</v>
      </c>
      <c r="O89" s="143" t="e">
        <v>#DIV/0!</v>
      </c>
      <c r="P89">
        <v>-15</v>
      </c>
    </row>
    <row r="90" spans="1:16">
      <c r="A90" t="s">
        <v>246</v>
      </c>
      <c r="B90">
        <v>143</v>
      </c>
      <c r="C90">
        <v>39</v>
      </c>
      <c r="D90">
        <v>111</v>
      </c>
      <c r="E90">
        <v>176</v>
      </c>
      <c r="F90">
        <v>177</v>
      </c>
      <c r="G90">
        <v>180</v>
      </c>
      <c r="H90">
        <v>374.4</v>
      </c>
      <c r="I90" s="14">
        <v>543.34301564243594</v>
      </c>
      <c r="J90">
        <v>152</v>
      </c>
      <c r="K90">
        <v>82</v>
      </c>
      <c r="L90">
        <v>166</v>
      </c>
      <c r="M90">
        <v>89</v>
      </c>
      <c r="N90" s="143" t="e">
        <v>#DIV/0!</v>
      </c>
      <c r="O90" s="143" t="e">
        <v>#DIV/0!</v>
      </c>
      <c r="P90">
        <v>11</v>
      </c>
    </row>
    <row r="91" spans="1:16">
      <c r="A91" t="s">
        <v>126</v>
      </c>
      <c r="B91">
        <v>95</v>
      </c>
      <c r="C91">
        <v>95</v>
      </c>
      <c r="D91">
        <v>167</v>
      </c>
      <c r="E91">
        <v>88</v>
      </c>
      <c r="F91">
        <v>196</v>
      </c>
      <c r="G91">
        <v>179</v>
      </c>
      <c r="H91">
        <v>383.09999999999997</v>
      </c>
      <c r="I91" s="14">
        <v>545.85793382101792</v>
      </c>
      <c r="J91">
        <v>162</v>
      </c>
      <c r="K91">
        <v>88</v>
      </c>
      <c r="L91">
        <v>167</v>
      </c>
      <c r="M91">
        <v>90</v>
      </c>
      <c r="N91" s="143" t="e">
        <v>#DIV/0!</v>
      </c>
      <c r="O91" s="143" t="e">
        <v>#DIV/0!</v>
      </c>
      <c r="P91">
        <v>20</v>
      </c>
    </row>
    <row r="92" spans="1:16">
      <c r="A92" t="s">
        <v>110</v>
      </c>
      <c r="B92">
        <v>119</v>
      </c>
      <c r="C92">
        <v>147</v>
      </c>
      <c r="D92">
        <v>119</v>
      </c>
      <c r="E92">
        <v>145</v>
      </c>
      <c r="F92">
        <v>163</v>
      </c>
      <c r="G92">
        <v>171</v>
      </c>
      <c r="H92">
        <v>406.2</v>
      </c>
      <c r="I92" s="14">
        <v>553.26961865624594</v>
      </c>
      <c r="J92">
        <v>176</v>
      </c>
      <c r="K92">
        <v>94</v>
      </c>
      <c r="L92">
        <v>169</v>
      </c>
      <c r="M92">
        <v>91</v>
      </c>
      <c r="N92" s="143" t="e">
        <v>#DIV/0!</v>
      </c>
      <c r="O92" s="143" t="e">
        <v>#DIV/0!</v>
      </c>
      <c r="P92">
        <v>58</v>
      </c>
    </row>
    <row r="93" spans="1:16">
      <c r="A93" t="s">
        <v>77</v>
      </c>
      <c r="B93">
        <v>40</v>
      </c>
      <c r="C93">
        <v>207</v>
      </c>
      <c r="D93">
        <v>125</v>
      </c>
      <c r="E93">
        <v>156</v>
      </c>
      <c r="F93">
        <v>146</v>
      </c>
      <c r="G93">
        <v>188</v>
      </c>
      <c r="H93">
        <v>379.1</v>
      </c>
      <c r="I93" s="14">
        <v>553.40591469146273</v>
      </c>
      <c r="J93">
        <v>159</v>
      </c>
      <c r="K93">
        <v>86</v>
      </c>
      <c r="L93">
        <v>170</v>
      </c>
      <c r="M93">
        <v>92</v>
      </c>
      <c r="N93" s="143" t="e">
        <v>#DIV/0!</v>
      </c>
      <c r="O93" s="143" t="e">
        <v>#DIV/0!</v>
      </c>
      <c r="P93">
        <v>-43</v>
      </c>
    </row>
    <row r="94" spans="1:16">
      <c r="A94" t="s">
        <v>146</v>
      </c>
      <c r="B94">
        <v>123</v>
      </c>
      <c r="C94">
        <v>139</v>
      </c>
      <c r="D94">
        <v>147</v>
      </c>
      <c r="E94">
        <v>130</v>
      </c>
      <c r="F94">
        <v>136</v>
      </c>
      <c r="G94">
        <v>172</v>
      </c>
      <c r="H94">
        <v>404.7</v>
      </c>
      <c r="I94" s="14">
        <v>555.00713131206203</v>
      </c>
      <c r="J94">
        <v>173</v>
      </c>
      <c r="K94">
        <v>92</v>
      </c>
      <c r="L94">
        <v>173</v>
      </c>
      <c r="M94">
        <v>93</v>
      </c>
      <c r="N94" s="143" t="e">
        <v>#DIV/0!</v>
      </c>
      <c r="O94" s="143" t="e">
        <v>#DIV/0!</v>
      </c>
      <c r="P94">
        <v>-4</v>
      </c>
    </row>
    <row r="95" spans="1:16">
      <c r="A95" t="s">
        <v>220</v>
      </c>
      <c r="B95">
        <v>211</v>
      </c>
      <c r="C95">
        <v>112</v>
      </c>
      <c r="D95">
        <v>211</v>
      </c>
      <c r="E95">
        <v>51</v>
      </c>
      <c r="F95">
        <v>12</v>
      </c>
      <c r="G95">
        <v>187</v>
      </c>
      <c r="H95">
        <v>410.09999999999997</v>
      </c>
      <c r="I95" s="14">
        <v>563.24327636441103</v>
      </c>
      <c r="J95">
        <v>179</v>
      </c>
      <c r="K95">
        <v>96</v>
      </c>
      <c r="L95">
        <v>176</v>
      </c>
      <c r="M95">
        <v>94</v>
      </c>
      <c r="N95" s="143" t="e">
        <v>#DIV/0!</v>
      </c>
      <c r="O95" s="143" t="e">
        <v>#DIV/0!</v>
      </c>
      <c r="P95">
        <v>23</v>
      </c>
    </row>
    <row r="96" spans="1:16">
      <c r="A96" t="s">
        <v>83</v>
      </c>
      <c r="B96">
        <v>88</v>
      </c>
      <c r="C96">
        <v>201</v>
      </c>
      <c r="D96">
        <v>205</v>
      </c>
      <c r="E96">
        <v>144</v>
      </c>
      <c r="F96">
        <v>34</v>
      </c>
      <c r="G96">
        <v>166</v>
      </c>
      <c r="H96">
        <v>409.1</v>
      </c>
      <c r="I96" s="14">
        <v>563.59962820208466</v>
      </c>
      <c r="J96">
        <v>178</v>
      </c>
      <c r="K96">
        <v>95</v>
      </c>
      <c r="L96">
        <v>177</v>
      </c>
      <c r="M96">
        <v>95</v>
      </c>
      <c r="N96" s="143" t="e">
        <v>#DIV/0!</v>
      </c>
      <c r="O96" s="143" t="e">
        <v>#DIV/0!</v>
      </c>
      <c r="P96">
        <v>-80</v>
      </c>
    </row>
    <row r="97" spans="1:16">
      <c r="A97" t="s">
        <v>244</v>
      </c>
      <c r="B97">
        <v>107</v>
      </c>
      <c r="C97">
        <v>114</v>
      </c>
      <c r="D97">
        <v>148</v>
      </c>
      <c r="E97">
        <v>135</v>
      </c>
      <c r="F97">
        <v>188</v>
      </c>
      <c r="G97">
        <v>190</v>
      </c>
      <c r="H97">
        <v>405.6</v>
      </c>
      <c r="I97" s="14">
        <v>578.85118474874901</v>
      </c>
      <c r="J97">
        <v>174</v>
      </c>
      <c r="K97">
        <v>93</v>
      </c>
      <c r="L97">
        <v>184</v>
      </c>
      <c r="M97">
        <v>96</v>
      </c>
      <c r="N97" s="143" t="e">
        <v>#DIV/0!</v>
      </c>
      <c r="O97" s="143" t="e">
        <v>#DIV/0!</v>
      </c>
      <c r="P97">
        <v>34</v>
      </c>
    </row>
    <row r="98" spans="1:16">
      <c r="A98" t="s">
        <v>180</v>
      </c>
      <c r="B98">
        <v>198</v>
      </c>
      <c r="C98">
        <v>62</v>
      </c>
      <c r="D98">
        <v>202</v>
      </c>
      <c r="E98">
        <v>186</v>
      </c>
      <c r="F98">
        <v>3</v>
      </c>
      <c r="G98">
        <v>189</v>
      </c>
      <c r="H98">
        <v>412.9</v>
      </c>
      <c r="I98" s="14">
        <v>594.28382461059721</v>
      </c>
      <c r="J98">
        <v>181</v>
      </c>
      <c r="K98">
        <v>97</v>
      </c>
      <c r="L98">
        <v>187</v>
      </c>
      <c r="M98">
        <v>97</v>
      </c>
      <c r="N98" s="143" t="e">
        <v>#DIV/0!</v>
      </c>
      <c r="O98" s="143" t="e">
        <v>#DIV/0!</v>
      </c>
      <c r="P98">
        <v>-4</v>
      </c>
    </row>
    <row r="99" spans="1:16">
      <c r="A99" t="s">
        <v>94</v>
      </c>
      <c r="B99">
        <v>164</v>
      </c>
      <c r="C99">
        <v>148</v>
      </c>
      <c r="D99">
        <v>193</v>
      </c>
      <c r="E99">
        <v>202</v>
      </c>
      <c r="F99">
        <v>96</v>
      </c>
      <c r="G99">
        <v>203</v>
      </c>
      <c r="H99">
        <v>483.90000000000003</v>
      </c>
      <c r="I99" s="14">
        <v>670.71476214515747</v>
      </c>
      <c r="J99">
        <v>205</v>
      </c>
      <c r="K99">
        <v>98</v>
      </c>
      <c r="L99">
        <v>206</v>
      </c>
      <c r="M99">
        <v>98</v>
      </c>
      <c r="N99" s="143" t="e">
        <v>#DIV/0!</v>
      </c>
      <c r="O99" s="143" t="e">
        <v>#DIV/0!</v>
      </c>
      <c r="P99">
        <v>6</v>
      </c>
    </row>
    <row r="100" spans="1:16">
      <c r="A100" t="s">
        <v>240</v>
      </c>
      <c r="B100">
        <v>150</v>
      </c>
      <c r="C100">
        <v>170</v>
      </c>
      <c r="D100">
        <v>213</v>
      </c>
      <c r="E100">
        <v>154</v>
      </c>
      <c r="F100">
        <v>160</v>
      </c>
      <c r="G100">
        <v>211</v>
      </c>
      <c r="H100">
        <v>512.70000000000005</v>
      </c>
      <c r="I100" s="14">
        <v>699.88739621579839</v>
      </c>
      <c r="J100">
        <v>208</v>
      </c>
      <c r="K100">
        <v>99</v>
      </c>
      <c r="L100">
        <v>207</v>
      </c>
      <c r="M100">
        <v>99</v>
      </c>
      <c r="N100" s="143" t="e">
        <v>#DIV/0!</v>
      </c>
      <c r="O100" s="143" t="e">
        <v>#DIV/0!</v>
      </c>
      <c r="P100">
        <v>14</v>
      </c>
    </row>
    <row r="101" spans="1:16">
      <c r="A101" t="s">
        <v>392</v>
      </c>
      <c r="B101">
        <v>131</v>
      </c>
      <c r="C101">
        <v>190</v>
      </c>
      <c r="D101">
        <v>176</v>
      </c>
      <c r="E101">
        <v>193</v>
      </c>
      <c r="F101">
        <v>214</v>
      </c>
      <c r="G101">
        <v>215</v>
      </c>
      <c r="H101">
        <v>526.20000000000005</v>
      </c>
      <c r="I101" s="14">
        <v>717.38588094357283</v>
      </c>
      <c r="J101">
        <v>209</v>
      </c>
      <c r="K101">
        <v>100</v>
      </c>
      <c r="L101">
        <v>209</v>
      </c>
      <c r="M101">
        <v>100</v>
      </c>
      <c r="N101" s="143" t="e">
        <v>#DIV/0!</v>
      </c>
      <c r="O101" s="143" t="e">
        <v>#DIV/0!</v>
      </c>
      <c r="P101">
        <v>17</v>
      </c>
    </row>
  </sheetData>
  <conditionalFormatting sqref="N2:O1048576">
    <cfRule type="cellIs" dxfId="55" priority="5" operator="greaterThanOrEqual">
      <formula>20%</formula>
    </cfRule>
    <cfRule type="cellIs" dxfId="54" priority="6" operator="between">
      <formula>10%</formula>
      <formula>20%</formula>
    </cfRule>
    <cfRule type="cellIs" dxfId="53" priority="7" operator="between">
      <formula>0.01%</formula>
      <formula>10%</formula>
    </cfRule>
  </conditionalFormatting>
  <conditionalFormatting sqref="B2:G1048576 J2:M1048576">
    <cfRule type="cellIs" dxfId="52" priority="8" operator="between">
      <formula>101</formula>
      <formula>250</formula>
    </cfRule>
    <cfRule type="cellIs" dxfId="51" priority="9" operator="between">
      <formula>51</formula>
      <formula>100.5</formula>
    </cfRule>
    <cfRule type="cellIs" dxfId="50" priority="10" operator="between">
      <formula>21</formula>
      <formula>50.5</formula>
    </cfRule>
    <cfRule type="cellIs" dxfId="49"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D2C68-A053-4814-9593-D945A8D57A12}">
  <sheetPr codeName="Sheet61">
    <tabColor rgb="FFFF0000"/>
  </sheetPr>
  <dimension ref="A1:V115"/>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35</v>
      </c>
      <c r="B2">
        <v>34</v>
      </c>
      <c r="C2">
        <v>123</v>
      </c>
      <c r="D2">
        <v>38</v>
      </c>
      <c r="E2">
        <v>71</v>
      </c>
      <c r="F2">
        <v>60</v>
      </c>
      <c r="G2">
        <v>33</v>
      </c>
      <c r="H2">
        <v>186</v>
      </c>
      <c r="I2" s="14">
        <v>203.95476225265458</v>
      </c>
      <c r="J2">
        <v>12</v>
      </c>
      <c r="K2">
        <v>8</v>
      </c>
      <c r="L2">
        <v>13</v>
      </c>
      <c r="M2">
        <v>8</v>
      </c>
      <c r="N2" s="143" t="e">
        <v>#DIV/0!</v>
      </c>
      <c r="O2" s="143" t="e">
        <v>#DIV/0!</v>
      </c>
      <c r="P2">
        <v>37</v>
      </c>
      <c r="Q2">
        <v>1</v>
      </c>
    </row>
    <row r="3" spans="1:22">
      <c r="A3" s="20" t="s">
        <v>27</v>
      </c>
      <c r="B3">
        <v>28</v>
      </c>
      <c r="C3">
        <v>21</v>
      </c>
      <c r="D3">
        <v>21</v>
      </c>
      <c r="E3">
        <v>56</v>
      </c>
      <c r="F3">
        <v>93</v>
      </c>
      <c r="G3">
        <v>9</v>
      </c>
      <c r="H3">
        <v>118.60000000000001</v>
      </c>
      <c r="I3" s="14">
        <v>122.91991654288049</v>
      </c>
      <c r="J3">
        <v>1</v>
      </c>
      <c r="K3">
        <v>1</v>
      </c>
      <c r="L3">
        <v>1</v>
      </c>
      <c r="M3">
        <v>1</v>
      </c>
      <c r="N3" s="143" t="e">
        <v>#DIV/0!</v>
      </c>
      <c r="O3" s="143" t="e">
        <v>#DIV/0!</v>
      </c>
      <c r="P3">
        <v>-4</v>
      </c>
    </row>
    <row r="4" spans="1:22">
      <c r="A4" s="20" t="s">
        <v>15</v>
      </c>
      <c r="B4">
        <v>16</v>
      </c>
      <c r="C4">
        <v>85</v>
      </c>
      <c r="D4">
        <v>8</v>
      </c>
      <c r="E4">
        <v>163</v>
      </c>
      <c r="F4">
        <v>22</v>
      </c>
      <c r="G4">
        <v>2</v>
      </c>
      <c r="H4">
        <v>145.6</v>
      </c>
      <c r="I4" s="14">
        <v>152.68751523359987</v>
      </c>
      <c r="J4">
        <v>4</v>
      </c>
      <c r="K4">
        <v>2</v>
      </c>
      <c r="L4">
        <v>5</v>
      </c>
      <c r="M4">
        <v>3</v>
      </c>
      <c r="N4" s="143" t="e">
        <v>#DIV/0!</v>
      </c>
      <c r="O4" s="143" t="e">
        <v>#DIV/0!</v>
      </c>
      <c r="P4" t="e">
        <v>#N/A</v>
      </c>
    </row>
    <row r="5" spans="1:22">
      <c r="A5" s="20" t="s">
        <v>409</v>
      </c>
      <c r="B5">
        <v>59</v>
      </c>
      <c r="C5">
        <v>91</v>
      </c>
      <c r="D5">
        <v>12</v>
      </c>
      <c r="E5">
        <v>9</v>
      </c>
      <c r="F5">
        <v>103</v>
      </c>
      <c r="G5">
        <v>16</v>
      </c>
      <c r="H5">
        <v>165.3</v>
      </c>
      <c r="I5" s="14">
        <v>152.62432991190988</v>
      </c>
      <c r="J5">
        <v>5</v>
      </c>
      <c r="K5">
        <v>3</v>
      </c>
      <c r="L5">
        <v>4</v>
      </c>
      <c r="M5">
        <v>2</v>
      </c>
      <c r="N5" s="143" t="e">
        <v>#DIV/0!</v>
      </c>
      <c r="O5" s="143" t="e">
        <v>#DIV/0!</v>
      </c>
      <c r="P5">
        <v>-7</v>
      </c>
    </row>
    <row r="6" spans="1:22">
      <c r="A6" t="s">
        <v>47</v>
      </c>
      <c r="B6">
        <v>28</v>
      </c>
      <c r="C6">
        <v>7</v>
      </c>
      <c r="D6">
        <v>17</v>
      </c>
      <c r="E6">
        <v>218</v>
      </c>
      <c r="F6">
        <v>88</v>
      </c>
      <c r="G6">
        <v>116</v>
      </c>
      <c r="H6">
        <v>169.7</v>
      </c>
      <c r="I6" s="14">
        <v>303.76740539855552</v>
      </c>
      <c r="J6">
        <v>7</v>
      </c>
      <c r="K6">
        <v>4</v>
      </c>
      <c r="L6">
        <v>52</v>
      </c>
      <c r="M6">
        <v>35</v>
      </c>
      <c r="N6" s="143" t="e">
        <v>#DIV/0!</v>
      </c>
      <c r="O6" s="143" t="e">
        <v>#DIV/0!</v>
      </c>
      <c r="P6">
        <v>-47</v>
      </c>
    </row>
    <row r="7" spans="1:22">
      <c r="A7" t="s">
        <v>411</v>
      </c>
      <c r="B7">
        <v>21</v>
      </c>
      <c r="C7">
        <v>2</v>
      </c>
      <c r="D7">
        <v>71</v>
      </c>
      <c r="E7">
        <v>25</v>
      </c>
      <c r="F7">
        <v>188</v>
      </c>
      <c r="G7">
        <v>56</v>
      </c>
      <c r="H7">
        <v>171.7</v>
      </c>
      <c r="I7" s="14">
        <v>222.96307550399928</v>
      </c>
      <c r="J7">
        <v>9</v>
      </c>
      <c r="K7">
        <v>5</v>
      </c>
      <c r="L7">
        <v>24</v>
      </c>
      <c r="M7">
        <v>16</v>
      </c>
      <c r="N7" s="143" t="e">
        <v>#DIV/0!</v>
      </c>
      <c r="O7" s="143" t="e">
        <v>#DIV/0!</v>
      </c>
      <c r="P7">
        <v>16</v>
      </c>
    </row>
    <row r="8" spans="1:22">
      <c r="A8" t="s">
        <v>166</v>
      </c>
      <c r="B8">
        <v>113</v>
      </c>
      <c r="C8">
        <v>11</v>
      </c>
      <c r="D8">
        <v>2</v>
      </c>
      <c r="E8">
        <v>79</v>
      </c>
      <c r="F8">
        <v>88</v>
      </c>
      <c r="G8">
        <v>7</v>
      </c>
      <c r="H8">
        <v>174</v>
      </c>
      <c r="I8" s="14">
        <v>161.34364454635389</v>
      </c>
      <c r="J8">
        <v>10</v>
      </c>
      <c r="K8">
        <v>6</v>
      </c>
      <c r="L8">
        <v>6</v>
      </c>
      <c r="M8">
        <v>4</v>
      </c>
      <c r="N8" s="143" t="e">
        <v>#DIV/0!</v>
      </c>
      <c r="O8" s="143" t="e">
        <v>#DIV/0!</v>
      </c>
      <c r="P8">
        <v>14</v>
      </c>
    </row>
    <row r="9" spans="1:22">
      <c r="A9" t="s">
        <v>60</v>
      </c>
      <c r="B9">
        <v>75</v>
      </c>
      <c r="C9">
        <v>25</v>
      </c>
      <c r="D9">
        <v>47</v>
      </c>
      <c r="E9">
        <v>99</v>
      </c>
      <c r="F9">
        <v>59</v>
      </c>
      <c r="G9">
        <v>14</v>
      </c>
      <c r="H9">
        <v>177</v>
      </c>
      <c r="I9" s="14">
        <v>185.98526307650658</v>
      </c>
      <c r="J9">
        <v>11</v>
      </c>
      <c r="K9">
        <v>7</v>
      </c>
      <c r="L9">
        <v>10</v>
      </c>
      <c r="M9">
        <v>6</v>
      </c>
      <c r="N9" s="143" t="e">
        <v>#DIV/0!</v>
      </c>
      <c r="O9" s="143" t="e">
        <v>#DIV/0!</v>
      </c>
      <c r="P9">
        <v>2</v>
      </c>
    </row>
    <row r="10" spans="1:22">
      <c r="A10" t="s">
        <v>129</v>
      </c>
      <c r="B10">
        <v>42</v>
      </c>
      <c r="C10">
        <v>68</v>
      </c>
      <c r="D10">
        <v>18</v>
      </c>
      <c r="E10">
        <v>36</v>
      </c>
      <c r="F10">
        <v>183</v>
      </c>
      <c r="G10">
        <v>39</v>
      </c>
      <c r="H10">
        <v>192.9</v>
      </c>
      <c r="I10" s="14">
        <v>209.70229046405865</v>
      </c>
      <c r="J10">
        <v>13</v>
      </c>
      <c r="K10">
        <v>9</v>
      </c>
      <c r="L10">
        <v>16</v>
      </c>
      <c r="M10">
        <v>10</v>
      </c>
      <c r="N10" s="143" t="e">
        <v>#DIV/0!</v>
      </c>
      <c r="O10" s="143" t="e">
        <v>#DIV/0!</v>
      </c>
      <c r="P10">
        <v>71</v>
      </c>
    </row>
    <row r="11" spans="1:22">
      <c r="A11" t="s">
        <v>231</v>
      </c>
      <c r="B11">
        <v>53</v>
      </c>
      <c r="C11">
        <v>137</v>
      </c>
      <c r="D11">
        <v>37</v>
      </c>
      <c r="E11">
        <v>37</v>
      </c>
      <c r="F11">
        <v>63</v>
      </c>
      <c r="G11">
        <v>11</v>
      </c>
      <c r="H11">
        <v>196.8</v>
      </c>
      <c r="I11" s="14">
        <v>182.14081878535455</v>
      </c>
      <c r="J11">
        <v>14</v>
      </c>
      <c r="K11">
        <v>10</v>
      </c>
      <c r="L11">
        <v>9</v>
      </c>
      <c r="M11">
        <v>5</v>
      </c>
      <c r="N11" s="143" t="e">
        <v>#DIV/0!</v>
      </c>
      <c r="O11" s="143" t="e">
        <v>#DIV/0!</v>
      </c>
      <c r="P11">
        <v>4</v>
      </c>
    </row>
    <row r="12" spans="1:22">
      <c r="A12" t="s">
        <v>105</v>
      </c>
      <c r="B12">
        <v>95</v>
      </c>
      <c r="C12">
        <v>47</v>
      </c>
      <c r="D12">
        <v>61</v>
      </c>
      <c r="E12">
        <v>86</v>
      </c>
      <c r="F12">
        <v>39</v>
      </c>
      <c r="G12">
        <v>28</v>
      </c>
      <c r="H12">
        <v>200.8</v>
      </c>
      <c r="I12" s="14">
        <v>217.31030037897921</v>
      </c>
      <c r="J12">
        <v>17</v>
      </c>
      <c r="K12">
        <v>11</v>
      </c>
      <c r="L12">
        <v>21</v>
      </c>
      <c r="M12">
        <v>13</v>
      </c>
      <c r="N12" s="143" t="e">
        <v>#DIV/0!</v>
      </c>
      <c r="O12" s="143" t="e">
        <v>#DIV/0!</v>
      </c>
      <c r="P12">
        <v>30</v>
      </c>
    </row>
    <row r="13" spans="1:22">
      <c r="A13" t="s">
        <v>93</v>
      </c>
      <c r="B13">
        <v>78</v>
      </c>
      <c r="C13">
        <v>44</v>
      </c>
      <c r="D13">
        <v>32</v>
      </c>
      <c r="E13">
        <v>127</v>
      </c>
      <c r="F13">
        <v>85</v>
      </c>
      <c r="G13">
        <v>17</v>
      </c>
      <c r="H13">
        <v>204.50000000000003</v>
      </c>
      <c r="I13" s="14">
        <v>213.7960841200356</v>
      </c>
      <c r="J13">
        <v>18</v>
      </c>
      <c r="K13">
        <v>12</v>
      </c>
      <c r="L13">
        <v>17</v>
      </c>
      <c r="M13">
        <v>11</v>
      </c>
      <c r="N13" s="143" t="e">
        <v>#DIV/0!</v>
      </c>
      <c r="O13" s="143" t="e">
        <v>#DIV/0!</v>
      </c>
      <c r="P13">
        <v>10</v>
      </c>
    </row>
    <row r="14" spans="1:22">
      <c r="A14" t="s">
        <v>40</v>
      </c>
      <c r="B14">
        <v>85</v>
      </c>
      <c r="C14">
        <v>38</v>
      </c>
      <c r="D14">
        <v>107</v>
      </c>
      <c r="E14">
        <v>62</v>
      </c>
      <c r="F14">
        <v>43</v>
      </c>
      <c r="G14">
        <v>15</v>
      </c>
      <c r="H14">
        <v>212</v>
      </c>
      <c r="I14" s="14">
        <v>220.19979094758702</v>
      </c>
      <c r="J14">
        <v>19</v>
      </c>
      <c r="K14">
        <v>13</v>
      </c>
      <c r="L14">
        <v>22</v>
      </c>
      <c r="M14">
        <v>14</v>
      </c>
      <c r="N14" s="143" t="e">
        <v>#DIV/0!</v>
      </c>
      <c r="O14" s="143" t="e">
        <v>#DIV/0!</v>
      </c>
      <c r="P14" t="e">
        <v>#N/A</v>
      </c>
    </row>
    <row r="15" spans="1:22">
      <c r="A15" t="s">
        <v>23</v>
      </c>
      <c r="B15">
        <v>6</v>
      </c>
      <c r="C15">
        <v>166</v>
      </c>
      <c r="D15">
        <v>15</v>
      </c>
      <c r="E15">
        <v>15</v>
      </c>
      <c r="F15">
        <v>184</v>
      </c>
      <c r="G15">
        <v>8</v>
      </c>
      <c r="H15">
        <v>212.89999999999998</v>
      </c>
      <c r="I15" s="14">
        <v>189.13423983715001</v>
      </c>
      <c r="J15">
        <v>20</v>
      </c>
      <c r="K15">
        <v>14</v>
      </c>
      <c r="L15">
        <v>11</v>
      </c>
      <c r="M15">
        <v>7</v>
      </c>
      <c r="N15" s="143" t="e">
        <v>#DIV/0!</v>
      </c>
      <c r="O15" s="143" t="e">
        <v>#DIV/0!</v>
      </c>
      <c r="P15">
        <v>14</v>
      </c>
    </row>
    <row r="16" spans="1:22">
      <c r="A16" t="s">
        <v>161</v>
      </c>
      <c r="B16">
        <v>84</v>
      </c>
      <c r="C16">
        <v>46</v>
      </c>
      <c r="D16">
        <v>19</v>
      </c>
      <c r="E16">
        <v>46</v>
      </c>
      <c r="F16">
        <v>175</v>
      </c>
      <c r="G16">
        <v>51</v>
      </c>
      <c r="H16">
        <v>214</v>
      </c>
      <c r="I16" s="14">
        <v>239.0187504523779</v>
      </c>
      <c r="J16">
        <v>21</v>
      </c>
      <c r="K16">
        <v>15</v>
      </c>
      <c r="L16">
        <v>30</v>
      </c>
      <c r="M16">
        <v>19</v>
      </c>
      <c r="N16" s="143" t="e">
        <v>#DIV/0!</v>
      </c>
      <c r="O16" s="143" t="e">
        <v>#DIV/0!</v>
      </c>
      <c r="P16">
        <v>-3</v>
      </c>
    </row>
    <row r="17" spans="1:16">
      <c r="A17" t="s">
        <v>73</v>
      </c>
      <c r="B17">
        <v>41</v>
      </c>
      <c r="C17">
        <v>111</v>
      </c>
      <c r="D17">
        <v>91</v>
      </c>
      <c r="E17">
        <v>77</v>
      </c>
      <c r="F17">
        <v>41</v>
      </c>
      <c r="G17">
        <v>35</v>
      </c>
      <c r="H17">
        <v>214.4</v>
      </c>
      <c r="I17" s="14">
        <v>241.77246709986326</v>
      </c>
      <c r="J17">
        <v>22</v>
      </c>
      <c r="K17">
        <v>16</v>
      </c>
      <c r="L17">
        <v>31</v>
      </c>
      <c r="M17">
        <v>20</v>
      </c>
      <c r="N17" s="143" t="e">
        <v>#DIV/0!</v>
      </c>
      <c r="O17" s="143" t="e">
        <v>#DIV/0!</v>
      </c>
      <c r="P17">
        <v>4</v>
      </c>
    </row>
    <row r="18" spans="1:16">
      <c r="A18" t="s">
        <v>141</v>
      </c>
      <c r="B18">
        <v>161</v>
      </c>
      <c r="C18">
        <v>37</v>
      </c>
      <c r="D18">
        <v>35</v>
      </c>
      <c r="E18">
        <v>43</v>
      </c>
      <c r="F18">
        <v>48</v>
      </c>
      <c r="G18">
        <v>32</v>
      </c>
      <c r="H18">
        <v>216.7</v>
      </c>
      <c r="I18" s="14">
        <v>216.21395441852613</v>
      </c>
      <c r="J18">
        <v>24</v>
      </c>
      <c r="K18">
        <v>17</v>
      </c>
      <c r="L18">
        <v>19</v>
      </c>
      <c r="M18">
        <v>12</v>
      </c>
      <c r="N18" s="143" t="e">
        <v>#DIV/0!</v>
      </c>
      <c r="O18" s="143" t="e">
        <v>#DIV/0!</v>
      </c>
      <c r="P18">
        <v>29</v>
      </c>
    </row>
    <row r="19" spans="1:16">
      <c r="A19" t="s">
        <v>76</v>
      </c>
      <c r="B19">
        <v>36</v>
      </c>
      <c r="C19">
        <v>69</v>
      </c>
      <c r="D19">
        <v>129</v>
      </c>
      <c r="E19">
        <v>62</v>
      </c>
      <c r="F19">
        <v>71</v>
      </c>
      <c r="G19">
        <v>49</v>
      </c>
      <c r="H19">
        <v>220.8</v>
      </c>
      <c r="I19" s="14">
        <v>269.44956818183584</v>
      </c>
      <c r="J19">
        <v>27</v>
      </c>
      <c r="K19">
        <v>18</v>
      </c>
      <c r="L19">
        <v>37</v>
      </c>
      <c r="M19">
        <v>25</v>
      </c>
      <c r="N19" s="143" t="e">
        <v>#DIV/0!</v>
      </c>
      <c r="O19" s="143" t="e">
        <v>#DIV/0!</v>
      </c>
      <c r="P19">
        <v>-10</v>
      </c>
    </row>
    <row r="20" spans="1:16">
      <c r="A20" t="s">
        <v>42</v>
      </c>
      <c r="B20">
        <v>25</v>
      </c>
      <c r="C20">
        <v>149</v>
      </c>
      <c r="D20">
        <v>20</v>
      </c>
      <c r="E20">
        <v>60</v>
      </c>
      <c r="F20">
        <v>147</v>
      </c>
      <c r="G20">
        <v>29</v>
      </c>
      <c r="H20">
        <v>220.89999999999998</v>
      </c>
      <c r="I20" s="14">
        <v>224.95578583554118</v>
      </c>
      <c r="J20">
        <v>28</v>
      </c>
      <c r="K20">
        <v>19</v>
      </c>
      <c r="L20">
        <v>25</v>
      </c>
      <c r="M20">
        <v>17</v>
      </c>
      <c r="N20" s="143" t="e">
        <v>#DIV/0!</v>
      </c>
      <c r="O20" s="143" t="e">
        <v>#DIV/0!</v>
      </c>
      <c r="P20">
        <v>10</v>
      </c>
    </row>
    <row r="21" spans="1:16">
      <c r="A21" t="s">
        <v>139</v>
      </c>
      <c r="B21">
        <v>105</v>
      </c>
      <c r="C21">
        <v>92</v>
      </c>
      <c r="D21">
        <v>5</v>
      </c>
      <c r="E21">
        <v>40</v>
      </c>
      <c r="F21">
        <v>127</v>
      </c>
      <c r="G21">
        <v>23</v>
      </c>
      <c r="H21">
        <v>222.2</v>
      </c>
      <c r="I21" s="14">
        <v>208.74053198519971</v>
      </c>
      <c r="J21">
        <v>29</v>
      </c>
      <c r="K21">
        <v>20</v>
      </c>
      <c r="L21">
        <v>15</v>
      </c>
      <c r="M21">
        <v>9</v>
      </c>
      <c r="N21" s="143" t="e">
        <v>#DIV/0!</v>
      </c>
      <c r="O21" s="143" t="e">
        <v>#DIV/0!</v>
      </c>
      <c r="P21">
        <v>23</v>
      </c>
    </row>
    <row r="22" spans="1:16">
      <c r="A22" t="s">
        <v>234</v>
      </c>
      <c r="B22">
        <v>80</v>
      </c>
      <c r="C22">
        <v>112</v>
      </c>
      <c r="D22">
        <v>10</v>
      </c>
      <c r="E22">
        <v>140</v>
      </c>
      <c r="F22">
        <v>58</v>
      </c>
      <c r="G22">
        <v>21</v>
      </c>
      <c r="H22">
        <v>223.2</v>
      </c>
      <c r="I22" s="14">
        <v>227.31242778515693</v>
      </c>
      <c r="J22">
        <v>30</v>
      </c>
      <c r="K22">
        <v>21</v>
      </c>
      <c r="L22">
        <v>27</v>
      </c>
      <c r="M22">
        <v>18</v>
      </c>
      <c r="N22" s="143" t="e">
        <v>#DIV/0!</v>
      </c>
      <c r="O22" s="143" t="e">
        <v>#DIV/0!</v>
      </c>
      <c r="P22">
        <v>8</v>
      </c>
    </row>
    <row r="23" spans="1:16">
      <c r="A23" t="s">
        <v>389</v>
      </c>
      <c r="B23">
        <v>34</v>
      </c>
      <c r="C23">
        <v>88</v>
      </c>
      <c r="D23">
        <v>22</v>
      </c>
      <c r="E23">
        <v>208</v>
      </c>
      <c r="F23">
        <v>99</v>
      </c>
      <c r="G23">
        <v>78</v>
      </c>
      <c r="H23">
        <v>228.10000000000002</v>
      </c>
      <c r="I23" s="14">
        <v>309.93485913405743</v>
      </c>
      <c r="J23">
        <v>32</v>
      </c>
      <c r="K23">
        <v>22</v>
      </c>
      <c r="L23">
        <v>56</v>
      </c>
      <c r="M23">
        <v>39</v>
      </c>
      <c r="N23" s="143" t="e">
        <v>#DIV/0!</v>
      </c>
      <c r="O23" s="143" t="e">
        <v>#DIV/0!</v>
      </c>
      <c r="P23">
        <v>48</v>
      </c>
    </row>
    <row r="24" spans="1:16">
      <c r="A24" t="s">
        <v>19</v>
      </c>
      <c r="B24">
        <v>15</v>
      </c>
      <c r="C24">
        <v>151</v>
      </c>
      <c r="D24">
        <v>46</v>
      </c>
      <c r="E24">
        <v>162</v>
      </c>
      <c r="F24">
        <v>78</v>
      </c>
      <c r="G24">
        <v>55</v>
      </c>
      <c r="H24">
        <v>238.59999999999997</v>
      </c>
      <c r="I24" s="14">
        <v>290.04368190401294</v>
      </c>
      <c r="J24">
        <v>35</v>
      </c>
      <c r="K24">
        <v>23</v>
      </c>
      <c r="L24">
        <v>46</v>
      </c>
      <c r="M24">
        <v>29</v>
      </c>
      <c r="N24" s="143" t="e">
        <v>#DIV/0!</v>
      </c>
      <c r="O24" s="143" t="e">
        <v>#DIV/0!</v>
      </c>
      <c r="P24">
        <v>13</v>
      </c>
    </row>
    <row r="25" spans="1:16">
      <c r="A25" t="s">
        <v>373</v>
      </c>
      <c r="B25">
        <v>176</v>
      </c>
      <c r="C25">
        <v>60</v>
      </c>
      <c r="D25">
        <v>29</v>
      </c>
      <c r="E25">
        <v>104</v>
      </c>
      <c r="F25">
        <v>1</v>
      </c>
      <c r="G25">
        <v>12</v>
      </c>
      <c r="H25">
        <v>239.20000000000002</v>
      </c>
      <c r="I25" s="14">
        <v>222.15833152903423</v>
      </c>
      <c r="J25">
        <v>36</v>
      </c>
      <c r="K25">
        <v>24</v>
      </c>
      <c r="L25">
        <v>23</v>
      </c>
      <c r="M25">
        <v>15</v>
      </c>
      <c r="N25" s="143" t="e">
        <v>#DIV/0!</v>
      </c>
      <c r="O25" s="143" t="e">
        <v>#DIV/0!</v>
      </c>
      <c r="P25" t="e">
        <v>#N/A</v>
      </c>
    </row>
    <row r="26" spans="1:16">
      <c r="A26" t="s">
        <v>119</v>
      </c>
      <c r="B26">
        <v>93</v>
      </c>
      <c r="C26">
        <v>57</v>
      </c>
      <c r="D26">
        <v>136</v>
      </c>
      <c r="E26">
        <v>50</v>
      </c>
      <c r="F26">
        <v>33</v>
      </c>
      <c r="G26">
        <v>60</v>
      </c>
      <c r="H26">
        <v>240.29999999999998</v>
      </c>
      <c r="I26" s="14">
        <v>291.04106654084035</v>
      </c>
      <c r="J26">
        <v>37</v>
      </c>
      <c r="K26">
        <v>25</v>
      </c>
      <c r="L26">
        <v>47</v>
      </c>
      <c r="M26">
        <v>30</v>
      </c>
      <c r="N26" s="143" t="e">
        <v>#DIV/0!</v>
      </c>
      <c r="O26" s="143" t="e">
        <v>#DIV/0!</v>
      </c>
      <c r="P26">
        <v>-17</v>
      </c>
    </row>
    <row r="27" spans="1:16">
      <c r="A27" t="s">
        <v>14</v>
      </c>
      <c r="B27">
        <v>38</v>
      </c>
      <c r="C27">
        <v>110</v>
      </c>
      <c r="D27">
        <v>119</v>
      </c>
      <c r="E27">
        <v>45</v>
      </c>
      <c r="F27">
        <v>92</v>
      </c>
      <c r="G27">
        <v>25</v>
      </c>
      <c r="H27">
        <v>243.7</v>
      </c>
      <c r="I27" s="14">
        <v>257.70600015569937</v>
      </c>
      <c r="J27">
        <v>40</v>
      </c>
      <c r="K27">
        <v>26</v>
      </c>
      <c r="L27">
        <v>33</v>
      </c>
      <c r="M27">
        <v>22</v>
      </c>
      <c r="N27" s="143" t="e">
        <v>#DIV/0!</v>
      </c>
      <c r="O27" s="143" t="e">
        <v>#DIV/0!</v>
      </c>
      <c r="P27">
        <v>22</v>
      </c>
    </row>
    <row r="28" spans="1:16">
      <c r="A28" t="s">
        <v>132</v>
      </c>
      <c r="B28">
        <v>103</v>
      </c>
      <c r="C28">
        <v>38</v>
      </c>
      <c r="D28">
        <v>86</v>
      </c>
      <c r="E28">
        <v>28</v>
      </c>
      <c r="F28">
        <v>136</v>
      </c>
      <c r="G28">
        <v>43</v>
      </c>
      <c r="H28">
        <v>244.6</v>
      </c>
      <c r="I28" s="14">
        <v>265.38799043540047</v>
      </c>
      <c r="J28">
        <v>41</v>
      </c>
      <c r="K28">
        <v>27</v>
      </c>
      <c r="L28">
        <v>36</v>
      </c>
      <c r="M28">
        <v>24</v>
      </c>
      <c r="N28" s="143" t="e">
        <v>#DIV/0!</v>
      </c>
      <c r="O28" s="143" t="e">
        <v>#DIV/0!</v>
      </c>
      <c r="P28">
        <v>10</v>
      </c>
    </row>
    <row r="29" spans="1:16">
      <c r="A29" t="s">
        <v>397</v>
      </c>
      <c r="B29">
        <v>67</v>
      </c>
      <c r="C29">
        <v>71</v>
      </c>
      <c r="D29">
        <v>135</v>
      </c>
      <c r="E29">
        <v>10</v>
      </c>
      <c r="F29">
        <v>117</v>
      </c>
      <c r="G29">
        <v>42</v>
      </c>
      <c r="H29">
        <v>253.2</v>
      </c>
      <c r="I29" s="14">
        <v>279.44685652108274</v>
      </c>
      <c r="J29">
        <v>43</v>
      </c>
      <c r="K29">
        <v>28</v>
      </c>
      <c r="L29">
        <v>39</v>
      </c>
      <c r="M29">
        <v>26</v>
      </c>
      <c r="N29" s="143" t="e">
        <v>#DIV/0!</v>
      </c>
      <c r="O29" s="143" t="e">
        <v>#DIV/0!</v>
      </c>
      <c r="P29">
        <v>9</v>
      </c>
    </row>
    <row r="30" spans="1:16">
      <c r="A30" t="s">
        <v>140</v>
      </c>
      <c r="B30">
        <v>171</v>
      </c>
      <c r="C30">
        <v>22</v>
      </c>
      <c r="D30">
        <v>123</v>
      </c>
      <c r="E30">
        <v>24</v>
      </c>
      <c r="F30">
        <v>16</v>
      </c>
      <c r="G30">
        <v>24</v>
      </c>
      <c r="H30">
        <v>253.7</v>
      </c>
      <c r="I30" s="14">
        <v>253.45834914305377</v>
      </c>
      <c r="J30">
        <v>44.5</v>
      </c>
      <c r="K30">
        <v>29</v>
      </c>
      <c r="L30">
        <v>32</v>
      </c>
      <c r="M30">
        <v>21</v>
      </c>
      <c r="N30" s="143" t="e">
        <v>#DIV/0!</v>
      </c>
      <c r="O30" s="143" t="e">
        <v>#DIV/0!</v>
      </c>
      <c r="P30">
        <v>0</v>
      </c>
    </row>
    <row r="31" spans="1:16">
      <c r="A31" t="s">
        <v>116</v>
      </c>
      <c r="B31">
        <v>139</v>
      </c>
      <c r="C31">
        <v>12</v>
      </c>
      <c r="D31">
        <v>83</v>
      </c>
      <c r="E31">
        <v>41</v>
      </c>
      <c r="F31">
        <v>130</v>
      </c>
      <c r="G31">
        <v>48</v>
      </c>
      <c r="H31">
        <v>257.89999999999998</v>
      </c>
      <c r="I31" s="14">
        <v>281.60129949090413</v>
      </c>
      <c r="J31">
        <v>46</v>
      </c>
      <c r="K31">
        <v>30</v>
      </c>
      <c r="L31">
        <v>43</v>
      </c>
      <c r="M31">
        <v>28</v>
      </c>
      <c r="N31" s="143" t="e">
        <v>#DIV/0!</v>
      </c>
      <c r="O31" s="143" t="e">
        <v>#DIV/0!</v>
      </c>
      <c r="P31">
        <v>-13</v>
      </c>
    </row>
    <row r="32" spans="1:16">
      <c r="A32" t="s">
        <v>242</v>
      </c>
      <c r="B32">
        <v>149</v>
      </c>
      <c r="C32">
        <v>1</v>
      </c>
      <c r="D32">
        <v>131</v>
      </c>
      <c r="E32">
        <v>92</v>
      </c>
      <c r="F32">
        <v>24</v>
      </c>
      <c r="G32">
        <v>57</v>
      </c>
      <c r="H32">
        <v>260.3</v>
      </c>
      <c r="I32" s="14">
        <v>309.77347434066712</v>
      </c>
      <c r="J32">
        <v>48</v>
      </c>
      <c r="K32">
        <v>31</v>
      </c>
      <c r="L32">
        <v>55</v>
      </c>
      <c r="M32">
        <v>38</v>
      </c>
      <c r="N32" s="143" t="e">
        <v>#DIV/0!</v>
      </c>
      <c r="O32" s="143" t="e">
        <v>#DIV/0!</v>
      </c>
      <c r="P32">
        <v>121</v>
      </c>
    </row>
    <row r="33" spans="1:16">
      <c r="A33" t="s">
        <v>404</v>
      </c>
      <c r="B33">
        <v>48</v>
      </c>
      <c r="C33">
        <v>142</v>
      </c>
      <c r="D33">
        <v>161</v>
      </c>
      <c r="E33">
        <v>4</v>
      </c>
      <c r="F33">
        <v>45</v>
      </c>
      <c r="G33">
        <v>36</v>
      </c>
      <c r="H33">
        <v>260.39999999999998</v>
      </c>
      <c r="I33" s="14">
        <v>280.29692562482165</v>
      </c>
      <c r="J33">
        <v>49</v>
      </c>
      <c r="K33">
        <v>32</v>
      </c>
      <c r="L33">
        <v>41</v>
      </c>
      <c r="M33">
        <v>27</v>
      </c>
      <c r="N33" s="143" t="e">
        <v>#DIV/0!</v>
      </c>
      <c r="O33" s="143" t="e">
        <v>#DIV/0!</v>
      </c>
      <c r="P33">
        <v>48</v>
      </c>
    </row>
    <row r="34" spans="1:16">
      <c r="A34" t="s">
        <v>58</v>
      </c>
      <c r="B34">
        <v>33</v>
      </c>
      <c r="C34">
        <v>139</v>
      </c>
      <c r="D34">
        <v>26</v>
      </c>
      <c r="E34">
        <v>97</v>
      </c>
      <c r="F34">
        <v>191</v>
      </c>
      <c r="G34">
        <v>70</v>
      </c>
      <c r="H34">
        <v>262.3</v>
      </c>
      <c r="I34" s="14">
        <v>310.04494540646044</v>
      </c>
      <c r="J34">
        <v>50</v>
      </c>
      <c r="K34">
        <v>33</v>
      </c>
      <c r="L34">
        <v>57</v>
      </c>
      <c r="M34">
        <v>40</v>
      </c>
      <c r="N34" s="143" t="e">
        <v>#DIV/0!</v>
      </c>
      <c r="O34" s="143" t="e">
        <v>#DIV/0!</v>
      </c>
      <c r="P34">
        <v>38</v>
      </c>
    </row>
    <row r="35" spans="1:16">
      <c r="A35" t="s">
        <v>156</v>
      </c>
      <c r="B35">
        <v>174</v>
      </c>
      <c r="C35">
        <v>34</v>
      </c>
      <c r="D35">
        <v>6</v>
      </c>
      <c r="E35">
        <v>158</v>
      </c>
      <c r="F35">
        <v>74</v>
      </c>
      <c r="G35">
        <v>20</v>
      </c>
      <c r="H35">
        <v>264</v>
      </c>
      <c r="I35" s="14">
        <v>259.68387788237027</v>
      </c>
      <c r="J35">
        <v>51</v>
      </c>
      <c r="K35">
        <v>34</v>
      </c>
      <c r="L35">
        <v>35</v>
      </c>
      <c r="M35">
        <v>23</v>
      </c>
      <c r="N35" s="143" t="e">
        <v>#DIV/0!</v>
      </c>
      <c r="O35" s="143" t="e">
        <v>#DIV/0!</v>
      </c>
      <c r="P35">
        <v>14</v>
      </c>
    </row>
    <row r="36" spans="1:16">
      <c r="A36" t="s">
        <v>380</v>
      </c>
      <c r="B36">
        <v>42</v>
      </c>
      <c r="C36">
        <v>188</v>
      </c>
      <c r="D36">
        <v>109</v>
      </c>
      <c r="E36">
        <v>48</v>
      </c>
      <c r="F36">
        <v>53</v>
      </c>
      <c r="G36">
        <v>47</v>
      </c>
      <c r="H36">
        <v>268.39999999999998</v>
      </c>
      <c r="I36" s="14">
        <v>293.96040230695775</v>
      </c>
      <c r="J36">
        <v>53</v>
      </c>
      <c r="K36">
        <v>35</v>
      </c>
      <c r="L36">
        <v>48</v>
      </c>
      <c r="M36">
        <v>31</v>
      </c>
      <c r="N36" s="143" t="e">
        <v>#DIV/0!</v>
      </c>
      <c r="O36" s="143" t="e">
        <v>#DIV/0!</v>
      </c>
      <c r="P36">
        <v>2</v>
      </c>
    </row>
    <row r="37" spans="1:16">
      <c r="A37" t="s">
        <v>92</v>
      </c>
      <c r="B37">
        <v>76</v>
      </c>
      <c r="C37">
        <v>77</v>
      </c>
      <c r="D37">
        <v>49</v>
      </c>
      <c r="E37">
        <v>116</v>
      </c>
      <c r="F37">
        <v>163</v>
      </c>
      <c r="G37">
        <v>94</v>
      </c>
      <c r="H37">
        <v>269.20000000000005</v>
      </c>
      <c r="I37" s="14">
        <v>347.15763358787461</v>
      </c>
      <c r="J37">
        <v>54</v>
      </c>
      <c r="K37">
        <v>36</v>
      </c>
      <c r="L37">
        <v>73</v>
      </c>
      <c r="M37">
        <v>49</v>
      </c>
      <c r="N37" s="143" t="e">
        <v>#DIV/0!</v>
      </c>
      <c r="O37" s="143" t="e">
        <v>#DIV/0!</v>
      </c>
      <c r="P37">
        <v>-44</v>
      </c>
    </row>
    <row r="38" spans="1:16">
      <c r="A38" t="s">
        <v>117</v>
      </c>
      <c r="B38">
        <v>130</v>
      </c>
      <c r="C38">
        <v>41</v>
      </c>
      <c r="D38">
        <v>9</v>
      </c>
      <c r="E38">
        <v>87</v>
      </c>
      <c r="F38">
        <v>200</v>
      </c>
      <c r="G38">
        <v>67</v>
      </c>
      <c r="H38">
        <v>269.70000000000005</v>
      </c>
      <c r="I38" s="14">
        <v>304.72393457518166</v>
      </c>
      <c r="J38">
        <v>55</v>
      </c>
      <c r="K38">
        <v>37</v>
      </c>
      <c r="L38">
        <v>53</v>
      </c>
      <c r="M38">
        <v>36</v>
      </c>
      <c r="N38" s="143" t="e">
        <v>#DIV/0!</v>
      </c>
      <c r="O38" s="143" t="e">
        <v>#DIV/0!</v>
      </c>
      <c r="P38">
        <v>65</v>
      </c>
    </row>
    <row r="39" spans="1:16">
      <c r="A39" t="s">
        <v>66</v>
      </c>
      <c r="B39">
        <v>68</v>
      </c>
      <c r="C39">
        <v>122</v>
      </c>
      <c r="D39">
        <v>97</v>
      </c>
      <c r="E39">
        <v>110</v>
      </c>
      <c r="F39">
        <v>61</v>
      </c>
      <c r="G39">
        <v>63</v>
      </c>
      <c r="H39">
        <v>270</v>
      </c>
      <c r="I39" s="14">
        <v>321.91077965290413</v>
      </c>
      <c r="J39">
        <v>56</v>
      </c>
      <c r="K39">
        <v>38</v>
      </c>
      <c r="L39">
        <v>61</v>
      </c>
      <c r="M39">
        <v>43</v>
      </c>
      <c r="N39" s="143" t="e">
        <v>#DIV/0!</v>
      </c>
      <c r="O39" s="143" t="e">
        <v>#DIV/0!</v>
      </c>
      <c r="P39">
        <v>-4</v>
      </c>
    </row>
    <row r="40" spans="1:16">
      <c r="A40" t="s">
        <v>120</v>
      </c>
      <c r="B40">
        <v>133</v>
      </c>
      <c r="C40">
        <v>96</v>
      </c>
      <c r="D40">
        <v>56</v>
      </c>
      <c r="E40">
        <v>126</v>
      </c>
      <c r="F40">
        <v>37</v>
      </c>
      <c r="G40">
        <v>71</v>
      </c>
      <c r="H40">
        <v>272.10000000000002</v>
      </c>
      <c r="I40" s="14">
        <v>321.43448487862952</v>
      </c>
      <c r="J40">
        <v>57</v>
      </c>
      <c r="K40">
        <v>39</v>
      </c>
      <c r="L40">
        <v>60</v>
      </c>
      <c r="M40">
        <v>42</v>
      </c>
      <c r="N40" s="143" t="e">
        <v>#DIV/0!</v>
      </c>
      <c r="O40" s="143" t="e">
        <v>#DIV/0!</v>
      </c>
      <c r="P40">
        <v>-6</v>
      </c>
    </row>
    <row r="41" spans="1:16">
      <c r="A41" t="s">
        <v>90</v>
      </c>
      <c r="B41">
        <v>58</v>
      </c>
      <c r="C41">
        <v>53</v>
      </c>
      <c r="D41">
        <v>64</v>
      </c>
      <c r="E41">
        <v>151</v>
      </c>
      <c r="F41">
        <v>178</v>
      </c>
      <c r="G41">
        <v>90</v>
      </c>
      <c r="H41">
        <v>272.39999999999998</v>
      </c>
      <c r="I41" s="14">
        <v>358.73187361210722</v>
      </c>
      <c r="J41">
        <v>58</v>
      </c>
      <c r="K41">
        <v>40</v>
      </c>
      <c r="L41">
        <v>77</v>
      </c>
      <c r="M41">
        <v>51</v>
      </c>
      <c r="N41" s="143" t="e">
        <v>#DIV/0!</v>
      </c>
      <c r="O41" s="143" t="e">
        <v>#DIV/0!</v>
      </c>
      <c r="P41">
        <v>9</v>
      </c>
    </row>
    <row r="42" spans="1:16">
      <c r="A42" t="s">
        <v>123</v>
      </c>
      <c r="B42">
        <v>98</v>
      </c>
      <c r="C42">
        <v>24</v>
      </c>
      <c r="D42">
        <v>143</v>
      </c>
      <c r="E42">
        <v>44</v>
      </c>
      <c r="F42">
        <v>126</v>
      </c>
      <c r="G42">
        <v>102</v>
      </c>
      <c r="H42">
        <v>273.5</v>
      </c>
      <c r="I42" s="14">
        <v>364.68676284234834</v>
      </c>
      <c r="J42">
        <v>60</v>
      </c>
      <c r="K42">
        <v>41</v>
      </c>
      <c r="L42">
        <v>81</v>
      </c>
      <c r="M42">
        <v>53</v>
      </c>
      <c r="N42" s="143" t="e">
        <v>#DIV/0!</v>
      </c>
      <c r="O42" s="143" t="e">
        <v>#DIV/0!</v>
      </c>
      <c r="P42">
        <v>31</v>
      </c>
    </row>
    <row r="43" spans="1:16">
      <c r="A43" t="s">
        <v>44</v>
      </c>
      <c r="B43">
        <v>12</v>
      </c>
      <c r="C43">
        <v>96</v>
      </c>
      <c r="D43">
        <v>93</v>
      </c>
      <c r="E43">
        <v>102</v>
      </c>
      <c r="F43">
        <v>201</v>
      </c>
      <c r="G43">
        <v>112</v>
      </c>
      <c r="H43">
        <v>273.60000000000002</v>
      </c>
      <c r="I43" s="14">
        <v>380.70890929720639</v>
      </c>
      <c r="J43">
        <v>61</v>
      </c>
      <c r="K43">
        <v>42</v>
      </c>
      <c r="L43">
        <v>89</v>
      </c>
      <c r="M43">
        <v>56</v>
      </c>
      <c r="N43" s="143" t="e">
        <v>#DIV/0!</v>
      </c>
      <c r="O43" s="143" t="e">
        <v>#DIV/0!</v>
      </c>
      <c r="P43">
        <v>-86</v>
      </c>
    </row>
    <row r="44" spans="1:16">
      <c r="A44" t="s">
        <v>188</v>
      </c>
      <c r="B44">
        <v>217</v>
      </c>
      <c r="C44">
        <v>32</v>
      </c>
      <c r="D44">
        <v>67</v>
      </c>
      <c r="E44">
        <v>74</v>
      </c>
      <c r="F44">
        <v>17</v>
      </c>
      <c r="G44">
        <v>53</v>
      </c>
      <c r="H44">
        <v>277.8</v>
      </c>
      <c r="I44" s="14">
        <v>296.28012665381084</v>
      </c>
      <c r="J44">
        <v>64</v>
      </c>
      <c r="K44">
        <v>43</v>
      </c>
      <c r="L44">
        <v>49</v>
      </c>
      <c r="M44">
        <v>32</v>
      </c>
      <c r="N44" s="143" t="e">
        <v>#DIV/0!</v>
      </c>
      <c r="O44" s="143" t="e">
        <v>#DIV/0!</v>
      </c>
      <c r="P44">
        <v>13</v>
      </c>
    </row>
    <row r="45" spans="1:16">
      <c r="A45" t="s">
        <v>115</v>
      </c>
      <c r="B45">
        <v>117</v>
      </c>
      <c r="C45">
        <v>45</v>
      </c>
      <c r="D45">
        <v>213</v>
      </c>
      <c r="E45">
        <v>8</v>
      </c>
      <c r="F45">
        <v>10</v>
      </c>
      <c r="G45">
        <v>73</v>
      </c>
      <c r="H45">
        <v>277.89999999999998</v>
      </c>
      <c r="I45" s="14">
        <v>341.96560217715887</v>
      </c>
      <c r="J45">
        <v>65</v>
      </c>
      <c r="K45">
        <v>44</v>
      </c>
      <c r="L45">
        <v>68</v>
      </c>
      <c r="M45">
        <v>47</v>
      </c>
      <c r="N45" s="143" t="e">
        <v>#DIV/0!</v>
      </c>
      <c r="O45" s="143" t="e">
        <v>#DIV/0!</v>
      </c>
      <c r="P45" t="e">
        <v>#N/A</v>
      </c>
    </row>
    <row r="46" spans="1:16">
      <c r="A46" t="s">
        <v>181</v>
      </c>
      <c r="B46">
        <v>152</v>
      </c>
      <c r="C46">
        <v>18</v>
      </c>
      <c r="D46">
        <v>16</v>
      </c>
      <c r="E46">
        <v>93</v>
      </c>
      <c r="F46">
        <v>203</v>
      </c>
      <c r="G46">
        <v>103</v>
      </c>
      <c r="H46">
        <v>282.3</v>
      </c>
      <c r="I46" s="14">
        <v>353.33427555858191</v>
      </c>
      <c r="J46">
        <v>68</v>
      </c>
      <c r="K46">
        <v>45</v>
      </c>
      <c r="L46">
        <v>76</v>
      </c>
      <c r="M46">
        <v>50</v>
      </c>
      <c r="N46" s="143" t="e">
        <v>#DIV/0!</v>
      </c>
      <c r="O46" s="143" t="e">
        <v>#DIV/0!</v>
      </c>
      <c r="P46">
        <v>57</v>
      </c>
    </row>
    <row r="47" spans="1:16">
      <c r="A47" t="s">
        <v>9</v>
      </c>
      <c r="B47">
        <v>3</v>
      </c>
      <c r="C47">
        <v>140</v>
      </c>
      <c r="D47">
        <v>153</v>
      </c>
      <c r="E47">
        <v>137</v>
      </c>
      <c r="F47">
        <v>75</v>
      </c>
      <c r="G47">
        <v>72</v>
      </c>
      <c r="H47">
        <v>285.8</v>
      </c>
      <c r="I47" s="14">
        <v>366.03568597496155</v>
      </c>
      <c r="J47">
        <v>71</v>
      </c>
      <c r="K47">
        <v>46</v>
      </c>
      <c r="L47">
        <v>85</v>
      </c>
      <c r="M47">
        <v>55</v>
      </c>
      <c r="N47" s="143" t="e">
        <v>#DIV/0!</v>
      </c>
      <c r="O47" s="143" t="e">
        <v>#DIV/0!</v>
      </c>
      <c r="P47">
        <v>-18</v>
      </c>
    </row>
    <row r="48" spans="1:16">
      <c r="A48" t="s">
        <v>82</v>
      </c>
      <c r="B48">
        <v>24</v>
      </c>
      <c r="C48">
        <v>66</v>
      </c>
      <c r="D48">
        <v>95</v>
      </c>
      <c r="E48">
        <v>194</v>
      </c>
      <c r="F48">
        <v>167</v>
      </c>
      <c r="G48">
        <v>150</v>
      </c>
      <c r="H48">
        <v>286.40000000000003</v>
      </c>
      <c r="I48" s="14">
        <v>447.23675195723786</v>
      </c>
      <c r="J48">
        <v>72</v>
      </c>
      <c r="K48">
        <v>47</v>
      </c>
      <c r="L48">
        <v>123</v>
      </c>
      <c r="M48">
        <v>75</v>
      </c>
      <c r="N48" s="143" t="e">
        <v>#DIV/0!</v>
      </c>
      <c r="O48" s="143" t="e">
        <v>#DIV/0!</v>
      </c>
      <c r="P48">
        <v>12</v>
      </c>
    </row>
    <row r="49" spans="1:16">
      <c r="A49" t="s">
        <v>173</v>
      </c>
      <c r="B49">
        <v>182</v>
      </c>
      <c r="C49">
        <v>141</v>
      </c>
      <c r="D49">
        <v>48</v>
      </c>
      <c r="E49">
        <v>26</v>
      </c>
      <c r="F49">
        <v>26</v>
      </c>
      <c r="G49">
        <v>61</v>
      </c>
      <c r="H49">
        <v>287.19999999999993</v>
      </c>
      <c r="I49" s="14">
        <v>296.79737077822483</v>
      </c>
      <c r="J49">
        <v>73</v>
      </c>
      <c r="K49">
        <v>48</v>
      </c>
      <c r="L49">
        <v>50</v>
      </c>
      <c r="M49">
        <v>33</v>
      </c>
      <c r="N49" s="143" t="e">
        <v>#DIV/0!</v>
      </c>
      <c r="O49" s="143" t="e">
        <v>#DIV/0!</v>
      </c>
      <c r="P49">
        <v>44</v>
      </c>
    </row>
    <row r="50" spans="1:16">
      <c r="A50" t="s">
        <v>144</v>
      </c>
      <c r="B50">
        <v>178</v>
      </c>
      <c r="C50">
        <v>20</v>
      </c>
      <c r="D50">
        <v>163</v>
      </c>
      <c r="E50">
        <v>17</v>
      </c>
      <c r="F50">
        <v>25</v>
      </c>
      <c r="G50">
        <v>41</v>
      </c>
      <c r="H50">
        <v>287.8</v>
      </c>
      <c r="I50" s="14">
        <v>306.00834842996431</v>
      </c>
      <c r="J50">
        <v>75</v>
      </c>
      <c r="K50">
        <v>49</v>
      </c>
      <c r="L50">
        <v>54</v>
      </c>
      <c r="M50">
        <v>37</v>
      </c>
      <c r="N50" s="143" t="e">
        <v>#DIV/0!</v>
      </c>
      <c r="O50" s="143" t="e">
        <v>#DIV/0!</v>
      </c>
      <c r="P50">
        <v>26</v>
      </c>
    </row>
    <row r="51" spans="1:16">
      <c r="A51" t="s">
        <v>145</v>
      </c>
      <c r="B51">
        <v>99</v>
      </c>
      <c r="C51">
        <v>8</v>
      </c>
      <c r="D51">
        <v>39</v>
      </c>
      <c r="E51">
        <v>191</v>
      </c>
      <c r="F51">
        <v>202</v>
      </c>
      <c r="G51">
        <v>154</v>
      </c>
      <c r="H51">
        <v>288.7</v>
      </c>
      <c r="I51" s="14">
        <v>438.21826331012238</v>
      </c>
      <c r="J51">
        <v>77</v>
      </c>
      <c r="K51">
        <v>50</v>
      </c>
      <c r="L51">
        <v>120</v>
      </c>
      <c r="M51">
        <v>72</v>
      </c>
      <c r="N51" s="143" t="e">
        <v>#DIV/0!</v>
      </c>
      <c r="O51" s="143" t="e">
        <v>#DIV/0!</v>
      </c>
      <c r="P51">
        <v>4</v>
      </c>
    </row>
    <row r="52" spans="1:16">
      <c r="A52" t="s">
        <v>59</v>
      </c>
      <c r="B52">
        <v>47</v>
      </c>
      <c r="C52">
        <v>218</v>
      </c>
      <c r="D52">
        <v>146</v>
      </c>
      <c r="E52">
        <v>42</v>
      </c>
      <c r="F52">
        <v>4</v>
      </c>
      <c r="G52">
        <v>46</v>
      </c>
      <c r="H52">
        <v>289.39999999999998</v>
      </c>
      <c r="I52" s="14">
        <v>314.29738036908896</v>
      </c>
      <c r="J52">
        <v>78</v>
      </c>
      <c r="K52">
        <v>51</v>
      </c>
      <c r="L52">
        <v>59</v>
      </c>
      <c r="M52">
        <v>41</v>
      </c>
      <c r="N52" s="143" t="e">
        <v>#DIV/0!</v>
      </c>
      <c r="O52" s="143" t="e">
        <v>#DIV/0!</v>
      </c>
      <c r="P52">
        <v>-32</v>
      </c>
    </row>
    <row r="53" spans="1:16">
      <c r="A53" t="s">
        <v>183</v>
      </c>
      <c r="B53">
        <v>200</v>
      </c>
      <c r="C53">
        <v>79</v>
      </c>
      <c r="D53">
        <v>43</v>
      </c>
      <c r="E53">
        <v>85</v>
      </c>
      <c r="F53">
        <v>44</v>
      </c>
      <c r="G53">
        <v>44</v>
      </c>
      <c r="H53">
        <v>293.5</v>
      </c>
      <c r="I53" s="14">
        <v>297.30774771850281</v>
      </c>
      <c r="J53">
        <v>80</v>
      </c>
      <c r="K53">
        <v>52</v>
      </c>
      <c r="L53">
        <v>51</v>
      </c>
      <c r="M53">
        <v>34</v>
      </c>
      <c r="N53" s="143" t="e">
        <v>#DIV/0!</v>
      </c>
      <c r="O53" s="143" t="e">
        <v>#DIV/0!</v>
      </c>
      <c r="P53">
        <v>36</v>
      </c>
    </row>
    <row r="54" spans="1:16">
      <c r="A54" t="s">
        <v>38</v>
      </c>
      <c r="B54">
        <v>46</v>
      </c>
      <c r="C54">
        <v>216</v>
      </c>
      <c r="D54">
        <v>156</v>
      </c>
      <c r="E54">
        <v>12</v>
      </c>
      <c r="F54">
        <v>30</v>
      </c>
      <c r="G54">
        <v>52</v>
      </c>
      <c r="H54">
        <v>295.40000000000003</v>
      </c>
      <c r="I54" s="14">
        <v>322.49042546568745</v>
      </c>
      <c r="J54">
        <v>81</v>
      </c>
      <c r="K54">
        <v>53</v>
      </c>
      <c r="L54">
        <v>62</v>
      </c>
      <c r="M54">
        <v>44</v>
      </c>
      <c r="N54" s="143" t="e">
        <v>#DIV/0!</v>
      </c>
      <c r="O54" s="143" t="e">
        <v>#DIV/0!</v>
      </c>
      <c r="P54">
        <v>0</v>
      </c>
    </row>
    <row r="55" spans="1:16">
      <c r="A55" t="s">
        <v>138</v>
      </c>
      <c r="B55">
        <v>76</v>
      </c>
      <c r="C55">
        <v>186</v>
      </c>
      <c r="D55">
        <v>53</v>
      </c>
      <c r="E55">
        <v>160</v>
      </c>
      <c r="F55">
        <v>47</v>
      </c>
      <c r="G55">
        <v>50</v>
      </c>
      <c r="H55">
        <v>297</v>
      </c>
      <c r="I55" s="14">
        <v>327.87814279580107</v>
      </c>
      <c r="J55">
        <v>82</v>
      </c>
      <c r="K55">
        <v>54</v>
      </c>
      <c r="L55">
        <v>63</v>
      </c>
      <c r="M55">
        <v>45</v>
      </c>
      <c r="N55" s="143" t="e">
        <v>#DIV/0!</v>
      </c>
      <c r="O55" s="143" t="e">
        <v>#DIV/0!</v>
      </c>
      <c r="P55">
        <v>-8</v>
      </c>
    </row>
    <row r="56" spans="1:16">
      <c r="A56" t="s">
        <v>56</v>
      </c>
      <c r="B56">
        <v>48</v>
      </c>
      <c r="C56">
        <v>209</v>
      </c>
      <c r="D56">
        <v>65</v>
      </c>
      <c r="E56">
        <v>210</v>
      </c>
      <c r="F56">
        <v>11</v>
      </c>
      <c r="G56">
        <v>74</v>
      </c>
      <c r="H56">
        <v>298.8</v>
      </c>
      <c r="I56" s="14">
        <v>365.87817406955395</v>
      </c>
      <c r="J56">
        <v>83</v>
      </c>
      <c r="K56">
        <v>55</v>
      </c>
      <c r="L56">
        <v>83</v>
      </c>
      <c r="M56">
        <v>54</v>
      </c>
      <c r="N56" s="143" t="e">
        <v>#DIV/0!</v>
      </c>
      <c r="O56" s="143" t="e">
        <v>#DIV/0!</v>
      </c>
      <c r="P56">
        <v>-42</v>
      </c>
    </row>
    <row r="57" spans="1:16">
      <c r="A57" t="s">
        <v>128</v>
      </c>
      <c r="B57">
        <v>62</v>
      </c>
      <c r="C57">
        <v>83</v>
      </c>
      <c r="D57">
        <v>142</v>
      </c>
      <c r="E57">
        <v>115</v>
      </c>
      <c r="F57">
        <v>110</v>
      </c>
      <c r="G57">
        <v>95</v>
      </c>
      <c r="H57">
        <v>299.8</v>
      </c>
      <c r="I57" s="14">
        <v>392.99384634265755</v>
      </c>
      <c r="J57">
        <v>84</v>
      </c>
      <c r="K57">
        <v>56</v>
      </c>
      <c r="L57">
        <v>92</v>
      </c>
      <c r="M57">
        <v>58</v>
      </c>
      <c r="N57" s="143" t="e">
        <v>#DIV/0!</v>
      </c>
      <c r="O57" s="143" t="e">
        <v>#DIV/0!</v>
      </c>
      <c r="P57">
        <v>34</v>
      </c>
    </row>
    <row r="58" spans="1:16">
      <c r="A58" t="s">
        <v>18</v>
      </c>
      <c r="B58">
        <v>10</v>
      </c>
      <c r="C58">
        <v>202</v>
      </c>
      <c r="D58">
        <v>152</v>
      </c>
      <c r="E58">
        <v>143</v>
      </c>
      <c r="F58">
        <v>21</v>
      </c>
      <c r="G58">
        <v>77</v>
      </c>
      <c r="H58">
        <v>303.29999999999995</v>
      </c>
      <c r="I58" s="14">
        <v>381.87750600471537</v>
      </c>
      <c r="J58">
        <v>85</v>
      </c>
      <c r="K58">
        <v>57</v>
      </c>
      <c r="L58">
        <v>90</v>
      </c>
      <c r="M58">
        <v>57</v>
      </c>
      <c r="N58" s="143" t="e">
        <v>#DIV/0!</v>
      </c>
      <c r="O58" s="143" t="e">
        <v>#DIV/0!</v>
      </c>
      <c r="P58">
        <v>14</v>
      </c>
    </row>
    <row r="59" spans="1:16">
      <c r="A59" t="s">
        <v>179</v>
      </c>
      <c r="B59">
        <v>179</v>
      </c>
      <c r="C59">
        <v>43</v>
      </c>
      <c r="D59">
        <v>27</v>
      </c>
      <c r="E59">
        <v>78</v>
      </c>
      <c r="F59">
        <v>194</v>
      </c>
      <c r="G59">
        <v>121</v>
      </c>
      <c r="H59">
        <v>316.10000000000002</v>
      </c>
      <c r="I59" s="14">
        <v>395.59951375600554</v>
      </c>
      <c r="J59">
        <v>90</v>
      </c>
      <c r="K59">
        <v>58</v>
      </c>
      <c r="L59">
        <v>93</v>
      </c>
      <c r="M59">
        <v>59</v>
      </c>
      <c r="N59" s="143" t="e">
        <v>#DIV/0!</v>
      </c>
      <c r="O59" s="143" t="e">
        <v>#DIV/0!</v>
      </c>
      <c r="P59">
        <v>-18</v>
      </c>
    </row>
    <row r="60" spans="1:16">
      <c r="A60" t="s">
        <v>127</v>
      </c>
      <c r="B60">
        <v>180</v>
      </c>
      <c r="C60">
        <v>67</v>
      </c>
      <c r="D60">
        <v>50</v>
      </c>
      <c r="E60">
        <v>81</v>
      </c>
      <c r="F60">
        <v>134</v>
      </c>
      <c r="G60">
        <v>65</v>
      </c>
      <c r="H60">
        <v>318.60000000000002</v>
      </c>
      <c r="I60" s="14">
        <v>344.49023893907514</v>
      </c>
      <c r="J60">
        <v>92</v>
      </c>
      <c r="K60">
        <v>59</v>
      </c>
      <c r="L60">
        <v>70</v>
      </c>
      <c r="M60">
        <v>48</v>
      </c>
      <c r="N60" s="143" t="e">
        <v>#DIV/0!</v>
      </c>
      <c r="O60" s="143" t="e">
        <v>#DIV/0!</v>
      </c>
      <c r="P60">
        <v>18</v>
      </c>
    </row>
    <row r="61" spans="1:16">
      <c r="A61" t="s">
        <v>17</v>
      </c>
      <c r="B61">
        <v>13</v>
      </c>
      <c r="C61">
        <v>192</v>
      </c>
      <c r="D61">
        <v>108</v>
      </c>
      <c r="E61">
        <v>177</v>
      </c>
      <c r="F61">
        <v>97</v>
      </c>
      <c r="G61">
        <v>87</v>
      </c>
      <c r="H61">
        <v>320.5</v>
      </c>
      <c r="I61" s="14">
        <v>405.6147591799006</v>
      </c>
      <c r="J61">
        <v>93</v>
      </c>
      <c r="K61">
        <v>60</v>
      </c>
      <c r="L61">
        <v>102</v>
      </c>
      <c r="M61">
        <v>64</v>
      </c>
      <c r="N61" s="143" t="e">
        <v>#DIV/0!</v>
      </c>
      <c r="O61" s="143" t="e">
        <v>#DIV/0!</v>
      </c>
      <c r="P61">
        <v>8</v>
      </c>
    </row>
    <row r="62" spans="1:16">
      <c r="A62" t="s">
        <v>167</v>
      </c>
      <c r="B62">
        <v>156</v>
      </c>
      <c r="C62">
        <v>104</v>
      </c>
      <c r="D62">
        <v>134</v>
      </c>
      <c r="E62">
        <v>101</v>
      </c>
      <c r="F62">
        <v>7</v>
      </c>
      <c r="G62">
        <v>59</v>
      </c>
      <c r="H62">
        <v>324.89999999999998</v>
      </c>
      <c r="I62" s="14">
        <v>362.58646713710476</v>
      </c>
      <c r="J62">
        <v>95</v>
      </c>
      <c r="K62">
        <v>61</v>
      </c>
      <c r="L62">
        <v>79</v>
      </c>
      <c r="M62">
        <v>52</v>
      </c>
      <c r="N62" s="143" t="e">
        <v>#DIV/0!</v>
      </c>
      <c r="O62" s="143" t="e">
        <v>#DIV/0!</v>
      </c>
      <c r="P62">
        <v>-28</v>
      </c>
    </row>
    <row r="63" spans="1:16">
      <c r="A63" t="s">
        <v>238</v>
      </c>
      <c r="B63">
        <v>211</v>
      </c>
      <c r="C63">
        <v>105</v>
      </c>
      <c r="D63">
        <v>52</v>
      </c>
      <c r="E63">
        <v>23</v>
      </c>
      <c r="F63">
        <v>101</v>
      </c>
      <c r="G63">
        <v>131</v>
      </c>
      <c r="H63">
        <v>327.9</v>
      </c>
      <c r="I63" s="14">
        <v>402.44838740779863</v>
      </c>
      <c r="J63">
        <v>98</v>
      </c>
      <c r="K63">
        <v>62</v>
      </c>
      <c r="L63">
        <v>99</v>
      </c>
      <c r="M63">
        <v>61</v>
      </c>
      <c r="N63" s="143" t="e">
        <v>#DIV/0!</v>
      </c>
      <c r="O63" s="143" t="e">
        <v>#DIV/0!</v>
      </c>
      <c r="P63">
        <v>108</v>
      </c>
    </row>
    <row r="64" spans="1:16">
      <c r="A64" t="s">
        <v>177</v>
      </c>
      <c r="B64">
        <v>210</v>
      </c>
      <c r="C64">
        <v>19</v>
      </c>
      <c r="D64">
        <v>7</v>
      </c>
      <c r="E64">
        <v>123</v>
      </c>
      <c r="F64">
        <v>189</v>
      </c>
      <c r="G64">
        <v>133</v>
      </c>
      <c r="H64">
        <v>328</v>
      </c>
      <c r="I64" s="14">
        <v>420.52600385541905</v>
      </c>
      <c r="J64">
        <v>99</v>
      </c>
      <c r="K64">
        <v>63</v>
      </c>
      <c r="L64">
        <v>113</v>
      </c>
      <c r="M64">
        <v>68</v>
      </c>
      <c r="N64" s="143" t="e">
        <v>#DIV/0!</v>
      </c>
      <c r="O64" s="143" t="e">
        <v>#DIV/0!</v>
      </c>
      <c r="P64">
        <v>-32</v>
      </c>
    </row>
    <row r="65" spans="1:16">
      <c r="A65" t="s">
        <v>29</v>
      </c>
      <c r="B65">
        <v>65</v>
      </c>
      <c r="C65">
        <v>127</v>
      </c>
      <c r="D65">
        <v>121</v>
      </c>
      <c r="E65">
        <v>133</v>
      </c>
      <c r="F65">
        <v>128</v>
      </c>
      <c r="G65">
        <v>109</v>
      </c>
      <c r="H65">
        <v>330.09999999999997</v>
      </c>
      <c r="I65" s="14">
        <v>429.5809675526483</v>
      </c>
      <c r="J65">
        <v>104</v>
      </c>
      <c r="K65">
        <v>64</v>
      </c>
      <c r="L65">
        <v>117</v>
      </c>
      <c r="M65">
        <v>71</v>
      </c>
      <c r="N65" s="143" t="e">
        <v>#DIV/0!</v>
      </c>
      <c r="O65" s="143" t="e">
        <v>#DIV/0!</v>
      </c>
      <c r="P65">
        <v>68</v>
      </c>
    </row>
    <row r="66" spans="1:16">
      <c r="A66" t="s">
        <v>396</v>
      </c>
      <c r="B66">
        <v>70</v>
      </c>
      <c r="C66">
        <v>94</v>
      </c>
      <c r="D66">
        <v>84</v>
      </c>
      <c r="E66">
        <v>207</v>
      </c>
      <c r="F66">
        <v>155</v>
      </c>
      <c r="G66">
        <v>149</v>
      </c>
      <c r="H66">
        <v>331.5</v>
      </c>
      <c r="I66" s="14">
        <v>478.96815823531091</v>
      </c>
      <c r="J66">
        <v>106</v>
      </c>
      <c r="K66">
        <v>65</v>
      </c>
      <c r="L66">
        <v>135</v>
      </c>
      <c r="M66">
        <v>81</v>
      </c>
      <c r="N66" s="143" t="e">
        <v>#DIV/0!</v>
      </c>
      <c r="O66" s="143" t="e">
        <v>#DIV/0!</v>
      </c>
      <c r="P66">
        <v>-47</v>
      </c>
    </row>
    <row r="67" spans="1:16">
      <c r="A67" t="s">
        <v>50</v>
      </c>
      <c r="B67">
        <v>19</v>
      </c>
      <c r="C67">
        <v>213</v>
      </c>
      <c r="D67">
        <v>120</v>
      </c>
      <c r="E67">
        <v>76</v>
      </c>
      <c r="F67">
        <v>152</v>
      </c>
      <c r="G67">
        <v>104</v>
      </c>
      <c r="H67">
        <v>333.4</v>
      </c>
      <c r="I67" s="14">
        <v>416.40240711488286</v>
      </c>
      <c r="J67">
        <v>107</v>
      </c>
      <c r="K67">
        <v>66</v>
      </c>
      <c r="L67">
        <v>110</v>
      </c>
      <c r="M67">
        <v>66</v>
      </c>
      <c r="N67" s="143" t="e">
        <v>#DIV/0!</v>
      </c>
      <c r="O67" s="143" t="e">
        <v>#DIV/0!</v>
      </c>
      <c r="P67">
        <v>3</v>
      </c>
    </row>
    <row r="68" spans="1:16">
      <c r="A68" t="s">
        <v>69</v>
      </c>
      <c r="B68">
        <v>88</v>
      </c>
      <c r="C68">
        <v>157</v>
      </c>
      <c r="D68">
        <v>34</v>
      </c>
      <c r="E68">
        <v>103</v>
      </c>
      <c r="F68">
        <v>209</v>
      </c>
      <c r="G68">
        <v>107</v>
      </c>
      <c r="H68">
        <v>334.1</v>
      </c>
      <c r="I68" s="14">
        <v>405.37396992433349</v>
      </c>
      <c r="J68">
        <v>110</v>
      </c>
      <c r="K68">
        <v>67</v>
      </c>
      <c r="L68">
        <v>101</v>
      </c>
      <c r="M68">
        <v>63</v>
      </c>
      <c r="N68" s="143" t="e">
        <v>#DIV/0!</v>
      </c>
      <c r="O68" s="143" t="e">
        <v>#DIV/0!</v>
      </c>
      <c r="P68">
        <v>29</v>
      </c>
    </row>
    <row r="69" spans="1:16">
      <c r="A69" t="s">
        <v>157</v>
      </c>
      <c r="B69">
        <v>172</v>
      </c>
      <c r="C69">
        <v>81</v>
      </c>
      <c r="D69">
        <v>54</v>
      </c>
      <c r="E69">
        <v>125</v>
      </c>
      <c r="F69">
        <v>124</v>
      </c>
      <c r="G69">
        <v>124</v>
      </c>
      <c r="H69">
        <v>336</v>
      </c>
      <c r="I69" s="14">
        <v>427.18318330743267</v>
      </c>
      <c r="J69">
        <v>112</v>
      </c>
      <c r="K69">
        <v>68</v>
      </c>
      <c r="L69">
        <v>116</v>
      </c>
      <c r="M69">
        <v>70</v>
      </c>
      <c r="N69" s="143" t="e">
        <v>#DIV/0!</v>
      </c>
      <c r="O69" s="143" t="e">
        <v>#DIV/0!</v>
      </c>
      <c r="P69">
        <v>-4</v>
      </c>
    </row>
    <row r="70" spans="1:16">
      <c r="A70" t="s">
        <v>158</v>
      </c>
      <c r="B70">
        <v>136</v>
      </c>
      <c r="C70">
        <v>99</v>
      </c>
      <c r="D70">
        <v>154</v>
      </c>
      <c r="E70">
        <v>75</v>
      </c>
      <c r="F70">
        <v>62</v>
      </c>
      <c r="G70">
        <v>91</v>
      </c>
      <c r="H70">
        <v>337</v>
      </c>
      <c r="I70" s="14">
        <v>407.18482483436037</v>
      </c>
      <c r="J70">
        <v>113</v>
      </c>
      <c r="K70">
        <v>69</v>
      </c>
      <c r="L70">
        <v>103</v>
      </c>
      <c r="M70">
        <v>65</v>
      </c>
      <c r="N70" s="143" t="e">
        <v>#DIV/0!</v>
      </c>
      <c r="O70" s="143" t="e">
        <v>#DIV/0!</v>
      </c>
      <c r="P70">
        <v>64</v>
      </c>
    </row>
    <row r="71" spans="1:16">
      <c r="A71" t="s">
        <v>236</v>
      </c>
      <c r="B71">
        <v>189</v>
      </c>
      <c r="C71">
        <v>49</v>
      </c>
      <c r="D71">
        <v>131</v>
      </c>
      <c r="E71">
        <v>61</v>
      </c>
      <c r="F71">
        <v>81</v>
      </c>
      <c r="G71">
        <v>112</v>
      </c>
      <c r="H71">
        <v>337.2</v>
      </c>
      <c r="I71" s="14">
        <v>419.30471551980372</v>
      </c>
      <c r="J71">
        <v>114</v>
      </c>
      <c r="K71">
        <v>70</v>
      </c>
      <c r="L71">
        <v>111</v>
      </c>
      <c r="M71">
        <v>67</v>
      </c>
      <c r="N71" s="143" t="e">
        <v>#DIV/0!</v>
      </c>
      <c r="O71" s="143" t="e">
        <v>#DIV/0!</v>
      </c>
      <c r="P71">
        <v>60</v>
      </c>
    </row>
    <row r="72" spans="1:16">
      <c r="A72" t="s">
        <v>391</v>
      </c>
      <c r="B72">
        <v>193</v>
      </c>
      <c r="C72">
        <v>156</v>
      </c>
      <c r="D72">
        <v>25</v>
      </c>
      <c r="E72">
        <v>46</v>
      </c>
      <c r="F72">
        <v>109</v>
      </c>
      <c r="G72">
        <v>57</v>
      </c>
      <c r="H72">
        <v>338.4</v>
      </c>
      <c r="I72" s="14">
        <v>335.21124869466132</v>
      </c>
      <c r="J72">
        <v>116</v>
      </c>
      <c r="K72">
        <v>71</v>
      </c>
      <c r="L72">
        <v>67</v>
      </c>
      <c r="M72">
        <v>46</v>
      </c>
      <c r="N72" s="143" t="e">
        <v>#DIV/0!</v>
      </c>
      <c r="O72" s="143" t="e">
        <v>#DIV/0!</v>
      </c>
      <c r="P72">
        <v>153</v>
      </c>
    </row>
    <row r="73" spans="1:16">
      <c r="A73" t="s">
        <v>64</v>
      </c>
      <c r="B73">
        <v>86</v>
      </c>
      <c r="C73">
        <v>206</v>
      </c>
      <c r="D73">
        <v>62</v>
      </c>
      <c r="E73">
        <v>95</v>
      </c>
      <c r="F73">
        <v>132</v>
      </c>
      <c r="G73">
        <v>93</v>
      </c>
      <c r="H73">
        <v>339.79999999999995</v>
      </c>
      <c r="I73" s="14">
        <v>396.54480508987808</v>
      </c>
      <c r="J73">
        <v>117</v>
      </c>
      <c r="K73">
        <v>72</v>
      </c>
      <c r="L73">
        <v>94</v>
      </c>
      <c r="M73">
        <v>60</v>
      </c>
      <c r="N73" s="143" t="e">
        <v>#DIV/0!</v>
      </c>
      <c r="O73" s="143" t="e">
        <v>#DIV/0!</v>
      </c>
      <c r="P73">
        <v>-16</v>
      </c>
    </row>
    <row r="74" spans="1:16">
      <c r="A74" t="s">
        <v>41</v>
      </c>
      <c r="B74">
        <v>27</v>
      </c>
      <c r="C74">
        <v>205</v>
      </c>
      <c r="D74">
        <v>206</v>
      </c>
      <c r="E74">
        <v>105</v>
      </c>
      <c r="F74">
        <v>20</v>
      </c>
      <c r="G74">
        <v>130</v>
      </c>
      <c r="H74">
        <v>340.79999999999995</v>
      </c>
      <c r="I74" s="14">
        <v>468.99640577329399</v>
      </c>
      <c r="J74">
        <v>118</v>
      </c>
      <c r="K74">
        <v>73</v>
      </c>
      <c r="L74">
        <v>131</v>
      </c>
      <c r="M74">
        <v>79</v>
      </c>
      <c r="N74" s="143" t="e">
        <v>#DIV/0!</v>
      </c>
      <c r="O74" s="143" t="e">
        <v>#DIV/0!</v>
      </c>
      <c r="P74">
        <v>-17</v>
      </c>
    </row>
    <row r="75" spans="1:16">
      <c r="A75" t="s">
        <v>245</v>
      </c>
      <c r="B75">
        <v>175</v>
      </c>
      <c r="C75">
        <v>63</v>
      </c>
      <c r="D75">
        <v>208</v>
      </c>
      <c r="E75">
        <v>5</v>
      </c>
      <c r="F75">
        <v>35</v>
      </c>
      <c r="G75">
        <v>86</v>
      </c>
      <c r="H75">
        <v>342.9</v>
      </c>
      <c r="I75" s="14">
        <v>403.01226214908593</v>
      </c>
      <c r="J75">
        <v>120</v>
      </c>
      <c r="K75">
        <v>74</v>
      </c>
      <c r="L75">
        <v>100</v>
      </c>
      <c r="M75">
        <v>62</v>
      </c>
      <c r="N75" s="143" t="e">
        <v>#DIV/0!</v>
      </c>
      <c r="O75" s="143" t="e">
        <v>#DIV/0!</v>
      </c>
      <c r="P75">
        <v>-74</v>
      </c>
    </row>
    <row r="76" spans="1:16">
      <c r="A76" t="s">
        <v>106</v>
      </c>
      <c r="B76">
        <v>42</v>
      </c>
      <c r="C76">
        <v>169</v>
      </c>
      <c r="D76">
        <v>151</v>
      </c>
      <c r="E76">
        <v>196</v>
      </c>
      <c r="F76">
        <v>54</v>
      </c>
      <c r="G76">
        <v>135</v>
      </c>
      <c r="H76">
        <v>346.1</v>
      </c>
      <c r="I76" s="14">
        <v>485.61609257827297</v>
      </c>
      <c r="J76">
        <v>121</v>
      </c>
      <c r="K76">
        <v>75</v>
      </c>
      <c r="L76">
        <v>138</v>
      </c>
      <c r="M76">
        <v>83</v>
      </c>
      <c r="N76" s="143" t="e">
        <v>#DIV/0!</v>
      </c>
      <c r="O76" s="143" t="e">
        <v>#DIV/0!</v>
      </c>
      <c r="P76">
        <v>-7</v>
      </c>
    </row>
    <row r="77" spans="1:16">
      <c r="A77" t="s">
        <v>393</v>
      </c>
      <c r="B77">
        <v>114</v>
      </c>
      <c r="C77">
        <v>135</v>
      </c>
      <c r="D77">
        <v>162</v>
      </c>
      <c r="E77">
        <v>58</v>
      </c>
      <c r="F77">
        <v>77</v>
      </c>
      <c r="G77">
        <v>98</v>
      </c>
      <c r="H77">
        <v>347.29999999999995</v>
      </c>
      <c r="I77" s="14">
        <v>421.70856172971406</v>
      </c>
      <c r="J77">
        <v>122</v>
      </c>
      <c r="K77">
        <v>76</v>
      </c>
      <c r="L77">
        <v>114</v>
      </c>
      <c r="M77">
        <v>69</v>
      </c>
      <c r="N77" s="143" t="e">
        <v>#DIV/0!</v>
      </c>
      <c r="O77" s="143" t="e">
        <v>#DIV/0!</v>
      </c>
      <c r="P77">
        <v>37</v>
      </c>
    </row>
    <row r="78" spans="1:16">
      <c r="A78" t="s">
        <v>307</v>
      </c>
      <c r="B78">
        <v>22</v>
      </c>
      <c r="C78">
        <v>165</v>
      </c>
      <c r="D78">
        <v>165</v>
      </c>
      <c r="E78">
        <v>136</v>
      </c>
      <c r="F78">
        <v>125</v>
      </c>
      <c r="G78">
        <v>169</v>
      </c>
      <c r="H78">
        <v>349</v>
      </c>
      <c r="I78" s="14">
        <v>516.99922286653396</v>
      </c>
      <c r="J78">
        <v>123</v>
      </c>
      <c r="K78">
        <v>77</v>
      </c>
      <c r="L78">
        <v>151</v>
      </c>
      <c r="M78">
        <v>89</v>
      </c>
      <c r="N78" s="143" t="e">
        <v>#DIV/0!</v>
      </c>
      <c r="O78" s="143" t="e">
        <v>#DIV/0!</v>
      </c>
      <c r="P78">
        <v>-2</v>
      </c>
    </row>
    <row r="79" spans="1:16">
      <c r="A79" t="s">
        <v>154</v>
      </c>
      <c r="B79">
        <v>164</v>
      </c>
      <c r="C79">
        <v>42</v>
      </c>
      <c r="D79">
        <v>178</v>
      </c>
      <c r="E79">
        <v>113</v>
      </c>
      <c r="F79">
        <v>49</v>
      </c>
      <c r="G79">
        <v>146</v>
      </c>
      <c r="H79">
        <v>350.7</v>
      </c>
      <c r="I79" s="14">
        <v>486.22779575161309</v>
      </c>
      <c r="J79">
        <v>124</v>
      </c>
      <c r="K79">
        <v>78</v>
      </c>
      <c r="L79">
        <v>139</v>
      </c>
      <c r="M79">
        <v>84</v>
      </c>
      <c r="N79" s="143" t="e">
        <v>#DIV/0!</v>
      </c>
      <c r="O79" s="143" t="e">
        <v>#DIV/0!</v>
      </c>
      <c r="P79">
        <v>50</v>
      </c>
    </row>
    <row r="80" spans="1:16">
      <c r="A80" t="s">
        <v>45</v>
      </c>
      <c r="B80">
        <v>129</v>
      </c>
      <c r="C80">
        <v>180</v>
      </c>
      <c r="D80">
        <v>94</v>
      </c>
      <c r="E80">
        <v>72</v>
      </c>
      <c r="F80">
        <v>94</v>
      </c>
      <c r="G80">
        <v>137</v>
      </c>
      <c r="H80">
        <v>352.8</v>
      </c>
      <c r="I80" s="14">
        <v>450.65873279827889</v>
      </c>
      <c r="J80">
        <v>128</v>
      </c>
      <c r="K80">
        <v>79</v>
      </c>
      <c r="L80">
        <v>124</v>
      </c>
      <c r="M80">
        <v>76</v>
      </c>
      <c r="N80" s="143" t="e">
        <v>#DIV/0!</v>
      </c>
      <c r="O80" s="143" t="e">
        <v>#DIV/0!</v>
      </c>
      <c r="P80">
        <v>4</v>
      </c>
    </row>
    <row r="81" spans="1:16">
      <c r="A81" t="s">
        <v>20</v>
      </c>
      <c r="B81">
        <v>4</v>
      </c>
      <c r="C81">
        <v>194</v>
      </c>
      <c r="D81">
        <v>72</v>
      </c>
      <c r="E81">
        <v>204</v>
      </c>
      <c r="F81">
        <v>207</v>
      </c>
      <c r="G81">
        <v>171</v>
      </c>
      <c r="H81">
        <v>355.1</v>
      </c>
      <c r="I81" s="14">
        <v>519.5554814452737</v>
      </c>
      <c r="J81">
        <v>131</v>
      </c>
      <c r="K81">
        <v>80</v>
      </c>
      <c r="L81">
        <v>153</v>
      </c>
      <c r="M81">
        <v>90</v>
      </c>
      <c r="N81" s="143" t="e">
        <v>#DIV/0!</v>
      </c>
      <c r="O81" s="143" t="e">
        <v>#DIV/0!</v>
      </c>
      <c r="P81">
        <v>32</v>
      </c>
    </row>
    <row r="82" spans="1:16">
      <c r="A82" t="s">
        <v>237</v>
      </c>
      <c r="B82">
        <v>23</v>
      </c>
      <c r="C82">
        <v>159</v>
      </c>
      <c r="D82">
        <v>185</v>
      </c>
      <c r="E82">
        <v>153</v>
      </c>
      <c r="F82">
        <v>102</v>
      </c>
      <c r="G82">
        <v>128</v>
      </c>
      <c r="H82">
        <v>355.5</v>
      </c>
      <c r="I82" s="14">
        <v>488.62847039189575</v>
      </c>
      <c r="J82">
        <v>132</v>
      </c>
      <c r="K82">
        <v>81</v>
      </c>
      <c r="L82">
        <v>140</v>
      </c>
      <c r="M82">
        <v>85</v>
      </c>
      <c r="N82" s="143" t="e">
        <v>#DIV/0!</v>
      </c>
      <c r="O82" s="143" t="e">
        <v>#DIV/0!</v>
      </c>
      <c r="P82">
        <v>-41</v>
      </c>
    </row>
    <row r="83" spans="1:16">
      <c r="A83" t="s">
        <v>86</v>
      </c>
      <c r="B83">
        <v>112</v>
      </c>
      <c r="C83">
        <v>125</v>
      </c>
      <c r="D83">
        <v>193</v>
      </c>
      <c r="E83">
        <v>116</v>
      </c>
      <c r="F83">
        <v>23</v>
      </c>
      <c r="G83">
        <v>119</v>
      </c>
      <c r="H83">
        <v>357.6</v>
      </c>
      <c r="I83" s="14">
        <v>468.44573006180457</v>
      </c>
      <c r="J83">
        <v>135.5</v>
      </c>
      <c r="K83">
        <v>82</v>
      </c>
      <c r="L83">
        <v>130</v>
      </c>
      <c r="M83">
        <v>78</v>
      </c>
      <c r="N83" s="143" t="e">
        <v>#DIV/0!</v>
      </c>
      <c r="O83" s="143" t="e">
        <v>#DIV/0!</v>
      </c>
      <c r="P83">
        <v>-33</v>
      </c>
    </row>
    <row r="84" spans="1:16">
      <c r="A84" t="s">
        <v>221</v>
      </c>
      <c r="B84">
        <v>146</v>
      </c>
      <c r="C84">
        <v>10</v>
      </c>
      <c r="D84">
        <v>81</v>
      </c>
      <c r="E84">
        <v>179</v>
      </c>
      <c r="F84">
        <v>213</v>
      </c>
      <c r="G84">
        <v>193</v>
      </c>
      <c r="H84">
        <v>357.6</v>
      </c>
      <c r="I84" s="14">
        <v>538.0964873729522</v>
      </c>
      <c r="J84">
        <v>135.5</v>
      </c>
      <c r="K84">
        <v>83</v>
      </c>
      <c r="L84">
        <v>162</v>
      </c>
      <c r="M84">
        <v>96</v>
      </c>
      <c r="N84" s="143" t="e">
        <v>#DIV/0!</v>
      </c>
      <c r="O84" s="143" t="e">
        <v>#DIV/0!</v>
      </c>
      <c r="P84">
        <v>-10</v>
      </c>
    </row>
    <row r="85" spans="1:16">
      <c r="A85" t="s">
        <v>91</v>
      </c>
      <c r="B85">
        <v>70</v>
      </c>
      <c r="C85">
        <v>167</v>
      </c>
      <c r="D85">
        <v>98</v>
      </c>
      <c r="E85">
        <v>190</v>
      </c>
      <c r="F85">
        <v>122</v>
      </c>
      <c r="G85">
        <v>134</v>
      </c>
      <c r="H85">
        <v>361.79999999999995</v>
      </c>
      <c r="I85" s="14">
        <v>484.87815238047654</v>
      </c>
      <c r="J85">
        <v>139</v>
      </c>
      <c r="K85">
        <v>84</v>
      </c>
      <c r="L85">
        <v>137</v>
      </c>
      <c r="M85">
        <v>82</v>
      </c>
      <c r="N85" s="143" t="e">
        <v>#DIV/0!</v>
      </c>
      <c r="O85" s="143" t="e">
        <v>#DIV/0!</v>
      </c>
      <c r="P85">
        <v>57</v>
      </c>
    </row>
    <row r="86" spans="1:16">
      <c r="A86" t="s">
        <v>189</v>
      </c>
      <c r="B86">
        <v>196</v>
      </c>
      <c r="C86">
        <v>58</v>
      </c>
      <c r="D86">
        <v>114</v>
      </c>
      <c r="E86">
        <v>27</v>
      </c>
      <c r="F86">
        <v>169</v>
      </c>
      <c r="G86">
        <v>132</v>
      </c>
      <c r="H86">
        <v>366.70000000000005</v>
      </c>
      <c r="I86" s="14">
        <v>455.08092515723376</v>
      </c>
      <c r="J86">
        <v>141</v>
      </c>
      <c r="K86">
        <v>85</v>
      </c>
      <c r="L86">
        <v>125</v>
      </c>
      <c r="M86">
        <v>77</v>
      </c>
      <c r="N86" s="143" t="e">
        <v>#DIV/0!</v>
      </c>
      <c r="O86" s="143" t="e">
        <v>#DIV/0!</v>
      </c>
      <c r="P86">
        <v>-16</v>
      </c>
    </row>
    <row r="87" spans="1:16">
      <c r="A87" t="s">
        <v>398</v>
      </c>
      <c r="B87">
        <v>11</v>
      </c>
      <c r="C87">
        <v>212</v>
      </c>
      <c r="D87">
        <v>188</v>
      </c>
      <c r="E87">
        <v>129</v>
      </c>
      <c r="F87">
        <v>96</v>
      </c>
      <c r="G87">
        <v>159</v>
      </c>
      <c r="H87">
        <v>367.20000000000005</v>
      </c>
      <c r="I87" s="14">
        <v>523.79501875737822</v>
      </c>
      <c r="J87">
        <v>143</v>
      </c>
      <c r="K87">
        <v>86</v>
      </c>
      <c r="L87">
        <v>155</v>
      </c>
      <c r="M87">
        <v>91</v>
      </c>
      <c r="N87" s="143" t="e">
        <v>#DIV/0!</v>
      </c>
      <c r="O87" s="143" t="e">
        <v>#DIV/0!</v>
      </c>
      <c r="P87">
        <v>23</v>
      </c>
    </row>
    <row r="88" spans="1:16">
      <c r="A88" t="s">
        <v>89</v>
      </c>
      <c r="B88">
        <v>108</v>
      </c>
      <c r="C88">
        <v>168</v>
      </c>
      <c r="D88">
        <v>157</v>
      </c>
      <c r="E88">
        <v>121</v>
      </c>
      <c r="F88">
        <v>46</v>
      </c>
      <c r="G88">
        <v>96</v>
      </c>
      <c r="H88">
        <v>368.5</v>
      </c>
      <c r="I88" s="14">
        <v>446.77437803217805</v>
      </c>
      <c r="J88">
        <v>144</v>
      </c>
      <c r="K88">
        <v>87</v>
      </c>
      <c r="L88">
        <v>122</v>
      </c>
      <c r="M88">
        <v>74</v>
      </c>
      <c r="N88" s="143" t="e">
        <v>#DIV/0!</v>
      </c>
      <c r="O88" s="143" t="e">
        <v>#DIV/0!</v>
      </c>
      <c r="P88">
        <v>22</v>
      </c>
    </row>
    <row r="89" spans="1:16">
      <c r="A89" t="s">
        <v>53</v>
      </c>
      <c r="B89">
        <v>73</v>
      </c>
      <c r="C89">
        <v>131</v>
      </c>
      <c r="D89">
        <v>121</v>
      </c>
      <c r="E89">
        <v>166</v>
      </c>
      <c r="F89">
        <v>162</v>
      </c>
      <c r="G89">
        <v>186</v>
      </c>
      <c r="H89">
        <v>369.1</v>
      </c>
      <c r="I89" s="14">
        <v>545.70369048390205</v>
      </c>
      <c r="J89">
        <v>145</v>
      </c>
      <c r="K89">
        <v>88</v>
      </c>
      <c r="L89">
        <v>166</v>
      </c>
      <c r="M89">
        <v>99</v>
      </c>
      <c r="N89" s="143" t="e">
        <v>#DIV/0!</v>
      </c>
      <c r="O89" s="143" t="e">
        <v>#DIV/0!</v>
      </c>
      <c r="P89">
        <v>37</v>
      </c>
    </row>
    <row r="90" spans="1:16">
      <c r="A90" t="s">
        <v>52</v>
      </c>
      <c r="B90">
        <v>200</v>
      </c>
      <c r="C90">
        <v>146</v>
      </c>
      <c r="D90">
        <v>127</v>
      </c>
      <c r="E90">
        <v>7</v>
      </c>
      <c r="F90">
        <v>83</v>
      </c>
      <c r="G90">
        <v>142</v>
      </c>
      <c r="H90">
        <v>380.8</v>
      </c>
      <c r="I90" s="14">
        <v>469.26587790373492</v>
      </c>
      <c r="J90">
        <v>150.5</v>
      </c>
      <c r="K90">
        <v>89</v>
      </c>
      <c r="L90">
        <v>132</v>
      </c>
      <c r="M90">
        <v>80</v>
      </c>
      <c r="N90" s="143" t="e">
        <v>#DIV/0!</v>
      </c>
      <c r="O90" s="143" t="e">
        <v>#DIV/0!</v>
      </c>
      <c r="P90">
        <v>-50</v>
      </c>
    </row>
    <row r="91" spans="1:16">
      <c r="A91" t="s">
        <v>239</v>
      </c>
      <c r="B91">
        <v>154</v>
      </c>
      <c r="C91">
        <v>71</v>
      </c>
      <c r="D91">
        <v>174</v>
      </c>
      <c r="E91">
        <v>132</v>
      </c>
      <c r="F91">
        <v>82</v>
      </c>
      <c r="G91">
        <v>129</v>
      </c>
      <c r="H91">
        <v>381.40000000000003</v>
      </c>
      <c r="I91" s="14">
        <v>498.079840066261</v>
      </c>
      <c r="J91">
        <v>152</v>
      </c>
      <c r="K91">
        <v>90</v>
      </c>
      <c r="L91">
        <v>143</v>
      </c>
      <c r="M91">
        <v>86</v>
      </c>
      <c r="N91" s="143" t="e">
        <v>#DIV/0!</v>
      </c>
      <c r="O91" s="143" t="e">
        <v>#DIV/0!</v>
      </c>
      <c r="P91">
        <v>75</v>
      </c>
    </row>
    <row r="92" spans="1:16">
      <c r="A92" t="s">
        <v>67</v>
      </c>
      <c r="B92">
        <v>103</v>
      </c>
      <c r="C92">
        <v>184</v>
      </c>
      <c r="D92">
        <v>218</v>
      </c>
      <c r="E92">
        <v>54</v>
      </c>
      <c r="F92">
        <v>29</v>
      </c>
      <c r="G92">
        <v>211</v>
      </c>
      <c r="H92">
        <v>381.5</v>
      </c>
      <c r="I92" s="14">
        <v>571.98081832154958</v>
      </c>
      <c r="J92">
        <v>153</v>
      </c>
      <c r="K92">
        <v>91</v>
      </c>
      <c r="L92">
        <v>178</v>
      </c>
      <c r="M92">
        <v>107</v>
      </c>
      <c r="N92" s="143" t="e">
        <v>#DIV/0!</v>
      </c>
      <c r="O92" s="143" t="e">
        <v>#DIV/0!</v>
      </c>
      <c r="P92">
        <v>-23</v>
      </c>
    </row>
    <row r="93" spans="1:16">
      <c r="A93" t="s">
        <v>70</v>
      </c>
      <c r="B93">
        <v>97</v>
      </c>
      <c r="C93">
        <v>207</v>
      </c>
      <c r="D93">
        <v>79</v>
      </c>
      <c r="E93">
        <v>183</v>
      </c>
      <c r="F93">
        <v>103</v>
      </c>
      <c r="G93">
        <v>206</v>
      </c>
      <c r="H93">
        <v>381.8</v>
      </c>
      <c r="I93" s="14">
        <v>563.76435457740376</v>
      </c>
      <c r="J93">
        <v>154</v>
      </c>
      <c r="K93">
        <v>92</v>
      </c>
      <c r="L93">
        <v>173</v>
      </c>
      <c r="M93">
        <v>104</v>
      </c>
      <c r="N93" s="143" t="e">
        <v>#DIV/0!</v>
      </c>
      <c r="O93" s="143" t="e">
        <v>#DIV/0!</v>
      </c>
      <c r="P93">
        <v>14</v>
      </c>
    </row>
    <row r="94" spans="1:16">
      <c r="A94" t="s">
        <v>175</v>
      </c>
      <c r="B94">
        <v>168</v>
      </c>
      <c r="C94">
        <v>23</v>
      </c>
      <c r="D94">
        <v>179</v>
      </c>
      <c r="E94">
        <v>176</v>
      </c>
      <c r="F94">
        <v>76</v>
      </c>
      <c r="G94">
        <v>167</v>
      </c>
      <c r="H94">
        <v>381.9</v>
      </c>
      <c r="I94" s="14">
        <v>547.02873611750272</v>
      </c>
      <c r="J94">
        <v>155</v>
      </c>
      <c r="K94">
        <v>93</v>
      </c>
      <c r="L94">
        <v>167</v>
      </c>
      <c r="M94">
        <v>100</v>
      </c>
      <c r="N94" s="143" t="e">
        <v>#DIV/0!</v>
      </c>
      <c r="O94" s="143" t="e">
        <v>#DIV/0!</v>
      </c>
      <c r="P94">
        <v>-8</v>
      </c>
    </row>
    <row r="95" spans="1:16">
      <c r="A95" t="s">
        <v>77</v>
      </c>
      <c r="B95">
        <v>52</v>
      </c>
      <c r="C95">
        <v>210</v>
      </c>
      <c r="D95">
        <v>112</v>
      </c>
      <c r="E95">
        <v>145</v>
      </c>
      <c r="F95">
        <v>156</v>
      </c>
      <c r="G95">
        <v>182</v>
      </c>
      <c r="H95">
        <v>382</v>
      </c>
      <c r="I95" s="14">
        <v>544.40812757632375</v>
      </c>
      <c r="J95">
        <v>156</v>
      </c>
      <c r="K95">
        <v>94</v>
      </c>
      <c r="L95">
        <v>165</v>
      </c>
      <c r="M95">
        <v>98</v>
      </c>
      <c r="N95" s="143" t="e">
        <v>#DIV/0!</v>
      </c>
      <c r="O95" s="143" t="e">
        <v>#DIV/0!</v>
      </c>
      <c r="P95">
        <v>-14</v>
      </c>
    </row>
    <row r="96" spans="1:16">
      <c r="A96" t="s">
        <v>417</v>
      </c>
      <c r="B96">
        <v>145</v>
      </c>
      <c r="C96">
        <v>5</v>
      </c>
      <c r="D96">
        <v>150</v>
      </c>
      <c r="E96">
        <v>205</v>
      </c>
      <c r="F96">
        <v>154</v>
      </c>
      <c r="G96">
        <v>185</v>
      </c>
      <c r="H96">
        <v>383</v>
      </c>
      <c r="I96" s="14">
        <v>569.98949671871242</v>
      </c>
      <c r="J96">
        <v>157</v>
      </c>
      <c r="K96">
        <v>95</v>
      </c>
      <c r="L96">
        <v>177</v>
      </c>
      <c r="M96">
        <v>106</v>
      </c>
      <c r="N96" s="143" t="e">
        <v>#DIV/0!</v>
      </c>
      <c r="O96" s="143" t="e">
        <v>#DIV/0!</v>
      </c>
      <c r="P96">
        <v>-37</v>
      </c>
    </row>
    <row r="97" spans="1:16">
      <c r="A97" t="s">
        <v>142</v>
      </c>
      <c r="B97">
        <v>143</v>
      </c>
      <c r="C97">
        <v>200</v>
      </c>
      <c r="D97">
        <v>60</v>
      </c>
      <c r="E97">
        <v>68</v>
      </c>
      <c r="F97">
        <v>160</v>
      </c>
      <c r="G97">
        <v>114</v>
      </c>
      <c r="H97">
        <v>383.59999999999997</v>
      </c>
      <c r="I97" s="14">
        <v>445.07623699969253</v>
      </c>
      <c r="J97">
        <v>158</v>
      </c>
      <c r="K97">
        <v>96</v>
      </c>
      <c r="L97">
        <v>121</v>
      </c>
      <c r="M97">
        <v>73</v>
      </c>
      <c r="N97" s="143" t="e">
        <v>#DIV/0!</v>
      </c>
      <c r="O97" s="143" t="e">
        <v>#DIV/0!</v>
      </c>
      <c r="P97">
        <v>-3</v>
      </c>
    </row>
    <row r="98" spans="1:16">
      <c r="A98" t="s">
        <v>126</v>
      </c>
      <c r="B98">
        <v>92</v>
      </c>
      <c r="C98">
        <v>98</v>
      </c>
      <c r="D98">
        <v>169</v>
      </c>
      <c r="E98">
        <v>89</v>
      </c>
      <c r="F98">
        <v>198</v>
      </c>
      <c r="G98">
        <v>180</v>
      </c>
      <c r="H98">
        <v>385.3</v>
      </c>
      <c r="I98" s="14">
        <v>549.57213520566575</v>
      </c>
      <c r="J98">
        <v>160</v>
      </c>
      <c r="K98">
        <v>97</v>
      </c>
      <c r="L98">
        <v>169</v>
      </c>
      <c r="M98">
        <v>101</v>
      </c>
      <c r="N98" s="143" t="e">
        <v>#DIV/0!</v>
      </c>
      <c r="O98" s="143" t="e">
        <v>#DIV/0!</v>
      </c>
      <c r="P98">
        <v>35</v>
      </c>
    </row>
    <row r="99" spans="1:16">
      <c r="A99" t="s">
        <v>174</v>
      </c>
      <c r="B99">
        <v>137</v>
      </c>
      <c r="C99">
        <v>121</v>
      </c>
      <c r="D99">
        <v>181</v>
      </c>
      <c r="E99">
        <v>180</v>
      </c>
      <c r="F99">
        <v>19</v>
      </c>
      <c r="G99">
        <v>147</v>
      </c>
      <c r="H99">
        <v>390.4</v>
      </c>
      <c r="I99" s="14">
        <v>531.86099192636357</v>
      </c>
      <c r="J99">
        <v>162</v>
      </c>
      <c r="K99">
        <v>98</v>
      </c>
      <c r="L99">
        <v>157</v>
      </c>
      <c r="M99">
        <v>93</v>
      </c>
      <c r="N99" s="143" t="e">
        <v>#DIV/0!</v>
      </c>
      <c r="O99" s="143" t="e">
        <v>#DIV/0!</v>
      </c>
      <c r="P99">
        <v>4</v>
      </c>
    </row>
    <row r="100" spans="1:16">
      <c r="A100" t="s">
        <v>155</v>
      </c>
      <c r="B100">
        <v>114</v>
      </c>
      <c r="C100">
        <v>196</v>
      </c>
      <c r="D100">
        <v>101</v>
      </c>
      <c r="E100">
        <v>52</v>
      </c>
      <c r="F100">
        <v>181</v>
      </c>
      <c r="G100">
        <v>162</v>
      </c>
      <c r="H100">
        <v>390.8</v>
      </c>
      <c r="I100" s="14">
        <v>507.79858146847658</v>
      </c>
      <c r="J100">
        <v>163</v>
      </c>
      <c r="K100">
        <v>99</v>
      </c>
      <c r="L100">
        <v>148</v>
      </c>
      <c r="M100">
        <v>88</v>
      </c>
      <c r="N100" s="143" t="e">
        <v>#DIV/0!</v>
      </c>
      <c r="O100" s="143" t="e">
        <v>#DIV/0!</v>
      </c>
      <c r="P100">
        <v>-32</v>
      </c>
    </row>
    <row r="101" spans="1:16">
      <c r="A101" t="s">
        <v>247</v>
      </c>
      <c r="B101">
        <v>166</v>
      </c>
      <c r="C101">
        <v>95</v>
      </c>
      <c r="D101">
        <v>167</v>
      </c>
      <c r="E101">
        <v>112</v>
      </c>
      <c r="F101">
        <v>80</v>
      </c>
      <c r="G101">
        <v>157</v>
      </c>
      <c r="H101">
        <v>391.5</v>
      </c>
      <c r="I101" s="14">
        <v>527.0734326883387</v>
      </c>
      <c r="J101">
        <v>164</v>
      </c>
      <c r="K101">
        <v>100</v>
      </c>
      <c r="L101">
        <v>156</v>
      </c>
      <c r="M101">
        <v>92</v>
      </c>
      <c r="N101" s="143" t="e">
        <v>#DIV/0!</v>
      </c>
      <c r="O101" s="143" t="e">
        <v>#DIV/0!</v>
      </c>
      <c r="P101">
        <v>22</v>
      </c>
    </row>
    <row r="102" spans="1:16">
      <c r="A102" t="s">
        <v>170</v>
      </c>
      <c r="B102">
        <v>206</v>
      </c>
      <c r="C102">
        <v>93</v>
      </c>
      <c r="D102">
        <v>124</v>
      </c>
      <c r="E102">
        <v>114</v>
      </c>
      <c r="F102">
        <v>83</v>
      </c>
      <c r="G102">
        <v>140</v>
      </c>
      <c r="H102">
        <v>394.50000000000006</v>
      </c>
      <c r="I102" s="14">
        <v>500.77700625984897</v>
      </c>
      <c r="J102">
        <v>165</v>
      </c>
      <c r="K102">
        <v>101</v>
      </c>
      <c r="L102">
        <v>146</v>
      </c>
      <c r="M102">
        <v>87</v>
      </c>
      <c r="N102" s="143" t="e">
        <v>#DIV/0!</v>
      </c>
      <c r="O102" s="143" t="e">
        <v>#DIV/0!</v>
      </c>
      <c r="P102">
        <v>23</v>
      </c>
    </row>
    <row r="103" spans="1:16">
      <c r="A103" t="s">
        <v>243</v>
      </c>
      <c r="B103">
        <v>107</v>
      </c>
      <c r="C103">
        <v>158</v>
      </c>
      <c r="D103">
        <v>194</v>
      </c>
      <c r="E103">
        <v>30</v>
      </c>
      <c r="F103">
        <v>150</v>
      </c>
      <c r="G103">
        <v>164</v>
      </c>
      <c r="H103">
        <v>403.2</v>
      </c>
      <c r="I103" s="14">
        <v>537.34075245801648</v>
      </c>
      <c r="J103">
        <v>167</v>
      </c>
      <c r="K103">
        <v>102</v>
      </c>
      <c r="L103">
        <v>160</v>
      </c>
      <c r="M103">
        <v>95</v>
      </c>
      <c r="N103" s="143" t="e">
        <v>#DIV/0!</v>
      </c>
      <c r="O103" s="143" t="e">
        <v>#DIV/0!</v>
      </c>
      <c r="P103">
        <v>42</v>
      </c>
    </row>
    <row r="104" spans="1:16">
      <c r="A104" t="s">
        <v>394</v>
      </c>
      <c r="B104">
        <v>133</v>
      </c>
      <c r="C104">
        <v>100</v>
      </c>
      <c r="D104">
        <v>204</v>
      </c>
      <c r="E104">
        <v>19</v>
      </c>
      <c r="F104">
        <v>181</v>
      </c>
      <c r="G104">
        <v>156</v>
      </c>
      <c r="H104">
        <v>407.3</v>
      </c>
      <c r="I104" s="14">
        <v>534.17995431521661</v>
      </c>
      <c r="J104">
        <v>170.5</v>
      </c>
      <c r="K104">
        <v>104</v>
      </c>
      <c r="L104">
        <v>158</v>
      </c>
      <c r="M104">
        <v>94</v>
      </c>
      <c r="N104" s="143" t="e">
        <v>#DIV/0!</v>
      </c>
      <c r="O104" s="143" t="e">
        <v>#DIV/0!</v>
      </c>
      <c r="P104">
        <v>19</v>
      </c>
    </row>
    <row r="105" spans="1:16">
      <c r="A105" t="s">
        <v>110</v>
      </c>
      <c r="B105">
        <v>117</v>
      </c>
      <c r="C105">
        <v>152</v>
      </c>
      <c r="D105">
        <v>117</v>
      </c>
      <c r="E105">
        <v>144</v>
      </c>
      <c r="F105">
        <v>166</v>
      </c>
      <c r="G105">
        <v>173</v>
      </c>
      <c r="H105">
        <v>407.3</v>
      </c>
      <c r="I105" s="14">
        <v>555.26093329236323</v>
      </c>
      <c r="J105">
        <v>170.5</v>
      </c>
      <c r="K105">
        <v>103</v>
      </c>
      <c r="L105">
        <v>171</v>
      </c>
      <c r="M105">
        <v>102</v>
      </c>
      <c r="N105" s="143" t="e">
        <v>#DIV/0!</v>
      </c>
      <c r="O105" s="143" t="e">
        <v>#DIV/0!</v>
      </c>
      <c r="P105">
        <v>61</v>
      </c>
    </row>
    <row r="106" spans="1:16">
      <c r="A106" t="s">
        <v>32</v>
      </c>
      <c r="B106">
        <v>128</v>
      </c>
      <c r="C106">
        <v>193</v>
      </c>
      <c r="D106">
        <v>66</v>
      </c>
      <c r="E106">
        <v>181</v>
      </c>
      <c r="F106">
        <v>143</v>
      </c>
      <c r="G106">
        <v>165</v>
      </c>
      <c r="H106">
        <v>408.29999999999995</v>
      </c>
      <c r="I106" s="14">
        <v>541.0122325308771</v>
      </c>
      <c r="J106">
        <v>172</v>
      </c>
      <c r="K106">
        <v>105</v>
      </c>
      <c r="L106">
        <v>163</v>
      </c>
      <c r="M106">
        <v>97</v>
      </c>
      <c r="N106" s="143" t="e">
        <v>#DIV/0!</v>
      </c>
      <c r="O106" s="143" t="e">
        <v>#DIV/0!</v>
      </c>
      <c r="P106">
        <v>-23</v>
      </c>
    </row>
    <row r="107" spans="1:16">
      <c r="A107" t="s">
        <v>146</v>
      </c>
      <c r="B107">
        <v>125</v>
      </c>
      <c r="C107">
        <v>144</v>
      </c>
      <c r="D107">
        <v>145</v>
      </c>
      <c r="E107">
        <v>130</v>
      </c>
      <c r="F107">
        <v>142</v>
      </c>
      <c r="G107">
        <v>174</v>
      </c>
      <c r="H107">
        <v>410.9</v>
      </c>
      <c r="I107" s="14">
        <v>561.68272012941452</v>
      </c>
      <c r="J107">
        <v>173</v>
      </c>
      <c r="K107">
        <v>106</v>
      </c>
      <c r="L107">
        <v>172</v>
      </c>
      <c r="M107">
        <v>103</v>
      </c>
      <c r="N107" s="143" t="e">
        <v>#DIV/0!</v>
      </c>
      <c r="O107" s="143" t="e">
        <v>#DIV/0!</v>
      </c>
      <c r="P107">
        <v>-4</v>
      </c>
    </row>
    <row r="108" spans="1:16">
      <c r="A108" t="s">
        <v>244</v>
      </c>
      <c r="B108">
        <v>108</v>
      </c>
      <c r="C108">
        <v>124</v>
      </c>
      <c r="D108">
        <v>149</v>
      </c>
      <c r="E108">
        <v>135</v>
      </c>
      <c r="F108">
        <v>190</v>
      </c>
      <c r="G108">
        <v>191</v>
      </c>
      <c r="H108">
        <v>414.1</v>
      </c>
      <c r="I108" s="14">
        <v>586.67241988054434</v>
      </c>
      <c r="J108">
        <v>176</v>
      </c>
      <c r="K108">
        <v>107</v>
      </c>
      <c r="L108">
        <v>180</v>
      </c>
      <c r="M108">
        <v>108</v>
      </c>
      <c r="N108" s="143" t="e">
        <v>#DIV/0!</v>
      </c>
      <c r="O108" s="143" t="e">
        <v>#DIV/0!</v>
      </c>
      <c r="P108">
        <v>7</v>
      </c>
    </row>
    <row r="109" spans="1:16">
      <c r="A109" t="s">
        <v>220</v>
      </c>
      <c r="B109">
        <v>206</v>
      </c>
      <c r="C109">
        <v>106</v>
      </c>
      <c r="D109">
        <v>212</v>
      </c>
      <c r="E109">
        <v>90</v>
      </c>
      <c r="F109">
        <v>8</v>
      </c>
      <c r="G109">
        <v>175</v>
      </c>
      <c r="H109">
        <v>416.79999999999995</v>
      </c>
      <c r="I109" s="14">
        <v>566.14595654275467</v>
      </c>
      <c r="J109">
        <v>178</v>
      </c>
      <c r="K109">
        <v>108</v>
      </c>
      <c r="L109">
        <v>174</v>
      </c>
      <c r="M109">
        <v>105</v>
      </c>
      <c r="N109" s="143" t="e">
        <v>#DIV/0!</v>
      </c>
      <c r="O109" s="143" t="e">
        <v>#DIV/0!</v>
      </c>
      <c r="P109">
        <v>12</v>
      </c>
    </row>
    <row r="110" spans="1:16">
      <c r="A110" t="s">
        <v>83</v>
      </c>
      <c r="B110">
        <v>79</v>
      </c>
      <c r="C110">
        <v>203</v>
      </c>
      <c r="D110">
        <v>210</v>
      </c>
      <c r="E110">
        <v>155</v>
      </c>
      <c r="F110">
        <v>51</v>
      </c>
      <c r="G110">
        <v>190</v>
      </c>
      <c r="H110">
        <v>419.5</v>
      </c>
      <c r="I110" s="14">
        <v>602.25608655909787</v>
      </c>
      <c r="J110">
        <v>180</v>
      </c>
      <c r="K110">
        <v>109</v>
      </c>
      <c r="L110">
        <v>186</v>
      </c>
      <c r="M110">
        <v>110</v>
      </c>
      <c r="N110" s="143" t="e">
        <v>#DIV/0!</v>
      </c>
      <c r="O110" s="143" t="e">
        <v>#DIV/0!</v>
      </c>
      <c r="P110">
        <v>-60</v>
      </c>
    </row>
    <row r="111" spans="1:16">
      <c r="A111" t="s">
        <v>95</v>
      </c>
      <c r="B111">
        <v>111</v>
      </c>
      <c r="C111">
        <v>145</v>
      </c>
      <c r="D111">
        <v>202</v>
      </c>
      <c r="E111">
        <v>118</v>
      </c>
      <c r="F111">
        <v>111</v>
      </c>
      <c r="G111">
        <v>194</v>
      </c>
      <c r="H111">
        <v>419.9</v>
      </c>
      <c r="I111" s="14">
        <v>599.37245083877815</v>
      </c>
      <c r="J111">
        <v>181</v>
      </c>
      <c r="K111">
        <v>110</v>
      </c>
      <c r="L111">
        <v>184</v>
      </c>
      <c r="M111">
        <v>109</v>
      </c>
      <c r="N111" s="143" t="e">
        <v>#DIV/0!</v>
      </c>
      <c r="O111" s="143" t="e">
        <v>#DIV/0!</v>
      </c>
      <c r="P111">
        <v>28</v>
      </c>
    </row>
    <row r="112" spans="1:16">
      <c r="A112" t="s">
        <v>385</v>
      </c>
      <c r="B112">
        <v>213</v>
      </c>
      <c r="C112">
        <v>27</v>
      </c>
      <c r="D112">
        <v>118</v>
      </c>
      <c r="E112">
        <v>209</v>
      </c>
      <c r="F112">
        <v>180</v>
      </c>
      <c r="G112">
        <v>199</v>
      </c>
      <c r="H112">
        <v>442.8</v>
      </c>
      <c r="I112" s="14">
        <v>622.30644043071959</v>
      </c>
      <c r="J112">
        <v>193</v>
      </c>
      <c r="K112">
        <v>111</v>
      </c>
      <c r="L112">
        <v>194</v>
      </c>
      <c r="M112">
        <v>111</v>
      </c>
      <c r="N112" s="143" t="e">
        <v>#DIV/0!</v>
      </c>
      <c r="O112" s="143" t="e">
        <v>#DIV/0!</v>
      </c>
      <c r="P112">
        <v>20</v>
      </c>
    </row>
    <row r="113" spans="1:16">
      <c r="A113" t="s">
        <v>84</v>
      </c>
      <c r="B113">
        <v>39</v>
      </c>
      <c r="C113">
        <v>214</v>
      </c>
      <c r="D113">
        <v>201</v>
      </c>
      <c r="E113">
        <v>165</v>
      </c>
      <c r="F113">
        <v>174</v>
      </c>
      <c r="G113">
        <v>208</v>
      </c>
      <c r="H113">
        <v>453.3</v>
      </c>
      <c r="I113" s="14">
        <v>654.38332493244536</v>
      </c>
      <c r="J113">
        <v>195</v>
      </c>
      <c r="K113">
        <v>112</v>
      </c>
      <c r="L113">
        <v>199</v>
      </c>
      <c r="M113">
        <v>112</v>
      </c>
      <c r="N113" s="143" t="e">
        <v>#DIV/0!</v>
      </c>
      <c r="O113" s="143" t="e">
        <v>#DIV/0!</v>
      </c>
      <c r="P113">
        <v>29</v>
      </c>
    </row>
    <row r="114" spans="1:16">
      <c r="A114" t="s">
        <v>387</v>
      </c>
      <c r="B114">
        <v>176</v>
      </c>
      <c r="C114">
        <v>36</v>
      </c>
      <c r="D114">
        <v>192</v>
      </c>
      <c r="E114">
        <v>164</v>
      </c>
      <c r="F114">
        <v>206</v>
      </c>
      <c r="G114">
        <v>212</v>
      </c>
      <c r="H114">
        <v>465.4</v>
      </c>
      <c r="I114" s="14">
        <v>664.54638406005802</v>
      </c>
      <c r="J114">
        <v>199</v>
      </c>
      <c r="K114">
        <v>113</v>
      </c>
      <c r="L114">
        <v>202</v>
      </c>
      <c r="M114">
        <v>113</v>
      </c>
      <c r="N114" s="143" t="e">
        <v>#DIV/0!</v>
      </c>
      <c r="O114" s="143" t="e">
        <v>#DIV/0!</v>
      </c>
      <c r="P114">
        <v>21</v>
      </c>
    </row>
    <row r="115" spans="1:16">
      <c r="A115" t="s">
        <v>240</v>
      </c>
      <c r="B115">
        <v>146</v>
      </c>
      <c r="C115">
        <v>179</v>
      </c>
      <c r="D115">
        <v>216</v>
      </c>
      <c r="E115">
        <v>156</v>
      </c>
      <c r="F115">
        <v>160</v>
      </c>
      <c r="G115">
        <v>214</v>
      </c>
      <c r="H115">
        <v>517.79999999999995</v>
      </c>
      <c r="I115" s="14">
        <v>708.69154591923063</v>
      </c>
      <c r="J115">
        <v>208</v>
      </c>
      <c r="K115">
        <v>114</v>
      </c>
      <c r="L115">
        <v>208</v>
      </c>
      <c r="M115">
        <v>114</v>
      </c>
      <c r="N115" s="143" t="e">
        <v>#DIV/0!</v>
      </c>
      <c r="O115" s="143" t="e">
        <v>#DIV/0!</v>
      </c>
      <c r="P115">
        <v>-1</v>
      </c>
    </row>
  </sheetData>
  <conditionalFormatting sqref="N2:O1048576">
    <cfRule type="cellIs" dxfId="48" priority="5" operator="greaterThanOrEqual">
      <formula>20%</formula>
    </cfRule>
    <cfRule type="cellIs" dxfId="47" priority="6" operator="between">
      <formula>10%</formula>
      <formula>20%</formula>
    </cfRule>
    <cfRule type="cellIs" dxfId="46" priority="7" operator="between">
      <formula>0.01%</formula>
      <formula>10%</formula>
    </cfRule>
  </conditionalFormatting>
  <conditionalFormatting sqref="B2:G1048576 J2:M1048576">
    <cfRule type="cellIs" dxfId="45" priority="8" operator="between">
      <formula>101</formula>
      <formula>250</formula>
    </cfRule>
    <cfRule type="cellIs" dxfId="44" priority="9" operator="between">
      <formula>51</formula>
      <formula>100.5</formula>
    </cfRule>
    <cfRule type="cellIs" dxfId="43" priority="10" operator="between">
      <formula>21</formula>
      <formula>50.5</formula>
    </cfRule>
    <cfRule type="cellIs" dxfId="42"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5D9E-EB4B-4161-8D67-6BECD842D2AF}">
  <sheetPr codeName="Sheet62">
    <tabColor rgb="FFFF0000"/>
  </sheetPr>
  <dimension ref="A1:V106"/>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382</v>
      </c>
      <c r="B2">
        <v>44</v>
      </c>
      <c r="C2">
        <v>137</v>
      </c>
      <c r="D2">
        <v>55</v>
      </c>
      <c r="E2">
        <v>41</v>
      </c>
      <c r="F2">
        <v>154</v>
      </c>
      <c r="G2">
        <v>50</v>
      </c>
      <c r="H2">
        <v>202.1</v>
      </c>
      <c r="I2" s="14">
        <v>272.50024234248053</v>
      </c>
      <c r="J2">
        <v>36</v>
      </c>
      <c r="K2">
        <v>29</v>
      </c>
      <c r="L2">
        <v>38</v>
      </c>
      <c r="M2">
        <v>28</v>
      </c>
      <c r="N2" s="143" t="e">
        <v>#DIV/0!</v>
      </c>
      <c r="O2" s="143" t="e">
        <v>#DIV/0!</v>
      </c>
      <c r="P2">
        <v>65</v>
      </c>
      <c r="Q2">
        <v>1</v>
      </c>
    </row>
    <row r="3" spans="1:22">
      <c r="A3" s="137" t="s">
        <v>27</v>
      </c>
      <c r="B3">
        <v>35</v>
      </c>
      <c r="C3">
        <v>40</v>
      </c>
      <c r="D3">
        <v>19</v>
      </c>
      <c r="E3">
        <v>57</v>
      </c>
      <c r="F3">
        <v>95</v>
      </c>
      <c r="G3">
        <v>11</v>
      </c>
      <c r="H3">
        <v>114.6</v>
      </c>
      <c r="I3" s="14">
        <v>137.56726580510249</v>
      </c>
      <c r="J3">
        <v>1</v>
      </c>
      <c r="K3">
        <v>1</v>
      </c>
      <c r="L3">
        <v>4</v>
      </c>
      <c r="M3">
        <v>4</v>
      </c>
      <c r="N3" s="143" t="e">
        <v>#DIV/0!</v>
      </c>
      <c r="O3" s="143" t="e">
        <v>#DIV/0!</v>
      </c>
      <c r="P3">
        <v>-2</v>
      </c>
    </row>
    <row r="4" spans="1:22">
      <c r="A4" s="20" t="s">
        <v>287</v>
      </c>
      <c r="B4">
        <v>71</v>
      </c>
      <c r="C4">
        <v>74</v>
      </c>
      <c r="D4">
        <v>22</v>
      </c>
      <c r="E4">
        <v>48</v>
      </c>
      <c r="F4">
        <v>5</v>
      </c>
      <c r="G4">
        <v>3</v>
      </c>
      <c r="H4">
        <v>115.89999999999999</v>
      </c>
      <c r="I4" s="14">
        <v>123.89288349308219</v>
      </c>
      <c r="J4">
        <v>2</v>
      </c>
      <c r="K4">
        <v>2</v>
      </c>
      <c r="L4">
        <v>1</v>
      </c>
      <c r="M4">
        <v>1</v>
      </c>
      <c r="N4" s="143" t="e">
        <v>#DIV/0!</v>
      </c>
      <c r="O4" s="143" t="e">
        <v>#DIV/0!</v>
      </c>
      <c r="P4">
        <v>-2</v>
      </c>
    </row>
    <row r="5" spans="1:22">
      <c r="A5" s="137" t="s">
        <v>73</v>
      </c>
      <c r="B5">
        <v>23</v>
      </c>
      <c r="C5">
        <v>83</v>
      </c>
      <c r="D5">
        <v>46</v>
      </c>
      <c r="E5">
        <v>24</v>
      </c>
      <c r="F5">
        <v>71</v>
      </c>
      <c r="G5">
        <v>10</v>
      </c>
      <c r="H5">
        <v>119.5</v>
      </c>
      <c r="I5" s="14">
        <v>142.40405432242758</v>
      </c>
      <c r="J5">
        <v>3</v>
      </c>
      <c r="K5">
        <v>3</v>
      </c>
      <c r="L5">
        <v>5</v>
      </c>
      <c r="M5">
        <v>5</v>
      </c>
      <c r="N5" s="143" t="e">
        <v>#DIV/0!</v>
      </c>
      <c r="O5" s="143" t="e">
        <v>#DIV/0!</v>
      </c>
      <c r="P5">
        <v>34</v>
      </c>
    </row>
    <row r="6" spans="1:22">
      <c r="A6" s="136" t="s">
        <v>113</v>
      </c>
      <c r="B6">
        <v>58</v>
      </c>
      <c r="C6">
        <v>21</v>
      </c>
      <c r="D6">
        <v>61</v>
      </c>
      <c r="E6">
        <v>3</v>
      </c>
      <c r="F6">
        <v>70</v>
      </c>
      <c r="G6">
        <v>5</v>
      </c>
      <c r="H6">
        <v>120.89999999999999</v>
      </c>
      <c r="I6" s="14">
        <v>130.67959388377585</v>
      </c>
      <c r="J6">
        <v>4</v>
      </c>
      <c r="K6">
        <v>4</v>
      </c>
      <c r="L6">
        <v>2</v>
      </c>
      <c r="M6">
        <v>2</v>
      </c>
      <c r="N6" s="143" t="e">
        <v>#DIV/0!</v>
      </c>
      <c r="O6" s="143" t="e">
        <v>#DIV/0!</v>
      </c>
      <c r="P6">
        <v>3</v>
      </c>
    </row>
    <row r="7" spans="1:22">
      <c r="A7" t="s">
        <v>15</v>
      </c>
      <c r="B7">
        <v>8</v>
      </c>
      <c r="C7">
        <v>65</v>
      </c>
      <c r="D7">
        <v>7</v>
      </c>
      <c r="E7">
        <v>167</v>
      </c>
      <c r="F7">
        <v>56</v>
      </c>
      <c r="G7">
        <v>2</v>
      </c>
      <c r="H7">
        <v>125.7</v>
      </c>
      <c r="I7" s="14">
        <v>154.86129735588887</v>
      </c>
      <c r="J7">
        <v>5</v>
      </c>
      <c r="K7">
        <v>5</v>
      </c>
      <c r="L7">
        <v>8</v>
      </c>
      <c r="M7">
        <v>8</v>
      </c>
      <c r="N7" s="143" t="e">
        <v>#DIV/0!</v>
      </c>
      <c r="O7" s="143" t="e">
        <v>#DIV/0!</v>
      </c>
      <c r="P7">
        <v>1</v>
      </c>
    </row>
    <row r="8" spans="1:22">
      <c r="A8" s="136" t="s">
        <v>166</v>
      </c>
      <c r="B8">
        <v>107</v>
      </c>
      <c r="C8">
        <v>15</v>
      </c>
      <c r="D8">
        <v>5</v>
      </c>
      <c r="E8">
        <v>34</v>
      </c>
      <c r="F8">
        <v>75</v>
      </c>
      <c r="G8">
        <v>8</v>
      </c>
      <c r="H8">
        <v>128</v>
      </c>
      <c r="I8" s="14">
        <v>133.81294330860811</v>
      </c>
      <c r="J8">
        <v>6</v>
      </c>
      <c r="K8">
        <v>6</v>
      </c>
      <c r="L8">
        <v>3</v>
      </c>
      <c r="M8">
        <v>3</v>
      </c>
      <c r="N8" s="143" t="e">
        <v>#DIV/0!</v>
      </c>
      <c r="O8" s="143" t="e">
        <v>#DIV/0!</v>
      </c>
      <c r="P8">
        <v>12</v>
      </c>
    </row>
    <row r="9" spans="1:22">
      <c r="A9" t="s">
        <v>409</v>
      </c>
      <c r="B9">
        <v>64</v>
      </c>
      <c r="C9">
        <v>85</v>
      </c>
      <c r="D9">
        <v>16</v>
      </c>
      <c r="E9">
        <v>6</v>
      </c>
      <c r="F9">
        <v>92</v>
      </c>
      <c r="G9">
        <v>15</v>
      </c>
      <c r="H9">
        <v>129.20000000000002</v>
      </c>
      <c r="I9" s="14">
        <v>148.51040313209762</v>
      </c>
      <c r="J9">
        <v>7</v>
      </c>
      <c r="K9">
        <v>7</v>
      </c>
      <c r="L9">
        <v>7</v>
      </c>
      <c r="M9">
        <v>7</v>
      </c>
      <c r="N9" s="143" t="e">
        <v>#DIV/0!</v>
      </c>
      <c r="O9" s="143" t="e">
        <v>#DIV/0!</v>
      </c>
      <c r="P9">
        <v>-3</v>
      </c>
    </row>
    <row r="10" spans="1:22">
      <c r="A10" t="s">
        <v>40</v>
      </c>
      <c r="B10">
        <v>55</v>
      </c>
      <c r="C10">
        <v>34</v>
      </c>
      <c r="D10">
        <v>78</v>
      </c>
      <c r="E10">
        <v>45</v>
      </c>
      <c r="F10">
        <v>14</v>
      </c>
      <c r="G10">
        <v>4</v>
      </c>
      <c r="H10">
        <v>130.29999999999998</v>
      </c>
      <c r="I10" s="14">
        <v>144.60353497343164</v>
      </c>
      <c r="J10">
        <v>8</v>
      </c>
      <c r="K10">
        <v>8</v>
      </c>
      <c r="L10">
        <v>6</v>
      </c>
      <c r="M10">
        <v>6</v>
      </c>
      <c r="N10" s="143" t="e">
        <v>#DIV/0!</v>
      </c>
      <c r="O10" s="143" t="e">
        <v>#DIV/0!</v>
      </c>
      <c r="P10" t="e">
        <v>#N/A</v>
      </c>
    </row>
    <row r="11" spans="1:22">
      <c r="A11" t="s">
        <v>35</v>
      </c>
      <c r="B11">
        <v>26</v>
      </c>
      <c r="C11">
        <v>118</v>
      </c>
      <c r="D11">
        <v>53</v>
      </c>
      <c r="E11">
        <v>43</v>
      </c>
      <c r="F11">
        <v>28</v>
      </c>
      <c r="G11">
        <v>14</v>
      </c>
      <c r="H11">
        <v>130.9</v>
      </c>
      <c r="I11" s="14">
        <v>160.4870084021494</v>
      </c>
      <c r="J11">
        <v>9</v>
      </c>
      <c r="K11">
        <v>9</v>
      </c>
      <c r="L11">
        <v>9</v>
      </c>
      <c r="M11">
        <v>9</v>
      </c>
      <c r="N11" s="143" t="e">
        <v>#DIV/0!</v>
      </c>
      <c r="O11" s="143" t="e">
        <v>#DIV/0!</v>
      </c>
      <c r="P11">
        <v>46</v>
      </c>
    </row>
    <row r="12" spans="1:22">
      <c r="A12" t="s">
        <v>406</v>
      </c>
      <c r="B12">
        <v>47</v>
      </c>
      <c r="C12">
        <v>127</v>
      </c>
      <c r="D12">
        <v>30</v>
      </c>
      <c r="E12">
        <v>70</v>
      </c>
      <c r="F12">
        <v>18</v>
      </c>
      <c r="G12">
        <v>9</v>
      </c>
      <c r="H12">
        <v>139.89999999999998</v>
      </c>
      <c r="I12" s="14">
        <v>163.40352550186424</v>
      </c>
      <c r="J12">
        <v>11</v>
      </c>
      <c r="K12">
        <v>10</v>
      </c>
      <c r="L12">
        <v>10</v>
      </c>
      <c r="M12">
        <v>10</v>
      </c>
      <c r="N12" s="143" t="e">
        <v>#DIV/0!</v>
      </c>
      <c r="O12" s="143" t="e">
        <v>#DIV/0!</v>
      </c>
      <c r="P12">
        <v>6</v>
      </c>
    </row>
    <row r="13" spans="1:22">
      <c r="A13" t="s">
        <v>161</v>
      </c>
      <c r="B13">
        <v>76</v>
      </c>
      <c r="C13">
        <v>31</v>
      </c>
      <c r="D13">
        <v>47</v>
      </c>
      <c r="E13">
        <v>12</v>
      </c>
      <c r="F13">
        <v>93</v>
      </c>
      <c r="G13">
        <v>30</v>
      </c>
      <c r="H13">
        <v>140.5</v>
      </c>
      <c r="I13" s="14">
        <v>174.68889441810708</v>
      </c>
      <c r="J13">
        <v>12</v>
      </c>
      <c r="K13">
        <v>11</v>
      </c>
      <c r="L13">
        <v>11</v>
      </c>
      <c r="M13">
        <v>11</v>
      </c>
      <c r="N13" s="143" t="e">
        <v>#DIV/0!</v>
      </c>
      <c r="O13" s="143" t="e">
        <v>#DIV/0!</v>
      </c>
      <c r="P13">
        <v>13</v>
      </c>
    </row>
    <row r="14" spans="1:22">
      <c r="A14" t="s">
        <v>129</v>
      </c>
      <c r="B14">
        <v>40</v>
      </c>
      <c r="C14">
        <v>73</v>
      </c>
      <c r="D14">
        <v>11</v>
      </c>
      <c r="E14">
        <v>40</v>
      </c>
      <c r="F14">
        <v>161</v>
      </c>
      <c r="G14">
        <v>24</v>
      </c>
      <c r="H14">
        <v>145.30000000000001</v>
      </c>
      <c r="I14" s="14">
        <v>182.50119739724167</v>
      </c>
      <c r="J14">
        <v>13</v>
      </c>
      <c r="K14">
        <v>12</v>
      </c>
      <c r="L14">
        <v>13</v>
      </c>
      <c r="M14">
        <v>13</v>
      </c>
      <c r="N14" s="143" t="e">
        <v>#DIV/0!</v>
      </c>
      <c r="O14" s="143" t="e">
        <v>#DIV/0!</v>
      </c>
      <c r="P14">
        <v>67</v>
      </c>
    </row>
    <row r="15" spans="1:22">
      <c r="A15" t="s">
        <v>135</v>
      </c>
      <c r="B15">
        <v>112</v>
      </c>
      <c r="C15">
        <v>6</v>
      </c>
      <c r="D15">
        <v>3</v>
      </c>
      <c r="E15">
        <v>173</v>
      </c>
      <c r="F15">
        <v>27</v>
      </c>
      <c r="G15">
        <v>6</v>
      </c>
      <c r="H15">
        <v>162.9</v>
      </c>
      <c r="I15" s="14">
        <v>181.07389186112383</v>
      </c>
      <c r="J15">
        <v>14</v>
      </c>
      <c r="K15">
        <v>13</v>
      </c>
      <c r="L15">
        <v>12</v>
      </c>
      <c r="M15">
        <v>12</v>
      </c>
      <c r="N15" s="143" t="e">
        <v>#DIV/0!</v>
      </c>
      <c r="O15" s="143" t="e">
        <v>#DIV/0!</v>
      </c>
      <c r="P15">
        <v>0</v>
      </c>
    </row>
    <row r="16" spans="1:22">
      <c r="A16" t="s">
        <v>141</v>
      </c>
      <c r="B16">
        <v>153</v>
      </c>
      <c r="C16">
        <v>32</v>
      </c>
      <c r="D16">
        <v>24</v>
      </c>
      <c r="E16">
        <v>43</v>
      </c>
      <c r="F16">
        <v>44</v>
      </c>
      <c r="G16">
        <v>31</v>
      </c>
      <c r="H16">
        <v>171.49999999999997</v>
      </c>
      <c r="I16" s="14">
        <v>198.02365530364088</v>
      </c>
      <c r="J16">
        <v>16</v>
      </c>
      <c r="K16">
        <v>14</v>
      </c>
      <c r="L16">
        <v>15</v>
      </c>
      <c r="M16">
        <v>14</v>
      </c>
      <c r="N16" s="143" t="e">
        <v>#DIV/0!</v>
      </c>
      <c r="O16" s="143" t="e">
        <v>#DIV/0!</v>
      </c>
      <c r="P16">
        <v>23</v>
      </c>
    </row>
    <row r="17" spans="1:16">
      <c r="A17" t="s">
        <v>23</v>
      </c>
      <c r="B17">
        <v>5</v>
      </c>
      <c r="C17">
        <v>184</v>
      </c>
      <c r="D17">
        <v>13</v>
      </c>
      <c r="E17">
        <v>20</v>
      </c>
      <c r="F17">
        <v>194</v>
      </c>
      <c r="G17">
        <v>19</v>
      </c>
      <c r="H17">
        <v>171.8</v>
      </c>
      <c r="I17" s="14">
        <v>212.63875660046048</v>
      </c>
      <c r="J17">
        <v>17</v>
      </c>
      <c r="K17">
        <v>15</v>
      </c>
      <c r="L17">
        <v>22</v>
      </c>
      <c r="M17">
        <v>20</v>
      </c>
      <c r="N17" s="143" t="e">
        <v>#DIV/0!</v>
      </c>
      <c r="O17" s="143" t="e">
        <v>#DIV/0!</v>
      </c>
      <c r="P17">
        <v>2</v>
      </c>
    </row>
    <row r="18" spans="1:16">
      <c r="A18" t="s">
        <v>98</v>
      </c>
      <c r="B18">
        <v>38</v>
      </c>
      <c r="C18">
        <v>145</v>
      </c>
      <c r="D18">
        <v>44</v>
      </c>
      <c r="E18">
        <v>79</v>
      </c>
      <c r="F18">
        <v>67</v>
      </c>
      <c r="G18">
        <v>17</v>
      </c>
      <c r="H18">
        <v>173.8</v>
      </c>
      <c r="I18" s="14">
        <v>212.00463972286687</v>
      </c>
      <c r="J18">
        <v>18</v>
      </c>
      <c r="K18">
        <v>16</v>
      </c>
      <c r="L18">
        <v>21</v>
      </c>
      <c r="M18">
        <v>19</v>
      </c>
      <c r="N18" s="143" t="e">
        <v>#DIV/0!</v>
      </c>
      <c r="O18" s="143" t="e">
        <v>#DIV/0!</v>
      </c>
      <c r="P18">
        <v>1</v>
      </c>
    </row>
    <row r="19" spans="1:16">
      <c r="A19" t="s">
        <v>42</v>
      </c>
      <c r="B19">
        <v>17</v>
      </c>
      <c r="C19">
        <v>181</v>
      </c>
      <c r="D19">
        <v>6</v>
      </c>
      <c r="E19">
        <v>41</v>
      </c>
      <c r="F19">
        <v>175</v>
      </c>
      <c r="G19">
        <v>12</v>
      </c>
      <c r="H19">
        <v>174.90000000000003</v>
      </c>
      <c r="I19" s="14">
        <v>208.42200086196129</v>
      </c>
      <c r="J19">
        <v>20</v>
      </c>
      <c r="K19">
        <v>17</v>
      </c>
      <c r="L19">
        <v>19</v>
      </c>
      <c r="M19">
        <v>18</v>
      </c>
      <c r="N19" s="143" t="e">
        <v>#DIV/0!</v>
      </c>
      <c r="O19" s="143" t="e">
        <v>#DIV/0!</v>
      </c>
      <c r="P19">
        <v>14</v>
      </c>
    </row>
    <row r="20" spans="1:16">
      <c r="A20" t="s">
        <v>47</v>
      </c>
      <c r="B20">
        <v>32</v>
      </c>
      <c r="C20">
        <v>26</v>
      </c>
      <c r="D20">
        <v>36</v>
      </c>
      <c r="E20">
        <v>219</v>
      </c>
      <c r="F20">
        <v>74</v>
      </c>
      <c r="G20">
        <v>134</v>
      </c>
      <c r="H20">
        <v>175.20000000000002</v>
      </c>
      <c r="I20" s="14">
        <v>342.21232424900961</v>
      </c>
      <c r="J20">
        <v>21</v>
      </c>
      <c r="K20">
        <v>18</v>
      </c>
      <c r="L20">
        <v>67</v>
      </c>
      <c r="M20">
        <v>47</v>
      </c>
      <c r="N20" s="143" t="e">
        <v>#DIV/0!</v>
      </c>
      <c r="O20" s="143" t="e">
        <v>#DIV/0!</v>
      </c>
      <c r="P20">
        <v>-22</v>
      </c>
    </row>
    <row r="21" spans="1:16">
      <c r="A21" t="s">
        <v>233</v>
      </c>
      <c r="B21">
        <v>19</v>
      </c>
      <c r="C21">
        <v>199</v>
      </c>
      <c r="D21">
        <v>1</v>
      </c>
      <c r="E21">
        <v>59</v>
      </c>
      <c r="F21">
        <v>148</v>
      </c>
      <c r="G21">
        <v>7</v>
      </c>
      <c r="H21">
        <v>176.40000000000003</v>
      </c>
      <c r="I21" s="14">
        <v>206.2077220183009</v>
      </c>
      <c r="J21">
        <v>22</v>
      </c>
      <c r="K21">
        <v>19</v>
      </c>
      <c r="L21">
        <v>18</v>
      </c>
      <c r="M21">
        <v>17</v>
      </c>
      <c r="N21" s="143" t="e">
        <v>#DIV/0!</v>
      </c>
      <c r="O21" s="143" t="e">
        <v>#DIV/0!</v>
      </c>
      <c r="P21">
        <v>12</v>
      </c>
    </row>
    <row r="22" spans="1:16">
      <c r="A22" t="s">
        <v>93</v>
      </c>
      <c r="B22">
        <v>56</v>
      </c>
      <c r="C22">
        <v>49</v>
      </c>
      <c r="D22">
        <v>51</v>
      </c>
      <c r="E22">
        <v>140</v>
      </c>
      <c r="F22">
        <v>68</v>
      </c>
      <c r="G22">
        <v>23</v>
      </c>
      <c r="H22">
        <v>177.7</v>
      </c>
      <c r="I22" s="14">
        <v>223.54646235729052</v>
      </c>
      <c r="J22">
        <v>23</v>
      </c>
      <c r="K22">
        <v>20</v>
      </c>
      <c r="L22">
        <v>25</v>
      </c>
      <c r="M22">
        <v>21</v>
      </c>
      <c r="N22" s="143" t="e">
        <v>#DIV/0!</v>
      </c>
      <c r="O22" s="143" t="e">
        <v>#DIV/0!</v>
      </c>
      <c r="P22">
        <v>4</v>
      </c>
    </row>
    <row r="23" spans="1:16">
      <c r="A23" t="s">
        <v>139</v>
      </c>
      <c r="B23">
        <v>111</v>
      </c>
      <c r="C23">
        <v>95</v>
      </c>
      <c r="D23">
        <v>4</v>
      </c>
      <c r="E23">
        <v>62</v>
      </c>
      <c r="F23">
        <v>97</v>
      </c>
      <c r="G23">
        <v>16</v>
      </c>
      <c r="H23">
        <v>182.1</v>
      </c>
      <c r="I23" s="14">
        <v>204.1529910845872</v>
      </c>
      <c r="J23">
        <v>24</v>
      </c>
      <c r="K23">
        <v>21</v>
      </c>
      <c r="L23">
        <v>17</v>
      </c>
      <c r="M23">
        <v>16</v>
      </c>
      <c r="N23" s="143" t="e">
        <v>#DIV/0!</v>
      </c>
      <c r="O23" s="143" t="e">
        <v>#DIV/0!</v>
      </c>
      <c r="P23">
        <v>25</v>
      </c>
    </row>
    <row r="24" spans="1:16">
      <c r="A24" t="s">
        <v>105</v>
      </c>
      <c r="B24">
        <v>98</v>
      </c>
      <c r="C24">
        <v>43</v>
      </c>
      <c r="D24">
        <v>56</v>
      </c>
      <c r="E24">
        <v>85</v>
      </c>
      <c r="F24">
        <v>58</v>
      </c>
      <c r="G24">
        <v>40</v>
      </c>
      <c r="H24">
        <v>182.2</v>
      </c>
      <c r="I24" s="14">
        <v>233.33969825388533</v>
      </c>
      <c r="J24">
        <v>25</v>
      </c>
      <c r="K24">
        <v>22</v>
      </c>
      <c r="L24">
        <v>29</v>
      </c>
      <c r="M24">
        <v>22</v>
      </c>
      <c r="N24" s="143" t="e">
        <v>#DIV/0!</v>
      </c>
      <c r="O24" s="143" t="e">
        <v>#DIV/0!</v>
      </c>
      <c r="P24">
        <v>22</v>
      </c>
    </row>
    <row r="25" spans="1:16">
      <c r="A25" t="s">
        <v>104</v>
      </c>
      <c r="B25">
        <v>109</v>
      </c>
      <c r="C25">
        <v>61</v>
      </c>
      <c r="D25">
        <v>105</v>
      </c>
      <c r="E25">
        <v>19</v>
      </c>
      <c r="F25">
        <v>4</v>
      </c>
      <c r="G25">
        <v>13</v>
      </c>
      <c r="H25">
        <v>183.39999999999998</v>
      </c>
      <c r="I25" s="14">
        <v>201.39769397600872</v>
      </c>
      <c r="J25">
        <v>27</v>
      </c>
      <c r="K25">
        <v>23</v>
      </c>
      <c r="L25">
        <v>16</v>
      </c>
      <c r="M25">
        <v>15</v>
      </c>
      <c r="N25" s="143" t="e">
        <v>#DIV/0!</v>
      </c>
      <c r="O25" s="143" t="e">
        <v>#DIV/0!</v>
      </c>
      <c r="P25">
        <v>9</v>
      </c>
    </row>
    <row r="26" spans="1:16">
      <c r="A26" t="s">
        <v>383</v>
      </c>
      <c r="B26">
        <v>78</v>
      </c>
      <c r="C26">
        <v>132</v>
      </c>
      <c r="D26">
        <v>74</v>
      </c>
      <c r="E26">
        <v>38</v>
      </c>
      <c r="F26">
        <v>38</v>
      </c>
      <c r="G26">
        <v>36</v>
      </c>
      <c r="H26">
        <v>189.59999999999997</v>
      </c>
      <c r="I26" s="14">
        <v>238.40101042781779</v>
      </c>
      <c r="J26">
        <v>29</v>
      </c>
      <c r="K26">
        <v>24</v>
      </c>
      <c r="L26">
        <v>31</v>
      </c>
      <c r="M26">
        <v>24</v>
      </c>
      <c r="N26" s="143" t="e">
        <v>#DIV/0!</v>
      </c>
      <c r="O26" s="143" t="e">
        <v>#DIV/0!</v>
      </c>
      <c r="P26">
        <v>4</v>
      </c>
    </row>
    <row r="27" spans="1:16">
      <c r="A27" t="s">
        <v>231</v>
      </c>
      <c r="B27">
        <v>59</v>
      </c>
      <c r="C27">
        <v>138</v>
      </c>
      <c r="D27">
        <v>66</v>
      </c>
      <c r="E27">
        <v>63</v>
      </c>
      <c r="F27">
        <v>59</v>
      </c>
      <c r="G27">
        <v>37</v>
      </c>
      <c r="H27">
        <v>191.49999999999997</v>
      </c>
      <c r="I27" s="14">
        <v>246.95491702511043</v>
      </c>
      <c r="J27">
        <v>30</v>
      </c>
      <c r="K27">
        <v>25</v>
      </c>
      <c r="L27">
        <v>32</v>
      </c>
      <c r="M27">
        <v>25</v>
      </c>
      <c r="N27" s="143" t="e">
        <v>#DIV/0!</v>
      </c>
      <c r="O27" s="143" t="e">
        <v>#DIV/0!</v>
      </c>
      <c r="P27">
        <v>-24</v>
      </c>
    </row>
    <row r="28" spans="1:16">
      <c r="A28" t="s">
        <v>234</v>
      </c>
      <c r="B28">
        <v>77</v>
      </c>
      <c r="C28">
        <v>121</v>
      </c>
      <c r="D28">
        <v>17</v>
      </c>
      <c r="E28">
        <v>144</v>
      </c>
      <c r="F28">
        <v>50</v>
      </c>
      <c r="G28">
        <v>22</v>
      </c>
      <c r="H28">
        <v>191.8</v>
      </c>
      <c r="I28" s="14">
        <v>234.43196121820071</v>
      </c>
      <c r="J28">
        <v>31</v>
      </c>
      <c r="K28">
        <v>26</v>
      </c>
      <c r="L28">
        <v>30</v>
      </c>
      <c r="M28">
        <v>23</v>
      </c>
      <c r="N28" s="143" t="e">
        <v>#DIV/0!</v>
      </c>
      <c r="O28" s="143" t="e">
        <v>#DIV/0!</v>
      </c>
      <c r="P28">
        <v>7</v>
      </c>
    </row>
    <row r="29" spans="1:16">
      <c r="A29" t="s">
        <v>388</v>
      </c>
      <c r="B29">
        <v>62</v>
      </c>
      <c r="C29">
        <v>47</v>
      </c>
      <c r="D29">
        <v>68</v>
      </c>
      <c r="E29">
        <v>171</v>
      </c>
      <c r="F29">
        <v>40</v>
      </c>
      <c r="G29">
        <v>83</v>
      </c>
      <c r="H29">
        <v>194.2</v>
      </c>
      <c r="I29" s="14">
        <v>303.71650237885115</v>
      </c>
      <c r="J29">
        <v>33</v>
      </c>
      <c r="K29">
        <v>27</v>
      </c>
      <c r="L29">
        <v>54</v>
      </c>
      <c r="M29">
        <v>38</v>
      </c>
      <c r="N29" s="143" t="e">
        <v>#DIV/0!</v>
      </c>
      <c r="O29" s="143" t="e">
        <v>#DIV/0!</v>
      </c>
      <c r="P29">
        <v>42</v>
      </c>
    </row>
    <row r="30" spans="1:16">
      <c r="A30" t="s">
        <v>66</v>
      </c>
      <c r="B30">
        <v>50</v>
      </c>
      <c r="C30">
        <v>86</v>
      </c>
      <c r="D30">
        <v>86</v>
      </c>
      <c r="E30">
        <v>136</v>
      </c>
      <c r="F30">
        <v>41</v>
      </c>
      <c r="G30">
        <v>44</v>
      </c>
      <c r="H30">
        <v>200.4</v>
      </c>
      <c r="I30" s="14">
        <v>271.61877695786063</v>
      </c>
      <c r="J30">
        <v>35</v>
      </c>
      <c r="K30">
        <v>28</v>
      </c>
      <c r="L30">
        <v>37</v>
      </c>
      <c r="M30">
        <v>27</v>
      </c>
      <c r="N30" s="143" t="e">
        <v>#DIV/0!</v>
      </c>
      <c r="O30" s="143" t="e">
        <v>#DIV/0!</v>
      </c>
      <c r="P30">
        <v>17</v>
      </c>
    </row>
    <row r="31" spans="1:16">
      <c r="A31" t="s">
        <v>80</v>
      </c>
      <c r="B31">
        <v>81</v>
      </c>
      <c r="C31">
        <v>130</v>
      </c>
      <c r="D31">
        <v>28</v>
      </c>
      <c r="E31">
        <v>137</v>
      </c>
      <c r="F31">
        <v>49</v>
      </c>
      <c r="G31">
        <v>43</v>
      </c>
      <c r="H31">
        <v>202.7</v>
      </c>
      <c r="I31" s="14">
        <v>266.55871507029417</v>
      </c>
      <c r="J31">
        <v>37</v>
      </c>
      <c r="K31">
        <v>30</v>
      </c>
      <c r="L31">
        <v>36</v>
      </c>
      <c r="M31">
        <v>26</v>
      </c>
      <c r="N31" s="143" t="e">
        <v>#DIV/0!</v>
      </c>
      <c r="O31" s="143" t="e">
        <v>#DIV/0!</v>
      </c>
      <c r="P31">
        <v>56</v>
      </c>
    </row>
    <row r="32" spans="1:16">
      <c r="A32" t="s">
        <v>58</v>
      </c>
      <c r="B32">
        <v>28</v>
      </c>
      <c r="C32">
        <v>125</v>
      </c>
      <c r="D32">
        <v>23</v>
      </c>
      <c r="E32">
        <v>102</v>
      </c>
      <c r="F32">
        <v>191</v>
      </c>
      <c r="G32">
        <v>49</v>
      </c>
      <c r="H32">
        <v>202.9</v>
      </c>
      <c r="I32" s="14">
        <v>279.5916484877668</v>
      </c>
      <c r="J32">
        <v>38</v>
      </c>
      <c r="K32">
        <v>31</v>
      </c>
      <c r="L32">
        <v>40</v>
      </c>
      <c r="M32">
        <v>29</v>
      </c>
      <c r="N32" s="143" t="e">
        <v>#DIV/0!</v>
      </c>
      <c r="O32" s="143" t="e">
        <v>#DIV/0!</v>
      </c>
      <c r="P32">
        <v>52</v>
      </c>
    </row>
    <row r="33" spans="1:16">
      <c r="A33" t="s">
        <v>19</v>
      </c>
      <c r="B33">
        <v>18</v>
      </c>
      <c r="C33">
        <v>179</v>
      </c>
      <c r="D33">
        <v>48</v>
      </c>
      <c r="E33">
        <v>145</v>
      </c>
      <c r="F33">
        <v>71</v>
      </c>
      <c r="G33">
        <v>53</v>
      </c>
      <c r="H33">
        <v>204.20000000000002</v>
      </c>
      <c r="I33" s="14">
        <v>291.30480593185973</v>
      </c>
      <c r="J33">
        <v>39</v>
      </c>
      <c r="K33">
        <v>32</v>
      </c>
      <c r="L33">
        <v>46</v>
      </c>
      <c r="M33">
        <v>34</v>
      </c>
      <c r="N33" s="143" t="e">
        <v>#DIV/0!</v>
      </c>
      <c r="O33" s="143" t="e">
        <v>#DIV/0!</v>
      </c>
      <c r="P33">
        <v>6</v>
      </c>
    </row>
    <row r="34" spans="1:16">
      <c r="A34" t="s">
        <v>44</v>
      </c>
      <c r="B34">
        <v>14</v>
      </c>
      <c r="C34">
        <v>105</v>
      </c>
      <c r="D34">
        <v>73</v>
      </c>
      <c r="E34">
        <v>49</v>
      </c>
      <c r="F34">
        <v>205</v>
      </c>
      <c r="G34">
        <v>110</v>
      </c>
      <c r="H34">
        <v>204.5</v>
      </c>
      <c r="I34" s="14">
        <v>341.56859800196781</v>
      </c>
      <c r="J34">
        <v>40</v>
      </c>
      <c r="K34">
        <v>33</v>
      </c>
      <c r="L34">
        <v>66</v>
      </c>
      <c r="M34">
        <v>46</v>
      </c>
      <c r="N34" s="143" t="e">
        <v>#DIV/0!</v>
      </c>
      <c r="O34" s="143" t="e">
        <v>#DIV/0!</v>
      </c>
      <c r="P34">
        <v>-85</v>
      </c>
    </row>
    <row r="35" spans="1:16">
      <c r="A35" t="s">
        <v>241</v>
      </c>
      <c r="B35">
        <v>6</v>
      </c>
      <c r="C35">
        <v>110</v>
      </c>
      <c r="D35">
        <v>79</v>
      </c>
      <c r="E35">
        <v>143</v>
      </c>
      <c r="F35">
        <v>123</v>
      </c>
      <c r="G35">
        <v>39</v>
      </c>
      <c r="H35">
        <v>209.89999999999998</v>
      </c>
      <c r="I35" s="14">
        <v>285.93615302799992</v>
      </c>
      <c r="J35">
        <v>41</v>
      </c>
      <c r="K35">
        <v>34</v>
      </c>
      <c r="L35">
        <v>44</v>
      </c>
      <c r="M35">
        <v>32</v>
      </c>
      <c r="N35" s="143" t="e">
        <v>#DIV/0!</v>
      </c>
      <c r="O35" s="143" t="e">
        <v>#DIV/0!</v>
      </c>
      <c r="P35">
        <v>-11</v>
      </c>
    </row>
    <row r="36" spans="1:16">
      <c r="A36" t="s">
        <v>380</v>
      </c>
      <c r="B36">
        <v>50</v>
      </c>
      <c r="C36">
        <v>201</v>
      </c>
      <c r="D36">
        <v>91</v>
      </c>
      <c r="E36">
        <v>23</v>
      </c>
      <c r="F36">
        <v>79</v>
      </c>
      <c r="G36">
        <v>64</v>
      </c>
      <c r="H36">
        <v>219.89999999999998</v>
      </c>
      <c r="I36" s="14">
        <v>304.93708857714421</v>
      </c>
      <c r="J36">
        <v>45</v>
      </c>
      <c r="K36">
        <v>35</v>
      </c>
      <c r="L36">
        <v>55</v>
      </c>
      <c r="M36">
        <v>39</v>
      </c>
      <c r="N36" s="143" t="e">
        <v>#DIV/0!</v>
      </c>
      <c r="O36" s="143" t="e">
        <v>#DIV/0!</v>
      </c>
      <c r="P36">
        <v>-19</v>
      </c>
    </row>
    <row r="37" spans="1:16">
      <c r="A37" t="s">
        <v>404</v>
      </c>
      <c r="B37">
        <v>42</v>
      </c>
      <c r="C37">
        <v>165</v>
      </c>
      <c r="D37">
        <v>144</v>
      </c>
      <c r="E37">
        <v>13</v>
      </c>
      <c r="F37">
        <v>55</v>
      </c>
      <c r="G37">
        <v>48</v>
      </c>
      <c r="H37">
        <v>223.39999999999998</v>
      </c>
      <c r="I37" s="14">
        <v>294.40602589295031</v>
      </c>
      <c r="J37">
        <v>47</v>
      </c>
      <c r="K37">
        <v>36</v>
      </c>
      <c r="L37">
        <v>48</v>
      </c>
      <c r="M37">
        <v>35</v>
      </c>
      <c r="N37" s="143" t="e">
        <v>#DIV/0!</v>
      </c>
      <c r="O37" s="143" t="e">
        <v>#DIV/0!</v>
      </c>
      <c r="P37">
        <v>-25</v>
      </c>
    </row>
    <row r="38" spans="1:16">
      <c r="A38" t="s">
        <v>119</v>
      </c>
      <c r="B38">
        <v>91</v>
      </c>
      <c r="C38">
        <v>45</v>
      </c>
      <c r="D38">
        <v>164</v>
      </c>
      <c r="E38">
        <v>30</v>
      </c>
      <c r="F38">
        <v>42</v>
      </c>
      <c r="G38">
        <v>63</v>
      </c>
      <c r="H38">
        <v>225.3</v>
      </c>
      <c r="I38" s="14">
        <v>303.49266255561065</v>
      </c>
      <c r="J38">
        <v>48</v>
      </c>
      <c r="K38">
        <v>37</v>
      </c>
      <c r="L38">
        <v>53</v>
      </c>
      <c r="M38">
        <v>37</v>
      </c>
      <c r="N38" s="143" t="e">
        <v>#DIV/0!</v>
      </c>
      <c r="O38" s="143" t="e">
        <v>#DIV/0!</v>
      </c>
      <c r="P38">
        <v>-25</v>
      </c>
    </row>
    <row r="39" spans="1:16">
      <c r="A39" t="s">
        <v>87</v>
      </c>
      <c r="B39">
        <v>36</v>
      </c>
      <c r="C39">
        <v>190</v>
      </c>
      <c r="D39">
        <v>29</v>
      </c>
      <c r="E39">
        <v>75</v>
      </c>
      <c r="F39">
        <v>187</v>
      </c>
      <c r="G39">
        <v>28</v>
      </c>
      <c r="H39">
        <v>226.3</v>
      </c>
      <c r="I39" s="14">
        <v>281.52257906559186</v>
      </c>
      <c r="J39">
        <v>51</v>
      </c>
      <c r="K39">
        <v>38</v>
      </c>
      <c r="L39">
        <v>41</v>
      </c>
      <c r="M39">
        <v>30</v>
      </c>
      <c r="N39" s="143" t="e">
        <v>#DIV/0!</v>
      </c>
      <c r="O39" s="143" t="e">
        <v>#DIV/0!</v>
      </c>
      <c r="P39">
        <v>80</v>
      </c>
    </row>
    <row r="40" spans="1:16">
      <c r="A40" t="s">
        <v>117</v>
      </c>
      <c r="B40">
        <v>119</v>
      </c>
      <c r="C40">
        <v>59</v>
      </c>
      <c r="D40">
        <v>25</v>
      </c>
      <c r="E40">
        <v>72</v>
      </c>
      <c r="F40">
        <v>204</v>
      </c>
      <c r="G40">
        <v>102</v>
      </c>
      <c r="H40">
        <v>234.8</v>
      </c>
      <c r="I40" s="14">
        <v>348.43866387565612</v>
      </c>
      <c r="J40">
        <v>55</v>
      </c>
      <c r="K40">
        <v>39</v>
      </c>
      <c r="L40">
        <v>70</v>
      </c>
      <c r="M40">
        <v>50</v>
      </c>
      <c r="N40" s="143" t="e">
        <v>#DIV/0!</v>
      </c>
      <c r="O40" s="143" t="e">
        <v>#DIV/0!</v>
      </c>
      <c r="P40">
        <v>21</v>
      </c>
    </row>
    <row r="41" spans="1:16">
      <c r="A41" t="s">
        <v>64</v>
      </c>
      <c r="B41">
        <v>84</v>
      </c>
      <c r="C41">
        <v>204</v>
      </c>
      <c r="D41">
        <v>44</v>
      </c>
      <c r="E41">
        <v>77</v>
      </c>
      <c r="F41">
        <v>86</v>
      </c>
      <c r="G41">
        <v>52</v>
      </c>
      <c r="H41">
        <v>236.4</v>
      </c>
      <c r="I41" s="14">
        <v>308.46214420846485</v>
      </c>
      <c r="J41">
        <v>56</v>
      </c>
      <c r="K41">
        <v>40</v>
      </c>
      <c r="L41">
        <v>57</v>
      </c>
      <c r="M41">
        <v>41</v>
      </c>
      <c r="N41" s="143" t="e">
        <v>#DIV/0!</v>
      </c>
      <c r="O41" s="143" t="e">
        <v>#DIV/0!</v>
      </c>
      <c r="P41">
        <v>16</v>
      </c>
    </row>
    <row r="42" spans="1:16">
      <c r="A42" t="s">
        <v>181</v>
      </c>
      <c r="B42">
        <v>146</v>
      </c>
      <c r="C42">
        <v>17</v>
      </c>
      <c r="D42">
        <v>10</v>
      </c>
      <c r="E42">
        <v>108</v>
      </c>
      <c r="F42">
        <v>203</v>
      </c>
      <c r="G42">
        <v>86</v>
      </c>
      <c r="H42">
        <v>240.39999999999998</v>
      </c>
      <c r="I42" s="14">
        <v>336.03448404325843</v>
      </c>
      <c r="J42">
        <v>58</v>
      </c>
      <c r="K42">
        <v>41</v>
      </c>
      <c r="L42">
        <v>60</v>
      </c>
      <c r="M42">
        <v>43</v>
      </c>
      <c r="N42" s="143" t="e">
        <v>#DIV/0!</v>
      </c>
      <c r="O42" s="143" t="e">
        <v>#DIV/0!</v>
      </c>
      <c r="P42">
        <v>64</v>
      </c>
    </row>
    <row r="43" spans="1:16">
      <c r="A43" t="s">
        <v>76</v>
      </c>
      <c r="B43">
        <v>34</v>
      </c>
      <c r="C43">
        <v>112</v>
      </c>
      <c r="D43">
        <v>110</v>
      </c>
      <c r="E43">
        <v>114</v>
      </c>
      <c r="F43">
        <v>126</v>
      </c>
      <c r="G43">
        <v>77</v>
      </c>
      <c r="H43">
        <v>241.6</v>
      </c>
      <c r="I43" s="14">
        <v>352.37718522123015</v>
      </c>
      <c r="J43">
        <v>60</v>
      </c>
      <c r="K43">
        <v>42</v>
      </c>
      <c r="L43">
        <v>73</v>
      </c>
      <c r="M43">
        <v>53</v>
      </c>
      <c r="N43" s="143" t="e">
        <v>#DIV/0!</v>
      </c>
      <c r="O43" s="143" t="e">
        <v>#DIV/0!</v>
      </c>
      <c r="P43">
        <v>-1</v>
      </c>
    </row>
    <row r="44" spans="1:16">
      <c r="A44" t="s">
        <v>386</v>
      </c>
      <c r="B44">
        <v>177</v>
      </c>
      <c r="C44">
        <v>9</v>
      </c>
      <c r="D44">
        <v>60</v>
      </c>
      <c r="E44">
        <v>66</v>
      </c>
      <c r="F44">
        <v>116</v>
      </c>
      <c r="G44">
        <v>95</v>
      </c>
      <c r="H44">
        <v>242.3</v>
      </c>
      <c r="I44" s="14">
        <v>338.98810502890535</v>
      </c>
      <c r="J44">
        <v>62</v>
      </c>
      <c r="K44">
        <v>43</v>
      </c>
      <c r="L44">
        <v>62</v>
      </c>
      <c r="M44">
        <v>44</v>
      </c>
      <c r="N44" s="143" t="e">
        <v>#DIV/0!</v>
      </c>
      <c r="O44" s="143" t="e">
        <v>#DIV/0!</v>
      </c>
      <c r="P44">
        <v>48</v>
      </c>
    </row>
    <row r="45" spans="1:16">
      <c r="A45" t="s">
        <v>79</v>
      </c>
      <c r="B45">
        <v>69</v>
      </c>
      <c r="C45">
        <v>77</v>
      </c>
      <c r="D45">
        <v>83</v>
      </c>
      <c r="E45">
        <v>91</v>
      </c>
      <c r="F45">
        <v>176</v>
      </c>
      <c r="G45">
        <v>96</v>
      </c>
      <c r="H45">
        <v>244</v>
      </c>
      <c r="I45" s="14">
        <v>364.87519287663866</v>
      </c>
      <c r="J45">
        <v>63</v>
      </c>
      <c r="K45">
        <v>44</v>
      </c>
      <c r="L45">
        <v>82</v>
      </c>
      <c r="M45">
        <v>59</v>
      </c>
      <c r="N45" s="143" t="e">
        <v>#DIV/0!</v>
      </c>
      <c r="O45" s="143" t="e">
        <v>#DIV/0!</v>
      </c>
      <c r="P45">
        <v>-26</v>
      </c>
    </row>
    <row r="46" spans="1:16">
      <c r="A46" t="s">
        <v>38</v>
      </c>
      <c r="B46">
        <v>43</v>
      </c>
      <c r="C46">
        <v>216</v>
      </c>
      <c r="D46">
        <v>145</v>
      </c>
      <c r="E46">
        <v>26</v>
      </c>
      <c r="F46">
        <v>43</v>
      </c>
      <c r="G46">
        <v>54</v>
      </c>
      <c r="H46">
        <v>245.6</v>
      </c>
      <c r="I46" s="14">
        <v>326.37781595027423</v>
      </c>
      <c r="J46">
        <v>64</v>
      </c>
      <c r="K46">
        <v>45</v>
      </c>
      <c r="L46">
        <v>58</v>
      </c>
      <c r="M46">
        <v>42</v>
      </c>
      <c r="N46" s="143" t="e">
        <v>#DIV/0!</v>
      </c>
      <c r="O46" s="143" t="e">
        <v>#DIV/0!</v>
      </c>
      <c r="P46">
        <v>-7</v>
      </c>
    </row>
    <row r="47" spans="1:16">
      <c r="A47" t="s">
        <v>90</v>
      </c>
      <c r="B47">
        <v>59</v>
      </c>
      <c r="C47">
        <v>36</v>
      </c>
      <c r="D47">
        <v>77</v>
      </c>
      <c r="E47">
        <v>160</v>
      </c>
      <c r="F47">
        <v>184</v>
      </c>
      <c r="G47">
        <v>92</v>
      </c>
      <c r="H47">
        <v>247.2</v>
      </c>
      <c r="I47" s="14">
        <v>371.55663056472122</v>
      </c>
      <c r="J47">
        <v>65</v>
      </c>
      <c r="K47">
        <v>46</v>
      </c>
      <c r="L47">
        <v>84</v>
      </c>
      <c r="M47">
        <v>60</v>
      </c>
      <c r="N47" s="143" t="e">
        <v>#DIV/0!</v>
      </c>
      <c r="O47" s="143" t="e">
        <v>#DIV/0!</v>
      </c>
      <c r="P47">
        <v>-2</v>
      </c>
    </row>
    <row r="48" spans="1:16">
      <c r="A48" t="s">
        <v>92</v>
      </c>
      <c r="B48">
        <v>78</v>
      </c>
      <c r="C48">
        <v>71</v>
      </c>
      <c r="D48">
        <v>93</v>
      </c>
      <c r="E48">
        <v>96</v>
      </c>
      <c r="F48">
        <v>153</v>
      </c>
      <c r="G48">
        <v>82</v>
      </c>
      <c r="H48">
        <v>247.7</v>
      </c>
      <c r="I48" s="14">
        <v>353.91711565946161</v>
      </c>
      <c r="J48">
        <v>66</v>
      </c>
      <c r="K48">
        <v>47</v>
      </c>
      <c r="L48">
        <v>75</v>
      </c>
      <c r="M48">
        <v>55</v>
      </c>
      <c r="N48" s="143" t="e">
        <v>#DIV/0!</v>
      </c>
      <c r="O48" s="143" t="e">
        <v>#DIV/0!</v>
      </c>
      <c r="P48">
        <v>11</v>
      </c>
    </row>
    <row r="49" spans="1:16">
      <c r="A49" t="s">
        <v>137</v>
      </c>
      <c r="B49">
        <v>138</v>
      </c>
      <c r="C49">
        <v>16</v>
      </c>
      <c r="D49">
        <v>43</v>
      </c>
      <c r="E49">
        <v>201</v>
      </c>
      <c r="F49">
        <v>87</v>
      </c>
      <c r="G49">
        <v>81</v>
      </c>
      <c r="H49">
        <v>248.3</v>
      </c>
      <c r="I49" s="14">
        <v>349.64752904491547</v>
      </c>
      <c r="J49">
        <v>68</v>
      </c>
      <c r="K49">
        <v>48</v>
      </c>
      <c r="L49">
        <v>72</v>
      </c>
      <c r="M49">
        <v>52</v>
      </c>
      <c r="N49" s="143" t="e">
        <v>#DIV/0!</v>
      </c>
      <c r="O49" s="143" t="e">
        <v>#DIV/0!</v>
      </c>
      <c r="P49">
        <v>-32</v>
      </c>
    </row>
    <row r="50" spans="1:16">
      <c r="A50" t="s">
        <v>183</v>
      </c>
      <c r="B50">
        <v>200</v>
      </c>
      <c r="C50">
        <v>80</v>
      </c>
      <c r="D50">
        <v>37</v>
      </c>
      <c r="E50">
        <v>76</v>
      </c>
      <c r="F50">
        <v>53</v>
      </c>
      <c r="G50">
        <v>47</v>
      </c>
      <c r="H50">
        <v>249.5</v>
      </c>
      <c r="I50" s="14">
        <v>295.53544344083127</v>
      </c>
      <c r="J50">
        <v>70</v>
      </c>
      <c r="K50">
        <v>49</v>
      </c>
      <c r="L50">
        <v>49</v>
      </c>
      <c r="M50">
        <v>36</v>
      </c>
      <c r="N50" s="143" t="e">
        <v>#DIV/0!</v>
      </c>
      <c r="O50" s="143" t="e">
        <v>#DIV/0!</v>
      </c>
      <c r="P50">
        <v>24</v>
      </c>
    </row>
    <row r="51" spans="1:16">
      <c r="A51" t="s">
        <v>156</v>
      </c>
      <c r="B51">
        <v>162</v>
      </c>
      <c r="C51">
        <v>55</v>
      </c>
      <c r="D51">
        <v>9</v>
      </c>
      <c r="E51">
        <v>179</v>
      </c>
      <c r="F51">
        <v>96</v>
      </c>
      <c r="G51">
        <v>25</v>
      </c>
      <c r="H51">
        <v>251.70000000000002</v>
      </c>
      <c r="I51" s="14">
        <v>290.70804986781877</v>
      </c>
      <c r="J51">
        <v>73</v>
      </c>
      <c r="K51">
        <v>50</v>
      </c>
      <c r="L51">
        <v>45</v>
      </c>
      <c r="M51">
        <v>33</v>
      </c>
      <c r="N51" s="143" t="e">
        <v>#DIV/0!</v>
      </c>
      <c r="O51" s="143" t="e">
        <v>#DIV/0!</v>
      </c>
      <c r="P51">
        <v>7</v>
      </c>
    </row>
    <row r="52" spans="1:16">
      <c r="A52" t="s">
        <v>396</v>
      </c>
      <c r="B52">
        <v>56</v>
      </c>
      <c r="C52">
        <v>130</v>
      </c>
      <c r="D52">
        <v>50</v>
      </c>
      <c r="E52">
        <v>210</v>
      </c>
      <c r="F52">
        <v>104</v>
      </c>
      <c r="G52">
        <v>119</v>
      </c>
      <c r="H52">
        <v>251.79999999999998</v>
      </c>
      <c r="I52" s="14">
        <v>408.36553794332804</v>
      </c>
      <c r="J52">
        <v>74</v>
      </c>
      <c r="K52">
        <v>51</v>
      </c>
      <c r="L52">
        <v>106</v>
      </c>
      <c r="M52">
        <v>69</v>
      </c>
      <c r="N52" s="143" t="e">
        <v>#DIV/0!</v>
      </c>
      <c r="O52" s="143" t="e">
        <v>#DIV/0!</v>
      </c>
      <c r="P52">
        <v>-24</v>
      </c>
    </row>
    <row r="53" spans="1:16">
      <c r="A53" t="s">
        <v>165</v>
      </c>
      <c r="B53">
        <v>203</v>
      </c>
      <c r="C53">
        <v>41</v>
      </c>
      <c r="D53">
        <v>26</v>
      </c>
      <c r="E53">
        <v>141</v>
      </c>
      <c r="F53">
        <v>48</v>
      </c>
      <c r="G53">
        <v>26</v>
      </c>
      <c r="H53">
        <v>252.3</v>
      </c>
      <c r="I53" s="14">
        <v>281.94018516089329</v>
      </c>
      <c r="J53">
        <v>75</v>
      </c>
      <c r="K53">
        <v>52</v>
      </c>
      <c r="L53">
        <v>42</v>
      </c>
      <c r="M53">
        <v>31</v>
      </c>
      <c r="N53" s="143" t="e">
        <v>#DIV/0!</v>
      </c>
      <c r="O53" s="143" t="e">
        <v>#DIV/0!</v>
      </c>
      <c r="P53">
        <v>167</v>
      </c>
    </row>
    <row r="54" spans="1:16">
      <c r="A54" t="s">
        <v>59</v>
      </c>
      <c r="B54">
        <v>41</v>
      </c>
      <c r="C54">
        <v>218</v>
      </c>
      <c r="D54">
        <v>156</v>
      </c>
      <c r="E54">
        <v>55</v>
      </c>
      <c r="F54">
        <v>19</v>
      </c>
      <c r="G54">
        <v>67</v>
      </c>
      <c r="H54">
        <v>254.7</v>
      </c>
      <c r="I54" s="14">
        <v>352.5163125143888</v>
      </c>
      <c r="J54">
        <v>77</v>
      </c>
      <c r="K54">
        <v>53</v>
      </c>
      <c r="L54">
        <v>74</v>
      </c>
      <c r="M54">
        <v>54</v>
      </c>
      <c r="N54" s="143" t="e">
        <v>#DIV/0!</v>
      </c>
      <c r="O54" s="143" t="e">
        <v>#DIV/0!</v>
      </c>
      <c r="P54">
        <v>-56</v>
      </c>
    </row>
    <row r="55" spans="1:16">
      <c r="A55" t="s">
        <v>9</v>
      </c>
      <c r="B55">
        <v>2</v>
      </c>
      <c r="C55">
        <v>142</v>
      </c>
      <c r="D55">
        <v>161</v>
      </c>
      <c r="E55">
        <v>147</v>
      </c>
      <c r="F55">
        <v>65</v>
      </c>
      <c r="G55">
        <v>56</v>
      </c>
      <c r="H55">
        <v>255.7</v>
      </c>
      <c r="I55" s="14">
        <v>357.01443281474741</v>
      </c>
      <c r="J55">
        <v>78</v>
      </c>
      <c r="K55">
        <v>54</v>
      </c>
      <c r="L55">
        <v>76</v>
      </c>
      <c r="M55">
        <v>56</v>
      </c>
      <c r="N55" s="143" t="e">
        <v>#DIV/0!</v>
      </c>
      <c r="O55" s="143" t="e">
        <v>#DIV/0!</v>
      </c>
      <c r="P55">
        <v>-6</v>
      </c>
    </row>
    <row r="56" spans="1:16">
      <c r="A56" t="s">
        <v>49</v>
      </c>
      <c r="B56">
        <v>86</v>
      </c>
      <c r="C56">
        <v>62</v>
      </c>
      <c r="D56">
        <v>189</v>
      </c>
      <c r="E56">
        <v>33</v>
      </c>
      <c r="F56">
        <v>66</v>
      </c>
      <c r="G56">
        <v>62</v>
      </c>
      <c r="H56">
        <v>256.89999999999998</v>
      </c>
      <c r="I56" s="14">
        <v>339.52759361484408</v>
      </c>
      <c r="J56">
        <v>79</v>
      </c>
      <c r="K56">
        <v>55</v>
      </c>
      <c r="L56">
        <v>63</v>
      </c>
      <c r="M56">
        <v>45</v>
      </c>
      <c r="N56" s="143" t="e">
        <v>#DIV/0!</v>
      </c>
      <c r="O56" s="143" t="e">
        <v>#DIV/0!</v>
      </c>
      <c r="P56">
        <v>-23</v>
      </c>
    </row>
    <row r="57" spans="1:16">
      <c r="A57" t="s">
        <v>307</v>
      </c>
      <c r="B57">
        <v>16</v>
      </c>
      <c r="C57">
        <v>174</v>
      </c>
      <c r="D57">
        <v>131</v>
      </c>
      <c r="E57">
        <v>151</v>
      </c>
      <c r="F57">
        <v>61</v>
      </c>
      <c r="G57">
        <v>97</v>
      </c>
      <c r="H57">
        <v>257.3</v>
      </c>
      <c r="I57" s="14">
        <v>397.09391195071396</v>
      </c>
      <c r="J57">
        <v>80</v>
      </c>
      <c r="K57">
        <v>56</v>
      </c>
      <c r="L57">
        <v>97</v>
      </c>
      <c r="M57">
        <v>68</v>
      </c>
      <c r="N57" s="143" t="e">
        <v>#DIV/0!</v>
      </c>
      <c r="O57" s="143" t="e">
        <v>#DIV/0!</v>
      </c>
      <c r="P57">
        <v>70</v>
      </c>
    </row>
    <row r="58" spans="1:16">
      <c r="A58" t="s">
        <v>128</v>
      </c>
      <c r="B58">
        <v>62</v>
      </c>
      <c r="C58">
        <v>67</v>
      </c>
      <c r="D58">
        <v>143</v>
      </c>
      <c r="E58">
        <v>83</v>
      </c>
      <c r="F58">
        <v>139</v>
      </c>
      <c r="G58">
        <v>74</v>
      </c>
      <c r="H58">
        <v>259.10000000000002</v>
      </c>
      <c r="I58" s="14">
        <v>361.56860149164163</v>
      </c>
      <c r="J58">
        <v>83</v>
      </c>
      <c r="K58">
        <v>57</v>
      </c>
      <c r="L58">
        <v>80</v>
      </c>
      <c r="M58">
        <v>58</v>
      </c>
      <c r="N58" s="143" t="e">
        <v>#DIV/0!</v>
      </c>
      <c r="O58" s="143" t="e">
        <v>#DIV/0!</v>
      </c>
      <c r="P58">
        <v>58</v>
      </c>
    </row>
    <row r="59" spans="1:16">
      <c r="A59" t="s">
        <v>144</v>
      </c>
      <c r="B59">
        <v>181</v>
      </c>
      <c r="C59">
        <v>30</v>
      </c>
      <c r="D59">
        <v>154</v>
      </c>
      <c r="E59">
        <v>10</v>
      </c>
      <c r="F59">
        <v>23</v>
      </c>
      <c r="G59">
        <v>46</v>
      </c>
      <c r="H59">
        <v>259.7</v>
      </c>
      <c r="I59" s="14">
        <v>306.20275746873733</v>
      </c>
      <c r="J59">
        <v>84</v>
      </c>
      <c r="K59">
        <v>58</v>
      </c>
      <c r="L59">
        <v>56</v>
      </c>
      <c r="M59">
        <v>40</v>
      </c>
      <c r="N59" s="143" t="e">
        <v>#DIV/0!</v>
      </c>
      <c r="O59" s="143" t="e">
        <v>#DIV/0!</v>
      </c>
      <c r="P59">
        <v>12</v>
      </c>
    </row>
    <row r="60" spans="1:16">
      <c r="A60" t="s">
        <v>18</v>
      </c>
      <c r="B60">
        <v>7</v>
      </c>
      <c r="C60">
        <v>209</v>
      </c>
      <c r="D60">
        <v>151</v>
      </c>
      <c r="E60">
        <v>154</v>
      </c>
      <c r="F60">
        <v>22</v>
      </c>
      <c r="G60">
        <v>80</v>
      </c>
      <c r="H60">
        <v>264.59999999999997</v>
      </c>
      <c r="I60" s="14">
        <v>390.79865997922917</v>
      </c>
      <c r="J60">
        <v>85</v>
      </c>
      <c r="K60">
        <v>59</v>
      </c>
      <c r="L60">
        <v>94</v>
      </c>
      <c r="M60">
        <v>65</v>
      </c>
      <c r="N60" s="143" t="e">
        <v>#DIV/0!</v>
      </c>
      <c r="O60" s="143" t="e">
        <v>#DIV/0!</v>
      </c>
      <c r="P60">
        <v>2</v>
      </c>
    </row>
    <row r="61" spans="1:16">
      <c r="A61" t="s">
        <v>408</v>
      </c>
      <c r="B61">
        <v>39</v>
      </c>
      <c r="C61">
        <v>177</v>
      </c>
      <c r="D61">
        <v>122</v>
      </c>
      <c r="E61">
        <v>47</v>
      </c>
      <c r="F61">
        <v>166</v>
      </c>
      <c r="G61">
        <v>59</v>
      </c>
      <c r="H61">
        <v>268.70000000000005</v>
      </c>
      <c r="I61" s="14">
        <v>358.83691215066068</v>
      </c>
      <c r="J61">
        <v>87</v>
      </c>
      <c r="K61">
        <v>60</v>
      </c>
      <c r="L61">
        <v>77</v>
      </c>
      <c r="M61">
        <v>57</v>
      </c>
      <c r="N61" s="143" t="e">
        <v>#DIV/0!</v>
      </c>
      <c r="O61" s="143" t="e">
        <v>#DIV/0!</v>
      </c>
      <c r="P61">
        <v>6</v>
      </c>
    </row>
    <row r="62" spans="1:16">
      <c r="A62" t="s">
        <v>91</v>
      </c>
      <c r="B62">
        <v>64</v>
      </c>
      <c r="C62">
        <v>163</v>
      </c>
      <c r="D62">
        <v>63</v>
      </c>
      <c r="E62">
        <v>161</v>
      </c>
      <c r="F62">
        <v>129</v>
      </c>
      <c r="G62">
        <v>89</v>
      </c>
      <c r="H62">
        <v>270.10000000000002</v>
      </c>
      <c r="I62" s="14">
        <v>393.75283356522988</v>
      </c>
      <c r="J62">
        <v>88</v>
      </c>
      <c r="K62">
        <v>61</v>
      </c>
      <c r="L62">
        <v>95</v>
      </c>
      <c r="M62">
        <v>66</v>
      </c>
      <c r="N62" s="143" t="e">
        <v>#DIV/0!</v>
      </c>
      <c r="O62" s="143" t="e">
        <v>#DIV/0!</v>
      </c>
      <c r="P62">
        <v>89</v>
      </c>
    </row>
    <row r="63" spans="1:16">
      <c r="A63" t="s">
        <v>152</v>
      </c>
      <c r="B63">
        <v>156</v>
      </c>
      <c r="C63">
        <v>33</v>
      </c>
      <c r="D63">
        <v>38</v>
      </c>
      <c r="E63">
        <v>158</v>
      </c>
      <c r="F63">
        <v>150</v>
      </c>
      <c r="G63">
        <v>60</v>
      </c>
      <c r="H63">
        <v>272.2</v>
      </c>
      <c r="I63" s="14">
        <v>348.42443102372823</v>
      </c>
      <c r="J63">
        <v>89</v>
      </c>
      <c r="K63">
        <v>62</v>
      </c>
      <c r="L63">
        <v>69</v>
      </c>
      <c r="M63">
        <v>49</v>
      </c>
      <c r="N63" s="143" t="e">
        <v>#DIV/0!</v>
      </c>
      <c r="O63" s="143" t="e">
        <v>#DIV/0!</v>
      </c>
      <c r="P63">
        <v>3</v>
      </c>
    </row>
    <row r="64" spans="1:16">
      <c r="A64" t="s">
        <v>163</v>
      </c>
      <c r="B64">
        <v>153</v>
      </c>
      <c r="C64">
        <v>68</v>
      </c>
      <c r="D64">
        <v>71</v>
      </c>
      <c r="E64">
        <v>123</v>
      </c>
      <c r="F64">
        <v>105</v>
      </c>
      <c r="G64">
        <v>92</v>
      </c>
      <c r="H64">
        <v>275.2</v>
      </c>
      <c r="I64" s="14">
        <v>382.38966201978951</v>
      </c>
      <c r="J64">
        <v>92</v>
      </c>
      <c r="K64">
        <v>63</v>
      </c>
      <c r="L64">
        <v>90</v>
      </c>
      <c r="M64">
        <v>63</v>
      </c>
      <c r="N64" s="143" t="e">
        <v>#DIV/0!</v>
      </c>
      <c r="O64" s="143" t="e">
        <v>#DIV/0!</v>
      </c>
      <c r="P64">
        <v>45</v>
      </c>
    </row>
    <row r="65" spans="1:16">
      <c r="A65" t="s">
        <v>167</v>
      </c>
      <c r="B65">
        <v>160</v>
      </c>
      <c r="C65">
        <v>91</v>
      </c>
      <c r="D65">
        <v>118</v>
      </c>
      <c r="E65">
        <v>99</v>
      </c>
      <c r="F65">
        <v>12</v>
      </c>
      <c r="G65">
        <v>61</v>
      </c>
      <c r="H65">
        <v>275.40000000000003</v>
      </c>
      <c r="I65" s="14">
        <v>349.50691591719965</v>
      </c>
      <c r="J65">
        <v>93</v>
      </c>
      <c r="K65">
        <v>64</v>
      </c>
      <c r="L65">
        <v>71</v>
      </c>
      <c r="M65">
        <v>51</v>
      </c>
      <c r="N65" s="143" t="e">
        <v>#DIV/0!</v>
      </c>
      <c r="O65" s="143" t="e">
        <v>#DIV/0!</v>
      </c>
      <c r="P65">
        <v>-31</v>
      </c>
    </row>
    <row r="66" spans="1:16">
      <c r="A66" t="s">
        <v>69</v>
      </c>
      <c r="B66">
        <v>80</v>
      </c>
      <c r="C66">
        <v>160</v>
      </c>
      <c r="D66">
        <v>30</v>
      </c>
      <c r="E66">
        <v>132</v>
      </c>
      <c r="F66">
        <v>208</v>
      </c>
      <c r="G66">
        <v>112</v>
      </c>
      <c r="H66">
        <v>277</v>
      </c>
      <c r="I66" s="14">
        <v>418.37191936701947</v>
      </c>
      <c r="J66">
        <v>95</v>
      </c>
      <c r="K66">
        <v>65</v>
      </c>
      <c r="L66">
        <v>111</v>
      </c>
      <c r="M66">
        <v>70</v>
      </c>
      <c r="N66" s="143" t="e">
        <v>#DIV/0!</v>
      </c>
      <c r="O66" s="143" t="e">
        <v>#DIV/0!</v>
      </c>
      <c r="P66">
        <v>11</v>
      </c>
    </row>
    <row r="67" spans="1:16">
      <c r="A67" t="s">
        <v>120</v>
      </c>
      <c r="B67">
        <v>146</v>
      </c>
      <c r="C67">
        <v>94</v>
      </c>
      <c r="D67">
        <v>103</v>
      </c>
      <c r="E67">
        <v>131</v>
      </c>
      <c r="F67">
        <v>33</v>
      </c>
      <c r="G67">
        <v>100</v>
      </c>
      <c r="H67">
        <v>277.49999999999994</v>
      </c>
      <c r="I67" s="14">
        <v>395.76140073248303</v>
      </c>
      <c r="J67">
        <v>96</v>
      </c>
      <c r="K67">
        <v>66</v>
      </c>
      <c r="L67">
        <v>96</v>
      </c>
      <c r="M67">
        <v>67</v>
      </c>
      <c r="N67" s="143" t="e">
        <v>#DIV/0!</v>
      </c>
      <c r="O67" s="143" t="e">
        <v>#DIV/0!</v>
      </c>
      <c r="P67">
        <v>-44</v>
      </c>
    </row>
    <row r="68" spans="1:16">
      <c r="A68" t="s">
        <v>82</v>
      </c>
      <c r="B68">
        <v>19</v>
      </c>
      <c r="C68">
        <v>100</v>
      </c>
      <c r="D68">
        <v>153</v>
      </c>
      <c r="E68">
        <v>116</v>
      </c>
      <c r="F68">
        <v>178</v>
      </c>
      <c r="G68">
        <v>188</v>
      </c>
      <c r="H68">
        <v>278</v>
      </c>
      <c r="I68" s="14">
        <v>507.73126478906687</v>
      </c>
      <c r="J68">
        <v>97</v>
      </c>
      <c r="K68">
        <v>67</v>
      </c>
      <c r="L68">
        <v>153</v>
      </c>
      <c r="M68">
        <v>89</v>
      </c>
      <c r="N68" s="143" t="e">
        <v>#DIV/0!</v>
      </c>
      <c r="O68" s="143" t="e">
        <v>#DIV/0!</v>
      </c>
      <c r="P68">
        <v>-36</v>
      </c>
    </row>
    <row r="69" spans="1:16">
      <c r="A69" t="s">
        <v>112</v>
      </c>
      <c r="B69">
        <v>165</v>
      </c>
      <c r="C69">
        <v>64</v>
      </c>
      <c r="D69">
        <v>140</v>
      </c>
      <c r="E69">
        <v>65</v>
      </c>
      <c r="F69">
        <v>35</v>
      </c>
      <c r="G69">
        <v>57</v>
      </c>
      <c r="H69">
        <v>279.10000000000002</v>
      </c>
      <c r="I69" s="14">
        <v>346.21468315209165</v>
      </c>
      <c r="J69">
        <v>98</v>
      </c>
      <c r="K69">
        <v>68</v>
      </c>
      <c r="L69">
        <v>68</v>
      </c>
      <c r="M69">
        <v>48</v>
      </c>
      <c r="N69" s="143" t="e">
        <v>#DIV/0!</v>
      </c>
      <c r="O69" s="143" t="e">
        <v>#DIV/0!</v>
      </c>
      <c r="P69">
        <v>45</v>
      </c>
    </row>
    <row r="70" spans="1:16">
      <c r="A70" t="s">
        <v>65</v>
      </c>
      <c r="B70">
        <v>88</v>
      </c>
      <c r="C70">
        <v>56</v>
      </c>
      <c r="D70">
        <v>72</v>
      </c>
      <c r="E70">
        <v>213</v>
      </c>
      <c r="F70">
        <v>159</v>
      </c>
      <c r="G70">
        <v>152</v>
      </c>
      <c r="H70">
        <v>283.20000000000005</v>
      </c>
      <c r="I70" s="14">
        <v>470.66964095233448</v>
      </c>
      <c r="J70">
        <v>105</v>
      </c>
      <c r="K70">
        <v>69</v>
      </c>
      <c r="L70">
        <v>132</v>
      </c>
      <c r="M70">
        <v>79</v>
      </c>
      <c r="N70" s="143" t="e">
        <v>#DIV/0!</v>
      </c>
      <c r="O70" s="143" t="e">
        <v>#DIV/0!</v>
      </c>
      <c r="P70">
        <v>25</v>
      </c>
    </row>
    <row r="71" spans="1:16">
      <c r="A71" t="s">
        <v>56</v>
      </c>
      <c r="B71">
        <v>48</v>
      </c>
      <c r="C71">
        <v>210</v>
      </c>
      <c r="D71">
        <v>101</v>
      </c>
      <c r="E71">
        <v>216</v>
      </c>
      <c r="F71">
        <v>31</v>
      </c>
      <c r="G71">
        <v>145</v>
      </c>
      <c r="H71">
        <v>287.09999999999997</v>
      </c>
      <c r="I71" s="14">
        <v>477.29176115580992</v>
      </c>
      <c r="J71">
        <v>108</v>
      </c>
      <c r="K71">
        <v>70</v>
      </c>
      <c r="L71">
        <v>134</v>
      </c>
      <c r="M71">
        <v>80</v>
      </c>
      <c r="N71" s="143" t="e">
        <v>#DIV/0!</v>
      </c>
      <c r="O71" s="143" t="e">
        <v>#DIV/0!</v>
      </c>
      <c r="P71">
        <v>-114</v>
      </c>
    </row>
    <row r="72" spans="1:16">
      <c r="A72" t="s">
        <v>127</v>
      </c>
      <c r="B72">
        <v>160</v>
      </c>
      <c r="C72">
        <v>60</v>
      </c>
      <c r="D72">
        <v>76</v>
      </c>
      <c r="E72">
        <v>119</v>
      </c>
      <c r="F72">
        <v>130</v>
      </c>
      <c r="G72">
        <v>71</v>
      </c>
      <c r="H72">
        <v>288.79999999999995</v>
      </c>
      <c r="I72" s="14">
        <v>374.97657730605079</v>
      </c>
      <c r="J72">
        <v>111</v>
      </c>
      <c r="K72">
        <v>71</v>
      </c>
      <c r="L72">
        <v>87</v>
      </c>
      <c r="M72">
        <v>62</v>
      </c>
      <c r="N72" s="143" t="e">
        <v>#DIV/0!</v>
      </c>
      <c r="O72" s="143" t="e">
        <v>#DIV/0!</v>
      </c>
      <c r="P72">
        <v>3</v>
      </c>
    </row>
    <row r="73" spans="1:16">
      <c r="A73" t="s">
        <v>33</v>
      </c>
      <c r="B73">
        <v>9</v>
      </c>
      <c r="C73">
        <v>168</v>
      </c>
      <c r="D73">
        <v>174</v>
      </c>
      <c r="E73">
        <v>113</v>
      </c>
      <c r="F73">
        <v>121</v>
      </c>
      <c r="G73">
        <v>106</v>
      </c>
      <c r="H73">
        <v>288.89999999999998</v>
      </c>
      <c r="I73" s="14">
        <v>440.3761958690248</v>
      </c>
      <c r="J73">
        <v>112</v>
      </c>
      <c r="K73">
        <v>72</v>
      </c>
      <c r="L73">
        <v>122</v>
      </c>
      <c r="M73">
        <v>76</v>
      </c>
      <c r="N73" s="143" t="e">
        <v>#DIV/0!</v>
      </c>
      <c r="O73" s="143" t="e">
        <v>#DIV/0!</v>
      </c>
      <c r="P73">
        <v>-9</v>
      </c>
    </row>
    <row r="74" spans="1:16">
      <c r="A74" t="s">
        <v>101</v>
      </c>
      <c r="B74">
        <v>120</v>
      </c>
      <c r="C74">
        <v>68</v>
      </c>
      <c r="D74">
        <v>132</v>
      </c>
      <c r="E74">
        <v>17</v>
      </c>
      <c r="F74">
        <v>201</v>
      </c>
      <c r="G74">
        <v>121</v>
      </c>
      <c r="H74">
        <v>290.8</v>
      </c>
      <c r="I74" s="14">
        <v>427.50918505401899</v>
      </c>
      <c r="J74">
        <v>114</v>
      </c>
      <c r="K74">
        <v>73</v>
      </c>
      <c r="L74">
        <v>117</v>
      </c>
      <c r="M74">
        <v>71</v>
      </c>
      <c r="N74" s="143" t="e">
        <v>#DIV/0!</v>
      </c>
      <c r="O74" s="143" t="e">
        <v>#DIV/0!</v>
      </c>
      <c r="P74">
        <v>12</v>
      </c>
    </row>
    <row r="75" spans="1:16">
      <c r="A75" t="s">
        <v>177</v>
      </c>
      <c r="B75">
        <v>210</v>
      </c>
      <c r="C75">
        <v>8</v>
      </c>
      <c r="D75">
        <v>20</v>
      </c>
      <c r="E75">
        <v>130</v>
      </c>
      <c r="F75">
        <v>188</v>
      </c>
      <c r="G75">
        <v>135</v>
      </c>
      <c r="H75">
        <v>291.39999999999998</v>
      </c>
      <c r="I75" s="14">
        <v>431.97265385257867</v>
      </c>
      <c r="J75">
        <v>115</v>
      </c>
      <c r="K75">
        <v>74</v>
      </c>
      <c r="L75">
        <v>119</v>
      </c>
      <c r="M75">
        <v>73</v>
      </c>
      <c r="N75" s="143" t="e">
        <v>#DIV/0!</v>
      </c>
      <c r="O75" s="143" t="e">
        <v>#DIV/0!</v>
      </c>
      <c r="P75">
        <v>-41</v>
      </c>
    </row>
    <row r="76" spans="1:16">
      <c r="A76" t="s">
        <v>391</v>
      </c>
      <c r="B76">
        <v>185</v>
      </c>
      <c r="C76">
        <v>162</v>
      </c>
      <c r="D76">
        <v>32</v>
      </c>
      <c r="E76">
        <v>61</v>
      </c>
      <c r="F76">
        <v>126</v>
      </c>
      <c r="G76">
        <v>76</v>
      </c>
      <c r="H76">
        <v>291.5</v>
      </c>
      <c r="I76" s="14">
        <v>373.31294577122469</v>
      </c>
      <c r="J76">
        <v>116</v>
      </c>
      <c r="K76">
        <v>75</v>
      </c>
      <c r="L76">
        <v>85</v>
      </c>
      <c r="M76">
        <v>61</v>
      </c>
      <c r="N76" s="143" t="e">
        <v>#DIV/0!</v>
      </c>
      <c r="O76" s="143" t="e">
        <v>#DIV/0!</v>
      </c>
      <c r="P76">
        <v>121</v>
      </c>
    </row>
    <row r="77" spans="1:16">
      <c r="A77" t="s">
        <v>89</v>
      </c>
      <c r="B77">
        <v>100</v>
      </c>
      <c r="C77">
        <v>161</v>
      </c>
      <c r="D77">
        <v>142</v>
      </c>
      <c r="E77">
        <v>121</v>
      </c>
      <c r="F77">
        <v>24</v>
      </c>
      <c r="G77">
        <v>66</v>
      </c>
      <c r="H77">
        <v>291.80000000000007</v>
      </c>
      <c r="I77" s="14">
        <v>386.67147575596618</v>
      </c>
      <c r="J77">
        <v>117</v>
      </c>
      <c r="K77">
        <v>76</v>
      </c>
      <c r="L77">
        <v>92</v>
      </c>
      <c r="M77">
        <v>64</v>
      </c>
      <c r="N77" s="143" t="e">
        <v>#DIV/0!</v>
      </c>
      <c r="O77" s="143" t="e">
        <v>#DIV/0!</v>
      </c>
      <c r="P77">
        <v>45</v>
      </c>
    </row>
    <row r="78" spans="1:16">
      <c r="A78" t="s">
        <v>138</v>
      </c>
      <c r="B78">
        <v>75</v>
      </c>
      <c r="C78">
        <v>191</v>
      </c>
      <c r="D78">
        <v>81</v>
      </c>
      <c r="E78">
        <v>189</v>
      </c>
      <c r="F78">
        <v>77</v>
      </c>
      <c r="G78">
        <v>99</v>
      </c>
      <c r="H78">
        <v>292</v>
      </c>
      <c r="I78" s="14">
        <v>428.98393309890889</v>
      </c>
      <c r="J78">
        <v>118</v>
      </c>
      <c r="K78">
        <v>77</v>
      </c>
      <c r="L78">
        <v>118</v>
      </c>
      <c r="M78">
        <v>72</v>
      </c>
      <c r="N78" s="143" t="e">
        <v>#DIV/0!</v>
      </c>
      <c r="O78" s="143" t="e">
        <v>#DIV/0!</v>
      </c>
      <c r="P78">
        <v>-62</v>
      </c>
    </row>
    <row r="79" spans="1:16">
      <c r="A79" t="s">
        <v>29</v>
      </c>
      <c r="B79">
        <v>66</v>
      </c>
      <c r="C79">
        <v>134</v>
      </c>
      <c r="D79">
        <v>133</v>
      </c>
      <c r="E79">
        <v>142</v>
      </c>
      <c r="F79">
        <v>122</v>
      </c>
      <c r="G79">
        <v>125</v>
      </c>
      <c r="H79">
        <v>298.5</v>
      </c>
      <c r="I79" s="14">
        <v>460.79073328451551</v>
      </c>
      <c r="J79">
        <v>125</v>
      </c>
      <c r="K79">
        <v>78</v>
      </c>
      <c r="L79">
        <v>126</v>
      </c>
      <c r="M79">
        <v>77</v>
      </c>
      <c r="N79" s="143" t="e">
        <v>#DIV/0!</v>
      </c>
      <c r="O79" s="143" t="e">
        <v>#DIV/0!</v>
      </c>
      <c r="P79">
        <v>13</v>
      </c>
    </row>
    <row r="80" spans="1:16">
      <c r="A80" t="s">
        <v>131</v>
      </c>
      <c r="B80">
        <v>127</v>
      </c>
      <c r="C80">
        <v>129</v>
      </c>
      <c r="D80">
        <v>127</v>
      </c>
      <c r="E80">
        <v>45</v>
      </c>
      <c r="F80">
        <v>134</v>
      </c>
      <c r="G80">
        <v>113</v>
      </c>
      <c r="H80">
        <v>301</v>
      </c>
      <c r="I80" s="14">
        <v>432.16188000324422</v>
      </c>
      <c r="J80">
        <v>126</v>
      </c>
      <c r="K80">
        <v>79</v>
      </c>
      <c r="L80">
        <v>120</v>
      </c>
      <c r="M80">
        <v>74</v>
      </c>
      <c r="N80" s="143" t="e">
        <v>#DIV/0!</v>
      </c>
      <c r="O80" s="143" t="e">
        <v>#DIV/0!</v>
      </c>
      <c r="P80">
        <v>-97</v>
      </c>
    </row>
    <row r="81" spans="1:16">
      <c r="A81" t="s">
        <v>41</v>
      </c>
      <c r="B81">
        <v>31</v>
      </c>
      <c r="C81">
        <v>206</v>
      </c>
      <c r="D81">
        <v>195</v>
      </c>
      <c r="E81">
        <v>120</v>
      </c>
      <c r="F81">
        <v>34</v>
      </c>
      <c r="G81">
        <v>131</v>
      </c>
      <c r="H81">
        <v>302.20000000000005</v>
      </c>
      <c r="I81" s="14">
        <v>477.39292766833569</v>
      </c>
      <c r="J81">
        <v>127</v>
      </c>
      <c r="K81">
        <v>80</v>
      </c>
      <c r="L81">
        <v>135</v>
      </c>
      <c r="M81">
        <v>81</v>
      </c>
      <c r="N81" s="143" t="e">
        <v>#DIV/0!</v>
      </c>
      <c r="O81" s="143" t="e">
        <v>#DIV/0!</v>
      </c>
      <c r="P81">
        <v>-25</v>
      </c>
    </row>
    <row r="82" spans="1:16">
      <c r="A82" t="s">
        <v>244</v>
      </c>
      <c r="B82">
        <v>87</v>
      </c>
      <c r="C82">
        <v>98</v>
      </c>
      <c r="D82">
        <v>116</v>
      </c>
      <c r="E82">
        <v>106</v>
      </c>
      <c r="F82">
        <v>197</v>
      </c>
      <c r="G82">
        <v>166</v>
      </c>
      <c r="H82">
        <v>302.5</v>
      </c>
      <c r="I82" s="14">
        <v>498.80822768408433</v>
      </c>
      <c r="J82">
        <v>128</v>
      </c>
      <c r="K82">
        <v>81</v>
      </c>
      <c r="L82">
        <v>146</v>
      </c>
      <c r="M82">
        <v>85</v>
      </c>
      <c r="N82" s="143" t="e">
        <v>#DIV/0!</v>
      </c>
      <c r="O82" s="143" t="e">
        <v>#DIV/0!</v>
      </c>
      <c r="P82">
        <v>19</v>
      </c>
    </row>
    <row r="83" spans="1:16">
      <c r="A83" t="s">
        <v>95</v>
      </c>
      <c r="B83">
        <v>109</v>
      </c>
      <c r="C83">
        <v>152</v>
      </c>
      <c r="D83">
        <v>173</v>
      </c>
      <c r="E83">
        <v>96</v>
      </c>
      <c r="F83">
        <v>26</v>
      </c>
      <c r="G83">
        <v>98</v>
      </c>
      <c r="H83">
        <v>307</v>
      </c>
      <c r="I83" s="14">
        <v>432.50158252649777</v>
      </c>
      <c r="J83">
        <v>131</v>
      </c>
      <c r="K83">
        <v>82</v>
      </c>
      <c r="L83">
        <v>121</v>
      </c>
      <c r="M83">
        <v>75</v>
      </c>
      <c r="N83" s="143" t="e">
        <v>#DIV/0!</v>
      </c>
      <c r="O83" s="143" t="e">
        <v>#DIV/0!</v>
      </c>
      <c r="P83">
        <v>109</v>
      </c>
    </row>
    <row r="84" spans="1:16">
      <c r="A84" t="s">
        <v>50</v>
      </c>
      <c r="B84">
        <v>21</v>
      </c>
      <c r="C84">
        <v>215</v>
      </c>
      <c r="D84">
        <v>168</v>
      </c>
      <c r="E84">
        <v>100</v>
      </c>
      <c r="F84">
        <v>152</v>
      </c>
      <c r="G84">
        <v>161</v>
      </c>
      <c r="H84">
        <v>319.10000000000002</v>
      </c>
      <c r="I84" s="14">
        <v>525.91750021818348</v>
      </c>
      <c r="J84">
        <v>137</v>
      </c>
      <c r="K84">
        <v>83</v>
      </c>
      <c r="L84">
        <v>159</v>
      </c>
      <c r="M84">
        <v>90</v>
      </c>
      <c r="N84" s="143" t="e">
        <v>#DIV/0!</v>
      </c>
      <c r="O84" s="143" t="e">
        <v>#DIV/0!</v>
      </c>
      <c r="P84">
        <v>-61</v>
      </c>
    </row>
    <row r="85" spans="1:16">
      <c r="A85" t="s">
        <v>126</v>
      </c>
      <c r="B85">
        <v>81</v>
      </c>
      <c r="C85">
        <v>103</v>
      </c>
      <c r="D85">
        <v>167</v>
      </c>
      <c r="E85">
        <v>82</v>
      </c>
      <c r="F85">
        <v>186</v>
      </c>
      <c r="G85">
        <v>146</v>
      </c>
      <c r="H85">
        <v>322</v>
      </c>
      <c r="I85" s="14">
        <v>500.81167022562028</v>
      </c>
      <c r="J85">
        <v>140</v>
      </c>
      <c r="K85">
        <v>84</v>
      </c>
      <c r="L85">
        <v>147</v>
      </c>
      <c r="M85">
        <v>86</v>
      </c>
      <c r="N85" s="143" t="e">
        <v>#DIV/0!</v>
      </c>
      <c r="O85" s="143" t="e">
        <v>#DIV/0!</v>
      </c>
      <c r="P85">
        <v>56</v>
      </c>
    </row>
    <row r="86" spans="1:16">
      <c r="A86" t="s">
        <v>8</v>
      </c>
      <c r="B86">
        <v>1</v>
      </c>
      <c r="C86">
        <v>175</v>
      </c>
      <c r="D86">
        <v>155</v>
      </c>
      <c r="E86">
        <v>168</v>
      </c>
      <c r="F86">
        <v>190</v>
      </c>
      <c r="G86">
        <v>126</v>
      </c>
      <c r="H86">
        <v>322.39999999999998</v>
      </c>
      <c r="I86" s="14">
        <v>503.33711156873875</v>
      </c>
      <c r="J86">
        <v>141</v>
      </c>
      <c r="K86">
        <v>85</v>
      </c>
      <c r="L86">
        <v>149</v>
      </c>
      <c r="M86">
        <v>87</v>
      </c>
      <c r="N86" s="143" t="e">
        <v>#DIV/0!</v>
      </c>
      <c r="O86" s="143" t="e">
        <v>#DIV/0!</v>
      </c>
      <c r="P86" t="e">
        <v>#N/A</v>
      </c>
    </row>
    <row r="87" spans="1:16">
      <c r="A87" t="s">
        <v>239</v>
      </c>
      <c r="B87">
        <v>116</v>
      </c>
      <c r="C87">
        <v>123</v>
      </c>
      <c r="D87">
        <v>182</v>
      </c>
      <c r="E87">
        <v>126</v>
      </c>
      <c r="F87">
        <v>36</v>
      </c>
      <c r="G87">
        <v>117</v>
      </c>
      <c r="H87">
        <v>322.59999999999991</v>
      </c>
      <c r="I87" s="14">
        <v>470.05485062063752</v>
      </c>
      <c r="J87">
        <v>142</v>
      </c>
      <c r="K87">
        <v>86</v>
      </c>
      <c r="L87">
        <v>131</v>
      </c>
      <c r="M87">
        <v>78</v>
      </c>
      <c r="N87" s="143" t="e">
        <v>#DIV/0!</v>
      </c>
      <c r="O87" s="143" t="e">
        <v>#DIV/0!</v>
      </c>
      <c r="P87">
        <v>73</v>
      </c>
    </row>
    <row r="88" spans="1:16">
      <c r="A88" t="s">
        <v>157</v>
      </c>
      <c r="B88">
        <v>173</v>
      </c>
      <c r="C88">
        <v>84</v>
      </c>
      <c r="D88">
        <v>97</v>
      </c>
      <c r="E88">
        <v>106</v>
      </c>
      <c r="F88">
        <v>144</v>
      </c>
      <c r="G88">
        <v>150</v>
      </c>
      <c r="H88">
        <v>322.60000000000002</v>
      </c>
      <c r="I88" s="14">
        <v>488.77598943370185</v>
      </c>
      <c r="J88">
        <v>144</v>
      </c>
      <c r="K88">
        <v>87</v>
      </c>
      <c r="L88">
        <v>141</v>
      </c>
      <c r="M88">
        <v>83</v>
      </c>
      <c r="N88" s="143" t="e">
        <v>#DIV/0!</v>
      </c>
      <c r="O88" s="143" t="e">
        <v>#DIV/0!</v>
      </c>
      <c r="P88">
        <v>-36</v>
      </c>
    </row>
    <row r="89" spans="1:16">
      <c r="A89" t="s">
        <v>86</v>
      </c>
      <c r="B89">
        <v>98</v>
      </c>
      <c r="C89">
        <v>124</v>
      </c>
      <c r="D89">
        <v>206</v>
      </c>
      <c r="E89">
        <v>138</v>
      </c>
      <c r="F89">
        <v>21</v>
      </c>
      <c r="G89">
        <v>118</v>
      </c>
      <c r="H89">
        <v>325.99999999999994</v>
      </c>
      <c r="I89" s="14">
        <v>479.68470429486331</v>
      </c>
      <c r="J89">
        <v>150</v>
      </c>
      <c r="K89">
        <v>88</v>
      </c>
      <c r="L89">
        <v>137</v>
      </c>
      <c r="M89">
        <v>82</v>
      </c>
      <c r="N89" s="143" t="e">
        <v>#DIV/0!</v>
      </c>
      <c r="O89" s="143" t="e">
        <v>#DIV/0!</v>
      </c>
      <c r="P89">
        <v>-42</v>
      </c>
    </row>
    <row r="90" spans="1:16">
      <c r="A90" t="s">
        <v>398</v>
      </c>
      <c r="B90">
        <v>11</v>
      </c>
      <c r="C90">
        <v>213</v>
      </c>
      <c r="D90">
        <v>203</v>
      </c>
      <c r="E90">
        <v>118</v>
      </c>
      <c r="F90">
        <v>114</v>
      </c>
      <c r="G90">
        <v>177</v>
      </c>
      <c r="H90">
        <v>327.8</v>
      </c>
      <c r="I90" s="14">
        <v>555.68047993301388</v>
      </c>
      <c r="J90">
        <v>151</v>
      </c>
      <c r="K90">
        <v>89</v>
      </c>
      <c r="L90">
        <v>171</v>
      </c>
      <c r="M90">
        <v>93</v>
      </c>
      <c r="N90" s="143" t="e">
        <v>#DIV/0!</v>
      </c>
      <c r="O90" s="143" t="e">
        <v>#DIV/0!</v>
      </c>
      <c r="P90">
        <v>-5</v>
      </c>
    </row>
    <row r="91" spans="1:16">
      <c r="A91" t="s">
        <v>142</v>
      </c>
      <c r="B91">
        <v>135</v>
      </c>
      <c r="C91">
        <v>202</v>
      </c>
      <c r="D91">
        <v>85</v>
      </c>
      <c r="E91">
        <v>104</v>
      </c>
      <c r="F91">
        <v>141</v>
      </c>
      <c r="G91">
        <v>132</v>
      </c>
      <c r="H91">
        <v>332.80000000000007</v>
      </c>
      <c r="I91" s="14">
        <v>489.52451146027846</v>
      </c>
      <c r="J91">
        <v>155</v>
      </c>
      <c r="K91">
        <v>90</v>
      </c>
      <c r="L91">
        <v>142</v>
      </c>
      <c r="M91">
        <v>84</v>
      </c>
      <c r="N91" s="143" t="e">
        <v>#DIV/0!</v>
      </c>
      <c r="O91" s="143" t="e">
        <v>#DIV/0!</v>
      </c>
      <c r="P91">
        <v>-29</v>
      </c>
    </row>
    <row r="92" spans="1:16">
      <c r="A92" t="s">
        <v>146</v>
      </c>
      <c r="B92">
        <v>126</v>
      </c>
      <c r="C92">
        <v>140</v>
      </c>
      <c r="D92">
        <v>128</v>
      </c>
      <c r="E92">
        <v>112</v>
      </c>
      <c r="F92">
        <v>136</v>
      </c>
      <c r="G92">
        <v>147</v>
      </c>
      <c r="H92">
        <v>333</v>
      </c>
      <c r="I92" s="14">
        <v>507.59376659083489</v>
      </c>
      <c r="J92">
        <v>156</v>
      </c>
      <c r="K92">
        <v>91</v>
      </c>
      <c r="L92">
        <v>152</v>
      </c>
      <c r="M92">
        <v>88</v>
      </c>
      <c r="N92" s="143" t="e">
        <v>#DIV/0!</v>
      </c>
      <c r="O92" s="143" t="e">
        <v>#DIV/0!</v>
      </c>
      <c r="P92">
        <v>13</v>
      </c>
    </row>
    <row r="93" spans="1:16">
      <c r="A93" t="s">
        <v>77</v>
      </c>
      <c r="B93">
        <v>45</v>
      </c>
      <c r="C93">
        <v>211</v>
      </c>
      <c r="D93">
        <v>141</v>
      </c>
      <c r="E93">
        <v>154</v>
      </c>
      <c r="F93">
        <v>151</v>
      </c>
      <c r="G93">
        <v>184</v>
      </c>
      <c r="H93">
        <v>336.6</v>
      </c>
      <c r="I93" s="14">
        <v>567.7941883852925</v>
      </c>
      <c r="J93">
        <v>159</v>
      </c>
      <c r="K93">
        <v>92</v>
      </c>
      <c r="L93">
        <v>175</v>
      </c>
      <c r="M93">
        <v>96</v>
      </c>
      <c r="N93" s="143" t="e">
        <v>#DIV/0!</v>
      </c>
      <c r="O93" s="143" t="e">
        <v>#DIV/0!</v>
      </c>
      <c r="P93">
        <v>-27</v>
      </c>
    </row>
    <row r="94" spans="1:16">
      <c r="A94" t="s">
        <v>155</v>
      </c>
      <c r="B94">
        <v>124</v>
      </c>
      <c r="C94">
        <v>194</v>
      </c>
      <c r="D94">
        <v>114</v>
      </c>
      <c r="E94">
        <v>60</v>
      </c>
      <c r="F94">
        <v>172</v>
      </c>
      <c r="G94">
        <v>165</v>
      </c>
      <c r="H94">
        <v>337</v>
      </c>
      <c r="I94" s="14">
        <v>526.20727447744116</v>
      </c>
      <c r="J94">
        <v>160</v>
      </c>
      <c r="K94">
        <v>93</v>
      </c>
      <c r="L94">
        <v>160</v>
      </c>
      <c r="M94">
        <v>91</v>
      </c>
      <c r="N94" s="143" t="e">
        <v>#DIV/0!</v>
      </c>
      <c r="O94" s="143" t="e">
        <v>#DIV/0!</v>
      </c>
      <c r="P94">
        <v>-44</v>
      </c>
    </row>
    <row r="95" spans="1:16">
      <c r="A95" t="s">
        <v>417</v>
      </c>
      <c r="B95">
        <v>123</v>
      </c>
      <c r="C95">
        <v>1</v>
      </c>
      <c r="D95">
        <v>150</v>
      </c>
      <c r="E95">
        <v>208</v>
      </c>
      <c r="F95">
        <v>158</v>
      </c>
      <c r="G95">
        <v>169</v>
      </c>
      <c r="H95">
        <v>337.9</v>
      </c>
      <c r="I95" s="14">
        <v>543.05425111604768</v>
      </c>
      <c r="J95">
        <v>161</v>
      </c>
      <c r="K95">
        <v>94</v>
      </c>
      <c r="L95">
        <v>164</v>
      </c>
      <c r="M95">
        <v>92</v>
      </c>
      <c r="N95" s="143" t="e">
        <v>#DIV/0!</v>
      </c>
      <c r="O95" s="143" t="e">
        <v>#DIV/0!</v>
      </c>
      <c r="P95">
        <v>19</v>
      </c>
    </row>
    <row r="96" spans="1:16">
      <c r="A96" t="s">
        <v>221</v>
      </c>
      <c r="B96">
        <v>145</v>
      </c>
      <c r="C96">
        <v>13</v>
      </c>
      <c r="D96">
        <v>102</v>
      </c>
      <c r="E96">
        <v>190</v>
      </c>
      <c r="F96">
        <v>215</v>
      </c>
      <c r="G96">
        <v>200</v>
      </c>
      <c r="H96">
        <v>340.1</v>
      </c>
      <c r="I96" s="14">
        <v>570.00044657148283</v>
      </c>
      <c r="J96">
        <v>166</v>
      </c>
      <c r="K96">
        <v>95</v>
      </c>
      <c r="L96">
        <v>176</v>
      </c>
      <c r="M96">
        <v>97</v>
      </c>
      <c r="N96" s="143" t="e">
        <v>#DIV/0!</v>
      </c>
      <c r="O96" s="143" t="e">
        <v>#DIV/0!</v>
      </c>
      <c r="P96">
        <v>-27</v>
      </c>
    </row>
    <row r="97" spans="1:16">
      <c r="A97" t="s">
        <v>106</v>
      </c>
      <c r="B97">
        <v>45</v>
      </c>
      <c r="C97">
        <v>187</v>
      </c>
      <c r="D97">
        <v>176</v>
      </c>
      <c r="E97">
        <v>205</v>
      </c>
      <c r="F97">
        <v>85</v>
      </c>
      <c r="G97">
        <v>190</v>
      </c>
      <c r="H97">
        <v>345.5</v>
      </c>
      <c r="I97" s="14">
        <v>588.49048556789899</v>
      </c>
      <c r="J97">
        <v>171</v>
      </c>
      <c r="K97">
        <v>96</v>
      </c>
      <c r="L97">
        <v>182</v>
      </c>
      <c r="M97">
        <v>99</v>
      </c>
      <c r="N97" s="143" t="e">
        <v>#DIV/0!</v>
      </c>
      <c r="O97" s="143" t="e">
        <v>#DIV/0!</v>
      </c>
      <c r="P97">
        <v>-70</v>
      </c>
    </row>
    <row r="98" spans="1:16">
      <c r="A98" t="s">
        <v>191</v>
      </c>
      <c r="B98">
        <v>216</v>
      </c>
      <c r="C98">
        <v>2</v>
      </c>
      <c r="D98">
        <v>152</v>
      </c>
      <c r="E98">
        <v>101</v>
      </c>
      <c r="F98">
        <v>171</v>
      </c>
      <c r="G98">
        <v>187</v>
      </c>
      <c r="H98">
        <v>367.19999999999993</v>
      </c>
      <c r="I98" s="14">
        <v>567.75398007144884</v>
      </c>
      <c r="J98">
        <v>178</v>
      </c>
      <c r="K98">
        <v>97</v>
      </c>
      <c r="L98">
        <v>174</v>
      </c>
      <c r="M98">
        <v>95</v>
      </c>
      <c r="N98" s="143" t="e">
        <v>#DIV/0!</v>
      </c>
      <c r="O98" s="143" t="e">
        <v>#DIV/0!</v>
      </c>
      <c r="P98">
        <v>-16</v>
      </c>
    </row>
    <row r="99" spans="1:16">
      <c r="A99" t="s">
        <v>153</v>
      </c>
      <c r="B99">
        <v>141</v>
      </c>
      <c r="C99">
        <v>159</v>
      </c>
      <c r="D99">
        <v>92</v>
      </c>
      <c r="E99">
        <v>193</v>
      </c>
      <c r="F99">
        <v>167</v>
      </c>
      <c r="G99">
        <v>161</v>
      </c>
      <c r="H99">
        <v>370.7</v>
      </c>
      <c r="I99" s="14">
        <v>566.81784867027773</v>
      </c>
      <c r="J99">
        <v>182</v>
      </c>
      <c r="K99">
        <v>98</v>
      </c>
      <c r="L99">
        <v>173</v>
      </c>
      <c r="M99">
        <v>94</v>
      </c>
      <c r="N99" s="143" t="e">
        <v>#DIV/0!</v>
      </c>
      <c r="O99" s="143" t="e">
        <v>#DIV/0!</v>
      </c>
      <c r="P99">
        <v>20</v>
      </c>
    </row>
    <row r="100" spans="1:16">
      <c r="A100" t="s">
        <v>110</v>
      </c>
      <c r="B100">
        <v>103</v>
      </c>
      <c r="C100">
        <v>151</v>
      </c>
      <c r="D100">
        <v>135</v>
      </c>
      <c r="E100">
        <v>184</v>
      </c>
      <c r="F100">
        <v>179</v>
      </c>
      <c r="G100">
        <v>193</v>
      </c>
      <c r="H100">
        <v>372.20000000000005</v>
      </c>
      <c r="I100" s="14">
        <v>607.66417376693971</v>
      </c>
      <c r="J100">
        <v>187</v>
      </c>
      <c r="K100">
        <v>99</v>
      </c>
      <c r="L100">
        <v>190</v>
      </c>
      <c r="M100">
        <v>101</v>
      </c>
      <c r="N100" s="143" t="e">
        <v>#DIV/0!</v>
      </c>
      <c r="O100" s="143" t="e">
        <v>#DIV/0!</v>
      </c>
      <c r="P100">
        <v>22</v>
      </c>
    </row>
    <row r="101" spans="1:16">
      <c r="A101" t="s">
        <v>421</v>
      </c>
      <c r="B101">
        <v>201</v>
      </c>
      <c r="C101">
        <v>135</v>
      </c>
      <c r="D101">
        <v>199</v>
      </c>
      <c r="E101">
        <v>71</v>
      </c>
      <c r="F101">
        <v>57</v>
      </c>
      <c r="G101">
        <v>189</v>
      </c>
      <c r="H101">
        <v>385.2</v>
      </c>
      <c r="I101" s="14">
        <v>592.00321868620267</v>
      </c>
      <c r="J101">
        <v>192</v>
      </c>
      <c r="K101">
        <v>100</v>
      </c>
      <c r="L101">
        <v>184</v>
      </c>
      <c r="M101">
        <v>100</v>
      </c>
      <c r="N101" s="143" t="e">
        <v>#DIV/0!</v>
      </c>
      <c r="O101" s="143" t="e">
        <v>#DIV/0!</v>
      </c>
      <c r="P101">
        <v>5</v>
      </c>
    </row>
    <row r="102" spans="1:16">
      <c r="A102" t="s">
        <v>223</v>
      </c>
      <c r="B102">
        <v>112</v>
      </c>
      <c r="C102">
        <v>198</v>
      </c>
      <c r="D102">
        <v>204</v>
      </c>
      <c r="E102">
        <v>159</v>
      </c>
      <c r="F102">
        <v>54</v>
      </c>
      <c r="G102">
        <v>155</v>
      </c>
      <c r="H102">
        <v>385.6</v>
      </c>
      <c r="I102" s="14">
        <v>582.66716887970279</v>
      </c>
      <c r="J102">
        <v>193</v>
      </c>
      <c r="K102">
        <v>101</v>
      </c>
      <c r="L102">
        <v>180</v>
      </c>
      <c r="M102">
        <v>98</v>
      </c>
      <c r="N102" s="143" t="e">
        <v>#DIV/0!</v>
      </c>
      <c r="O102" s="143" t="e">
        <v>#DIV/0!</v>
      </c>
      <c r="P102">
        <v>-1</v>
      </c>
    </row>
    <row r="103" spans="1:16">
      <c r="A103" t="s">
        <v>176</v>
      </c>
      <c r="B103">
        <v>189</v>
      </c>
      <c r="C103">
        <v>29</v>
      </c>
      <c r="D103">
        <v>210</v>
      </c>
      <c r="E103">
        <v>175</v>
      </c>
      <c r="F103">
        <v>83</v>
      </c>
      <c r="G103">
        <v>191</v>
      </c>
      <c r="H103">
        <v>394.09999999999997</v>
      </c>
      <c r="I103" s="14">
        <v>614.2216556637494</v>
      </c>
      <c r="J103">
        <v>198</v>
      </c>
      <c r="K103">
        <v>102</v>
      </c>
      <c r="L103">
        <v>191</v>
      </c>
      <c r="M103">
        <v>102</v>
      </c>
      <c r="N103" s="143" t="e">
        <v>#DIV/0!</v>
      </c>
      <c r="O103" s="143" t="e">
        <v>#DIV/0!</v>
      </c>
      <c r="P103">
        <v>-4</v>
      </c>
    </row>
    <row r="104" spans="1:16">
      <c r="A104" t="s">
        <v>387</v>
      </c>
      <c r="B104">
        <v>143</v>
      </c>
      <c r="C104">
        <v>72</v>
      </c>
      <c r="D104">
        <v>202</v>
      </c>
      <c r="E104">
        <v>135</v>
      </c>
      <c r="F104">
        <v>192</v>
      </c>
      <c r="G104">
        <v>208</v>
      </c>
      <c r="H104">
        <v>401.09999999999997</v>
      </c>
      <c r="I104" s="14">
        <v>644.37178047519558</v>
      </c>
      <c r="J104">
        <v>199</v>
      </c>
      <c r="K104">
        <v>103</v>
      </c>
      <c r="L104">
        <v>201</v>
      </c>
      <c r="M104">
        <v>103</v>
      </c>
      <c r="N104" s="143" t="e">
        <v>#DIV/0!</v>
      </c>
      <c r="O104" s="143" t="e">
        <v>#DIV/0!</v>
      </c>
      <c r="P104">
        <v>2</v>
      </c>
    </row>
    <row r="105" spans="1:16">
      <c r="A105" t="s">
        <v>392</v>
      </c>
      <c r="B105">
        <v>142</v>
      </c>
      <c r="C105">
        <v>173</v>
      </c>
      <c r="D105">
        <v>126</v>
      </c>
      <c r="E105">
        <v>198</v>
      </c>
      <c r="F105">
        <v>218</v>
      </c>
      <c r="G105">
        <v>218</v>
      </c>
      <c r="H105">
        <v>423.19999999999993</v>
      </c>
      <c r="I105" s="14">
        <v>683.37036532078491</v>
      </c>
      <c r="J105">
        <v>202</v>
      </c>
      <c r="K105">
        <v>104</v>
      </c>
      <c r="L105">
        <v>207</v>
      </c>
      <c r="M105">
        <v>104</v>
      </c>
      <c r="N105" s="143" t="e">
        <v>#DIV/0!</v>
      </c>
      <c r="O105" s="143" t="e">
        <v>#DIV/0!</v>
      </c>
      <c r="P105">
        <v>0</v>
      </c>
    </row>
    <row r="106" spans="1:16">
      <c r="A106" t="s">
        <v>240</v>
      </c>
      <c r="B106">
        <v>140</v>
      </c>
      <c r="C106">
        <v>183</v>
      </c>
      <c r="D106">
        <v>217</v>
      </c>
      <c r="E106">
        <v>175</v>
      </c>
      <c r="F106">
        <v>146</v>
      </c>
      <c r="G106">
        <v>215</v>
      </c>
      <c r="H106">
        <v>451.5</v>
      </c>
      <c r="I106" s="14">
        <v>712.41350887360647</v>
      </c>
      <c r="J106">
        <v>208</v>
      </c>
      <c r="K106">
        <v>105</v>
      </c>
      <c r="L106">
        <v>210</v>
      </c>
      <c r="M106">
        <v>105</v>
      </c>
      <c r="N106" s="143" t="e">
        <v>#DIV/0!</v>
      </c>
      <c r="O106" s="143" t="e">
        <v>#DIV/0!</v>
      </c>
      <c r="P106">
        <v>-15</v>
      </c>
    </row>
  </sheetData>
  <conditionalFormatting sqref="N2:O1048576">
    <cfRule type="cellIs" dxfId="41" priority="5" operator="greaterThanOrEqual">
      <formula>20%</formula>
    </cfRule>
    <cfRule type="cellIs" dxfId="40" priority="6" operator="between">
      <formula>10%</formula>
      <formula>20%</formula>
    </cfRule>
    <cfRule type="cellIs" dxfId="39" priority="7" operator="between">
      <formula>0.01%</formula>
      <formula>10%</formula>
    </cfRule>
  </conditionalFormatting>
  <conditionalFormatting sqref="B2:G1048576 J2:M1048576">
    <cfRule type="cellIs" dxfId="38" priority="8" operator="between">
      <formula>101</formula>
      <formula>250</formula>
    </cfRule>
    <cfRule type="cellIs" dxfId="37" priority="9" operator="between">
      <formula>51</formula>
      <formula>100.5</formula>
    </cfRule>
    <cfRule type="cellIs" dxfId="36" priority="10" operator="between">
      <formula>21</formula>
      <formula>50.5</formula>
    </cfRule>
    <cfRule type="cellIs" dxfId="35"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C5444-D8AA-45B3-A8A6-A96E20218724}">
  <sheetPr codeName="Sheet64">
    <tabColor rgb="FFFF0000"/>
  </sheetPr>
  <dimension ref="A1:V117"/>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110</v>
      </c>
      <c r="B2">
        <v>89</v>
      </c>
      <c r="C2">
        <v>151</v>
      </c>
      <c r="D2">
        <v>129</v>
      </c>
      <c r="E2">
        <v>169</v>
      </c>
      <c r="F2">
        <v>141</v>
      </c>
      <c r="G2">
        <v>172</v>
      </c>
      <c r="H2">
        <v>351.1</v>
      </c>
      <c r="I2" s="14">
        <v>549.7771283091497</v>
      </c>
      <c r="J2">
        <v>161</v>
      </c>
      <c r="K2">
        <v>87</v>
      </c>
      <c r="L2">
        <v>164</v>
      </c>
      <c r="M2">
        <v>88</v>
      </c>
      <c r="N2" s="143" t="e">
        <v>#DIV/0!</v>
      </c>
      <c r="O2" s="143" t="e">
        <v>#DIV/0!</v>
      </c>
      <c r="P2">
        <v>47</v>
      </c>
      <c r="Q2">
        <v>1</v>
      </c>
    </row>
    <row r="3" spans="1:22">
      <c r="A3" s="20" t="s">
        <v>113</v>
      </c>
      <c r="B3">
        <v>58</v>
      </c>
      <c r="C3">
        <v>34</v>
      </c>
      <c r="D3">
        <v>64</v>
      </c>
      <c r="E3">
        <v>2</v>
      </c>
      <c r="F3">
        <v>55</v>
      </c>
      <c r="G3">
        <v>4</v>
      </c>
      <c r="H3">
        <v>127.3</v>
      </c>
      <c r="I3" s="14">
        <v>130.98300556309914</v>
      </c>
      <c r="J3">
        <v>3</v>
      </c>
      <c r="K3">
        <v>1</v>
      </c>
      <c r="L3">
        <v>2</v>
      </c>
      <c r="M3">
        <v>1</v>
      </c>
      <c r="N3" s="143" t="e">
        <v>#DIV/0!</v>
      </c>
      <c r="O3" s="143" t="e">
        <v>#DIV/0!</v>
      </c>
      <c r="P3">
        <v>8</v>
      </c>
    </row>
    <row r="4" spans="1:22">
      <c r="A4" s="20" t="s">
        <v>411</v>
      </c>
      <c r="B4">
        <v>22</v>
      </c>
      <c r="C4">
        <v>27</v>
      </c>
      <c r="D4">
        <v>61</v>
      </c>
      <c r="E4">
        <v>21</v>
      </c>
      <c r="F4">
        <v>150</v>
      </c>
      <c r="G4">
        <v>30</v>
      </c>
      <c r="H4">
        <v>152.30000000000001</v>
      </c>
      <c r="I4" s="14">
        <v>181.93888260251953</v>
      </c>
      <c r="J4">
        <v>9</v>
      </c>
      <c r="K4">
        <v>2</v>
      </c>
      <c r="L4">
        <v>12</v>
      </c>
      <c r="M4">
        <v>2</v>
      </c>
      <c r="N4" s="143" t="e">
        <v>#DIV/0!</v>
      </c>
      <c r="O4" s="143" t="e">
        <v>#DIV/0!</v>
      </c>
      <c r="P4">
        <v>32</v>
      </c>
    </row>
    <row r="5" spans="1:22">
      <c r="A5" s="20" t="s">
        <v>382</v>
      </c>
      <c r="B5">
        <v>59</v>
      </c>
      <c r="C5">
        <v>149</v>
      </c>
      <c r="D5">
        <v>20</v>
      </c>
      <c r="E5">
        <v>7</v>
      </c>
      <c r="F5">
        <v>115</v>
      </c>
      <c r="G5">
        <v>14</v>
      </c>
      <c r="H5">
        <v>175.2</v>
      </c>
      <c r="I5" s="14">
        <v>187.15556447692137</v>
      </c>
      <c r="J5">
        <v>20</v>
      </c>
      <c r="K5">
        <v>3</v>
      </c>
      <c r="L5">
        <v>14</v>
      </c>
      <c r="M5">
        <v>3</v>
      </c>
      <c r="N5" s="143" t="e">
        <v>#DIV/0!</v>
      </c>
      <c r="O5" s="143" t="e">
        <v>#DIV/0!</v>
      </c>
      <c r="P5">
        <v>107</v>
      </c>
    </row>
    <row r="6" spans="1:22">
      <c r="A6" t="s">
        <v>399</v>
      </c>
      <c r="B6">
        <v>2</v>
      </c>
      <c r="C6">
        <v>183</v>
      </c>
      <c r="D6">
        <v>130</v>
      </c>
      <c r="E6">
        <v>14</v>
      </c>
      <c r="F6">
        <v>9</v>
      </c>
      <c r="G6">
        <v>17</v>
      </c>
      <c r="H6">
        <v>175.70000000000002</v>
      </c>
      <c r="I6" s="14">
        <v>216.46650804005296</v>
      </c>
      <c r="J6">
        <v>21</v>
      </c>
      <c r="K6">
        <v>4</v>
      </c>
      <c r="L6">
        <v>24</v>
      </c>
      <c r="M6">
        <v>5</v>
      </c>
      <c r="N6" s="143" t="e">
        <v>#DIV/0!</v>
      </c>
      <c r="O6" s="143" t="e">
        <v>#DIV/0!</v>
      </c>
      <c r="P6">
        <v>-14</v>
      </c>
    </row>
    <row r="7" spans="1:22">
      <c r="A7" t="s">
        <v>14</v>
      </c>
      <c r="B7">
        <v>31</v>
      </c>
      <c r="C7">
        <v>85</v>
      </c>
      <c r="D7">
        <v>104</v>
      </c>
      <c r="E7">
        <v>39</v>
      </c>
      <c r="F7">
        <v>87</v>
      </c>
      <c r="G7">
        <v>16</v>
      </c>
      <c r="H7">
        <v>187.6</v>
      </c>
      <c r="I7" s="14">
        <v>215.76665305419269</v>
      </c>
      <c r="J7">
        <v>23.5</v>
      </c>
      <c r="K7">
        <v>5</v>
      </c>
      <c r="L7">
        <v>22</v>
      </c>
      <c r="M7">
        <v>4</v>
      </c>
      <c r="N7" s="143" t="e">
        <v>#DIV/0!</v>
      </c>
      <c r="O7" s="143" t="e">
        <v>#DIV/0!</v>
      </c>
      <c r="P7">
        <v>10</v>
      </c>
    </row>
    <row r="8" spans="1:22">
      <c r="A8" t="s">
        <v>234</v>
      </c>
      <c r="B8">
        <v>79</v>
      </c>
      <c r="C8">
        <v>120</v>
      </c>
      <c r="D8">
        <v>14</v>
      </c>
      <c r="E8">
        <v>134</v>
      </c>
      <c r="F8">
        <v>44</v>
      </c>
      <c r="G8">
        <v>18</v>
      </c>
      <c r="H8">
        <v>188.7</v>
      </c>
      <c r="I8" s="14">
        <v>221.80321179789109</v>
      </c>
      <c r="J8">
        <v>25</v>
      </c>
      <c r="K8">
        <v>6</v>
      </c>
      <c r="L8">
        <v>26</v>
      </c>
      <c r="M8">
        <v>6</v>
      </c>
      <c r="N8" s="143" t="e">
        <v>#DIV/0!</v>
      </c>
      <c r="O8" s="143" t="e">
        <v>#DIV/0!</v>
      </c>
      <c r="P8">
        <v>7</v>
      </c>
    </row>
    <row r="9" spans="1:22">
      <c r="A9" t="s">
        <v>132</v>
      </c>
      <c r="B9">
        <v>100</v>
      </c>
      <c r="C9">
        <v>39</v>
      </c>
      <c r="D9">
        <v>73</v>
      </c>
      <c r="E9">
        <v>32</v>
      </c>
      <c r="F9">
        <v>100</v>
      </c>
      <c r="G9">
        <v>25</v>
      </c>
      <c r="H9">
        <v>199.5</v>
      </c>
      <c r="I9" s="14">
        <v>222.64458207536927</v>
      </c>
      <c r="J9">
        <v>29</v>
      </c>
      <c r="K9">
        <v>7</v>
      </c>
      <c r="L9">
        <v>28</v>
      </c>
      <c r="M9">
        <v>8</v>
      </c>
      <c r="N9" s="143" t="e">
        <v>#DIV/0!</v>
      </c>
      <c r="O9" s="143" t="e">
        <v>#DIV/0!</v>
      </c>
      <c r="P9">
        <v>18</v>
      </c>
    </row>
    <row r="10" spans="1:22">
      <c r="A10" t="s">
        <v>60</v>
      </c>
      <c r="B10">
        <v>86</v>
      </c>
      <c r="C10">
        <v>17</v>
      </c>
      <c r="D10">
        <v>56</v>
      </c>
      <c r="E10">
        <v>136</v>
      </c>
      <c r="F10">
        <v>92</v>
      </c>
      <c r="G10">
        <v>39</v>
      </c>
      <c r="H10">
        <v>206.6</v>
      </c>
      <c r="I10" s="14">
        <v>256.7215047070211</v>
      </c>
      <c r="J10">
        <v>34</v>
      </c>
      <c r="K10">
        <v>8</v>
      </c>
      <c r="L10">
        <v>35</v>
      </c>
      <c r="M10">
        <v>10</v>
      </c>
      <c r="N10" s="143" t="e">
        <v>#DIV/0!</v>
      </c>
      <c r="O10" s="143" t="e">
        <v>#DIV/0!</v>
      </c>
      <c r="P10">
        <v>-28</v>
      </c>
    </row>
    <row r="11" spans="1:22">
      <c r="A11" t="s">
        <v>178</v>
      </c>
      <c r="B11">
        <v>206</v>
      </c>
      <c r="C11">
        <v>7</v>
      </c>
      <c r="D11">
        <v>71</v>
      </c>
      <c r="E11">
        <v>33</v>
      </c>
      <c r="F11">
        <v>13</v>
      </c>
      <c r="G11">
        <v>15</v>
      </c>
      <c r="H11">
        <v>216.39999999999998</v>
      </c>
      <c r="I11" s="14">
        <v>222.43368431135445</v>
      </c>
      <c r="J11">
        <v>39</v>
      </c>
      <c r="K11">
        <v>9</v>
      </c>
      <c r="L11">
        <v>27</v>
      </c>
      <c r="M11">
        <v>7</v>
      </c>
      <c r="N11" s="143" t="e">
        <v>#DIV/0!</v>
      </c>
      <c r="O11" s="143" t="e">
        <v>#DIV/0!</v>
      </c>
      <c r="P11">
        <v>-6</v>
      </c>
    </row>
    <row r="12" spans="1:22">
      <c r="A12" t="s">
        <v>9</v>
      </c>
      <c r="B12">
        <v>4</v>
      </c>
      <c r="C12">
        <v>130</v>
      </c>
      <c r="D12">
        <v>119</v>
      </c>
      <c r="E12">
        <v>151</v>
      </c>
      <c r="F12">
        <v>36</v>
      </c>
      <c r="G12">
        <v>28</v>
      </c>
      <c r="H12">
        <v>216.5</v>
      </c>
      <c r="I12" s="14">
        <v>281.15157426391374</v>
      </c>
      <c r="J12">
        <v>40</v>
      </c>
      <c r="K12">
        <v>10</v>
      </c>
      <c r="L12">
        <v>42</v>
      </c>
      <c r="M12">
        <v>14</v>
      </c>
      <c r="N12" s="143" t="e">
        <v>#DIV/0!</v>
      </c>
      <c r="O12" s="143" t="e">
        <v>#DIV/0!</v>
      </c>
      <c r="P12">
        <v>43</v>
      </c>
    </row>
    <row r="13" spans="1:22">
      <c r="A13" t="s">
        <v>404</v>
      </c>
      <c r="B13">
        <v>41</v>
      </c>
      <c r="C13">
        <v>174</v>
      </c>
      <c r="D13">
        <v>105</v>
      </c>
      <c r="E13">
        <v>4</v>
      </c>
      <c r="F13">
        <v>89</v>
      </c>
      <c r="G13">
        <v>41</v>
      </c>
      <c r="H13">
        <v>217.9</v>
      </c>
      <c r="I13" s="14">
        <v>269.79528822283368</v>
      </c>
      <c r="J13">
        <v>41</v>
      </c>
      <c r="K13">
        <v>11</v>
      </c>
      <c r="L13">
        <v>40</v>
      </c>
      <c r="M13">
        <v>12</v>
      </c>
      <c r="N13" s="143" t="e">
        <v>#DIV/0!</v>
      </c>
      <c r="O13" s="143" t="e">
        <v>#DIV/0!</v>
      </c>
      <c r="P13">
        <v>-9</v>
      </c>
    </row>
    <row r="14" spans="1:22">
      <c r="A14" t="s">
        <v>231</v>
      </c>
      <c r="B14">
        <v>74</v>
      </c>
      <c r="C14">
        <v>146</v>
      </c>
      <c r="D14">
        <v>54</v>
      </c>
      <c r="E14">
        <v>87</v>
      </c>
      <c r="F14">
        <v>87</v>
      </c>
      <c r="G14">
        <v>48</v>
      </c>
      <c r="H14">
        <v>226.3</v>
      </c>
      <c r="I14" s="14">
        <v>286.52999492526169</v>
      </c>
      <c r="J14">
        <v>42</v>
      </c>
      <c r="K14">
        <v>12</v>
      </c>
      <c r="L14">
        <v>44</v>
      </c>
      <c r="M14">
        <v>16</v>
      </c>
      <c r="N14" s="143" t="e">
        <v>#DIV/0!</v>
      </c>
      <c r="O14" s="143" t="e">
        <v>#DIV/0!</v>
      </c>
      <c r="P14">
        <v>-38</v>
      </c>
    </row>
    <row r="15" spans="1:22">
      <c r="A15" t="s">
        <v>389</v>
      </c>
      <c r="B15">
        <v>36</v>
      </c>
      <c r="C15">
        <v>79</v>
      </c>
      <c r="D15">
        <v>16</v>
      </c>
      <c r="E15">
        <v>202</v>
      </c>
      <c r="F15">
        <v>156</v>
      </c>
      <c r="G15">
        <v>88</v>
      </c>
      <c r="H15">
        <v>226.8</v>
      </c>
      <c r="I15" s="14">
        <v>334.98155098284332</v>
      </c>
      <c r="J15">
        <v>43</v>
      </c>
      <c r="K15">
        <v>13</v>
      </c>
      <c r="L15">
        <v>61</v>
      </c>
      <c r="M15">
        <v>23</v>
      </c>
      <c r="N15" s="143" t="e">
        <v>#DIV/0!</v>
      </c>
      <c r="O15" s="143" t="e">
        <v>#DIV/0!</v>
      </c>
      <c r="P15">
        <v>37</v>
      </c>
    </row>
    <row r="16" spans="1:22">
      <c r="A16" t="s">
        <v>140</v>
      </c>
      <c r="B16">
        <v>169</v>
      </c>
      <c r="C16">
        <v>13</v>
      </c>
      <c r="D16">
        <v>126</v>
      </c>
      <c r="E16">
        <v>20</v>
      </c>
      <c r="F16">
        <v>16</v>
      </c>
      <c r="G16">
        <v>32</v>
      </c>
      <c r="H16">
        <v>227.7</v>
      </c>
      <c r="I16" s="14">
        <v>258.47031217616268</v>
      </c>
      <c r="J16">
        <v>44</v>
      </c>
      <c r="K16">
        <v>14</v>
      </c>
      <c r="L16">
        <v>37</v>
      </c>
      <c r="M16">
        <v>11</v>
      </c>
      <c r="N16" s="143" t="e">
        <v>#DIV/0!</v>
      </c>
      <c r="O16" s="143" t="e">
        <v>#DIV/0!</v>
      </c>
      <c r="P16">
        <v>1</v>
      </c>
    </row>
    <row r="17" spans="1:16">
      <c r="A17" t="s">
        <v>44</v>
      </c>
      <c r="B17">
        <v>9</v>
      </c>
      <c r="C17">
        <v>151</v>
      </c>
      <c r="D17">
        <v>74</v>
      </c>
      <c r="E17">
        <v>18</v>
      </c>
      <c r="F17">
        <v>205</v>
      </c>
      <c r="G17">
        <v>113</v>
      </c>
      <c r="H17">
        <v>228.2</v>
      </c>
      <c r="I17" s="14">
        <v>346.06704332029597</v>
      </c>
      <c r="J17">
        <v>45</v>
      </c>
      <c r="K17">
        <v>15</v>
      </c>
      <c r="L17">
        <v>67</v>
      </c>
      <c r="M17">
        <v>25</v>
      </c>
      <c r="N17" s="143" t="e">
        <v>#DIV/0!</v>
      </c>
      <c r="O17" s="143" t="e">
        <v>#DIV/0!</v>
      </c>
      <c r="P17">
        <v>-91</v>
      </c>
    </row>
    <row r="18" spans="1:16">
      <c r="A18" t="s">
        <v>241</v>
      </c>
      <c r="B18">
        <v>6</v>
      </c>
      <c r="C18">
        <v>121</v>
      </c>
      <c r="D18">
        <v>50</v>
      </c>
      <c r="E18">
        <v>142</v>
      </c>
      <c r="F18">
        <v>171</v>
      </c>
      <c r="G18">
        <v>45</v>
      </c>
      <c r="H18">
        <v>229.9</v>
      </c>
      <c r="I18" s="14">
        <v>294.72711685030015</v>
      </c>
      <c r="J18">
        <v>46</v>
      </c>
      <c r="K18">
        <v>16</v>
      </c>
      <c r="L18">
        <v>46</v>
      </c>
      <c r="M18">
        <v>17</v>
      </c>
      <c r="N18" s="143" t="e">
        <v>#DIV/0!</v>
      </c>
      <c r="O18" s="143" t="e">
        <v>#DIV/0!</v>
      </c>
      <c r="P18">
        <v>-21</v>
      </c>
    </row>
    <row r="19" spans="1:16">
      <c r="A19" t="s">
        <v>384</v>
      </c>
      <c r="B19">
        <v>172</v>
      </c>
      <c r="C19">
        <v>2</v>
      </c>
      <c r="D19">
        <v>7</v>
      </c>
      <c r="E19">
        <v>78</v>
      </c>
      <c r="F19">
        <v>158</v>
      </c>
      <c r="G19">
        <v>24</v>
      </c>
      <c r="H19">
        <v>236.3</v>
      </c>
      <c r="I19" s="14">
        <v>245.47056980004476</v>
      </c>
      <c r="J19">
        <v>50</v>
      </c>
      <c r="K19">
        <v>17</v>
      </c>
      <c r="L19">
        <v>31</v>
      </c>
      <c r="M19">
        <v>9</v>
      </c>
      <c r="N19" s="143" t="e">
        <v>#DIV/0!</v>
      </c>
      <c r="O19" s="143" t="e">
        <v>#DIV/0!</v>
      </c>
      <c r="P19" t="e">
        <v>#N/A</v>
      </c>
    </row>
    <row r="20" spans="1:16">
      <c r="A20" t="s">
        <v>188</v>
      </c>
      <c r="B20">
        <v>215</v>
      </c>
      <c r="C20">
        <v>20</v>
      </c>
      <c r="D20">
        <v>65</v>
      </c>
      <c r="E20">
        <v>73</v>
      </c>
      <c r="F20">
        <v>7</v>
      </c>
      <c r="G20">
        <v>42</v>
      </c>
      <c r="H20">
        <v>236.7</v>
      </c>
      <c r="I20" s="14">
        <v>274.5978863700376</v>
      </c>
      <c r="J20">
        <v>51</v>
      </c>
      <c r="K20">
        <v>18</v>
      </c>
      <c r="L20">
        <v>41</v>
      </c>
      <c r="M20">
        <v>13</v>
      </c>
      <c r="N20" s="143" t="e">
        <v>#DIV/0!</v>
      </c>
      <c r="O20" s="143" t="e">
        <v>#DIV/0!</v>
      </c>
      <c r="P20">
        <v>35</v>
      </c>
    </row>
    <row r="21" spans="1:16">
      <c r="A21" t="s">
        <v>150</v>
      </c>
      <c r="B21">
        <v>181</v>
      </c>
      <c r="C21">
        <v>23</v>
      </c>
      <c r="D21">
        <v>86</v>
      </c>
      <c r="E21">
        <v>108</v>
      </c>
      <c r="F21">
        <v>3</v>
      </c>
      <c r="G21">
        <v>34</v>
      </c>
      <c r="H21">
        <v>240.79999999999995</v>
      </c>
      <c r="I21" s="14">
        <v>281.32508627382265</v>
      </c>
      <c r="J21">
        <v>54</v>
      </c>
      <c r="K21">
        <v>19</v>
      </c>
      <c r="L21">
        <v>43</v>
      </c>
      <c r="M21">
        <v>15</v>
      </c>
      <c r="N21" s="143" t="e">
        <v>#DIV/0!</v>
      </c>
      <c r="O21" s="143" t="e">
        <v>#DIV/0!</v>
      </c>
      <c r="P21">
        <v>41</v>
      </c>
    </row>
    <row r="22" spans="1:16">
      <c r="A22" t="s">
        <v>99</v>
      </c>
      <c r="B22">
        <v>55</v>
      </c>
      <c r="C22">
        <v>92</v>
      </c>
      <c r="D22">
        <v>21</v>
      </c>
      <c r="E22">
        <v>148</v>
      </c>
      <c r="F22">
        <v>193</v>
      </c>
      <c r="G22">
        <v>79</v>
      </c>
      <c r="H22">
        <v>245.70000000000002</v>
      </c>
      <c r="I22" s="14">
        <v>334.76471704766158</v>
      </c>
      <c r="J22">
        <v>56</v>
      </c>
      <c r="K22">
        <v>20</v>
      </c>
      <c r="L22">
        <v>60</v>
      </c>
      <c r="M22">
        <v>22</v>
      </c>
      <c r="N22" s="143" t="e">
        <v>#DIV/0!</v>
      </c>
      <c r="O22" s="143" t="e">
        <v>#DIV/0!</v>
      </c>
      <c r="P22">
        <v>85</v>
      </c>
    </row>
    <row r="23" spans="1:16">
      <c r="A23" t="s">
        <v>49</v>
      </c>
      <c r="B23">
        <v>83</v>
      </c>
      <c r="C23">
        <v>55</v>
      </c>
      <c r="D23">
        <v>172</v>
      </c>
      <c r="E23">
        <v>56</v>
      </c>
      <c r="F23">
        <v>47</v>
      </c>
      <c r="G23">
        <v>50</v>
      </c>
      <c r="H23">
        <v>246.4</v>
      </c>
      <c r="I23" s="14">
        <v>313.58283340870844</v>
      </c>
      <c r="J23">
        <v>57</v>
      </c>
      <c r="K23">
        <v>21</v>
      </c>
      <c r="L23">
        <v>53</v>
      </c>
      <c r="M23">
        <v>18</v>
      </c>
      <c r="N23" s="143" t="e">
        <v>#DIV/0!</v>
      </c>
      <c r="O23" s="143" t="e">
        <v>#DIV/0!</v>
      </c>
      <c r="P23">
        <v>-13</v>
      </c>
    </row>
    <row r="24" spans="1:16">
      <c r="A24" t="s">
        <v>92</v>
      </c>
      <c r="B24">
        <v>70</v>
      </c>
      <c r="C24">
        <v>66</v>
      </c>
      <c r="D24">
        <v>116</v>
      </c>
      <c r="E24">
        <v>94</v>
      </c>
      <c r="F24">
        <v>110</v>
      </c>
      <c r="G24">
        <v>70</v>
      </c>
      <c r="H24">
        <v>249.2</v>
      </c>
      <c r="I24" s="14">
        <v>333.87542851925713</v>
      </c>
      <c r="J24">
        <v>58</v>
      </c>
      <c r="K24">
        <v>22</v>
      </c>
      <c r="L24">
        <v>59</v>
      </c>
      <c r="M24">
        <v>21</v>
      </c>
      <c r="N24" s="143" t="e">
        <v>#DIV/0!</v>
      </c>
      <c r="O24" s="143" t="e">
        <v>#DIV/0!</v>
      </c>
      <c r="P24">
        <v>34</v>
      </c>
    </row>
    <row r="25" spans="1:16">
      <c r="A25" t="s">
        <v>373</v>
      </c>
      <c r="B25">
        <v>160</v>
      </c>
      <c r="C25">
        <v>93</v>
      </c>
      <c r="D25">
        <v>63</v>
      </c>
      <c r="E25">
        <v>95</v>
      </c>
      <c r="F25">
        <v>45</v>
      </c>
      <c r="G25">
        <v>155</v>
      </c>
      <c r="H25">
        <v>253.79999999999998</v>
      </c>
      <c r="I25" s="14">
        <v>414.32666044338276</v>
      </c>
      <c r="J25">
        <v>63</v>
      </c>
      <c r="K25">
        <v>23</v>
      </c>
      <c r="L25">
        <v>107</v>
      </c>
      <c r="M25">
        <v>49</v>
      </c>
      <c r="N25" s="143" t="e">
        <v>#DIV/0!</v>
      </c>
      <c r="O25" s="143" t="e">
        <v>#DIV/0!</v>
      </c>
      <c r="P25">
        <v>-120</v>
      </c>
    </row>
    <row r="26" spans="1:16">
      <c r="A26" t="s">
        <v>59</v>
      </c>
      <c r="B26">
        <v>45</v>
      </c>
      <c r="C26">
        <v>215</v>
      </c>
      <c r="D26">
        <v>147</v>
      </c>
      <c r="E26">
        <v>42</v>
      </c>
      <c r="F26">
        <v>34</v>
      </c>
      <c r="G26">
        <v>71</v>
      </c>
      <c r="H26">
        <v>254.2</v>
      </c>
      <c r="I26" s="14">
        <v>350.3933166630116</v>
      </c>
      <c r="J26">
        <v>64</v>
      </c>
      <c r="K26">
        <v>24</v>
      </c>
      <c r="L26">
        <v>69</v>
      </c>
      <c r="M26">
        <v>27</v>
      </c>
      <c r="N26" s="143" t="e">
        <v>#DIV/0!</v>
      </c>
      <c r="O26" s="143" t="e">
        <v>#DIV/0!</v>
      </c>
      <c r="P26">
        <v>22</v>
      </c>
    </row>
    <row r="27" spans="1:16">
      <c r="A27" t="s">
        <v>181</v>
      </c>
      <c r="B27">
        <v>136</v>
      </c>
      <c r="C27">
        <v>21</v>
      </c>
      <c r="D27">
        <v>8</v>
      </c>
      <c r="E27">
        <v>122</v>
      </c>
      <c r="F27">
        <v>201</v>
      </c>
      <c r="G27">
        <v>80</v>
      </c>
      <c r="H27">
        <v>258.5</v>
      </c>
      <c r="I27" s="14">
        <v>331.70991823060604</v>
      </c>
      <c r="J27">
        <v>68</v>
      </c>
      <c r="K27">
        <v>25</v>
      </c>
      <c r="L27">
        <v>58</v>
      </c>
      <c r="M27">
        <v>20</v>
      </c>
      <c r="N27" s="143" t="e">
        <v>#DIV/0!</v>
      </c>
      <c r="O27" s="143" t="e">
        <v>#DIV/0!</v>
      </c>
      <c r="P27">
        <v>12</v>
      </c>
    </row>
    <row r="28" spans="1:16">
      <c r="A28" t="s">
        <v>131</v>
      </c>
      <c r="B28">
        <v>105</v>
      </c>
      <c r="C28">
        <v>127</v>
      </c>
      <c r="D28">
        <v>125</v>
      </c>
      <c r="E28">
        <v>29</v>
      </c>
      <c r="F28">
        <v>72</v>
      </c>
      <c r="G28">
        <v>63</v>
      </c>
      <c r="H28">
        <v>259.39999999999998</v>
      </c>
      <c r="I28" s="14">
        <v>331.04602329491098</v>
      </c>
      <c r="J28">
        <v>69</v>
      </c>
      <c r="K28">
        <v>26</v>
      </c>
      <c r="L28">
        <v>57</v>
      </c>
      <c r="M28">
        <v>19</v>
      </c>
      <c r="N28" s="143" t="e">
        <v>#DIV/0!</v>
      </c>
      <c r="O28" s="143" t="e">
        <v>#DIV/0!</v>
      </c>
      <c r="P28">
        <v>-49</v>
      </c>
    </row>
    <row r="29" spans="1:16">
      <c r="A29" t="s">
        <v>38</v>
      </c>
      <c r="B29">
        <v>48</v>
      </c>
      <c r="C29">
        <v>214</v>
      </c>
      <c r="D29">
        <v>132</v>
      </c>
      <c r="E29">
        <v>45</v>
      </c>
      <c r="F29">
        <v>63</v>
      </c>
      <c r="G29">
        <v>76</v>
      </c>
      <c r="H29">
        <v>261.10000000000002</v>
      </c>
      <c r="I29" s="14">
        <v>359.11679234674256</v>
      </c>
      <c r="J29">
        <v>70</v>
      </c>
      <c r="K29">
        <v>27</v>
      </c>
      <c r="L29">
        <v>73</v>
      </c>
      <c r="M29">
        <v>30</v>
      </c>
      <c r="N29" s="143" t="e">
        <v>#DIV/0!</v>
      </c>
      <c r="O29" s="143" t="e">
        <v>#DIV/0!</v>
      </c>
      <c r="P29">
        <v>-30</v>
      </c>
    </row>
    <row r="30" spans="1:16">
      <c r="A30" t="s">
        <v>119</v>
      </c>
      <c r="B30">
        <v>93</v>
      </c>
      <c r="C30">
        <v>50</v>
      </c>
      <c r="D30">
        <v>175</v>
      </c>
      <c r="E30">
        <v>54</v>
      </c>
      <c r="F30">
        <v>64</v>
      </c>
      <c r="G30">
        <v>92</v>
      </c>
      <c r="H30">
        <v>261.19999999999993</v>
      </c>
      <c r="I30" s="14">
        <v>368.20313677177592</v>
      </c>
      <c r="J30">
        <v>71</v>
      </c>
      <c r="K30">
        <v>28</v>
      </c>
      <c r="L30">
        <v>79</v>
      </c>
      <c r="M30">
        <v>32</v>
      </c>
      <c r="N30" s="143" t="e">
        <v>#DIV/0!</v>
      </c>
      <c r="O30" s="143" t="e">
        <v>#DIV/0!</v>
      </c>
      <c r="P30">
        <v>-36</v>
      </c>
    </row>
    <row r="31" spans="1:16">
      <c r="A31" t="s">
        <v>55</v>
      </c>
      <c r="B31">
        <v>80</v>
      </c>
      <c r="C31">
        <v>40</v>
      </c>
      <c r="D31">
        <v>90</v>
      </c>
      <c r="E31">
        <v>183</v>
      </c>
      <c r="F31">
        <v>120</v>
      </c>
      <c r="G31">
        <v>127</v>
      </c>
      <c r="H31">
        <v>268.2</v>
      </c>
      <c r="I31" s="14">
        <v>416.28791252332246</v>
      </c>
      <c r="J31">
        <v>74</v>
      </c>
      <c r="K31">
        <v>29</v>
      </c>
      <c r="L31">
        <v>109</v>
      </c>
      <c r="M31">
        <v>51</v>
      </c>
      <c r="N31" s="143" t="e">
        <v>#DIV/0!</v>
      </c>
      <c r="O31" s="143" t="e">
        <v>#DIV/0!</v>
      </c>
      <c r="P31">
        <v>-54</v>
      </c>
    </row>
    <row r="32" spans="1:16">
      <c r="A32" t="s">
        <v>145</v>
      </c>
      <c r="B32">
        <v>114</v>
      </c>
      <c r="C32">
        <v>11</v>
      </c>
      <c r="D32">
        <v>32</v>
      </c>
      <c r="E32">
        <v>161</v>
      </c>
      <c r="F32">
        <v>202</v>
      </c>
      <c r="G32">
        <v>137</v>
      </c>
      <c r="H32">
        <v>272</v>
      </c>
      <c r="I32" s="14">
        <v>411.56249373560496</v>
      </c>
      <c r="J32">
        <v>77</v>
      </c>
      <c r="K32">
        <v>30</v>
      </c>
      <c r="L32">
        <v>103</v>
      </c>
      <c r="M32">
        <v>46</v>
      </c>
      <c r="N32" s="143" t="e">
        <v>#DIV/0!</v>
      </c>
      <c r="O32" s="143" t="e">
        <v>#DIV/0!</v>
      </c>
      <c r="P32">
        <v>3</v>
      </c>
    </row>
    <row r="33" spans="1:16">
      <c r="A33" t="s">
        <v>17</v>
      </c>
      <c r="B33">
        <v>13</v>
      </c>
      <c r="C33">
        <v>195</v>
      </c>
      <c r="D33">
        <v>115</v>
      </c>
      <c r="E33">
        <v>150</v>
      </c>
      <c r="F33">
        <v>91</v>
      </c>
      <c r="G33">
        <v>87</v>
      </c>
      <c r="H33">
        <v>273.10000000000002</v>
      </c>
      <c r="I33" s="14">
        <v>395.37002267633278</v>
      </c>
      <c r="J33">
        <v>78</v>
      </c>
      <c r="K33">
        <v>31</v>
      </c>
      <c r="L33">
        <v>90</v>
      </c>
      <c r="M33">
        <v>39</v>
      </c>
      <c r="N33" s="143" t="e">
        <v>#DIV/0!</v>
      </c>
      <c r="O33" s="143" t="e">
        <v>#DIV/0!</v>
      </c>
      <c r="P33">
        <v>3</v>
      </c>
    </row>
    <row r="34" spans="1:16">
      <c r="A34" t="s">
        <v>87</v>
      </c>
      <c r="B34">
        <v>33</v>
      </c>
      <c r="C34">
        <v>185</v>
      </c>
      <c r="D34">
        <v>58</v>
      </c>
      <c r="E34">
        <v>89</v>
      </c>
      <c r="F34">
        <v>203</v>
      </c>
      <c r="G34">
        <v>61</v>
      </c>
      <c r="H34">
        <v>274.79999999999995</v>
      </c>
      <c r="I34" s="14">
        <v>347.99707699666419</v>
      </c>
      <c r="J34">
        <v>79</v>
      </c>
      <c r="K34">
        <v>32</v>
      </c>
      <c r="L34">
        <v>68</v>
      </c>
      <c r="M34">
        <v>26</v>
      </c>
      <c r="N34" s="143" t="e">
        <v>#DIV/0!</v>
      </c>
      <c r="O34" s="143" t="e">
        <v>#DIV/0!</v>
      </c>
      <c r="P34">
        <v>-8</v>
      </c>
    </row>
    <row r="35" spans="1:16">
      <c r="A35" t="s">
        <v>381</v>
      </c>
      <c r="B35">
        <v>125</v>
      </c>
      <c r="C35">
        <v>78</v>
      </c>
      <c r="D35">
        <v>39</v>
      </c>
      <c r="E35">
        <v>139</v>
      </c>
      <c r="F35">
        <v>157</v>
      </c>
      <c r="G35">
        <v>96</v>
      </c>
      <c r="H35">
        <v>280.10000000000002</v>
      </c>
      <c r="I35" s="14">
        <v>381.28647661204423</v>
      </c>
      <c r="J35">
        <v>80</v>
      </c>
      <c r="K35">
        <v>33</v>
      </c>
      <c r="L35">
        <v>87</v>
      </c>
      <c r="M35">
        <v>37</v>
      </c>
      <c r="N35" s="143" t="e">
        <v>#DIV/0!</v>
      </c>
      <c r="O35" s="143" t="e">
        <v>#DIV/0!</v>
      </c>
      <c r="P35">
        <v>24</v>
      </c>
    </row>
    <row r="36" spans="1:16">
      <c r="A36" t="s">
        <v>307</v>
      </c>
      <c r="B36">
        <v>22</v>
      </c>
      <c r="C36">
        <v>192</v>
      </c>
      <c r="D36">
        <v>136</v>
      </c>
      <c r="E36">
        <v>131</v>
      </c>
      <c r="F36">
        <v>82</v>
      </c>
      <c r="G36">
        <v>116</v>
      </c>
      <c r="H36">
        <v>280.8</v>
      </c>
      <c r="I36" s="14">
        <v>431.17322433019217</v>
      </c>
      <c r="J36">
        <v>84</v>
      </c>
      <c r="K36">
        <v>34</v>
      </c>
      <c r="L36">
        <v>120</v>
      </c>
      <c r="M36">
        <v>59</v>
      </c>
      <c r="N36" s="143" t="e">
        <v>#DIV/0!</v>
      </c>
      <c r="O36" s="143" t="e">
        <v>#DIV/0!</v>
      </c>
      <c r="P36">
        <v>60</v>
      </c>
    </row>
    <row r="37" spans="1:16">
      <c r="A37" t="s">
        <v>165</v>
      </c>
      <c r="B37">
        <v>203</v>
      </c>
      <c r="C37">
        <v>51</v>
      </c>
      <c r="D37">
        <v>34</v>
      </c>
      <c r="E37">
        <v>158</v>
      </c>
      <c r="F37">
        <v>66</v>
      </c>
      <c r="G37">
        <v>52</v>
      </c>
      <c r="H37">
        <v>282.5</v>
      </c>
      <c r="I37" s="14">
        <v>337.93436526216391</v>
      </c>
      <c r="J37">
        <v>85</v>
      </c>
      <c r="K37">
        <v>35</v>
      </c>
      <c r="L37">
        <v>62</v>
      </c>
      <c r="M37">
        <v>24</v>
      </c>
      <c r="N37" s="143" t="e">
        <v>#DIV/0!</v>
      </c>
      <c r="O37" s="143" t="e">
        <v>#DIV/0!</v>
      </c>
      <c r="P37">
        <v>12</v>
      </c>
    </row>
    <row r="38" spans="1:16">
      <c r="A38" t="s">
        <v>401</v>
      </c>
      <c r="B38">
        <v>28</v>
      </c>
      <c r="C38">
        <v>154</v>
      </c>
      <c r="D38">
        <v>142</v>
      </c>
      <c r="E38">
        <v>185</v>
      </c>
      <c r="F38">
        <v>59</v>
      </c>
      <c r="G38">
        <v>85</v>
      </c>
      <c r="H38">
        <v>284.10000000000002</v>
      </c>
      <c r="I38" s="14">
        <v>410.20259278694556</v>
      </c>
      <c r="J38">
        <v>88</v>
      </c>
      <c r="K38">
        <v>36</v>
      </c>
      <c r="L38">
        <v>101</v>
      </c>
      <c r="M38">
        <v>44</v>
      </c>
      <c r="N38" s="143" t="e">
        <v>#DIV/0!</v>
      </c>
      <c r="O38" s="143" t="e">
        <v>#DIV/0!</v>
      </c>
      <c r="P38">
        <v>14</v>
      </c>
    </row>
    <row r="39" spans="1:16">
      <c r="A39" t="s">
        <v>152</v>
      </c>
      <c r="B39">
        <v>149</v>
      </c>
      <c r="C39">
        <v>31</v>
      </c>
      <c r="D39">
        <v>42</v>
      </c>
      <c r="E39">
        <v>141</v>
      </c>
      <c r="F39">
        <v>165</v>
      </c>
      <c r="G39">
        <v>65</v>
      </c>
      <c r="H39">
        <v>285</v>
      </c>
      <c r="I39" s="14">
        <v>350.58789381960997</v>
      </c>
      <c r="J39">
        <v>89</v>
      </c>
      <c r="K39">
        <v>37</v>
      </c>
      <c r="L39">
        <v>70</v>
      </c>
      <c r="M39">
        <v>28</v>
      </c>
      <c r="N39" s="143" t="e">
        <v>#DIV/0!</v>
      </c>
      <c r="O39" s="143" t="e">
        <v>#DIV/0!</v>
      </c>
      <c r="P39">
        <v>11</v>
      </c>
    </row>
    <row r="40" spans="1:16">
      <c r="A40" t="s">
        <v>154</v>
      </c>
      <c r="B40">
        <v>156</v>
      </c>
      <c r="C40">
        <v>29</v>
      </c>
      <c r="D40">
        <v>148</v>
      </c>
      <c r="E40">
        <v>80</v>
      </c>
      <c r="F40">
        <v>59</v>
      </c>
      <c r="G40">
        <v>104</v>
      </c>
      <c r="H40">
        <v>285.89999999999998</v>
      </c>
      <c r="I40" s="14">
        <v>398.61602406887022</v>
      </c>
      <c r="J40">
        <v>90</v>
      </c>
      <c r="K40">
        <v>38</v>
      </c>
      <c r="L40">
        <v>93</v>
      </c>
      <c r="M40">
        <v>40</v>
      </c>
      <c r="N40" s="143" t="e">
        <v>#DIV/0!</v>
      </c>
      <c r="O40" s="143" t="e">
        <v>#DIV/0!</v>
      </c>
      <c r="P40">
        <v>81</v>
      </c>
    </row>
    <row r="41" spans="1:16">
      <c r="A41" t="s">
        <v>32</v>
      </c>
      <c r="B41">
        <v>88</v>
      </c>
      <c r="C41">
        <v>184</v>
      </c>
      <c r="D41">
        <v>84</v>
      </c>
      <c r="E41">
        <v>105</v>
      </c>
      <c r="F41">
        <v>100</v>
      </c>
      <c r="G41">
        <v>69</v>
      </c>
      <c r="H41">
        <v>286</v>
      </c>
      <c r="I41" s="14">
        <v>372.51981923108809</v>
      </c>
      <c r="J41">
        <v>91</v>
      </c>
      <c r="K41">
        <v>39</v>
      </c>
      <c r="L41">
        <v>82</v>
      </c>
      <c r="M41">
        <v>34</v>
      </c>
      <c r="N41" s="143" t="e">
        <v>#DIV/0!</v>
      </c>
      <c r="O41" s="143" t="e">
        <v>#DIV/0!</v>
      </c>
      <c r="P41">
        <v>104</v>
      </c>
    </row>
    <row r="42" spans="1:16">
      <c r="A42" t="s">
        <v>79</v>
      </c>
      <c r="B42">
        <v>68</v>
      </c>
      <c r="C42">
        <v>86</v>
      </c>
      <c r="D42">
        <v>118</v>
      </c>
      <c r="E42">
        <v>121</v>
      </c>
      <c r="F42">
        <v>149</v>
      </c>
      <c r="G42">
        <v>115</v>
      </c>
      <c r="H42">
        <v>287.5</v>
      </c>
      <c r="I42" s="14">
        <v>419.95220824824258</v>
      </c>
      <c r="J42">
        <v>92</v>
      </c>
      <c r="K42">
        <v>40</v>
      </c>
      <c r="L42">
        <v>113</v>
      </c>
      <c r="M42">
        <v>54</v>
      </c>
      <c r="N42" s="143" t="e">
        <v>#DIV/0!</v>
      </c>
      <c r="O42" s="143" t="e">
        <v>#DIV/0!</v>
      </c>
      <c r="P42">
        <v>-31</v>
      </c>
    </row>
    <row r="43" spans="1:16">
      <c r="A43" t="s">
        <v>95</v>
      </c>
      <c r="B43">
        <v>110</v>
      </c>
      <c r="C43">
        <v>161</v>
      </c>
      <c r="D43">
        <v>117</v>
      </c>
      <c r="E43">
        <v>96</v>
      </c>
      <c r="F43">
        <v>52</v>
      </c>
      <c r="G43">
        <v>94</v>
      </c>
      <c r="H43">
        <v>287.70000000000005</v>
      </c>
      <c r="I43" s="14">
        <v>400.88739262517424</v>
      </c>
      <c r="J43">
        <v>93</v>
      </c>
      <c r="K43">
        <v>41</v>
      </c>
      <c r="L43">
        <v>95</v>
      </c>
      <c r="M43">
        <v>41</v>
      </c>
      <c r="N43" s="143" t="e">
        <v>#DIV/0!</v>
      </c>
      <c r="O43" s="143" t="e">
        <v>#DIV/0!</v>
      </c>
      <c r="P43">
        <v>127</v>
      </c>
    </row>
    <row r="44" spans="1:16">
      <c r="A44" t="s">
        <v>138</v>
      </c>
      <c r="B44">
        <v>54</v>
      </c>
      <c r="C44">
        <v>180</v>
      </c>
      <c r="D44">
        <v>95</v>
      </c>
      <c r="E44">
        <v>181</v>
      </c>
      <c r="F44">
        <v>84</v>
      </c>
      <c r="G44">
        <v>100</v>
      </c>
      <c r="H44">
        <v>290.70000000000005</v>
      </c>
      <c r="I44" s="14">
        <v>423.67081748562418</v>
      </c>
      <c r="J44">
        <v>95</v>
      </c>
      <c r="K44">
        <v>42</v>
      </c>
      <c r="L44">
        <v>117</v>
      </c>
      <c r="M44">
        <v>56</v>
      </c>
      <c r="N44" s="143" t="e">
        <v>#DIV/0!</v>
      </c>
      <c r="O44" s="143" t="e">
        <v>#DIV/0!</v>
      </c>
      <c r="P44">
        <v>-66</v>
      </c>
    </row>
    <row r="45" spans="1:16">
      <c r="A45" t="s">
        <v>123</v>
      </c>
      <c r="B45">
        <v>111</v>
      </c>
      <c r="C45">
        <v>16</v>
      </c>
      <c r="D45">
        <v>174</v>
      </c>
      <c r="E45">
        <v>49</v>
      </c>
      <c r="F45">
        <v>135</v>
      </c>
      <c r="G45">
        <v>114</v>
      </c>
      <c r="H45">
        <v>293</v>
      </c>
      <c r="I45" s="14">
        <v>413.64313749640343</v>
      </c>
      <c r="J45">
        <v>100</v>
      </c>
      <c r="K45">
        <v>43</v>
      </c>
      <c r="L45">
        <v>106</v>
      </c>
      <c r="M45">
        <v>48</v>
      </c>
      <c r="N45" s="143" t="e">
        <v>#DIV/0!</v>
      </c>
      <c r="O45" s="143" t="e">
        <v>#DIV/0!</v>
      </c>
      <c r="P45">
        <v>20</v>
      </c>
    </row>
    <row r="46" spans="1:16">
      <c r="A46" t="s">
        <v>121</v>
      </c>
      <c r="B46">
        <v>121</v>
      </c>
      <c r="C46">
        <v>106</v>
      </c>
      <c r="D46">
        <v>53</v>
      </c>
      <c r="E46">
        <v>99</v>
      </c>
      <c r="F46">
        <v>183</v>
      </c>
      <c r="G46">
        <v>142</v>
      </c>
      <c r="H46">
        <v>295.29999999999995</v>
      </c>
      <c r="I46" s="14">
        <v>438.84398498572284</v>
      </c>
      <c r="J46">
        <v>101</v>
      </c>
      <c r="K46">
        <v>44</v>
      </c>
      <c r="L46">
        <v>121</v>
      </c>
      <c r="M46">
        <v>60</v>
      </c>
      <c r="N46" s="143" t="e">
        <v>#DIV/0!</v>
      </c>
      <c r="O46" s="143" t="e">
        <v>#DIV/0!</v>
      </c>
      <c r="P46">
        <v>-6</v>
      </c>
    </row>
    <row r="47" spans="1:16">
      <c r="A47" t="s">
        <v>112</v>
      </c>
      <c r="B47">
        <v>164</v>
      </c>
      <c r="C47">
        <v>61</v>
      </c>
      <c r="D47">
        <v>151</v>
      </c>
      <c r="E47">
        <v>59</v>
      </c>
      <c r="F47">
        <v>54</v>
      </c>
      <c r="G47">
        <v>74</v>
      </c>
      <c r="H47">
        <v>295.5</v>
      </c>
      <c r="I47" s="14">
        <v>376.7962653628278</v>
      </c>
      <c r="J47">
        <v>102</v>
      </c>
      <c r="K47">
        <v>45</v>
      </c>
      <c r="L47">
        <v>86</v>
      </c>
      <c r="M47">
        <v>36</v>
      </c>
      <c r="N47" s="143" t="e">
        <v>#DIV/0!</v>
      </c>
      <c r="O47" s="143" t="e">
        <v>#DIV/0!</v>
      </c>
      <c r="P47">
        <v>49</v>
      </c>
    </row>
    <row r="48" spans="1:16">
      <c r="A48" t="s">
        <v>41</v>
      </c>
      <c r="B48">
        <v>22</v>
      </c>
      <c r="C48">
        <v>200</v>
      </c>
      <c r="D48">
        <v>206</v>
      </c>
      <c r="E48">
        <v>100</v>
      </c>
      <c r="F48">
        <v>32</v>
      </c>
      <c r="G48">
        <v>130</v>
      </c>
      <c r="H48">
        <v>295.60000000000002</v>
      </c>
      <c r="I48" s="14">
        <v>466.35362213294542</v>
      </c>
      <c r="J48">
        <v>103</v>
      </c>
      <c r="K48">
        <v>46</v>
      </c>
      <c r="L48">
        <v>132</v>
      </c>
      <c r="M48">
        <v>66</v>
      </c>
      <c r="N48" s="143" t="e">
        <v>#DIV/0!</v>
      </c>
      <c r="O48" s="143" t="e">
        <v>#DIV/0!</v>
      </c>
      <c r="P48">
        <v>11</v>
      </c>
    </row>
    <row r="49" spans="1:16">
      <c r="A49" t="s">
        <v>423</v>
      </c>
      <c r="B49">
        <v>197</v>
      </c>
      <c r="C49">
        <v>25</v>
      </c>
      <c r="D49">
        <v>69</v>
      </c>
      <c r="E49">
        <v>3</v>
      </c>
      <c r="F49">
        <v>197</v>
      </c>
      <c r="G49">
        <v>86</v>
      </c>
      <c r="H49">
        <v>295.89999999999998</v>
      </c>
      <c r="I49" s="14">
        <v>359.82837823980833</v>
      </c>
      <c r="J49">
        <v>104</v>
      </c>
      <c r="K49">
        <v>47</v>
      </c>
      <c r="L49">
        <v>74</v>
      </c>
      <c r="M49">
        <v>31</v>
      </c>
      <c r="N49" s="143" t="e">
        <v>#DIV/0!</v>
      </c>
      <c r="O49" s="143" t="e">
        <v>#DIV/0!</v>
      </c>
      <c r="P49">
        <v>-5</v>
      </c>
    </row>
    <row r="50" spans="1:16">
      <c r="A50" t="s">
        <v>24</v>
      </c>
      <c r="B50">
        <v>13</v>
      </c>
      <c r="C50">
        <v>181</v>
      </c>
      <c r="D50">
        <v>134</v>
      </c>
      <c r="E50">
        <v>143</v>
      </c>
      <c r="F50">
        <v>128</v>
      </c>
      <c r="G50">
        <v>81</v>
      </c>
      <c r="H50">
        <v>296.5</v>
      </c>
      <c r="I50" s="14">
        <v>410.95885675165732</v>
      </c>
      <c r="J50">
        <v>105</v>
      </c>
      <c r="K50">
        <v>48</v>
      </c>
      <c r="L50">
        <v>102</v>
      </c>
      <c r="M50">
        <v>45</v>
      </c>
      <c r="N50" s="143" t="e">
        <v>#DIV/0!</v>
      </c>
      <c r="O50" s="143" t="e">
        <v>#DIV/0!</v>
      </c>
      <c r="P50">
        <v>-7</v>
      </c>
    </row>
    <row r="51" spans="1:16">
      <c r="A51" t="s">
        <v>162</v>
      </c>
      <c r="B51">
        <v>210</v>
      </c>
      <c r="C51">
        <v>104</v>
      </c>
      <c r="D51">
        <v>51</v>
      </c>
      <c r="E51">
        <v>16</v>
      </c>
      <c r="F51">
        <v>136</v>
      </c>
      <c r="G51">
        <v>73</v>
      </c>
      <c r="H51">
        <v>298.7</v>
      </c>
      <c r="I51" s="14">
        <v>355.69496681280714</v>
      </c>
      <c r="J51">
        <v>107</v>
      </c>
      <c r="K51">
        <v>49</v>
      </c>
      <c r="L51">
        <v>72</v>
      </c>
      <c r="M51">
        <v>29</v>
      </c>
      <c r="N51" s="143" t="e">
        <v>#DIV/0!</v>
      </c>
      <c r="O51" s="143" t="e">
        <v>#DIV/0!</v>
      </c>
      <c r="P51">
        <v>-7</v>
      </c>
    </row>
    <row r="52" spans="1:16">
      <c r="A52" t="s">
        <v>134</v>
      </c>
      <c r="B52">
        <v>154</v>
      </c>
      <c r="C52">
        <v>82</v>
      </c>
      <c r="D52">
        <v>52</v>
      </c>
      <c r="E52">
        <v>123</v>
      </c>
      <c r="F52">
        <v>146</v>
      </c>
      <c r="G52">
        <v>102</v>
      </c>
      <c r="H52">
        <v>299.2</v>
      </c>
      <c r="I52" s="14">
        <v>403.55153646238352</v>
      </c>
      <c r="J52">
        <v>109.5</v>
      </c>
      <c r="K52">
        <v>51</v>
      </c>
      <c r="L52">
        <v>98</v>
      </c>
      <c r="M52">
        <v>43</v>
      </c>
      <c r="N52" s="143" t="e">
        <v>#DIV/0!</v>
      </c>
      <c r="O52" s="143" t="e">
        <v>#DIV/0!</v>
      </c>
      <c r="P52">
        <v>27</v>
      </c>
    </row>
    <row r="53" spans="1:16">
      <c r="A53" t="s">
        <v>56</v>
      </c>
      <c r="B53">
        <v>51</v>
      </c>
      <c r="C53">
        <v>208</v>
      </c>
      <c r="D53">
        <v>114</v>
      </c>
      <c r="E53">
        <v>215</v>
      </c>
      <c r="F53">
        <v>29</v>
      </c>
      <c r="G53">
        <v>156</v>
      </c>
      <c r="H53">
        <v>299.2</v>
      </c>
      <c r="I53" s="14">
        <v>499.58999244425507</v>
      </c>
      <c r="J53">
        <v>109.5</v>
      </c>
      <c r="K53">
        <v>50</v>
      </c>
      <c r="L53">
        <v>147</v>
      </c>
      <c r="M53">
        <v>77</v>
      </c>
      <c r="N53" s="143" t="e">
        <v>#DIV/0!</v>
      </c>
      <c r="O53" s="143" t="e">
        <v>#DIV/0!</v>
      </c>
      <c r="P53">
        <v>-104</v>
      </c>
    </row>
    <row r="54" spans="1:16">
      <c r="A54" t="s">
        <v>148</v>
      </c>
      <c r="B54">
        <v>190</v>
      </c>
      <c r="C54">
        <v>52</v>
      </c>
      <c r="D54">
        <v>45</v>
      </c>
      <c r="E54">
        <v>140</v>
      </c>
      <c r="F54">
        <v>117</v>
      </c>
      <c r="G54">
        <v>101</v>
      </c>
      <c r="H54">
        <v>299.8</v>
      </c>
      <c r="I54" s="14">
        <v>401.33670904115712</v>
      </c>
      <c r="J54">
        <v>111</v>
      </c>
      <c r="K54">
        <v>52</v>
      </c>
      <c r="L54">
        <v>97</v>
      </c>
      <c r="M54">
        <v>42</v>
      </c>
      <c r="N54" s="143" t="e">
        <v>#DIV/0!</v>
      </c>
      <c r="O54" s="143" t="e">
        <v>#DIV/0!</v>
      </c>
      <c r="P54">
        <v>-19</v>
      </c>
    </row>
    <row r="55" spans="1:16">
      <c r="A55" t="s">
        <v>412</v>
      </c>
      <c r="B55">
        <v>93</v>
      </c>
      <c r="C55">
        <v>189</v>
      </c>
      <c r="D55">
        <v>83</v>
      </c>
      <c r="E55">
        <v>159</v>
      </c>
      <c r="F55">
        <v>76</v>
      </c>
      <c r="G55">
        <v>136</v>
      </c>
      <c r="H55">
        <v>300.39999999999998</v>
      </c>
      <c r="I55" s="14">
        <v>462.22396387089145</v>
      </c>
      <c r="J55">
        <v>112</v>
      </c>
      <c r="K55">
        <v>53</v>
      </c>
      <c r="L55">
        <v>129</v>
      </c>
      <c r="M55">
        <v>64</v>
      </c>
      <c r="N55" s="143" t="e">
        <v>#DIV/0!</v>
      </c>
      <c r="O55" s="143" t="e">
        <v>#DIV/0!</v>
      </c>
      <c r="P55">
        <v>-13</v>
      </c>
    </row>
    <row r="56" spans="1:16">
      <c r="A56" t="s">
        <v>245</v>
      </c>
      <c r="B56">
        <v>172</v>
      </c>
      <c r="C56">
        <v>67</v>
      </c>
      <c r="D56">
        <v>182</v>
      </c>
      <c r="E56">
        <v>49</v>
      </c>
      <c r="F56">
        <v>18</v>
      </c>
      <c r="G56">
        <v>60</v>
      </c>
      <c r="H56">
        <v>303.2</v>
      </c>
      <c r="I56" s="14">
        <v>373.95714484577564</v>
      </c>
      <c r="J56">
        <v>113</v>
      </c>
      <c r="K56">
        <v>54</v>
      </c>
      <c r="L56">
        <v>83</v>
      </c>
      <c r="M56">
        <v>35</v>
      </c>
      <c r="N56" s="143" t="e">
        <v>#DIV/0!</v>
      </c>
      <c r="O56" s="143" t="e">
        <v>#DIV/0!</v>
      </c>
      <c r="P56">
        <v>-43</v>
      </c>
    </row>
    <row r="57" spans="1:16">
      <c r="A57" t="s">
        <v>120</v>
      </c>
      <c r="B57">
        <v>140</v>
      </c>
      <c r="C57">
        <v>109</v>
      </c>
      <c r="D57">
        <v>113</v>
      </c>
      <c r="E57">
        <v>168</v>
      </c>
      <c r="F57">
        <v>33</v>
      </c>
      <c r="G57">
        <v>111</v>
      </c>
      <c r="H57">
        <v>304.39999999999998</v>
      </c>
      <c r="I57" s="14">
        <v>439.39931703550826</v>
      </c>
      <c r="J57">
        <v>114</v>
      </c>
      <c r="K57">
        <v>55</v>
      </c>
      <c r="L57">
        <v>122</v>
      </c>
      <c r="M57">
        <v>61</v>
      </c>
      <c r="N57" s="143" t="e">
        <v>#DIV/0!</v>
      </c>
      <c r="O57" s="143" t="e">
        <v>#DIV/0!</v>
      </c>
      <c r="P57">
        <v>-48</v>
      </c>
    </row>
    <row r="58" spans="1:16">
      <c r="A58" t="s">
        <v>118</v>
      </c>
      <c r="B58">
        <v>143</v>
      </c>
      <c r="C58">
        <v>144</v>
      </c>
      <c r="D58">
        <v>59</v>
      </c>
      <c r="E58">
        <v>124</v>
      </c>
      <c r="F58">
        <v>114</v>
      </c>
      <c r="G58">
        <v>107</v>
      </c>
      <c r="H58">
        <v>305.60000000000002</v>
      </c>
      <c r="I58" s="14">
        <v>421.84232140024847</v>
      </c>
      <c r="J58">
        <v>115</v>
      </c>
      <c r="K58">
        <v>56</v>
      </c>
      <c r="L58">
        <v>115</v>
      </c>
      <c r="M58">
        <v>55</v>
      </c>
      <c r="N58" s="143" t="e">
        <v>#DIV/0!</v>
      </c>
      <c r="O58" s="143" t="e">
        <v>#DIV/0!</v>
      </c>
      <c r="P58">
        <v>-24</v>
      </c>
    </row>
    <row r="59" spans="1:16">
      <c r="A59" t="s">
        <v>101</v>
      </c>
      <c r="B59">
        <v>108</v>
      </c>
      <c r="C59">
        <v>71</v>
      </c>
      <c r="D59">
        <v>127</v>
      </c>
      <c r="E59">
        <v>42</v>
      </c>
      <c r="F59">
        <v>192</v>
      </c>
      <c r="G59">
        <v>109</v>
      </c>
      <c r="H59">
        <v>305.7</v>
      </c>
      <c r="I59" s="14">
        <v>415.2681810894041</v>
      </c>
      <c r="J59">
        <v>116.5</v>
      </c>
      <c r="K59">
        <v>57</v>
      </c>
      <c r="L59">
        <v>108</v>
      </c>
      <c r="M59">
        <v>50</v>
      </c>
      <c r="N59" s="143" t="e">
        <v>#DIV/0!</v>
      </c>
      <c r="O59" s="143" t="e">
        <v>#DIV/0!</v>
      </c>
      <c r="P59">
        <v>57</v>
      </c>
    </row>
    <row r="60" spans="1:16">
      <c r="A60" t="s">
        <v>185</v>
      </c>
      <c r="B60">
        <v>196</v>
      </c>
      <c r="C60">
        <v>1</v>
      </c>
      <c r="D60">
        <v>55</v>
      </c>
      <c r="E60">
        <v>200</v>
      </c>
      <c r="F60">
        <v>103</v>
      </c>
      <c r="G60">
        <v>77</v>
      </c>
      <c r="H60">
        <v>307.60000000000002</v>
      </c>
      <c r="I60" s="14">
        <v>391.91884284811192</v>
      </c>
      <c r="J60">
        <v>119</v>
      </c>
      <c r="K60">
        <v>58</v>
      </c>
      <c r="L60">
        <v>88</v>
      </c>
      <c r="M60">
        <v>38</v>
      </c>
      <c r="N60" s="143" t="e">
        <v>#DIV/0!</v>
      </c>
      <c r="O60" s="143" t="e">
        <v>#DIV/0!</v>
      </c>
      <c r="P60">
        <v>25</v>
      </c>
    </row>
    <row r="61" spans="1:16">
      <c r="A61" t="s">
        <v>127</v>
      </c>
      <c r="B61">
        <v>166</v>
      </c>
      <c r="C61">
        <v>54</v>
      </c>
      <c r="D61">
        <v>85</v>
      </c>
      <c r="E61">
        <v>176</v>
      </c>
      <c r="F61">
        <v>83</v>
      </c>
      <c r="G61">
        <v>89</v>
      </c>
      <c r="H61">
        <v>309.2</v>
      </c>
      <c r="I61" s="14">
        <v>412.16632271386948</v>
      </c>
      <c r="J61">
        <v>120</v>
      </c>
      <c r="K61">
        <v>59</v>
      </c>
      <c r="L61">
        <v>105</v>
      </c>
      <c r="M61">
        <v>47</v>
      </c>
      <c r="N61" s="143" t="e">
        <v>#DIV/0!</v>
      </c>
      <c r="O61" s="143" t="e">
        <v>#DIV/0!</v>
      </c>
      <c r="P61">
        <v>-30</v>
      </c>
    </row>
    <row r="62" spans="1:16">
      <c r="A62" t="s">
        <v>53</v>
      </c>
      <c r="B62">
        <v>55</v>
      </c>
      <c r="C62">
        <v>135</v>
      </c>
      <c r="D62">
        <v>121</v>
      </c>
      <c r="E62">
        <v>167</v>
      </c>
      <c r="F62">
        <v>131</v>
      </c>
      <c r="G62">
        <v>174</v>
      </c>
      <c r="H62">
        <v>309.5</v>
      </c>
      <c r="I62" s="14">
        <v>512.22064874803243</v>
      </c>
      <c r="J62">
        <v>122</v>
      </c>
      <c r="K62">
        <v>60</v>
      </c>
      <c r="L62">
        <v>153</v>
      </c>
      <c r="M62">
        <v>81</v>
      </c>
      <c r="N62" s="143" t="e">
        <v>#DIV/0!</v>
      </c>
      <c r="O62" s="143" t="e">
        <v>#DIV/0!</v>
      </c>
      <c r="P62">
        <v>16</v>
      </c>
    </row>
    <row r="63" spans="1:16">
      <c r="A63" t="s">
        <v>163</v>
      </c>
      <c r="B63">
        <v>156</v>
      </c>
      <c r="C63">
        <v>63</v>
      </c>
      <c r="D63">
        <v>99</v>
      </c>
      <c r="E63">
        <v>97</v>
      </c>
      <c r="F63">
        <v>138</v>
      </c>
      <c r="G63">
        <v>105</v>
      </c>
      <c r="H63">
        <v>311.5</v>
      </c>
      <c r="I63" s="14">
        <v>419.5451817098924</v>
      </c>
      <c r="J63">
        <v>124</v>
      </c>
      <c r="K63">
        <v>61</v>
      </c>
      <c r="L63">
        <v>112</v>
      </c>
      <c r="M63">
        <v>53</v>
      </c>
      <c r="N63" s="143" t="e">
        <v>#DIV/0!</v>
      </c>
      <c r="O63" s="143" t="e">
        <v>#DIV/0!</v>
      </c>
      <c r="P63">
        <v>54</v>
      </c>
    </row>
    <row r="64" spans="1:16">
      <c r="A64" t="s">
        <v>122</v>
      </c>
      <c r="B64">
        <v>129</v>
      </c>
      <c r="C64">
        <v>101</v>
      </c>
      <c r="D64">
        <v>165</v>
      </c>
      <c r="E64">
        <v>125</v>
      </c>
      <c r="F64">
        <v>31</v>
      </c>
      <c r="G64">
        <v>91</v>
      </c>
      <c r="H64">
        <v>311.7</v>
      </c>
      <c r="I64" s="14">
        <v>427.11082546239624</v>
      </c>
      <c r="J64">
        <v>125.5</v>
      </c>
      <c r="K64">
        <v>62</v>
      </c>
      <c r="L64">
        <v>119</v>
      </c>
      <c r="M64">
        <v>58</v>
      </c>
      <c r="N64" s="143" t="e">
        <v>#DIV/0!</v>
      </c>
      <c r="O64" s="143" t="e">
        <v>#DIV/0!</v>
      </c>
      <c r="P64">
        <v>-22</v>
      </c>
    </row>
    <row r="65" spans="1:16">
      <c r="A65" t="s">
        <v>420</v>
      </c>
      <c r="B65">
        <v>170</v>
      </c>
      <c r="C65">
        <v>132</v>
      </c>
      <c r="D65">
        <v>9</v>
      </c>
      <c r="E65">
        <v>107</v>
      </c>
      <c r="F65">
        <v>182</v>
      </c>
      <c r="G65">
        <v>110</v>
      </c>
      <c r="H65">
        <v>311.89999999999998</v>
      </c>
      <c r="I65" s="14">
        <v>416.46869696611475</v>
      </c>
      <c r="J65">
        <v>127</v>
      </c>
      <c r="K65">
        <v>63</v>
      </c>
      <c r="L65">
        <v>110</v>
      </c>
      <c r="M65">
        <v>52</v>
      </c>
      <c r="N65" s="143" t="e">
        <v>#DIV/0!</v>
      </c>
      <c r="O65" s="143" t="e">
        <v>#DIV/0!</v>
      </c>
      <c r="P65">
        <v>6</v>
      </c>
    </row>
    <row r="66" spans="1:16">
      <c r="A66" t="s">
        <v>222</v>
      </c>
      <c r="B66">
        <v>174</v>
      </c>
      <c r="C66">
        <v>81</v>
      </c>
      <c r="D66">
        <v>79</v>
      </c>
      <c r="E66">
        <v>9</v>
      </c>
      <c r="F66">
        <v>199</v>
      </c>
      <c r="G66">
        <v>129</v>
      </c>
      <c r="H66">
        <v>312.60000000000002</v>
      </c>
      <c r="I66" s="14">
        <v>426.32196728266058</v>
      </c>
      <c r="J66">
        <v>128</v>
      </c>
      <c r="K66">
        <v>64</v>
      </c>
      <c r="L66">
        <v>118</v>
      </c>
      <c r="M66">
        <v>57</v>
      </c>
      <c r="N66" s="143" t="e">
        <v>#DIV/0!</v>
      </c>
      <c r="O66" s="143" t="e">
        <v>#DIV/0!</v>
      </c>
      <c r="P66">
        <v>19</v>
      </c>
    </row>
    <row r="67" spans="1:16">
      <c r="A67" t="s">
        <v>45</v>
      </c>
      <c r="B67">
        <v>138</v>
      </c>
      <c r="C67">
        <v>178</v>
      </c>
      <c r="D67">
        <v>98</v>
      </c>
      <c r="E67">
        <v>66</v>
      </c>
      <c r="F67">
        <v>104</v>
      </c>
      <c r="G67">
        <v>146</v>
      </c>
      <c r="H67">
        <v>314.8</v>
      </c>
      <c r="I67" s="14">
        <v>469.05217586679123</v>
      </c>
      <c r="J67">
        <v>130</v>
      </c>
      <c r="K67">
        <v>65</v>
      </c>
      <c r="L67">
        <v>134</v>
      </c>
      <c r="M67">
        <v>68</v>
      </c>
      <c r="N67" s="143" t="e">
        <v>#DIV/0!</v>
      </c>
      <c r="O67" s="143" t="e">
        <v>#DIV/0!</v>
      </c>
      <c r="P67">
        <v>25</v>
      </c>
    </row>
    <row r="68" spans="1:16">
      <c r="A68" t="s">
        <v>52</v>
      </c>
      <c r="B68">
        <v>190</v>
      </c>
      <c r="C68">
        <v>159</v>
      </c>
      <c r="D68">
        <v>109</v>
      </c>
      <c r="E68">
        <v>8</v>
      </c>
      <c r="F68">
        <v>78</v>
      </c>
      <c r="G68">
        <v>154</v>
      </c>
      <c r="H68">
        <v>315.09999999999997</v>
      </c>
      <c r="I68" s="14">
        <v>466.10826597572418</v>
      </c>
      <c r="J68">
        <v>131</v>
      </c>
      <c r="K68">
        <v>66</v>
      </c>
      <c r="L68">
        <v>130</v>
      </c>
      <c r="M68">
        <v>65</v>
      </c>
      <c r="N68" s="143" t="e">
        <v>#DIV/0!</v>
      </c>
      <c r="O68" s="143" t="e">
        <v>#DIV/0!</v>
      </c>
      <c r="P68">
        <v>-44</v>
      </c>
    </row>
    <row r="69" spans="1:16">
      <c r="A69" t="s">
        <v>33</v>
      </c>
      <c r="B69">
        <v>16</v>
      </c>
      <c r="C69">
        <v>169</v>
      </c>
      <c r="D69">
        <v>176</v>
      </c>
      <c r="E69">
        <v>128</v>
      </c>
      <c r="F69">
        <v>130</v>
      </c>
      <c r="G69">
        <v>128</v>
      </c>
      <c r="H69">
        <v>318.2</v>
      </c>
      <c r="I69" s="14">
        <v>480.98510989009861</v>
      </c>
      <c r="J69">
        <v>133</v>
      </c>
      <c r="K69">
        <v>67</v>
      </c>
      <c r="L69">
        <v>137</v>
      </c>
      <c r="M69">
        <v>70</v>
      </c>
      <c r="N69" s="143" t="e">
        <v>#DIV/0!</v>
      </c>
      <c r="O69" s="143" t="e">
        <v>#DIV/0!</v>
      </c>
      <c r="P69">
        <v>10</v>
      </c>
    </row>
    <row r="70" spans="1:16">
      <c r="A70" t="s">
        <v>174</v>
      </c>
      <c r="B70">
        <v>146</v>
      </c>
      <c r="C70">
        <v>98</v>
      </c>
      <c r="D70">
        <v>150</v>
      </c>
      <c r="E70">
        <v>163</v>
      </c>
      <c r="F70">
        <v>22</v>
      </c>
      <c r="G70">
        <v>132</v>
      </c>
      <c r="H70">
        <v>322.59999999999997</v>
      </c>
      <c r="I70" s="14">
        <v>481.25803057486371</v>
      </c>
      <c r="J70">
        <v>137</v>
      </c>
      <c r="K70">
        <v>68</v>
      </c>
      <c r="L70">
        <v>138</v>
      </c>
      <c r="M70">
        <v>71</v>
      </c>
      <c r="N70" s="143" t="e">
        <v>#DIV/0!</v>
      </c>
      <c r="O70" s="143" t="e">
        <v>#DIV/0!</v>
      </c>
      <c r="P70">
        <v>15</v>
      </c>
    </row>
    <row r="71" spans="1:16">
      <c r="A71" t="s">
        <v>414</v>
      </c>
      <c r="B71">
        <v>151</v>
      </c>
      <c r="C71">
        <v>209</v>
      </c>
      <c r="D71">
        <v>170</v>
      </c>
      <c r="E71">
        <v>1</v>
      </c>
      <c r="F71">
        <v>28</v>
      </c>
      <c r="G71">
        <v>36</v>
      </c>
      <c r="H71">
        <v>322.7</v>
      </c>
      <c r="I71" s="14">
        <v>370.33295595839218</v>
      </c>
      <c r="J71">
        <v>138</v>
      </c>
      <c r="K71">
        <v>69</v>
      </c>
      <c r="L71">
        <v>80</v>
      </c>
      <c r="M71">
        <v>33</v>
      </c>
      <c r="N71" s="143" t="e">
        <v>#DIV/0!</v>
      </c>
      <c r="O71" s="143" t="e">
        <v>#DIV/0!</v>
      </c>
      <c r="P71">
        <v>9</v>
      </c>
    </row>
    <row r="72" spans="1:16">
      <c r="A72" t="s">
        <v>158</v>
      </c>
      <c r="B72">
        <v>138</v>
      </c>
      <c r="C72">
        <v>89</v>
      </c>
      <c r="D72">
        <v>159</v>
      </c>
      <c r="E72">
        <v>76</v>
      </c>
      <c r="F72">
        <v>99</v>
      </c>
      <c r="G72">
        <v>118</v>
      </c>
      <c r="H72">
        <v>323.39999999999998</v>
      </c>
      <c r="I72" s="14">
        <v>453.17395991126284</v>
      </c>
      <c r="J72">
        <v>139</v>
      </c>
      <c r="K72">
        <v>70</v>
      </c>
      <c r="L72">
        <v>123</v>
      </c>
      <c r="M72">
        <v>62</v>
      </c>
      <c r="N72" s="143" t="e">
        <v>#DIV/0!</v>
      </c>
      <c r="O72" s="143" t="e">
        <v>#DIV/0!</v>
      </c>
      <c r="P72">
        <v>36</v>
      </c>
    </row>
    <row r="73" spans="1:16">
      <c r="A73" t="s">
        <v>402</v>
      </c>
      <c r="B73">
        <v>66</v>
      </c>
      <c r="C73">
        <v>216</v>
      </c>
      <c r="D73">
        <v>179</v>
      </c>
      <c r="E73">
        <v>79</v>
      </c>
      <c r="F73">
        <v>69</v>
      </c>
      <c r="G73">
        <v>126</v>
      </c>
      <c r="H73">
        <v>324</v>
      </c>
      <c r="I73" s="14">
        <v>479.4363126872625</v>
      </c>
      <c r="J73">
        <v>140</v>
      </c>
      <c r="K73">
        <v>71</v>
      </c>
      <c r="L73">
        <v>136</v>
      </c>
      <c r="M73">
        <v>69</v>
      </c>
      <c r="N73" s="143" t="e">
        <v>#DIV/0!</v>
      </c>
      <c r="O73" s="143" t="e">
        <v>#DIV/0!</v>
      </c>
      <c r="P73">
        <v>-12</v>
      </c>
    </row>
    <row r="74" spans="1:16">
      <c r="A74" t="s">
        <v>170</v>
      </c>
      <c r="B74">
        <v>205</v>
      </c>
      <c r="C74">
        <v>96</v>
      </c>
      <c r="D74">
        <v>128</v>
      </c>
      <c r="E74">
        <v>84</v>
      </c>
      <c r="F74">
        <v>46</v>
      </c>
      <c r="G74">
        <v>133</v>
      </c>
      <c r="H74">
        <v>328.1</v>
      </c>
      <c r="I74" s="14">
        <v>467.52961531134923</v>
      </c>
      <c r="J74">
        <v>142</v>
      </c>
      <c r="K74">
        <v>72</v>
      </c>
      <c r="L74">
        <v>133</v>
      </c>
      <c r="M74">
        <v>67</v>
      </c>
      <c r="N74" s="143" t="e">
        <v>#DIV/0!</v>
      </c>
      <c r="O74" s="143" t="e">
        <v>#DIV/0!</v>
      </c>
      <c r="P74">
        <v>25</v>
      </c>
    </row>
    <row r="75" spans="1:16">
      <c r="A75" t="s">
        <v>86</v>
      </c>
      <c r="B75">
        <v>104</v>
      </c>
      <c r="C75">
        <v>140</v>
      </c>
      <c r="D75">
        <v>199</v>
      </c>
      <c r="E75">
        <v>133</v>
      </c>
      <c r="F75">
        <v>19</v>
      </c>
      <c r="G75">
        <v>120</v>
      </c>
      <c r="H75">
        <v>330.8</v>
      </c>
      <c r="I75" s="14">
        <v>484.92218826436181</v>
      </c>
      <c r="J75">
        <v>143</v>
      </c>
      <c r="K75">
        <v>73</v>
      </c>
      <c r="L75">
        <v>140</v>
      </c>
      <c r="M75">
        <v>73</v>
      </c>
      <c r="N75" s="143" t="e">
        <v>#DIV/0!</v>
      </c>
      <c r="O75" s="143" t="e">
        <v>#DIV/0!</v>
      </c>
      <c r="P75">
        <v>-24</v>
      </c>
    </row>
    <row r="76" spans="1:16">
      <c r="A76" t="s">
        <v>100</v>
      </c>
      <c r="B76">
        <v>167</v>
      </c>
      <c r="C76">
        <v>144</v>
      </c>
      <c r="D76">
        <v>80</v>
      </c>
      <c r="E76">
        <v>93</v>
      </c>
      <c r="F76">
        <v>132</v>
      </c>
      <c r="G76">
        <v>116</v>
      </c>
      <c r="H76">
        <v>333.7</v>
      </c>
      <c r="I76" s="14">
        <v>453.53547174923943</v>
      </c>
      <c r="J76">
        <v>146</v>
      </c>
      <c r="K76">
        <v>74</v>
      </c>
      <c r="L76">
        <v>124</v>
      </c>
      <c r="M76">
        <v>63</v>
      </c>
      <c r="N76" s="143" t="e">
        <v>#DIV/0!</v>
      </c>
      <c r="O76" s="143" t="e">
        <v>#DIV/0!</v>
      </c>
      <c r="P76">
        <v>-4</v>
      </c>
    </row>
    <row r="77" spans="1:16">
      <c r="A77" t="s">
        <v>169</v>
      </c>
      <c r="B77">
        <v>197</v>
      </c>
      <c r="C77">
        <v>70</v>
      </c>
      <c r="D77">
        <v>97</v>
      </c>
      <c r="E77">
        <v>146</v>
      </c>
      <c r="F77">
        <v>90</v>
      </c>
      <c r="G77">
        <v>145</v>
      </c>
      <c r="H77">
        <v>337.19999999999993</v>
      </c>
      <c r="I77" s="14">
        <v>490.70327998510686</v>
      </c>
      <c r="J77">
        <v>148</v>
      </c>
      <c r="K77">
        <v>75</v>
      </c>
      <c r="L77">
        <v>143</v>
      </c>
      <c r="M77">
        <v>75</v>
      </c>
      <c r="N77" s="143" t="e">
        <v>#DIV/0!</v>
      </c>
      <c r="O77" s="143" t="e">
        <v>#DIV/0!</v>
      </c>
      <c r="P77">
        <v>-39</v>
      </c>
    </row>
    <row r="78" spans="1:16">
      <c r="A78" t="s">
        <v>390</v>
      </c>
      <c r="B78">
        <v>158</v>
      </c>
      <c r="C78">
        <v>24</v>
      </c>
      <c r="D78">
        <v>185</v>
      </c>
      <c r="E78">
        <v>57</v>
      </c>
      <c r="F78">
        <v>133</v>
      </c>
      <c r="G78">
        <v>140</v>
      </c>
      <c r="H78">
        <v>339</v>
      </c>
      <c r="I78" s="14">
        <v>483.72837959014396</v>
      </c>
      <c r="J78">
        <v>149</v>
      </c>
      <c r="K78">
        <v>76</v>
      </c>
      <c r="L78">
        <v>139</v>
      </c>
      <c r="M78">
        <v>72</v>
      </c>
      <c r="N78" s="143" t="e">
        <v>#DIV/0!</v>
      </c>
      <c r="O78" s="143" t="e">
        <v>#DIV/0!</v>
      </c>
      <c r="P78">
        <v>10</v>
      </c>
    </row>
    <row r="79" spans="1:16">
      <c r="A79" t="s">
        <v>393</v>
      </c>
      <c r="B79">
        <v>125</v>
      </c>
      <c r="C79">
        <v>160</v>
      </c>
      <c r="D79">
        <v>158</v>
      </c>
      <c r="E79">
        <v>102</v>
      </c>
      <c r="F79">
        <v>73</v>
      </c>
      <c r="G79">
        <v>135</v>
      </c>
      <c r="H79">
        <v>339.40000000000003</v>
      </c>
      <c r="I79" s="14">
        <v>495.89727445317288</v>
      </c>
      <c r="J79">
        <v>151</v>
      </c>
      <c r="K79">
        <v>77</v>
      </c>
      <c r="L79">
        <v>145</v>
      </c>
      <c r="M79">
        <v>76</v>
      </c>
      <c r="N79" s="143" t="e">
        <v>#DIV/0!</v>
      </c>
      <c r="O79" s="143" t="e">
        <v>#DIV/0!</v>
      </c>
      <c r="P79">
        <v>9</v>
      </c>
    </row>
    <row r="80" spans="1:16">
      <c r="A80" t="s">
        <v>67</v>
      </c>
      <c r="B80">
        <v>102</v>
      </c>
      <c r="C80">
        <v>171</v>
      </c>
      <c r="D80">
        <v>216</v>
      </c>
      <c r="E80">
        <v>108</v>
      </c>
      <c r="F80">
        <v>11</v>
      </c>
      <c r="G80">
        <v>210</v>
      </c>
      <c r="H80">
        <v>339.7</v>
      </c>
      <c r="I80" s="14">
        <v>584.42816260463519</v>
      </c>
      <c r="J80">
        <v>152</v>
      </c>
      <c r="K80">
        <v>78</v>
      </c>
      <c r="L80">
        <v>179</v>
      </c>
      <c r="M80">
        <v>100</v>
      </c>
      <c r="N80" s="143" t="e">
        <v>#DIV/0!</v>
      </c>
      <c r="O80" s="143" t="e">
        <v>#DIV/0!</v>
      </c>
      <c r="P80">
        <v>12</v>
      </c>
    </row>
    <row r="81" spans="1:16">
      <c r="A81" t="s">
        <v>36</v>
      </c>
      <c r="B81">
        <v>77</v>
      </c>
      <c r="C81">
        <v>155</v>
      </c>
      <c r="D81">
        <v>96</v>
      </c>
      <c r="E81">
        <v>207</v>
      </c>
      <c r="F81">
        <v>153</v>
      </c>
      <c r="G81">
        <v>138</v>
      </c>
      <c r="H81">
        <v>342.4</v>
      </c>
      <c r="I81" s="14">
        <v>509.45829750489918</v>
      </c>
      <c r="J81">
        <v>153</v>
      </c>
      <c r="K81">
        <v>79</v>
      </c>
      <c r="L81">
        <v>151</v>
      </c>
      <c r="M81">
        <v>80</v>
      </c>
      <c r="N81" s="143" t="e">
        <v>#DIV/0!</v>
      </c>
      <c r="O81" s="143" t="e">
        <v>#DIV/0!</v>
      </c>
      <c r="P81">
        <v>-43</v>
      </c>
    </row>
    <row r="82" spans="1:16">
      <c r="A82" t="s">
        <v>126</v>
      </c>
      <c r="B82">
        <v>84</v>
      </c>
      <c r="C82">
        <v>97</v>
      </c>
      <c r="D82">
        <v>171</v>
      </c>
      <c r="E82">
        <v>82</v>
      </c>
      <c r="F82">
        <v>187</v>
      </c>
      <c r="G82">
        <v>148</v>
      </c>
      <c r="H82">
        <v>343.6</v>
      </c>
      <c r="I82" s="14">
        <v>506.06863548514241</v>
      </c>
      <c r="J82">
        <v>154</v>
      </c>
      <c r="K82">
        <v>80</v>
      </c>
      <c r="L82">
        <v>149</v>
      </c>
      <c r="M82">
        <v>78</v>
      </c>
      <c r="N82" s="143" t="e">
        <v>#DIV/0!</v>
      </c>
      <c r="O82" s="143" t="e">
        <v>#DIV/0!</v>
      </c>
      <c r="P82">
        <v>47</v>
      </c>
    </row>
    <row r="83" spans="1:16">
      <c r="A83" t="s">
        <v>168</v>
      </c>
      <c r="B83">
        <v>165</v>
      </c>
      <c r="C83">
        <v>6</v>
      </c>
      <c r="D83">
        <v>112</v>
      </c>
      <c r="E83">
        <v>172</v>
      </c>
      <c r="F83">
        <v>159</v>
      </c>
      <c r="G83">
        <v>167</v>
      </c>
      <c r="H83">
        <v>344.59999999999997</v>
      </c>
      <c r="I83" s="14">
        <v>521.1346271645308</v>
      </c>
      <c r="J83">
        <v>155</v>
      </c>
      <c r="K83">
        <v>81</v>
      </c>
      <c r="L83">
        <v>156</v>
      </c>
      <c r="M83">
        <v>84</v>
      </c>
      <c r="N83" s="143" t="e">
        <v>#DIV/0!</v>
      </c>
      <c r="O83" s="143" t="e">
        <v>#DIV/0!</v>
      </c>
      <c r="P83">
        <v>7</v>
      </c>
    </row>
    <row r="84" spans="1:16">
      <c r="A84" t="s">
        <v>83</v>
      </c>
      <c r="B84">
        <v>73</v>
      </c>
      <c r="C84">
        <v>202</v>
      </c>
      <c r="D84">
        <v>210</v>
      </c>
      <c r="E84">
        <v>119</v>
      </c>
      <c r="F84">
        <v>38</v>
      </c>
      <c r="G84">
        <v>179</v>
      </c>
      <c r="H84">
        <v>345.5</v>
      </c>
      <c r="I84" s="14">
        <v>562.93519448426684</v>
      </c>
      <c r="J84">
        <v>156</v>
      </c>
      <c r="K84">
        <v>82</v>
      </c>
      <c r="L84">
        <v>171</v>
      </c>
      <c r="M84">
        <v>94</v>
      </c>
      <c r="N84" s="143" t="e">
        <v>#DIV/0!</v>
      </c>
      <c r="O84" s="143" t="e">
        <v>#DIV/0!</v>
      </c>
      <c r="P84">
        <v>-10</v>
      </c>
    </row>
    <row r="85" spans="1:16">
      <c r="A85" t="s">
        <v>186</v>
      </c>
      <c r="B85">
        <v>182</v>
      </c>
      <c r="C85">
        <v>19</v>
      </c>
      <c r="D85">
        <v>192</v>
      </c>
      <c r="E85">
        <v>51</v>
      </c>
      <c r="F85">
        <v>113</v>
      </c>
      <c r="G85">
        <v>169</v>
      </c>
      <c r="H85">
        <v>346.29999999999995</v>
      </c>
      <c r="I85" s="14">
        <v>518.48294679738774</v>
      </c>
      <c r="J85">
        <v>157</v>
      </c>
      <c r="K85">
        <v>83</v>
      </c>
      <c r="L85">
        <v>154</v>
      </c>
      <c r="M85">
        <v>82</v>
      </c>
      <c r="N85" s="143" t="e">
        <v>#DIV/0!</v>
      </c>
      <c r="O85" s="143" t="e">
        <v>#DIV/0!</v>
      </c>
      <c r="P85">
        <v>6</v>
      </c>
    </row>
    <row r="86" spans="1:16">
      <c r="A86" t="s">
        <v>398</v>
      </c>
      <c r="B86">
        <v>13</v>
      </c>
      <c r="C86">
        <v>210</v>
      </c>
      <c r="D86">
        <v>203</v>
      </c>
      <c r="E86">
        <v>90</v>
      </c>
      <c r="F86">
        <v>154</v>
      </c>
      <c r="G86">
        <v>187</v>
      </c>
      <c r="H86">
        <v>348.2</v>
      </c>
      <c r="I86" s="14">
        <v>568.62450806004892</v>
      </c>
      <c r="J86">
        <v>158</v>
      </c>
      <c r="K86">
        <v>84</v>
      </c>
      <c r="L86">
        <v>173</v>
      </c>
      <c r="M86">
        <v>96</v>
      </c>
      <c r="N86" s="143" t="e">
        <v>#DIV/0!</v>
      </c>
      <c r="O86" s="143" t="e">
        <v>#DIV/0!</v>
      </c>
      <c r="P86">
        <v>-4</v>
      </c>
    </row>
    <row r="87" spans="1:16">
      <c r="A87" t="s">
        <v>77</v>
      </c>
      <c r="B87">
        <v>82</v>
      </c>
      <c r="C87">
        <v>207</v>
      </c>
      <c r="D87">
        <v>124</v>
      </c>
      <c r="E87">
        <v>111</v>
      </c>
      <c r="F87">
        <v>154</v>
      </c>
      <c r="G87">
        <v>164</v>
      </c>
      <c r="H87">
        <v>348.4</v>
      </c>
      <c r="I87" s="14">
        <v>533.48842460319645</v>
      </c>
      <c r="J87">
        <v>159</v>
      </c>
      <c r="K87">
        <v>85</v>
      </c>
      <c r="L87">
        <v>158</v>
      </c>
      <c r="M87">
        <v>85</v>
      </c>
      <c r="N87" s="143" t="e">
        <v>#DIV/0!</v>
      </c>
      <c r="O87" s="143" t="e">
        <v>#DIV/0!</v>
      </c>
      <c r="P87">
        <v>3</v>
      </c>
    </row>
    <row r="88" spans="1:16">
      <c r="A88" t="s">
        <v>407</v>
      </c>
      <c r="B88">
        <v>53</v>
      </c>
      <c r="C88">
        <v>107</v>
      </c>
      <c r="D88">
        <v>177</v>
      </c>
      <c r="E88">
        <v>210</v>
      </c>
      <c r="F88">
        <v>126</v>
      </c>
      <c r="G88">
        <v>152</v>
      </c>
      <c r="H88">
        <v>350.8</v>
      </c>
      <c r="I88" s="14">
        <v>542.20188138407593</v>
      </c>
      <c r="J88">
        <v>160</v>
      </c>
      <c r="K88">
        <v>86</v>
      </c>
      <c r="L88">
        <v>162</v>
      </c>
      <c r="M88">
        <v>87</v>
      </c>
      <c r="N88" s="143" t="e">
        <v>#DIV/0!</v>
      </c>
      <c r="O88" s="143" t="e">
        <v>#DIV/0!</v>
      </c>
      <c r="P88">
        <v>-13</v>
      </c>
    </row>
    <row r="89" spans="1:16">
      <c r="A89" t="s">
        <v>172</v>
      </c>
      <c r="B89">
        <v>195</v>
      </c>
      <c r="C89">
        <v>110</v>
      </c>
      <c r="D89">
        <v>13</v>
      </c>
      <c r="E89">
        <v>211</v>
      </c>
      <c r="F89">
        <v>163</v>
      </c>
      <c r="G89">
        <v>159</v>
      </c>
      <c r="H89">
        <v>355.5</v>
      </c>
      <c r="I89" s="14">
        <v>521.00440388195523</v>
      </c>
      <c r="J89">
        <v>164</v>
      </c>
      <c r="K89">
        <v>88</v>
      </c>
      <c r="L89">
        <v>155</v>
      </c>
      <c r="M89">
        <v>83</v>
      </c>
      <c r="N89" s="143" t="e">
        <v>#DIV/0!</v>
      </c>
      <c r="O89" s="143" t="e">
        <v>#DIV/0!</v>
      </c>
      <c r="P89">
        <v>37</v>
      </c>
    </row>
    <row r="90" spans="1:16">
      <c r="A90" t="s">
        <v>189</v>
      </c>
      <c r="B90">
        <v>192</v>
      </c>
      <c r="C90">
        <v>84</v>
      </c>
      <c r="D90">
        <v>122</v>
      </c>
      <c r="E90">
        <v>23</v>
      </c>
      <c r="F90">
        <v>186</v>
      </c>
      <c r="G90">
        <v>163</v>
      </c>
      <c r="H90">
        <v>355.59999999999997</v>
      </c>
      <c r="I90" s="14">
        <v>508.78604933460895</v>
      </c>
      <c r="J90">
        <v>165</v>
      </c>
      <c r="K90">
        <v>89</v>
      </c>
      <c r="L90">
        <v>150</v>
      </c>
      <c r="M90">
        <v>79</v>
      </c>
      <c r="N90" s="143" t="e">
        <v>#DIV/0!</v>
      </c>
      <c r="O90" s="143" t="e">
        <v>#DIV/0!</v>
      </c>
      <c r="P90">
        <v>-20</v>
      </c>
    </row>
    <row r="91" spans="1:16">
      <c r="A91" t="s">
        <v>175</v>
      </c>
      <c r="B91">
        <v>159</v>
      </c>
      <c r="C91">
        <v>28</v>
      </c>
      <c r="D91">
        <v>169</v>
      </c>
      <c r="E91">
        <v>153</v>
      </c>
      <c r="F91">
        <v>109</v>
      </c>
      <c r="G91">
        <v>165</v>
      </c>
      <c r="H91">
        <v>356.5</v>
      </c>
      <c r="I91" s="14">
        <v>538.97243454013608</v>
      </c>
      <c r="J91">
        <v>166</v>
      </c>
      <c r="K91">
        <v>90</v>
      </c>
      <c r="L91">
        <v>161</v>
      </c>
      <c r="M91">
        <v>86</v>
      </c>
      <c r="N91" s="143" t="e">
        <v>#DIV/0!</v>
      </c>
      <c r="O91" s="143" t="e">
        <v>#DIV/0!</v>
      </c>
      <c r="P91">
        <v>-8</v>
      </c>
    </row>
    <row r="92" spans="1:16">
      <c r="A92" t="s">
        <v>70</v>
      </c>
      <c r="B92">
        <v>105</v>
      </c>
      <c r="C92">
        <v>204</v>
      </c>
      <c r="D92">
        <v>101</v>
      </c>
      <c r="E92">
        <v>178</v>
      </c>
      <c r="F92">
        <v>123</v>
      </c>
      <c r="G92">
        <v>211</v>
      </c>
      <c r="H92">
        <v>358.5</v>
      </c>
      <c r="I92" s="14">
        <v>596.58730317757738</v>
      </c>
      <c r="J92">
        <v>168</v>
      </c>
      <c r="K92">
        <v>91</v>
      </c>
      <c r="L92">
        <v>184</v>
      </c>
      <c r="M92">
        <v>103</v>
      </c>
      <c r="N92" s="143" t="e">
        <v>#DIV/0!</v>
      </c>
      <c r="O92" s="143" t="e">
        <v>#DIV/0!</v>
      </c>
      <c r="P92">
        <v>9</v>
      </c>
    </row>
    <row r="93" spans="1:16">
      <c r="A93" t="s">
        <v>246</v>
      </c>
      <c r="B93">
        <v>151</v>
      </c>
      <c r="C93">
        <v>36</v>
      </c>
      <c r="D93">
        <v>111</v>
      </c>
      <c r="E93">
        <v>175</v>
      </c>
      <c r="F93">
        <v>184</v>
      </c>
      <c r="G93">
        <v>183</v>
      </c>
      <c r="H93">
        <v>359.79999999999995</v>
      </c>
      <c r="I93" s="14">
        <v>554.06710359497379</v>
      </c>
      <c r="J93">
        <v>169</v>
      </c>
      <c r="K93">
        <v>92</v>
      </c>
      <c r="L93">
        <v>166</v>
      </c>
      <c r="M93">
        <v>89</v>
      </c>
      <c r="N93" s="143" t="e">
        <v>#DIV/0!</v>
      </c>
      <c r="O93" s="143" t="e">
        <v>#DIV/0!</v>
      </c>
      <c r="P93">
        <v>6</v>
      </c>
    </row>
    <row r="94" spans="1:16">
      <c r="A94" t="s">
        <v>237</v>
      </c>
      <c r="B94">
        <v>25</v>
      </c>
      <c r="C94">
        <v>148</v>
      </c>
      <c r="D94">
        <v>189</v>
      </c>
      <c r="E94">
        <v>173</v>
      </c>
      <c r="F94">
        <v>164</v>
      </c>
      <c r="G94">
        <v>162</v>
      </c>
      <c r="H94">
        <v>360.2</v>
      </c>
      <c r="I94" s="14">
        <v>560.48155236048001</v>
      </c>
      <c r="J94">
        <v>170</v>
      </c>
      <c r="K94">
        <v>93</v>
      </c>
      <c r="L94">
        <v>170</v>
      </c>
      <c r="M94">
        <v>93</v>
      </c>
      <c r="N94" s="143" t="e">
        <v>#DIV/0!</v>
      </c>
      <c r="O94" s="143" t="e">
        <v>#DIV/0!</v>
      </c>
      <c r="P94">
        <v>-51</v>
      </c>
    </row>
    <row r="95" spans="1:16">
      <c r="A95" t="s">
        <v>221</v>
      </c>
      <c r="B95">
        <v>147</v>
      </c>
      <c r="C95">
        <v>15</v>
      </c>
      <c r="D95">
        <v>93</v>
      </c>
      <c r="E95">
        <v>203</v>
      </c>
      <c r="F95">
        <v>212</v>
      </c>
      <c r="G95">
        <v>198</v>
      </c>
      <c r="H95">
        <v>361.2</v>
      </c>
      <c r="I95" s="14">
        <v>570.09508140110654</v>
      </c>
      <c r="J95">
        <v>171</v>
      </c>
      <c r="K95">
        <v>94</v>
      </c>
      <c r="L95">
        <v>175</v>
      </c>
      <c r="M95">
        <v>97</v>
      </c>
      <c r="N95" s="143" t="e">
        <v>#DIV/0!</v>
      </c>
      <c r="O95" s="143" t="e">
        <v>#DIV/0!</v>
      </c>
      <c r="P95">
        <v>-52</v>
      </c>
    </row>
    <row r="96" spans="1:16">
      <c r="A96" t="s">
        <v>180</v>
      </c>
      <c r="B96">
        <v>185</v>
      </c>
      <c r="C96">
        <v>46</v>
      </c>
      <c r="D96">
        <v>197</v>
      </c>
      <c r="E96">
        <v>197</v>
      </c>
      <c r="F96">
        <v>5</v>
      </c>
      <c r="G96">
        <v>175</v>
      </c>
      <c r="H96">
        <v>367.09999999999997</v>
      </c>
      <c r="I96" s="14">
        <v>572.7406889120366</v>
      </c>
      <c r="J96">
        <v>173</v>
      </c>
      <c r="K96">
        <v>95</v>
      </c>
      <c r="L96">
        <v>176</v>
      </c>
      <c r="M96">
        <v>98</v>
      </c>
      <c r="N96" s="143" t="e">
        <v>#DIV/0!</v>
      </c>
      <c r="O96" s="143" t="e">
        <v>#DIV/0!</v>
      </c>
      <c r="P96">
        <v>26</v>
      </c>
    </row>
    <row r="97" spans="1:16">
      <c r="A97" t="s">
        <v>130</v>
      </c>
      <c r="B97">
        <v>178</v>
      </c>
      <c r="C97">
        <v>68</v>
      </c>
      <c r="D97">
        <v>77</v>
      </c>
      <c r="E97">
        <v>196</v>
      </c>
      <c r="F97">
        <v>173</v>
      </c>
      <c r="G97">
        <v>176</v>
      </c>
      <c r="H97">
        <v>370.6</v>
      </c>
      <c r="I97" s="14">
        <v>556.72989292925934</v>
      </c>
      <c r="J97">
        <v>174</v>
      </c>
      <c r="K97">
        <v>96</v>
      </c>
      <c r="L97">
        <v>168</v>
      </c>
      <c r="M97">
        <v>91</v>
      </c>
      <c r="N97" s="143" t="e">
        <v>#DIV/0!</v>
      </c>
      <c r="O97" s="143" t="e">
        <v>#DIV/0!</v>
      </c>
      <c r="P97">
        <v>-49</v>
      </c>
    </row>
    <row r="98" spans="1:16">
      <c r="A98" t="s">
        <v>21</v>
      </c>
      <c r="B98">
        <v>21</v>
      </c>
      <c r="C98">
        <v>157</v>
      </c>
      <c r="D98">
        <v>149</v>
      </c>
      <c r="E98">
        <v>213</v>
      </c>
      <c r="F98">
        <v>215</v>
      </c>
      <c r="G98">
        <v>212</v>
      </c>
      <c r="H98">
        <v>374.5</v>
      </c>
      <c r="I98" s="14">
        <v>623.90722151796524</v>
      </c>
      <c r="J98">
        <v>176</v>
      </c>
      <c r="K98">
        <v>97</v>
      </c>
      <c r="L98">
        <v>196</v>
      </c>
      <c r="M98">
        <v>110</v>
      </c>
      <c r="N98" s="143" t="e">
        <v>#N/A</v>
      </c>
      <c r="O98" s="143" t="e">
        <v>#N/A</v>
      </c>
      <c r="P98">
        <v>-1</v>
      </c>
    </row>
    <row r="99" spans="1:16">
      <c r="A99" t="s">
        <v>243</v>
      </c>
      <c r="B99">
        <v>116</v>
      </c>
      <c r="C99">
        <v>156</v>
      </c>
      <c r="D99">
        <v>195</v>
      </c>
      <c r="E99">
        <v>28</v>
      </c>
      <c r="F99">
        <v>168</v>
      </c>
      <c r="G99">
        <v>173</v>
      </c>
      <c r="H99">
        <v>375.3</v>
      </c>
      <c r="I99" s="14">
        <v>558.87121451153564</v>
      </c>
      <c r="J99">
        <v>177</v>
      </c>
      <c r="K99">
        <v>98</v>
      </c>
      <c r="L99">
        <v>169</v>
      </c>
      <c r="M99">
        <v>92</v>
      </c>
      <c r="N99" s="143" t="e">
        <v>#DIV/0!</v>
      </c>
      <c r="O99" s="143" t="e">
        <v>#DIV/0!</v>
      </c>
      <c r="P99">
        <v>21</v>
      </c>
    </row>
    <row r="100" spans="1:16">
      <c r="A100" t="s">
        <v>153</v>
      </c>
      <c r="B100">
        <v>131</v>
      </c>
      <c r="C100">
        <v>170</v>
      </c>
      <c r="D100">
        <v>75</v>
      </c>
      <c r="E100">
        <v>197</v>
      </c>
      <c r="F100">
        <v>175</v>
      </c>
      <c r="G100">
        <v>158</v>
      </c>
      <c r="H100">
        <v>378.5</v>
      </c>
      <c r="I100" s="14">
        <v>556.17252976766827</v>
      </c>
      <c r="J100">
        <v>179</v>
      </c>
      <c r="K100">
        <v>99</v>
      </c>
      <c r="L100">
        <v>167</v>
      </c>
      <c r="M100">
        <v>90</v>
      </c>
      <c r="N100" s="143" t="e">
        <v>#DIV/0!</v>
      </c>
      <c r="O100" s="143" t="e">
        <v>#DIV/0!</v>
      </c>
      <c r="P100">
        <v>35</v>
      </c>
    </row>
    <row r="101" spans="1:16">
      <c r="A101" t="s">
        <v>405</v>
      </c>
      <c r="B101">
        <v>72</v>
      </c>
      <c r="C101">
        <v>188</v>
      </c>
      <c r="D101">
        <v>207</v>
      </c>
      <c r="E101">
        <v>149</v>
      </c>
      <c r="F101">
        <v>97</v>
      </c>
      <c r="G101">
        <v>186</v>
      </c>
      <c r="H101">
        <v>378.6</v>
      </c>
      <c r="I101" s="14">
        <v>602.74560236429977</v>
      </c>
      <c r="J101">
        <v>180</v>
      </c>
      <c r="K101">
        <v>100</v>
      </c>
      <c r="L101">
        <v>188</v>
      </c>
      <c r="M101">
        <v>106</v>
      </c>
      <c r="N101" s="143" t="e">
        <v>#DIV/0!</v>
      </c>
      <c r="O101" s="143" t="e">
        <v>#DIV/0!</v>
      </c>
      <c r="P101">
        <v>22</v>
      </c>
    </row>
    <row r="102" spans="1:16">
      <c r="A102" t="s">
        <v>220</v>
      </c>
      <c r="B102">
        <v>208</v>
      </c>
      <c r="C102">
        <v>122</v>
      </c>
      <c r="D102">
        <v>213</v>
      </c>
      <c r="E102">
        <v>92</v>
      </c>
      <c r="F102">
        <v>1</v>
      </c>
      <c r="G102">
        <v>185</v>
      </c>
      <c r="H102">
        <v>380.8</v>
      </c>
      <c r="I102" s="14">
        <v>585.72268280983917</v>
      </c>
      <c r="J102">
        <v>181</v>
      </c>
      <c r="K102">
        <v>101</v>
      </c>
      <c r="L102">
        <v>180</v>
      </c>
      <c r="M102">
        <v>101</v>
      </c>
      <c r="N102" s="143" t="e">
        <v>#DIV/0!</v>
      </c>
      <c r="O102" s="143" t="e">
        <v>#DIV/0!</v>
      </c>
      <c r="P102">
        <v>2</v>
      </c>
    </row>
    <row r="103" spans="1:16">
      <c r="A103" t="s">
        <v>419</v>
      </c>
      <c r="B103">
        <v>187</v>
      </c>
      <c r="C103">
        <v>138</v>
      </c>
      <c r="D103">
        <v>142</v>
      </c>
      <c r="E103">
        <v>147</v>
      </c>
      <c r="F103">
        <v>80</v>
      </c>
      <c r="G103">
        <v>184</v>
      </c>
      <c r="H103">
        <v>384.3</v>
      </c>
      <c r="I103" s="14">
        <v>586.56083923597066</v>
      </c>
      <c r="J103">
        <v>184</v>
      </c>
      <c r="K103">
        <v>102</v>
      </c>
      <c r="L103">
        <v>181</v>
      </c>
      <c r="M103">
        <v>102</v>
      </c>
      <c r="N103" s="143" t="e">
        <v>#DIV/0!</v>
      </c>
      <c r="O103" s="143" t="e">
        <v>#DIV/0!</v>
      </c>
      <c r="P103">
        <v>-2</v>
      </c>
    </row>
    <row r="104" spans="1:16">
      <c r="A104" t="s">
        <v>164</v>
      </c>
      <c r="B104">
        <v>188</v>
      </c>
      <c r="C104">
        <v>90</v>
      </c>
      <c r="D104">
        <v>162</v>
      </c>
      <c r="E104">
        <v>35</v>
      </c>
      <c r="F104">
        <v>181</v>
      </c>
      <c r="G104">
        <v>108</v>
      </c>
      <c r="H104">
        <v>385.5</v>
      </c>
      <c r="I104" s="14">
        <v>490.43130341135259</v>
      </c>
      <c r="J104">
        <v>185</v>
      </c>
      <c r="K104">
        <v>103</v>
      </c>
      <c r="L104">
        <v>142</v>
      </c>
      <c r="M104">
        <v>74</v>
      </c>
      <c r="N104" s="143" t="e">
        <v>#DIV/0!</v>
      </c>
      <c r="O104" s="143" t="e">
        <v>#DIV/0!</v>
      </c>
      <c r="P104">
        <v>9</v>
      </c>
    </row>
    <row r="105" spans="1:16">
      <c r="A105" t="s">
        <v>191</v>
      </c>
      <c r="B105">
        <v>214</v>
      </c>
      <c r="C105">
        <v>4</v>
      </c>
      <c r="D105">
        <v>155</v>
      </c>
      <c r="E105">
        <v>103</v>
      </c>
      <c r="F105">
        <v>169</v>
      </c>
      <c r="G105">
        <v>180</v>
      </c>
      <c r="H105">
        <v>385.59999999999997</v>
      </c>
      <c r="I105" s="14">
        <v>564.78928836061687</v>
      </c>
      <c r="J105">
        <v>186</v>
      </c>
      <c r="K105">
        <v>104</v>
      </c>
      <c r="L105">
        <v>172</v>
      </c>
      <c r="M105">
        <v>95</v>
      </c>
      <c r="N105" s="143" t="e">
        <v>#DIV/0!</v>
      </c>
      <c r="O105" s="143" t="e">
        <v>#DIV/0!</v>
      </c>
      <c r="P105">
        <v>1</v>
      </c>
    </row>
    <row r="106" spans="1:16">
      <c r="A106" t="s">
        <v>61</v>
      </c>
      <c r="B106">
        <v>121</v>
      </c>
      <c r="C106">
        <v>141</v>
      </c>
      <c r="D106">
        <v>93</v>
      </c>
      <c r="E106">
        <v>193</v>
      </c>
      <c r="F106">
        <v>207</v>
      </c>
      <c r="G106">
        <v>194</v>
      </c>
      <c r="H106">
        <v>386.9</v>
      </c>
      <c r="I106" s="14">
        <v>599.59127518959019</v>
      </c>
      <c r="J106">
        <v>187</v>
      </c>
      <c r="K106">
        <v>105</v>
      </c>
      <c r="L106">
        <v>186</v>
      </c>
      <c r="M106">
        <v>105</v>
      </c>
      <c r="N106" s="143" t="e">
        <v>#DIV/0!</v>
      </c>
      <c r="O106" s="143" t="e">
        <v>#DIV/0!</v>
      </c>
      <c r="P106">
        <v>5</v>
      </c>
    </row>
    <row r="107" spans="1:16">
      <c r="A107" t="s">
        <v>54</v>
      </c>
      <c r="B107">
        <v>74</v>
      </c>
      <c r="C107">
        <v>212</v>
      </c>
      <c r="D107">
        <v>108</v>
      </c>
      <c r="E107">
        <v>195</v>
      </c>
      <c r="F107">
        <v>196</v>
      </c>
      <c r="G107">
        <v>204</v>
      </c>
      <c r="H107">
        <v>388.20000000000005</v>
      </c>
      <c r="I107" s="14">
        <v>621.53785776223117</v>
      </c>
      <c r="J107">
        <v>188</v>
      </c>
      <c r="K107">
        <v>106</v>
      </c>
      <c r="L107">
        <v>194</v>
      </c>
      <c r="M107">
        <v>109</v>
      </c>
      <c r="N107" s="143" t="e">
        <v>#DIV/0!</v>
      </c>
      <c r="O107" s="143" t="e">
        <v>#DIV/0!</v>
      </c>
      <c r="P107">
        <v>5</v>
      </c>
    </row>
    <row r="108" spans="1:16">
      <c r="A108" t="s">
        <v>410</v>
      </c>
      <c r="B108">
        <v>98</v>
      </c>
      <c r="C108">
        <v>161</v>
      </c>
      <c r="D108">
        <v>167</v>
      </c>
      <c r="E108">
        <v>170</v>
      </c>
      <c r="F108">
        <v>142</v>
      </c>
      <c r="G108">
        <v>196</v>
      </c>
      <c r="H108">
        <v>388.9</v>
      </c>
      <c r="I108" s="14">
        <v>615.20248522295549</v>
      </c>
      <c r="J108">
        <v>189</v>
      </c>
      <c r="K108">
        <v>107</v>
      </c>
      <c r="L108">
        <v>190</v>
      </c>
      <c r="M108">
        <v>107</v>
      </c>
      <c r="N108" s="143" t="e">
        <v>#DIV/0!</v>
      </c>
      <c r="O108" s="143" t="e">
        <v>#DIV/0!</v>
      </c>
      <c r="P108">
        <v>19</v>
      </c>
    </row>
    <row r="109" spans="1:16">
      <c r="A109" t="s">
        <v>394</v>
      </c>
      <c r="B109">
        <v>127</v>
      </c>
      <c r="C109">
        <v>113</v>
      </c>
      <c r="D109">
        <v>208</v>
      </c>
      <c r="E109">
        <v>47</v>
      </c>
      <c r="F109">
        <v>189</v>
      </c>
      <c r="G109">
        <v>177</v>
      </c>
      <c r="H109">
        <v>393</v>
      </c>
      <c r="I109" s="14">
        <v>580.02820180191532</v>
      </c>
      <c r="J109">
        <v>191.5</v>
      </c>
      <c r="K109">
        <v>108</v>
      </c>
      <c r="L109">
        <v>177</v>
      </c>
      <c r="M109">
        <v>99</v>
      </c>
      <c r="N109" s="143" t="e">
        <v>#DIV/0!</v>
      </c>
      <c r="O109" s="143" t="e">
        <v>#DIV/0!</v>
      </c>
      <c r="P109">
        <v>-5</v>
      </c>
    </row>
    <row r="110" spans="1:16">
      <c r="A110" t="s">
        <v>421</v>
      </c>
      <c r="B110">
        <v>200</v>
      </c>
      <c r="C110">
        <v>126</v>
      </c>
      <c r="D110">
        <v>204</v>
      </c>
      <c r="E110">
        <v>68</v>
      </c>
      <c r="F110">
        <v>68</v>
      </c>
      <c r="G110">
        <v>191</v>
      </c>
      <c r="H110">
        <v>394.4</v>
      </c>
      <c r="I110" s="14">
        <v>598.27362868574915</v>
      </c>
      <c r="J110">
        <v>194</v>
      </c>
      <c r="K110">
        <v>109</v>
      </c>
      <c r="L110">
        <v>185</v>
      </c>
      <c r="M110">
        <v>104</v>
      </c>
      <c r="N110" s="143" t="e">
        <v>#DIV/0!</v>
      </c>
      <c r="O110" s="143" t="e">
        <v>#DIV/0!</v>
      </c>
      <c r="P110">
        <v>12</v>
      </c>
    </row>
    <row r="111" spans="1:16">
      <c r="A111" t="s">
        <v>403</v>
      </c>
      <c r="B111">
        <v>55</v>
      </c>
      <c r="C111">
        <v>187</v>
      </c>
      <c r="D111">
        <v>184</v>
      </c>
      <c r="E111">
        <v>178</v>
      </c>
      <c r="F111">
        <v>178</v>
      </c>
      <c r="G111">
        <v>195</v>
      </c>
      <c r="H111">
        <v>402.29999999999995</v>
      </c>
      <c r="I111" s="14">
        <v>633.90431265711993</v>
      </c>
      <c r="J111">
        <v>196</v>
      </c>
      <c r="K111">
        <v>110</v>
      </c>
      <c r="L111">
        <v>197</v>
      </c>
      <c r="M111">
        <v>111</v>
      </c>
      <c r="N111" s="143" t="e">
        <v>#DIV/0!</v>
      </c>
      <c r="O111" s="143" t="e">
        <v>#DIV/0!</v>
      </c>
      <c r="P111">
        <v>18</v>
      </c>
    </row>
    <row r="112" spans="1:16">
      <c r="A112" t="s">
        <v>416</v>
      </c>
      <c r="B112">
        <v>140</v>
      </c>
      <c r="C112">
        <v>103</v>
      </c>
      <c r="D112">
        <v>194</v>
      </c>
      <c r="E112">
        <v>63</v>
      </c>
      <c r="F112">
        <v>214</v>
      </c>
      <c r="G112">
        <v>205</v>
      </c>
      <c r="H112">
        <v>407.2</v>
      </c>
      <c r="I112" s="14">
        <v>619.69834129907815</v>
      </c>
      <c r="J112">
        <v>197.5</v>
      </c>
      <c r="K112">
        <v>111</v>
      </c>
      <c r="L112">
        <v>193</v>
      </c>
      <c r="M112">
        <v>108</v>
      </c>
      <c r="N112" s="143" t="e">
        <v>#DIV/0!</v>
      </c>
      <c r="O112" s="143" t="e">
        <v>#DIV/0!</v>
      </c>
      <c r="P112">
        <v>11</v>
      </c>
    </row>
    <row r="113" spans="1:16">
      <c r="A113" t="s">
        <v>415</v>
      </c>
      <c r="B113">
        <v>140</v>
      </c>
      <c r="C113">
        <v>168</v>
      </c>
      <c r="D113">
        <v>190</v>
      </c>
      <c r="E113">
        <v>153</v>
      </c>
      <c r="F113">
        <v>124</v>
      </c>
      <c r="G113">
        <v>189</v>
      </c>
      <c r="H113">
        <v>421.4</v>
      </c>
      <c r="I113" s="14">
        <v>638.03949290560536</v>
      </c>
      <c r="J113">
        <v>199</v>
      </c>
      <c r="K113">
        <v>112</v>
      </c>
      <c r="L113">
        <v>198</v>
      </c>
      <c r="M113">
        <v>112</v>
      </c>
      <c r="N113" s="143" t="e">
        <v>#DIV/0!</v>
      </c>
      <c r="O113" s="143" t="e">
        <v>#DIV/0!</v>
      </c>
      <c r="P113">
        <v>-28</v>
      </c>
    </row>
    <row r="114" spans="1:16">
      <c r="A114" t="s">
        <v>147</v>
      </c>
      <c r="B114">
        <v>153</v>
      </c>
      <c r="C114">
        <v>95</v>
      </c>
      <c r="D114">
        <v>183</v>
      </c>
      <c r="E114">
        <v>128</v>
      </c>
      <c r="F114">
        <v>208</v>
      </c>
      <c r="G114">
        <v>215</v>
      </c>
      <c r="H114">
        <v>428.4</v>
      </c>
      <c r="I114" s="14">
        <v>657.16460541793754</v>
      </c>
      <c r="J114">
        <v>200</v>
      </c>
      <c r="K114">
        <v>113</v>
      </c>
      <c r="L114">
        <v>200</v>
      </c>
      <c r="M114">
        <v>113</v>
      </c>
      <c r="N114" s="143" t="e">
        <v>#DIV/0!</v>
      </c>
      <c r="O114" s="143" t="e">
        <v>#DIV/0!</v>
      </c>
      <c r="P114">
        <v>3</v>
      </c>
    </row>
    <row r="115" spans="1:16">
      <c r="A115" t="s">
        <v>94</v>
      </c>
      <c r="B115">
        <v>168</v>
      </c>
      <c r="C115">
        <v>143</v>
      </c>
      <c r="D115">
        <v>188</v>
      </c>
      <c r="E115">
        <v>201</v>
      </c>
      <c r="F115">
        <v>96</v>
      </c>
      <c r="G115">
        <v>206</v>
      </c>
      <c r="H115">
        <v>434.79999999999995</v>
      </c>
      <c r="I115" s="14">
        <v>672.29517107667323</v>
      </c>
      <c r="J115">
        <v>201</v>
      </c>
      <c r="K115">
        <v>114</v>
      </c>
      <c r="L115">
        <v>204</v>
      </c>
      <c r="M115">
        <v>115</v>
      </c>
      <c r="N115" s="143" t="e">
        <v>#DIV/0!</v>
      </c>
      <c r="O115" s="143" t="e">
        <v>#DIV/0!</v>
      </c>
      <c r="P115">
        <v>8</v>
      </c>
    </row>
    <row r="116" spans="1:16">
      <c r="A116" t="s">
        <v>133</v>
      </c>
      <c r="B116">
        <v>192</v>
      </c>
      <c r="C116">
        <v>94</v>
      </c>
      <c r="D116">
        <v>172</v>
      </c>
      <c r="E116">
        <v>190</v>
      </c>
      <c r="F116">
        <v>140</v>
      </c>
      <c r="G116">
        <v>202</v>
      </c>
      <c r="H116">
        <v>438.4</v>
      </c>
      <c r="I116" s="14">
        <v>661.39468074119759</v>
      </c>
      <c r="J116">
        <v>203</v>
      </c>
      <c r="K116">
        <v>115</v>
      </c>
      <c r="L116">
        <v>201</v>
      </c>
      <c r="M116">
        <v>114</v>
      </c>
      <c r="N116" s="143" t="e">
        <v>#DIV/0!</v>
      </c>
      <c r="O116" s="143" t="e">
        <v>#DIV/0!</v>
      </c>
      <c r="P116">
        <v>8</v>
      </c>
    </row>
    <row r="117" spans="1:16">
      <c r="A117" t="s">
        <v>392</v>
      </c>
      <c r="B117">
        <v>135</v>
      </c>
      <c r="C117">
        <v>201</v>
      </c>
      <c r="D117">
        <v>154</v>
      </c>
      <c r="E117">
        <v>186</v>
      </c>
      <c r="F117">
        <v>216</v>
      </c>
      <c r="G117">
        <v>216</v>
      </c>
      <c r="H117">
        <v>465.1</v>
      </c>
      <c r="I117" s="14">
        <v>706.26066759385196</v>
      </c>
      <c r="J117">
        <v>206</v>
      </c>
      <c r="K117">
        <v>116</v>
      </c>
      <c r="L117">
        <v>207</v>
      </c>
      <c r="M117">
        <v>116</v>
      </c>
      <c r="N117" s="143" t="e">
        <v>#DIV/0!</v>
      </c>
      <c r="O117" s="143" t="e">
        <v>#DIV/0!</v>
      </c>
      <c r="P117">
        <v>12</v>
      </c>
    </row>
  </sheetData>
  <conditionalFormatting sqref="N2:O1048576">
    <cfRule type="cellIs" dxfId="34" priority="5" operator="greaterThanOrEqual">
      <formula>20%</formula>
    </cfRule>
    <cfRule type="cellIs" dxfId="33" priority="6" operator="between">
      <formula>10%</formula>
      <formula>20%</formula>
    </cfRule>
    <cfRule type="cellIs" dxfId="32" priority="7" operator="between">
      <formula>0.01%</formula>
      <formula>10%</formula>
    </cfRule>
  </conditionalFormatting>
  <conditionalFormatting sqref="B2:G1048576 J2:M1048576">
    <cfRule type="cellIs" dxfId="31" priority="8" operator="between">
      <formula>101</formula>
      <formula>250</formula>
    </cfRule>
    <cfRule type="cellIs" dxfId="30" priority="9" operator="between">
      <formula>51</formula>
      <formula>100.5</formula>
    </cfRule>
    <cfRule type="cellIs" dxfId="29" priority="10" operator="between">
      <formula>21</formula>
      <formula>50.5</formula>
    </cfRule>
    <cfRule type="cellIs" dxfId="28"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21502-EB95-46EE-82D6-1ED276144087}">
  <sheetPr codeName="Sheet65">
    <tabColor rgb="FF92D050"/>
  </sheetPr>
  <dimension ref="A1:V98"/>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35</v>
      </c>
      <c r="B2">
        <v>23</v>
      </c>
      <c r="C2">
        <v>120</v>
      </c>
      <c r="D2">
        <v>34</v>
      </c>
      <c r="E2">
        <v>38</v>
      </c>
      <c r="F2">
        <v>24</v>
      </c>
      <c r="G2">
        <v>9</v>
      </c>
      <c r="H2">
        <v>115.1</v>
      </c>
      <c r="I2" s="14">
        <v>140.16045646876987</v>
      </c>
      <c r="J2">
        <v>2</v>
      </c>
      <c r="K2">
        <v>1</v>
      </c>
      <c r="L2">
        <v>2</v>
      </c>
      <c r="M2">
        <v>1</v>
      </c>
      <c r="N2" s="143" t="e">
        <v>#DIV/0!</v>
      </c>
      <c r="O2" s="143" t="e">
        <v>#DIV/0!</v>
      </c>
      <c r="P2">
        <v>51</v>
      </c>
    </row>
    <row r="3" spans="1:22">
      <c r="A3" t="s">
        <v>406</v>
      </c>
      <c r="B3">
        <v>33</v>
      </c>
      <c r="C3">
        <v>129</v>
      </c>
      <c r="D3">
        <v>32</v>
      </c>
      <c r="E3">
        <v>67</v>
      </c>
      <c r="F3">
        <v>15</v>
      </c>
      <c r="G3">
        <v>12</v>
      </c>
      <c r="H3">
        <v>131.39999999999998</v>
      </c>
      <c r="I3" s="14">
        <v>163.92123720551734</v>
      </c>
      <c r="J3">
        <v>4</v>
      </c>
      <c r="K3">
        <v>2</v>
      </c>
      <c r="L3">
        <v>6</v>
      </c>
      <c r="M3">
        <v>4</v>
      </c>
      <c r="N3" s="143" t="e">
        <v>#DIV/0!</v>
      </c>
      <c r="O3" s="143" t="e">
        <v>#DIV/0!</v>
      </c>
      <c r="P3">
        <v>3</v>
      </c>
    </row>
    <row r="4" spans="1:22">
      <c r="A4" t="s">
        <v>166</v>
      </c>
      <c r="B4">
        <v>101</v>
      </c>
      <c r="C4">
        <v>25</v>
      </c>
      <c r="D4">
        <v>7</v>
      </c>
      <c r="E4">
        <v>31</v>
      </c>
      <c r="F4">
        <v>67</v>
      </c>
      <c r="G4">
        <v>11</v>
      </c>
      <c r="H4">
        <v>131.5</v>
      </c>
      <c r="I4" s="14">
        <v>140.51635217803039</v>
      </c>
      <c r="J4">
        <v>5</v>
      </c>
      <c r="K4">
        <v>3</v>
      </c>
      <c r="L4">
        <v>3</v>
      </c>
      <c r="M4">
        <v>2</v>
      </c>
      <c r="N4" s="143" t="e">
        <v>#DIV/0!</v>
      </c>
      <c r="O4" s="143" t="e">
        <v>#DIV/0!</v>
      </c>
      <c r="P4">
        <v>-4</v>
      </c>
    </row>
    <row r="5" spans="1:22">
      <c r="A5" t="s">
        <v>27</v>
      </c>
      <c r="B5">
        <v>30</v>
      </c>
      <c r="C5">
        <v>49</v>
      </c>
      <c r="D5">
        <v>20</v>
      </c>
      <c r="E5">
        <v>54</v>
      </c>
      <c r="F5">
        <v>120</v>
      </c>
      <c r="G5">
        <v>23</v>
      </c>
      <c r="H5">
        <v>136.19999999999999</v>
      </c>
      <c r="I5" s="14">
        <v>166.93258240657272</v>
      </c>
      <c r="J5">
        <v>6</v>
      </c>
      <c r="K5">
        <v>4</v>
      </c>
      <c r="L5">
        <v>7</v>
      </c>
      <c r="M5">
        <v>5</v>
      </c>
      <c r="N5" s="143" t="e">
        <v>#DIV/0!</v>
      </c>
      <c r="O5" s="143" t="e">
        <v>#DIV/0!</v>
      </c>
      <c r="P5">
        <v>-15</v>
      </c>
    </row>
    <row r="6" spans="1:22">
      <c r="A6" t="s">
        <v>113</v>
      </c>
      <c r="B6">
        <v>58</v>
      </c>
      <c r="C6">
        <v>27</v>
      </c>
      <c r="D6">
        <v>74</v>
      </c>
      <c r="E6">
        <v>2</v>
      </c>
      <c r="F6">
        <v>70</v>
      </c>
      <c r="G6">
        <v>4</v>
      </c>
      <c r="H6">
        <v>139</v>
      </c>
      <c r="I6" s="14">
        <v>148.04163435227275</v>
      </c>
      <c r="J6">
        <v>7</v>
      </c>
      <c r="K6">
        <v>5</v>
      </c>
      <c r="L6">
        <v>5</v>
      </c>
      <c r="M6">
        <v>3</v>
      </c>
      <c r="N6" s="143" t="e">
        <v>#DIV/0!</v>
      </c>
      <c r="O6" s="143" t="e">
        <v>#DIV/0!</v>
      </c>
      <c r="P6">
        <v>8</v>
      </c>
    </row>
    <row r="7" spans="1:22">
      <c r="A7" t="s">
        <v>15</v>
      </c>
      <c r="B7">
        <v>3</v>
      </c>
      <c r="C7">
        <v>50</v>
      </c>
      <c r="D7">
        <v>5</v>
      </c>
      <c r="E7">
        <v>176</v>
      </c>
      <c r="F7">
        <v>88</v>
      </c>
      <c r="G7">
        <v>3</v>
      </c>
      <c r="H7">
        <v>140</v>
      </c>
      <c r="I7" s="14">
        <v>170.5712299766827</v>
      </c>
      <c r="J7">
        <v>8</v>
      </c>
      <c r="K7">
        <v>6</v>
      </c>
      <c r="L7">
        <v>9</v>
      </c>
      <c r="M7">
        <v>6</v>
      </c>
      <c r="N7" s="143" t="e">
        <v>#DIV/0!</v>
      </c>
      <c r="O7" s="143" t="e">
        <v>#DIV/0!</v>
      </c>
      <c r="P7">
        <v>-1</v>
      </c>
    </row>
    <row r="8" spans="1:22">
      <c r="A8" t="s">
        <v>47</v>
      </c>
      <c r="B8">
        <v>27</v>
      </c>
      <c r="C8">
        <v>50</v>
      </c>
      <c r="D8">
        <v>13</v>
      </c>
      <c r="E8">
        <v>216</v>
      </c>
      <c r="F8">
        <v>34</v>
      </c>
      <c r="G8">
        <v>59</v>
      </c>
      <c r="H8">
        <v>151.4</v>
      </c>
      <c r="I8" s="14">
        <v>245.4656510495108</v>
      </c>
      <c r="J8">
        <v>10</v>
      </c>
      <c r="K8">
        <v>7</v>
      </c>
      <c r="L8">
        <v>28</v>
      </c>
      <c r="M8">
        <v>17</v>
      </c>
      <c r="N8" s="143" t="e">
        <v>#DIV/0!</v>
      </c>
      <c r="O8" s="143" t="e">
        <v>#DIV/0!</v>
      </c>
      <c r="P8">
        <v>60</v>
      </c>
    </row>
    <row r="9" spans="1:22">
      <c r="A9" t="s">
        <v>409</v>
      </c>
      <c r="B9">
        <v>63</v>
      </c>
      <c r="C9">
        <v>90</v>
      </c>
      <c r="D9">
        <v>21</v>
      </c>
      <c r="E9">
        <v>12</v>
      </c>
      <c r="F9">
        <v>115</v>
      </c>
      <c r="G9">
        <v>26</v>
      </c>
      <c r="H9">
        <v>157.1</v>
      </c>
      <c r="I9" s="14">
        <v>185.34500770184829</v>
      </c>
      <c r="J9">
        <v>12</v>
      </c>
      <c r="K9">
        <v>8</v>
      </c>
      <c r="L9">
        <v>11</v>
      </c>
      <c r="M9">
        <v>7</v>
      </c>
      <c r="N9" s="143" t="e">
        <v>#DIV/0!</v>
      </c>
      <c r="O9" s="143" t="e">
        <v>#DIV/0!</v>
      </c>
      <c r="P9">
        <v>-13</v>
      </c>
    </row>
    <row r="10" spans="1:22">
      <c r="A10" t="s">
        <v>98</v>
      </c>
      <c r="B10">
        <v>35</v>
      </c>
      <c r="C10">
        <v>146</v>
      </c>
      <c r="D10">
        <v>62</v>
      </c>
      <c r="E10">
        <v>61</v>
      </c>
      <c r="F10">
        <v>27</v>
      </c>
      <c r="G10">
        <v>13</v>
      </c>
      <c r="H10">
        <v>164.20000000000002</v>
      </c>
      <c r="I10" s="14">
        <v>201.21900644689066</v>
      </c>
      <c r="J10">
        <v>14</v>
      </c>
      <c r="K10">
        <v>9</v>
      </c>
      <c r="L10">
        <v>13</v>
      </c>
      <c r="M10">
        <v>9</v>
      </c>
      <c r="N10" s="143" t="e">
        <v>#DIV/0!</v>
      </c>
      <c r="O10" s="143" t="e">
        <v>#DIV/0!</v>
      </c>
      <c r="P10">
        <v>6</v>
      </c>
    </row>
    <row r="11" spans="1:22">
      <c r="A11" t="s">
        <v>129</v>
      </c>
      <c r="B11">
        <v>41</v>
      </c>
      <c r="C11">
        <v>81</v>
      </c>
      <c r="D11">
        <v>15</v>
      </c>
      <c r="E11">
        <v>46</v>
      </c>
      <c r="F11">
        <v>152</v>
      </c>
      <c r="G11">
        <v>27</v>
      </c>
      <c r="H11">
        <v>166</v>
      </c>
      <c r="I11" s="14">
        <v>199.17945990947743</v>
      </c>
      <c r="J11">
        <v>15</v>
      </c>
      <c r="K11">
        <v>10</v>
      </c>
      <c r="L11">
        <v>12</v>
      </c>
      <c r="M11">
        <v>8</v>
      </c>
      <c r="N11" s="143" t="e">
        <v>#DIV/0!</v>
      </c>
      <c r="O11" s="143" t="e">
        <v>#DIV/0!</v>
      </c>
      <c r="P11">
        <v>13</v>
      </c>
    </row>
    <row r="12" spans="1:22">
      <c r="A12" t="s">
        <v>383</v>
      </c>
      <c r="B12">
        <v>77</v>
      </c>
      <c r="C12">
        <v>121</v>
      </c>
      <c r="D12">
        <v>45</v>
      </c>
      <c r="E12">
        <v>26</v>
      </c>
      <c r="F12">
        <v>49</v>
      </c>
      <c r="G12">
        <v>22</v>
      </c>
      <c r="H12">
        <v>168.70000000000002</v>
      </c>
      <c r="I12" s="14">
        <v>201.78879053711984</v>
      </c>
      <c r="J12">
        <v>16</v>
      </c>
      <c r="K12">
        <v>11</v>
      </c>
      <c r="L12">
        <v>14</v>
      </c>
      <c r="M12">
        <v>10</v>
      </c>
      <c r="N12" s="143" t="e">
        <v>#DIV/0!</v>
      </c>
      <c r="O12" s="143" t="e">
        <v>#DIV/0!</v>
      </c>
      <c r="P12">
        <v>17</v>
      </c>
    </row>
    <row r="13" spans="1:22">
      <c r="A13" t="s">
        <v>161</v>
      </c>
      <c r="B13">
        <v>68</v>
      </c>
      <c r="C13">
        <v>28</v>
      </c>
      <c r="D13">
        <v>38</v>
      </c>
      <c r="E13">
        <v>34</v>
      </c>
      <c r="F13">
        <v>144</v>
      </c>
      <c r="G13">
        <v>38</v>
      </c>
      <c r="H13">
        <v>171</v>
      </c>
      <c r="I13" s="14">
        <v>211.01414507556996</v>
      </c>
      <c r="J13">
        <v>18</v>
      </c>
      <c r="K13">
        <v>12</v>
      </c>
      <c r="L13">
        <v>18</v>
      </c>
      <c r="M13">
        <v>12</v>
      </c>
      <c r="N13" s="143" t="e">
        <v>#DIV/0!</v>
      </c>
      <c r="O13" s="143" t="e">
        <v>#DIV/0!</v>
      </c>
      <c r="P13">
        <v>3</v>
      </c>
    </row>
    <row r="14" spans="1:22">
      <c r="A14" t="s">
        <v>14</v>
      </c>
      <c r="B14">
        <v>32</v>
      </c>
      <c r="C14">
        <v>92</v>
      </c>
      <c r="D14">
        <v>95</v>
      </c>
      <c r="E14">
        <v>39</v>
      </c>
      <c r="F14">
        <v>61</v>
      </c>
      <c r="G14">
        <v>16</v>
      </c>
      <c r="H14">
        <v>171.8</v>
      </c>
      <c r="I14" s="14">
        <v>207.81178511003</v>
      </c>
      <c r="J14">
        <v>19</v>
      </c>
      <c r="K14">
        <v>13</v>
      </c>
      <c r="L14">
        <v>16</v>
      </c>
      <c r="M14">
        <v>11</v>
      </c>
      <c r="N14" s="143" t="e">
        <v>#DIV/0!</v>
      </c>
      <c r="O14" s="143" t="e">
        <v>#DIV/0!</v>
      </c>
      <c r="P14">
        <v>10</v>
      </c>
    </row>
    <row r="15" spans="1:22">
      <c r="A15" t="s">
        <v>19</v>
      </c>
      <c r="B15">
        <v>17</v>
      </c>
      <c r="C15">
        <v>183</v>
      </c>
      <c r="D15">
        <v>28</v>
      </c>
      <c r="E15">
        <v>165</v>
      </c>
      <c r="F15">
        <v>28</v>
      </c>
      <c r="G15">
        <v>31</v>
      </c>
      <c r="H15">
        <v>184.7</v>
      </c>
      <c r="I15" s="14">
        <v>255.07857347737198</v>
      </c>
      <c r="J15">
        <v>20</v>
      </c>
      <c r="K15">
        <v>14</v>
      </c>
      <c r="L15">
        <v>30</v>
      </c>
      <c r="M15">
        <v>19</v>
      </c>
      <c r="N15" s="143" t="e">
        <v>#DIV/0!</v>
      </c>
      <c r="O15" s="143" t="e">
        <v>#DIV/0!</v>
      </c>
      <c r="P15">
        <v>26</v>
      </c>
    </row>
    <row r="16" spans="1:22">
      <c r="A16" t="s">
        <v>105</v>
      </c>
      <c r="B16">
        <v>86</v>
      </c>
      <c r="C16">
        <v>37</v>
      </c>
      <c r="D16">
        <v>59</v>
      </c>
      <c r="E16">
        <v>116</v>
      </c>
      <c r="F16">
        <v>52</v>
      </c>
      <c r="G16">
        <v>43</v>
      </c>
      <c r="H16">
        <v>188.7</v>
      </c>
      <c r="I16" s="14">
        <v>251.72308437855349</v>
      </c>
      <c r="J16">
        <v>21</v>
      </c>
      <c r="K16">
        <v>15</v>
      </c>
      <c r="L16">
        <v>29</v>
      </c>
      <c r="M16">
        <v>18</v>
      </c>
      <c r="N16" s="143" t="e">
        <v>#DIV/0!</v>
      </c>
      <c r="O16" s="143" t="e">
        <v>#DIV/0!</v>
      </c>
      <c r="P16">
        <v>-15</v>
      </c>
    </row>
    <row r="17" spans="1:16">
      <c r="A17" t="s">
        <v>132</v>
      </c>
      <c r="B17">
        <v>99</v>
      </c>
      <c r="C17">
        <v>48</v>
      </c>
      <c r="D17">
        <v>72</v>
      </c>
      <c r="E17">
        <v>32</v>
      </c>
      <c r="F17">
        <v>77</v>
      </c>
      <c r="G17">
        <v>25</v>
      </c>
      <c r="H17">
        <v>190.20000000000002</v>
      </c>
      <c r="I17" s="14">
        <v>222.99105214079194</v>
      </c>
      <c r="J17">
        <v>24</v>
      </c>
      <c r="K17">
        <v>16</v>
      </c>
      <c r="L17">
        <v>23</v>
      </c>
      <c r="M17">
        <v>15</v>
      </c>
      <c r="N17" s="143" t="e">
        <v>#DIV/0!</v>
      </c>
      <c r="O17" s="143" t="e">
        <v>#DIV/0!</v>
      </c>
      <c r="P17">
        <v>18</v>
      </c>
    </row>
    <row r="18" spans="1:16">
      <c r="A18" t="s">
        <v>388</v>
      </c>
      <c r="B18">
        <v>52</v>
      </c>
      <c r="C18">
        <v>73</v>
      </c>
      <c r="D18">
        <v>63</v>
      </c>
      <c r="E18">
        <v>174</v>
      </c>
      <c r="F18">
        <v>22</v>
      </c>
      <c r="G18">
        <v>68</v>
      </c>
      <c r="H18">
        <v>190.3</v>
      </c>
      <c r="I18" s="14">
        <v>293.64030609051872</v>
      </c>
      <c r="J18">
        <v>25</v>
      </c>
      <c r="K18">
        <v>17</v>
      </c>
      <c r="L18">
        <v>40</v>
      </c>
      <c r="M18">
        <v>26</v>
      </c>
      <c r="N18" s="143" t="e">
        <v>#DIV/0!</v>
      </c>
      <c r="O18" s="143" t="e">
        <v>#DIV/0!</v>
      </c>
      <c r="P18">
        <v>17</v>
      </c>
    </row>
    <row r="19" spans="1:16">
      <c r="A19" t="s">
        <v>23</v>
      </c>
      <c r="B19">
        <v>7</v>
      </c>
      <c r="C19">
        <v>176</v>
      </c>
      <c r="D19">
        <v>18</v>
      </c>
      <c r="E19">
        <v>17</v>
      </c>
      <c r="F19">
        <v>193</v>
      </c>
      <c r="G19">
        <v>19</v>
      </c>
      <c r="H19">
        <v>191.2</v>
      </c>
      <c r="I19" s="14">
        <v>219.76890436926922</v>
      </c>
      <c r="J19">
        <v>26</v>
      </c>
      <c r="K19">
        <v>18</v>
      </c>
      <c r="L19">
        <v>22</v>
      </c>
      <c r="M19">
        <v>14</v>
      </c>
      <c r="N19" s="143" t="e">
        <v>#DIV/0!</v>
      </c>
      <c r="O19" s="143" t="e">
        <v>#DIV/0!</v>
      </c>
      <c r="P19">
        <v>1</v>
      </c>
    </row>
    <row r="20" spans="1:16">
      <c r="A20" t="s">
        <v>66</v>
      </c>
      <c r="B20">
        <v>47</v>
      </c>
      <c r="C20">
        <v>111</v>
      </c>
      <c r="D20">
        <v>72</v>
      </c>
      <c r="E20">
        <v>120</v>
      </c>
      <c r="F20">
        <v>31</v>
      </c>
      <c r="G20">
        <v>35</v>
      </c>
      <c r="H20">
        <v>191.20000000000002</v>
      </c>
      <c r="I20" s="14">
        <v>257.09304958083203</v>
      </c>
      <c r="J20">
        <v>27</v>
      </c>
      <c r="K20">
        <v>19</v>
      </c>
      <c r="L20">
        <v>31</v>
      </c>
      <c r="M20">
        <v>20</v>
      </c>
      <c r="N20" s="143" t="e">
        <v>#DIV/0!</v>
      </c>
      <c r="O20" s="143" t="e">
        <v>#DIV/0!</v>
      </c>
      <c r="P20">
        <v>26</v>
      </c>
    </row>
    <row r="21" spans="1:16">
      <c r="A21" t="s">
        <v>233</v>
      </c>
      <c r="B21">
        <v>18</v>
      </c>
      <c r="C21">
        <v>198</v>
      </c>
      <c r="D21">
        <v>1</v>
      </c>
      <c r="E21">
        <v>51</v>
      </c>
      <c r="F21">
        <v>164</v>
      </c>
      <c r="G21">
        <v>6</v>
      </c>
      <c r="H21">
        <v>194.9</v>
      </c>
      <c r="I21" s="14">
        <v>215.37244354375446</v>
      </c>
      <c r="J21">
        <v>29.5</v>
      </c>
      <c r="K21">
        <v>20</v>
      </c>
      <c r="L21">
        <v>20</v>
      </c>
      <c r="M21">
        <v>13</v>
      </c>
      <c r="N21" s="143" t="e">
        <v>#DIV/0!</v>
      </c>
      <c r="O21" s="143" t="e">
        <v>#DIV/0!</v>
      </c>
      <c r="P21">
        <v>12</v>
      </c>
    </row>
    <row r="22" spans="1:16">
      <c r="A22" t="s">
        <v>139</v>
      </c>
      <c r="B22">
        <v>104</v>
      </c>
      <c r="C22">
        <v>100</v>
      </c>
      <c r="D22">
        <v>3</v>
      </c>
      <c r="E22">
        <v>74</v>
      </c>
      <c r="F22">
        <v>107</v>
      </c>
      <c r="G22">
        <v>20</v>
      </c>
      <c r="H22">
        <v>198</v>
      </c>
      <c r="I22" s="14">
        <v>225.64176826682828</v>
      </c>
      <c r="J22">
        <v>31</v>
      </c>
      <c r="K22">
        <v>21</v>
      </c>
      <c r="L22">
        <v>24</v>
      </c>
      <c r="M22">
        <v>16</v>
      </c>
      <c r="N22" s="143" t="e">
        <v>#DIV/0!</v>
      </c>
      <c r="O22" s="143" t="e">
        <v>#DIV/0!</v>
      </c>
      <c r="P22">
        <v>29</v>
      </c>
    </row>
    <row r="23" spans="1:16">
      <c r="A23" t="s">
        <v>9</v>
      </c>
      <c r="B23">
        <v>5</v>
      </c>
      <c r="C23">
        <v>118</v>
      </c>
      <c r="D23">
        <v>104</v>
      </c>
      <c r="E23">
        <v>151</v>
      </c>
      <c r="F23">
        <v>36</v>
      </c>
      <c r="G23">
        <v>28</v>
      </c>
      <c r="H23">
        <v>201.9</v>
      </c>
      <c r="I23" s="14">
        <v>272.75636039375502</v>
      </c>
      <c r="J23">
        <v>33</v>
      </c>
      <c r="K23">
        <v>22</v>
      </c>
      <c r="L23">
        <v>37</v>
      </c>
      <c r="M23">
        <v>25</v>
      </c>
      <c r="N23" s="143" t="e">
        <v>#DIV/0!</v>
      </c>
      <c r="O23" s="143" t="e">
        <v>#DIV/0!</v>
      </c>
      <c r="P23">
        <v>43</v>
      </c>
    </row>
    <row r="24" spans="1:16">
      <c r="A24" t="s">
        <v>80</v>
      </c>
      <c r="B24">
        <v>74</v>
      </c>
      <c r="C24">
        <v>131</v>
      </c>
      <c r="D24">
        <v>47</v>
      </c>
      <c r="E24">
        <v>108</v>
      </c>
      <c r="F24">
        <v>47</v>
      </c>
      <c r="G24">
        <v>40</v>
      </c>
      <c r="H24">
        <v>203.8</v>
      </c>
      <c r="I24" s="14">
        <v>268.65445854924081</v>
      </c>
      <c r="J24">
        <v>34</v>
      </c>
      <c r="K24">
        <v>23</v>
      </c>
      <c r="L24">
        <v>33</v>
      </c>
      <c r="M24">
        <v>22</v>
      </c>
      <c r="N24" s="143" t="e">
        <v>#DIV/0!</v>
      </c>
      <c r="O24" s="143" t="e">
        <v>#DIV/0!</v>
      </c>
      <c r="P24">
        <v>65</v>
      </c>
    </row>
    <row r="25" spans="1:16">
      <c r="A25" t="s">
        <v>93</v>
      </c>
      <c r="B25">
        <v>67</v>
      </c>
      <c r="C25">
        <v>44</v>
      </c>
      <c r="D25">
        <v>66</v>
      </c>
      <c r="E25">
        <v>138</v>
      </c>
      <c r="F25">
        <v>76</v>
      </c>
      <c r="G25">
        <v>32</v>
      </c>
      <c r="H25">
        <v>203.89999999999998</v>
      </c>
      <c r="I25" s="14">
        <v>261.06885773922863</v>
      </c>
      <c r="J25">
        <v>35</v>
      </c>
      <c r="K25">
        <v>24</v>
      </c>
      <c r="L25">
        <v>32</v>
      </c>
      <c r="M25">
        <v>21</v>
      </c>
      <c r="N25" s="143" t="e">
        <v>#DIV/0!</v>
      </c>
      <c r="O25" s="143" t="e">
        <v>#DIV/0!</v>
      </c>
      <c r="P25">
        <v>-16</v>
      </c>
    </row>
    <row r="26" spans="1:16">
      <c r="A26" t="s">
        <v>399</v>
      </c>
      <c r="B26">
        <v>6</v>
      </c>
      <c r="C26">
        <v>182</v>
      </c>
      <c r="D26">
        <v>170</v>
      </c>
      <c r="E26">
        <v>14</v>
      </c>
      <c r="F26">
        <v>33</v>
      </c>
      <c r="G26">
        <v>17</v>
      </c>
      <c r="H26">
        <v>218.1</v>
      </c>
      <c r="I26" s="14">
        <v>269.90855619866687</v>
      </c>
      <c r="J26">
        <v>38</v>
      </c>
      <c r="K26">
        <v>25</v>
      </c>
      <c r="L26">
        <v>34</v>
      </c>
      <c r="M26">
        <v>23</v>
      </c>
      <c r="N26" s="143" t="e">
        <v>#DIV/0!</v>
      </c>
      <c r="O26" s="143" t="e">
        <v>#DIV/0!</v>
      </c>
      <c r="P26">
        <v>-14</v>
      </c>
    </row>
    <row r="27" spans="1:16">
      <c r="A27" t="s">
        <v>58</v>
      </c>
      <c r="B27">
        <v>30</v>
      </c>
      <c r="C27">
        <v>151</v>
      </c>
      <c r="D27">
        <v>25</v>
      </c>
      <c r="E27">
        <v>82</v>
      </c>
      <c r="F27">
        <v>187</v>
      </c>
      <c r="G27">
        <v>55</v>
      </c>
      <c r="H27">
        <v>225.20000000000002</v>
      </c>
      <c r="I27" s="14">
        <v>297.50004378795597</v>
      </c>
      <c r="J27">
        <v>41</v>
      </c>
      <c r="K27">
        <v>26</v>
      </c>
      <c r="L27">
        <v>41</v>
      </c>
      <c r="M27">
        <v>27</v>
      </c>
      <c r="N27" s="143" t="e">
        <v>#DIV/0!</v>
      </c>
      <c r="O27" s="143" t="e">
        <v>#DIV/0!</v>
      </c>
      <c r="P27">
        <v>-1</v>
      </c>
    </row>
    <row r="28" spans="1:16">
      <c r="A28" t="s">
        <v>59</v>
      </c>
      <c r="B28">
        <v>52</v>
      </c>
      <c r="C28">
        <v>209</v>
      </c>
      <c r="D28">
        <v>116</v>
      </c>
      <c r="E28">
        <v>42</v>
      </c>
      <c r="F28">
        <v>16</v>
      </c>
      <c r="G28">
        <v>71</v>
      </c>
      <c r="H28">
        <v>226</v>
      </c>
      <c r="I28" s="14">
        <v>328.62226741001706</v>
      </c>
      <c r="J28">
        <v>42</v>
      </c>
      <c r="K28">
        <v>27</v>
      </c>
      <c r="L28">
        <v>52</v>
      </c>
      <c r="M28">
        <v>34</v>
      </c>
      <c r="N28" s="143" t="e">
        <v>#DIV/0!</v>
      </c>
      <c r="O28" s="143" t="e">
        <v>#DIV/0!</v>
      </c>
      <c r="P28">
        <v>22</v>
      </c>
    </row>
    <row r="29" spans="1:16">
      <c r="A29" t="s">
        <v>389</v>
      </c>
      <c r="B29">
        <v>34</v>
      </c>
      <c r="C29">
        <v>80</v>
      </c>
      <c r="D29">
        <v>43</v>
      </c>
      <c r="E29">
        <v>202</v>
      </c>
      <c r="F29">
        <v>125</v>
      </c>
      <c r="G29">
        <v>88</v>
      </c>
      <c r="H29">
        <v>229.2</v>
      </c>
      <c r="I29" s="14">
        <v>352.18408788021941</v>
      </c>
      <c r="J29">
        <v>43</v>
      </c>
      <c r="K29">
        <v>28</v>
      </c>
      <c r="L29">
        <v>62</v>
      </c>
      <c r="M29">
        <v>39</v>
      </c>
      <c r="N29" s="143" t="e">
        <v>#DIV/0!</v>
      </c>
      <c r="O29" s="143" t="e">
        <v>#DIV/0!</v>
      </c>
      <c r="P29">
        <v>37</v>
      </c>
    </row>
    <row r="30" spans="1:16">
      <c r="A30" t="s">
        <v>140</v>
      </c>
      <c r="B30">
        <v>165</v>
      </c>
      <c r="C30">
        <v>20</v>
      </c>
      <c r="D30">
        <v>136</v>
      </c>
      <c r="E30">
        <v>20</v>
      </c>
      <c r="F30">
        <v>7</v>
      </c>
      <c r="G30">
        <v>32</v>
      </c>
      <c r="H30">
        <v>230.2</v>
      </c>
      <c r="I30" s="14">
        <v>272.41629889195667</v>
      </c>
      <c r="J30">
        <v>44</v>
      </c>
      <c r="K30">
        <v>29</v>
      </c>
      <c r="L30">
        <v>36</v>
      </c>
      <c r="M30">
        <v>24</v>
      </c>
      <c r="N30" s="143" t="e">
        <v>#DIV/0!</v>
      </c>
      <c r="O30" s="143" t="e">
        <v>#DIV/0!</v>
      </c>
      <c r="P30">
        <v>1</v>
      </c>
    </row>
    <row r="31" spans="1:16">
      <c r="A31" t="s">
        <v>143</v>
      </c>
      <c r="B31">
        <v>89</v>
      </c>
      <c r="C31">
        <v>35</v>
      </c>
      <c r="D31">
        <v>103</v>
      </c>
      <c r="E31">
        <v>164</v>
      </c>
      <c r="F31">
        <v>37</v>
      </c>
      <c r="G31">
        <v>75</v>
      </c>
      <c r="H31">
        <v>232.5</v>
      </c>
      <c r="I31" s="14">
        <v>340.65416430974489</v>
      </c>
      <c r="J31">
        <v>45</v>
      </c>
      <c r="K31">
        <v>30</v>
      </c>
      <c r="L31">
        <v>58</v>
      </c>
      <c r="M31">
        <v>37</v>
      </c>
      <c r="N31" s="143" t="e">
        <v>#DIV/0!</v>
      </c>
      <c r="O31" s="143" t="e">
        <v>#DIV/0!</v>
      </c>
      <c r="P31">
        <v>-5</v>
      </c>
    </row>
    <row r="32" spans="1:16">
      <c r="A32" t="s">
        <v>17</v>
      </c>
      <c r="B32">
        <v>14</v>
      </c>
      <c r="C32">
        <v>169</v>
      </c>
      <c r="D32">
        <v>94</v>
      </c>
      <c r="E32">
        <v>150</v>
      </c>
      <c r="F32">
        <v>59</v>
      </c>
      <c r="G32">
        <v>87</v>
      </c>
      <c r="H32">
        <v>232.7</v>
      </c>
      <c r="I32" s="14">
        <v>363.23715231410449</v>
      </c>
      <c r="J32">
        <v>46</v>
      </c>
      <c r="K32">
        <v>31</v>
      </c>
      <c r="L32">
        <v>68</v>
      </c>
      <c r="M32">
        <v>44</v>
      </c>
      <c r="N32" s="143" t="e">
        <v>#DIV/0!</v>
      </c>
      <c r="O32" s="143" t="e">
        <v>#DIV/0!</v>
      </c>
      <c r="P32">
        <v>3</v>
      </c>
    </row>
    <row r="33" spans="1:16">
      <c r="A33" t="s">
        <v>242</v>
      </c>
      <c r="B33">
        <v>144</v>
      </c>
      <c r="C33">
        <v>2</v>
      </c>
      <c r="D33">
        <v>127</v>
      </c>
      <c r="E33">
        <v>101</v>
      </c>
      <c r="F33">
        <v>6</v>
      </c>
      <c r="G33">
        <v>53</v>
      </c>
      <c r="H33">
        <v>233.9</v>
      </c>
      <c r="I33" s="14">
        <v>308.56381425352095</v>
      </c>
      <c r="J33">
        <v>47</v>
      </c>
      <c r="K33">
        <v>32</v>
      </c>
      <c r="L33">
        <v>46</v>
      </c>
      <c r="M33">
        <v>31</v>
      </c>
      <c r="N33" s="143" t="e">
        <v>#DIV/0!</v>
      </c>
      <c r="O33" s="143" t="e">
        <v>#DIV/0!</v>
      </c>
      <c r="P33">
        <v>-5</v>
      </c>
    </row>
    <row r="34" spans="1:16">
      <c r="A34" t="s">
        <v>396</v>
      </c>
      <c r="B34">
        <v>43</v>
      </c>
      <c r="C34">
        <v>132</v>
      </c>
      <c r="D34">
        <v>39</v>
      </c>
      <c r="E34">
        <v>212</v>
      </c>
      <c r="F34">
        <v>79</v>
      </c>
      <c r="G34">
        <v>106</v>
      </c>
      <c r="H34">
        <v>234.5</v>
      </c>
      <c r="I34" s="14">
        <v>381.23246604020761</v>
      </c>
      <c r="J34">
        <v>48</v>
      </c>
      <c r="K34">
        <v>33</v>
      </c>
      <c r="L34">
        <v>79</v>
      </c>
      <c r="M34">
        <v>49</v>
      </c>
      <c r="N34" s="143" t="e">
        <v>#DIV/0!</v>
      </c>
      <c r="O34" s="143" t="e">
        <v>#DIV/0!</v>
      </c>
      <c r="P34">
        <v>-6</v>
      </c>
    </row>
    <row r="35" spans="1:16">
      <c r="A35" t="s">
        <v>404</v>
      </c>
      <c r="B35">
        <v>37</v>
      </c>
      <c r="C35">
        <v>174</v>
      </c>
      <c r="D35">
        <v>115</v>
      </c>
      <c r="E35">
        <v>4</v>
      </c>
      <c r="F35">
        <v>120</v>
      </c>
      <c r="G35">
        <v>41</v>
      </c>
      <c r="H35">
        <v>237.6</v>
      </c>
      <c r="I35" s="14">
        <v>299.00948611280836</v>
      </c>
      <c r="J35">
        <v>50</v>
      </c>
      <c r="K35">
        <v>34</v>
      </c>
      <c r="L35">
        <v>42</v>
      </c>
      <c r="M35">
        <v>28</v>
      </c>
      <c r="N35" s="143" t="e">
        <v>#DIV/0!</v>
      </c>
      <c r="O35" s="143" t="e">
        <v>#DIV/0!</v>
      </c>
      <c r="P35">
        <v>-9</v>
      </c>
    </row>
    <row r="36" spans="1:16">
      <c r="A36" t="s">
        <v>231</v>
      </c>
      <c r="B36">
        <v>73</v>
      </c>
      <c r="C36">
        <v>137</v>
      </c>
      <c r="D36">
        <v>77</v>
      </c>
      <c r="E36">
        <v>87</v>
      </c>
      <c r="F36">
        <v>90</v>
      </c>
      <c r="G36">
        <v>48</v>
      </c>
      <c r="H36">
        <v>239.60000000000002</v>
      </c>
      <c r="I36" s="14">
        <v>311.9464654083792</v>
      </c>
      <c r="J36">
        <v>52</v>
      </c>
      <c r="K36">
        <v>35</v>
      </c>
      <c r="L36">
        <v>47</v>
      </c>
      <c r="M36">
        <v>32</v>
      </c>
      <c r="N36" s="143" t="e">
        <v>#DIV/0!</v>
      </c>
      <c r="O36" s="143" t="e">
        <v>#DIV/0!</v>
      </c>
      <c r="P36">
        <v>-38</v>
      </c>
    </row>
    <row r="37" spans="1:16">
      <c r="A37" t="s">
        <v>60</v>
      </c>
      <c r="B37">
        <v>86</v>
      </c>
      <c r="C37">
        <v>12</v>
      </c>
      <c r="D37">
        <v>76</v>
      </c>
      <c r="E37">
        <v>136</v>
      </c>
      <c r="F37">
        <v>135</v>
      </c>
      <c r="G37">
        <v>39</v>
      </c>
      <c r="H37">
        <v>240.1</v>
      </c>
      <c r="I37" s="14">
        <v>299.51530195821454</v>
      </c>
      <c r="J37">
        <v>53</v>
      </c>
      <c r="K37">
        <v>36</v>
      </c>
      <c r="L37">
        <v>43</v>
      </c>
      <c r="M37">
        <v>29</v>
      </c>
      <c r="N37" s="143" t="e">
        <v>#DIV/0!</v>
      </c>
      <c r="O37" s="143" t="e">
        <v>#DIV/0!</v>
      </c>
      <c r="P37">
        <v>-28</v>
      </c>
    </row>
    <row r="38" spans="1:16">
      <c r="A38" t="s">
        <v>183</v>
      </c>
      <c r="B38">
        <v>192</v>
      </c>
      <c r="C38">
        <v>97</v>
      </c>
      <c r="D38">
        <v>29</v>
      </c>
      <c r="E38">
        <v>71</v>
      </c>
      <c r="F38">
        <v>54</v>
      </c>
      <c r="G38">
        <v>51</v>
      </c>
      <c r="H38">
        <v>248.9</v>
      </c>
      <c r="I38" s="14">
        <v>306.14210140678028</v>
      </c>
      <c r="J38">
        <v>57</v>
      </c>
      <c r="K38">
        <v>37</v>
      </c>
      <c r="L38">
        <v>45</v>
      </c>
      <c r="M38">
        <v>30</v>
      </c>
      <c r="N38" s="143" t="e">
        <v>#DIV/0!</v>
      </c>
      <c r="O38" s="143" t="e">
        <v>#DIV/0!</v>
      </c>
      <c r="P38">
        <v>16</v>
      </c>
    </row>
    <row r="39" spans="1:16">
      <c r="A39" t="s">
        <v>44</v>
      </c>
      <c r="B39">
        <v>10</v>
      </c>
      <c r="C39">
        <v>154</v>
      </c>
      <c r="D39">
        <v>127</v>
      </c>
      <c r="E39">
        <v>18</v>
      </c>
      <c r="F39">
        <v>175</v>
      </c>
      <c r="G39">
        <v>113</v>
      </c>
      <c r="H39">
        <v>252.2</v>
      </c>
      <c r="I39" s="14">
        <v>387.675326584115</v>
      </c>
      <c r="J39">
        <v>59</v>
      </c>
      <c r="K39">
        <v>38</v>
      </c>
      <c r="L39">
        <v>81</v>
      </c>
      <c r="M39">
        <v>50</v>
      </c>
      <c r="N39" s="143" t="e">
        <v>#DIV/0!</v>
      </c>
      <c r="O39" s="143" t="e">
        <v>#DIV/0!</v>
      </c>
      <c r="P39">
        <v>-91</v>
      </c>
    </row>
    <row r="40" spans="1:16">
      <c r="A40" t="s">
        <v>38</v>
      </c>
      <c r="B40">
        <v>50</v>
      </c>
      <c r="C40">
        <v>206</v>
      </c>
      <c r="D40">
        <v>120</v>
      </c>
      <c r="E40">
        <v>45</v>
      </c>
      <c r="F40">
        <v>82</v>
      </c>
      <c r="G40">
        <v>76</v>
      </c>
      <c r="H40">
        <v>260.39999999999998</v>
      </c>
      <c r="I40" s="14">
        <v>366.4708692281996</v>
      </c>
      <c r="J40">
        <v>66</v>
      </c>
      <c r="K40">
        <v>39</v>
      </c>
      <c r="L40">
        <v>71</v>
      </c>
      <c r="M40">
        <v>45</v>
      </c>
      <c r="N40" s="143" t="e">
        <v>#DIV/0!</v>
      </c>
      <c r="O40" s="143" t="e">
        <v>#DIV/0!</v>
      </c>
      <c r="P40">
        <v>-30</v>
      </c>
    </row>
    <row r="41" spans="1:16">
      <c r="A41" t="s">
        <v>188</v>
      </c>
      <c r="B41">
        <v>210</v>
      </c>
      <c r="C41">
        <v>10</v>
      </c>
      <c r="D41">
        <v>114</v>
      </c>
      <c r="E41">
        <v>73</v>
      </c>
      <c r="F41">
        <v>3</v>
      </c>
      <c r="G41">
        <v>42</v>
      </c>
      <c r="H41">
        <v>261.5</v>
      </c>
      <c r="I41" s="14">
        <v>315.41050533472344</v>
      </c>
      <c r="J41">
        <v>67</v>
      </c>
      <c r="K41">
        <v>40</v>
      </c>
      <c r="L41">
        <v>49</v>
      </c>
      <c r="M41">
        <v>33</v>
      </c>
      <c r="N41" s="143" t="e">
        <v>#DIV/0!</v>
      </c>
      <c r="O41" s="143" t="e">
        <v>#DIV/0!</v>
      </c>
      <c r="P41">
        <v>35</v>
      </c>
    </row>
    <row r="42" spans="1:16">
      <c r="A42" t="s">
        <v>156</v>
      </c>
      <c r="B42">
        <v>145</v>
      </c>
      <c r="C42">
        <v>62</v>
      </c>
      <c r="D42">
        <v>19</v>
      </c>
      <c r="E42">
        <v>188</v>
      </c>
      <c r="F42">
        <v>95</v>
      </c>
      <c r="G42">
        <v>46</v>
      </c>
      <c r="H42">
        <v>262.3</v>
      </c>
      <c r="I42" s="14">
        <v>330.39191075454158</v>
      </c>
      <c r="J42">
        <v>70</v>
      </c>
      <c r="K42">
        <v>41</v>
      </c>
      <c r="L42">
        <v>53</v>
      </c>
      <c r="M42">
        <v>35</v>
      </c>
      <c r="N42" s="143" t="e">
        <v>#DIV/0!</v>
      </c>
      <c r="O42" s="143" t="e">
        <v>#DIV/0!</v>
      </c>
      <c r="P42">
        <v>-17</v>
      </c>
    </row>
    <row r="43" spans="1:16">
      <c r="A43" t="s">
        <v>49</v>
      </c>
      <c r="B43">
        <v>83</v>
      </c>
      <c r="C43">
        <v>47</v>
      </c>
      <c r="D43">
        <v>181</v>
      </c>
      <c r="E43">
        <v>56</v>
      </c>
      <c r="F43">
        <v>73</v>
      </c>
      <c r="G43">
        <v>50</v>
      </c>
      <c r="H43">
        <v>262.5</v>
      </c>
      <c r="I43" s="14">
        <v>338.95739238470031</v>
      </c>
      <c r="J43">
        <v>71.5</v>
      </c>
      <c r="K43">
        <v>42</v>
      </c>
      <c r="L43">
        <v>56</v>
      </c>
      <c r="M43">
        <v>36</v>
      </c>
      <c r="N43" s="143" t="e">
        <v>#DIV/0!</v>
      </c>
      <c r="O43" s="143" t="e">
        <v>#DIV/0!</v>
      </c>
      <c r="P43">
        <v>-13</v>
      </c>
    </row>
    <row r="44" spans="1:16">
      <c r="A44" t="s">
        <v>145</v>
      </c>
      <c r="B44">
        <v>119</v>
      </c>
      <c r="C44">
        <v>9</v>
      </c>
      <c r="D44">
        <v>22</v>
      </c>
      <c r="E44">
        <v>161</v>
      </c>
      <c r="F44">
        <v>194</v>
      </c>
      <c r="G44">
        <v>137</v>
      </c>
      <c r="H44">
        <v>263.7</v>
      </c>
      <c r="I44" s="14">
        <v>413.44335040266014</v>
      </c>
      <c r="J44">
        <v>73</v>
      </c>
      <c r="K44">
        <v>43</v>
      </c>
      <c r="L44">
        <v>94</v>
      </c>
      <c r="M44">
        <v>59</v>
      </c>
      <c r="N44" s="143" t="e">
        <v>#DIV/0!</v>
      </c>
      <c r="O44" s="143" t="e">
        <v>#DIV/0!</v>
      </c>
      <c r="P44">
        <v>3</v>
      </c>
    </row>
    <row r="45" spans="1:16">
      <c r="A45" t="s">
        <v>92</v>
      </c>
      <c r="B45">
        <v>76</v>
      </c>
      <c r="C45">
        <v>67</v>
      </c>
      <c r="D45">
        <v>140</v>
      </c>
      <c r="E45">
        <v>94</v>
      </c>
      <c r="F45">
        <v>97</v>
      </c>
      <c r="G45">
        <v>70</v>
      </c>
      <c r="H45">
        <v>264.10000000000002</v>
      </c>
      <c r="I45" s="14">
        <v>362.15060051233507</v>
      </c>
      <c r="J45">
        <v>74</v>
      </c>
      <c r="K45">
        <v>44</v>
      </c>
      <c r="L45">
        <v>67</v>
      </c>
      <c r="M45">
        <v>43</v>
      </c>
      <c r="N45" s="143" t="e">
        <v>#DIV/0!</v>
      </c>
      <c r="O45" s="143" t="e">
        <v>#DIV/0!</v>
      </c>
      <c r="P45">
        <v>34</v>
      </c>
    </row>
    <row r="46" spans="1:16">
      <c r="A46" t="s">
        <v>112</v>
      </c>
      <c r="B46">
        <v>160</v>
      </c>
      <c r="C46">
        <v>54</v>
      </c>
      <c r="D46">
        <v>120</v>
      </c>
      <c r="E46">
        <v>59</v>
      </c>
      <c r="F46">
        <v>51</v>
      </c>
      <c r="G46">
        <v>74</v>
      </c>
      <c r="H46">
        <v>266.7</v>
      </c>
      <c r="I46" s="14">
        <v>355.93680824814646</v>
      </c>
      <c r="J46">
        <v>76</v>
      </c>
      <c r="K46">
        <v>45</v>
      </c>
      <c r="L46">
        <v>64</v>
      </c>
      <c r="M46">
        <v>40</v>
      </c>
      <c r="N46" s="143" t="e">
        <v>#DIV/0!</v>
      </c>
      <c r="O46" s="143" t="e">
        <v>#DIV/0!</v>
      </c>
      <c r="P46">
        <v>49</v>
      </c>
    </row>
    <row r="47" spans="1:16">
      <c r="A47" t="s">
        <v>138</v>
      </c>
      <c r="B47">
        <v>51</v>
      </c>
      <c r="C47">
        <v>167</v>
      </c>
      <c r="D47">
        <v>78</v>
      </c>
      <c r="E47">
        <v>181</v>
      </c>
      <c r="F47">
        <v>75</v>
      </c>
      <c r="G47">
        <v>100</v>
      </c>
      <c r="H47">
        <v>267</v>
      </c>
      <c r="I47" s="14">
        <v>409.99358214503934</v>
      </c>
      <c r="J47">
        <v>77</v>
      </c>
      <c r="K47">
        <v>46</v>
      </c>
      <c r="L47">
        <v>91</v>
      </c>
      <c r="M47">
        <v>57</v>
      </c>
      <c r="N47" s="143" t="e">
        <v>#DIV/0!</v>
      </c>
      <c r="O47" s="143" t="e">
        <v>#DIV/0!</v>
      </c>
      <c r="P47">
        <v>-66</v>
      </c>
    </row>
    <row r="48" spans="1:16">
      <c r="A48" t="s">
        <v>55</v>
      </c>
      <c r="B48">
        <v>75</v>
      </c>
      <c r="C48">
        <v>52</v>
      </c>
      <c r="D48">
        <v>88</v>
      </c>
      <c r="E48">
        <v>183</v>
      </c>
      <c r="F48">
        <v>119</v>
      </c>
      <c r="G48">
        <v>127</v>
      </c>
      <c r="H48">
        <v>267.59999999999997</v>
      </c>
      <c r="I48" s="14">
        <v>427.86126348524522</v>
      </c>
      <c r="J48">
        <v>78</v>
      </c>
      <c r="K48">
        <v>47</v>
      </c>
      <c r="L48">
        <v>104</v>
      </c>
      <c r="M48">
        <v>64</v>
      </c>
      <c r="N48" s="143" t="e">
        <v>#DIV/0!</v>
      </c>
      <c r="O48" s="143" t="e">
        <v>#DIV/0!</v>
      </c>
      <c r="P48">
        <v>-54</v>
      </c>
    </row>
    <row r="49" spans="1:16">
      <c r="A49" t="s">
        <v>397</v>
      </c>
      <c r="B49">
        <v>79</v>
      </c>
      <c r="C49">
        <v>98</v>
      </c>
      <c r="D49">
        <v>175</v>
      </c>
      <c r="E49">
        <v>5</v>
      </c>
      <c r="F49">
        <v>98</v>
      </c>
      <c r="G49">
        <v>56</v>
      </c>
      <c r="H49">
        <v>268</v>
      </c>
      <c r="I49" s="14">
        <v>344.8141670989848</v>
      </c>
      <c r="J49">
        <v>79</v>
      </c>
      <c r="K49">
        <v>48</v>
      </c>
      <c r="L49">
        <v>59</v>
      </c>
      <c r="M49">
        <v>38</v>
      </c>
      <c r="N49" s="143" t="e">
        <v>#DIV/0!</v>
      </c>
      <c r="O49" s="143" t="e">
        <v>#DIV/0!</v>
      </c>
      <c r="P49">
        <v>-9</v>
      </c>
    </row>
    <row r="50" spans="1:16">
      <c r="A50" t="s">
        <v>386</v>
      </c>
      <c r="B50">
        <v>175</v>
      </c>
      <c r="C50">
        <v>17</v>
      </c>
      <c r="D50">
        <v>61</v>
      </c>
      <c r="E50">
        <v>84</v>
      </c>
      <c r="F50">
        <v>134</v>
      </c>
      <c r="G50">
        <v>125</v>
      </c>
      <c r="H50">
        <v>272.59999999999997</v>
      </c>
      <c r="I50" s="14">
        <v>402.48955090251582</v>
      </c>
      <c r="J50">
        <v>80</v>
      </c>
      <c r="K50">
        <v>49</v>
      </c>
      <c r="L50">
        <v>85</v>
      </c>
      <c r="M50">
        <v>53</v>
      </c>
      <c r="N50" s="143" t="e">
        <v>#DIV/0!</v>
      </c>
      <c r="O50" s="143" t="e">
        <v>#DIV/0!</v>
      </c>
      <c r="P50">
        <v>-28</v>
      </c>
    </row>
    <row r="51" spans="1:16">
      <c r="A51" t="s">
        <v>173</v>
      </c>
      <c r="B51">
        <v>178</v>
      </c>
      <c r="C51">
        <v>125</v>
      </c>
      <c r="D51">
        <v>100</v>
      </c>
      <c r="E51">
        <v>15</v>
      </c>
      <c r="F51">
        <v>44</v>
      </c>
      <c r="G51">
        <v>84</v>
      </c>
      <c r="H51">
        <v>272.60000000000002</v>
      </c>
      <c r="I51" s="14">
        <v>366.57278717097586</v>
      </c>
      <c r="J51">
        <v>81</v>
      </c>
      <c r="K51">
        <v>50</v>
      </c>
      <c r="L51">
        <v>72</v>
      </c>
      <c r="M51">
        <v>46</v>
      </c>
      <c r="N51" s="143" t="e">
        <v>#DIV/0!</v>
      </c>
      <c r="O51" s="143" t="e">
        <v>#DIV/0!</v>
      </c>
      <c r="P51">
        <v>19</v>
      </c>
    </row>
    <row r="52" spans="1:16">
      <c r="A52" t="s">
        <v>123</v>
      </c>
      <c r="B52">
        <v>109</v>
      </c>
      <c r="C52">
        <v>13</v>
      </c>
      <c r="D52">
        <v>172</v>
      </c>
      <c r="E52">
        <v>49</v>
      </c>
      <c r="F52">
        <v>110</v>
      </c>
      <c r="G52">
        <v>114</v>
      </c>
      <c r="H52">
        <v>276.5</v>
      </c>
      <c r="I52" s="14">
        <v>409.22686319349469</v>
      </c>
      <c r="J52">
        <v>84</v>
      </c>
      <c r="K52">
        <v>51</v>
      </c>
      <c r="L52">
        <v>90</v>
      </c>
      <c r="M52">
        <v>56</v>
      </c>
      <c r="N52" s="143" t="e">
        <v>#DIV/0!</v>
      </c>
      <c r="O52" s="143" t="e">
        <v>#DIV/0!</v>
      </c>
      <c r="P52">
        <v>20</v>
      </c>
    </row>
    <row r="53" spans="1:16">
      <c r="A53" t="s">
        <v>152</v>
      </c>
      <c r="B53">
        <v>147</v>
      </c>
      <c r="C53">
        <v>23</v>
      </c>
      <c r="D53">
        <v>44</v>
      </c>
      <c r="E53">
        <v>141</v>
      </c>
      <c r="F53">
        <v>159</v>
      </c>
      <c r="G53">
        <v>65</v>
      </c>
      <c r="H53">
        <v>278.79999999999995</v>
      </c>
      <c r="I53" s="14">
        <v>356.64603099657899</v>
      </c>
      <c r="J53">
        <v>86</v>
      </c>
      <c r="K53">
        <v>52</v>
      </c>
      <c r="L53">
        <v>65</v>
      </c>
      <c r="M53">
        <v>41</v>
      </c>
      <c r="N53" s="143" t="e">
        <v>#DIV/0!</v>
      </c>
      <c r="O53" s="143" t="e">
        <v>#DIV/0!</v>
      </c>
      <c r="P53">
        <v>11</v>
      </c>
    </row>
    <row r="54" spans="1:16">
      <c r="A54" t="s">
        <v>390</v>
      </c>
      <c r="B54">
        <v>158</v>
      </c>
      <c r="C54">
        <v>46</v>
      </c>
      <c r="D54">
        <v>129</v>
      </c>
      <c r="E54">
        <v>57</v>
      </c>
      <c r="F54">
        <v>78</v>
      </c>
      <c r="G54">
        <v>140</v>
      </c>
      <c r="H54">
        <v>281.10000000000002</v>
      </c>
      <c r="I54" s="14">
        <v>435.74993502590684</v>
      </c>
      <c r="J54">
        <v>87</v>
      </c>
      <c r="K54">
        <v>53</v>
      </c>
      <c r="L54">
        <v>111</v>
      </c>
      <c r="M54">
        <v>67</v>
      </c>
      <c r="N54" s="143" t="e">
        <v>#DIV/0!</v>
      </c>
      <c r="O54" s="143" t="e">
        <v>#DIV/0!</v>
      </c>
      <c r="P54">
        <v>10</v>
      </c>
    </row>
    <row r="55" spans="1:16">
      <c r="A55" t="s">
        <v>32</v>
      </c>
      <c r="B55">
        <v>81</v>
      </c>
      <c r="C55">
        <v>177</v>
      </c>
      <c r="D55">
        <v>60</v>
      </c>
      <c r="E55">
        <v>105</v>
      </c>
      <c r="F55">
        <v>142</v>
      </c>
      <c r="G55">
        <v>69</v>
      </c>
      <c r="H55">
        <v>282.5</v>
      </c>
      <c r="I55" s="14">
        <v>376.76826805116571</v>
      </c>
      <c r="J55">
        <v>88</v>
      </c>
      <c r="K55">
        <v>54</v>
      </c>
      <c r="L55">
        <v>76</v>
      </c>
      <c r="M55">
        <v>48</v>
      </c>
      <c r="N55" s="143" t="e">
        <v>#DIV/0!</v>
      </c>
      <c r="O55" s="143" t="e">
        <v>#DIV/0!</v>
      </c>
      <c r="P55">
        <v>104</v>
      </c>
    </row>
    <row r="56" spans="1:16">
      <c r="A56" t="s">
        <v>401</v>
      </c>
      <c r="B56">
        <v>29</v>
      </c>
      <c r="C56">
        <v>153</v>
      </c>
      <c r="D56">
        <v>137</v>
      </c>
      <c r="E56">
        <v>185</v>
      </c>
      <c r="F56">
        <v>64</v>
      </c>
      <c r="G56">
        <v>85</v>
      </c>
      <c r="H56">
        <v>283.39999999999998</v>
      </c>
      <c r="I56" s="14">
        <v>420.41730576776592</v>
      </c>
      <c r="J56">
        <v>89</v>
      </c>
      <c r="K56">
        <v>55</v>
      </c>
      <c r="L56">
        <v>101</v>
      </c>
      <c r="M56">
        <v>62</v>
      </c>
      <c r="N56" s="143" t="e">
        <v>#DIV/0!</v>
      </c>
      <c r="O56" s="143" t="e">
        <v>#DIV/0!</v>
      </c>
      <c r="P56">
        <v>14</v>
      </c>
    </row>
    <row r="57" spans="1:16">
      <c r="A57" t="s">
        <v>391</v>
      </c>
      <c r="B57">
        <v>179</v>
      </c>
      <c r="C57">
        <v>162</v>
      </c>
      <c r="D57">
        <v>37</v>
      </c>
      <c r="E57">
        <v>24</v>
      </c>
      <c r="F57">
        <v>116</v>
      </c>
      <c r="G57">
        <v>72</v>
      </c>
      <c r="H57">
        <v>283.60000000000002</v>
      </c>
      <c r="I57" s="14">
        <v>358.80865529124731</v>
      </c>
      <c r="J57">
        <v>90</v>
      </c>
      <c r="K57">
        <v>56</v>
      </c>
      <c r="L57">
        <v>66</v>
      </c>
      <c r="M57">
        <v>42</v>
      </c>
      <c r="N57" s="143" t="e">
        <v>#DIV/0!</v>
      </c>
      <c r="O57" s="143" t="e">
        <v>#DIV/0!</v>
      </c>
      <c r="P57">
        <v>134</v>
      </c>
    </row>
    <row r="58" spans="1:16">
      <c r="A58" t="s">
        <v>41</v>
      </c>
      <c r="B58">
        <v>20</v>
      </c>
      <c r="C58">
        <v>195</v>
      </c>
      <c r="D58">
        <v>201</v>
      </c>
      <c r="E58">
        <v>100</v>
      </c>
      <c r="F58">
        <v>25</v>
      </c>
      <c r="G58">
        <v>130</v>
      </c>
      <c r="H58">
        <v>285.2</v>
      </c>
      <c r="I58" s="14">
        <v>467.33951756447146</v>
      </c>
      <c r="J58">
        <v>91</v>
      </c>
      <c r="K58">
        <v>57</v>
      </c>
      <c r="L58">
        <v>125</v>
      </c>
      <c r="M58">
        <v>75</v>
      </c>
      <c r="N58" s="143" t="e">
        <v>#DIV/0!</v>
      </c>
      <c r="O58" s="143" t="e">
        <v>#DIV/0!</v>
      </c>
      <c r="P58">
        <v>11</v>
      </c>
    </row>
    <row r="59" spans="1:16">
      <c r="A59" t="s">
        <v>79</v>
      </c>
      <c r="B59">
        <v>63</v>
      </c>
      <c r="C59">
        <v>84</v>
      </c>
      <c r="D59">
        <v>131</v>
      </c>
      <c r="E59">
        <v>121</v>
      </c>
      <c r="F59">
        <v>137</v>
      </c>
      <c r="G59">
        <v>115</v>
      </c>
      <c r="H59">
        <v>286.29999999999995</v>
      </c>
      <c r="I59" s="14">
        <v>432.92891758817626</v>
      </c>
      <c r="J59">
        <v>93</v>
      </c>
      <c r="K59">
        <v>58</v>
      </c>
      <c r="L59">
        <v>110</v>
      </c>
      <c r="M59">
        <v>66</v>
      </c>
      <c r="N59" s="143" t="e">
        <v>#DIV/0!</v>
      </c>
      <c r="O59" s="143" t="e">
        <v>#DIV/0!</v>
      </c>
      <c r="P59">
        <v>-31</v>
      </c>
    </row>
    <row r="60" spans="1:16">
      <c r="A60" t="s">
        <v>91</v>
      </c>
      <c r="B60">
        <v>70</v>
      </c>
      <c r="C60">
        <v>180</v>
      </c>
      <c r="D60">
        <v>48</v>
      </c>
      <c r="E60">
        <v>157</v>
      </c>
      <c r="F60">
        <v>138</v>
      </c>
      <c r="G60">
        <v>97</v>
      </c>
      <c r="H60">
        <v>286.39999999999998</v>
      </c>
      <c r="I60" s="14">
        <v>416.20119484756492</v>
      </c>
      <c r="J60">
        <v>94</v>
      </c>
      <c r="K60">
        <v>59</v>
      </c>
      <c r="L60">
        <v>98</v>
      </c>
      <c r="M60">
        <v>61</v>
      </c>
      <c r="N60" s="143" t="e">
        <v>#DIV/0!</v>
      </c>
      <c r="O60" s="143" t="e">
        <v>#DIV/0!</v>
      </c>
      <c r="P60">
        <v>80</v>
      </c>
    </row>
    <row r="61" spans="1:16">
      <c r="A61" t="s">
        <v>101</v>
      </c>
      <c r="B61">
        <v>109</v>
      </c>
      <c r="C61">
        <v>65</v>
      </c>
      <c r="D61">
        <v>113</v>
      </c>
      <c r="E61">
        <v>42</v>
      </c>
      <c r="F61">
        <v>180</v>
      </c>
      <c r="G61">
        <v>109</v>
      </c>
      <c r="H61">
        <v>288.2</v>
      </c>
      <c r="I61" s="14">
        <v>408.41584254114457</v>
      </c>
      <c r="J61">
        <v>95</v>
      </c>
      <c r="K61">
        <v>60</v>
      </c>
      <c r="L61">
        <v>89</v>
      </c>
      <c r="M61">
        <v>55</v>
      </c>
      <c r="N61" s="143" t="e">
        <v>#DIV/0!</v>
      </c>
      <c r="O61" s="143" t="e">
        <v>#DIV/0!</v>
      </c>
      <c r="P61">
        <v>57</v>
      </c>
    </row>
    <row r="62" spans="1:16">
      <c r="A62" t="s">
        <v>128</v>
      </c>
      <c r="B62">
        <v>52</v>
      </c>
      <c r="C62">
        <v>67</v>
      </c>
      <c r="D62">
        <v>139</v>
      </c>
      <c r="E62">
        <v>112</v>
      </c>
      <c r="F62">
        <v>170</v>
      </c>
      <c r="G62">
        <v>93</v>
      </c>
      <c r="H62">
        <v>290.3</v>
      </c>
      <c r="I62" s="14">
        <v>412.90642421024205</v>
      </c>
      <c r="J62">
        <v>98</v>
      </c>
      <c r="K62">
        <v>61</v>
      </c>
      <c r="L62">
        <v>93</v>
      </c>
      <c r="M62">
        <v>58</v>
      </c>
      <c r="N62" s="143" t="e">
        <v>#DIV/0!</v>
      </c>
      <c r="O62" s="143" t="e">
        <v>#DIV/0!</v>
      </c>
      <c r="P62">
        <v>49</v>
      </c>
    </row>
    <row r="63" spans="1:16">
      <c r="A63" t="s">
        <v>110</v>
      </c>
      <c r="B63">
        <v>79</v>
      </c>
      <c r="C63">
        <v>119</v>
      </c>
      <c r="D63">
        <v>107</v>
      </c>
      <c r="E63">
        <v>169</v>
      </c>
      <c r="F63">
        <v>92</v>
      </c>
      <c r="G63">
        <v>172</v>
      </c>
      <c r="H63">
        <v>291.40000000000003</v>
      </c>
      <c r="I63" s="14">
        <v>502.34545610606483</v>
      </c>
      <c r="J63">
        <v>102</v>
      </c>
      <c r="K63">
        <v>62</v>
      </c>
      <c r="L63">
        <v>139</v>
      </c>
      <c r="M63">
        <v>80</v>
      </c>
      <c r="N63" s="143" t="e">
        <v>#DIV/0!</v>
      </c>
      <c r="O63" s="143" t="e">
        <v>#DIV/0!</v>
      </c>
      <c r="P63">
        <v>47</v>
      </c>
    </row>
    <row r="64" spans="1:16">
      <c r="A64" t="s">
        <v>408</v>
      </c>
      <c r="B64">
        <v>44</v>
      </c>
      <c r="C64">
        <v>138</v>
      </c>
      <c r="D64">
        <v>161</v>
      </c>
      <c r="E64">
        <v>104</v>
      </c>
      <c r="F64">
        <v>104</v>
      </c>
      <c r="G64">
        <v>58</v>
      </c>
      <c r="H64">
        <v>292.29999999999995</v>
      </c>
      <c r="I64" s="14">
        <v>389.42944327790872</v>
      </c>
      <c r="J64">
        <v>103</v>
      </c>
      <c r="K64">
        <v>63</v>
      </c>
      <c r="L64">
        <v>82</v>
      </c>
      <c r="M64">
        <v>51</v>
      </c>
      <c r="N64" s="143" t="e">
        <v>#DIV/0!</v>
      </c>
      <c r="O64" s="143" t="e">
        <v>#DIV/0!</v>
      </c>
      <c r="P64">
        <v>7</v>
      </c>
    </row>
    <row r="65" spans="1:16">
      <c r="A65" t="s">
        <v>165</v>
      </c>
      <c r="B65">
        <v>198</v>
      </c>
      <c r="C65">
        <v>45</v>
      </c>
      <c r="D65">
        <v>69</v>
      </c>
      <c r="E65">
        <v>158</v>
      </c>
      <c r="F65">
        <v>53</v>
      </c>
      <c r="G65">
        <v>52</v>
      </c>
      <c r="H65">
        <v>294.59999999999997</v>
      </c>
      <c r="I65" s="14">
        <v>367.20726790023843</v>
      </c>
      <c r="J65">
        <v>105</v>
      </c>
      <c r="K65">
        <v>64</v>
      </c>
      <c r="L65">
        <v>73</v>
      </c>
      <c r="M65">
        <v>47</v>
      </c>
      <c r="N65" s="143" t="e">
        <v>#DIV/0!</v>
      </c>
      <c r="O65" s="143" t="e">
        <v>#DIV/0!</v>
      </c>
      <c r="P65">
        <v>12</v>
      </c>
    </row>
    <row r="66" spans="1:16">
      <c r="A66" t="s">
        <v>33</v>
      </c>
      <c r="B66">
        <v>15</v>
      </c>
      <c r="C66">
        <v>158</v>
      </c>
      <c r="D66">
        <v>149</v>
      </c>
      <c r="E66">
        <v>128</v>
      </c>
      <c r="F66">
        <v>133</v>
      </c>
      <c r="G66">
        <v>128</v>
      </c>
      <c r="H66">
        <v>295.7</v>
      </c>
      <c r="I66" s="14">
        <v>467.27526381477753</v>
      </c>
      <c r="J66">
        <v>106</v>
      </c>
      <c r="K66">
        <v>65</v>
      </c>
      <c r="L66">
        <v>124</v>
      </c>
      <c r="M66">
        <v>74</v>
      </c>
      <c r="N66" s="143" t="e">
        <v>#DIV/0!</v>
      </c>
      <c r="O66" s="143" t="e">
        <v>#DIV/0!</v>
      </c>
      <c r="P66">
        <v>10</v>
      </c>
    </row>
    <row r="67" spans="1:16">
      <c r="A67" t="s">
        <v>24</v>
      </c>
      <c r="B67">
        <v>12</v>
      </c>
      <c r="C67">
        <v>172</v>
      </c>
      <c r="D67">
        <v>152</v>
      </c>
      <c r="E67">
        <v>143</v>
      </c>
      <c r="F67">
        <v>111</v>
      </c>
      <c r="G67">
        <v>81</v>
      </c>
      <c r="H67">
        <v>296.29999999999995</v>
      </c>
      <c r="I67" s="14">
        <v>425.54683164280124</v>
      </c>
      <c r="J67">
        <v>107</v>
      </c>
      <c r="K67">
        <v>66</v>
      </c>
      <c r="L67">
        <v>103</v>
      </c>
      <c r="M67">
        <v>63</v>
      </c>
      <c r="N67" s="143" t="e">
        <v>#DIV/0!</v>
      </c>
      <c r="O67" s="143" t="e">
        <v>#DIV/0!</v>
      </c>
      <c r="P67">
        <v>-7</v>
      </c>
    </row>
    <row r="68" spans="1:16">
      <c r="A68" t="s">
        <v>134</v>
      </c>
      <c r="B68">
        <v>151</v>
      </c>
      <c r="C68">
        <v>86</v>
      </c>
      <c r="D68">
        <v>53</v>
      </c>
      <c r="E68">
        <v>123</v>
      </c>
      <c r="F68">
        <v>140</v>
      </c>
      <c r="G68">
        <v>102</v>
      </c>
      <c r="H68">
        <v>296.39999999999998</v>
      </c>
      <c r="I68" s="14">
        <v>414.47399883619312</v>
      </c>
      <c r="J68">
        <v>108</v>
      </c>
      <c r="K68">
        <v>67</v>
      </c>
      <c r="L68">
        <v>96</v>
      </c>
      <c r="M68">
        <v>60</v>
      </c>
      <c r="N68" s="143" t="e">
        <v>#DIV/0!</v>
      </c>
      <c r="O68" s="143" t="e">
        <v>#DIV/0!</v>
      </c>
      <c r="P68">
        <v>27</v>
      </c>
    </row>
    <row r="69" spans="1:16">
      <c r="A69" t="s">
        <v>121</v>
      </c>
      <c r="B69">
        <v>122</v>
      </c>
      <c r="C69">
        <v>102</v>
      </c>
      <c r="D69">
        <v>56</v>
      </c>
      <c r="E69">
        <v>99</v>
      </c>
      <c r="F69">
        <v>183</v>
      </c>
      <c r="G69">
        <v>142</v>
      </c>
      <c r="H69">
        <v>296.5</v>
      </c>
      <c r="I69" s="14">
        <v>452.78782035922677</v>
      </c>
      <c r="J69">
        <v>109</v>
      </c>
      <c r="K69">
        <v>68</v>
      </c>
      <c r="L69">
        <v>118</v>
      </c>
      <c r="M69">
        <v>71</v>
      </c>
      <c r="N69" s="143" t="e">
        <v>#DIV/0!</v>
      </c>
      <c r="O69" s="143" t="e">
        <v>#DIV/0!</v>
      </c>
      <c r="P69">
        <v>-6</v>
      </c>
    </row>
    <row r="70" spans="1:16">
      <c r="A70" t="s">
        <v>146</v>
      </c>
      <c r="B70">
        <v>132</v>
      </c>
      <c r="C70">
        <v>123</v>
      </c>
      <c r="D70">
        <v>118</v>
      </c>
      <c r="E70">
        <v>106</v>
      </c>
      <c r="F70">
        <v>66</v>
      </c>
      <c r="G70">
        <v>134</v>
      </c>
      <c r="H70">
        <v>299.60000000000002</v>
      </c>
      <c r="I70" s="14">
        <v>461.94452770006018</v>
      </c>
      <c r="J70">
        <v>112</v>
      </c>
      <c r="K70">
        <v>69</v>
      </c>
      <c r="L70">
        <v>120</v>
      </c>
      <c r="M70">
        <v>72</v>
      </c>
      <c r="N70" s="143" t="e">
        <v>#DIV/0!</v>
      </c>
      <c r="O70" s="143" t="e">
        <v>#DIV/0!</v>
      </c>
      <c r="P70">
        <v>45</v>
      </c>
    </row>
    <row r="71" spans="1:16">
      <c r="A71" t="s">
        <v>244</v>
      </c>
      <c r="B71">
        <v>88</v>
      </c>
      <c r="C71">
        <v>76</v>
      </c>
      <c r="D71">
        <v>91</v>
      </c>
      <c r="E71">
        <v>118</v>
      </c>
      <c r="F71">
        <v>197</v>
      </c>
      <c r="G71">
        <v>144</v>
      </c>
      <c r="H71">
        <v>301.39999999999998</v>
      </c>
      <c r="I71" s="14">
        <v>467.01140905712731</v>
      </c>
      <c r="J71">
        <v>113</v>
      </c>
      <c r="K71">
        <v>70</v>
      </c>
      <c r="L71">
        <v>123</v>
      </c>
      <c r="M71">
        <v>73</v>
      </c>
      <c r="N71" s="143" t="e">
        <v>#DIV/0!</v>
      </c>
      <c r="O71" s="143" t="e">
        <v>#DIV/0!</v>
      </c>
      <c r="P71">
        <v>53</v>
      </c>
    </row>
    <row r="72" spans="1:16">
      <c r="A72" t="s">
        <v>158</v>
      </c>
      <c r="B72">
        <v>138</v>
      </c>
      <c r="C72">
        <v>99</v>
      </c>
      <c r="D72">
        <v>117</v>
      </c>
      <c r="E72">
        <v>76</v>
      </c>
      <c r="F72">
        <v>108</v>
      </c>
      <c r="G72">
        <v>118</v>
      </c>
      <c r="H72">
        <v>302.5</v>
      </c>
      <c r="I72" s="14">
        <v>440.48961947150605</v>
      </c>
      <c r="J72">
        <v>114</v>
      </c>
      <c r="K72">
        <v>71</v>
      </c>
      <c r="L72">
        <v>115</v>
      </c>
      <c r="M72">
        <v>68</v>
      </c>
      <c r="N72" s="143" t="e">
        <v>#DIV/0!</v>
      </c>
      <c r="O72" s="143" t="e">
        <v>#DIV/0!</v>
      </c>
      <c r="P72">
        <v>36</v>
      </c>
    </row>
    <row r="73" spans="1:16">
      <c r="A73" t="s">
        <v>167</v>
      </c>
      <c r="B73">
        <v>153</v>
      </c>
      <c r="C73">
        <v>103</v>
      </c>
      <c r="D73">
        <v>156</v>
      </c>
      <c r="E73">
        <v>98</v>
      </c>
      <c r="F73">
        <v>18</v>
      </c>
      <c r="G73">
        <v>95</v>
      </c>
      <c r="H73">
        <v>305.7</v>
      </c>
      <c r="I73" s="14">
        <v>431.59163283236114</v>
      </c>
      <c r="J73">
        <v>116.5</v>
      </c>
      <c r="K73">
        <v>72</v>
      </c>
      <c r="L73">
        <v>109</v>
      </c>
      <c r="M73">
        <v>65</v>
      </c>
      <c r="N73" s="143" t="e">
        <v>#DIV/0!</v>
      </c>
      <c r="O73" s="143" t="e">
        <v>#DIV/0!</v>
      </c>
      <c r="P73">
        <v>-58</v>
      </c>
    </row>
    <row r="74" spans="1:16">
      <c r="A74" t="s">
        <v>56</v>
      </c>
      <c r="B74">
        <v>68</v>
      </c>
      <c r="C74">
        <v>204</v>
      </c>
      <c r="D74">
        <v>110</v>
      </c>
      <c r="E74">
        <v>215</v>
      </c>
      <c r="F74">
        <v>30</v>
      </c>
      <c r="G74">
        <v>156</v>
      </c>
      <c r="H74">
        <v>307.2</v>
      </c>
      <c r="I74" s="14">
        <v>518.54728065488689</v>
      </c>
      <c r="J74">
        <v>120</v>
      </c>
      <c r="K74">
        <v>73</v>
      </c>
      <c r="L74">
        <v>143</v>
      </c>
      <c r="M74">
        <v>82</v>
      </c>
      <c r="N74" s="143" t="e">
        <v>#DIV/0!</v>
      </c>
      <c r="O74" s="143" t="e">
        <v>#DIV/0!</v>
      </c>
      <c r="P74">
        <v>-104</v>
      </c>
    </row>
    <row r="75" spans="1:16">
      <c r="A75" t="s">
        <v>159</v>
      </c>
      <c r="B75">
        <v>197</v>
      </c>
      <c r="C75">
        <v>30</v>
      </c>
      <c r="D75">
        <v>185</v>
      </c>
      <c r="E75">
        <v>65</v>
      </c>
      <c r="F75">
        <v>8</v>
      </c>
      <c r="G75">
        <v>67</v>
      </c>
      <c r="H75">
        <v>309.39999999999998</v>
      </c>
      <c r="I75" s="14">
        <v>398.1951981850172</v>
      </c>
      <c r="J75">
        <v>122.5</v>
      </c>
      <c r="K75">
        <v>75</v>
      </c>
      <c r="L75">
        <v>83</v>
      </c>
      <c r="M75">
        <v>52</v>
      </c>
      <c r="N75" s="143" t="e">
        <v>#DIV/0!</v>
      </c>
      <c r="O75" s="143" t="e">
        <v>#DIV/0!</v>
      </c>
      <c r="P75">
        <v>86</v>
      </c>
    </row>
    <row r="76" spans="1:16">
      <c r="A76" t="s">
        <v>52</v>
      </c>
      <c r="B76">
        <v>185</v>
      </c>
      <c r="C76">
        <v>170</v>
      </c>
      <c r="D76">
        <v>111</v>
      </c>
      <c r="E76">
        <v>8</v>
      </c>
      <c r="F76">
        <v>62</v>
      </c>
      <c r="G76">
        <v>154</v>
      </c>
      <c r="H76">
        <v>309.39999999999998</v>
      </c>
      <c r="I76" s="14">
        <v>475.70264550294718</v>
      </c>
      <c r="J76">
        <v>122.5</v>
      </c>
      <c r="K76">
        <v>74</v>
      </c>
      <c r="L76">
        <v>129</v>
      </c>
      <c r="M76">
        <v>78</v>
      </c>
      <c r="N76" s="143" t="e">
        <v>#DIV/0!</v>
      </c>
      <c r="O76" s="143" t="e">
        <v>#DIV/0!</v>
      </c>
      <c r="P76">
        <v>-44</v>
      </c>
    </row>
    <row r="77" spans="1:16">
      <c r="A77" t="s">
        <v>29</v>
      </c>
      <c r="B77">
        <v>60</v>
      </c>
      <c r="C77">
        <v>148</v>
      </c>
      <c r="D77">
        <v>151</v>
      </c>
      <c r="E77">
        <v>114</v>
      </c>
      <c r="F77">
        <v>116</v>
      </c>
      <c r="G77">
        <v>122</v>
      </c>
      <c r="H77">
        <v>310.5</v>
      </c>
      <c r="I77" s="14">
        <v>471.05467737612571</v>
      </c>
      <c r="J77">
        <v>124</v>
      </c>
      <c r="K77">
        <v>76</v>
      </c>
      <c r="L77">
        <v>126</v>
      </c>
      <c r="M77">
        <v>76</v>
      </c>
      <c r="N77" s="143" t="e">
        <v>#DIV/0!</v>
      </c>
      <c r="O77" s="143" t="e">
        <v>#DIV/0!</v>
      </c>
      <c r="P77">
        <v>-1</v>
      </c>
    </row>
    <row r="78" spans="1:16">
      <c r="A78" t="s">
        <v>142</v>
      </c>
      <c r="B78">
        <v>124</v>
      </c>
      <c r="C78">
        <v>188</v>
      </c>
      <c r="D78">
        <v>90</v>
      </c>
      <c r="E78">
        <v>113</v>
      </c>
      <c r="F78">
        <v>101</v>
      </c>
      <c r="G78">
        <v>123</v>
      </c>
      <c r="H78">
        <v>320.7</v>
      </c>
      <c r="I78" s="14">
        <v>473.35681489238789</v>
      </c>
      <c r="J78">
        <v>133</v>
      </c>
      <c r="K78">
        <v>77</v>
      </c>
      <c r="L78">
        <v>128</v>
      </c>
      <c r="M78">
        <v>77</v>
      </c>
      <c r="N78" s="143" t="e">
        <v>#DIV/0!</v>
      </c>
      <c r="O78" s="143" t="e">
        <v>#DIV/0!</v>
      </c>
      <c r="P78">
        <v>22</v>
      </c>
    </row>
    <row r="79" spans="1:16">
      <c r="A79" t="s">
        <v>163</v>
      </c>
      <c r="B79">
        <v>154</v>
      </c>
      <c r="C79">
        <v>55</v>
      </c>
      <c r="D79">
        <v>106</v>
      </c>
      <c r="E79">
        <v>97</v>
      </c>
      <c r="F79">
        <v>158</v>
      </c>
      <c r="G79">
        <v>105</v>
      </c>
      <c r="H79">
        <v>321.8</v>
      </c>
      <c r="I79" s="14">
        <v>442.58548720836666</v>
      </c>
      <c r="J79">
        <v>134</v>
      </c>
      <c r="K79">
        <v>78</v>
      </c>
      <c r="L79">
        <v>116</v>
      </c>
      <c r="M79">
        <v>69</v>
      </c>
      <c r="N79" s="143" t="e">
        <v>#DIV/0!</v>
      </c>
      <c r="O79" s="143" t="e">
        <v>#DIV/0!</v>
      </c>
      <c r="P79">
        <v>54</v>
      </c>
    </row>
    <row r="80" spans="1:16">
      <c r="A80" t="s">
        <v>245</v>
      </c>
      <c r="B80">
        <v>183</v>
      </c>
      <c r="C80">
        <v>74</v>
      </c>
      <c r="D80">
        <v>177</v>
      </c>
      <c r="E80">
        <v>49</v>
      </c>
      <c r="F80">
        <v>43</v>
      </c>
      <c r="G80">
        <v>60</v>
      </c>
      <c r="H80">
        <v>322.7</v>
      </c>
      <c r="I80" s="14">
        <v>403.76926562712339</v>
      </c>
      <c r="J80">
        <v>135</v>
      </c>
      <c r="K80">
        <v>79</v>
      </c>
      <c r="L80">
        <v>87</v>
      </c>
      <c r="M80">
        <v>54</v>
      </c>
      <c r="N80" s="143" t="e">
        <v>#DIV/0!</v>
      </c>
      <c r="O80" s="143" t="e">
        <v>#DIV/0!</v>
      </c>
      <c r="P80">
        <v>-43</v>
      </c>
    </row>
    <row r="81" spans="1:16">
      <c r="A81" t="s">
        <v>77</v>
      </c>
      <c r="B81">
        <v>72</v>
      </c>
      <c r="C81">
        <v>201</v>
      </c>
      <c r="D81">
        <v>129</v>
      </c>
      <c r="E81">
        <v>111</v>
      </c>
      <c r="F81">
        <v>129</v>
      </c>
      <c r="G81">
        <v>164</v>
      </c>
      <c r="H81">
        <v>330</v>
      </c>
      <c r="I81" s="14">
        <v>531.71305161151633</v>
      </c>
      <c r="J81">
        <v>142</v>
      </c>
      <c r="K81">
        <v>80</v>
      </c>
      <c r="L81">
        <v>147</v>
      </c>
      <c r="M81">
        <v>84</v>
      </c>
      <c r="N81" s="143" t="e">
        <v>#DIV/0!</v>
      </c>
      <c r="O81" s="143" t="e">
        <v>#DIV/0!</v>
      </c>
      <c r="P81">
        <v>3</v>
      </c>
    </row>
    <row r="82" spans="1:16">
      <c r="A82" t="s">
        <v>164</v>
      </c>
      <c r="B82">
        <v>176</v>
      </c>
      <c r="C82">
        <v>74</v>
      </c>
      <c r="D82">
        <v>99</v>
      </c>
      <c r="E82">
        <v>35</v>
      </c>
      <c r="F82">
        <v>191</v>
      </c>
      <c r="G82">
        <v>108</v>
      </c>
      <c r="H82">
        <v>331.59999999999997</v>
      </c>
      <c r="I82" s="14">
        <v>443.6290625323968</v>
      </c>
      <c r="J82">
        <v>143</v>
      </c>
      <c r="K82">
        <v>81</v>
      </c>
      <c r="L82">
        <v>117</v>
      </c>
      <c r="M82">
        <v>70</v>
      </c>
      <c r="N82" s="143" t="e">
        <v>#DIV/0!</v>
      </c>
      <c r="O82" s="143" t="e">
        <v>#DIV/0!</v>
      </c>
      <c r="P82">
        <v>9</v>
      </c>
    </row>
    <row r="83" spans="1:16">
      <c r="A83" t="s">
        <v>8</v>
      </c>
      <c r="B83">
        <v>1</v>
      </c>
      <c r="C83">
        <v>191</v>
      </c>
      <c r="D83">
        <v>141</v>
      </c>
      <c r="E83">
        <v>162</v>
      </c>
      <c r="F83">
        <v>182</v>
      </c>
      <c r="G83">
        <v>143</v>
      </c>
      <c r="H83">
        <v>331.6</v>
      </c>
      <c r="I83" s="14">
        <v>523.80435265146616</v>
      </c>
      <c r="J83">
        <v>144.5</v>
      </c>
      <c r="K83">
        <v>82</v>
      </c>
      <c r="L83">
        <v>146</v>
      </c>
      <c r="M83">
        <v>83</v>
      </c>
      <c r="N83" s="143" t="e">
        <v>#DIV/0!</v>
      </c>
      <c r="O83" s="143" t="e">
        <v>#DIV/0!</v>
      </c>
      <c r="P83" t="e">
        <v>#N/A</v>
      </c>
    </row>
    <row r="84" spans="1:16">
      <c r="A84" t="s">
        <v>67</v>
      </c>
      <c r="B84">
        <v>107</v>
      </c>
      <c r="C84">
        <v>160</v>
      </c>
      <c r="D84">
        <v>211</v>
      </c>
      <c r="E84">
        <v>108</v>
      </c>
      <c r="F84">
        <v>20</v>
      </c>
      <c r="G84">
        <v>210</v>
      </c>
      <c r="H84">
        <v>339.79999999999995</v>
      </c>
      <c r="I84" s="14">
        <v>596.24378648786922</v>
      </c>
      <c r="J84">
        <v>151</v>
      </c>
      <c r="K84">
        <v>83</v>
      </c>
      <c r="L84">
        <v>179</v>
      </c>
      <c r="M84">
        <v>91</v>
      </c>
      <c r="N84" s="143" t="e">
        <v>#DIV/0!</v>
      </c>
      <c r="O84" s="143" t="e">
        <v>#DIV/0!</v>
      </c>
      <c r="P84">
        <v>12</v>
      </c>
    </row>
    <row r="85" spans="1:16">
      <c r="A85" t="s">
        <v>236</v>
      </c>
      <c r="B85">
        <v>186</v>
      </c>
      <c r="C85">
        <v>39</v>
      </c>
      <c r="D85">
        <v>164</v>
      </c>
      <c r="E85">
        <v>53</v>
      </c>
      <c r="F85">
        <v>118</v>
      </c>
      <c r="G85">
        <v>124</v>
      </c>
      <c r="H85">
        <v>340.79999999999995</v>
      </c>
      <c r="I85" s="14">
        <v>479.40187695970343</v>
      </c>
      <c r="J85">
        <v>152</v>
      </c>
      <c r="K85">
        <v>84</v>
      </c>
      <c r="L85">
        <v>132</v>
      </c>
      <c r="M85">
        <v>79</v>
      </c>
      <c r="N85" s="143" t="e">
        <v>#DIV/0!</v>
      </c>
      <c r="O85" s="143" t="e">
        <v>#DIV/0!</v>
      </c>
      <c r="P85">
        <v>-15</v>
      </c>
    </row>
    <row r="86" spans="1:16">
      <c r="A86" t="s">
        <v>170</v>
      </c>
      <c r="B86">
        <v>202</v>
      </c>
      <c r="C86">
        <v>83</v>
      </c>
      <c r="D86">
        <v>164</v>
      </c>
      <c r="E86">
        <v>84</v>
      </c>
      <c r="F86">
        <v>45</v>
      </c>
      <c r="G86">
        <v>133</v>
      </c>
      <c r="H86">
        <v>345.5</v>
      </c>
      <c r="I86" s="14">
        <v>502.53128552955394</v>
      </c>
      <c r="J86">
        <v>155</v>
      </c>
      <c r="K86">
        <v>85</v>
      </c>
      <c r="L86">
        <v>140</v>
      </c>
      <c r="M86">
        <v>81</v>
      </c>
      <c r="N86" s="143" t="e">
        <v>#DIV/0!</v>
      </c>
      <c r="O86" s="143" t="e">
        <v>#DIV/0!</v>
      </c>
      <c r="P86">
        <v>25</v>
      </c>
    </row>
    <row r="87" spans="1:16">
      <c r="A87" t="s">
        <v>130</v>
      </c>
      <c r="B87">
        <v>167</v>
      </c>
      <c r="C87">
        <v>59</v>
      </c>
      <c r="D87">
        <v>51</v>
      </c>
      <c r="E87">
        <v>196</v>
      </c>
      <c r="F87">
        <v>185</v>
      </c>
      <c r="G87">
        <v>176</v>
      </c>
      <c r="H87">
        <v>347.1</v>
      </c>
      <c r="I87" s="14">
        <v>545.4344185617739</v>
      </c>
      <c r="J87">
        <v>156</v>
      </c>
      <c r="K87">
        <v>86</v>
      </c>
      <c r="L87">
        <v>156</v>
      </c>
      <c r="M87">
        <v>87</v>
      </c>
      <c r="N87" s="143" t="e">
        <v>#DIV/0!</v>
      </c>
      <c r="O87" s="143" t="e">
        <v>#DIV/0!</v>
      </c>
      <c r="P87">
        <v>-49</v>
      </c>
    </row>
    <row r="88" spans="1:16">
      <c r="A88" t="s">
        <v>157</v>
      </c>
      <c r="B88">
        <v>166</v>
      </c>
      <c r="C88">
        <v>101</v>
      </c>
      <c r="D88">
        <v>88</v>
      </c>
      <c r="E88">
        <v>132</v>
      </c>
      <c r="F88">
        <v>160</v>
      </c>
      <c r="G88">
        <v>171</v>
      </c>
      <c r="H88">
        <v>351</v>
      </c>
      <c r="I88" s="14">
        <v>543.17761377588556</v>
      </c>
      <c r="J88">
        <v>161</v>
      </c>
      <c r="K88">
        <v>87</v>
      </c>
      <c r="L88">
        <v>155</v>
      </c>
      <c r="M88">
        <v>86</v>
      </c>
      <c r="N88" s="143" t="e">
        <v>#DIV/0!</v>
      </c>
      <c r="O88" s="143" t="e">
        <v>#DIV/0!</v>
      </c>
      <c r="P88">
        <v>-38</v>
      </c>
    </row>
    <row r="89" spans="1:16">
      <c r="A89" t="s">
        <v>82</v>
      </c>
      <c r="B89">
        <v>38</v>
      </c>
      <c r="C89">
        <v>108</v>
      </c>
      <c r="D89">
        <v>193</v>
      </c>
      <c r="E89">
        <v>151</v>
      </c>
      <c r="F89">
        <v>177</v>
      </c>
      <c r="G89">
        <v>203</v>
      </c>
      <c r="H89">
        <v>353.79999999999995</v>
      </c>
      <c r="I89" s="14">
        <v>602.78114441346747</v>
      </c>
      <c r="J89">
        <v>164</v>
      </c>
      <c r="K89">
        <v>88</v>
      </c>
      <c r="L89">
        <v>181</v>
      </c>
      <c r="M89">
        <v>92</v>
      </c>
      <c r="N89" s="143" t="e">
        <v>#DIV/0!</v>
      </c>
      <c r="O89" s="143" t="e">
        <v>#DIV/0!</v>
      </c>
      <c r="P89">
        <v>-41</v>
      </c>
    </row>
    <row r="90" spans="1:16">
      <c r="A90" t="s">
        <v>155</v>
      </c>
      <c r="B90">
        <v>121</v>
      </c>
      <c r="C90">
        <v>186</v>
      </c>
      <c r="D90">
        <v>134</v>
      </c>
      <c r="E90">
        <v>70</v>
      </c>
      <c r="F90">
        <v>146</v>
      </c>
      <c r="G90">
        <v>160</v>
      </c>
      <c r="H90">
        <v>353.9</v>
      </c>
      <c r="I90" s="14">
        <v>540.96495313280184</v>
      </c>
      <c r="J90">
        <v>165</v>
      </c>
      <c r="K90">
        <v>89</v>
      </c>
      <c r="L90">
        <v>153</v>
      </c>
      <c r="M90">
        <v>85</v>
      </c>
      <c r="N90" s="143" t="e">
        <v>#DIV/0!</v>
      </c>
      <c r="O90" s="143" t="e">
        <v>#DIV/0!</v>
      </c>
      <c r="P90">
        <v>-33</v>
      </c>
    </row>
    <row r="91" spans="1:16">
      <c r="A91" t="s">
        <v>247</v>
      </c>
      <c r="B91">
        <v>171</v>
      </c>
      <c r="C91">
        <v>85</v>
      </c>
      <c r="D91">
        <v>168</v>
      </c>
      <c r="E91">
        <v>126</v>
      </c>
      <c r="F91">
        <v>74</v>
      </c>
      <c r="G91">
        <v>166</v>
      </c>
      <c r="H91">
        <v>358.69999999999993</v>
      </c>
      <c r="I91" s="14">
        <v>556.83586046082553</v>
      </c>
      <c r="J91">
        <v>170</v>
      </c>
      <c r="K91">
        <v>90</v>
      </c>
      <c r="L91">
        <v>162</v>
      </c>
      <c r="M91">
        <v>88</v>
      </c>
      <c r="N91" s="143" t="e">
        <v>#DIV/0!</v>
      </c>
      <c r="O91" s="143" t="e">
        <v>#DIV/0!</v>
      </c>
      <c r="P91">
        <v>-11</v>
      </c>
    </row>
    <row r="92" spans="1:16">
      <c r="A92" t="s">
        <v>237</v>
      </c>
      <c r="B92">
        <v>25</v>
      </c>
      <c r="C92">
        <v>140</v>
      </c>
      <c r="D92">
        <v>183</v>
      </c>
      <c r="E92">
        <v>173</v>
      </c>
      <c r="F92">
        <v>178</v>
      </c>
      <c r="G92">
        <v>162</v>
      </c>
      <c r="H92">
        <v>359.8</v>
      </c>
      <c r="I92" s="14">
        <v>572.96152149005434</v>
      </c>
      <c r="J92">
        <v>171</v>
      </c>
      <c r="K92">
        <v>91</v>
      </c>
      <c r="L92">
        <v>169</v>
      </c>
      <c r="M92">
        <v>89</v>
      </c>
      <c r="N92" s="143" t="e">
        <v>#DIV/0!</v>
      </c>
      <c r="O92" s="143" t="e">
        <v>#DIV/0!</v>
      </c>
      <c r="P92">
        <v>-51</v>
      </c>
    </row>
    <row r="93" spans="1:16">
      <c r="A93" t="s">
        <v>240</v>
      </c>
      <c r="B93">
        <v>115</v>
      </c>
      <c r="C93">
        <v>192</v>
      </c>
      <c r="D93">
        <v>205</v>
      </c>
      <c r="E93">
        <v>160</v>
      </c>
      <c r="F93">
        <v>40</v>
      </c>
      <c r="G93">
        <v>188</v>
      </c>
      <c r="H93">
        <v>384.8</v>
      </c>
      <c r="I93" s="14">
        <v>627.38374069428119</v>
      </c>
      <c r="J93">
        <v>183</v>
      </c>
      <c r="K93">
        <v>92</v>
      </c>
      <c r="L93">
        <v>188</v>
      </c>
      <c r="M93">
        <v>95</v>
      </c>
      <c r="N93" s="143" t="e">
        <v>#DIV/0!</v>
      </c>
      <c r="O93" s="143" t="e">
        <v>#DIV/0!</v>
      </c>
      <c r="P93">
        <v>24</v>
      </c>
    </row>
    <row r="94" spans="1:16">
      <c r="A94" t="s">
        <v>421</v>
      </c>
      <c r="B94">
        <v>193</v>
      </c>
      <c r="C94">
        <v>122</v>
      </c>
      <c r="D94">
        <v>203</v>
      </c>
      <c r="E94">
        <v>68</v>
      </c>
      <c r="F94">
        <v>65</v>
      </c>
      <c r="G94">
        <v>191</v>
      </c>
      <c r="H94">
        <v>385.7</v>
      </c>
      <c r="I94" s="14">
        <v>605.83399748988381</v>
      </c>
      <c r="J94">
        <v>184</v>
      </c>
      <c r="K94">
        <v>93</v>
      </c>
      <c r="L94">
        <v>184</v>
      </c>
      <c r="M94">
        <v>94</v>
      </c>
      <c r="N94" s="143" t="e">
        <v>#DIV/0!</v>
      </c>
      <c r="O94" s="143" t="e">
        <v>#DIV/0!</v>
      </c>
      <c r="P94">
        <v>12</v>
      </c>
    </row>
    <row r="95" spans="1:16">
      <c r="A95" t="s">
        <v>385</v>
      </c>
      <c r="B95">
        <v>208</v>
      </c>
      <c r="C95">
        <v>36</v>
      </c>
      <c r="D95">
        <v>86</v>
      </c>
      <c r="E95">
        <v>208</v>
      </c>
      <c r="F95">
        <v>168</v>
      </c>
      <c r="G95">
        <v>193</v>
      </c>
      <c r="H95">
        <v>387.4</v>
      </c>
      <c r="I95" s="14">
        <v>605.23831450244518</v>
      </c>
      <c r="J95">
        <v>186</v>
      </c>
      <c r="K95">
        <v>94</v>
      </c>
      <c r="L95">
        <v>182</v>
      </c>
      <c r="M95">
        <v>93</v>
      </c>
      <c r="N95" s="143" t="e">
        <v>#DIV/0!</v>
      </c>
      <c r="O95" s="143" t="e">
        <v>#DIV/0!</v>
      </c>
      <c r="P95">
        <v>12</v>
      </c>
    </row>
    <row r="96" spans="1:16">
      <c r="A96" t="s">
        <v>223</v>
      </c>
      <c r="B96">
        <v>117</v>
      </c>
      <c r="C96">
        <v>193</v>
      </c>
      <c r="D96">
        <v>191</v>
      </c>
      <c r="E96">
        <v>137</v>
      </c>
      <c r="F96">
        <v>83</v>
      </c>
      <c r="G96">
        <v>157</v>
      </c>
      <c r="H96">
        <v>389.09999999999997</v>
      </c>
      <c r="I96" s="14">
        <v>593.73325853274673</v>
      </c>
      <c r="J96">
        <v>187</v>
      </c>
      <c r="K96">
        <v>95</v>
      </c>
      <c r="L96">
        <v>177</v>
      </c>
      <c r="M96">
        <v>90</v>
      </c>
      <c r="N96" s="143" t="e">
        <v>#DIV/0!</v>
      </c>
      <c r="O96" s="143" t="e">
        <v>#DIV/0!</v>
      </c>
      <c r="P96">
        <v>-42</v>
      </c>
    </row>
    <row r="97" spans="1:16">
      <c r="A97" t="s">
        <v>387</v>
      </c>
      <c r="B97">
        <v>156</v>
      </c>
      <c r="C97">
        <v>93</v>
      </c>
      <c r="D97">
        <v>192</v>
      </c>
      <c r="E97">
        <v>145</v>
      </c>
      <c r="F97">
        <v>195</v>
      </c>
      <c r="G97">
        <v>209</v>
      </c>
      <c r="H97">
        <v>436.29999999999995</v>
      </c>
      <c r="I97" s="14">
        <v>680.48585698028251</v>
      </c>
      <c r="J97">
        <v>199.5</v>
      </c>
      <c r="K97">
        <v>96</v>
      </c>
      <c r="L97">
        <v>199</v>
      </c>
      <c r="M97">
        <v>96</v>
      </c>
      <c r="N97" s="143" t="e">
        <v>#DIV/0!</v>
      </c>
      <c r="O97" s="143" t="e">
        <v>#DIV/0!</v>
      </c>
      <c r="P97">
        <v>15</v>
      </c>
    </row>
    <row r="98" spans="1:16">
      <c r="A98" t="s">
        <v>392</v>
      </c>
      <c r="B98">
        <v>128</v>
      </c>
      <c r="C98">
        <v>194</v>
      </c>
      <c r="D98">
        <v>169</v>
      </c>
      <c r="E98">
        <v>186</v>
      </c>
      <c r="F98">
        <v>211</v>
      </c>
      <c r="G98">
        <v>216</v>
      </c>
      <c r="H98">
        <v>465.4</v>
      </c>
      <c r="I98" s="14">
        <v>728.3130253436658</v>
      </c>
      <c r="J98">
        <v>202</v>
      </c>
      <c r="K98">
        <v>97</v>
      </c>
      <c r="L98">
        <v>202</v>
      </c>
      <c r="M98">
        <v>97</v>
      </c>
      <c r="N98" s="143" t="e">
        <v>#DIV/0!</v>
      </c>
      <c r="O98" s="143" t="e">
        <v>#DIV/0!</v>
      </c>
      <c r="P98">
        <v>12</v>
      </c>
    </row>
  </sheetData>
  <conditionalFormatting sqref="N2:O1048576">
    <cfRule type="cellIs" dxfId="27" priority="5" operator="greaterThanOrEqual">
      <formula>20%</formula>
    </cfRule>
    <cfRule type="cellIs" dxfId="26" priority="6" operator="between">
      <formula>10%</formula>
      <formula>20%</formula>
    </cfRule>
    <cfRule type="cellIs" dxfId="25" priority="7" operator="between">
      <formula>0.01%</formula>
      <formula>10%</formula>
    </cfRule>
  </conditionalFormatting>
  <conditionalFormatting sqref="B2:G1048576 J2:M1048576">
    <cfRule type="cellIs" dxfId="24" priority="8" operator="between">
      <formula>101</formula>
      <formula>250</formula>
    </cfRule>
    <cfRule type="cellIs" dxfId="23" priority="9" operator="between">
      <formula>51</formula>
      <formula>100.5</formula>
    </cfRule>
    <cfRule type="cellIs" dxfId="22" priority="10" operator="between">
      <formula>21</formula>
      <formula>50.5</formula>
    </cfRule>
    <cfRule type="cellIs" dxfId="21"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2C747-62E0-4745-B2D7-5144882783F7}">
  <sheetPr codeName="Sheet66">
    <tabColor rgb="FFFF0000"/>
  </sheetPr>
  <dimension ref="A1:V123"/>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287</v>
      </c>
      <c r="B2">
        <v>110</v>
      </c>
      <c r="C2">
        <v>141</v>
      </c>
      <c r="D2">
        <v>20</v>
      </c>
      <c r="E2">
        <v>23</v>
      </c>
      <c r="F2">
        <v>12</v>
      </c>
      <c r="G2">
        <v>5</v>
      </c>
      <c r="H2">
        <v>181.7</v>
      </c>
      <c r="I2" s="14">
        <v>173.96868008316747</v>
      </c>
      <c r="J2">
        <v>21</v>
      </c>
      <c r="K2">
        <v>19</v>
      </c>
      <c r="L2">
        <v>11</v>
      </c>
      <c r="M2">
        <v>11</v>
      </c>
      <c r="N2" s="143" t="e">
        <v>#DIV/0!</v>
      </c>
      <c r="O2" s="143" t="e">
        <v>#DIV/0!</v>
      </c>
      <c r="P2">
        <v>-3</v>
      </c>
      <c r="Q2">
        <v>1</v>
      </c>
    </row>
    <row r="3" spans="1:22">
      <c r="A3" t="s">
        <v>135</v>
      </c>
      <c r="B3">
        <v>55</v>
      </c>
      <c r="C3">
        <v>15</v>
      </c>
      <c r="D3">
        <v>4</v>
      </c>
      <c r="E3">
        <v>118</v>
      </c>
      <c r="F3">
        <v>4</v>
      </c>
      <c r="G3">
        <v>1</v>
      </c>
      <c r="H3">
        <v>89.6</v>
      </c>
      <c r="I3" s="14">
        <v>112.6498156971485</v>
      </c>
      <c r="J3">
        <v>1</v>
      </c>
      <c r="K3">
        <v>1</v>
      </c>
      <c r="L3">
        <v>2</v>
      </c>
      <c r="M3">
        <v>2</v>
      </c>
      <c r="N3" s="143" t="e">
        <v>#DIV/0!</v>
      </c>
      <c r="O3" s="143" t="e">
        <v>#DIV/0!</v>
      </c>
      <c r="P3">
        <v>3</v>
      </c>
    </row>
    <row r="4" spans="1:22">
      <c r="A4" t="s">
        <v>166</v>
      </c>
      <c r="B4">
        <v>101</v>
      </c>
      <c r="C4">
        <v>24</v>
      </c>
      <c r="D4">
        <v>6</v>
      </c>
      <c r="E4">
        <v>13</v>
      </c>
      <c r="F4">
        <v>80</v>
      </c>
      <c r="G4">
        <v>10</v>
      </c>
      <c r="H4">
        <v>108.7</v>
      </c>
      <c r="I4" s="14">
        <v>133.82337761621778</v>
      </c>
      <c r="J4">
        <v>2</v>
      </c>
      <c r="K4">
        <v>2</v>
      </c>
      <c r="L4">
        <v>3</v>
      </c>
      <c r="M4">
        <v>3</v>
      </c>
      <c r="N4" s="143" t="e">
        <v>#DIV/0!</v>
      </c>
      <c r="O4" s="143" t="e">
        <v>#DIV/0!</v>
      </c>
      <c r="P4">
        <v>-4</v>
      </c>
    </row>
    <row r="5" spans="1:22">
      <c r="A5" t="s">
        <v>27</v>
      </c>
      <c r="B5">
        <v>27</v>
      </c>
      <c r="C5">
        <v>46</v>
      </c>
      <c r="D5">
        <v>19</v>
      </c>
      <c r="E5">
        <v>67</v>
      </c>
      <c r="F5">
        <v>74</v>
      </c>
      <c r="G5">
        <v>19</v>
      </c>
      <c r="H5">
        <v>115.4</v>
      </c>
      <c r="I5" s="14">
        <v>143.91312916536413</v>
      </c>
      <c r="J5">
        <v>3</v>
      </c>
      <c r="K5">
        <v>3</v>
      </c>
      <c r="L5">
        <v>5</v>
      </c>
      <c r="M5">
        <v>5</v>
      </c>
      <c r="N5" s="143" t="e">
        <v>#DIV/0!</v>
      </c>
      <c r="O5" s="143" t="e">
        <v>#DIV/0!</v>
      </c>
      <c r="P5">
        <v>-9</v>
      </c>
    </row>
    <row r="6" spans="1:22">
      <c r="A6" t="s">
        <v>113</v>
      </c>
      <c r="B6">
        <v>53</v>
      </c>
      <c r="C6">
        <v>26</v>
      </c>
      <c r="D6">
        <v>79</v>
      </c>
      <c r="E6">
        <v>12</v>
      </c>
      <c r="F6">
        <v>43</v>
      </c>
      <c r="G6">
        <v>9</v>
      </c>
      <c r="H6">
        <v>122</v>
      </c>
      <c r="I6" s="14">
        <v>145.71116225332355</v>
      </c>
      <c r="J6">
        <v>4</v>
      </c>
      <c r="K6">
        <v>4</v>
      </c>
      <c r="L6">
        <v>6</v>
      </c>
      <c r="M6">
        <v>6</v>
      </c>
      <c r="N6" s="143" t="e">
        <v>#DIV/0!</v>
      </c>
      <c r="O6" s="143" t="e">
        <v>#DIV/0!</v>
      </c>
      <c r="P6">
        <v>-6</v>
      </c>
    </row>
    <row r="7" spans="1:22">
      <c r="A7" t="s">
        <v>35</v>
      </c>
      <c r="B7">
        <v>21</v>
      </c>
      <c r="C7">
        <v>116</v>
      </c>
      <c r="D7">
        <v>15</v>
      </c>
      <c r="E7">
        <v>36</v>
      </c>
      <c r="F7">
        <v>19</v>
      </c>
      <c r="G7">
        <v>4</v>
      </c>
      <c r="H7">
        <v>124.19999999999999</v>
      </c>
      <c r="I7" s="14">
        <v>111.62008671628369</v>
      </c>
      <c r="J7">
        <v>5</v>
      </c>
      <c r="K7">
        <v>5</v>
      </c>
      <c r="L7">
        <v>1</v>
      </c>
      <c r="M7">
        <v>1</v>
      </c>
      <c r="N7" s="143" t="e">
        <v>#DIV/0!</v>
      </c>
      <c r="O7" s="143" t="e">
        <v>#DIV/0!</v>
      </c>
      <c r="P7">
        <v>25</v>
      </c>
    </row>
    <row r="8" spans="1:22">
      <c r="A8" t="s">
        <v>384</v>
      </c>
      <c r="B8">
        <v>144</v>
      </c>
      <c r="C8">
        <v>4</v>
      </c>
      <c r="D8">
        <v>3</v>
      </c>
      <c r="E8">
        <v>32</v>
      </c>
      <c r="F8">
        <v>98</v>
      </c>
      <c r="G8">
        <v>6</v>
      </c>
      <c r="H8">
        <v>128.89999999999998</v>
      </c>
      <c r="I8" s="14">
        <v>164.03290325145551</v>
      </c>
      <c r="J8">
        <v>6</v>
      </c>
      <c r="K8">
        <v>6</v>
      </c>
      <c r="L8">
        <v>8</v>
      </c>
      <c r="M8">
        <v>8</v>
      </c>
      <c r="N8" s="143" t="e">
        <v>#DIV/0!</v>
      </c>
      <c r="O8" s="143" t="e">
        <v>#DIV/0!</v>
      </c>
      <c r="P8">
        <v>2</v>
      </c>
    </row>
    <row r="9" spans="1:22">
      <c r="A9" t="s">
        <v>73</v>
      </c>
      <c r="B9">
        <v>17</v>
      </c>
      <c r="C9">
        <v>107</v>
      </c>
      <c r="D9">
        <v>30</v>
      </c>
      <c r="E9">
        <v>40</v>
      </c>
      <c r="F9">
        <v>53</v>
      </c>
      <c r="G9">
        <v>11</v>
      </c>
      <c r="H9">
        <v>141.6</v>
      </c>
      <c r="I9" s="14">
        <v>142.18450117846206</v>
      </c>
      <c r="J9">
        <v>7</v>
      </c>
      <c r="K9">
        <v>7</v>
      </c>
      <c r="L9">
        <v>4</v>
      </c>
      <c r="M9">
        <v>4</v>
      </c>
      <c r="N9" s="143" t="e">
        <v>#DIV/0!</v>
      </c>
      <c r="O9" s="143" t="e">
        <v>#DIV/0!</v>
      </c>
      <c r="P9">
        <v>19</v>
      </c>
    </row>
    <row r="10" spans="1:22">
      <c r="A10" t="s">
        <v>409</v>
      </c>
      <c r="B10">
        <v>59</v>
      </c>
      <c r="C10">
        <v>89</v>
      </c>
      <c r="D10">
        <v>14</v>
      </c>
      <c r="E10">
        <v>7</v>
      </c>
      <c r="F10">
        <v>105</v>
      </c>
      <c r="G10">
        <v>20</v>
      </c>
      <c r="H10">
        <v>146.39999999999998</v>
      </c>
      <c r="I10" s="14">
        <v>162.13525296117081</v>
      </c>
      <c r="J10">
        <v>8</v>
      </c>
      <c r="K10">
        <v>8</v>
      </c>
      <c r="L10">
        <v>7</v>
      </c>
      <c r="M10">
        <v>7</v>
      </c>
      <c r="N10" s="143" t="e">
        <v>#DIV/0!</v>
      </c>
      <c r="O10" s="143" t="e">
        <v>#DIV/0!</v>
      </c>
      <c r="P10">
        <v>-5</v>
      </c>
    </row>
    <row r="11" spans="1:22">
      <c r="A11" t="s">
        <v>47</v>
      </c>
      <c r="B11">
        <v>25</v>
      </c>
      <c r="C11">
        <v>47</v>
      </c>
      <c r="D11">
        <v>9</v>
      </c>
      <c r="E11">
        <v>216</v>
      </c>
      <c r="F11">
        <v>32</v>
      </c>
      <c r="G11">
        <v>34</v>
      </c>
      <c r="H11">
        <v>150.9</v>
      </c>
      <c r="I11" s="14">
        <v>212.46407921194654</v>
      </c>
      <c r="J11">
        <v>9</v>
      </c>
      <c r="K11">
        <v>9</v>
      </c>
      <c r="L11">
        <v>18</v>
      </c>
      <c r="M11">
        <v>17</v>
      </c>
      <c r="N11" s="143" t="e">
        <v>#DIV/0!</v>
      </c>
      <c r="O11" s="143" t="e">
        <v>#DIV/0!</v>
      </c>
      <c r="P11">
        <v>82</v>
      </c>
    </row>
    <row r="12" spans="1:22">
      <c r="A12" t="s">
        <v>132</v>
      </c>
      <c r="B12">
        <v>99</v>
      </c>
      <c r="C12">
        <v>45</v>
      </c>
      <c r="D12">
        <v>58</v>
      </c>
      <c r="E12">
        <v>6</v>
      </c>
      <c r="F12">
        <v>68</v>
      </c>
      <c r="G12">
        <v>13</v>
      </c>
      <c r="H12">
        <v>151.19999999999999</v>
      </c>
      <c r="I12" s="14">
        <v>178.50518068564622</v>
      </c>
      <c r="J12">
        <v>10</v>
      </c>
      <c r="K12">
        <v>10</v>
      </c>
      <c r="L12">
        <v>13</v>
      </c>
      <c r="M12">
        <v>13</v>
      </c>
      <c r="N12" s="143" t="e">
        <v>#DIV/0!</v>
      </c>
      <c r="O12" s="143" t="e">
        <v>#DIV/0!</v>
      </c>
      <c r="P12">
        <v>26</v>
      </c>
    </row>
    <row r="13" spans="1:22">
      <c r="A13" t="s">
        <v>102</v>
      </c>
      <c r="B13">
        <v>95</v>
      </c>
      <c r="C13">
        <v>53</v>
      </c>
      <c r="D13">
        <v>68</v>
      </c>
      <c r="E13">
        <v>8</v>
      </c>
      <c r="F13">
        <v>48</v>
      </c>
      <c r="G13">
        <v>35</v>
      </c>
      <c r="H13">
        <v>154.59999999999997</v>
      </c>
      <c r="I13" s="14">
        <v>201.72495211492185</v>
      </c>
      <c r="J13">
        <v>12</v>
      </c>
      <c r="K13">
        <v>11</v>
      </c>
      <c r="L13">
        <v>16</v>
      </c>
      <c r="M13">
        <v>15</v>
      </c>
      <c r="N13" s="143" t="e">
        <v>#DIV/0!</v>
      </c>
      <c r="O13" s="143" t="e">
        <v>#DIV/0!</v>
      </c>
      <c r="P13">
        <v>-3</v>
      </c>
    </row>
    <row r="14" spans="1:22">
      <c r="A14" t="s">
        <v>40</v>
      </c>
      <c r="B14">
        <v>44</v>
      </c>
      <c r="C14">
        <v>59</v>
      </c>
      <c r="D14">
        <v>107</v>
      </c>
      <c r="E14">
        <v>25</v>
      </c>
      <c r="F14">
        <v>25</v>
      </c>
      <c r="G14">
        <v>8</v>
      </c>
      <c r="H14">
        <v>158.19999999999999</v>
      </c>
      <c r="I14" s="14">
        <v>176.04959091893969</v>
      </c>
      <c r="J14">
        <v>13</v>
      </c>
      <c r="K14">
        <v>12</v>
      </c>
      <c r="L14">
        <v>12</v>
      </c>
      <c r="M14">
        <v>12</v>
      </c>
      <c r="N14" s="143" t="e">
        <v>#DIV/0!</v>
      </c>
      <c r="O14" s="143" t="e">
        <v>#DIV/0!</v>
      </c>
      <c r="P14">
        <v>6</v>
      </c>
    </row>
    <row r="15" spans="1:22">
      <c r="A15" t="s">
        <v>141</v>
      </c>
      <c r="B15">
        <v>144</v>
      </c>
      <c r="C15">
        <v>28</v>
      </c>
      <c r="D15">
        <v>36</v>
      </c>
      <c r="E15">
        <v>39</v>
      </c>
      <c r="F15">
        <v>69</v>
      </c>
      <c r="G15">
        <v>41</v>
      </c>
      <c r="H15">
        <v>160</v>
      </c>
      <c r="I15" s="14">
        <v>227.6092587251714</v>
      </c>
      <c r="J15">
        <v>14</v>
      </c>
      <c r="K15">
        <v>13</v>
      </c>
      <c r="L15">
        <v>23</v>
      </c>
      <c r="M15">
        <v>21</v>
      </c>
      <c r="N15" s="143" t="e">
        <v>#DIV/0!</v>
      </c>
      <c r="O15" s="143" t="e">
        <v>#DIV/0!</v>
      </c>
      <c r="P15">
        <v>0</v>
      </c>
    </row>
    <row r="16" spans="1:22">
      <c r="A16" t="s">
        <v>15</v>
      </c>
      <c r="B16">
        <v>2</v>
      </c>
      <c r="C16">
        <v>47</v>
      </c>
      <c r="D16">
        <v>2</v>
      </c>
      <c r="E16">
        <v>177</v>
      </c>
      <c r="F16">
        <v>135</v>
      </c>
      <c r="G16">
        <v>3</v>
      </c>
      <c r="H16">
        <v>160.1</v>
      </c>
      <c r="I16" s="14">
        <v>187.40607528523077</v>
      </c>
      <c r="J16">
        <v>15</v>
      </c>
      <c r="K16">
        <v>14</v>
      </c>
      <c r="L16">
        <v>14</v>
      </c>
      <c r="M16">
        <v>14</v>
      </c>
      <c r="N16" s="143" t="e">
        <v>#DIV/0!</v>
      </c>
      <c r="O16" s="143" t="e">
        <v>#DIV/0!</v>
      </c>
      <c r="P16">
        <v>-2</v>
      </c>
    </row>
    <row r="17" spans="1:16">
      <c r="A17" t="s">
        <v>411</v>
      </c>
      <c r="B17">
        <v>36</v>
      </c>
      <c r="C17">
        <v>30</v>
      </c>
      <c r="D17">
        <v>122</v>
      </c>
      <c r="E17">
        <v>20</v>
      </c>
      <c r="F17">
        <v>72</v>
      </c>
      <c r="G17">
        <v>33</v>
      </c>
      <c r="H17">
        <v>161.19999999999999</v>
      </c>
      <c r="I17" s="14">
        <v>213.93348845729824</v>
      </c>
      <c r="J17">
        <v>16</v>
      </c>
      <c r="K17">
        <v>15</v>
      </c>
      <c r="L17">
        <v>20</v>
      </c>
      <c r="M17">
        <v>18</v>
      </c>
      <c r="N17" s="143" t="e">
        <v>#DIV/0!</v>
      </c>
      <c r="O17" s="143" t="e">
        <v>#DIV/0!</v>
      </c>
      <c r="P17">
        <v>22</v>
      </c>
    </row>
    <row r="18" spans="1:16">
      <c r="A18" t="s">
        <v>406</v>
      </c>
      <c r="B18">
        <v>30</v>
      </c>
      <c r="C18">
        <v>128</v>
      </c>
      <c r="D18">
        <v>35</v>
      </c>
      <c r="E18">
        <v>66</v>
      </c>
      <c r="F18">
        <v>21</v>
      </c>
      <c r="G18">
        <v>18</v>
      </c>
      <c r="H18">
        <v>163.9</v>
      </c>
      <c r="I18" s="14">
        <v>170.66756605130408</v>
      </c>
      <c r="J18">
        <v>17</v>
      </c>
      <c r="K18">
        <v>16</v>
      </c>
      <c r="L18">
        <v>10</v>
      </c>
      <c r="M18">
        <v>10</v>
      </c>
      <c r="N18" s="143" t="e">
        <v>#DIV/0!</v>
      </c>
      <c r="O18" s="143" t="e">
        <v>#DIV/0!</v>
      </c>
      <c r="P18">
        <v>-7</v>
      </c>
    </row>
    <row r="19" spans="1:16">
      <c r="A19" t="s">
        <v>93</v>
      </c>
      <c r="B19">
        <v>62</v>
      </c>
      <c r="C19">
        <v>41</v>
      </c>
      <c r="D19">
        <v>49</v>
      </c>
      <c r="E19">
        <v>98</v>
      </c>
      <c r="F19">
        <v>99</v>
      </c>
      <c r="G19">
        <v>23</v>
      </c>
      <c r="H19">
        <v>172.79999999999998</v>
      </c>
      <c r="I19" s="14">
        <v>220.9099300922424</v>
      </c>
      <c r="J19">
        <v>19</v>
      </c>
      <c r="K19">
        <v>17</v>
      </c>
      <c r="L19">
        <v>22</v>
      </c>
      <c r="M19">
        <v>20</v>
      </c>
      <c r="N19" s="143" t="e">
        <v>#DIV/0!</v>
      </c>
      <c r="O19" s="143" t="e">
        <v>#DIV/0!</v>
      </c>
      <c r="P19">
        <v>-7</v>
      </c>
    </row>
    <row r="20" spans="1:16">
      <c r="A20" t="s">
        <v>42</v>
      </c>
      <c r="B20">
        <v>10</v>
      </c>
      <c r="C20">
        <v>153</v>
      </c>
      <c r="D20">
        <v>10</v>
      </c>
      <c r="E20">
        <v>26</v>
      </c>
      <c r="F20">
        <v>126</v>
      </c>
      <c r="G20">
        <v>7</v>
      </c>
      <c r="H20">
        <v>179.9</v>
      </c>
      <c r="I20" s="14">
        <v>164.63257937946202</v>
      </c>
      <c r="J20">
        <v>20</v>
      </c>
      <c r="K20">
        <v>18</v>
      </c>
      <c r="L20">
        <v>9</v>
      </c>
      <c r="M20">
        <v>9</v>
      </c>
      <c r="N20" s="143" t="e">
        <v>#DIV/0!</v>
      </c>
      <c r="O20" s="143" t="e">
        <v>#DIV/0!</v>
      </c>
      <c r="P20">
        <v>20</v>
      </c>
    </row>
    <row r="21" spans="1:16">
      <c r="A21" t="s">
        <v>115</v>
      </c>
      <c r="B21">
        <v>127</v>
      </c>
      <c r="C21">
        <v>20</v>
      </c>
      <c r="D21">
        <v>125</v>
      </c>
      <c r="E21">
        <v>45</v>
      </c>
      <c r="F21">
        <v>10</v>
      </c>
      <c r="G21">
        <v>15</v>
      </c>
      <c r="H21">
        <v>187</v>
      </c>
      <c r="I21" s="14">
        <v>236.2341374551626</v>
      </c>
      <c r="J21">
        <v>22</v>
      </c>
      <c r="K21">
        <v>20</v>
      </c>
      <c r="L21">
        <v>28</v>
      </c>
      <c r="M21">
        <v>26</v>
      </c>
      <c r="N21" s="143" t="e">
        <v>#DIV/0!</v>
      </c>
      <c r="O21" s="143" t="e">
        <v>#DIV/0!</v>
      </c>
      <c r="P21">
        <v>56</v>
      </c>
    </row>
    <row r="22" spans="1:16">
      <c r="A22" t="s">
        <v>104</v>
      </c>
      <c r="B22">
        <v>111</v>
      </c>
      <c r="C22">
        <v>60</v>
      </c>
      <c r="D22">
        <v>98</v>
      </c>
      <c r="E22">
        <v>50</v>
      </c>
      <c r="F22">
        <v>11</v>
      </c>
      <c r="G22">
        <v>31</v>
      </c>
      <c r="H22">
        <v>190.5</v>
      </c>
      <c r="I22" s="14">
        <v>241.647775570009</v>
      </c>
      <c r="J22">
        <v>23</v>
      </c>
      <c r="K22">
        <v>21</v>
      </c>
      <c r="L22">
        <v>32</v>
      </c>
      <c r="M22">
        <v>29</v>
      </c>
      <c r="N22" s="143" t="e">
        <v>#DIV/0!</v>
      </c>
      <c r="O22" s="143" t="e">
        <v>#DIV/0!</v>
      </c>
      <c r="P22">
        <v>-11</v>
      </c>
    </row>
    <row r="23" spans="1:16">
      <c r="A23" t="s">
        <v>66</v>
      </c>
      <c r="B23">
        <v>45</v>
      </c>
      <c r="C23">
        <v>108</v>
      </c>
      <c r="D23">
        <v>46</v>
      </c>
      <c r="E23">
        <v>117</v>
      </c>
      <c r="F23">
        <v>45</v>
      </c>
      <c r="G23">
        <v>29</v>
      </c>
      <c r="H23">
        <v>195.1</v>
      </c>
      <c r="I23" s="14">
        <v>230.09297430420477</v>
      </c>
      <c r="J23">
        <v>24</v>
      </c>
      <c r="K23">
        <v>22</v>
      </c>
      <c r="L23">
        <v>24</v>
      </c>
      <c r="M23">
        <v>22</v>
      </c>
      <c r="N23" s="143" t="e">
        <v>#DIV/0!</v>
      </c>
      <c r="O23" s="143" t="e">
        <v>#DIV/0!</v>
      </c>
      <c r="P23">
        <v>30</v>
      </c>
    </row>
    <row r="24" spans="1:16">
      <c r="A24" t="s">
        <v>388</v>
      </c>
      <c r="B24">
        <v>49</v>
      </c>
      <c r="C24">
        <v>70</v>
      </c>
      <c r="D24">
        <v>70</v>
      </c>
      <c r="E24">
        <v>167</v>
      </c>
      <c r="F24">
        <v>18</v>
      </c>
      <c r="G24">
        <v>57</v>
      </c>
      <c r="H24">
        <v>196.5</v>
      </c>
      <c r="I24" s="14">
        <v>277.80977696351289</v>
      </c>
      <c r="J24">
        <v>25</v>
      </c>
      <c r="K24">
        <v>23</v>
      </c>
      <c r="L24">
        <v>40</v>
      </c>
      <c r="M24">
        <v>37</v>
      </c>
      <c r="N24" s="143" t="e">
        <v>#DIV/0!</v>
      </c>
      <c r="O24" s="143" t="e">
        <v>#DIV/0!</v>
      </c>
      <c r="P24">
        <v>26</v>
      </c>
    </row>
    <row r="25" spans="1:16">
      <c r="A25" t="s">
        <v>383</v>
      </c>
      <c r="B25">
        <v>76</v>
      </c>
      <c r="C25">
        <v>118</v>
      </c>
      <c r="D25">
        <v>48</v>
      </c>
      <c r="E25">
        <v>34</v>
      </c>
      <c r="F25">
        <v>75</v>
      </c>
      <c r="G25">
        <v>43</v>
      </c>
      <c r="H25">
        <v>197.79999999999998</v>
      </c>
      <c r="I25" s="14">
        <v>238.09706921343277</v>
      </c>
      <c r="J25">
        <v>26</v>
      </c>
      <c r="K25">
        <v>24</v>
      </c>
      <c r="L25">
        <v>30</v>
      </c>
      <c r="M25">
        <v>27</v>
      </c>
      <c r="N25" s="143" t="e">
        <v>#DIV/0!</v>
      </c>
      <c r="O25" s="143" t="e">
        <v>#DIV/0!</v>
      </c>
      <c r="P25">
        <v>-18</v>
      </c>
    </row>
    <row r="26" spans="1:16">
      <c r="A26" t="s">
        <v>105</v>
      </c>
      <c r="B26">
        <v>87</v>
      </c>
      <c r="C26">
        <v>37</v>
      </c>
      <c r="D26">
        <v>91</v>
      </c>
      <c r="E26">
        <v>113</v>
      </c>
      <c r="F26">
        <v>54</v>
      </c>
      <c r="G26">
        <v>52</v>
      </c>
      <c r="H26">
        <v>199.9</v>
      </c>
      <c r="I26" s="14">
        <v>285.72491420584117</v>
      </c>
      <c r="J26">
        <v>27</v>
      </c>
      <c r="K26">
        <v>25</v>
      </c>
      <c r="L26">
        <v>41</v>
      </c>
      <c r="M26">
        <v>38</v>
      </c>
      <c r="N26" s="143" t="e">
        <v>#DIV/0!</v>
      </c>
      <c r="O26" s="143" t="e">
        <v>#DIV/0!</v>
      </c>
      <c r="P26">
        <v>-14</v>
      </c>
    </row>
    <row r="27" spans="1:16">
      <c r="A27" t="s">
        <v>139</v>
      </c>
      <c r="B27">
        <v>104</v>
      </c>
      <c r="C27">
        <v>98</v>
      </c>
      <c r="D27">
        <v>5</v>
      </c>
      <c r="E27">
        <v>98</v>
      </c>
      <c r="F27">
        <v>96</v>
      </c>
      <c r="G27">
        <v>25</v>
      </c>
      <c r="H27">
        <v>201.70000000000002</v>
      </c>
      <c r="I27" s="14">
        <v>238.17875971886605</v>
      </c>
      <c r="J27">
        <v>29</v>
      </c>
      <c r="K27">
        <v>26</v>
      </c>
      <c r="L27">
        <v>31</v>
      </c>
      <c r="M27">
        <v>28</v>
      </c>
      <c r="N27" s="143" t="e">
        <v>#DIV/0!</v>
      </c>
      <c r="O27" s="143" t="e">
        <v>#DIV/0!</v>
      </c>
      <c r="P27">
        <v>12</v>
      </c>
    </row>
    <row r="28" spans="1:16">
      <c r="A28" t="s">
        <v>72</v>
      </c>
      <c r="B28">
        <v>184</v>
      </c>
      <c r="C28">
        <v>103</v>
      </c>
      <c r="D28">
        <v>17</v>
      </c>
      <c r="E28">
        <v>63</v>
      </c>
      <c r="F28">
        <v>4</v>
      </c>
      <c r="G28">
        <v>2</v>
      </c>
      <c r="H28">
        <v>202.79999999999998</v>
      </c>
      <c r="I28" s="14">
        <v>215.95271897441015</v>
      </c>
      <c r="J28">
        <v>30</v>
      </c>
      <c r="K28">
        <v>27</v>
      </c>
      <c r="L28">
        <v>21</v>
      </c>
      <c r="M28">
        <v>19</v>
      </c>
      <c r="N28" s="143" t="e">
        <v>#DIV/0!</v>
      </c>
      <c r="O28" s="143" t="e">
        <v>#DIV/0!</v>
      </c>
      <c r="P28" t="e">
        <v>#N/A</v>
      </c>
    </row>
    <row r="29" spans="1:16">
      <c r="A29" t="s">
        <v>234</v>
      </c>
      <c r="B29">
        <v>77</v>
      </c>
      <c r="C29">
        <v>111</v>
      </c>
      <c r="D29">
        <v>16</v>
      </c>
      <c r="E29">
        <v>123</v>
      </c>
      <c r="F29">
        <v>71</v>
      </c>
      <c r="G29">
        <v>22</v>
      </c>
      <c r="H29">
        <v>205</v>
      </c>
      <c r="I29" s="14">
        <v>235.36542892615813</v>
      </c>
      <c r="J29">
        <v>31</v>
      </c>
      <c r="K29">
        <v>28</v>
      </c>
      <c r="L29">
        <v>25</v>
      </c>
      <c r="M29">
        <v>23</v>
      </c>
      <c r="N29" s="143" t="e">
        <v>#DIV/0!</v>
      </c>
      <c r="O29" s="143" t="e">
        <v>#DIV/0!</v>
      </c>
      <c r="P29">
        <v>-5</v>
      </c>
    </row>
    <row r="30" spans="1:16">
      <c r="A30" t="s">
        <v>382</v>
      </c>
      <c r="B30">
        <v>55</v>
      </c>
      <c r="C30">
        <v>154</v>
      </c>
      <c r="D30">
        <v>26</v>
      </c>
      <c r="E30">
        <v>10</v>
      </c>
      <c r="F30">
        <v>127</v>
      </c>
      <c r="G30">
        <v>17</v>
      </c>
      <c r="H30">
        <v>208.3</v>
      </c>
      <c r="I30" s="14">
        <v>208.25130099513837</v>
      </c>
      <c r="J30">
        <v>32</v>
      </c>
      <c r="K30">
        <v>29</v>
      </c>
      <c r="L30">
        <v>17</v>
      </c>
      <c r="M30">
        <v>16</v>
      </c>
      <c r="N30" s="143" t="e">
        <v>#DIV/0!</v>
      </c>
      <c r="O30" s="143" t="e">
        <v>#DIV/0!</v>
      </c>
      <c r="P30">
        <v>36</v>
      </c>
    </row>
    <row r="31" spans="1:16">
      <c r="A31" t="s">
        <v>14</v>
      </c>
      <c r="B31">
        <v>29</v>
      </c>
      <c r="C31">
        <v>91</v>
      </c>
      <c r="D31">
        <v>101</v>
      </c>
      <c r="E31">
        <v>76</v>
      </c>
      <c r="F31">
        <v>77</v>
      </c>
      <c r="G31">
        <v>24</v>
      </c>
      <c r="H31">
        <v>210.1</v>
      </c>
      <c r="I31" s="14">
        <v>244.53699175665767</v>
      </c>
      <c r="J31">
        <v>33</v>
      </c>
      <c r="K31">
        <v>30</v>
      </c>
      <c r="L31">
        <v>34</v>
      </c>
      <c r="M31">
        <v>31</v>
      </c>
      <c r="N31" s="143" t="e">
        <v>#DIV/0!</v>
      </c>
      <c r="O31" s="143" t="e">
        <v>#DIV/0!</v>
      </c>
      <c r="P31">
        <v>1</v>
      </c>
    </row>
    <row r="32" spans="1:16">
      <c r="A32" t="s">
        <v>188</v>
      </c>
      <c r="B32">
        <v>212</v>
      </c>
      <c r="C32">
        <v>10</v>
      </c>
      <c r="D32">
        <v>134</v>
      </c>
      <c r="E32">
        <v>24</v>
      </c>
      <c r="F32">
        <v>8</v>
      </c>
      <c r="G32">
        <v>49</v>
      </c>
      <c r="H32">
        <v>219.6</v>
      </c>
      <c r="I32" s="14">
        <v>314.11869636679091</v>
      </c>
      <c r="J32">
        <v>35</v>
      </c>
      <c r="K32">
        <v>31</v>
      </c>
      <c r="L32">
        <v>50</v>
      </c>
      <c r="M32">
        <v>45</v>
      </c>
      <c r="N32" s="143" t="e">
        <v>#DIV/0!</v>
      </c>
      <c r="O32" s="143" t="e">
        <v>#DIV/0!</v>
      </c>
      <c r="P32">
        <v>26</v>
      </c>
    </row>
    <row r="33" spans="1:16">
      <c r="A33" t="s">
        <v>17</v>
      </c>
      <c r="B33">
        <v>13</v>
      </c>
      <c r="C33">
        <v>169</v>
      </c>
      <c r="D33">
        <v>63</v>
      </c>
      <c r="E33">
        <v>102</v>
      </c>
      <c r="F33">
        <v>30</v>
      </c>
      <c r="G33">
        <v>28</v>
      </c>
      <c r="H33">
        <v>221.7</v>
      </c>
      <c r="I33" s="14">
        <v>235.7948481367946</v>
      </c>
      <c r="J33">
        <v>36</v>
      </c>
      <c r="K33">
        <v>32</v>
      </c>
      <c r="L33">
        <v>26</v>
      </c>
      <c r="M33">
        <v>24</v>
      </c>
      <c r="N33" s="143" t="e">
        <v>#DIV/0!</v>
      </c>
      <c r="O33" s="143" t="e">
        <v>#DIV/0!</v>
      </c>
      <c r="P33">
        <v>53</v>
      </c>
    </row>
    <row r="34" spans="1:16">
      <c r="A34" t="s">
        <v>242</v>
      </c>
      <c r="B34">
        <v>140</v>
      </c>
      <c r="C34">
        <v>1</v>
      </c>
      <c r="D34">
        <v>148</v>
      </c>
      <c r="E34">
        <v>97</v>
      </c>
      <c r="F34">
        <v>23</v>
      </c>
      <c r="G34">
        <v>76</v>
      </c>
      <c r="H34">
        <v>222.3</v>
      </c>
      <c r="I34" s="14">
        <v>350.16710677050366</v>
      </c>
      <c r="J34">
        <v>37</v>
      </c>
      <c r="K34">
        <v>33</v>
      </c>
      <c r="L34">
        <v>62</v>
      </c>
      <c r="M34">
        <v>54</v>
      </c>
      <c r="N34" s="143" t="e">
        <v>#DIV/0!</v>
      </c>
      <c r="O34" s="143" t="e">
        <v>#DIV/0!</v>
      </c>
      <c r="P34">
        <v>-30</v>
      </c>
    </row>
    <row r="35" spans="1:16">
      <c r="A35" t="s">
        <v>80</v>
      </c>
      <c r="B35">
        <v>73</v>
      </c>
      <c r="C35">
        <v>129</v>
      </c>
      <c r="D35">
        <v>42</v>
      </c>
      <c r="E35">
        <v>121</v>
      </c>
      <c r="F35">
        <v>47</v>
      </c>
      <c r="G35">
        <v>42</v>
      </c>
      <c r="H35">
        <v>223.4</v>
      </c>
      <c r="I35" s="14">
        <v>270.27146033730679</v>
      </c>
      <c r="J35">
        <v>38</v>
      </c>
      <c r="K35">
        <v>34</v>
      </c>
      <c r="L35">
        <v>39</v>
      </c>
      <c r="M35">
        <v>36</v>
      </c>
      <c r="N35" s="143" t="e">
        <v>#DIV/0!</v>
      </c>
      <c r="O35" s="143" t="e">
        <v>#DIV/0!</v>
      </c>
      <c r="P35">
        <v>9</v>
      </c>
    </row>
    <row r="36" spans="1:16">
      <c r="A36" t="s">
        <v>181</v>
      </c>
      <c r="B36">
        <v>132</v>
      </c>
      <c r="C36">
        <v>17</v>
      </c>
      <c r="D36">
        <v>7</v>
      </c>
      <c r="E36">
        <v>156</v>
      </c>
      <c r="F36">
        <v>199</v>
      </c>
      <c r="G36">
        <v>75</v>
      </c>
      <c r="H36">
        <v>224.8</v>
      </c>
      <c r="I36" s="14">
        <v>349.68982525132446</v>
      </c>
      <c r="J36">
        <v>39</v>
      </c>
      <c r="K36">
        <v>35</v>
      </c>
      <c r="L36">
        <v>61</v>
      </c>
      <c r="M36">
        <v>53</v>
      </c>
      <c r="N36" s="143" t="e">
        <v>#DIV/0!</v>
      </c>
      <c r="O36" s="143" t="e">
        <v>#DIV/0!</v>
      </c>
      <c r="P36">
        <v>31</v>
      </c>
    </row>
    <row r="37" spans="1:16">
      <c r="A37" t="s">
        <v>140</v>
      </c>
      <c r="B37">
        <v>161</v>
      </c>
      <c r="C37">
        <v>18</v>
      </c>
      <c r="D37">
        <v>153</v>
      </c>
      <c r="E37">
        <v>48</v>
      </c>
      <c r="F37">
        <v>14</v>
      </c>
      <c r="G37">
        <v>36</v>
      </c>
      <c r="H37">
        <v>224.99999999999997</v>
      </c>
      <c r="I37" s="14">
        <v>304.22221588961418</v>
      </c>
      <c r="J37">
        <v>40</v>
      </c>
      <c r="K37">
        <v>36</v>
      </c>
      <c r="L37">
        <v>46</v>
      </c>
      <c r="M37">
        <v>43</v>
      </c>
      <c r="N37" s="143" t="e">
        <v>#DIV/0!</v>
      </c>
      <c r="O37" s="143" t="e">
        <v>#DIV/0!</v>
      </c>
      <c r="P37">
        <v>-14</v>
      </c>
    </row>
    <row r="38" spans="1:16">
      <c r="A38" t="s">
        <v>60</v>
      </c>
      <c r="B38">
        <v>87</v>
      </c>
      <c r="C38">
        <v>11</v>
      </c>
      <c r="D38">
        <v>69</v>
      </c>
      <c r="E38">
        <v>142</v>
      </c>
      <c r="F38">
        <v>172</v>
      </c>
      <c r="G38">
        <v>64</v>
      </c>
      <c r="H38">
        <v>225.10000000000002</v>
      </c>
      <c r="I38" s="14">
        <v>338.22869997032433</v>
      </c>
      <c r="J38">
        <v>41</v>
      </c>
      <c r="K38">
        <v>37</v>
      </c>
      <c r="L38">
        <v>56</v>
      </c>
      <c r="M38">
        <v>49</v>
      </c>
      <c r="N38" s="143" t="e">
        <v>#DIV/0!</v>
      </c>
      <c r="O38" s="143" t="e">
        <v>#DIV/0!</v>
      </c>
      <c r="P38">
        <v>-47</v>
      </c>
    </row>
    <row r="39" spans="1:16">
      <c r="A39" t="s">
        <v>98</v>
      </c>
      <c r="B39">
        <v>35</v>
      </c>
      <c r="C39">
        <v>143</v>
      </c>
      <c r="D39">
        <v>87</v>
      </c>
      <c r="E39">
        <v>93</v>
      </c>
      <c r="F39">
        <v>27</v>
      </c>
      <c r="G39">
        <v>26</v>
      </c>
      <c r="H39">
        <v>226.5</v>
      </c>
      <c r="I39" s="14">
        <v>249.03063556769538</v>
      </c>
      <c r="J39">
        <v>42</v>
      </c>
      <c r="K39">
        <v>38</v>
      </c>
      <c r="L39">
        <v>35</v>
      </c>
      <c r="M39">
        <v>32</v>
      </c>
      <c r="N39" s="143" t="e">
        <v>#DIV/0!</v>
      </c>
      <c r="O39" s="143" t="e">
        <v>#DIV/0!</v>
      </c>
      <c r="P39">
        <v>-7</v>
      </c>
    </row>
    <row r="40" spans="1:16">
      <c r="A40" t="s">
        <v>23</v>
      </c>
      <c r="B40">
        <v>7</v>
      </c>
      <c r="C40">
        <v>175</v>
      </c>
      <c r="D40">
        <v>17</v>
      </c>
      <c r="E40">
        <v>19</v>
      </c>
      <c r="F40">
        <v>204</v>
      </c>
      <c r="G40">
        <v>32</v>
      </c>
      <c r="H40">
        <v>227.09999999999997</v>
      </c>
      <c r="I40" s="14">
        <v>235.85549682054574</v>
      </c>
      <c r="J40">
        <v>43</v>
      </c>
      <c r="K40">
        <v>39</v>
      </c>
      <c r="L40">
        <v>27</v>
      </c>
      <c r="M40">
        <v>25</v>
      </c>
      <c r="N40" s="143" t="e">
        <v>#DIV/0!</v>
      </c>
      <c r="O40" s="143" t="e">
        <v>#DIV/0!</v>
      </c>
      <c r="P40">
        <v>-23</v>
      </c>
    </row>
    <row r="41" spans="1:16">
      <c r="A41" t="s">
        <v>9</v>
      </c>
      <c r="B41">
        <v>4</v>
      </c>
      <c r="C41">
        <v>113</v>
      </c>
      <c r="D41">
        <v>106</v>
      </c>
      <c r="E41">
        <v>144</v>
      </c>
      <c r="F41">
        <v>41</v>
      </c>
      <c r="G41">
        <v>21</v>
      </c>
      <c r="H41">
        <v>229.29999999999998</v>
      </c>
      <c r="I41" s="14">
        <v>260.78223025681734</v>
      </c>
      <c r="J41">
        <v>44</v>
      </c>
      <c r="K41">
        <v>40</v>
      </c>
      <c r="L41">
        <v>36</v>
      </c>
      <c r="M41">
        <v>33</v>
      </c>
      <c r="N41" s="143" t="e">
        <v>#DIV/0!</v>
      </c>
      <c r="O41" s="143" t="e">
        <v>#DIV/0!</v>
      </c>
      <c r="P41">
        <v>49</v>
      </c>
    </row>
    <row r="42" spans="1:16">
      <c r="A42" t="s">
        <v>90</v>
      </c>
      <c r="B42">
        <v>41</v>
      </c>
      <c r="C42">
        <v>38</v>
      </c>
      <c r="D42">
        <v>83</v>
      </c>
      <c r="E42">
        <v>155</v>
      </c>
      <c r="F42">
        <v>162</v>
      </c>
      <c r="G42">
        <v>71</v>
      </c>
      <c r="H42">
        <v>232</v>
      </c>
      <c r="I42" s="14">
        <v>342.68766259849502</v>
      </c>
      <c r="J42">
        <v>45</v>
      </c>
      <c r="K42">
        <v>41</v>
      </c>
      <c r="L42">
        <v>58</v>
      </c>
      <c r="M42">
        <v>51</v>
      </c>
      <c r="N42" s="143" t="e">
        <v>#DIV/0!</v>
      </c>
      <c r="O42" s="143" t="e">
        <v>#DIV/0!</v>
      </c>
      <c r="P42">
        <v>14</v>
      </c>
    </row>
    <row r="43" spans="1:16">
      <c r="A43" t="s">
        <v>143</v>
      </c>
      <c r="B43">
        <v>90</v>
      </c>
      <c r="C43">
        <v>32</v>
      </c>
      <c r="D43">
        <v>112</v>
      </c>
      <c r="E43">
        <v>171</v>
      </c>
      <c r="F43">
        <v>46</v>
      </c>
      <c r="G43">
        <v>94</v>
      </c>
      <c r="H43">
        <v>232.60000000000002</v>
      </c>
      <c r="I43" s="14">
        <v>372.75357574592391</v>
      </c>
      <c r="J43">
        <v>46</v>
      </c>
      <c r="K43">
        <v>42</v>
      </c>
      <c r="L43">
        <v>73</v>
      </c>
      <c r="M43">
        <v>61</v>
      </c>
      <c r="N43" s="143" t="e">
        <v>#DIV/0!</v>
      </c>
      <c r="O43" s="143" t="e">
        <v>#DIV/0!</v>
      </c>
      <c r="P43">
        <v>-60</v>
      </c>
    </row>
    <row r="44" spans="1:16">
      <c r="A44" t="s">
        <v>241</v>
      </c>
      <c r="B44">
        <v>2</v>
      </c>
      <c r="C44">
        <v>122</v>
      </c>
      <c r="D44">
        <v>45</v>
      </c>
      <c r="E44">
        <v>150</v>
      </c>
      <c r="F44">
        <v>141</v>
      </c>
      <c r="G44">
        <v>44</v>
      </c>
      <c r="H44">
        <v>234.29999999999998</v>
      </c>
      <c r="I44" s="14">
        <v>286.18052334123331</v>
      </c>
      <c r="J44">
        <v>47</v>
      </c>
      <c r="K44">
        <v>43</v>
      </c>
      <c r="L44">
        <v>42</v>
      </c>
      <c r="M44">
        <v>39</v>
      </c>
      <c r="N44" s="143" t="e">
        <v>#DIV/0!</v>
      </c>
      <c r="O44" s="143" t="e">
        <v>#DIV/0!</v>
      </c>
      <c r="P44">
        <v>-13</v>
      </c>
    </row>
    <row r="45" spans="1:16">
      <c r="A45" t="s">
        <v>58</v>
      </c>
      <c r="B45">
        <v>27</v>
      </c>
      <c r="C45">
        <v>148</v>
      </c>
      <c r="D45">
        <v>32</v>
      </c>
      <c r="E45">
        <v>74</v>
      </c>
      <c r="F45">
        <v>165</v>
      </c>
      <c r="G45">
        <v>37</v>
      </c>
      <c r="H45">
        <v>235.1</v>
      </c>
      <c r="I45" s="14">
        <v>265.54697639838082</v>
      </c>
      <c r="J45">
        <v>48</v>
      </c>
      <c r="K45">
        <v>44</v>
      </c>
      <c r="L45">
        <v>37</v>
      </c>
      <c r="M45">
        <v>34</v>
      </c>
      <c r="N45" s="143" t="e">
        <v>#DIV/0!</v>
      </c>
      <c r="O45" s="143" t="e">
        <v>#DIV/0!</v>
      </c>
      <c r="P45">
        <v>28</v>
      </c>
    </row>
    <row r="46" spans="1:16">
      <c r="A46" t="s">
        <v>117</v>
      </c>
      <c r="B46">
        <v>86</v>
      </c>
      <c r="C46">
        <v>76</v>
      </c>
      <c r="D46">
        <v>37</v>
      </c>
      <c r="E46">
        <v>77</v>
      </c>
      <c r="F46">
        <v>206</v>
      </c>
      <c r="G46">
        <v>110</v>
      </c>
      <c r="H46">
        <v>235.3</v>
      </c>
      <c r="I46" s="14">
        <v>367.27127024171364</v>
      </c>
      <c r="J46">
        <v>50</v>
      </c>
      <c r="K46">
        <v>45</v>
      </c>
      <c r="L46">
        <v>69</v>
      </c>
      <c r="M46">
        <v>59</v>
      </c>
      <c r="N46" s="143" t="e">
        <v>#DIV/0!</v>
      </c>
      <c r="O46" s="143" t="e">
        <v>#DIV/0!</v>
      </c>
      <c r="P46">
        <v>-48</v>
      </c>
    </row>
    <row r="47" spans="1:16">
      <c r="A47" t="s">
        <v>49</v>
      </c>
      <c r="B47">
        <v>84</v>
      </c>
      <c r="C47">
        <v>44</v>
      </c>
      <c r="D47">
        <v>158</v>
      </c>
      <c r="E47">
        <v>69</v>
      </c>
      <c r="F47">
        <v>62</v>
      </c>
      <c r="G47">
        <v>62</v>
      </c>
      <c r="H47">
        <v>235.79999999999998</v>
      </c>
      <c r="I47" s="14">
        <v>331.52229662541504</v>
      </c>
      <c r="J47">
        <v>51</v>
      </c>
      <c r="K47">
        <v>46</v>
      </c>
      <c r="L47">
        <v>55</v>
      </c>
      <c r="M47">
        <v>48</v>
      </c>
      <c r="N47" s="143" t="e">
        <v>#DIV/0!</v>
      </c>
      <c r="O47" s="143" t="e">
        <v>#DIV/0!</v>
      </c>
      <c r="P47">
        <v>19</v>
      </c>
    </row>
    <row r="48" spans="1:16">
      <c r="A48" t="s">
        <v>145</v>
      </c>
      <c r="B48">
        <v>116</v>
      </c>
      <c r="C48">
        <v>9</v>
      </c>
      <c r="D48">
        <v>33</v>
      </c>
      <c r="E48">
        <v>181</v>
      </c>
      <c r="F48">
        <v>196</v>
      </c>
      <c r="G48">
        <v>141</v>
      </c>
      <c r="H48">
        <v>238.20000000000002</v>
      </c>
      <c r="I48" s="14">
        <v>435.61422886788893</v>
      </c>
      <c r="J48">
        <v>52</v>
      </c>
      <c r="K48">
        <v>47</v>
      </c>
      <c r="L48">
        <v>112</v>
      </c>
      <c r="M48">
        <v>80</v>
      </c>
      <c r="N48" s="143" t="e">
        <v>#DIV/0!</v>
      </c>
      <c r="O48" s="143" t="e">
        <v>#DIV/0!</v>
      </c>
      <c r="P48">
        <v>-8</v>
      </c>
    </row>
    <row r="49" spans="1:16">
      <c r="A49" t="s">
        <v>389</v>
      </c>
      <c r="B49">
        <v>32</v>
      </c>
      <c r="C49">
        <v>79</v>
      </c>
      <c r="D49">
        <v>41</v>
      </c>
      <c r="E49">
        <v>212</v>
      </c>
      <c r="F49">
        <v>138</v>
      </c>
      <c r="G49">
        <v>130</v>
      </c>
      <c r="H49">
        <v>240</v>
      </c>
      <c r="I49" s="14">
        <v>400.71606208705623</v>
      </c>
      <c r="J49">
        <v>54</v>
      </c>
      <c r="K49">
        <v>48</v>
      </c>
      <c r="L49">
        <v>91</v>
      </c>
      <c r="M49">
        <v>71</v>
      </c>
      <c r="N49" s="143" t="e">
        <v>#DIV/0!</v>
      </c>
      <c r="O49" s="143" t="e">
        <v>#DIV/0!</v>
      </c>
      <c r="P49">
        <v>-54</v>
      </c>
    </row>
    <row r="50" spans="1:16">
      <c r="A50" t="s">
        <v>137</v>
      </c>
      <c r="B50">
        <v>123</v>
      </c>
      <c r="C50">
        <v>14</v>
      </c>
      <c r="D50">
        <v>56</v>
      </c>
      <c r="E50">
        <v>198</v>
      </c>
      <c r="F50">
        <v>137</v>
      </c>
      <c r="G50">
        <v>104</v>
      </c>
      <c r="H50">
        <v>244.5</v>
      </c>
      <c r="I50" s="14">
        <v>406.26531246873236</v>
      </c>
      <c r="J50">
        <v>58</v>
      </c>
      <c r="K50">
        <v>49</v>
      </c>
      <c r="L50">
        <v>96</v>
      </c>
      <c r="M50">
        <v>74</v>
      </c>
      <c r="N50" s="143" t="e">
        <v>#DIV/0!</v>
      </c>
      <c r="O50" s="143" t="e">
        <v>#DIV/0!</v>
      </c>
      <c r="P50">
        <v>-47</v>
      </c>
    </row>
    <row r="51" spans="1:16">
      <c r="A51" t="s">
        <v>76</v>
      </c>
      <c r="B51">
        <v>22</v>
      </c>
      <c r="C51">
        <v>126</v>
      </c>
      <c r="D51">
        <v>97</v>
      </c>
      <c r="E51">
        <v>92</v>
      </c>
      <c r="F51">
        <v>112</v>
      </c>
      <c r="G51">
        <v>59</v>
      </c>
      <c r="H51">
        <v>248.7</v>
      </c>
      <c r="I51" s="14">
        <v>312.97050378168683</v>
      </c>
      <c r="J51">
        <v>61</v>
      </c>
      <c r="K51">
        <v>50</v>
      </c>
      <c r="L51">
        <v>49</v>
      </c>
      <c r="M51">
        <v>44</v>
      </c>
      <c r="N51" s="143" t="e">
        <v>#DIV/0!</v>
      </c>
      <c r="O51" s="143" t="e">
        <v>#DIV/0!</v>
      </c>
      <c r="P51">
        <v>79</v>
      </c>
    </row>
    <row r="52" spans="1:16">
      <c r="A52" t="s">
        <v>19</v>
      </c>
      <c r="B52">
        <v>16</v>
      </c>
      <c r="C52">
        <v>186</v>
      </c>
      <c r="D52">
        <v>59</v>
      </c>
      <c r="E52">
        <v>160</v>
      </c>
      <c r="F52">
        <v>15</v>
      </c>
      <c r="G52">
        <v>30</v>
      </c>
      <c r="H52">
        <v>249.5</v>
      </c>
      <c r="I52" s="14">
        <v>269.21592442406074</v>
      </c>
      <c r="J52">
        <v>62</v>
      </c>
      <c r="K52">
        <v>51</v>
      </c>
      <c r="L52">
        <v>38</v>
      </c>
      <c r="M52">
        <v>35</v>
      </c>
      <c r="N52" s="143" t="e">
        <v>#DIV/0!</v>
      </c>
      <c r="O52" s="143" t="e">
        <v>#DIV/0!</v>
      </c>
      <c r="P52">
        <v>24</v>
      </c>
    </row>
    <row r="53" spans="1:16">
      <c r="A53" t="s">
        <v>131</v>
      </c>
      <c r="B53">
        <v>109</v>
      </c>
      <c r="C53">
        <v>125</v>
      </c>
      <c r="D53">
        <v>90</v>
      </c>
      <c r="E53">
        <v>27</v>
      </c>
      <c r="F53">
        <v>86</v>
      </c>
      <c r="G53">
        <v>49</v>
      </c>
      <c r="H53">
        <v>250.20000000000002</v>
      </c>
      <c r="I53" s="14">
        <v>303.82594485533423</v>
      </c>
      <c r="J53">
        <v>63</v>
      </c>
      <c r="K53">
        <v>52</v>
      </c>
      <c r="L53">
        <v>45</v>
      </c>
      <c r="M53">
        <v>42</v>
      </c>
      <c r="N53" s="143" t="e">
        <v>#DIV/0!</v>
      </c>
      <c r="O53" s="143" t="e">
        <v>#DIV/0!</v>
      </c>
      <c r="P53">
        <v>45</v>
      </c>
    </row>
    <row r="54" spans="1:16">
      <c r="A54" t="s">
        <v>231</v>
      </c>
      <c r="B54">
        <v>72</v>
      </c>
      <c r="C54">
        <v>134</v>
      </c>
      <c r="D54">
        <v>62</v>
      </c>
      <c r="E54">
        <v>65</v>
      </c>
      <c r="F54">
        <v>129</v>
      </c>
      <c r="G54">
        <v>39</v>
      </c>
      <c r="H54">
        <v>250.8</v>
      </c>
      <c r="I54" s="14">
        <v>292.47358597358573</v>
      </c>
      <c r="J54">
        <v>64</v>
      </c>
      <c r="K54">
        <v>53</v>
      </c>
      <c r="L54">
        <v>43</v>
      </c>
      <c r="M54">
        <v>40</v>
      </c>
      <c r="N54" s="143" t="e">
        <v>#DIV/0!</v>
      </c>
      <c r="O54" s="143" t="e">
        <v>#DIV/0!</v>
      </c>
      <c r="P54">
        <v>-27</v>
      </c>
    </row>
    <row r="55" spans="1:16">
      <c r="A55" t="s">
        <v>233</v>
      </c>
      <c r="B55">
        <v>17</v>
      </c>
      <c r="C55">
        <v>202</v>
      </c>
      <c r="D55">
        <v>1</v>
      </c>
      <c r="E55">
        <v>83</v>
      </c>
      <c r="F55">
        <v>173</v>
      </c>
      <c r="G55">
        <v>12</v>
      </c>
      <c r="H55">
        <v>252.99999999999994</v>
      </c>
      <c r="I55" s="14">
        <v>242.35452743558005</v>
      </c>
      <c r="J55">
        <v>65</v>
      </c>
      <c r="K55">
        <v>54</v>
      </c>
      <c r="L55">
        <v>33</v>
      </c>
      <c r="M55">
        <v>30</v>
      </c>
      <c r="N55" s="143" t="e">
        <v>#DIV/0!</v>
      </c>
      <c r="O55" s="143" t="e">
        <v>#DIV/0!</v>
      </c>
      <c r="P55">
        <v>-7</v>
      </c>
    </row>
    <row r="56" spans="1:16">
      <c r="A56" t="s">
        <v>144</v>
      </c>
      <c r="B56">
        <v>170</v>
      </c>
      <c r="C56">
        <v>50</v>
      </c>
      <c r="D56">
        <v>174</v>
      </c>
      <c r="E56">
        <v>5</v>
      </c>
      <c r="F56">
        <v>24</v>
      </c>
      <c r="G56">
        <v>53</v>
      </c>
      <c r="H56">
        <v>253.4</v>
      </c>
      <c r="I56" s="14">
        <v>339.84432076388697</v>
      </c>
      <c r="J56">
        <v>66</v>
      </c>
      <c r="K56">
        <v>55</v>
      </c>
      <c r="L56">
        <v>57</v>
      </c>
      <c r="M56">
        <v>50</v>
      </c>
      <c r="N56" s="143" t="e">
        <v>#DIV/0!</v>
      </c>
      <c r="O56" s="143" t="e">
        <v>#DIV/0!</v>
      </c>
      <c r="P56">
        <v>-30</v>
      </c>
    </row>
    <row r="57" spans="1:16">
      <c r="A57" t="s">
        <v>123</v>
      </c>
      <c r="B57">
        <v>107</v>
      </c>
      <c r="C57">
        <v>13</v>
      </c>
      <c r="D57">
        <v>178</v>
      </c>
      <c r="E57">
        <v>56</v>
      </c>
      <c r="F57">
        <v>110</v>
      </c>
      <c r="G57">
        <v>99</v>
      </c>
      <c r="H57">
        <v>253.6</v>
      </c>
      <c r="I57" s="14">
        <v>400.19197013749942</v>
      </c>
      <c r="J57">
        <v>67</v>
      </c>
      <c r="K57">
        <v>56</v>
      </c>
      <c r="L57">
        <v>90</v>
      </c>
      <c r="M57">
        <v>70</v>
      </c>
      <c r="N57" s="143" t="e">
        <v>#DIV/0!</v>
      </c>
      <c r="O57" s="143" t="e">
        <v>#DIV/0!</v>
      </c>
      <c r="P57">
        <v>-13</v>
      </c>
    </row>
    <row r="58" spans="1:16">
      <c r="A58" t="s">
        <v>154</v>
      </c>
      <c r="B58">
        <v>148</v>
      </c>
      <c r="C58">
        <v>25</v>
      </c>
      <c r="D58">
        <v>139</v>
      </c>
      <c r="E58">
        <v>81</v>
      </c>
      <c r="F58">
        <v>87</v>
      </c>
      <c r="G58">
        <v>108</v>
      </c>
      <c r="H58">
        <v>256</v>
      </c>
      <c r="I58" s="14">
        <v>411.69176678552776</v>
      </c>
      <c r="J58">
        <v>69</v>
      </c>
      <c r="K58">
        <v>57</v>
      </c>
      <c r="L58">
        <v>98</v>
      </c>
      <c r="M58">
        <v>75</v>
      </c>
      <c r="N58" s="143" t="e">
        <v>#DIV/0!</v>
      </c>
      <c r="O58" s="143" t="e">
        <v>#DIV/0!</v>
      </c>
      <c r="P58">
        <v>40</v>
      </c>
    </row>
    <row r="59" spans="1:16">
      <c r="A59" t="s">
        <v>68</v>
      </c>
      <c r="B59">
        <v>92</v>
      </c>
      <c r="C59">
        <v>69</v>
      </c>
      <c r="D59">
        <v>154</v>
      </c>
      <c r="E59">
        <v>80</v>
      </c>
      <c r="F59">
        <v>55</v>
      </c>
      <c r="G59">
        <v>120</v>
      </c>
      <c r="H59">
        <v>256.10000000000002</v>
      </c>
      <c r="I59" s="14">
        <v>405.62374172524738</v>
      </c>
      <c r="J59">
        <v>70</v>
      </c>
      <c r="K59">
        <v>58</v>
      </c>
      <c r="L59">
        <v>94</v>
      </c>
      <c r="M59">
        <v>72</v>
      </c>
      <c r="N59" s="143" t="e">
        <v>#DIV/0!</v>
      </c>
      <c r="O59" s="143" t="e">
        <v>#DIV/0!</v>
      </c>
      <c r="P59">
        <v>15</v>
      </c>
    </row>
    <row r="60" spans="1:16">
      <c r="A60" t="s">
        <v>95</v>
      </c>
      <c r="B60">
        <v>97</v>
      </c>
      <c r="C60">
        <v>142</v>
      </c>
      <c r="D60">
        <v>73</v>
      </c>
      <c r="E60">
        <v>105</v>
      </c>
      <c r="F60">
        <v>43</v>
      </c>
      <c r="G60">
        <v>51</v>
      </c>
      <c r="H60">
        <v>258.2</v>
      </c>
      <c r="I60" s="14">
        <v>315.17636072680943</v>
      </c>
      <c r="J60">
        <v>72</v>
      </c>
      <c r="K60">
        <v>59</v>
      </c>
      <c r="L60">
        <v>52</v>
      </c>
      <c r="M60">
        <v>47</v>
      </c>
      <c r="N60" s="143" t="e">
        <v>#DIV/0!</v>
      </c>
      <c r="O60" s="143" t="e">
        <v>#DIV/0!</v>
      </c>
      <c r="P60">
        <v>141</v>
      </c>
    </row>
    <row r="61" spans="1:16">
      <c r="A61" t="s">
        <v>390</v>
      </c>
      <c r="B61">
        <v>156</v>
      </c>
      <c r="C61">
        <v>43</v>
      </c>
      <c r="D61">
        <v>156</v>
      </c>
      <c r="E61">
        <v>34</v>
      </c>
      <c r="F61">
        <v>79</v>
      </c>
      <c r="G61">
        <v>93</v>
      </c>
      <c r="H61">
        <v>262.5</v>
      </c>
      <c r="I61" s="14">
        <v>394.42031685081065</v>
      </c>
      <c r="J61">
        <v>73</v>
      </c>
      <c r="K61">
        <v>60</v>
      </c>
      <c r="L61">
        <v>85</v>
      </c>
      <c r="M61">
        <v>67</v>
      </c>
      <c r="N61" s="143" t="e">
        <v>#DIV/0!</v>
      </c>
      <c r="O61" s="143" t="e">
        <v>#DIV/0!</v>
      </c>
      <c r="P61">
        <v>50</v>
      </c>
    </row>
    <row r="62" spans="1:16">
      <c r="A62" t="s">
        <v>156</v>
      </c>
      <c r="B62">
        <v>141</v>
      </c>
      <c r="C62">
        <v>58</v>
      </c>
      <c r="D62">
        <v>60</v>
      </c>
      <c r="E62">
        <v>179</v>
      </c>
      <c r="F62">
        <v>100</v>
      </c>
      <c r="G62">
        <v>80</v>
      </c>
      <c r="H62">
        <v>264.7</v>
      </c>
      <c r="I62" s="14">
        <v>389.61031816686472</v>
      </c>
      <c r="J62">
        <v>77</v>
      </c>
      <c r="K62">
        <v>61</v>
      </c>
      <c r="L62">
        <v>82</v>
      </c>
      <c r="M62">
        <v>66</v>
      </c>
      <c r="N62" s="143" t="e">
        <v>#DIV/0!</v>
      </c>
      <c r="O62" s="143" t="e">
        <v>#DIV/0!</v>
      </c>
      <c r="P62">
        <v>-34</v>
      </c>
    </row>
    <row r="63" spans="1:16">
      <c r="A63" t="s">
        <v>92</v>
      </c>
      <c r="B63">
        <v>75</v>
      </c>
      <c r="C63">
        <v>64</v>
      </c>
      <c r="D63">
        <v>142</v>
      </c>
      <c r="E63">
        <v>100</v>
      </c>
      <c r="F63">
        <v>110</v>
      </c>
      <c r="G63">
        <v>67</v>
      </c>
      <c r="H63">
        <v>265.7</v>
      </c>
      <c r="I63" s="14">
        <v>366.201079557448</v>
      </c>
      <c r="J63">
        <v>78</v>
      </c>
      <c r="K63">
        <v>62</v>
      </c>
      <c r="L63">
        <v>67</v>
      </c>
      <c r="M63">
        <v>57</v>
      </c>
      <c r="N63" s="143" t="e">
        <v>#DIV/0!</v>
      </c>
      <c r="O63" s="143" t="e">
        <v>#DIV/0!</v>
      </c>
      <c r="P63">
        <v>21</v>
      </c>
    </row>
    <row r="64" spans="1:16">
      <c r="A64" t="s">
        <v>128</v>
      </c>
      <c r="B64">
        <v>49</v>
      </c>
      <c r="C64">
        <v>64</v>
      </c>
      <c r="D64">
        <v>124</v>
      </c>
      <c r="E64">
        <v>120</v>
      </c>
      <c r="F64">
        <v>161</v>
      </c>
      <c r="G64">
        <v>79</v>
      </c>
      <c r="H64">
        <v>268.5</v>
      </c>
      <c r="I64" s="14">
        <v>381.63608524821529</v>
      </c>
      <c r="J64">
        <v>80.5</v>
      </c>
      <c r="K64">
        <v>63</v>
      </c>
      <c r="L64">
        <v>79</v>
      </c>
      <c r="M64">
        <v>64</v>
      </c>
      <c r="N64" s="143" t="e">
        <v>#DIV/0!</v>
      </c>
      <c r="O64" s="143" t="e">
        <v>#DIV/0!</v>
      </c>
      <c r="P64">
        <v>13</v>
      </c>
    </row>
    <row r="65" spans="1:16">
      <c r="A65" t="s">
        <v>112</v>
      </c>
      <c r="B65">
        <v>158</v>
      </c>
      <c r="C65">
        <v>51</v>
      </c>
      <c r="D65">
        <v>136</v>
      </c>
      <c r="E65">
        <v>111</v>
      </c>
      <c r="F65">
        <v>39</v>
      </c>
      <c r="G65">
        <v>66</v>
      </c>
      <c r="H65">
        <v>269.89999999999998</v>
      </c>
      <c r="I65" s="14">
        <v>379.82444821252767</v>
      </c>
      <c r="J65">
        <v>83</v>
      </c>
      <c r="K65">
        <v>64</v>
      </c>
      <c r="L65">
        <v>77</v>
      </c>
      <c r="M65">
        <v>62</v>
      </c>
      <c r="N65" s="143" t="e">
        <v>#DIV/0!</v>
      </c>
      <c r="O65" s="143" t="e">
        <v>#DIV/0!</v>
      </c>
      <c r="P65">
        <v>11</v>
      </c>
    </row>
    <row r="66" spans="1:16">
      <c r="A66" t="s">
        <v>244</v>
      </c>
      <c r="B66">
        <v>89</v>
      </c>
      <c r="C66">
        <v>73</v>
      </c>
      <c r="D66">
        <v>89</v>
      </c>
      <c r="E66">
        <v>85</v>
      </c>
      <c r="F66">
        <v>197</v>
      </c>
      <c r="G66">
        <v>116</v>
      </c>
      <c r="H66">
        <v>270.7</v>
      </c>
      <c r="I66" s="14">
        <v>416.68249990913364</v>
      </c>
      <c r="J66">
        <v>84</v>
      </c>
      <c r="K66">
        <v>65</v>
      </c>
      <c r="L66">
        <v>102</v>
      </c>
      <c r="M66">
        <v>77</v>
      </c>
      <c r="N66" s="143" t="e">
        <v>#DIV/0!</v>
      </c>
      <c r="O66" s="143" t="e">
        <v>#DIV/0!</v>
      </c>
      <c r="P66">
        <v>74</v>
      </c>
    </row>
    <row r="67" spans="1:16">
      <c r="A67" t="s">
        <v>119</v>
      </c>
      <c r="B67">
        <v>101</v>
      </c>
      <c r="C67">
        <v>78</v>
      </c>
      <c r="D67">
        <v>151</v>
      </c>
      <c r="E67">
        <v>90</v>
      </c>
      <c r="F67">
        <v>60</v>
      </c>
      <c r="G67">
        <v>114</v>
      </c>
      <c r="H67">
        <v>270.79999999999995</v>
      </c>
      <c r="I67" s="14">
        <v>414.80074012935643</v>
      </c>
      <c r="J67">
        <v>85</v>
      </c>
      <c r="K67">
        <v>66</v>
      </c>
      <c r="L67">
        <v>100</v>
      </c>
      <c r="M67">
        <v>76</v>
      </c>
      <c r="N67" s="143" t="e">
        <v>#DIV/0!</v>
      </c>
      <c r="O67" s="143" t="e">
        <v>#DIV/0!</v>
      </c>
      <c r="P67">
        <v>-56</v>
      </c>
    </row>
    <row r="68" spans="1:16">
      <c r="A68" t="s">
        <v>138</v>
      </c>
      <c r="B68">
        <v>48</v>
      </c>
      <c r="C68">
        <v>167</v>
      </c>
      <c r="D68">
        <v>76</v>
      </c>
      <c r="E68">
        <v>157</v>
      </c>
      <c r="F68">
        <v>42</v>
      </c>
      <c r="G68">
        <v>69</v>
      </c>
      <c r="H68">
        <v>273.7</v>
      </c>
      <c r="I68" s="14">
        <v>344.41872502643213</v>
      </c>
      <c r="J68">
        <v>86</v>
      </c>
      <c r="K68">
        <v>67</v>
      </c>
      <c r="L68">
        <v>59</v>
      </c>
      <c r="M68">
        <v>52</v>
      </c>
      <c r="N68" s="143" t="e">
        <v>#DIV/0!</v>
      </c>
      <c r="O68" s="143" t="e">
        <v>#DIV/0!</v>
      </c>
      <c r="P68">
        <v>-20</v>
      </c>
    </row>
    <row r="69" spans="1:16">
      <c r="A69" t="s">
        <v>404</v>
      </c>
      <c r="B69">
        <v>37</v>
      </c>
      <c r="C69">
        <v>173</v>
      </c>
      <c r="D69">
        <v>99</v>
      </c>
      <c r="E69">
        <v>9</v>
      </c>
      <c r="F69">
        <v>155</v>
      </c>
      <c r="G69">
        <v>54</v>
      </c>
      <c r="H69">
        <v>274.5</v>
      </c>
      <c r="I69" s="14">
        <v>314.95751594433312</v>
      </c>
      <c r="J69">
        <v>87</v>
      </c>
      <c r="K69">
        <v>68</v>
      </c>
      <c r="L69">
        <v>51</v>
      </c>
      <c r="M69">
        <v>46</v>
      </c>
      <c r="N69" s="143" t="e">
        <v>#DIV/0!</v>
      </c>
      <c r="O69" s="143" t="e">
        <v>#DIV/0!</v>
      </c>
      <c r="P69">
        <v>-21</v>
      </c>
    </row>
    <row r="70" spans="1:16">
      <c r="A70" t="s">
        <v>59</v>
      </c>
      <c r="B70">
        <v>49</v>
      </c>
      <c r="C70">
        <v>210</v>
      </c>
      <c r="D70">
        <v>103</v>
      </c>
      <c r="E70">
        <v>70</v>
      </c>
      <c r="F70">
        <v>9</v>
      </c>
      <c r="G70">
        <v>45</v>
      </c>
      <c r="H70">
        <v>275.20000000000005</v>
      </c>
      <c r="I70" s="14">
        <v>299.89032823949594</v>
      </c>
      <c r="J70">
        <v>88</v>
      </c>
      <c r="K70">
        <v>69</v>
      </c>
      <c r="L70">
        <v>44</v>
      </c>
      <c r="M70">
        <v>41</v>
      </c>
      <c r="N70" s="143" t="e">
        <v>#DIV/0!</v>
      </c>
      <c r="O70" s="143" t="e">
        <v>#DIV/0!</v>
      </c>
      <c r="P70">
        <v>53</v>
      </c>
    </row>
    <row r="71" spans="1:16">
      <c r="A71" t="s">
        <v>101</v>
      </c>
      <c r="B71">
        <v>107</v>
      </c>
      <c r="C71">
        <v>63</v>
      </c>
      <c r="D71">
        <v>118</v>
      </c>
      <c r="E71">
        <v>61</v>
      </c>
      <c r="F71">
        <v>179</v>
      </c>
      <c r="G71">
        <v>96</v>
      </c>
      <c r="H71">
        <v>276.2</v>
      </c>
      <c r="I71" s="14">
        <v>405.68277885352779</v>
      </c>
      <c r="J71">
        <v>90</v>
      </c>
      <c r="K71">
        <v>70</v>
      </c>
      <c r="L71">
        <v>95</v>
      </c>
      <c r="M71">
        <v>73</v>
      </c>
      <c r="N71" s="143" t="e">
        <v>#DIV/0!</v>
      </c>
      <c r="O71" s="143" t="e">
        <v>#DIV/0!</v>
      </c>
      <c r="P71">
        <v>44</v>
      </c>
    </row>
    <row r="72" spans="1:16">
      <c r="A72" t="s">
        <v>417</v>
      </c>
      <c r="B72">
        <v>104</v>
      </c>
      <c r="C72">
        <v>6</v>
      </c>
      <c r="D72">
        <v>140</v>
      </c>
      <c r="E72">
        <v>206</v>
      </c>
      <c r="F72">
        <v>115</v>
      </c>
      <c r="G72">
        <v>155</v>
      </c>
      <c r="H72">
        <v>282.60000000000002</v>
      </c>
      <c r="I72" s="14">
        <v>504.74254110908976</v>
      </c>
      <c r="J72">
        <v>96</v>
      </c>
      <c r="K72">
        <v>71</v>
      </c>
      <c r="L72">
        <v>146</v>
      </c>
      <c r="M72">
        <v>101</v>
      </c>
      <c r="N72" s="143" t="e">
        <v>#DIV/0!</v>
      </c>
      <c r="O72" s="143" t="e">
        <v>#DIV/0!</v>
      </c>
      <c r="P72">
        <v>27</v>
      </c>
    </row>
    <row r="73" spans="1:16">
      <c r="A73" t="s">
        <v>121</v>
      </c>
      <c r="B73">
        <v>120</v>
      </c>
      <c r="C73">
        <v>100</v>
      </c>
      <c r="D73">
        <v>51</v>
      </c>
      <c r="E73">
        <v>106</v>
      </c>
      <c r="F73">
        <v>188</v>
      </c>
      <c r="G73">
        <v>147</v>
      </c>
      <c r="H73">
        <v>283.3</v>
      </c>
      <c r="I73" s="14">
        <v>455.88815657913153</v>
      </c>
      <c r="J73">
        <v>98</v>
      </c>
      <c r="K73">
        <v>72</v>
      </c>
      <c r="L73">
        <v>120</v>
      </c>
      <c r="M73">
        <v>88</v>
      </c>
      <c r="N73" s="143" t="e">
        <v>#DIV/0!</v>
      </c>
      <c r="O73" s="143" t="e">
        <v>#DIV/0!</v>
      </c>
      <c r="P73">
        <v>-32</v>
      </c>
    </row>
    <row r="74" spans="1:16">
      <c r="A74" t="s">
        <v>396</v>
      </c>
      <c r="B74">
        <v>42</v>
      </c>
      <c r="C74">
        <v>131</v>
      </c>
      <c r="D74">
        <v>57</v>
      </c>
      <c r="E74">
        <v>213</v>
      </c>
      <c r="F74">
        <v>123</v>
      </c>
      <c r="G74">
        <v>155</v>
      </c>
      <c r="H74">
        <v>287</v>
      </c>
      <c r="I74" s="14">
        <v>462.73195984935512</v>
      </c>
      <c r="J74">
        <v>102</v>
      </c>
      <c r="K74">
        <v>73</v>
      </c>
      <c r="L74">
        <v>123</v>
      </c>
      <c r="M74">
        <v>90</v>
      </c>
      <c r="N74" s="143" t="e">
        <v>#DIV/0!</v>
      </c>
      <c r="O74" s="143" t="e">
        <v>#DIV/0!</v>
      </c>
      <c r="P74">
        <v>-5</v>
      </c>
    </row>
    <row r="75" spans="1:16">
      <c r="A75" t="s">
        <v>391</v>
      </c>
      <c r="B75">
        <v>176</v>
      </c>
      <c r="C75">
        <v>162</v>
      </c>
      <c r="D75">
        <v>55</v>
      </c>
      <c r="E75">
        <v>37</v>
      </c>
      <c r="F75">
        <v>85</v>
      </c>
      <c r="G75">
        <v>68</v>
      </c>
      <c r="H75">
        <v>288.7</v>
      </c>
      <c r="I75" s="14">
        <v>358.4481654447668</v>
      </c>
      <c r="J75">
        <v>103</v>
      </c>
      <c r="K75">
        <v>74</v>
      </c>
      <c r="L75">
        <v>63</v>
      </c>
      <c r="M75">
        <v>55</v>
      </c>
      <c r="N75" s="143" t="e">
        <v>#DIV/0!</v>
      </c>
      <c r="O75" s="143" t="e">
        <v>#DIV/0!</v>
      </c>
      <c r="P75">
        <v>21</v>
      </c>
    </row>
    <row r="76" spans="1:16">
      <c r="A76" t="s">
        <v>65</v>
      </c>
      <c r="B76">
        <v>83</v>
      </c>
      <c r="C76">
        <v>67</v>
      </c>
      <c r="D76">
        <v>74</v>
      </c>
      <c r="E76">
        <v>208</v>
      </c>
      <c r="F76">
        <v>164</v>
      </c>
      <c r="G76">
        <v>159</v>
      </c>
      <c r="H76">
        <v>289</v>
      </c>
      <c r="I76" s="14">
        <v>493.23951170525027</v>
      </c>
      <c r="J76">
        <v>104</v>
      </c>
      <c r="K76">
        <v>75</v>
      </c>
      <c r="L76">
        <v>137</v>
      </c>
      <c r="M76">
        <v>96</v>
      </c>
      <c r="N76" s="143" t="e">
        <v>#DIV/0!</v>
      </c>
      <c r="O76" s="143" t="e">
        <v>#DIV/0!</v>
      </c>
      <c r="P76">
        <v>-6</v>
      </c>
    </row>
    <row r="77" spans="1:16">
      <c r="A77" t="s">
        <v>127</v>
      </c>
      <c r="B77">
        <v>156</v>
      </c>
      <c r="C77">
        <v>57</v>
      </c>
      <c r="D77">
        <v>82</v>
      </c>
      <c r="E77">
        <v>188</v>
      </c>
      <c r="F77">
        <v>97</v>
      </c>
      <c r="G77">
        <v>109</v>
      </c>
      <c r="H77">
        <v>289.3</v>
      </c>
      <c r="I77" s="14">
        <v>449.22095591304202</v>
      </c>
      <c r="J77">
        <v>105</v>
      </c>
      <c r="K77">
        <v>76</v>
      </c>
      <c r="L77">
        <v>117</v>
      </c>
      <c r="M77">
        <v>85</v>
      </c>
      <c r="N77" s="143" t="e">
        <v>#DIV/0!</v>
      </c>
      <c r="O77" s="143" t="e">
        <v>#DIV/0!</v>
      </c>
      <c r="P77">
        <v>-48</v>
      </c>
    </row>
    <row r="78" spans="1:16">
      <c r="A78" t="s">
        <v>307</v>
      </c>
      <c r="B78">
        <v>20</v>
      </c>
      <c r="C78">
        <v>172</v>
      </c>
      <c r="D78">
        <v>109</v>
      </c>
      <c r="E78">
        <v>124</v>
      </c>
      <c r="F78">
        <v>91</v>
      </c>
      <c r="G78">
        <v>89</v>
      </c>
      <c r="H78">
        <v>292.7</v>
      </c>
      <c r="I78" s="14">
        <v>380.65440034979622</v>
      </c>
      <c r="J78">
        <v>107</v>
      </c>
      <c r="K78">
        <v>77</v>
      </c>
      <c r="L78">
        <v>78</v>
      </c>
      <c r="M78">
        <v>63</v>
      </c>
      <c r="N78" s="143" t="e">
        <v>#DIV/0!</v>
      </c>
      <c r="O78" s="143" t="e">
        <v>#DIV/0!</v>
      </c>
      <c r="P78">
        <v>80</v>
      </c>
    </row>
    <row r="79" spans="1:16">
      <c r="A79" t="s">
        <v>191</v>
      </c>
      <c r="B79">
        <v>211</v>
      </c>
      <c r="C79">
        <v>3</v>
      </c>
      <c r="D79">
        <v>129</v>
      </c>
      <c r="E79">
        <v>94</v>
      </c>
      <c r="F79">
        <v>148</v>
      </c>
      <c r="G79">
        <v>153</v>
      </c>
      <c r="H79">
        <v>294.7</v>
      </c>
      <c r="I79" s="14">
        <v>513.43476295766402</v>
      </c>
      <c r="J79">
        <v>108</v>
      </c>
      <c r="K79">
        <v>78</v>
      </c>
      <c r="L79">
        <v>148</v>
      </c>
      <c r="M79">
        <v>103</v>
      </c>
      <c r="N79" s="143" t="e">
        <v>#DIV/0!</v>
      </c>
      <c r="O79" s="143" t="e">
        <v>#DIV/0!</v>
      </c>
      <c r="P79">
        <v>33</v>
      </c>
    </row>
    <row r="80" spans="1:16">
      <c r="A80" t="s">
        <v>146</v>
      </c>
      <c r="B80">
        <v>130</v>
      </c>
      <c r="C80">
        <v>120</v>
      </c>
      <c r="D80">
        <v>111</v>
      </c>
      <c r="E80">
        <v>107</v>
      </c>
      <c r="F80">
        <v>66</v>
      </c>
      <c r="G80">
        <v>107</v>
      </c>
      <c r="H80">
        <v>295.89999999999998</v>
      </c>
      <c r="I80" s="14">
        <v>424.75722519571133</v>
      </c>
      <c r="J80">
        <v>109</v>
      </c>
      <c r="K80">
        <v>79</v>
      </c>
      <c r="L80">
        <v>105</v>
      </c>
      <c r="M80">
        <v>79</v>
      </c>
      <c r="N80" s="143" t="e">
        <v>#DIV/0!</v>
      </c>
      <c r="O80" s="143" t="e">
        <v>#DIV/0!</v>
      </c>
      <c r="P80">
        <v>65</v>
      </c>
    </row>
    <row r="81" spans="1:16">
      <c r="A81" t="s">
        <v>380</v>
      </c>
      <c r="B81">
        <v>59</v>
      </c>
      <c r="C81">
        <v>203</v>
      </c>
      <c r="D81">
        <v>145</v>
      </c>
      <c r="E81">
        <v>15</v>
      </c>
      <c r="F81">
        <v>56</v>
      </c>
      <c r="G81">
        <v>88</v>
      </c>
      <c r="H81">
        <v>301.5</v>
      </c>
      <c r="I81" s="14">
        <v>371.90606731141736</v>
      </c>
      <c r="J81">
        <v>113</v>
      </c>
      <c r="K81">
        <v>80</v>
      </c>
      <c r="L81">
        <v>72</v>
      </c>
      <c r="M81">
        <v>60</v>
      </c>
      <c r="N81" s="143" t="e">
        <v>#DIV/0!</v>
      </c>
      <c r="O81" s="143" t="e">
        <v>#DIV/0!</v>
      </c>
      <c r="P81">
        <v>-40</v>
      </c>
    </row>
    <row r="82" spans="1:16">
      <c r="A82" t="s">
        <v>91</v>
      </c>
      <c r="B82">
        <v>68</v>
      </c>
      <c r="C82">
        <v>181</v>
      </c>
      <c r="D82">
        <v>44</v>
      </c>
      <c r="E82">
        <v>152</v>
      </c>
      <c r="F82">
        <v>130</v>
      </c>
      <c r="G82">
        <v>83</v>
      </c>
      <c r="H82">
        <v>304.3</v>
      </c>
      <c r="I82" s="14">
        <v>389.18257825887923</v>
      </c>
      <c r="J82">
        <v>115</v>
      </c>
      <c r="K82">
        <v>81</v>
      </c>
      <c r="L82">
        <v>81</v>
      </c>
      <c r="M82">
        <v>65</v>
      </c>
      <c r="N82" s="143" t="e">
        <v>#DIV/0!</v>
      </c>
      <c r="O82" s="143" t="e">
        <v>#DIV/0!</v>
      </c>
      <c r="P82">
        <v>54</v>
      </c>
    </row>
    <row r="83" spans="1:16">
      <c r="A83" t="s">
        <v>64</v>
      </c>
      <c r="B83">
        <v>84</v>
      </c>
      <c r="C83">
        <v>200</v>
      </c>
      <c r="D83">
        <v>66</v>
      </c>
      <c r="E83">
        <v>88</v>
      </c>
      <c r="F83">
        <v>103</v>
      </c>
      <c r="G83">
        <v>65</v>
      </c>
      <c r="H83">
        <v>304.59999999999997</v>
      </c>
      <c r="I83" s="14">
        <v>360.37554161046791</v>
      </c>
      <c r="J83">
        <v>116</v>
      </c>
      <c r="K83">
        <v>82</v>
      </c>
      <c r="L83">
        <v>64</v>
      </c>
      <c r="M83">
        <v>56</v>
      </c>
      <c r="N83" s="143" t="e">
        <v>#DIV/0!</v>
      </c>
      <c r="O83" s="143" t="e">
        <v>#DIV/0!</v>
      </c>
      <c r="P83">
        <v>8</v>
      </c>
    </row>
    <row r="84" spans="1:16">
      <c r="A84" t="s">
        <v>110</v>
      </c>
      <c r="B84">
        <v>79</v>
      </c>
      <c r="C84">
        <v>115</v>
      </c>
      <c r="D84">
        <v>125</v>
      </c>
      <c r="E84">
        <v>163</v>
      </c>
      <c r="F84">
        <v>81</v>
      </c>
      <c r="G84">
        <v>121</v>
      </c>
      <c r="H84">
        <v>305.09999999999997</v>
      </c>
      <c r="I84" s="14">
        <v>453.53576048278723</v>
      </c>
      <c r="J84">
        <v>117</v>
      </c>
      <c r="K84">
        <v>83</v>
      </c>
      <c r="L84">
        <v>119</v>
      </c>
      <c r="M84">
        <v>87</v>
      </c>
      <c r="N84" s="143" t="e">
        <v>#DIV/0!</v>
      </c>
      <c r="O84" s="143" t="e">
        <v>#DIV/0!</v>
      </c>
      <c r="P84">
        <v>50</v>
      </c>
    </row>
    <row r="85" spans="1:16">
      <c r="A85" t="s">
        <v>120</v>
      </c>
      <c r="B85">
        <v>138</v>
      </c>
      <c r="C85">
        <v>88</v>
      </c>
      <c r="D85">
        <v>133</v>
      </c>
      <c r="E85">
        <v>168</v>
      </c>
      <c r="F85">
        <v>36</v>
      </c>
      <c r="G85">
        <v>115</v>
      </c>
      <c r="H85">
        <v>305.29999999999995</v>
      </c>
      <c r="I85" s="14">
        <v>460.78576532662521</v>
      </c>
      <c r="J85">
        <v>118</v>
      </c>
      <c r="K85">
        <v>84</v>
      </c>
      <c r="L85">
        <v>122</v>
      </c>
      <c r="M85">
        <v>89</v>
      </c>
      <c r="N85" s="143" t="e">
        <v>#DIV/0!</v>
      </c>
      <c r="O85" s="143" t="e">
        <v>#DIV/0!</v>
      </c>
      <c r="P85">
        <v>-47</v>
      </c>
    </row>
    <row r="86" spans="1:16">
      <c r="A86" t="s">
        <v>52</v>
      </c>
      <c r="B86">
        <v>182</v>
      </c>
      <c r="C86">
        <v>170</v>
      </c>
      <c r="D86">
        <v>108</v>
      </c>
      <c r="E86">
        <v>4</v>
      </c>
      <c r="F86">
        <v>51</v>
      </c>
      <c r="G86">
        <v>134</v>
      </c>
      <c r="H86">
        <v>307.60000000000002</v>
      </c>
      <c r="I86" s="14">
        <v>441.51875652521824</v>
      </c>
      <c r="J86">
        <v>120</v>
      </c>
      <c r="K86">
        <v>85</v>
      </c>
      <c r="L86">
        <v>114</v>
      </c>
      <c r="M86">
        <v>82</v>
      </c>
      <c r="N86" s="143" t="e">
        <v>#DIV/0!</v>
      </c>
      <c r="O86" s="143" t="e">
        <v>#DIV/0!</v>
      </c>
      <c r="P86">
        <v>-6</v>
      </c>
    </row>
    <row r="87" spans="1:16">
      <c r="A87" t="s">
        <v>236</v>
      </c>
      <c r="B87">
        <v>183</v>
      </c>
      <c r="C87">
        <v>39</v>
      </c>
      <c r="D87">
        <v>175</v>
      </c>
      <c r="E87">
        <v>51</v>
      </c>
      <c r="F87">
        <v>116</v>
      </c>
      <c r="G87">
        <v>135</v>
      </c>
      <c r="H87">
        <v>308.10000000000002</v>
      </c>
      <c r="I87" s="14">
        <v>493.65692994568184</v>
      </c>
      <c r="J87">
        <v>121</v>
      </c>
      <c r="K87">
        <v>86</v>
      </c>
      <c r="L87">
        <v>138</v>
      </c>
      <c r="M87">
        <v>97</v>
      </c>
      <c r="N87" s="143" t="e">
        <v>#DIV/0!</v>
      </c>
      <c r="O87" s="143" t="e">
        <v>#DIV/0!</v>
      </c>
      <c r="P87">
        <v>-27</v>
      </c>
    </row>
    <row r="88" spans="1:16">
      <c r="A88" t="s">
        <v>38</v>
      </c>
      <c r="B88">
        <v>47</v>
      </c>
      <c r="C88">
        <v>207</v>
      </c>
      <c r="D88">
        <v>132</v>
      </c>
      <c r="E88">
        <v>59</v>
      </c>
      <c r="F88">
        <v>63</v>
      </c>
      <c r="G88">
        <v>72</v>
      </c>
      <c r="H88">
        <v>309.59999999999997</v>
      </c>
      <c r="I88" s="14">
        <v>366.96626783207097</v>
      </c>
      <c r="J88">
        <v>122.5</v>
      </c>
      <c r="K88">
        <v>87</v>
      </c>
      <c r="L88">
        <v>68</v>
      </c>
      <c r="M88">
        <v>58</v>
      </c>
      <c r="N88" s="143" t="e">
        <v>#DIV/0!</v>
      </c>
      <c r="O88" s="143" t="e">
        <v>#DIV/0!</v>
      </c>
      <c r="P88">
        <v>-31</v>
      </c>
    </row>
    <row r="89" spans="1:16">
      <c r="A89" t="s">
        <v>167</v>
      </c>
      <c r="B89">
        <v>151</v>
      </c>
      <c r="C89">
        <v>101</v>
      </c>
      <c r="D89">
        <v>166</v>
      </c>
      <c r="E89">
        <v>102</v>
      </c>
      <c r="F89">
        <v>16</v>
      </c>
      <c r="G89">
        <v>82</v>
      </c>
      <c r="H89">
        <v>309.59999999999997</v>
      </c>
      <c r="I89" s="14">
        <v>423.48396303534793</v>
      </c>
      <c r="J89">
        <v>122.5</v>
      </c>
      <c r="K89">
        <v>88</v>
      </c>
      <c r="L89">
        <v>103</v>
      </c>
      <c r="M89">
        <v>78</v>
      </c>
      <c r="N89" s="143" t="e">
        <v>#DIV/0!</v>
      </c>
      <c r="O89" s="143" t="e">
        <v>#DIV/0!</v>
      </c>
      <c r="P89">
        <v>-26</v>
      </c>
    </row>
    <row r="90" spans="1:16">
      <c r="A90" t="s">
        <v>175</v>
      </c>
      <c r="B90">
        <v>162</v>
      </c>
      <c r="C90">
        <v>21</v>
      </c>
      <c r="D90">
        <v>191</v>
      </c>
      <c r="E90">
        <v>129</v>
      </c>
      <c r="F90">
        <v>89</v>
      </c>
      <c r="G90">
        <v>160</v>
      </c>
      <c r="H90">
        <v>316.60000000000002</v>
      </c>
      <c r="I90" s="14">
        <v>540.67451276341239</v>
      </c>
      <c r="J90">
        <v>125</v>
      </c>
      <c r="K90">
        <v>89</v>
      </c>
      <c r="L90">
        <v>157</v>
      </c>
      <c r="M90">
        <v>107</v>
      </c>
      <c r="N90" s="143" t="e">
        <v>#DIV/0!</v>
      </c>
      <c r="O90" s="143" t="e">
        <v>#DIV/0!</v>
      </c>
      <c r="P90">
        <v>10</v>
      </c>
    </row>
    <row r="91" spans="1:16">
      <c r="A91" t="s">
        <v>408</v>
      </c>
      <c r="B91">
        <v>43</v>
      </c>
      <c r="C91">
        <v>135</v>
      </c>
      <c r="D91">
        <v>195</v>
      </c>
      <c r="E91">
        <v>132</v>
      </c>
      <c r="F91">
        <v>40</v>
      </c>
      <c r="G91">
        <v>55</v>
      </c>
      <c r="H91">
        <v>321.3</v>
      </c>
      <c r="I91" s="14">
        <v>395.46881697220221</v>
      </c>
      <c r="J91">
        <v>126</v>
      </c>
      <c r="K91">
        <v>90</v>
      </c>
      <c r="L91">
        <v>87</v>
      </c>
      <c r="M91">
        <v>69</v>
      </c>
      <c r="N91" s="143" t="e">
        <v>#DIV/0!</v>
      </c>
      <c r="O91" s="143" t="e">
        <v>#DIV/0!</v>
      </c>
      <c r="P91">
        <v>5</v>
      </c>
    </row>
    <row r="92" spans="1:16">
      <c r="A92" t="s">
        <v>239</v>
      </c>
      <c r="B92">
        <v>118</v>
      </c>
      <c r="C92">
        <v>136</v>
      </c>
      <c r="D92">
        <v>190</v>
      </c>
      <c r="E92">
        <v>56</v>
      </c>
      <c r="F92">
        <v>32</v>
      </c>
      <c r="G92">
        <v>112</v>
      </c>
      <c r="H92">
        <v>322.39999999999998</v>
      </c>
      <c r="I92" s="14">
        <v>450.59532571425439</v>
      </c>
      <c r="J92">
        <v>128</v>
      </c>
      <c r="K92">
        <v>91</v>
      </c>
      <c r="L92">
        <v>118</v>
      </c>
      <c r="M92">
        <v>86</v>
      </c>
      <c r="N92" s="143" t="e">
        <v>#DIV/0!</v>
      </c>
      <c r="O92" s="143" t="e">
        <v>#DIV/0!</v>
      </c>
      <c r="P92">
        <v>17</v>
      </c>
    </row>
    <row r="93" spans="1:16">
      <c r="A93" t="s">
        <v>221</v>
      </c>
      <c r="B93">
        <v>160</v>
      </c>
      <c r="C93">
        <v>12</v>
      </c>
      <c r="D93">
        <v>102</v>
      </c>
      <c r="E93">
        <v>191</v>
      </c>
      <c r="F93">
        <v>216</v>
      </c>
      <c r="G93">
        <v>200</v>
      </c>
      <c r="H93">
        <v>322.60000000000002</v>
      </c>
      <c r="I93" s="14">
        <v>595.10383396535337</v>
      </c>
      <c r="J93">
        <v>129</v>
      </c>
      <c r="K93">
        <v>92</v>
      </c>
      <c r="L93">
        <v>173</v>
      </c>
      <c r="M93">
        <v>114</v>
      </c>
      <c r="N93" s="143" t="e">
        <v>#DIV/0!</v>
      </c>
      <c r="O93" s="143" t="e">
        <v>#DIV/0!</v>
      </c>
      <c r="P93">
        <v>-25</v>
      </c>
    </row>
    <row r="94" spans="1:16">
      <c r="A94" t="s">
        <v>170</v>
      </c>
      <c r="B94">
        <v>201</v>
      </c>
      <c r="C94">
        <v>82</v>
      </c>
      <c r="D94">
        <v>181</v>
      </c>
      <c r="E94">
        <v>70</v>
      </c>
      <c r="F94">
        <v>31</v>
      </c>
      <c r="G94">
        <v>126</v>
      </c>
      <c r="H94">
        <v>325</v>
      </c>
      <c r="I94" s="14">
        <v>491.88696184800062</v>
      </c>
      <c r="J94">
        <v>132</v>
      </c>
      <c r="K94">
        <v>93</v>
      </c>
      <c r="L94">
        <v>136</v>
      </c>
      <c r="M94">
        <v>95</v>
      </c>
      <c r="N94" s="143" t="e">
        <v>#DIV/0!</v>
      </c>
      <c r="O94" s="143" t="e">
        <v>#DIV/0!</v>
      </c>
      <c r="P94">
        <v>16</v>
      </c>
    </row>
    <row r="95" spans="1:16">
      <c r="A95" t="s">
        <v>20</v>
      </c>
      <c r="B95">
        <v>6</v>
      </c>
      <c r="C95">
        <v>187</v>
      </c>
      <c r="D95">
        <v>39</v>
      </c>
      <c r="E95">
        <v>200</v>
      </c>
      <c r="F95">
        <v>211</v>
      </c>
      <c r="G95">
        <v>173</v>
      </c>
      <c r="H95">
        <v>325.60000000000002</v>
      </c>
      <c r="I95" s="14">
        <v>502.63605202863562</v>
      </c>
      <c r="J95">
        <v>134</v>
      </c>
      <c r="K95">
        <v>94</v>
      </c>
      <c r="L95">
        <v>145</v>
      </c>
      <c r="M95">
        <v>100</v>
      </c>
      <c r="N95" s="143" t="e">
        <v>#DIV/0!</v>
      </c>
      <c r="O95" s="143" t="e">
        <v>#DIV/0!</v>
      </c>
      <c r="P95">
        <v>-15</v>
      </c>
    </row>
    <row r="96" spans="1:16">
      <c r="A96" t="s">
        <v>77</v>
      </c>
      <c r="B96">
        <v>70</v>
      </c>
      <c r="C96">
        <v>205</v>
      </c>
      <c r="D96">
        <v>104</v>
      </c>
      <c r="E96">
        <v>70</v>
      </c>
      <c r="F96">
        <v>119</v>
      </c>
      <c r="G96">
        <v>124</v>
      </c>
      <c r="H96">
        <v>326.90000000000003</v>
      </c>
      <c r="I96" s="14">
        <v>441.528671208628</v>
      </c>
      <c r="J96">
        <v>137</v>
      </c>
      <c r="K96">
        <v>95</v>
      </c>
      <c r="L96">
        <v>115</v>
      </c>
      <c r="M96">
        <v>83</v>
      </c>
      <c r="N96" s="143" t="e">
        <v>#DIV/0!</v>
      </c>
      <c r="O96" s="143" t="e">
        <v>#DIV/0!</v>
      </c>
      <c r="P96">
        <v>64</v>
      </c>
    </row>
    <row r="97" spans="1:16">
      <c r="A97" t="s">
        <v>18</v>
      </c>
      <c r="B97">
        <v>8</v>
      </c>
      <c r="C97">
        <v>204</v>
      </c>
      <c r="D97">
        <v>157</v>
      </c>
      <c r="E97">
        <v>154</v>
      </c>
      <c r="F97">
        <v>22</v>
      </c>
      <c r="G97">
        <v>72</v>
      </c>
      <c r="H97">
        <v>327.10000000000002</v>
      </c>
      <c r="I97" s="14">
        <v>394.81234883325436</v>
      </c>
      <c r="J97">
        <v>138</v>
      </c>
      <c r="K97">
        <v>96</v>
      </c>
      <c r="L97">
        <v>86</v>
      </c>
      <c r="M97">
        <v>68</v>
      </c>
      <c r="N97" s="143" t="e">
        <v>#DIV/0!</v>
      </c>
      <c r="O97" s="143" t="e">
        <v>#DIV/0!</v>
      </c>
      <c r="P97">
        <v>-8</v>
      </c>
    </row>
    <row r="98" spans="1:16">
      <c r="A98" t="s">
        <v>33</v>
      </c>
      <c r="B98">
        <v>14</v>
      </c>
      <c r="C98">
        <v>158</v>
      </c>
      <c r="D98">
        <v>147</v>
      </c>
      <c r="E98">
        <v>125</v>
      </c>
      <c r="F98">
        <v>142</v>
      </c>
      <c r="G98">
        <v>103</v>
      </c>
      <c r="H98">
        <v>327.3</v>
      </c>
      <c r="I98" s="14">
        <v>439.73659619547374</v>
      </c>
      <c r="J98">
        <v>139</v>
      </c>
      <c r="K98">
        <v>97</v>
      </c>
      <c r="L98">
        <v>113</v>
      </c>
      <c r="M98">
        <v>81</v>
      </c>
      <c r="N98" s="143" t="e">
        <v>#DIV/0!</v>
      </c>
      <c r="O98" s="143" t="e">
        <v>#DIV/0!</v>
      </c>
      <c r="P98">
        <v>-1</v>
      </c>
    </row>
    <row r="99" spans="1:16">
      <c r="A99" t="s">
        <v>67</v>
      </c>
      <c r="B99">
        <v>106</v>
      </c>
      <c r="C99">
        <v>159</v>
      </c>
      <c r="D99">
        <v>216</v>
      </c>
      <c r="E99">
        <v>29</v>
      </c>
      <c r="F99">
        <v>3</v>
      </c>
      <c r="G99">
        <v>151</v>
      </c>
      <c r="H99">
        <v>328.3</v>
      </c>
      <c r="I99" s="14">
        <v>485.69408126529237</v>
      </c>
      <c r="J99">
        <v>140</v>
      </c>
      <c r="K99">
        <v>98</v>
      </c>
      <c r="L99">
        <v>131</v>
      </c>
      <c r="M99">
        <v>92</v>
      </c>
      <c r="N99" s="143" t="e">
        <v>#DIV/0!</v>
      </c>
      <c r="O99" s="143" t="e">
        <v>#DIV/0!</v>
      </c>
      <c r="P99">
        <v>57</v>
      </c>
    </row>
    <row r="100" spans="1:16">
      <c r="A100" t="s">
        <v>89</v>
      </c>
      <c r="B100">
        <v>96</v>
      </c>
      <c r="C100">
        <v>161</v>
      </c>
      <c r="D100">
        <v>138</v>
      </c>
      <c r="E100">
        <v>122</v>
      </c>
      <c r="F100">
        <v>61</v>
      </c>
      <c r="G100">
        <v>102</v>
      </c>
      <c r="H100">
        <v>330.49999999999994</v>
      </c>
      <c r="I100" s="14">
        <v>445.31524681942926</v>
      </c>
      <c r="J100">
        <v>144</v>
      </c>
      <c r="K100">
        <v>99</v>
      </c>
      <c r="L100">
        <v>116</v>
      </c>
      <c r="M100">
        <v>84</v>
      </c>
      <c r="N100" s="143" t="e">
        <v>#DIV/0!</v>
      </c>
      <c r="O100" s="143" t="e">
        <v>#DIV/0!</v>
      </c>
      <c r="P100">
        <v>11</v>
      </c>
    </row>
    <row r="101" spans="1:16">
      <c r="A101" t="s">
        <v>29</v>
      </c>
      <c r="B101">
        <v>55</v>
      </c>
      <c r="C101">
        <v>144</v>
      </c>
      <c r="D101">
        <v>137</v>
      </c>
      <c r="E101">
        <v>134</v>
      </c>
      <c r="F101">
        <v>134</v>
      </c>
      <c r="G101">
        <v>128</v>
      </c>
      <c r="H101">
        <v>331.40000000000003</v>
      </c>
      <c r="I101" s="14">
        <v>477.17880228685777</v>
      </c>
      <c r="J101">
        <v>145</v>
      </c>
      <c r="K101">
        <v>100</v>
      </c>
      <c r="L101">
        <v>127</v>
      </c>
      <c r="M101">
        <v>91</v>
      </c>
      <c r="N101" s="143" t="e">
        <v>#DIV/0!</v>
      </c>
      <c r="O101" s="143" t="e">
        <v>#DIV/0!</v>
      </c>
      <c r="P101">
        <v>-18</v>
      </c>
    </row>
    <row r="102" spans="1:16">
      <c r="A102" t="s">
        <v>157</v>
      </c>
      <c r="B102">
        <v>162</v>
      </c>
      <c r="C102">
        <v>99</v>
      </c>
      <c r="D102">
        <v>86</v>
      </c>
      <c r="E102">
        <v>139</v>
      </c>
      <c r="F102">
        <v>174</v>
      </c>
      <c r="G102">
        <v>176</v>
      </c>
      <c r="H102">
        <v>335.70000000000005</v>
      </c>
      <c r="I102" s="14">
        <v>551.30473976562541</v>
      </c>
      <c r="J102">
        <v>148</v>
      </c>
      <c r="K102">
        <v>101</v>
      </c>
      <c r="L102">
        <v>161</v>
      </c>
      <c r="M102">
        <v>109</v>
      </c>
      <c r="N102" s="143" t="e">
        <v>#DIV/0!</v>
      </c>
      <c r="O102" s="143" t="e">
        <v>#DIV/0!</v>
      </c>
      <c r="P102">
        <v>-52</v>
      </c>
    </row>
    <row r="103" spans="1:16">
      <c r="A103" t="s">
        <v>220</v>
      </c>
      <c r="B103">
        <v>204</v>
      </c>
      <c r="C103">
        <v>103</v>
      </c>
      <c r="D103">
        <v>214</v>
      </c>
      <c r="E103">
        <v>42</v>
      </c>
      <c r="F103">
        <v>1</v>
      </c>
      <c r="G103">
        <v>166</v>
      </c>
      <c r="H103">
        <v>341.09999999999997</v>
      </c>
      <c r="I103" s="14">
        <v>541.25127540253925</v>
      </c>
      <c r="J103">
        <v>152</v>
      </c>
      <c r="K103">
        <v>102</v>
      </c>
      <c r="L103">
        <v>158</v>
      </c>
      <c r="M103">
        <v>108</v>
      </c>
      <c r="N103" s="143" t="e">
        <v>#DIV/0!</v>
      </c>
      <c r="O103" s="143" t="e">
        <v>#DIV/0!</v>
      </c>
      <c r="P103">
        <v>21</v>
      </c>
    </row>
    <row r="104" spans="1:16">
      <c r="A104" t="s">
        <v>86</v>
      </c>
      <c r="B104">
        <v>99</v>
      </c>
      <c r="C104">
        <v>132</v>
      </c>
      <c r="D104">
        <v>194</v>
      </c>
      <c r="E104">
        <v>126</v>
      </c>
      <c r="F104">
        <v>38</v>
      </c>
      <c r="G104">
        <v>127</v>
      </c>
      <c r="H104">
        <v>343.2999999999999</v>
      </c>
      <c r="I104" s="14">
        <v>496.34538176364936</v>
      </c>
      <c r="J104">
        <v>153</v>
      </c>
      <c r="K104">
        <v>103</v>
      </c>
      <c r="L104">
        <v>141</v>
      </c>
      <c r="M104">
        <v>99</v>
      </c>
      <c r="N104" s="143" t="e">
        <v>#DIV/0!</v>
      </c>
      <c r="O104" s="143" t="e">
        <v>#DIV/0!</v>
      </c>
      <c r="P104">
        <v>-5</v>
      </c>
    </row>
    <row r="105" spans="1:16">
      <c r="A105" t="s">
        <v>32</v>
      </c>
      <c r="B105">
        <v>82</v>
      </c>
      <c r="C105">
        <v>177</v>
      </c>
      <c r="D105">
        <v>75</v>
      </c>
      <c r="E105">
        <v>131</v>
      </c>
      <c r="F105">
        <v>184</v>
      </c>
      <c r="G105">
        <v>144</v>
      </c>
      <c r="H105">
        <v>343.4</v>
      </c>
      <c r="I105" s="14">
        <v>496.02377240547963</v>
      </c>
      <c r="J105">
        <v>154</v>
      </c>
      <c r="K105">
        <v>104</v>
      </c>
      <c r="L105">
        <v>140</v>
      </c>
      <c r="M105">
        <v>98</v>
      </c>
      <c r="N105" s="143" t="e">
        <v>#DIV/0!</v>
      </c>
      <c r="O105" s="143" t="e">
        <v>#DIV/0!</v>
      </c>
      <c r="P105">
        <v>21</v>
      </c>
    </row>
    <row r="106" spans="1:16">
      <c r="A106" t="s">
        <v>247</v>
      </c>
      <c r="B106">
        <v>168</v>
      </c>
      <c r="C106">
        <v>84</v>
      </c>
      <c r="D106">
        <v>171</v>
      </c>
      <c r="E106">
        <v>133</v>
      </c>
      <c r="F106">
        <v>72</v>
      </c>
      <c r="G106">
        <v>171</v>
      </c>
      <c r="H106">
        <v>344.5</v>
      </c>
      <c r="I106" s="14">
        <v>562.42833857588244</v>
      </c>
      <c r="J106">
        <v>155</v>
      </c>
      <c r="K106">
        <v>105</v>
      </c>
      <c r="L106">
        <v>164</v>
      </c>
      <c r="M106">
        <v>110</v>
      </c>
      <c r="N106" s="143" t="e">
        <v>#DIV/0!</v>
      </c>
      <c r="O106" s="143" t="e">
        <v>#DIV/0!</v>
      </c>
      <c r="P106">
        <v>-30</v>
      </c>
    </row>
    <row r="107" spans="1:16">
      <c r="A107" t="s">
        <v>393</v>
      </c>
      <c r="B107">
        <v>125</v>
      </c>
      <c r="C107">
        <v>145</v>
      </c>
      <c r="D107">
        <v>162</v>
      </c>
      <c r="E107">
        <v>81</v>
      </c>
      <c r="F107">
        <v>95</v>
      </c>
      <c r="G107">
        <v>123</v>
      </c>
      <c r="H107">
        <v>347.79999999999995</v>
      </c>
      <c r="I107" s="14">
        <v>490.08232619636482</v>
      </c>
      <c r="J107">
        <v>158</v>
      </c>
      <c r="K107">
        <v>106</v>
      </c>
      <c r="L107">
        <v>134</v>
      </c>
      <c r="M107">
        <v>94</v>
      </c>
      <c r="N107" s="143" t="e">
        <v>#DIV/0!</v>
      </c>
      <c r="O107" s="143" t="e">
        <v>#DIV/0!</v>
      </c>
      <c r="P107">
        <v>-28</v>
      </c>
    </row>
    <row r="108" spans="1:16">
      <c r="A108" t="s">
        <v>41</v>
      </c>
      <c r="B108">
        <v>19</v>
      </c>
      <c r="C108">
        <v>199</v>
      </c>
      <c r="D108">
        <v>207</v>
      </c>
      <c r="E108">
        <v>119</v>
      </c>
      <c r="F108">
        <v>27</v>
      </c>
      <c r="G108">
        <v>138</v>
      </c>
      <c r="H108">
        <v>352.09999999999997</v>
      </c>
      <c r="I108" s="14">
        <v>489.52075755593944</v>
      </c>
      <c r="J108">
        <v>160</v>
      </c>
      <c r="K108">
        <v>107</v>
      </c>
      <c r="L108">
        <v>133</v>
      </c>
      <c r="M108">
        <v>93</v>
      </c>
      <c r="N108" s="143" t="e">
        <v>#DIV/0!</v>
      </c>
      <c r="O108" s="143" t="e">
        <v>#DIV/0!</v>
      </c>
      <c r="P108">
        <v>1</v>
      </c>
    </row>
    <row r="109" spans="1:16">
      <c r="A109" t="s">
        <v>56</v>
      </c>
      <c r="B109">
        <v>65</v>
      </c>
      <c r="C109">
        <v>206</v>
      </c>
      <c r="D109">
        <v>110</v>
      </c>
      <c r="E109">
        <v>205</v>
      </c>
      <c r="F109">
        <v>49</v>
      </c>
      <c r="G109">
        <v>145</v>
      </c>
      <c r="H109">
        <v>355.3</v>
      </c>
      <c r="I109" s="14">
        <v>506.66045891548902</v>
      </c>
      <c r="J109">
        <v>162</v>
      </c>
      <c r="K109">
        <v>108</v>
      </c>
      <c r="L109">
        <v>147</v>
      </c>
      <c r="M109">
        <v>102</v>
      </c>
      <c r="N109" s="143" t="e">
        <v>#DIV/0!</v>
      </c>
      <c r="O109" s="143" t="e">
        <v>#DIV/0!</v>
      </c>
      <c r="P109">
        <v>-73</v>
      </c>
    </row>
    <row r="110" spans="1:16">
      <c r="A110" t="s">
        <v>237</v>
      </c>
      <c r="B110">
        <v>23</v>
      </c>
      <c r="C110">
        <v>139</v>
      </c>
      <c r="D110">
        <v>160</v>
      </c>
      <c r="E110">
        <v>148</v>
      </c>
      <c r="F110">
        <v>194</v>
      </c>
      <c r="G110">
        <v>139</v>
      </c>
      <c r="H110">
        <v>357.6</v>
      </c>
      <c r="I110" s="14">
        <v>520.02680419651392</v>
      </c>
      <c r="J110">
        <v>163</v>
      </c>
      <c r="K110">
        <v>109</v>
      </c>
      <c r="L110">
        <v>150</v>
      </c>
      <c r="M110">
        <v>104</v>
      </c>
      <c r="N110" s="143" t="e">
        <v>#DIV/0!</v>
      </c>
      <c r="O110" s="143" t="e">
        <v>#DIV/0!</v>
      </c>
      <c r="P110">
        <v>-12</v>
      </c>
    </row>
    <row r="111" spans="1:16">
      <c r="A111" t="s">
        <v>82</v>
      </c>
      <c r="B111">
        <v>38</v>
      </c>
      <c r="C111">
        <v>105</v>
      </c>
      <c r="D111">
        <v>206</v>
      </c>
      <c r="E111">
        <v>138</v>
      </c>
      <c r="F111">
        <v>182</v>
      </c>
      <c r="G111">
        <v>214</v>
      </c>
      <c r="H111">
        <v>364.7</v>
      </c>
      <c r="I111" s="14">
        <v>615.49810931095726</v>
      </c>
      <c r="J111">
        <v>168</v>
      </c>
      <c r="K111">
        <v>110</v>
      </c>
      <c r="L111">
        <v>185</v>
      </c>
      <c r="M111">
        <v>116</v>
      </c>
      <c r="N111" s="143" t="e">
        <v>#DIV/0!</v>
      </c>
      <c r="O111" s="143" t="e">
        <v>#DIV/0!</v>
      </c>
      <c r="P111">
        <v>-63</v>
      </c>
    </row>
    <row r="112" spans="1:16">
      <c r="A112" t="s">
        <v>53</v>
      </c>
      <c r="B112">
        <v>53</v>
      </c>
      <c r="C112">
        <v>133</v>
      </c>
      <c r="D112">
        <v>165</v>
      </c>
      <c r="E112">
        <v>184</v>
      </c>
      <c r="F112">
        <v>145</v>
      </c>
      <c r="G112">
        <v>193</v>
      </c>
      <c r="H112">
        <v>366.7</v>
      </c>
      <c r="I112" s="14">
        <v>591.41940618012325</v>
      </c>
      <c r="J112">
        <v>170</v>
      </c>
      <c r="K112">
        <v>111</v>
      </c>
      <c r="L112">
        <v>172</v>
      </c>
      <c r="M112">
        <v>113</v>
      </c>
      <c r="N112" s="143" t="e">
        <v>#DIV/0!</v>
      </c>
      <c r="O112" s="143" t="e">
        <v>#DIV/0!</v>
      </c>
      <c r="P112">
        <v>-10</v>
      </c>
    </row>
    <row r="113" spans="1:16">
      <c r="A113" t="s">
        <v>394</v>
      </c>
      <c r="B113">
        <v>120</v>
      </c>
      <c r="C113">
        <v>93</v>
      </c>
      <c r="D113">
        <v>212</v>
      </c>
      <c r="E113">
        <v>73</v>
      </c>
      <c r="F113">
        <v>165</v>
      </c>
      <c r="G113">
        <v>190</v>
      </c>
      <c r="H113">
        <v>368.7</v>
      </c>
      <c r="I113" s="14">
        <v>598.95935340063033</v>
      </c>
      <c r="J113">
        <v>172</v>
      </c>
      <c r="K113">
        <v>112</v>
      </c>
      <c r="L113">
        <v>177</v>
      </c>
      <c r="M113">
        <v>115</v>
      </c>
      <c r="N113" s="143" t="e">
        <v>#DIV/0!</v>
      </c>
      <c r="O113" s="143" t="e">
        <v>#DIV/0!</v>
      </c>
      <c r="P113">
        <v>-36</v>
      </c>
    </row>
    <row r="114" spans="1:16">
      <c r="A114" t="s">
        <v>8</v>
      </c>
      <c r="B114">
        <v>1</v>
      </c>
      <c r="C114">
        <v>192</v>
      </c>
      <c r="D114">
        <v>152</v>
      </c>
      <c r="E114">
        <v>187</v>
      </c>
      <c r="F114">
        <v>149</v>
      </c>
      <c r="G114">
        <v>143</v>
      </c>
      <c r="H114">
        <v>375.7</v>
      </c>
      <c r="I114" s="14">
        <v>528.66878992972545</v>
      </c>
      <c r="J114">
        <v>174</v>
      </c>
      <c r="K114">
        <v>113</v>
      </c>
      <c r="L114">
        <v>154</v>
      </c>
      <c r="M114">
        <v>105</v>
      </c>
      <c r="N114" s="143" t="e">
        <v>#DIV/0!</v>
      </c>
      <c r="O114" s="143" t="e">
        <v>#DIV/0!</v>
      </c>
      <c r="P114">
        <v>17</v>
      </c>
    </row>
    <row r="115" spans="1:16">
      <c r="A115" t="s">
        <v>50</v>
      </c>
      <c r="B115">
        <v>24</v>
      </c>
      <c r="C115">
        <v>212</v>
      </c>
      <c r="D115">
        <v>193</v>
      </c>
      <c r="E115">
        <v>64</v>
      </c>
      <c r="F115">
        <v>139</v>
      </c>
      <c r="G115">
        <v>168</v>
      </c>
      <c r="H115">
        <v>376.70000000000005</v>
      </c>
      <c r="I115" s="14">
        <v>538.72533168172595</v>
      </c>
      <c r="J115">
        <v>175</v>
      </c>
      <c r="K115">
        <v>114</v>
      </c>
      <c r="L115">
        <v>156</v>
      </c>
      <c r="M115">
        <v>106</v>
      </c>
      <c r="N115" s="143" t="e">
        <v>#DIV/0!</v>
      </c>
      <c r="O115" s="143" t="e">
        <v>#DIV/0!</v>
      </c>
      <c r="P115">
        <v>-67</v>
      </c>
    </row>
    <row r="116" spans="1:16">
      <c r="A116" t="s">
        <v>153</v>
      </c>
      <c r="B116">
        <v>123</v>
      </c>
      <c r="C116">
        <v>168</v>
      </c>
      <c r="D116">
        <v>88</v>
      </c>
      <c r="E116">
        <v>199</v>
      </c>
      <c r="F116">
        <v>153</v>
      </c>
      <c r="G116">
        <v>170</v>
      </c>
      <c r="H116">
        <v>381.5</v>
      </c>
      <c r="I116" s="14">
        <v>577.46580697038917</v>
      </c>
      <c r="J116">
        <v>177</v>
      </c>
      <c r="K116">
        <v>115</v>
      </c>
      <c r="L116">
        <v>169</v>
      </c>
      <c r="M116">
        <v>111</v>
      </c>
      <c r="N116" s="143" t="e">
        <v>#DIV/0!</v>
      </c>
      <c r="O116" s="143" t="e">
        <v>#DIV/0!</v>
      </c>
      <c r="P116">
        <v>-8</v>
      </c>
    </row>
    <row r="117" spans="1:16">
      <c r="A117" t="s">
        <v>421</v>
      </c>
      <c r="B117">
        <v>189</v>
      </c>
      <c r="C117">
        <v>119</v>
      </c>
      <c r="D117">
        <v>208</v>
      </c>
      <c r="E117">
        <v>89</v>
      </c>
      <c r="F117">
        <v>76</v>
      </c>
      <c r="G117">
        <v>199</v>
      </c>
      <c r="H117">
        <v>389.4</v>
      </c>
      <c r="I117" s="14">
        <v>627.80090895221736</v>
      </c>
      <c r="J117">
        <v>184</v>
      </c>
      <c r="K117">
        <v>116</v>
      </c>
      <c r="L117">
        <v>187</v>
      </c>
      <c r="M117">
        <v>117</v>
      </c>
      <c r="N117" s="143" t="e">
        <v>#DIV/0!</v>
      </c>
      <c r="O117" s="143" t="e">
        <v>#DIV/0!</v>
      </c>
      <c r="P117">
        <v>-14</v>
      </c>
    </row>
    <row r="118" spans="1:16">
      <c r="A118" t="s">
        <v>398</v>
      </c>
      <c r="B118">
        <v>11</v>
      </c>
      <c r="C118">
        <v>209</v>
      </c>
      <c r="D118">
        <v>199</v>
      </c>
      <c r="E118">
        <v>109</v>
      </c>
      <c r="F118">
        <v>150</v>
      </c>
      <c r="G118">
        <v>189</v>
      </c>
      <c r="H118">
        <v>394.7</v>
      </c>
      <c r="I118" s="14">
        <v>584.91738889194175</v>
      </c>
      <c r="J118">
        <v>186</v>
      </c>
      <c r="K118">
        <v>117</v>
      </c>
      <c r="L118">
        <v>170</v>
      </c>
      <c r="M118">
        <v>112</v>
      </c>
      <c r="N118" s="143" t="e">
        <v>#DIV/0!</v>
      </c>
      <c r="O118" s="143" t="e">
        <v>#DIV/0!</v>
      </c>
      <c r="P118">
        <v>-32</v>
      </c>
    </row>
    <row r="119" spans="1:16">
      <c r="A119" t="s">
        <v>106</v>
      </c>
      <c r="B119">
        <v>69</v>
      </c>
      <c r="C119">
        <v>182</v>
      </c>
      <c r="D119">
        <v>186</v>
      </c>
      <c r="E119">
        <v>207</v>
      </c>
      <c r="F119">
        <v>93</v>
      </c>
      <c r="G119">
        <v>196</v>
      </c>
      <c r="H119">
        <v>412.09999999999997</v>
      </c>
      <c r="I119" s="14">
        <v>632.92725195222397</v>
      </c>
      <c r="J119">
        <v>193</v>
      </c>
      <c r="K119">
        <v>118</v>
      </c>
      <c r="L119">
        <v>189</v>
      </c>
      <c r="M119">
        <v>118</v>
      </c>
      <c r="N119" s="143" t="e">
        <v>#DIV/0!</v>
      </c>
      <c r="O119" s="143" t="e">
        <v>#DIV/0!</v>
      </c>
      <c r="P119">
        <v>-49</v>
      </c>
    </row>
    <row r="120" spans="1:16">
      <c r="A120" t="s">
        <v>387</v>
      </c>
      <c r="B120">
        <v>155</v>
      </c>
      <c r="C120">
        <v>92</v>
      </c>
      <c r="D120">
        <v>196</v>
      </c>
      <c r="E120">
        <v>140</v>
      </c>
      <c r="F120">
        <v>200</v>
      </c>
      <c r="G120">
        <v>212</v>
      </c>
      <c r="H120">
        <v>415.09999999999997</v>
      </c>
      <c r="I120" s="14">
        <v>682.49262150809875</v>
      </c>
      <c r="J120">
        <v>195</v>
      </c>
      <c r="K120">
        <v>119</v>
      </c>
      <c r="L120">
        <v>199</v>
      </c>
      <c r="M120">
        <v>120</v>
      </c>
      <c r="N120" s="143" t="e">
        <v>#DIV/0!</v>
      </c>
      <c r="O120" s="143" t="e">
        <v>#DIV/0!</v>
      </c>
      <c r="P120">
        <v>-2</v>
      </c>
    </row>
    <row r="121" spans="1:16">
      <c r="A121" t="s">
        <v>94</v>
      </c>
      <c r="B121">
        <v>167</v>
      </c>
      <c r="C121">
        <v>137</v>
      </c>
      <c r="D121">
        <v>203</v>
      </c>
      <c r="E121">
        <v>196</v>
      </c>
      <c r="F121">
        <v>82</v>
      </c>
      <c r="G121">
        <v>207</v>
      </c>
      <c r="H121">
        <v>432.7</v>
      </c>
      <c r="I121" s="14">
        <v>687.77573431708356</v>
      </c>
      <c r="J121">
        <v>199</v>
      </c>
      <c r="K121">
        <v>120</v>
      </c>
      <c r="L121">
        <v>201</v>
      </c>
      <c r="M121">
        <v>121</v>
      </c>
      <c r="N121" s="143" t="e">
        <v>#DIV/0!</v>
      </c>
      <c r="O121" s="143" t="e">
        <v>#DIV/0!</v>
      </c>
      <c r="P121">
        <v>-4</v>
      </c>
    </row>
    <row r="122" spans="1:16">
      <c r="A122" t="s">
        <v>240</v>
      </c>
      <c r="B122">
        <v>112</v>
      </c>
      <c r="C122">
        <v>193</v>
      </c>
      <c r="D122">
        <v>180</v>
      </c>
      <c r="E122">
        <v>173</v>
      </c>
      <c r="F122">
        <v>144</v>
      </c>
      <c r="G122">
        <v>182</v>
      </c>
      <c r="H122">
        <v>443.9</v>
      </c>
      <c r="I122" s="14">
        <v>651.06937267632748</v>
      </c>
      <c r="J122">
        <v>201</v>
      </c>
      <c r="K122">
        <v>121</v>
      </c>
      <c r="L122">
        <v>196</v>
      </c>
      <c r="M122">
        <v>119</v>
      </c>
      <c r="N122" s="143" t="e">
        <v>#DIV/0!</v>
      </c>
      <c r="O122" s="143" t="e">
        <v>#DIV/0!</v>
      </c>
      <c r="P122">
        <v>29</v>
      </c>
    </row>
    <row r="123" spans="1:16">
      <c r="A123" t="s">
        <v>392</v>
      </c>
      <c r="B123">
        <v>125</v>
      </c>
      <c r="C123">
        <v>198</v>
      </c>
      <c r="D123">
        <v>182</v>
      </c>
      <c r="E123">
        <v>115</v>
      </c>
      <c r="F123">
        <v>217</v>
      </c>
      <c r="G123">
        <v>217</v>
      </c>
      <c r="H123">
        <v>461.3</v>
      </c>
      <c r="I123" s="14">
        <v>700.0661677593597</v>
      </c>
      <c r="J123">
        <v>204</v>
      </c>
      <c r="K123">
        <v>122</v>
      </c>
      <c r="L123">
        <v>202</v>
      </c>
      <c r="M123">
        <v>122</v>
      </c>
      <c r="N123" s="143" t="e">
        <v>#DIV/0!</v>
      </c>
      <c r="O123" s="143" t="e">
        <v>#DIV/0!</v>
      </c>
      <c r="P123">
        <v>-2</v>
      </c>
    </row>
  </sheetData>
  <conditionalFormatting sqref="N2:O1048576">
    <cfRule type="cellIs" dxfId="20" priority="5" operator="greaterThanOrEqual">
      <formula>20%</formula>
    </cfRule>
    <cfRule type="cellIs" dxfId="19" priority="6" operator="between">
      <formula>10%</formula>
      <formula>20%</formula>
    </cfRule>
    <cfRule type="cellIs" dxfId="18" priority="7" operator="between">
      <formula>0.01%</formula>
      <formula>10%</formula>
    </cfRule>
  </conditionalFormatting>
  <conditionalFormatting sqref="B2:G1048576 J2:M1048576">
    <cfRule type="cellIs" dxfId="17" priority="8" operator="between">
      <formula>101</formula>
      <formula>250</formula>
    </cfRule>
    <cfRule type="cellIs" dxfId="16" priority="9" operator="between">
      <formula>51</formula>
      <formula>100.5</formula>
    </cfRule>
    <cfRule type="cellIs" dxfId="15" priority="10" operator="between">
      <formula>21</formula>
      <formula>50.5</formula>
    </cfRule>
    <cfRule type="cellIs" dxfId="14"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2DAF8-B7B7-42FC-BDAF-900D2ED3FA2F}">
  <sheetPr codeName="Sheet68">
    <tabColor rgb="FF92D050"/>
  </sheetPr>
  <dimension ref="A1:V117"/>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s="20" t="s">
        <v>27</v>
      </c>
      <c r="B2">
        <v>25</v>
      </c>
      <c r="C2">
        <v>93</v>
      </c>
      <c r="D2">
        <v>18</v>
      </c>
      <c r="E2">
        <v>72</v>
      </c>
      <c r="F2">
        <v>57</v>
      </c>
      <c r="G2">
        <v>19</v>
      </c>
      <c r="H2">
        <v>135</v>
      </c>
      <c r="I2" s="14">
        <v>156.7667037448299</v>
      </c>
      <c r="J2">
        <v>3</v>
      </c>
      <c r="K2">
        <v>2</v>
      </c>
      <c r="L2">
        <v>6</v>
      </c>
      <c r="M2">
        <v>2</v>
      </c>
      <c r="N2" s="143" t="e">
        <v>#DIV/0!</v>
      </c>
      <c r="O2" s="143" t="e">
        <v>#DIV/0!</v>
      </c>
      <c r="P2">
        <v>-10</v>
      </c>
      <c r="Q2">
        <v>1</v>
      </c>
    </row>
    <row r="3" spans="1:22">
      <c r="A3" s="20" t="s">
        <v>135</v>
      </c>
      <c r="B3">
        <v>67</v>
      </c>
      <c r="C3">
        <v>20</v>
      </c>
      <c r="D3">
        <v>13</v>
      </c>
      <c r="E3">
        <v>99</v>
      </c>
      <c r="F3">
        <v>8</v>
      </c>
      <c r="G3">
        <v>2</v>
      </c>
      <c r="H3">
        <v>104.10000000000001</v>
      </c>
      <c r="I3" s="14">
        <v>120.78854579428224</v>
      </c>
      <c r="J3">
        <v>1</v>
      </c>
      <c r="K3">
        <v>1</v>
      </c>
      <c r="L3">
        <v>1</v>
      </c>
      <c r="M3">
        <v>1</v>
      </c>
      <c r="N3" s="143" t="e">
        <v>#DIV/0!</v>
      </c>
      <c r="O3" s="143" t="e">
        <v>#DIV/0!</v>
      </c>
      <c r="P3">
        <v>3</v>
      </c>
    </row>
    <row r="4" spans="1:22">
      <c r="A4" s="136" t="s">
        <v>42</v>
      </c>
      <c r="B4">
        <v>16</v>
      </c>
      <c r="C4">
        <v>141</v>
      </c>
      <c r="D4">
        <v>9</v>
      </c>
      <c r="E4">
        <v>28</v>
      </c>
      <c r="F4">
        <v>127</v>
      </c>
      <c r="G4">
        <v>9</v>
      </c>
      <c r="H4">
        <v>162.5</v>
      </c>
      <c r="I4" s="14">
        <v>163.72056236008206</v>
      </c>
      <c r="J4">
        <v>14</v>
      </c>
      <c r="K4">
        <v>6</v>
      </c>
      <c r="L4">
        <v>9</v>
      </c>
      <c r="M4">
        <v>3</v>
      </c>
      <c r="N4" s="143" t="e">
        <v>#DIV/0!</v>
      </c>
      <c r="O4" s="143" t="e">
        <v>#DIV/0!</v>
      </c>
      <c r="P4">
        <v>20</v>
      </c>
    </row>
    <row r="5" spans="1:22">
      <c r="A5" t="s">
        <v>73</v>
      </c>
      <c r="B5">
        <v>21</v>
      </c>
      <c r="C5">
        <v>108</v>
      </c>
      <c r="D5">
        <v>60</v>
      </c>
      <c r="E5">
        <v>38</v>
      </c>
      <c r="F5">
        <v>61</v>
      </c>
      <c r="G5">
        <v>23</v>
      </c>
      <c r="H5">
        <v>159</v>
      </c>
      <c r="I5" s="14">
        <v>182.55584969181663</v>
      </c>
      <c r="J5">
        <v>11</v>
      </c>
      <c r="K5">
        <v>4</v>
      </c>
      <c r="L5">
        <v>12</v>
      </c>
      <c r="M5">
        <v>4</v>
      </c>
      <c r="N5" s="143" t="e">
        <v>#DIV/0!</v>
      </c>
      <c r="O5" s="143" t="e">
        <v>#DIV/0!</v>
      </c>
      <c r="P5">
        <v>12</v>
      </c>
    </row>
    <row r="6" spans="1:22">
      <c r="A6" t="s">
        <v>72</v>
      </c>
      <c r="B6">
        <v>168</v>
      </c>
      <c r="C6">
        <v>71</v>
      </c>
      <c r="D6">
        <v>20</v>
      </c>
      <c r="E6">
        <v>40</v>
      </c>
      <c r="F6">
        <v>24</v>
      </c>
      <c r="G6">
        <v>4</v>
      </c>
      <c r="H6">
        <v>183</v>
      </c>
      <c r="I6" s="14">
        <v>188.532864704877</v>
      </c>
      <c r="J6">
        <v>23</v>
      </c>
      <c r="K6">
        <v>10</v>
      </c>
      <c r="L6">
        <v>13</v>
      </c>
      <c r="M6">
        <v>5</v>
      </c>
      <c r="N6" s="143" t="e">
        <v>#DIV/0!</v>
      </c>
      <c r="O6" s="143" t="e">
        <v>#DIV/0!</v>
      </c>
      <c r="P6">
        <v>-3</v>
      </c>
    </row>
    <row r="7" spans="1:22">
      <c r="A7" s="137" t="s">
        <v>47</v>
      </c>
      <c r="B7">
        <v>31</v>
      </c>
      <c r="C7">
        <v>21</v>
      </c>
      <c r="D7">
        <v>3</v>
      </c>
      <c r="E7">
        <v>211</v>
      </c>
      <c r="F7">
        <v>67</v>
      </c>
      <c r="G7">
        <v>25</v>
      </c>
      <c r="H7">
        <v>144.5</v>
      </c>
      <c r="I7" s="14">
        <v>202.68606949283071</v>
      </c>
      <c r="J7">
        <v>7</v>
      </c>
      <c r="K7">
        <v>3</v>
      </c>
      <c r="L7">
        <v>16</v>
      </c>
      <c r="M7">
        <v>6</v>
      </c>
      <c r="N7" s="143" t="e">
        <v>#DIV/0!</v>
      </c>
      <c r="O7" s="143" t="e">
        <v>#DIV/0!</v>
      </c>
      <c r="P7">
        <v>91</v>
      </c>
    </row>
    <row r="8" spans="1:22">
      <c r="A8" t="s">
        <v>141</v>
      </c>
      <c r="B8">
        <v>149</v>
      </c>
      <c r="C8">
        <v>25</v>
      </c>
      <c r="D8">
        <v>30</v>
      </c>
      <c r="E8">
        <v>50</v>
      </c>
      <c r="F8">
        <v>38</v>
      </c>
      <c r="G8">
        <v>34</v>
      </c>
      <c r="H8">
        <v>160.59999999999997</v>
      </c>
      <c r="I8" s="14">
        <v>206.28889627359632</v>
      </c>
      <c r="J8">
        <v>13</v>
      </c>
      <c r="K8">
        <v>5</v>
      </c>
      <c r="L8">
        <v>18</v>
      </c>
      <c r="M8">
        <v>7</v>
      </c>
      <c r="N8" s="143" t="e">
        <v>#DIV/0!</v>
      </c>
      <c r="O8" s="143" t="e">
        <v>#DIV/0!</v>
      </c>
      <c r="P8">
        <v>-2</v>
      </c>
    </row>
    <row r="9" spans="1:22">
      <c r="A9" t="s">
        <v>102</v>
      </c>
      <c r="B9">
        <v>99</v>
      </c>
      <c r="C9">
        <v>60</v>
      </c>
      <c r="D9">
        <v>74</v>
      </c>
      <c r="E9">
        <v>23</v>
      </c>
      <c r="F9">
        <v>37</v>
      </c>
      <c r="G9">
        <v>44</v>
      </c>
      <c r="H9">
        <v>171.2</v>
      </c>
      <c r="I9" s="14">
        <v>221.97961184338706</v>
      </c>
      <c r="J9">
        <v>17</v>
      </c>
      <c r="K9">
        <v>8</v>
      </c>
      <c r="L9">
        <v>23</v>
      </c>
      <c r="M9">
        <v>8</v>
      </c>
      <c r="N9" s="143" t="e">
        <v>#DIV/0!</v>
      </c>
      <c r="O9" s="143" t="e">
        <v>#DIV/0!</v>
      </c>
      <c r="P9">
        <v>-6</v>
      </c>
    </row>
    <row r="10" spans="1:22">
      <c r="A10" t="s">
        <v>51</v>
      </c>
      <c r="B10">
        <v>89</v>
      </c>
      <c r="C10">
        <v>128</v>
      </c>
      <c r="D10">
        <v>104</v>
      </c>
      <c r="E10">
        <v>54</v>
      </c>
      <c r="F10">
        <v>1</v>
      </c>
      <c r="G10">
        <v>8</v>
      </c>
      <c r="H10">
        <v>225</v>
      </c>
      <c r="I10" s="14">
        <v>235.29263116178603</v>
      </c>
      <c r="J10">
        <v>44</v>
      </c>
      <c r="K10">
        <v>18</v>
      </c>
      <c r="L10">
        <v>28</v>
      </c>
      <c r="M10">
        <v>9</v>
      </c>
      <c r="N10" s="143" t="e">
        <v>#DIV/0!</v>
      </c>
      <c r="O10" s="143" t="e">
        <v>#DIV/0!</v>
      </c>
      <c r="P10">
        <v>67</v>
      </c>
    </row>
    <row r="11" spans="1:22">
      <c r="A11" t="s">
        <v>58</v>
      </c>
      <c r="B11">
        <v>33</v>
      </c>
      <c r="C11">
        <v>127</v>
      </c>
      <c r="D11">
        <v>26</v>
      </c>
      <c r="E11">
        <v>69</v>
      </c>
      <c r="F11">
        <v>158</v>
      </c>
      <c r="G11">
        <v>31</v>
      </c>
      <c r="H11">
        <v>205</v>
      </c>
      <c r="I11" s="14">
        <v>240.57729933577326</v>
      </c>
      <c r="J11">
        <v>35</v>
      </c>
      <c r="K11">
        <v>14</v>
      </c>
      <c r="L11">
        <v>31</v>
      </c>
      <c r="M11">
        <v>10</v>
      </c>
      <c r="N11" s="143" t="e">
        <v>#DIV/0!</v>
      </c>
      <c r="O11" s="143" t="e">
        <v>#DIV/0!</v>
      </c>
      <c r="P11">
        <v>39</v>
      </c>
    </row>
    <row r="12" spans="1:22">
      <c r="A12" t="s">
        <v>411</v>
      </c>
      <c r="B12">
        <v>65</v>
      </c>
      <c r="C12">
        <v>11</v>
      </c>
      <c r="D12">
        <v>133</v>
      </c>
      <c r="E12">
        <v>28</v>
      </c>
      <c r="F12">
        <v>82</v>
      </c>
      <c r="G12">
        <v>34</v>
      </c>
      <c r="H12">
        <v>182.7</v>
      </c>
      <c r="I12" s="14">
        <v>240.78054306463764</v>
      </c>
      <c r="J12">
        <v>22</v>
      </c>
      <c r="K12">
        <v>9</v>
      </c>
      <c r="L12">
        <v>32</v>
      </c>
      <c r="M12">
        <v>11</v>
      </c>
      <c r="N12" s="143" t="e">
        <v>#DIV/0!</v>
      </c>
      <c r="O12" s="143" t="e">
        <v>#DIV/0!</v>
      </c>
      <c r="P12">
        <v>22</v>
      </c>
    </row>
    <row r="13" spans="1:22">
      <c r="A13" t="s">
        <v>161</v>
      </c>
      <c r="B13">
        <v>72</v>
      </c>
      <c r="C13">
        <v>21</v>
      </c>
      <c r="D13">
        <v>21</v>
      </c>
      <c r="E13">
        <v>56</v>
      </c>
      <c r="F13">
        <v>187</v>
      </c>
      <c r="G13">
        <v>54</v>
      </c>
      <c r="H13">
        <v>167.7</v>
      </c>
      <c r="I13" s="14">
        <v>242.03497612428819</v>
      </c>
      <c r="J13">
        <v>15</v>
      </c>
      <c r="K13">
        <v>7</v>
      </c>
      <c r="L13">
        <v>33</v>
      </c>
      <c r="M13">
        <v>12</v>
      </c>
      <c r="N13" s="143" t="e">
        <v>#DIV/0!</v>
      </c>
      <c r="O13" s="143" t="e">
        <v>#DIV/0!</v>
      </c>
      <c r="P13">
        <v>-3</v>
      </c>
    </row>
    <row r="14" spans="1:22">
      <c r="A14" t="s">
        <v>74</v>
      </c>
      <c r="B14">
        <v>108</v>
      </c>
      <c r="C14">
        <v>148</v>
      </c>
      <c r="D14">
        <v>29</v>
      </c>
      <c r="E14">
        <v>121</v>
      </c>
      <c r="F14">
        <v>13</v>
      </c>
      <c r="G14">
        <v>14</v>
      </c>
      <c r="H14">
        <v>227.49999999999997</v>
      </c>
      <c r="I14" s="14">
        <v>243.0215239404084</v>
      </c>
      <c r="J14">
        <v>47</v>
      </c>
      <c r="K14">
        <v>21</v>
      </c>
      <c r="L14">
        <v>34</v>
      </c>
      <c r="M14">
        <v>13</v>
      </c>
      <c r="N14" s="143" t="e">
        <v>#DIV/0!</v>
      </c>
      <c r="O14" s="143" t="e">
        <v>#DIV/0!</v>
      </c>
      <c r="P14" t="e">
        <v>#N/A</v>
      </c>
    </row>
    <row r="15" spans="1:22">
      <c r="A15" t="s">
        <v>104</v>
      </c>
      <c r="B15">
        <v>112</v>
      </c>
      <c r="C15">
        <v>74</v>
      </c>
      <c r="D15">
        <v>99</v>
      </c>
      <c r="E15">
        <v>32</v>
      </c>
      <c r="F15">
        <v>16</v>
      </c>
      <c r="G15">
        <v>38</v>
      </c>
      <c r="H15">
        <v>200.1</v>
      </c>
      <c r="I15" s="14">
        <v>245.90776303700642</v>
      </c>
      <c r="J15">
        <v>30</v>
      </c>
      <c r="K15">
        <v>13</v>
      </c>
      <c r="L15">
        <v>36</v>
      </c>
      <c r="M15">
        <v>14</v>
      </c>
      <c r="N15" s="143" t="e">
        <v>#DIV/0!</v>
      </c>
      <c r="O15" s="143" t="e">
        <v>#DIV/0!</v>
      </c>
      <c r="P15">
        <v>-25</v>
      </c>
    </row>
    <row r="16" spans="1:22">
      <c r="A16" t="s">
        <v>383</v>
      </c>
      <c r="B16">
        <v>76</v>
      </c>
      <c r="C16">
        <v>124</v>
      </c>
      <c r="D16">
        <v>40</v>
      </c>
      <c r="E16">
        <v>33</v>
      </c>
      <c r="F16">
        <v>86</v>
      </c>
      <c r="G16">
        <v>55</v>
      </c>
      <c r="H16">
        <v>195.6</v>
      </c>
      <c r="I16" s="14">
        <v>248.02913759753943</v>
      </c>
      <c r="J16">
        <v>26</v>
      </c>
      <c r="K16">
        <v>12</v>
      </c>
      <c r="L16">
        <v>37</v>
      </c>
      <c r="M16">
        <v>15</v>
      </c>
      <c r="N16" s="143" t="e">
        <v>#DIV/0!</v>
      </c>
      <c r="O16" s="143" t="e">
        <v>#DIV/0!</v>
      </c>
      <c r="P16">
        <v>-24</v>
      </c>
    </row>
    <row r="17" spans="1:16">
      <c r="A17" t="s">
        <v>234</v>
      </c>
      <c r="B17">
        <v>76</v>
      </c>
      <c r="C17">
        <v>109</v>
      </c>
      <c r="D17">
        <v>15</v>
      </c>
      <c r="E17">
        <v>116</v>
      </c>
      <c r="F17">
        <v>98</v>
      </c>
      <c r="G17">
        <v>32</v>
      </c>
      <c r="H17">
        <v>207.10000000000002</v>
      </c>
      <c r="I17" s="14">
        <v>248.94732199709861</v>
      </c>
      <c r="J17">
        <v>36</v>
      </c>
      <c r="K17">
        <v>15</v>
      </c>
      <c r="L17">
        <v>38</v>
      </c>
      <c r="M17">
        <v>16</v>
      </c>
      <c r="N17" s="143" t="e">
        <v>#DIV/0!</v>
      </c>
      <c r="O17" s="143" t="e">
        <v>#DIV/0!</v>
      </c>
      <c r="P17">
        <v>-11</v>
      </c>
    </row>
    <row r="18" spans="1:16">
      <c r="A18" t="s">
        <v>17</v>
      </c>
      <c r="B18">
        <v>15</v>
      </c>
      <c r="C18">
        <v>190</v>
      </c>
      <c r="D18">
        <v>66</v>
      </c>
      <c r="E18">
        <v>104</v>
      </c>
      <c r="F18">
        <v>35</v>
      </c>
      <c r="G18">
        <v>39</v>
      </c>
      <c r="H18">
        <v>224.79999999999998</v>
      </c>
      <c r="I18" s="14">
        <v>260.8521019386082</v>
      </c>
      <c r="J18">
        <v>43</v>
      </c>
      <c r="K18">
        <v>17</v>
      </c>
      <c r="L18">
        <v>41</v>
      </c>
      <c r="M18">
        <v>17</v>
      </c>
      <c r="N18" s="143" t="e">
        <v>#DIV/0!</v>
      </c>
      <c r="O18" s="143" t="e">
        <v>#DIV/0!</v>
      </c>
      <c r="P18">
        <v>48</v>
      </c>
    </row>
    <row r="19" spans="1:16">
      <c r="A19" t="s">
        <v>388</v>
      </c>
      <c r="B19">
        <v>45</v>
      </c>
      <c r="C19">
        <v>70</v>
      </c>
      <c r="D19">
        <v>70</v>
      </c>
      <c r="E19">
        <v>150</v>
      </c>
      <c r="F19">
        <v>20</v>
      </c>
      <c r="G19">
        <v>62</v>
      </c>
      <c r="H19">
        <v>186</v>
      </c>
      <c r="I19" s="14">
        <v>269.85051851818696</v>
      </c>
      <c r="J19">
        <v>24</v>
      </c>
      <c r="K19">
        <v>11</v>
      </c>
      <c r="L19">
        <v>43</v>
      </c>
      <c r="M19">
        <v>18</v>
      </c>
      <c r="N19" s="143" t="e">
        <v>#DIV/0!</v>
      </c>
      <c r="O19" s="143" t="e">
        <v>#DIV/0!</v>
      </c>
      <c r="P19">
        <v>26</v>
      </c>
    </row>
    <row r="20" spans="1:16">
      <c r="A20" t="s">
        <v>231</v>
      </c>
      <c r="B20">
        <v>57</v>
      </c>
      <c r="C20">
        <v>119</v>
      </c>
      <c r="D20">
        <v>37</v>
      </c>
      <c r="E20">
        <v>81</v>
      </c>
      <c r="F20">
        <v>153</v>
      </c>
      <c r="G20">
        <v>42</v>
      </c>
      <c r="H20">
        <v>225.10000000000002</v>
      </c>
      <c r="I20" s="14">
        <v>275.97568082632222</v>
      </c>
      <c r="J20">
        <v>45</v>
      </c>
      <c r="K20">
        <v>19</v>
      </c>
      <c r="L20">
        <v>44</v>
      </c>
      <c r="M20">
        <v>19</v>
      </c>
      <c r="N20" s="143" t="e">
        <v>#DIV/0!</v>
      </c>
      <c r="O20" s="143" t="e">
        <v>#DIV/0!</v>
      </c>
      <c r="P20">
        <v>-31</v>
      </c>
    </row>
    <row r="21" spans="1:16">
      <c r="A21" t="s">
        <v>95</v>
      </c>
      <c r="B21">
        <v>108</v>
      </c>
      <c r="C21">
        <v>152</v>
      </c>
      <c r="D21">
        <v>39</v>
      </c>
      <c r="E21">
        <v>103</v>
      </c>
      <c r="F21">
        <v>57</v>
      </c>
      <c r="G21">
        <v>45</v>
      </c>
      <c r="H21">
        <v>247.3</v>
      </c>
      <c r="I21" s="14">
        <v>294.46162991029854</v>
      </c>
      <c r="J21">
        <v>54</v>
      </c>
      <c r="K21">
        <v>27</v>
      </c>
      <c r="L21">
        <v>45</v>
      </c>
      <c r="M21">
        <v>20</v>
      </c>
      <c r="N21" s="143" t="e">
        <v>#DIV/0!</v>
      </c>
      <c r="O21" s="143" t="e">
        <v>#DIV/0!</v>
      </c>
      <c r="P21">
        <v>149</v>
      </c>
    </row>
    <row r="22" spans="1:16">
      <c r="A22" t="s">
        <v>116</v>
      </c>
      <c r="B22">
        <v>146</v>
      </c>
      <c r="C22">
        <v>6</v>
      </c>
      <c r="D22">
        <v>83</v>
      </c>
      <c r="E22">
        <v>30</v>
      </c>
      <c r="F22">
        <v>164</v>
      </c>
      <c r="G22">
        <v>49</v>
      </c>
      <c r="H22">
        <v>226.89999999999998</v>
      </c>
      <c r="I22" s="14">
        <v>301.47808194947868</v>
      </c>
      <c r="J22">
        <v>46</v>
      </c>
      <c r="K22">
        <v>20</v>
      </c>
      <c r="L22">
        <v>47</v>
      </c>
      <c r="M22">
        <v>21</v>
      </c>
      <c r="N22" s="143" t="e">
        <v>#DIV/0!</v>
      </c>
      <c r="O22" s="143" t="e">
        <v>#DIV/0!</v>
      </c>
      <c r="P22">
        <v>-1</v>
      </c>
    </row>
    <row r="23" spans="1:16">
      <c r="A23" t="s">
        <v>80</v>
      </c>
      <c r="B23">
        <v>75</v>
      </c>
      <c r="C23">
        <v>149</v>
      </c>
      <c r="D23">
        <v>48</v>
      </c>
      <c r="E23">
        <v>143</v>
      </c>
      <c r="F23">
        <v>46</v>
      </c>
      <c r="G23">
        <v>52</v>
      </c>
      <c r="H23">
        <v>243.6</v>
      </c>
      <c r="I23" s="14">
        <v>304.04600923451255</v>
      </c>
      <c r="J23">
        <v>52.5</v>
      </c>
      <c r="K23">
        <v>25</v>
      </c>
      <c r="L23">
        <v>48</v>
      </c>
      <c r="M23">
        <v>22</v>
      </c>
      <c r="N23" s="143" t="e">
        <v>#DIV/0!</v>
      </c>
      <c r="O23" s="143" t="e">
        <v>#DIV/0!</v>
      </c>
      <c r="P23">
        <v>-12</v>
      </c>
    </row>
    <row r="24" spans="1:16">
      <c r="A24" t="s">
        <v>241</v>
      </c>
      <c r="B24">
        <v>4</v>
      </c>
      <c r="C24">
        <v>120</v>
      </c>
      <c r="D24">
        <v>75</v>
      </c>
      <c r="E24">
        <v>149</v>
      </c>
      <c r="F24">
        <v>120</v>
      </c>
      <c r="G24">
        <v>50</v>
      </c>
      <c r="H24">
        <v>234.5</v>
      </c>
      <c r="I24" s="14">
        <v>304.94329945328639</v>
      </c>
      <c r="J24">
        <v>50</v>
      </c>
      <c r="K24">
        <v>23</v>
      </c>
      <c r="L24">
        <v>49</v>
      </c>
      <c r="M24">
        <v>23</v>
      </c>
      <c r="N24" s="143" t="e">
        <v>#DIV/0!</v>
      </c>
      <c r="O24" s="143" t="e">
        <v>#DIV/0!</v>
      </c>
      <c r="P24">
        <v>-13</v>
      </c>
    </row>
    <row r="25" spans="1:16">
      <c r="A25" t="s">
        <v>242</v>
      </c>
      <c r="B25">
        <v>166</v>
      </c>
      <c r="C25">
        <v>3</v>
      </c>
      <c r="D25">
        <v>158</v>
      </c>
      <c r="E25">
        <v>39</v>
      </c>
      <c r="F25">
        <v>10</v>
      </c>
      <c r="G25">
        <v>47</v>
      </c>
      <c r="H25">
        <v>231.6</v>
      </c>
      <c r="I25" s="14">
        <v>305.38167904855794</v>
      </c>
      <c r="J25">
        <v>49</v>
      </c>
      <c r="K25">
        <v>22</v>
      </c>
      <c r="L25">
        <v>50</v>
      </c>
      <c r="M25">
        <v>24</v>
      </c>
      <c r="N25" s="143" t="e">
        <v>#DIV/0!</v>
      </c>
      <c r="O25" s="143" t="e">
        <v>#DIV/0!</v>
      </c>
      <c r="P25">
        <v>10</v>
      </c>
    </row>
    <row r="26" spans="1:16">
      <c r="A26" t="s">
        <v>380</v>
      </c>
      <c r="B26">
        <v>79</v>
      </c>
      <c r="C26">
        <v>182</v>
      </c>
      <c r="D26">
        <v>95</v>
      </c>
      <c r="E26">
        <v>22</v>
      </c>
      <c r="F26">
        <v>70</v>
      </c>
      <c r="G26">
        <v>53</v>
      </c>
      <c r="H26">
        <v>259.89999999999998</v>
      </c>
      <c r="I26" s="14">
        <v>305.45288612631316</v>
      </c>
      <c r="J26">
        <v>71</v>
      </c>
      <c r="K26">
        <v>37</v>
      </c>
      <c r="L26">
        <v>51</v>
      </c>
      <c r="M26">
        <v>25</v>
      </c>
      <c r="N26" s="143" t="e">
        <v>#DIV/0!</v>
      </c>
      <c r="O26" s="143" t="e">
        <v>#DIV/0!</v>
      </c>
      <c r="P26">
        <v>-6</v>
      </c>
    </row>
    <row r="27" spans="1:16">
      <c r="A27" t="s">
        <v>181</v>
      </c>
      <c r="B27">
        <v>139</v>
      </c>
      <c r="C27">
        <v>10</v>
      </c>
      <c r="D27">
        <v>8</v>
      </c>
      <c r="E27">
        <v>126</v>
      </c>
      <c r="F27">
        <v>193</v>
      </c>
      <c r="G27">
        <v>56</v>
      </c>
      <c r="H27">
        <v>222.59999999999997</v>
      </c>
      <c r="I27" s="14">
        <v>310.8064154880434</v>
      </c>
      <c r="J27">
        <v>41</v>
      </c>
      <c r="K27">
        <v>16</v>
      </c>
      <c r="L27">
        <v>52</v>
      </c>
      <c r="M27">
        <v>26</v>
      </c>
      <c r="N27" s="143" t="e">
        <v>#DIV/0!</v>
      </c>
      <c r="O27" s="143" t="e">
        <v>#DIV/0!</v>
      </c>
      <c r="P27">
        <v>47</v>
      </c>
    </row>
    <row r="28" spans="1:16">
      <c r="A28" t="s">
        <v>165</v>
      </c>
      <c r="B28">
        <v>198</v>
      </c>
      <c r="C28">
        <v>40</v>
      </c>
      <c r="D28">
        <v>65</v>
      </c>
      <c r="E28">
        <v>76</v>
      </c>
      <c r="F28">
        <v>79</v>
      </c>
      <c r="G28">
        <v>41</v>
      </c>
      <c r="H28">
        <v>250.3</v>
      </c>
      <c r="I28" s="14">
        <v>311.94895529903795</v>
      </c>
      <c r="J28">
        <v>58</v>
      </c>
      <c r="K28">
        <v>30</v>
      </c>
      <c r="L28">
        <v>53</v>
      </c>
      <c r="M28">
        <v>27</v>
      </c>
      <c r="N28" s="143" t="e">
        <v>#DIV/0!</v>
      </c>
      <c r="O28" s="143" t="e">
        <v>#DIV/0!</v>
      </c>
      <c r="P28">
        <v>-15</v>
      </c>
    </row>
    <row r="29" spans="1:16">
      <c r="A29" t="s">
        <v>183</v>
      </c>
      <c r="B29">
        <v>196</v>
      </c>
      <c r="C29">
        <v>81</v>
      </c>
      <c r="D29">
        <v>42</v>
      </c>
      <c r="E29">
        <v>65</v>
      </c>
      <c r="F29">
        <v>54</v>
      </c>
      <c r="G29">
        <v>64</v>
      </c>
      <c r="H29">
        <v>243.2</v>
      </c>
      <c r="I29" s="14">
        <v>315.78974604947678</v>
      </c>
      <c r="J29">
        <v>51</v>
      </c>
      <c r="K29">
        <v>24</v>
      </c>
      <c r="L29">
        <v>54</v>
      </c>
      <c r="M29">
        <v>28</v>
      </c>
      <c r="N29" s="143" t="e">
        <v>#DIV/0!</v>
      </c>
      <c r="O29" s="143" t="e">
        <v>#DIV/0!</v>
      </c>
      <c r="P29">
        <v>-20</v>
      </c>
    </row>
    <row r="30" spans="1:16">
      <c r="A30" t="s">
        <v>131</v>
      </c>
      <c r="B30">
        <v>110</v>
      </c>
      <c r="C30">
        <v>126</v>
      </c>
      <c r="D30">
        <v>87</v>
      </c>
      <c r="E30">
        <v>26</v>
      </c>
      <c r="F30">
        <v>103</v>
      </c>
      <c r="G30">
        <v>59</v>
      </c>
      <c r="H30">
        <v>254.10000000000002</v>
      </c>
      <c r="I30" s="14">
        <v>316.22104760432961</v>
      </c>
      <c r="J30">
        <v>63</v>
      </c>
      <c r="K30">
        <v>34</v>
      </c>
      <c r="L30">
        <v>55</v>
      </c>
      <c r="M30">
        <v>29</v>
      </c>
      <c r="N30" s="143" t="e">
        <v>#DIV/0!</v>
      </c>
      <c r="O30" s="143" t="e">
        <v>#DIV/0!</v>
      </c>
      <c r="P30">
        <v>38</v>
      </c>
    </row>
    <row r="31" spans="1:16">
      <c r="A31" t="s">
        <v>140</v>
      </c>
      <c r="B31">
        <v>163</v>
      </c>
      <c r="C31">
        <v>32</v>
      </c>
      <c r="D31">
        <v>148</v>
      </c>
      <c r="E31">
        <v>50</v>
      </c>
      <c r="F31">
        <v>17</v>
      </c>
      <c r="G31">
        <v>46</v>
      </c>
      <c r="H31">
        <v>247.4</v>
      </c>
      <c r="I31" s="14">
        <v>316.69341903724035</v>
      </c>
      <c r="J31">
        <v>55</v>
      </c>
      <c r="K31">
        <v>28</v>
      </c>
      <c r="L31">
        <v>56</v>
      </c>
      <c r="M31">
        <v>30</v>
      </c>
      <c r="N31" s="143" t="e">
        <v>#DIV/0!</v>
      </c>
      <c r="O31" s="143" t="e">
        <v>#DIV/0!</v>
      </c>
      <c r="P31">
        <v>-22</v>
      </c>
    </row>
    <row r="32" spans="1:16">
      <c r="A32" t="s">
        <v>85</v>
      </c>
      <c r="B32">
        <v>106</v>
      </c>
      <c r="C32">
        <v>140</v>
      </c>
      <c r="D32">
        <v>170</v>
      </c>
      <c r="E32">
        <v>2</v>
      </c>
      <c r="F32">
        <v>49</v>
      </c>
      <c r="G32">
        <v>36</v>
      </c>
      <c r="H32">
        <v>287</v>
      </c>
      <c r="I32" s="14">
        <v>326.70623578783352</v>
      </c>
      <c r="J32">
        <v>101</v>
      </c>
      <c r="K32">
        <v>54</v>
      </c>
      <c r="L32">
        <v>57</v>
      </c>
      <c r="M32">
        <v>31</v>
      </c>
      <c r="N32" s="143" t="e">
        <v>#DIV/0!</v>
      </c>
      <c r="O32" s="143" t="e">
        <v>#DIV/0!</v>
      </c>
      <c r="P32" t="e">
        <v>#N/A</v>
      </c>
    </row>
    <row r="33" spans="1:16">
      <c r="A33" t="s">
        <v>391</v>
      </c>
      <c r="B33">
        <v>186</v>
      </c>
      <c r="C33">
        <v>138</v>
      </c>
      <c r="D33">
        <v>58</v>
      </c>
      <c r="E33">
        <v>53</v>
      </c>
      <c r="F33">
        <v>44</v>
      </c>
      <c r="G33">
        <v>57</v>
      </c>
      <c r="H33">
        <v>273.8</v>
      </c>
      <c r="I33" s="14">
        <v>330.153671735035</v>
      </c>
      <c r="J33">
        <v>87.5</v>
      </c>
      <c r="K33">
        <v>46</v>
      </c>
      <c r="L33">
        <v>58</v>
      </c>
      <c r="M33">
        <v>32</v>
      </c>
      <c r="N33" s="143" t="e">
        <v>#DIV/0!</v>
      </c>
      <c r="O33" s="143" t="e">
        <v>#DIV/0!</v>
      </c>
      <c r="P33">
        <v>0</v>
      </c>
    </row>
    <row r="34" spans="1:16">
      <c r="A34" t="s">
        <v>144</v>
      </c>
      <c r="B34">
        <v>179</v>
      </c>
      <c r="C34">
        <v>43</v>
      </c>
      <c r="D34">
        <v>155</v>
      </c>
      <c r="E34">
        <v>7</v>
      </c>
      <c r="F34">
        <v>28</v>
      </c>
      <c r="G34">
        <v>60</v>
      </c>
      <c r="H34">
        <v>255.7</v>
      </c>
      <c r="I34" s="14">
        <v>332.68595480878321</v>
      </c>
      <c r="J34">
        <v>66</v>
      </c>
      <c r="K34">
        <v>36</v>
      </c>
      <c r="L34">
        <v>59</v>
      </c>
      <c r="M34">
        <v>33</v>
      </c>
      <c r="N34" s="143" t="e">
        <v>#DIV/0!</v>
      </c>
      <c r="O34" s="143" t="e">
        <v>#DIV/0!</v>
      </c>
      <c r="P34">
        <v>-19</v>
      </c>
    </row>
    <row r="35" spans="1:16">
      <c r="A35" t="s">
        <v>91</v>
      </c>
      <c r="B35">
        <v>69</v>
      </c>
      <c r="C35">
        <v>173</v>
      </c>
      <c r="D35">
        <v>45</v>
      </c>
      <c r="E35">
        <v>133</v>
      </c>
      <c r="F35">
        <v>80</v>
      </c>
      <c r="G35">
        <v>68</v>
      </c>
      <c r="H35">
        <v>261.89999999999998</v>
      </c>
      <c r="I35" s="14">
        <v>334.94729716851992</v>
      </c>
      <c r="J35">
        <v>75</v>
      </c>
      <c r="K35">
        <v>39</v>
      </c>
      <c r="L35">
        <v>60</v>
      </c>
      <c r="M35">
        <v>34</v>
      </c>
      <c r="N35" s="143" t="e">
        <v>#DIV/0!</v>
      </c>
      <c r="O35" s="143" t="e">
        <v>#DIV/0!</v>
      </c>
      <c r="P35">
        <v>66</v>
      </c>
    </row>
    <row r="36" spans="1:16">
      <c r="A36" t="s">
        <v>163</v>
      </c>
      <c r="B36">
        <v>148</v>
      </c>
      <c r="C36">
        <v>48</v>
      </c>
      <c r="D36">
        <v>82</v>
      </c>
      <c r="E36">
        <v>77</v>
      </c>
      <c r="F36">
        <v>110</v>
      </c>
      <c r="G36">
        <v>86</v>
      </c>
      <c r="H36">
        <v>249.8</v>
      </c>
      <c r="I36" s="14">
        <v>358.6005624376628</v>
      </c>
      <c r="J36">
        <v>57</v>
      </c>
      <c r="K36">
        <v>29</v>
      </c>
      <c r="L36">
        <v>66</v>
      </c>
      <c r="M36">
        <v>35</v>
      </c>
      <c r="N36" s="143" t="e">
        <v>#DIV/0!</v>
      </c>
      <c r="O36" s="143" t="e">
        <v>#DIV/0!</v>
      </c>
      <c r="P36">
        <v>13</v>
      </c>
    </row>
    <row r="37" spans="1:16">
      <c r="A37" t="s">
        <v>188</v>
      </c>
      <c r="B37">
        <v>211</v>
      </c>
      <c r="C37">
        <v>12</v>
      </c>
      <c r="D37">
        <v>159</v>
      </c>
      <c r="E37">
        <v>42</v>
      </c>
      <c r="F37">
        <v>5</v>
      </c>
      <c r="G37">
        <v>71</v>
      </c>
      <c r="H37">
        <v>263.89999999999998</v>
      </c>
      <c r="I37" s="14">
        <v>361.22652209503161</v>
      </c>
      <c r="J37">
        <v>76</v>
      </c>
      <c r="K37">
        <v>40</v>
      </c>
      <c r="L37">
        <v>69</v>
      </c>
      <c r="M37">
        <v>36</v>
      </c>
      <c r="N37" s="143" t="e">
        <v>#DIV/0!</v>
      </c>
      <c r="O37" s="143" t="e">
        <v>#DIV/0!</v>
      </c>
      <c r="P37">
        <v>-18</v>
      </c>
    </row>
    <row r="38" spans="1:16">
      <c r="A38" t="s">
        <v>137</v>
      </c>
      <c r="B38">
        <v>135</v>
      </c>
      <c r="C38">
        <v>9</v>
      </c>
      <c r="D38">
        <v>56</v>
      </c>
      <c r="E38">
        <v>194</v>
      </c>
      <c r="F38">
        <v>101</v>
      </c>
      <c r="G38">
        <v>88</v>
      </c>
      <c r="H38">
        <v>243.6</v>
      </c>
      <c r="I38" s="14">
        <v>373.85728143174663</v>
      </c>
      <c r="J38">
        <v>52.5</v>
      </c>
      <c r="K38">
        <v>26</v>
      </c>
      <c r="L38">
        <v>76</v>
      </c>
      <c r="M38">
        <v>37</v>
      </c>
      <c r="N38" s="143" t="e">
        <v>#DIV/0!</v>
      </c>
      <c r="O38" s="143" t="e">
        <v>#DIV/0!</v>
      </c>
      <c r="P38">
        <v>-19</v>
      </c>
    </row>
    <row r="39" spans="1:16">
      <c r="A39" t="s">
        <v>423</v>
      </c>
      <c r="B39">
        <v>202</v>
      </c>
      <c r="C39">
        <v>31</v>
      </c>
      <c r="D39">
        <v>73</v>
      </c>
      <c r="E39">
        <v>14</v>
      </c>
      <c r="F39">
        <v>186</v>
      </c>
      <c r="G39">
        <v>83</v>
      </c>
      <c r="H39">
        <v>270.89999999999998</v>
      </c>
      <c r="I39" s="14">
        <v>374.35996754628258</v>
      </c>
      <c r="J39">
        <v>84</v>
      </c>
      <c r="K39">
        <v>44</v>
      </c>
      <c r="L39">
        <v>77</v>
      </c>
      <c r="M39">
        <v>38</v>
      </c>
      <c r="N39" s="143" t="e">
        <v>#DIV/0!</v>
      </c>
      <c r="O39" s="143" t="e">
        <v>#DIV/0!</v>
      </c>
      <c r="P39">
        <v>9</v>
      </c>
    </row>
    <row r="40" spans="1:16">
      <c r="A40" t="s">
        <v>60</v>
      </c>
      <c r="B40">
        <v>95</v>
      </c>
      <c r="C40">
        <v>15</v>
      </c>
      <c r="D40">
        <v>76</v>
      </c>
      <c r="E40">
        <v>159</v>
      </c>
      <c r="F40">
        <v>181</v>
      </c>
      <c r="G40">
        <v>81</v>
      </c>
      <c r="H40">
        <v>255.2</v>
      </c>
      <c r="I40" s="14">
        <v>379.1131634940549</v>
      </c>
      <c r="J40">
        <v>65</v>
      </c>
      <c r="K40">
        <v>35</v>
      </c>
      <c r="L40">
        <v>78</v>
      </c>
      <c r="M40">
        <v>39</v>
      </c>
      <c r="N40" s="143" t="e">
        <v>#DIV/0!</v>
      </c>
      <c r="O40" s="143" t="e">
        <v>#DIV/0!</v>
      </c>
      <c r="P40">
        <v>-67</v>
      </c>
    </row>
    <row r="41" spans="1:16">
      <c r="A41" t="s">
        <v>158</v>
      </c>
      <c r="B41">
        <v>119</v>
      </c>
      <c r="C41">
        <v>100</v>
      </c>
      <c r="D41">
        <v>118</v>
      </c>
      <c r="E41">
        <v>62</v>
      </c>
      <c r="F41">
        <v>115</v>
      </c>
      <c r="G41">
        <v>79</v>
      </c>
      <c r="H41">
        <v>284.79999999999995</v>
      </c>
      <c r="I41" s="14">
        <v>380.6667016913006</v>
      </c>
      <c r="J41">
        <v>99</v>
      </c>
      <c r="K41">
        <v>53</v>
      </c>
      <c r="L41">
        <v>79</v>
      </c>
      <c r="M41">
        <v>40</v>
      </c>
      <c r="N41" s="143" t="e">
        <v>#DIV/0!</v>
      </c>
      <c r="O41" s="143" t="e">
        <v>#DIV/0!</v>
      </c>
      <c r="P41">
        <v>12</v>
      </c>
    </row>
    <row r="42" spans="1:16">
      <c r="A42" t="s">
        <v>49</v>
      </c>
      <c r="B42">
        <v>80</v>
      </c>
      <c r="C42">
        <v>58</v>
      </c>
      <c r="D42">
        <v>160</v>
      </c>
      <c r="E42">
        <v>66</v>
      </c>
      <c r="F42">
        <v>99</v>
      </c>
      <c r="G42">
        <v>93</v>
      </c>
      <c r="H42">
        <v>260.8</v>
      </c>
      <c r="I42" s="14">
        <v>380.90342971042327</v>
      </c>
      <c r="J42">
        <v>74</v>
      </c>
      <c r="K42">
        <v>38</v>
      </c>
      <c r="L42">
        <v>80</v>
      </c>
      <c r="M42">
        <v>41</v>
      </c>
      <c r="N42" s="143" t="e">
        <v>#DIV/0!</v>
      </c>
      <c r="O42" s="143" t="e">
        <v>#DIV/0!</v>
      </c>
      <c r="P42">
        <v>-25</v>
      </c>
    </row>
    <row r="43" spans="1:16">
      <c r="A43" t="s">
        <v>156</v>
      </c>
      <c r="B43">
        <v>151</v>
      </c>
      <c r="C43">
        <v>68</v>
      </c>
      <c r="D43">
        <v>72</v>
      </c>
      <c r="E43">
        <v>167</v>
      </c>
      <c r="F43">
        <v>76</v>
      </c>
      <c r="G43">
        <v>73</v>
      </c>
      <c r="H43">
        <v>278.99999999999994</v>
      </c>
      <c r="I43" s="14">
        <v>381.92757972296789</v>
      </c>
      <c r="J43">
        <v>94</v>
      </c>
      <c r="K43">
        <v>49</v>
      </c>
      <c r="L43">
        <v>81</v>
      </c>
      <c r="M43">
        <v>42</v>
      </c>
      <c r="N43" s="143" t="e">
        <v>#DIV/0!</v>
      </c>
      <c r="O43" s="143" t="e">
        <v>#DIV/0!</v>
      </c>
      <c r="P43">
        <v>-53</v>
      </c>
    </row>
    <row r="44" spans="1:16">
      <c r="A44" t="s">
        <v>381</v>
      </c>
      <c r="B44">
        <v>117</v>
      </c>
      <c r="C44">
        <v>57</v>
      </c>
      <c r="D44">
        <v>38</v>
      </c>
      <c r="E44">
        <v>128</v>
      </c>
      <c r="F44">
        <v>177</v>
      </c>
      <c r="G44">
        <v>104</v>
      </c>
      <c r="H44">
        <v>253</v>
      </c>
      <c r="I44" s="14">
        <v>384.63758500871069</v>
      </c>
      <c r="J44">
        <v>62</v>
      </c>
      <c r="K44">
        <v>33</v>
      </c>
      <c r="L44">
        <v>82</v>
      </c>
      <c r="M44">
        <v>43</v>
      </c>
      <c r="N44" s="143" t="e">
        <v>#DIV/0!</v>
      </c>
      <c r="O44" s="143" t="e">
        <v>#DIV/0!</v>
      </c>
      <c r="P44">
        <v>-21</v>
      </c>
    </row>
    <row r="45" spans="1:16">
      <c r="A45" t="s">
        <v>99</v>
      </c>
      <c r="B45">
        <v>72</v>
      </c>
      <c r="C45">
        <v>63</v>
      </c>
      <c r="D45">
        <v>24</v>
      </c>
      <c r="E45">
        <v>190</v>
      </c>
      <c r="F45">
        <v>194</v>
      </c>
      <c r="G45">
        <v>100</v>
      </c>
      <c r="H45">
        <v>251.40000000000003</v>
      </c>
      <c r="I45" s="14">
        <v>386.13515730819404</v>
      </c>
      <c r="J45">
        <v>59</v>
      </c>
      <c r="K45">
        <v>31</v>
      </c>
      <c r="L45">
        <v>83</v>
      </c>
      <c r="M45">
        <v>44</v>
      </c>
      <c r="N45" s="143" t="e">
        <v>#DIV/0!</v>
      </c>
      <c r="O45" s="143" t="e">
        <v>#DIV/0!</v>
      </c>
      <c r="P45">
        <v>-16</v>
      </c>
    </row>
    <row r="46" spans="1:16">
      <c r="A46" t="s">
        <v>112</v>
      </c>
      <c r="B46">
        <v>155</v>
      </c>
      <c r="C46">
        <v>46</v>
      </c>
      <c r="D46">
        <v>128</v>
      </c>
      <c r="E46">
        <v>123</v>
      </c>
      <c r="F46">
        <v>71</v>
      </c>
      <c r="G46">
        <v>80</v>
      </c>
      <c r="H46">
        <v>287.79999999999995</v>
      </c>
      <c r="I46" s="14">
        <v>400.76713948626002</v>
      </c>
      <c r="J46">
        <v>103</v>
      </c>
      <c r="K46">
        <v>55</v>
      </c>
      <c r="L46">
        <v>90</v>
      </c>
      <c r="M46">
        <v>45</v>
      </c>
      <c r="N46" s="143" t="e">
        <v>#DIV/0!</v>
      </c>
      <c r="O46" s="143" t="e">
        <v>#DIV/0!</v>
      </c>
      <c r="P46">
        <v>-18</v>
      </c>
    </row>
    <row r="47" spans="1:16">
      <c r="A47" t="s">
        <v>122</v>
      </c>
      <c r="B47">
        <v>127</v>
      </c>
      <c r="C47">
        <v>65</v>
      </c>
      <c r="D47">
        <v>141</v>
      </c>
      <c r="E47">
        <v>102</v>
      </c>
      <c r="F47">
        <v>66</v>
      </c>
      <c r="G47">
        <v>92</v>
      </c>
      <c r="H47">
        <v>281.09999999999997</v>
      </c>
      <c r="I47" s="14">
        <v>400.8988397715496</v>
      </c>
      <c r="J47">
        <v>95</v>
      </c>
      <c r="K47">
        <v>50</v>
      </c>
      <c r="L47">
        <v>91</v>
      </c>
      <c r="M47">
        <v>46</v>
      </c>
      <c r="N47" s="143" t="e">
        <v>#DIV/0!</v>
      </c>
      <c r="O47" s="143" t="e">
        <v>#DIV/0!</v>
      </c>
      <c r="P47">
        <v>-12</v>
      </c>
    </row>
    <row r="48" spans="1:16">
      <c r="A48" t="s">
        <v>167</v>
      </c>
      <c r="B48">
        <v>161</v>
      </c>
      <c r="C48">
        <v>59</v>
      </c>
      <c r="D48">
        <v>174</v>
      </c>
      <c r="E48">
        <v>98</v>
      </c>
      <c r="F48">
        <v>15</v>
      </c>
      <c r="G48">
        <v>75</v>
      </c>
      <c r="H48">
        <v>299</v>
      </c>
      <c r="I48" s="14">
        <v>403.25569382230128</v>
      </c>
      <c r="J48">
        <v>117</v>
      </c>
      <c r="K48">
        <v>63</v>
      </c>
      <c r="L48">
        <v>93</v>
      </c>
      <c r="M48">
        <v>47</v>
      </c>
      <c r="N48" s="143" t="e">
        <v>#DIV/0!</v>
      </c>
      <c r="O48" s="143" t="e">
        <v>#DIV/0!</v>
      </c>
      <c r="P48">
        <v>-16</v>
      </c>
    </row>
    <row r="49" spans="1:16">
      <c r="A49" t="s">
        <v>64</v>
      </c>
      <c r="B49">
        <v>81</v>
      </c>
      <c r="C49">
        <v>194</v>
      </c>
      <c r="D49">
        <v>80</v>
      </c>
      <c r="E49">
        <v>88</v>
      </c>
      <c r="F49">
        <v>139</v>
      </c>
      <c r="G49">
        <v>89</v>
      </c>
      <c r="H49">
        <v>311.8</v>
      </c>
      <c r="I49" s="14">
        <v>403.95000718299758</v>
      </c>
      <c r="J49">
        <v>129</v>
      </c>
      <c r="K49">
        <v>70</v>
      </c>
      <c r="L49">
        <v>94</v>
      </c>
      <c r="M49">
        <v>48</v>
      </c>
      <c r="N49" s="143" t="e">
        <v>#DIV/0!</v>
      </c>
      <c r="O49" s="143" t="e">
        <v>#DIV/0!</v>
      </c>
      <c r="P49">
        <v>4</v>
      </c>
    </row>
    <row r="50" spans="1:16">
      <c r="A50" t="s">
        <v>55</v>
      </c>
      <c r="B50">
        <v>59</v>
      </c>
      <c r="C50">
        <v>45</v>
      </c>
      <c r="D50">
        <v>113</v>
      </c>
      <c r="E50">
        <v>164</v>
      </c>
      <c r="F50">
        <v>113</v>
      </c>
      <c r="G50">
        <v>120</v>
      </c>
      <c r="H50">
        <v>252.3</v>
      </c>
      <c r="I50" s="14">
        <v>411.00819919239342</v>
      </c>
      <c r="J50">
        <v>61</v>
      </c>
      <c r="K50">
        <v>32</v>
      </c>
      <c r="L50">
        <v>97</v>
      </c>
      <c r="M50">
        <v>49</v>
      </c>
      <c r="N50" s="143" t="e">
        <v>#DIV/0!</v>
      </c>
      <c r="O50" s="143" t="e">
        <v>#DIV/0!</v>
      </c>
      <c r="P50">
        <v>3</v>
      </c>
    </row>
    <row r="51" spans="1:16">
      <c r="A51" t="s">
        <v>239</v>
      </c>
      <c r="B51">
        <v>136</v>
      </c>
      <c r="C51">
        <v>120</v>
      </c>
      <c r="D51">
        <v>164</v>
      </c>
      <c r="E51">
        <v>45</v>
      </c>
      <c r="F51">
        <v>47</v>
      </c>
      <c r="G51">
        <v>96</v>
      </c>
      <c r="H51">
        <v>305.2</v>
      </c>
      <c r="I51" s="14">
        <v>413.90200805529486</v>
      </c>
      <c r="J51">
        <v>122</v>
      </c>
      <c r="K51">
        <v>66</v>
      </c>
      <c r="L51">
        <v>99</v>
      </c>
      <c r="M51">
        <v>50</v>
      </c>
      <c r="N51" s="143" t="e">
        <v>#DIV/0!</v>
      </c>
      <c r="O51" s="143" t="e">
        <v>#DIV/0!</v>
      </c>
      <c r="P51">
        <v>33</v>
      </c>
    </row>
    <row r="52" spans="1:16">
      <c r="A52" t="s">
        <v>238</v>
      </c>
      <c r="B52">
        <v>205</v>
      </c>
      <c r="C52">
        <v>103</v>
      </c>
      <c r="D52">
        <v>7</v>
      </c>
      <c r="E52">
        <v>41</v>
      </c>
      <c r="F52">
        <v>161</v>
      </c>
      <c r="G52">
        <v>139</v>
      </c>
      <c r="H52">
        <v>270.5</v>
      </c>
      <c r="I52" s="14">
        <v>413.95254387677926</v>
      </c>
      <c r="J52">
        <v>82</v>
      </c>
      <c r="K52">
        <v>43</v>
      </c>
      <c r="L52">
        <v>100</v>
      </c>
      <c r="M52">
        <v>51</v>
      </c>
      <c r="N52" s="143" t="e">
        <v>#DIV/0!</v>
      </c>
      <c r="O52" s="143" t="e">
        <v>#DIV/0!</v>
      </c>
      <c r="P52">
        <v>-8</v>
      </c>
    </row>
    <row r="53" spans="1:16">
      <c r="A53" t="s">
        <v>89</v>
      </c>
      <c r="B53">
        <v>100</v>
      </c>
      <c r="C53">
        <v>164</v>
      </c>
      <c r="D53">
        <v>136</v>
      </c>
      <c r="E53">
        <v>95</v>
      </c>
      <c r="F53">
        <v>60</v>
      </c>
      <c r="G53">
        <v>90</v>
      </c>
      <c r="H53">
        <v>315.59999999999997</v>
      </c>
      <c r="I53" s="14">
        <v>416.16124118260802</v>
      </c>
      <c r="J53">
        <v>134</v>
      </c>
      <c r="K53">
        <v>73</v>
      </c>
      <c r="L53">
        <v>103</v>
      </c>
      <c r="M53">
        <v>52</v>
      </c>
      <c r="N53" s="143" t="e">
        <v>#DIV/0!</v>
      </c>
      <c r="O53" s="143" t="e">
        <v>#DIV/0!</v>
      </c>
      <c r="P53">
        <v>6</v>
      </c>
    </row>
    <row r="54" spans="1:16">
      <c r="A54" t="s">
        <v>24</v>
      </c>
      <c r="B54">
        <v>10</v>
      </c>
      <c r="C54">
        <v>178</v>
      </c>
      <c r="D54">
        <v>156</v>
      </c>
      <c r="E54">
        <v>127</v>
      </c>
      <c r="F54">
        <v>118</v>
      </c>
      <c r="G54">
        <v>84</v>
      </c>
      <c r="H54">
        <v>320</v>
      </c>
      <c r="I54" s="14">
        <v>421.88303269622651</v>
      </c>
      <c r="J54">
        <v>136</v>
      </c>
      <c r="K54">
        <v>75</v>
      </c>
      <c r="L54">
        <v>108</v>
      </c>
      <c r="M54">
        <v>53</v>
      </c>
      <c r="N54" s="143" t="e">
        <v>#DIV/0!</v>
      </c>
      <c r="O54" s="143" t="e">
        <v>#DIV/0!</v>
      </c>
      <c r="P54">
        <v>1</v>
      </c>
    </row>
    <row r="55" spans="1:16">
      <c r="A55" t="s">
        <v>18</v>
      </c>
      <c r="B55">
        <v>9</v>
      </c>
      <c r="C55">
        <v>201</v>
      </c>
      <c r="D55">
        <v>182</v>
      </c>
      <c r="E55">
        <v>147</v>
      </c>
      <c r="F55">
        <v>22</v>
      </c>
      <c r="G55">
        <v>87</v>
      </c>
      <c r="H55">
        <v>321</v>
      </c>
      <c r="I55" s="14">
        <v>422.42661475399126</v>
      </c>
      <c r="J55">
        <v>138.5</v>
      </c>
      <c r="K55">
        <v>77</v>
      </c>
      <c r="L55">
        <v>109</v>
      </c>
      <c r="M55">
        <v>54</v>
      </c>
      <c r="N55" s="143" t="e">
        <v>#DIV/0!</v>
      </c>
      <c r="O55" s="143" t="e">
        <v>#DIV/0!</v>
      </c>
      <c r="P55">
        <v>-10</v>
      </c>
    </row>
    <row r="56" spans="1:16">
      <c r="A56" t="s">
        <v>68</v>
      </c>
      <c r="B56">
        <v>92</v>
      </c>
      <c r="C56">
        <v>78</v>
      </c>
      <c r="D56">
        <v>163</v>
      </c>
      <c r="E56">
        <v>93</v>
      </c>
      <c r="F56">
        <v>47</v>
      </c>
      <c r="G56">
        <v>125</v>
      </c>
      <c r="H56">
        <v>272.10000000000002</v>
      </c>
      <c r="I56" s="14">
        <v>422.48907997905212</v>
      </c>
      <c r="J56">
        <v>85</v>
      </c>
      <c r="K56">
        <v>45</v>
      </c>
      <c r="L56">
        <v>110</v>
      </c>
      <c r="M56">
        <v>55</v>
      </c>
      <c r="N56" s="143" t="e">
        <v>#DIV/0!</v>
      </c>
      <c r="O56" s="143" t="e">
        <v>#DIV/0!</v>
      </c>
      <c r="P56">
        <v>2</v>
      </c>
    </row>
    <row r="57" spans="1:16">
      <c r="A57" t="s">
        <v>127</v>
      </c>
      <c r="B57">
        <v>166</v>
      </c>
      <c r="C57">
        <v>47</v>
      </c>
      <c r="D57">
        <v>62</v>
      </c>
      <c r="E57">
        <v>183</v>
      </c>
      <c r="F57">
        <v>116</v>
      </c>
      <c r="G57">
        <v>95</v>
      </c>
      <c r="H57">
        <v>290.79999999999995</v>
      </c>
      <c r="I57" s="14">
        <v>422.80293087166149</v>
      </c>
      <c r="J57">
        <v>107</v>
      </c>
      <c r="K57">
        <v>58</v>
      </c>
      <c r="L57">
        <v>111</v>
      </c>
      <c r="M57">
        <v>56</v>
      </c>
      <c r="N57" s="143" t="e">
        <v>#DIV/0!</v>
      </c>
      <c r="O57" s="143" t="e">
        <v>#DIV/0!</v>
      </c>
      <c r="P57">
        <v>-30</v>
      </c>
    </row>
    <row r="58" spans="1:16">
      <c r="A58" t="s">
        <v>154</v>
      </c>
      <c r="B58">
        <v>156</v>
      </c>
      <c r="C58">
        <v>18</v>
      </c>
      <c r="D58">
        <v>154</v>
      </c>
      <c r="E58">
        <v>85</v>
      </c>
      <c r="F58">
        <v>95</v>
      </c>
      <c r="G58">
        <v>113</v>
      </c>
      <c r="H58">
        <v>284.2</v>
      </c>
      <c r="I58" s="14">
        <v>433.26728652761108</v>
      </c>
      <c r="J58">
        <v>98</v>
      </c>
      <c r="K58">
        <v>52</v>
      </c>
      <c r="L58">
        <v>113</v>
      </c>
      <c r="M58">
        <v>57</v>
      </c>
      <c r="N58" s="143" t="e">
        <v>#DIV/0!</v>
      </c>
      <c r="O58" s="143" t="e">
        <v>#DIV/0!</v>
      </c>
      <c r="P58">
        <v>33</v>
      </c>
    </row>
    <row r="59" spans="1:16">
      <c r="A59" t="s">
        <v>90</v>
      </c>
      <c r="B59">
        <v>44</v>
      </c>
      <c r="C59">
        <v>35</v>
      </c>
      <c r="D59">
        <v>138</v>
      </c>
      <c r="E59">
        <v>150</v>
      </c>
      <c r="F59">
        <v>165</v>
      </c>
      <c r="G59">
        <v>123</v>
      </c>
      <c r="H59">
        <v>270</v>
      </c>
      <c r="I59" s="14">
        <v>437.07775048039014</v>
      </c>
      <c r="J59">
        <v>81</v>
      </c>
      <c r="K59">
        <v>42</v>
      </c>
      <c r="L59">
        <v>115</v>
      </c>
      <c r="M59">
        <v>58</v>
      </c>
      <c r="N59" s="143" t="e">
        <v>#DIV/0!</v>
      </c>
      <c r="O59" s="143" t="e">
        <v>#DIV/0!</v>
      </c>
      <c r="P59">
        <v>-33</v>
      </c>
    </row>
    <row r="60" spans="1:16">
      <c r="A60" t="s">
        <v>101</v>
      </c>
      <c r="B60">
        <v>116</v>
      </c>
      <c r="C60">
        <v>50</v>
      </c>
      <c r="D60">
        <v>132</v>
      </c>
      <c r="E60">
        <v>57</v>
      </c>
      <c r="F60">
        <v>189</v>
      </c>
      <c r="G60">
        <v>117</v>
      </c>
      <c r="H60">
        <v>290.40000000000003</v>
      </c>
      <c r="I60" s="14">
        <v>437.23768319418821</v>
      </c>
      <c r="J60">
        <v>106</v>
      </c>
      <c r="K60">
        <v>57</v>
      </c>
      <c r="L60">
        <v>116</v>
      </c>
      <c r="M60">
        <v>59</v>
      </c>
      <c r="N60" s="143" t="e">
        <v>#DIV/0!</v>
      </c>
      <c r="O60" s="143" t="e">
        <v>#DIV/0!</v>
      </c>
      <c r="P60">
        <v>3</v>
      </c>
    </row>
    <row r="61" spans="1:16">
      <c r="A61" t="s">
        <v>142</v>
      </c>
      <c r="B61">
        <v>126</v>
      </c>
      <c r="C61">
        <v>188</v>
      </c>
      <c r="D61">
        <v>77</v>
      </c>
      <c r="E61">
        <v>112</v>
      </c>
      <c r="F61">
        <v>89</v>
      </c>
      <c r="G61">
        <v>112</v>
      </c>
      <c r="H61">
        <v>322.7</v>
      </c>
      <c r="I61" s="14">
        <v>439.48832208483674</v>
      </c>
      <c r="J61">
        <v>141</v>
      </c>
      <c r="K61">
        <v>79</v>
      </c>
      <c r="L61">
        <v>117</v>
      </c>
      <c r="M61">
        <v>60</v>
      </c>
      <c r="N61" s="143" t="e">
        <v>#DIV/0!</v>
      </c>
      <c r="O61" s="143" t="e">
        <v>#DIV/0!</v>
      </c>
      <c r="P61">
        <v>2</v>
      </c>
    </row>
    <row r="62" spans="1:16">
      <c r="A62" t="s">
        <v>146</v>
      </c>
      <c r="B62">
        <v>144</v>
      </c>
      <c r="C62">
        <v>139</v>
      </c>
      <c r="D62">
        <v>125</v>
      </c>
      <c r="E62">
        <v>94</v>
      </c>
      <c r="F62">
        <v>64</v>
      </c>
      <c r="G62">
        <v>108</v>
      </c>
      <c r="H62">
        <v>320.5</v>
      </c>
      <c r="I62" s="14">
        <v>442.26038286125163</v>
      </c>
      <c r="J62">
        <v>137</v>
      </c>
      <c r="K62">
        <v>76</v>
      </c>
      <c r="L62">
        <v>118</v>
      </c>
      <c r="M62">
        <v>61</v>
      </c>
      <c r="N62" s="143" t="e">
        <v>#DIV/0!</v>
      </c>
      <c r="O62" s="143" t="e">
        <v>#DIV/0!</v>
      </c>
      <c r="P62">
        <v>66</v>
      </c>
    </row>
    <row r="63" spans="1:16">
      <c r="A63" t="s">
        <v>307</v>
      </c>
      <c r="B63">
        <v>20</v>
      </c>
      <c r="C63">
        <v>177</v>
      </c>
      <c r="D63">
        <v>137</v>
      </c>
      <c r="E63">
        <v>147</v>
      </c>
      <c r="F63">
        <v>93</v>
      </c>
      <c r="G63">
        <v>115</v>
      </c>
      <c r="H63">
        <v>310.09999999999997</v>
      </c>
      <c r="I63" s="14">
        <v>442.47034506770086</v>
      </c>
      <c r="J63">
        <v>128</v>
      </c>
      <c r="K63">
        <v>69</v>
      </c>
      <c r="L63">
        <v>119</v>
      </c>
      <c r="M63">
        <v>62</v>
      </c>
      <c r="N63" s="143" t="e">
        <v>#DIV/0!</v>
      </c>
      <c r="O63" s="143" t="e">
        <v>#DIV/0!</v>
      </c>
      <c r="P63">
        <v>54</v>
      </c>
    </row>
    <row r="64" spans="1:16">
      <c r="A64" t="s">
        <v>164</v>
      </c>
      <c r="B64">
        <v>136</v>
      </c>
      <c r="C64">
        <v>95</v>
      </c>
      <c r="D64">
        <v>168</v>
      </c>
      <c r="E64">
        <v>33</v>
      </c>
      <c r="F64">
        <v>147</v>
      </c>
      <c r="G64">
        <v>97</v>
      </c>
      <c r="H64">
        <v>328.2</v>
      </c>
      <c r="I64" s="14">
        <v>446.58270222802281</v>
      </c>
      <c r="J64">
        <v>147</v>
      </c>
      <c r="K64">
        <v>83</v>
      </c>
      <c r="L64">
        <v>121</v>
      </c>
      <c r="M64">
        <v>63</v>
      </c>
      <c r="N64" s="143" t="e">
        <v>#DIV/0!</v>
      </c>
      <c r="O64" s="143" t="e">
        <v>#DIV/0!</v>
      </c>
      <c r="P64">
        <v>14</v>
      </c>
    </row>
    <row r="65" spans="1:16">
      <c r="A65" t="s">
        <v>417</v>
      </c>
      <c r="B65">
        <v>122</v>
      </c>
      <c r="C65">
        <v>7</v>
      </c>
      <c r="D65">
        <v>111</v>
      </c>
      <c r="E65">
        <v>195</v>
      </c>
      <c r="F65">
        <v>106</v>
      </c>
      <c r="G65">
        <v>126</v>
      </c>
      <c r="H65">
        <v>275.5</v>
      </c>
      <c r="I65" s="14">
        <v>450.74827539405203</v>
      </c>
      <c r="J65">
        <v>90</v>
      </c>
      <c r="K65">
        <v>47</v>
      </c>
      <c r="L65">
        <v>124</v>
      </c>
      <c r="M65">
        <v>64</v>
      </c>
      <c r="N65" s="143" t="e">
        <v>#DIV/0!</v>
      </c>
      <c r="O65" s="143" t="e">
        <v>#DIV/0!</v>
      </c>
      <c r="P65">
        <v>59</v>
      </c>
    </row>
    <row r="66" spans="1:16">
      <c r="A66" t="s">
        <v>54</v>
      </c>
      <c r="B66">
        <v>58</v>
      </c>
      <c r="C66">
        <v>205</v>
      </c>
      <c r="D66">
        <v>34</v>
      </c>
      <c r="E66">
        <v>177</v>
      </c>
      <c r="F66">
        <v>143</v>
      </c>
      <c r="G66">
        <v>132</v>
      </c>
      <c r="H66">
        <v>309.60000000000002</v>
      </c>
      <c r="I66" s="14">
        <v>450.88004201898161</v>
      </c>
      <c r="J66">
        <v>127</v>
      </c>
      <c r="K66">
        <v>68</v>
      </c>
      <c r="L66">
        <v>125</v>
      </c>
      <c r="M66">
        <v>65</v>
      </c>
      <c r="N66" s="143" t="e">
        <v>#DIV/0!</v>
      </c>
      <c r="O66" s="143" t="e">
        <v>#DIV/0!</v>
      </c>
      <c r="P66">
        <v>71</v>
      </c>
    </row>
    <row r="67" spans="1:16">
      <c r="A67" t="s">
        <v>134</v>
      </c>
      <c r="B67">
        <v>145</v>
      </c>
      <c r="C67">
        <v>73</v>
      </c>
      <c r="D67">
        <v>64</v>
      </c>
      <c r="E67">
        <v>146</v>
      </c>
      <c r="F67">
        <v>153</v>
      </c>
      <c r="G67">
        <v>127</v>
      </c>
      <c r="H67">
        <v>295.20000000000005</v>
      </c>
      <c r="I67" s="14">
        <v>452.04741156122367</v>
      </c>
      <c r="J67">
        <v>114</v>
      </c>
      <c r="K67">
        <v>62</v>
      </c>
      <c r="L67">
        <v>126</v>
      </c>
      <c r="M67">
        <v>66</v>
      </c>
      <c r="N67" s="143" t="e">
        <v>#DIV/0!</v>
      </c>
      <c r="O67" s="143" t="e">
        <v>#DIV/0!</v>
      </c>
      <c r="P67">
        <v>-21</v>
      </c>
    </row>
    <row r="68" spans="1:16">
      <c r="A68" t="s">
        <v>119</v>
      </c>
      <c r="B68">
        <v>102</v>
      </c>
      <c r="C68">
        <v>66</v>
      </c>
      <c r="D68">
        <v>175</v>
      </c>
      <c r="E68">
        <v>95</v>
      </c>
      <c r="F68">
        <v>74</v>
      </c>
      <c r="G68">
        <v>131</v>
      </c>
      <c r="H68">
        <v>290.89999999999998</v>
      </c>
      <c r="I68" s="14">
        <v>452.61644784175485</v>
      </c>
      <c r="J68">
        <v>108</v>
      </c>
      <c r="K68">
        <v>59</v>
      </c>
      <c r="L68">
        <v>127</v>
      </c>
      <c r="M68">
        <v>67</v>
      </c>
      <c r="N68" s="143" t="e">
        <v>#DIV/0!</v>
      </c>
      <c r="O68" s="143" t="e">
        <v>#DIV/0!</v>
      </c>
      <c r="P68">
        <v>-71</v>
      </c>
    </row>
    <row r="69" spans="1:16">
      <c r="A69" t="s">
        <v>117</v>
      </c>
      <c r="B69">
        <v>90</v>
      </c>
      <c r="C69">
        <v>71</v>
      </c>
      <c r="D69">
        <v>97</v>
      </c>
      <c r="E69">
        <v>78</v>
      </c>
      <c r="F69">
        <v>201</v>
      </c>
      <c r="G69">
        <v>155</v>
      </c>
      <c r="H69">
        <v>276.10000000000002</v>
      </c>
      <c r="I69" s="14">
        <v>457.20194469871512</v>
      </c>
      <c r="J69">
        <v>92</v>
      </c>
      <c r="K69">
        <v>48</v>
      </c>
      <c r="L69">
        <v>128</v>
      </c>
      <c r="M69">
        <v>68</v>
      </c>
      <c r="N69" s="143" t="e">
        <v>#DIV/0!</v>
      </c>
      <c r="O69" s="143" t="e">
        <v>#DIV/0!</v>
      </c>
      <c r="P69">
        <v>-88</v>
      </c>
    </row>
    <row r="70" spans="1:16">
      <c r="A70" t="s">
        <v>396</v>
      </c>
      <c r="B70">
        <v>46</v>
      </c>
      <c r="C70">
        <v>144</v>
      </c>
      <c r="D70">
        <v>61</v>
      </c>
      <c r="E70">
        <v>207</v>
      </c>
      <c r="F70">
        <v>110</v>
      </c>
      <c r="G70">
        <v>151</v>
      </c>
      <c r="H70">
        <v>283.5</v>
      </c>
      <c r="I70" s="14">
        <v>458.30617533422958</v>
      </c>
      <c r="J70">
        <v>97</v>
      </c>
      <c r="K70">
        <v>51</v>
      </c>
      <c r="L70">
        <v>129</v>
      </c>
      <c r="M70">
        <v>69</v>
      </c>
      <c r="N70" s="143" t="e">
        <v>#DIV/0!</v>
      </c>
      <c r="O70" s="143" t="e">
        <v>#DIV/0!</v>
      </c>
      <c r="P70">
        <v>-2</v>
      </c>
    </row>
    <row r="71" spans="1:16">
      <c r="A71" t="s">
        <v>120</v>
      </c>
      <c r="B71">
        <v>153</v>
      </c>
      <c r="C71">
        <v>98</v>
      </c>
      <c r="D71">
        <v>93</v>
      </c>
      <c r="E71">
        <v>166</v>
      </c>
      <c r="F71">
        <v>59</v>
      </c>
      <c r="G71">
        <v>128</v>
      </c>
      <c r="H71">
        <v>305.70000000000005</v>
      </c>
      <c r="I71" s="14">
        <v>460.39484336063185</v>
      </c>
      <c r="J71">
        <v>123</v>
      </c>
      <c r="K71">
        <v>67</v>
      </c>
      <c r="L71">
        <v>130</v>
      </c>
      <c r="M71">
        <v>70</v>
      </c>
      <c r="N71" s="143" t="e">
        <v>#DIV/0!</v>
      </c>
      <c r="O71" s="143" t="e">
        <v>#DIV/0!</v>
      </c>
      <c r="P71">
        <v>-57</v>
      </c>
    </row>
    <row r="72" spans="1:16">
      <c r="A72" t="s">
        <v>246</v>
      </c>
      <c r="B72">
        <v>168</v>
      </c>
      <c r="C72">
        <v>33</v>
      </c>
      <c r="D72">
        <v>100</v>
      </c>
      <c r="E72">
        <v>138</v>
      </c>
      <c r="F72">
        <v>122</v>
      </c>
      <c r="G72">
        <v>129</v>
      </c>
      <c r="H72">
        <v>294.60000000000002</v>
      </c>
      <c r="I72" s="14">
        <v>460.85230320645996</v>
      </c>
      <c r="J72">
        <v>113</v>
      </c>
      <c r="K72">
        <v>61</v>
      </c>
      <c r="L72">
        <v>131</v>
      </c>
      <c r="M72">
        <v>71</v>
      </c>
      <c r="N72" s="143" t="e">
        <v>#DIV/0!</v>
      </c>
      <c r="O72" s="143" t="e">
        <v>#DIV/0!</v>
      </c>
      <c r="P72">
        <v>52</v>
      </c>
    </row>
    <row r="73" spans="1:16">
      <c r="A73" t="s">
        <v>148</v>
      </c>
      <c r="B73">
        <v>183</v>
      </c>
      <c r="C73">
        <v>34</v>
      </c>
      <c r="D73">
        <v>55</v>
      </c>
      <c r="E73">
        <v>142</v>
      </c>
      <c r="F73">
        <v>156</v>
      </c>
      <c r="G73">
        <v>142</v>
      </c>
      <c r="H73">
        <v>287.89999999999998</v>
      </c>
      <c r="I73" s="14">
        <v>464.68590703276755</v>
      </c>
      <c r="J73">
        <v>104</v>
      </c>
      <c r="K73">
        <v>56</v>
      </c>
      <c r="L73">
        <v>133</v>
      </c>
      <c r="M73">
        <v>72</v>
      </c>
      <c r="N73" s="143" t="e">
        <v>#DIV/0!</v>
      </c>
      <c r="O73" s="143" t="e">
        <v>#DIV/0!</v>
      </c>
      <c r="P73">
        <v>-37</v>
      </c>
    </row>
    <row r="74" spans="1:16">
      <c r="A74" t="s">
        <v>412</v>
      </c>
      <c r="B74">
        <v>96</v>
      </c>
      <c r="C74">
        <v>191</v>
      </c>
      <c r="D74">
        <v>96</v>
      </c>
      <c r="E74">
        <v>141</v>
      </c>
      <c r="F74">
        <v>77</v>
      </c>
      <c r="G74">
        <v>135</v>
      </c>
      <c r="H74">
        <v>326.59999999999997</v>
      </c>
      <c r="I74" s="14">
        <v>471.28496636177175</v>
      </c>
      <c r="J74">
        <v>145</v>
      </c>
      <c r="K74">
        <v>81</v>
      </c>
      <c r="L74">
        <v>134</v>
      </c>
      <c r="M74">
        <v>73</v>
      </c>
      <c r="N74" s="143" t="e">
        <v>#DIV/0!</v>
      </c>
      <c r="O74" s="143" t="e">
        <v>#DIV/0!</v>
      </c>
      <c r="P74">
        <v>1</v>
      </c>
    </row>
    <row r="75" spans="1:16">
      <c r="A75" t="s">
        <v>174</v>
      </c>
      <c r="B75">
        <v>141</v>
      </c>
      <c r="C75">
        <v>96</v>
      </c>
      <c r="D75">
        <v>162</v>
      </c>
      <c r="E75">
        <v>156</v>
      </c>
      <c r="F75">
        <v>14</v>
      </c>
      <c r="G75">
        <v>122</v>
      </c>
      <c r="H75">
        <v>323.60000000000002</v>
      </c>
      <c r="I75" s="14">
        <v>476.17527944374933</v>
      </c>
      <c r="J75">
        <v>144</v>
      </c>
      <c r="K75">
        <v>80</v>
      </c>
      <c r="L75">
        <v>135</v>
      </c>
      <c r="M75">
        <v>74</v>
      </c>
      <c r="N75" s="143" t="e">
        <v>#DIV/0!</v>
      </c>
      <c r="O75" s="143" t="e">
        <v>#DIV/0!</v>
      </c>
      <c r="P75">
        <v>25</v>
      </c>
    </row>
    <row r="76" spans="1:16">
      <c r="A76" t="s">
        <v>373</v>
      </c>
      <c r="B76">
        <v>158</v>
      </c>
      <c r="C76">
        <v>79</v>
      </c>
      <c r="D76">
        <v>23</v>
      </c>
      <c r="E76">
        <v>174</v>
      </c>
      <c r="F76">
        <v>104</v>
      </c>
      <c r="G76">
        <v>182</v>
      </c>
      <c r="H76">
        <v>269.5</v>
      </c>
      <c r="I76" s="14">
        <v>476.95069004813422</v>
      </c>
      <c r="J76">
        <v>80</v>
      </c>
      <c r="K76">
        <v>41</v>
      </c>
      <c r="L76">
        <v>136</v>
      </c>
      <c r="M76">
        <v>75</v>
      </c>
      <c r="N76" s="143" t="e">
        <v>#DIV/0!</v>
      </c>
      <c r="O76" s="143" t="e">
        <v>#DIV/0!</v>
      </c>
      <c r="P76">
        <v>-170</v>
      </c>
    </row>
    <row r="77" spans="1:16">
      <c r="A77" t="s">
        <v>130</v>
      </c>
      <c r="B77">
        <v>157</v>
      </c>
      <c r="C77">
        <v>56</v>
      </c>
      <c r="D77">
        <v>51</v>
      </c>
      <c r="E77">
        <v>155</v>
      </c>
      <c r="F77">
        <v>187</v>
      </c>
      <c r="G77">
        <v>144</v>
      </c>
      <c r="H77">
        <v>300.3</v>
      </c>
      <c r="I77" s="14">
        <v>478.81461113141376</v>
      </c>
      <c r="J77">
        <v>118</v>
      </c>
      <c r="K77">
        <v>64</v>
      </c>
      <c r="L77">
        <v>137</v>
      </c>
      <c r="M77">
        <v>76</v>
      </c>
      <c r="N77" s="143" t="e">
        <v>#DIV/0!</v>
      </c>
      <c r="O77" s="143" t="e">
        <v>#DIV/0!</v>
      </c>
      <c r="P77">
        <v>28</v>
      </c>
    </row>
    <row r="78" spans="1:16">
      <c r="A78" t="s">
        <v>236</v>
      </c>
      <c r="B78">
        <v>190</v>
      </c>
      <c r="C78">
        <v>29</v>
      </c>
      <c r="D78">
        <v>179</v>
      </c>
      <c r="E78">
        <v>63</v>
      </c>
      <c r="F78">
        <v>90</v>
      </c>
      <c r="G78">
        <v>136</v>
      </c>
      <c r="H78">
        <v>317.89999999999998</v>
      </c>
      <c r="I78" s="14">
        <v>488.13900428689146</v>
      </c>
      <c r="J78">
        <v>135</v>
      </c>
      <c r="K78">
        <v>74</v>
      </c>
      <c r="L78">
        <v>141</v>
      </c>
      <c r="M78">
        <v>77</v>
      </c>
      <c r="N78" s="143" t="e">
        <v>#DIV/0!</v>
      </c>
      <c r="O78" s="143" t="e">
        <v>#DIV/0!</v>
      </c>
      <c r="P78">
        <v>-24</v>
      </c>
    </row>
    <row r="79" spans="1:16">
      <c r="A79" t="s">
        <v>45</v>
      </c>
      <c r="B79">
        <v>139</v>
      </c>
      <c r="C79">
        <v>169</v>
      </c>
      <c r="D79">
        <v>81</v>
      </c>
      <c r="E79">
        <v>47</v>
      </c>
      <c r="F79">
        <v>175</v>
      </c>
      <c r="G79">
        <v>157</v>
      </c>
      <c r="H79">
        <v>330.29999999999995</v>
      </c>
      <c r="I79" s="14">
        <v>491.30423930132417</v>
      </c>
      <c r="J79">
        <v>148</v>
      </c>
      <c r="K79">
        <v>84</v>
      </c>
      <c r="L79">
        <v>142</v>
      </c>
      <c r="M79">
        <v>78</v>
      </c>
      <c r="N79" s="143" t="e">
        <v>#DIV/0!</v>
      </c>
      <c r="O79" s="143" t="e">
        <v>#DIV/0!</v>
      </c>
      <c r="P79">
        <v>-20</v>
      </c>
    </row>
    <row r="80" spans="1:16">
      <c r="A80" t="s">
        <v>385</v>
      </c>
      <c r="B80">
        <v>208</v>
      </c>
      <c r="C80">
        <v>38</v>
      </c>
      <c r="D80">
        <v>47</v>
      </c>
      <c r="E80">
        <v>193</v>
      </c>
      <c r="F80">
        <v>112</v>
      </c>
      <c r="G80">
        <v>156</v>
      </c>
      <c r="H80">
        <v>302.5</v>
      </c>
      <c r="I80" s="14">
        <v>496.94138014561184</v>
      </c>
      <c r="J80">
        <v>120</v>
      </c>
      <c r="K80">
        <v>65</v>
      </c>
      <c r="L80">
        <v>144</v>
      </c>
      <c r="M80">
        <v>79</v>
      </c>
      <c r="N80" s="143" t="e">
        <v>#DIV/0!</v>
      </c>
      <c r="O80" s="143" t="e">
        <v>#DIV/0!</v>
      </c>
      <c r="P80">
        <v>43</v>
      </c>
    </row>
    <row r="81" spans="1:16">
      <c r="A81" t="s">
        <v>177</v>
      </c>
      <c r="B81">
        <v>207</v>
      </c>
      <c r="C81">
        <v>8</v>
      </c>
      <c r="D81">
        <v>53</v>
      </c>
      <c r="E81">
        <v>125</v>
      </c>
      <c r="F81">
        <v>191</v>
      </c>
      <c r="G81">
        <v>172</v>
      </c>
      <c r="H81">
        <v>292.5</v>
      </c>
      <c r="I81" s="14">
        <v>502.95712508155827</v>
      </c>
      <c r="J81">
        <v>111</v>
      </c>
      <c r="K81">
        <v>60</v>
      </c>
      <c r="L81">
        <v>146</v>
      </c>
      <c r="M81">
        <v>80</v>
      </c>
      <c r="N81" s="143" t="e">
        <v>#DIV/0!</v>
      </c>
      <c r="O81" s="143" t="e">
        <v>#DIV/0!</v>
      </c>
      <c r="P81">
        <v>-39</v>
      </c>
    </row>
    <row r="82" spans="1:16">
      <c r="A82" t="s">
        <v>175</v>
      </c>
      <c r="B82">
        <v>172</v>
      </c>
      <c r="C82">
        <v>23</v>
      </c>
      <c r="D82">
        <v>172</v>
      </c>
      <c r="E82">
        <v>114</v>
      </c>
      <c r="F82">
        <v>95</v>
      </c>
      <c r="G82">
        <v>143</v>
      </c>
      <c r="H82">
        <v>321</v>
      </c>
      <c r="I82" s="14">
        <v>505.95607060759852</v>
      </c>
      <c r="J82">
        <v>138.5</v>
      </c>
      <c r="K82">
        <v>78</v>
      </c>
      <c r="L82">
        <v>148</v>
      </c>
      <c r="M82">
        <v>81</v>
      </c>
      <c r="N82" s="143" t="e">
        <v>#DIV/0!</v>
      </c>
      <c r="O82" s="143" t="e">
        <v>#DIV/0!</v>
      </c>
      <c r="P82">
        <v>24</v>
      </c>
    </row>
    <row r="83" spans="1:16">
      <c r="A83" t="s">
        <v>20</v>
      </c>
      <c r="B83">
        <v>5</v>
      </c>
      <c r="C83">
        <v>187</v>
      </c>
      <c r="D83">
        <v>54</v>
      </c>
      <c r="E83">
        <v>195</v>
      </c>
      <c r="F83">
        <v>205</v>
      </c>
      <c r="G83">
        <v>175</v>
      </c>
      <c r="H83">
        <v>313</v>
      </c>
      <c r="I83" s="14">
        <v>508.10213418422006</v>
      </c>
      <c r="J83">
        <v>131</v>
      </c>
      <c r="K83">
        <v>72</v>
      </c>
      <c r="L83">
        <v>149</v>
      </c>
      <c r="M83">
        <v>82</v>
      </c>
      <c r="N83" s="143" t="e">
        <v>#DIV/0!</v>
      </c>
      <c r="O83" s="143" t="e">
        <v>#DIV/0!</v>
      </c>
      <c r="P83">
        <v>-4</v>
      </c>
    </row>
    <row r="84" spans="1:16">
      <c r="A84" t="s">
        <v>191</v>
      </c>
      <c r="B84">
        <v>210</v>
      </c>
      <c r="C84">
        <v>2</v>
      </c>
      <c r="D84">
        <v>127</v>
      </c>
      <c r="E84">
        <v>75</v>
      </c>
      <c r="F84">
        <v>167</v>
      </c>
      <c r="G84">
        <v>160</v>
      </c>
      <c r="H84">
        <v>312.89999999999998</v>
      </c>
      <c r="I84" s="14">
        <v>512.00330507246963</v>
      </c>
      <c r="J84">
        <v>130</v>
      </c>
      <c r="K84">
        <v>71</v>
      </c>
      <c r="L84">
        <v>150</v>
      </c>
      <c r="M84">
        <v>83</v>
      </c>
      <c r="N84" s="143" t="e">
        <v>#DIV/0!</v>
      </c>
      <c r="O84" s="143" t="e">
        <v>#DIV/0!</v>
      </c>
      <c r="P84">
        <v>28</v>
      </c>
    </row>
    <row r="85" spans="1:16">
      <c r="A85" t="s">
        <v>189</v>
      </c>
      <c r="B85">
        <v>194</v>
      </c>
      <c r="C85">
        <v>76</v>
      </c>
      <c r="D85">
        <v>124</v>
      </c>
      <c r="E85">
        <v>24</v>
      </c>
      <c r="F85">
        <v>174</v>
      </c>
      <c r="G85">
        <v>164</v>
      </c>
      <c r="H85">
        <v>328.00000000000006</v>
      </c>
      <c r="I85" s="14">
        <v>512.28043901774845</v>
      </c>
      <c r="J85">
        <v>146</v>
      </c>
      <c r="K85">
        <v>82</v>
      </c>
      <c r="L85">
        <v>151</v>
      </c>
      <c r="M85">
        <v>84</v>
      </c>
      <c r="N85" s="143" t="e">
        <v>#DIV/0!</v>
      </c>
      <c r="O85" s="143" t="e">
        <v>#DIV/0!</v>
      </c>
      <c r="P85">
        <v>-32</v>
      </c>
    </row>
    <row r="86" spans="1:16">
      <c r="A86" t="s">
        <v>243</v>
      </c>
      <c r="B86">
        <v>112</v>
      </c>
      <c r="C86">
        <v>146</v>
      </c>
      <c r="D86">
        <v>190</v>
      </c>
      <c r="E86">
        <v>19</v>
      </c>
      <c r="F86">
        <v>144</v>
      </c>
      <c r="G86">
        <v>150</v>
      </c>
      <c r="H86">
        <v>353.00000000000006</v>
      </c>
      <c r="I86" s="14">
        <v>516.68614576303901</v>
      </c>
      <c r="J86">
        <v>167</v>
      </c>
      <c r="K86">
        <v>96</v>
      </c>
      <c r="L86">
        <v>153</v>
      </c>
      <c r="M86">
        <v>85</v>
      </c>
      <c r="N86" s="143" t="e">
        <v>#DIV/0!</v>
      </c>
      <c r="O86" s="143" t="e">
        <v>#DIV/0!</v>
      </c>
      <c r="P86">
        <v>14</v>
      </c>
    </row>
    <row r="87" spans="1:16">
      <c r="A87" t="s">
        <v>153</v>
      </c>
      <c r="B87">
        <v>130</v>
      </c>
      <c r="C87">
        <v>160</v>
      </c>
      <c r="D87">
        <v>68</v>
      </c>
      <c r="E87">
        <v>197</v>
      </c>
      <c r="F87">
        <v>142</v>
      </c>
      <c r="G87">
        <v>137</v>
      </c>
      <c r="H87">
        <v>357.2</v>
      </c>
      <c r="I87" s="14">
        <v>518.13910489178591</v>
      </c>
      <c r="J87">
        <v>174</v>
      </c>
      <c r="K87">
        <v>101</v>
      </c>
      <c r="L87">
        <v>155</v>
      </c>
      <c r="M87">
        <v>86</v>
      </c>
      <c r="N87" s="143" t="e">
        <v>#DIV/0!</v>
      </c>
      <c r="O87" s="143" t="e">
        <v>#DIV/0!</v>
      </c>
      <c r="P87">
        <v>24</v>
      </c>
    </row>
    <row r="88" spans="1:16">
      <c r="A88" t="s">
        <v>56</v>
      </c>
      <c r="B88">
        <v>65</v>
      </c>
      <c r="C88">
        <v>203</v>
      </c>
      <c r="D88">
        <v>117</v>
      </c>
      <c r="E88">
        <v>204</v>
      </c>
      <c r="F88">
        <v>45</v>
      </c>
      <c r="G88">
        <v>161</v>
      </c>
      <c r="H88">
        <v>342.3</v>
      </c>
      <c r="I88" s="14">
        <v>520.55380799183763</v>
      </c>
      <c r="J88">
        <v>158.5</v>
      </c>
      <c r="K88">
        <v>90</v>
      </c>
      <c r="L88">
        <v>156</v>
      </c>
      <c r="M88">
        <v>87</v>
      </c>
      <c r="N88" s="143" t="e">
        <v>#DIV/0!</v>
      </c>
      <c r="O88" s="143" t="e">
        <v>#DIV/0!</v>
      </c>
      <c r="P88">
        <v>-87</v>
      </c>
    </row>
    <row r="89" spans="1:16">
      <c r="A89" t="s">
        <v>86</v>
      </c>
      <c r="B89">
        <v>98</v>
      </c>
      <c r="C89">
        <v>130</v>
      </c>
      <c r="D89">
        <v>195</v>
      </c>
      <c r="E89">
        <v>130</v>
      </c>
      <c r="F89">
        <v>62</v>
      </c>
      <c r="G89">
        <v>147</v>
      </c>
      <c r="H89">
        <v>350.1</v>
      </c>
      <c r="I89" s="14">
        <v>524.94262497903719</v>
      </c>
      <c r="J89">
        <v>164</v>
      </c>
      <c r="K89">
        <v>94</v>
      </c>
      <c r="L89">
        <v>157</v>
      </c>
      <c r="M89">
        <v>88</v>
      </c>
      <c r="N89" s="143" t="e">
        <v>#DIV/0!</v>
      </c>
      <c r="O89" s="143" t="e">
        <v>#DIV/0!</v>
      </c>
      <c r="P89">
        <v>-28</v>
      </c>
    </row>
    <row r="90" spans="1:16">
      <c r="A90" t="s">
        <v>50</v>
      </c>
      <c r="B90">
        <v>30</v>
      </c>
      <c r="C90">
        <v>210</v>
      </c>
      <c r="D90">
        <v>184</v>
      </c>
      <c r="E90">
        <v>64</v>
      </c>
      <c r="F90">
        <v>137</v>
      </c>
      <c r="G90">
        <v>167</v>
      </c>
      <c r="H90">
        <v>353.2</v>
      </c>
      <c r="I90" s="14">
        <v>528.65979312665695</v>
      </c>
      <c r="J90">
        <v>168</v>
      </c>
      <c r="K90">
        <v>97</v>
      </c>
      <c r="L90">
        <v>159</v>
      </c>
      <c r="M90">
        <v>89</v>
      </c>
      <c r="N90" s="143" t="e">
        <v>#DIV/0!</v>
      </c>
      <c r="O90" s="143" t="e">
        <v>#DIV/0!</v>
      </c>
      <c r="P90">
        <v>-63</v>
      </c>
    </row>
    <row r="91" spans="1:16">
      <c r="A91" t="s">
        <v>169</v>
      </c>
      <c r="B91">
        <v>194</v>
      </c>
      <c r="C91">
        <v>55</v>
      </c>
      <c r="D91">
        <v>135</v>
      </c>
      <c r="E91">
        <v>132</v>
      </c>
      <c r="F91">
        <v>100</v>
      </c>
      <c r="G91">
        <v>157</v>
      </c>
      <c r="H91">
        <v>336.7</v>
      </c>
      <c r="I91" s="14">
        <v>529.84153943778074</v>
      </c>
      <c r="J91">
        <v>154</v>
      </c>
      <c r="K91">
        <v>87</v>
      </c>
      <c r="L91">
        <v>160</v>
      </c>
      <c r="M91">
        <v>90</v>
      </c>
      <c r="N91" s="143" t="e">
        <v>#DIV/0!</v>
      </c>
      <c r="O91" s="143" t="e">
        <v>#DIV/0!</v>
      </c>
      <c r="P91">
        <v>-14</v>
      </c>
    </row>
    <row r="92" spans="1:16">
      <c r="A92" t="s">
        <v>401</v>
      </c>
      <c r="B92">
        <v>23</v>
      </c>
      <c r="C92">
        <v>153</v>
      </c>
      <c r="D92">
        <v>171</v>
      </c>
      <c r="E92">
        <v>199</v>
      </c>
      <c r="F92">
        <v>126</v>
      </c>
      <c r="G92">
        <v>146</v>
      </c>
      <c r="H92">
        <v>355.29999999999995</v>
      </c>
      <c r="I92" s="14">
        <v>536.06955551089095</v>
      </c>
      <c r="J92">
        <v>171</v>
      </c>
      <c r="K92">
        <v>100</v>
      </c>
      <c r="L92">
        <v>161</v>
      </c>
      <c r="M92">
        <v>91</v>
      </c>
      <c r="N92" s="143" t="e">
        <v>#DIV/0!</v>
      </c>
      <c r="O92" s="143" t="e">
        <v>#DIV/0!</v>
      </c>
      <c r="P92">
        <v>-57</v>
      </c>
    </row>
    <row r="93" spans="1:16">
      <c r="A93" t="s">
        <v>170</v>
      </c>
      <c r="B93">
        <v>203</v>
      </c>
      <c r="C93">
        <v>88</v>
      </c>
      <c r="D93">
        <v>185</v>
      </c>
      <c r="E93">
        <v>67</v>
      </c>
      <c r="F93">
        <v>69</v>
      </c>
      <c r="G93">
        <v>154</v>
      </c>
      <c r="H93">
        <v>358.50000000000006</v>
      </c>
      <c r="I93" s="14">
        <v>538.05652644325824</v>
      </c>
      <c r="J93">
        <v>175</v>
      </c>
      <c r="K93">
        <v>102</v>
      </c>
      <c r="L93">
        <v>162</v>
      </c>
      <c r="M93">
        <v>92</v>
      </c>
      <c r="N93" s="143" t="e">
        <v>#DIV/0!</v>
      </c>
      <c r="O93" s="143" t="e">
        <v>#DIV/0!</v>
      </c>
      <c r="P93">
        <v>-14</v>
      </c>
    </row>
    <row r="94" spans="1:16">
      <c r="A94" t="s">
        <v>83</v>
      </c>
      <c r="B94">
        <v>49</v>
      </c>
      <c r="C94">
        <v>196</v>
      </c>
      <c r="D94">
        <v>206</v>
      </c>
      <c r="E94">
        <v>144</v>
      </c>
      <c r="F94">
        <v>12</v>
      </c>
      <c r="G94">
        <v>169</v>
      </c>
      <c r="H94">
        <v>353.6</v>
      </c>
      <c r="I94" s="14">
        <v>540.07929671714635</v>
      </c>
      <c r="J94">
        <v>170</v>
      </c>
      <c r="K94">
        <v>99</v>
      </c>
      <c r="L94">
        <v>163</v>
      </c>
      <c r="M94">
        <v>93</v>
      </c>
      <c r="N94" s="143" t="e">
        <v>#DIV/0!</v>
      </c>
      <c r="O94" s="143" t="e">
        <v>#DIV/0!</v>
      </c>
      <c r="P94">
        <v>21</v>
      </c>
    </row>
    <row r="95" spans="1:16">
      <c r="A95" t="s">
        <v>157</v>
      </c>
      <c r="B95">
        <v>165</v>
      </c>
      <c r="C95">
        <v>101</v>
      </c>
      <c r="D95">
        <v>84</v>
      </c>
      <c r="E95">
        <v>137</v>
      </c>
      <c r="F95">
        <v>166</v>
      </c>
      <c r="G95">
        <v>174</v>
      </c>
      <c r="H95">
        <v>339.6</v>
      </c>
      <c r="I95" s="14">
        <v>541.34117508261693</v>
      </c>
      <c r="J95">
        <v>156</v>
      </c>
      <c r="K95">
        <v>88</v>
      </c>
      <c r="L95">
        <v>165</v>
      </c>
      <c r="M95">
        <v>94</v>
      </c>
      <c r="N95" s="143" t="e">
        <v>#DIV/0!</v>
      </c>
      <c r="O95" s="143" t="e">
        <v>#DIV/0!</v>
      </c>
      <c r="P95">
        <v>-50</v>
      </c>
    </row>
    <row r="96" spans="1:16">
      <c r="A96" t="s">
        <v>126</v>
      </c>
      <c r="B96">
        <v>92</v>
      </c>
      <c r="C96">
        <v>91</v>
      </c>
      <c r="D96">
        <v>193</v>
      </c>
      <c r="E96">
        <v>100</v>
      </c>
      <c r="F96">
        <v>171</v>
      </c>
      <c r="G96">
        <v>159</v>
      </c>
      <c r="H96">
        <v>353.29999999999995</v>
      </c>
      <c r="I96" s="14">
        <v>548.02490763254809</v>
      </c>
      <c r="J96">
        <v>169</v>
      </c>
      <c r="K96">
        <v>98</v>
      </c>
      <c r="L96">
        <v>166</v>
      </c>
      <c r="M96">
        <v>95</v>
      </c>
      <c r="N96" s="143" t="e">
        <v>#DIV/0!</v>
      </c>
      <c r="O96" s="143" t="e">
        <v>#DIV/0!</v>
      </c>
      <c r="P96">
        <v>21</v>
      </c>
    </row>
    <row r="97" spans="1:16">
      <c r="A97" t="s">
        <v>407</v>
      </c>
      <c r="B97">
        <v>52</v>
      </c>
      <c r="C97">
        <v>105</v>
      </c>
      <c r="D97">
        <v>167</v>
      </c>
      <c r="E97">
        <v>210</v>
      </c>
      <c r="F97">
        <v>121</v>
      </c>
      <c r="G97">
        <v>162</v>
      </c>
      <c r="H97">
        <v>343.5</v>
      </c>
      <c r="I97" s="14">
        <v>548.74199985789596</v>
      </c>
      <c r="J97">
        <v>160</v>
      </c>
      <c r="K97">
        <v>91</v>
      </c>
      <c r="L97">
        <v>167</v>
      </c>
      <c r="M97">
        <v>96</v>
      </c>
      <c r="N97" s="143" t="e">
        <v>#DIV/0!</v>
      </c>
      <c r="O97" s="143" t="e">
        <v>#DIV/0!</v>
      </c>
      <c r="P97">
        <v>-9</v>
      </c>
    </row>
    <row r="98" spans="1:16">
      <c r="A98" t="s">
        <v>21</v>
      </c>
      <c r="B98">
        <v>26</v>
      </c>
      <c r="C98">
        <v>161</v>
      </c>
      <c r="D98">
        <v>78</v>
      </c>
      <c r="E98">
        <v>208</v>
      </c>
      <c r="F98">
        <v>208</v>
      </c>
      <c r="G98">
        <v>191</v>
      </c>
      <c r="H98">
        <v>333.2</v>
      </c>
      <c r="I98" s="14">
        <v>553.42287209146002</v>
      </c>
      <c r="J98">
        <v>151.5</v>
      </c>
      <c r="K98">
        <v>85</v>
      </c>
      <c r="L98">
        <v>168</v>
      </c>
      <c r="M98">
        <v>97</v>
      </c>
      <c r="N98" s="143" t="e">
        <v>#N/A</v>
      </c>
      <c r="O98" s="143" t="e">
        <v>#N/A</v>
      </c>
      <c r="P98">
        <v>18</v>
      </c>
    </row>
    <row r="99" spans="1:16">
      <c r="A99" t="s">
        <v>220</v>
      </c>
      <c r="B99">
        <v>206</v>
      </c>
      <c r="C99">
        <v>89</v>
      </c>
      <c r="D99">
        <v>211</v>
      </c>
      <c r="E99">
        <v>60</v>
      </c>
      <c r="F99">
        <v>2</v>
      </c>
      <c r="G99">
        <v>189</v>
      </c>
      <c r="H99">
        <v>349.5</v>
      </c>
      <c r="I99" s="14">
        <v>561.75701383550245</v>
      </c>
      <c r="J99">
        <v>163</v>
      </c>
      <c r="K99">
        <v>93</v>
      </c>
      <c r="L99">
        <v>169</v>
      </c>
      <c r="M99">
        <v>98</v>
      </c>
      <c r="N99" s="143" t="e">
        <v>#DIV/0!</v>
      </c>
      <c r="O99" s="143" t="e">
        <v>#DIV/0!</v>
      </c>
      <c r="P99">
        <v>-14</v>
      </c>
    </row>
    <row r="100" spans="1:16">
      <c r="A100" t="s">
        <v>155</v>
      </c>
      <c r="B100">
        <v>125</v>
      </c>
      <c r="C100">
        <v>185</v>
      </c>
      <c r="D100">
        <v>173</v>
      </c>
      <c r="E100">
        <v>70</v>
      </c>
      <c r="F100">
        <v>125</v>
      </c>
      <c r="G100">
        <v>165</v>
      </c>
      <c r="H100">
        <v>385.1</v>
      </c>
      <c r="I100" s="14">
        <v>562.5306058173536</v>
      </c>
      <c r="J100">
        <v>185</v>
      </c>
      <c r="K100">
        <v>107</v>
      </c>
      <c r="L100">
        <v>170</v>
      </c>
      <c r="M100">
        <v>99</v>
      </c>
      <c r="N100" s="143" t="e">
        <v>#DIV/0!</v>
      </c>
      <c r="O100" s="143" t="e">
        <v>#DIV/0!</v>
      </c>
      <c r="P100">
        <v>-3</v>
      </c>
    </row>
    <row r="101" spans="1:16">
      <c r="A101" t="s">
        <v>168</v>
      </c>
      <c r="B101">
        <v>170</v>
      </c>
      <c r="C101">
        <v>5</v>
      </c>
      <c r="D101">
        <v>128</v>
      </c>
      <c r="E101">
        <v>173</v>
      </c>
      <c r="F101">
        <v>176</v>
      </c>
      <c r="G101">
        <v>177</v>
      </c>
      <c r="H101">
        <v>334.20000000000005</v>
      </c>
      <c r="I101" s="14">
        <v>564.52275639962863</v>
      </c>
      <c r="J101">
        <v>153</v>
      </c>
      <c r="K101">
        <v>86</v>
      </c>
      <c r="L101">
        <v>172</v>
      </c>
      <c r="M101">
        <v>100</v>
      </c>
      <c r="N101" s="143" t="e">
        <v>#DIV/0!</v>
      </c>
      <c r="O101" s="143" t="e">
        <v>#DIV/0!</v>
      </c>
      <c r="P101">
        <v>-14</v>
      </c>
    </row>
    <row r="102" spans="1:16">
      <c r="A102" t="s">
        <v>53</v>
      </c>
      <c r="B102">
        <v>40</v>
      </c>
      <c r="C102">
        <v>115</v>
      </c>
      <c r="D102">
        <v>166</v>
      </c>
      <c r="E102">
        <v>192</v>
      </c>
      <c r="F102">
        <v>148</v>
      </c>
      <c r="G102">
        <v>195</v>
      </c>
      <c r="H102">
        <v>345.2</v>
      </c>
      <c r="I102" s="14">
        <v>580.6647772293237</v>
      </c>
      <c r="J102">
        <v>161</v>
      </c>
      <c r="K102">
        <v>92</v>
      </c>
      <c r="L102">
        <v>174</v>
      </c>
      <c r="M102">
        <v>101</v>
      </c>
      <c r="N102" s="143" t="e">
        <v>#DIV/0!</v>
      </c>
      <c r="O102" s="143" t="e">
        <v>#DIV/0!</v>
      </c>
      <c r="P102">
        <v>-9</v>
      </c>
    </row>
    <row r="103" spans="1:16">
      <c r="A103" t="s">
        <v>186</v>
      </c>
      <c r="B103">
        <v>199</v>
      </c>
      <c r="C103">
        <v>16</v>
      </c>
      <c r="D103">
        <v>197</v>
      </c>
      <c r="E103">
        <v>106</v>
      </c>
      <c r="F103">
        <v>107</v>
      </c>
      <c r="G103">
        <v>183</v>
      </c>
      <c r="H103">
        <v>352.09999999999997</v>
      </c>
      <c r="I103" s="14">
        <v>580.97039827690242</v>
      </c>
      <c r="J103">
        <v>165</v>
      </c>
      <c r="K103">
        <v>95</v>
      </c>
      <c r="L103">
        <v>175</v>
      </c>
      <c r="M103">
        <v>102</v>
      </c>
      <c r="N103" s="143" t="e">
        <v>#DIV/0!</v>
      </c>
      <c r="O103" s="143" t="e">
        <v>#DIV/0!</v>
      </c>
      <c r="P103">
        <v>-18</v>
      </c>
    </row>
    <row r="104" spans="1:16">
      <c r="A104" t="s">
        <v>405</v>
      </c>
      <c r="B104">
        <v>49</v>
      </c>
      <c r="C104">
        <v>183</v>
      </c>
      <c r="D104">
        <v>176</v>
      </c>
      <c r="E104">
        <v>180</v>
      </c>
      <c r="F104">
        <v>130</v>
      </c>
      <c r="G104">
        <v>173</v>
      </c>
      <c r="H104">
        <v>386.4</v>
      </c>
      <c r="I104" s="14">
        <v>588.05103510504819</v>
      </c>
      <c r="J104">
        <v>189</v>
      </c>
      <c r="K104">
        <v>108</v>
      </c>
      <c r="L104">
        <v>182</v>
      </c>
      <c r="M104">
        <v>103</v>
      </c>
      <c r="N104" s="143" t="e">
        <v>#DIV/0!</v>
      </c>
      <c r="O104" s="143" t="e">
        <v>#DIV/0!</v>
      </c>
      <c r="P104">
        <v>11</v>
      </c>
    </row>
    <row r="105" spans="1:16">
      <c r="A105" t="s">
        <v>70</v>
      </c>
      <c r="B105">
        <v>114</v>
      </c>
      <c r="C105">
        <v>197</v>
      </c>
      <c r="D105">
        <v>106</v>
      </c>
      <c r="E105">
        <v>182</v>
      </c>
      <c r="F105">
        <v>88</v>
      </c>
      <c r="G105">
        <v>205</v>
      </c>
      <c r="H105">
        <v>368.79999999999995</v>
      </c>
      <c r="I105" s="14">
        <v>590.78959238841571</v>
      </c>
      <c r="J105">
        <v>177</v>
      </c>
      <c r="K105">
        <v>103</v>
      </c>
      <c r="L105">
        <v>183</v>
      </c>
      <c r="M105">
        <v>104</v>
      </c>
      <c r="N105" s="143" t="e">
        <v>#DIV/0!</v>
      </c>
      <c r="O105" s="143" t="e">
        <v>#DIV/0!</v>
      </c>
      <c r="P105">
        <v>1</v>
      </c>
    </row>
    <row r="106" spans="1:16">
      <c r="A106" t="s">
        <v>221</v>
      </c>
      <c r="B106">
        <v>161</v>
      </c>
      <c r="C106">
        <v>13</v>
      </c>
      <c r="D106">
        <v>115</v>
      </c>
      <c r="E106">
        <v>179</v>
      </c>
      <c r="F106">
        <v>210</v>
      </c>
      <c r="G106">
        <v>202</v>
      </c>
      <c r="H106">
        <v>340.5</v>
      </c>
      <c r="I106" s="14">
        <v>595.99259647701297</v>
      </c>
      <c r="J106">
        <v>157</v>
      </c>
      <c r="K106">
        <v>89</v>
      </c>
      <c r="L106">
        <v>185</v>
      </c>
      <c r="M106">
        <v>105</v>
      </c>
      <c r="N106" s="143" t="e">
        <v>#DIV/0!</v>
      </c>
      <c r="O106" s="143" t="e">
        <v>#DIV/0!</v>
      </c>
      <c r="P106">
        <v>-9</v>
      </c>
    </row>
    <row r="107" spans="1:16">
      <c r="A107" t="s">
        <v>398</v>
      </c>
      <c r="B107">
        <v>13</v>
      </c>
      <c r="C107">
        <v>207</v>
      </c>
      <c r="D107">
        <v>198</v>
      </c>
      <c r="E107">
        <v>106</v>
      </c>
      <c r="F107">
        <v>178</v>
      </c>
      <c r="G107">
        <v>194</v>
      </c>
      <c r="H107">
        <v>384.2</v>
      </c>
      <c r="I107" s="14">
        <v>597.30233433514911</v>
      </c>
      <c r="J107">
        <v>184</v>
      </c>
      <c r="K107">
        <v>106</v>
      </c>
      <c r="L107">
        <v>186</v>
      </c>
      <c r="M107">
        <v>106</v>
      </c>
      <c r="N107" s="143" t="e">
        <v>#DIV/0!</v>
      </c>
      <c r="O107" s="143" t="e">
        <v>#DIV/0!</v>
      </c>
      <c r="P107">
        <v>-35</v>
      </c>
    </row>
    <row r="108" spans="1:16">
      <c r="A108" t="s">
        <v>223</v>
      </c>
      <c r="B108">
        <v>115</v>
      </c>
      <c r="C108">
        <v>198</v>
      </c>
      <c r="D108">
        <v>182</v>
      </c>
      <c r="E108">
        <v>169</v>
      </c>
      <c r="F108">
        <v>72</v>
      </c>
      <c r="G108">
        <v>163</v>
      </c>
      <c r="H108">
        <v>411.6</v>
      </c>
      <c r="I108" s="14">
        <v>597.38862568712511</v>
      </c>
      <c r="J108">
        <v>197.5</v>
      </c>
      <c r="K108">
        <v>111</v>
      </c>
      <c r="L108">
        <v>187</v>
      </c>
      <c r="M108">
        <v>107</v>
      </c>
      <c r="N108" s="143" t="e">
        <v>#DIV/0!</v>
      </c>
      <c r="O108" s="143" t="e">
        <v>#DIV/0!</v>
      </c>
      <c r="P108">
        <v>-8</v>
      </c>
    </row>
    <row r="109" spans="1:16">
      <c r="A109" t="s">
        <v>180</v>
      </c>
      <c r="B109">
        <v>197</v>
      </c>
      <c r="C109">
        <v>51</v>
      </c>
      <c r="D109">
        <v>202</v>
      </c>
      <c r="E109">
        <v>190</v>
      </c>
      <c r="F109">
        <v>7</v>
      </c>
      <c r="G109">
        <v>184</v>
      </c>
      <c r="H109">
        <v>368.99999999999994</v>
      </c>
      <c r="I109" s="14">
        <v>600.41075231346235</v>
      </c>
      <c r="J109">
        <v>178</v>
      </c>
      <c r="K109">
        <v>104</v>
      </c>
      <c r="L109">
        <v>188</v>
      </c>
      <c r="M109">
        <v>108</v>
      </c>
      <c r="N109" s="143" t="e">
        <v>#DIV/0!</v>
      </c>
      <c r="O109" s="143" t="e">
        <v>#DIV/0!</v>
      </c>
      <c r="P109">
        <v>-16</v>
      </c>
    </row>
    <row r="110" spans="1:16">
      <c r="A110" t="s">
        <v>82</v>
      </c>
      <c r="B110">
        <v>63</v>
      </c>
      <c r="C110">
        <v>143</v>
      </c>
      <c r="D110">
        <v>187</v>
      </c>
      <c r="E110">
        <v>172</v>
      </c>
      <c r="F110">
        <v>163</v>
      </c>
      <c r="G110">
        <v>209</v>
      </c>
      <c r="H110">
        <v>388.5</v>
      </c>
      <c r="I110" s="14">
        <v>634.50840793172779</v>
      </c>
      <c r="J110">
        <v>190</v>
      </c>
      <c r="K110">
        <v>109</v>
      </c>
      <c r="L110">
        <v>195</v>
      </c>
      <c r="M110">
        <v>109</v>
      </c>
      <c r="N110" s="143" t="e">
        <v>#DIV/0!</v>
      </c>
      <c r="O110" s="143" t="e">
        <v>#DIV/0!</v>
      </c>
      <c r="P110">
        <v>-59</v>
      </c>
    </row>
    <row r="111" spans="1:16">
      <c r="A111" t="s">
        <v>133</v>
      </c>
      <c r="B111">
        <v>192</v>
      </c>
      <c r="C111">
        <v>112</v>
      </c>
      <c r="D111">
        <v>140</v>
      </c>
      <c r="E111">
        <v>188</v>
      </c>
      <c r="F111">
        <v>117</v>
      </c>
      <c r="G111">
        <v>196</v>
      </c>
      <c r="H111">
        <v>402.4</v>
      </c>
      <c r="I111" s="14">
        <v>635.92904867925779</v>
      </c>
      <c r="J111">
        <v>195</v>
      </c>
      <c r="K111">
        <v>110</v>
      </c>
      <c r="L111">
        <v>196</v>
      </c>
      <c r="M111">
        <v>110</v>
      </c>
      <c r="N111" s="143" t="e">
        <v>#DIV/0!</v>
      </c>
      <c r="O111" s="143" t="e">
        <v>#DIV/0!</v>
      </c>
      <c r="P111">
        <v>6</v>
      </c>
    </row>
    <row r="112" spans="1:16">
      <c r="A112" t="s">
        <v>176</v>
      </c>
      <c r="B112">
        <v>199</v>
      </c>
      <c r="C112">
        <v>30</v>
      </c>
      <c r="D112">
        <v>210</v>
      </c>
      <c r="E112">
        <v>200</v>
      </c>
      <c r="F112">
        <v>36</v>
      </c>
      <c r="G112">
        <v>204</v>
      </c>
      <c r="H112">
        <v>378.79999999999995</v>
      </c>
      <c r="I112" s="14">
        <v>637.6208636774852</v>
      </c>
      <c r="J112">
        <v>180</v>
      </c>
      <c r="K112">
        <v>105</v>
      </c>
      <c r="L112">
        <v>197</v>
      </c>
      <c r="M112">
        <v>111</v>
      </c>
      <c r="N112" s="143" t="e">
        <v>#DIV/0!</v>
      </c>
      <c r="O112" s="143" t="e">
        <v>#DIV/0!</v>
      </c>
      <c r="P112">
        <v>-15</v>
      </c>
    </row>
    <row r="113" spans="1:16">
      <c r="A113" t="s">
        <v>240</v>
      </c>
      <c r="B113">
        <v>103</v>
      </c>
      <c r="C113">
        <v>193</v>
      </c>
      <c r="D113">
        <v>152</v>
      </c>
      <c r="E113">
        <v>175</v>
      </c>
      <c r="F113">
        <v>182</v>
      </c>
      <c r="G113">
        <v>190</v>
      </c>
      <c r="H113">
        <v>426.8</v>
      </c>
      <c r="I113" s="14">
        <v>644.43012937900016</v>
      </c>
      <c r="J113">
        <v>201</v>
      </c>
      <c r="K113">
        <v>114</v>
      </c>
      <c r="L113">
        <v>199</v>
      </c>
      <c r="M113">
        <v>112</v>
      </c>
      <c r="N113" s="143" t="e">
        <v>#DIV/0!</v>
      </c>
      <c r="O113" s="143" t="e">
        <v>#DIV/0!</v>
      </c>
      <c r="P113">
        <v>24</v>
      </c>
    </row>
    <row r="114" spans="1:16">
      <c r="A114" t="s">
        <v>387</v>
      </c>
      <c r="B114">
        <v>173</v>
      </c>
      <c r="C114">
        <v>104</v>
      </c>
      <c r="D114">
        <v>203</v>
      </c>
      <c r="E114">
        <v>79</v>
      </c>
      <c r="F114">
        <v>195</v>
      </c>
      <c r="G114">
        <v>200</v>
      </c>
      <c r="H114">
        <v>417.9</v>
      </c>
      <c r="I114" s="14">
        <v>652.38042565621276</v>
      </c>
      <c r="J114">
        <v>199</v>
      </c>
      <c r="K114">
        <v>112</v>
      </c>
      <c r="L114">
        <v>200</v>
      </c>
      <c r="M114">
        <v>113</v>
      </c>
      <c r="N114" s="143" t="e">
        <v>#DIV/0!</v>
      </c>
      <c r="O114" s="143" t="e">
        <v>#DIV/0!</v>
      </c>
      <c r="P114">
        <v>12</v>
      </c>
    </row>
    <row r="115" spans="1:16">
      <c r="A115" t="s">
        <v>94</v>
      </c>
      <c r="B115">
        <v>170</v>
      </c>
      <c r="C115">
        <v>131</v>
      </c>
      <c r="D115">
        <v>192</v>
      </c>
      <c r="E115">
        <v>181</v>
      </c>
      <c r="F115">
        <v>94</v>
      </c>
      <c r="G115">
        <v>201</v>
      </c>
      <c r="H115">
        <v>425</v>
      </c>
      <c r="I115" s="14">
        <v>663.95260429480641</v>
      </c>
      <c r="J115">
        <v>200</v>
      </c>
      <c r="K115">
        <v>113</v>
      </c>
      <c r="L115">
        <v>201</v>
      </c>
      <c r="M115">
        <v>114</v>
      </c>
      <c r="N115" s="143" t="e">
        <v>#DIV/0!</v>
      </c>
      <c r="O115" s="143" t="e">
        <v>#DIV/0!</v>
      </c>
      <c r="P115">
        <v>4</v>
      </c>
    </row>
    <row r="116" spans="1:16">
      <c r="A116" t="s">
        <v>392</v>
      </c>
      <c r="B116">
        <v>133</v>
      </c>
      <c r="C116">
        <v>204</v>
      </c>
      <c r="D116">
        <v>186</v>
      </c>
      <c r="E116">
        <v>108</v>
      </c>
      <c r="F116">
        <v>211</v>
      </c>
      <c r="G116">
        <v>211</v>
      </c>
      <c r="H116">
        <v>460</v>
      </c>
      <c r="I116" s="14">
        <v>693.23087946149735</v>
      </c>
      <c r="J116">
        <v>203</v>
      </c>
      <c r="K116">
        <v>116</v>
      </c>
      <c r="L116">
        <v>202</v>
      </c>
      <c r="M116">
        <v>115</v>
      </c>
      <c r="N116" s="143" t="e">
        <v>#DIV/0!</v>
      </c>
      <c r="O116" s="143" t="e">
        <v>#DIV/0!</v>
      </c>
      <c r="P116">
        <v>6</v>
      </c>
    </row>
    <row r="117" spans="1:16">
      <c r="A117" t="s">
        <v>418</v>
      </c>
      <c r="B117">
        <v>184</v>
      </c>
      <c r="C117">
        <v>54</v>
      </c>
      <c r="D117">
        <v>200</v>
      </c>
      <c r="E117">
        <v>209</v>
      </c>
      <c r="F117">
        <v>206</v>
      </c>
      <c r="G117">
        <v>210</v>
      </c>
      <c r="H117">
        <v>448.79999999999995</v>
      </c>
      <c r="I117" s="14">
        <v>720.59582945512136</v>
      </c>
      <c r="J117">
        <v>202</v>
      </c>
      <c r="K117">
        <v>115</v>
      </c>
      <c r="L117">
        <v>203</v>
      </c>
      <c r="M117">
        <v>116</v>
      </c>
      <c r="N117" s="143" t="e">
        <v>#DIV/0!</v>
      </c>
      <c r="O117" s="143" t="e">
        <v>#DIV/0!</v>
      </c>
      <c r="P117">
        <v>3</v>
      </c>
    </row>
  </sheetData>
  <conditionalFormatting sqref="N2:O1048576">
    <cfRule type="cellIs" dxfId="13" priority="5" operator="greaterThanOrEqual">
      <formula>20%</formula>
    </cfRule>
    <cfRule type="cellIs" dxfId="12" priority="6" operator="between">
      <formula>10%</formula>
      <formula>20%</formula>
    </cfRule>
    <cfRule type="cellIs" dxfId="11" priority="7" operator="between">
      <formula>0.01%</formula>
      <formula>10%</formula>
    </cfRule>
  </conditionalFormatting>
  <conditionalFormatting sqref="B2:G1048576 J2:M1048576">
    <cfRule type="cellIs" dxfId="10" priority="8" operator="between">
      <formula>101</formula>
      <formula>250</formula>
    </cfRule>
    <cfRule type="cellIs" dxfId="9" priority="9" operator="between">
      <formula>51</formula>
      <formula>100.5</formula>
    </cfRule>
    <cfRule type="cellIs" dxfId="8" priority="10" operator="between">
      <formula>21</formula>
      <formula>50.5</formula>
    </cfRule>
    <cfRule type="cellIs" dxfId="7"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CA1F3-2CA1-4EAA-8135-A9CD85D8200E}">
  <sheetPr codeName="Sheet67">
    <tabColor rgb="FFFF0000"/>
  </sheetPr>
  <dimension ref="A1:V74"/>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t="s">
        <v>148</v>
      </c>
      <c r="B2">
        <v>187</v>
      </c>
      <c r="C2">
        <v>45</v>
      </c>
      <c r="D2">
        <v>67</v>
      </c>
      <c r="E2">
        <v>178</v>
      </c>
      <c r="F2">
        <v>157</v>
      </c>
      <c r="G2">
        <v>175</v>
      </c>
      <c r="H2">
        <v>387.40000000000003</v>
      </c>
      <c r="I2" s="14">
        <v>534.16453683029079</v>
      </c>
      <c r="J2">
        <v>167</v>
      </c>
      <c r="K2">
        <v>47</v>
      </c>
      <c r="L2">
        <v>167</v>
      </c>
      <c r="M2">
        <v>45</v>
      </c>
      <c r="N2" s="143" t="e">
        <v>#DIV/0!</v>
      </c>
      <c r="O2" s="143" t="e">
        <v>#DIV/0!</v>
      </c>
      <c r="P2">
        <v>-72</v>
      </c>
      <c r="Q2">
        <v>1</v>
      </c>
    </row>
    <row r="3" spans="1:22">
      <c r="A3" s="20" t="s">
        <v>150</v>
      </c>
      <c r="B3">
        <v>179</v>
      </c>
      <c r="C3">
        <v>73</v>
      </c>
      <c r="D3">
        <v>49</v>
      </c>
      <c r="E3">
        <v>44</v>
      </c>
      <c r="F3">
        <v>16</v>
      </c>
      <c r="G3">
        <v>34</v>
      </c>
      <c r="H3">
        <v>257.5</v>
      </c>
      <c r="I3" s="14">
        <v>248.07848047715382</v>
      </c>
      <c r="J3">
        <v>48</v>
      </c>
      <c r="K3">
        <v>2</v>
      </c>
      <c r="L3">
        <v>33</v>
      </c>
      <c r="M3">
        <v>1</v>
      </c>
      <c r="N3" s="143" t="e">
        <v>#DIV/0!</v>
      </c>
      <c r="O3" s="143" t="e">
        <v>#DIV/0!</v>
      </c>
      <c r="P3">
        <v>1</v>
      </c>
    </row>
    <row r="4" spans="1:22">
      <c r="A4" s="136" t="s">
        <v>116</v>
      </c>
      <c r="B4">
        <v>150</v>
      </c>
      <c r="C4">
        <v>5</v>
      </c>
      <c r="D4">
        <v>75</v>
      </c>
      <c r="E4">
        <v>30</v>
      </c>
      <c r="F4">
        <v>145</v>
      </c>
      <c r="G4">
        <v>43</v>
      </c>
      <c r="H4">
        <v>274.5</v>
      </c>
      <c r="I4" s="14">
        <v>282.05271219685062</v>
      </c>
      <c r="J4">
        <v>55.5</v>
      </c>
      <c r="K4">
        <v>4</v>
      </c>
      <c r="L4">
        <v>43</v>
      </c>
      <c r="M4">
        <v>2</v>
      </c>
      <c r="N4" s="143" t="e">
        <v>#DIV/0!</v>
      </c>
      <c r="O4" s="143" t="e">
        <v>#DIV/0!</v>
      </c>
      <c r="P4">
        <v>8</v>
      </c>
    </row>
    <row r="5" spans="1:22">
      <c r="A5" s="20" t="s">
        <v>241</v>
      </c>
      <c r="B5">
        <v>5</v>
      </c>
      <c r="C5">
        <v>132</v>
      </c>
      <c r="D5">
        <v>50</v>
      </c>
      <c r="E5">
        <v>184</v>
      </c>
      <c r="F5">
        <v>99</v>
      </c>
      <c r="G5">
        <v>46</v>
      </c>
      <c r="H5">
        <v>228.60000000000002</v>
      </c>
      <c r="I5" s="14">
        <v>294.59367658424162</v>
      </c>
      <c r="J5">
        <v>37</v>
      </c>
      <c r="K5">
        <v>1</v>
      </c>
      <c r="L5">
        <v>47</v>
      </c>
      <c r="M5">
        <v>3</v>
      </c>
      <c r="N5" s="143" t="e">
        <v>#DIV/0!</v>
      </c>
      <c r="O5" s="143" t="e">
        <v>#DIV/0!</v>
      </c>
      <c r="P5">
        <v>-7</v>
      </c>
    </row>
    <row r="6" spans="1:22">
      <c r="A6" t="s">
        <v>162</v>
      </c>
      <c r="B6">
        <v>205</v>
      </c>
      <c r="C6">
        <v>116</v>
      </c>
      <c r="D6">
        <v>52</v>
      </c>
      <c r="E6">
        <v>35</v>
      </c>
      <c r="F6">
        <v>59</v>
      </c>
      <c r="G6">
        <v>50</v>
      </c>
      <c r="H6">
        <v>322.39999999999998</v>
      </c>
      <c r="I6" s="14">
        <v>316.63064804323955</v>
      </c>
      <c r="J6">
        <v>106</v>
      </c>
      <c r="K6">
        <v>16</v>
      </c>
      <c r="L6">
        <v>55</v>
      </c>
      <c r="M6">
        <v>4</v>
      </c>
      <c r="N6" s="143" t="e">
        <v>#DIV/0!</v>
      </c>
      <c r="O6" s="143" t="e">
        <v>#DIV/0!</v>
      </c>
      <c r="P6">
        <v>22</v>
      </c>
    </row>
    <row r="7" spans="1:22">
      <c r="A7" t="s">
        <v>64</v>
      </c>
      <c r="B7">
        <v>81</v>
      </c>
      <c r="C7">
        <v>192</v>
      </c>
      <c r="D7">
        <v>69</v>
      </c>
      <c r="E7">
        <v>63</v>
      </c>
      <c r="F7">
        <v>141</v>
      </c>
      <c r="G7">
        <v>69</v>
      </c>
      <c r="H7">
        <v>312.89999999999998</v>
      </c>
      <c r="I7" s="14">
        <v>360.17723153435395</v>
      </c>
      <c r="J7">
        <v>90</v>
      </c>
      <c r="K7">
        <v>11</v>
      </c>
      <c r="L7">
        <v>72</v>
      </c>
      <c r="M7">
        <v>5</v>
      </c>
      <c r="N7" s="143" t="e">
        <v>#DIV/0!</v>
      </c>
      <c r="O7" s="143" t="e">
        <v>#DIV/0!</v>
      </c>
      <c r="P7">
        <v>-17</v>
      </c>
    </row>
    <row r="8" spans="1:22">
      <c r="A8" t="s">
        <v>38</v>
      </c>
      <c r="B8">
        <v>38</v>
      </c>
      <c r="C8">
        <v>207</v>
      </c>
      <c r="D8">
        <v>119</v>
      </c>
      <c r="E8">
        <v>82</v>
      </c>
      <c r="F8">
        <v>50</v>
      </c>
      <c r="G8">
        <v>83</v>
      </c>
      <c r="H8">
        <v>278.8</v>
      </c>
      <c r="I8" s="14">
        <v>363.69225623303026</v>
      </c>
      <c r="J8">
        <v>60</v>
      </c>
      <c r="K8">
        <v>5</v>
      </c>
      <c r="L8">
        <v>74</v>
      </c>
      <c r="M8">
        <v>6</v>
      </c>
      <c r="N8" s="143" t="e">
        <v>#DIV/0!</v>
      </c>
      <c r="O8" s="143" t="e">
        <v>#DIV/0!</v>
      </c>
      <c r="P8">
        <v>-29</v>
      </c>
    </row>
    <row r="9" spans="1:22">
      <c r="A9" t="s">
        <v>420</v>
      </c>
      <c r="B9">
        <v>187</v>
      </c>
      <c r="C9">
        <v>131</v>
      </c>
      <c r="D9">
        <v>29</v>
      </c>
      <c r="E9">
        <v>67</v>
      </c>
      <c r="F9">
        <v>154</v>
      </c>
      <c r="G9">
        <v>67</v>
      </c>
      <c r="H9">
        <v>357.90000000000003</v>
      </c>
      <c r="I9" s="14">
        <v>371.64289177275765</v>
      </c>
      <c r="J9">
        <v>139</v>
      </c>
      <c r="K9">
        <v>30</v>
      </c>
      <c r="L9">
        <v>80</v>
      </c>
      <c r="M9">
        <v>7</v>
      </c>
      <c r="N9" s="143" t="e">
        <v>#DIV/0!</v>
      </c>
      <c r="O9" s="143" t="e">
        <v>#DIV/0!</v>
      </c>
      <c r="P9">
        <v>44</v>
      </c>
    </row>
    <row r="10" spans="1:22">
      <c r="A10" t="s">
        <v>137</v>
      </c>
      <c r="B10">
        <v>135</v>
      </c>
      <c r="C10">
        <v>10</v>
      </c>
      <c r="D10">
        <v>54</v>
      </c>
      <c r="E10">
        <v>185</v>
      </c>
      <c r="F10">
        <v>120</v>
      </c>
      <c r="G10">
        <v>88</v>
      </c>
      <c r="H10">
        <v>298.3</v>
      </c>
      <c r="I10" s="14">
        <v>375.68047492869465</v>
      </c>
      <c r="J10">
        <v>74</v>
      </c>
      <c r="K10">
        <v>6</v>
      </c>
      <c r="L10">
        <v>83</v>
      </c>
      <c r="M10">
        <v>8</v>
      </c>
      <c r="N10" s="143" t="e">
        <v>#DIV/0!</v>
      </c>
      <c r="O10" s="143" t="e">
        <v>#DIV/0!</v>
      </c>
      <c r="P10">
        <v>-7</v>
      </c>
    </row>
    <row r="11" spans="1:22">
      <c r="A11" t="s">
        <v>122</v>
      </c>
      <c r="B11">
        <v>134</v>
      </c>
      <c r="C11">
        <v>68</v>
      </c>
      <c r="D11">
        <v>130</v>
      </c>
      <c r="E11">
        <v>109</v>
      </c>
      <c r="F11">
        <v>46</v>
      </c>
      <c r="G11">
        <v>79</v>
      </c>
      <c r="H11">
        <v>312.20000000000005</v>
      </c>
      <c r="I11" s="14">
        <v>378.62714943514288</v>
      </c>
      <c r="J11">
        <v>89</v>
      </c>
      <c r="K11">
        <v>10</v>
      </c>
      <c r="L11">
        <v>85</v>
      </c>
      <c r="M11">
        <v>9</v>
      </c>
      <c r="N11" s="143" t="e">
        <v>#DIV/0!</v>
      </c>
      <c r="O11" s="143" t="e">
        <v>#DIV/0!</v>
      </c>
      <c r="P11">
        <v>12</v>
      </c>
    </row>
    <row r="12" spans="1:22">
      <c r="A12" t="s">
        <v>152</v>
      </c>
      <c r="B12">
        <v>147</v>
      </c>
      <c r="C12">
        <v>26</v>
      </c>
      <c r="D12">
        <v>44</v>
      </c>
      <c r="E12">
        <v>142</v>
      </c>
      <c r="F12">
        <v>174</v>
      </c>
      <c r="G12">
        <v>100</v>
      </c>
      <c r="H12">
        <v>319.90000000000003</v>
      </c>
      <c r="I12" s="14">
        <v>395.51915544370729</v>
      </c>
      <c r="J12">
        <v>103</v>
      </c>
      <c r="K12">
        <v>15</v>
      </c>
      <c r="L12">
        <v>94</v>
      </c>
      <c r="M12">
        <v>10</v>
      </c>
      <c r="N12" s="143" t="e">
        <v>#DIV/0!</v>
      </c>
      <c r="O12" s="143" t="e">
        <v>#DIV/0!</v>
      </c>
      <c r="P12">
        <v>-40</v>
      </c>
    </row>
    <row r="13" spans="1:22">
      <c r="A13" t="s">
        <v>118</v>
      </c>
      <c r="B13">
        <v>130</v>
      </c>
      <c r="C13">
        <v>109</v>
      </c>
      <c r="D13">
        <v>85</v>
      </c>
      <c r="E13">
        <v>144</v>
      </c>
      <c r="F13">
        <v>55</v>
      </c>
      <c r="G13">
        <v>95</v>
      </c>
      <c r="H13">
        <v>316.10000000000002</v>
      </c>
      <c r="I13" s="14">
        <v>396.82522802671036</v>
      </c>
      <c r="J13">
        <v>98</v>
      </c>
      <c r="K13">
        <v>14</v>
      </c>
      <c r="L13">
        <v>95</v>
      </c>
      <c r="M13">
        <v>11</v>
      </c>
      <c r="N13" s="143" t="e">
        <v>#DIV/0!</v>
      </c>
      <c r="O13" s="143" t="e">
        <v>#DIV/0!</v>
      </c>
      <c r="P13">
        <v>12</v>
      </c>
    </row>
    <row r="14" spans="1:22">
      <c r="A14" t="s">
        <v>163</v>
      </c>
      <c r="B14">
        <v>149</v>
      </c>
      <c r="C14">
        <v>55</v>
      </c>
      <c r="D14">
        <v>83</v>
      </c>
      <c r="E14">
        <v>94</v>
      </c>
      <c r="F14">
        <v>136</v>
      </c>
      <c r="G14">
        <v>105</v>
      </c>
      <c r="H14">
        <v>325.3</v>
      </c>
      <c r="I14" s="14">
        <v>402.94666522739203</v>
      </c>
      <c r="J14">
        <v>111</v>
      </c>
      <c r="K14">
        <v>17</v>
      </c>
      <c r="L14">
        <v>98</v>
      </c>
      <c r="M14">
        <v>12</v>
      </c>
      <c r="N14" s="143" t="e">
        <v>#DIV/0!</v>
      </c>
      <c r="O14" s="143" t="e">
        <v>#DIV/0!</v>
      </c>
      <c r="P14">
        <v>-13</v>
      </c>
    </row>
    <row r="15" spans="1:22">
      <c r="A15" t="s">
        <v>60</v>
      </c>
      <c r="B15">
        <v>97</v>
      </c>
      <c r="C15">
        <v>13</v>
      </c>
      <c r="D15">
        <v>72</v>
      </c>
      <c r="E15">
        <v>180</v>
      </c>
      <c r="F15">
        <v>185</v>
      </c>
      <c r="G15">
        <v>99</v>
      </c>
      <c r="H15">
        <v>308.7</v>
      </c>
      <c r="I15" s="14">
        <v>406.61506609640105</v>
      </c>
      <c r="J15">
        <v>82</v>
      </c>
      <c r="K15">
        <v>9</v>
      </c>
      <c r="L15">
        <v>100</v>
      </c>
      <c r="M15">
        <v>13</v>
      </c>
      <c r="N15" s="143" t="e">
        <v>#DIV/0!</v>
      </c>
      <c r="O15" s="143" t="e">
        <v>#DIV/0!</v>
      </c>
      <c r="P15">
        <v>-57</v>
      </c>
    </row>
    <row r="16" spans="1:22">
      <c r="A16" t="s">
        <v>414</v>
      </c>
      <c r="B16">
        <v>138</v>
      </c>
      <c r="C16">
        <v>197</v>
      </c>
      <c r="D16">
        <v>205</v>
      </c>
      <c r="E16">
        <v>1</v>
      </c>
      <c r="F16">
        <v>21</v>
      </c>
      <c r="G16">
        <v>56</v>
      </c>
      <c r="H16">
        <v>377.09999999999997</v>
      </c>
      <c r="I16" s="14">
        <v>406.66986830584545</v>
      </c>
      <c r="J16">
        <v>157</v>
      </c>
      <c r="K16">
        <v>42</v>
      </c>
      <c r="L16">
        <v>101</v>
      </c>
      <c r="M16">
        <v>14</v>
      </c>
      <c r="N16" s="143" t="e">
        <v>#DIV/0!</v>
      </c>
      <c r="O16" s="143" t="e">
        <v>#DIV/0!</v>
      </c>
      <c r="P16">
        <v>-18</v>
      </c>
    </row>
    <row r="17" spans="1:16">
      <c r="A17" t="s">
        <v>185</v>
      </c>
      <c r="B17">
        <v>190</v>
      </c>
      <c r="C17">
        <v>1</v>
      </c>
      <c r="D17">
        <v>66</v>
      </c>
      <c r="E17">
        <v>192</v>
      </c>
      <c r="F17">
        <v>117</v>
      </c>
      <c r="G17">
        <v>78</v>
      </c>
      <c r="H17">
        <v>353</v>
      </c>
      <c r="I17" s="14">
        <v>407.74835540246761</v>
      </c>
      <c r="J17">
        <v>134</v>
      </c>
      <c r="K17">
        <v>27</v>
      </c>
      <c r="L17">
        <v>102</v>
      </c>
      <c r="M17">
        <v>15</v>
      </c>
      <c r="N17" s="143" t="e">
        <v>#DIV/0!</v>
      </c>
      <c r="O17" s="143" t="e">
        <v>#DIV/0!</v>
      </c>
      <c r="P17">
        <v>-3</v>
      </c>
    </row>
    <row r="18" spans="1:16">
      <c r="A18" t="s">
        <v>173</v>
      </c>
      <c r="B18">
        <v>164</v>
      </c>
      <c r="C18">
        <v>103</v>
      </c>
      <c r="D18">
        <v>144</v>
      </c>
      <c r="E18">
        <v>20</v>
      </c>
      <c r="F18">
        <v>66</v>
      </c>
      <c r="G18">
        <v>104</v>
      </c>
      <c r="H18">
        <v>340.9</v>
      </c>
      <c r="I18" s="14">
        <v>409.93994100867428</v>
      </c>
      <c r="J18">
        <v>124</v>
      </c>
      <c r="K18">
        <v>21</v>
      </c>
      <c r="L18">
        <v>103</v>
      </c>
      <c r="M18">
        <v>16</v>
      </c>
      <c r="N18" s="143" t="e">
        <v>#DIV/0!</v>
      </c>
      <c r="O18" s="143" t="e">
        <v>#DIV/0!</v>
      </c>
      <c r="P18">
        <v>-20</v>
      </c>
    </row>
    <row r="19" spans="1:16">
      <c r="A19" t="s">
        <v>127</v>
      </c>
      <c r="B19">
        <v>158</v>
      </c>
      <c r="C19">
        <v>54</v>
      </c>
      <c r="D19">
        <v>96</v>
      </c>
      <c r="E19">
        <v>177</v>
      </c>
      <c r="F19">
        <v>62</v>
      </c>
      <c r="G19">
        <v>87</v>
      </c>
      <c r="H19">
        <v>338.2</v>
      </c>
      <c r="I19" s="14">
        <v>411.71180956800521</v>
      </c>
      <c r="J19">
        <v>123</v>
      </c>
      <c r="K19">
        <v>20</v>
      </c>
      <c r="L19">
        <v>104</v>
      </c>
      <c r="M19">
        <v>17</v>
      </c>
      <c r="N19" s="143" t="e">
        <v>#DIV/0!</v>
      </c>
      <c r="O19" s="143" t="e">
        <v>#DIV/0!</v>
      </c>
      <c r="P19">
        <v>-16</v>
      </c>
    </row>
    <row r="20" spans="1:16">
      <c r="A20" t="s">
        <v>158</v>
      </c>
      <c r="B20">
        <v>121</v>
      </c>
      <c r="C20">
        <v>102</v>
      </c>
      <c r="D20">
        <v>107</v>
      </c>
      <c r="E20">
        <v>96</v>
      </c>
      <c r="F20">
        <v>118</v>
      </c>
      <c r="G20">
        <v>101</v>
      </c>
      <c r="H20">
        <v>332.20000000000005</v>
      </c>
      <c r="I20" s="14">
        <v>415.09746360635552</v>
      </c>
      <c r="J20">
        <v>119</v>
      </c>
      <c r="K20">
        <v>19</v>
      </c>
      <c r="L20">
        <v>108</v>
      </c>
      <c r="M20">
        <v>18</v>
      </c>
      <c r="N20" s="143" t="e">
        <v>#DIV/0!</v>
      </c>
      <c r="O20" s="143" t="e">
        <v>#DIV/0!</v>
      </c>
      <c r="P20">
        <v>15</v>
      </c>
    </row>
    <row r="21" spans="1:16">
      <c r="A21" s="137" t="s">
        <v>389</v>
      </c>
      <c r="B21">
        <v>33</v>
      </c>
      <c r="C21">
        <v>97</v>
      </c>
      <c r="D21">
        <v>57</v>
      </c>
      <c r="E21">
        <v>209</v>
      </c>
      <c r="F21">
        <v>133</v>
      </c>
      <c r="G21">
        <v>133</v>
      </c>
      <c r="H21">
        <v>268.2</v>
      </c>
      <c r="I21" s="14">
        <v>418.22168279557968</v>
      </c>
      <c r="J21">
        <v>53</v>
      </c>
      <c r="K21">
        <v>3</v>
      </c>
      <c r="L21">
        <v>109</v>
      </c>
      <c r="M21">
        <v>19</v>
      </c>
      <c r="N21" s="143" t="e">
        <v>#DIV/0!</v>
      </c>
      <c r="O21" s="143" t="e">
        <v>#DIV/0!</v>
      </c>
      <c r="P21">
        <v>-43</v>
      </c>
    </row>
    <row r="22" spans="1:16">
      <c r="A22" t="s">
        <v>402</v>
      </c>
      <c r="B22">
        <v>45</v>
      </c>
      <c r="C22">
        <v>213</v>
      </c>
      <c r="D22">
        <v>116</v>
      </c>
      <c r="E22">
        <v>57</v>
      </c>
      <c r="F22">
        <v>125</v>
      </c>
      <c r="G22">
        <v>115</v>
      </c>
      <c r="H22">
        <v>313.5</v>
      </c>
      <c r="I22" s="14">
        <v>421.19944759166765</v>
      </c>
      <c r="J22">
        <v>91</v>
      </c>
      <c r="K22">
        <v>12</v>
      </c>
      <c r="L22">
        <v>111</v>
      </c>
      <c r="M22">
        <v>20</v>
      </c>
      <c r="N22" s="143" t="e">
        <v>#DIV/0!</v>
      </c>
      <c r="O22" s="143" t="e">
        <v>#DIV/0!</v>
      </c>
      <c r="P22">
        <v>8</v>
      </c>
    </row>
    <row r="23" spans="1:16">
      <c r="A23" t="s">
        <v>79</v>
      </c>
      <c r="B23">
        <v>56</v>
      </c>
      <c r="C23">
        <v>70</v>
      </c>
      <c r="D23">
        <v>135</v>
      </c>
      <c r="E23">
        <v>135</v>
      </c>
      <c r="F23">
        <v>140</v>
      </c>
      <c r="G23">
        <v>113</v>
      </c>
      <c r="H23">
        <v>303.89999999999998</v>
      </c>
      <c r="I23" s="14">
        <v>427.10976439023813</v>
      </c>
      <c r="J23">
        <v>78</v>
      </c>
      <c r="K23">
        <v>7</v>
      </c>
      <c r="L23">
        <v>115</v>
      </c>
      <c r="M23">
        <v>21</v>
      </c>
      <c r="N23" s="143" t="e">
        <v>#DIV/0!</v>
      </c>
      <c r="O23" s="143" t="e">
        <v>#DIV/0!</v>
      </c>
      <c r="P23">
        <v>-17</v>
      </c>
    </row>
    <row r="24" spans="1:16">
      <c r="A24" t="s">
        <v>423</v>
      </c>
      <c r="B24">
        <v>206</v>
      </c>
      <c r="C24">
        <v>29</v>
      </c>
      <c r="D24">
        <v>86</v>
      </c>
      <c r="E24">
        <v>32</v>
      </c>
      <c r="F24">
        <v>193</v>
      </c>
      <c r="G24">
        <v>114</v>
      </c>
      <c r="H24">
        <v>369.40000000000003</v>
      </c>
      <c r="I24" s="14">
        <v>430.42606196824858</v>
      </c>
      <c r="J24">
        <v>151</v>
      </c>
      <c r="K24">
        <v>36</v>
      </c>
      <c r="L24">
        <v>117</v>
      </c>
      <c r="M24">
        <v>22</v>
      </c>
      <c r="N24" s="143" t="e">
        <v>#DIV/0!</v>
      </c>
      <c r="O24" s="143" t="e">
        <v>#DIV/0!</v>
      </c>
      <c r="P24">
        <v>-27</v>
      </c>
    </row>
    <row r="25" spans="1:16">
      <c r="A25" t="s">
        <v>191</v>
      </c>
      <c r="B25">
        <v>212</v>
      </c>
      <c r="C25">
        <v>2</v>
      </c>
      <c r="D25">
        <v>100</v>
      </c>
      <c r="E25">
        <v>47</v>
      </c>
      <c r="F25">
        <v>150</v>
      </c>
      <c r="G25">
        <v>127</v>
      </c>
      <c r="H25">
        <v>355.6</v>
      </c>
      <c r="I25" s="14">
        <v>434.86713265786011</v>
      </c>
      <c r="J25">
        <v>135</v>
      </c>
      <c r="K25">
        <v>28</v>
      </c>
      <c r="L25">
        <v>118</v>
      </c>
      <c r="M25">
        <v>23</v>
      </c>
      <c r="N25" s="143" t="e">
        <v>#DIV/0!</v>
      </c>
      <c r="O25" s="143" t="e">
        <v>#DIV/0!</v>
      </c>
      <c r="P25">
        <v>60</v>
      </c>
    </row>
    <row r="26" spans="1:16">
      <c r="A26" t="s">
        <v>164</v>
      </c>
      <c r="B26">
        <v>132</v>
      </c>
      <c r="C26">
        <v>92</v>
      </c>
      <c r="D26">
        <v>170</v>
      </c>
      <c r="E26">
        <v>8</v>
      </c>
      <c r="F26">
        <v>169</v>
      </c>
      <c r="G26">
        <v>96</v>
      </c>
      <c r="H26">
        <v>371.5</v>
      </c>
      <c r="I26" s="14">
        <v>439.58164534107749</v>
      </c>
      <c r="J26">
        <v>153</v>
      </c>
      <c r="K26">
        <v>38</v>
      </c>
      <c r="L26">
        <v>119</v>
      </c>
      <c r="M26">
        <v>24</v>
      </c>
      <c r="N26" s="143" t="e">
        <v>#DIV/0!</v>
      </c>
      <c r="O26" s="143" t="e">
        <v>#DIV/0!</v>
      </c>
      <c r="P26">
        <v>12</v>
      </c>
    </row>
    <row r="27" spans="1:16">
      <c r="A27" t="s">
        <v>134</v>
      </c>
      <c r="B27">
        <v>147</v>
      </c>
      <c r="C27">
        <v>79</v>
      </c>
      <c r="D27">
        <v>82</v>
      </c>
      <c r="E27">
        <v>151</v>
      </c>
      <c r="F27">
        <v>114</v>
      </c>
      <c r="G27">
        <v>120</v>
      </c>
      <c r="H27">
        <v>346.6</v>
      </c>
      <c r="I27" s="14">
        <v>447.46767315798041</v>
      </c>
      <c r="J27">
        <v>128</v>
      </c>
      <c r="K27">
        <v>24</v>
      </c>
      <c r="L27">
        <v>121</v>
      </c>
      <c r="M27">
        <v>25</v>
      </c>
      <c r="N27" s="143" t="e">
        <v>#DIV/0!</v>
      </c>
      <c r="O27" s="143" t="e">
        <v>#DIV/0!</v>
      </c>
      <c r="P27">
        <v>-16</v>
      </c>
    </row>
    <row r="28" spans="1:16">
      <c r="A28" t="s">
        <v>18</v>
      </c>
      <c r="B28">
        <v>9</v>
      </c>
      <c r="C28">
        <v>198</v>
      </c>
      <c r="D28">
        <v>187</v>
      </c>
      <c r="E28">
        <v>158</v>
      </c>
      <c r="F28">
        <v>28</v>
      </c>
      <c r="G28">
        <v>107</v>
      </c>
      <c r="H28">
        <v>315.2</v>
      </c>
      <c r="I28" s="14">
        <v>452.67441469582207</v>
      </c>
      <c r="J28">
        <v>95</v>
      </c>
      <c r="K28">
        <v>13</v>
      </c>
      <c r="L28">
        <v>125</v>
      </c>
      <c r="M28">
        <v>26</v>
      </c>
      <c r="N28" s="143" t="e">
        <v>#DIV/0!</v>
      </c>
      <c r="O28" s="143" t="e">
        <v>#DIV/0!</v>
      </c>
      <c r="P28">
        <v>-27</v>
      </c>
    </row>
    <row r="29" spans="1:16">
      <c r="A29" t="s">
        <v>120</v>
      </c>
      <c r="B29">
        <v>155</v>
      </c>
      <c r="C29">
        <v>96</v>
      </c>
      <c r="D29">
        <v>84</v>
      </c>
      <c r="E29">
        <v>172</v>
      </c>
      <c r="F29">
        <v>66</v>
      </c>
      <c r="G29">
        <v>130</v>
      </c>
      <c r="H29">
        <v>348.1</v>
      </c>
      <c r="I29" s="14">
        <v>460.89866120880498</v>
      </c>
      <c r="J29">
        <v>131</v>
      </c>
      <c r="K29">
        <v>25</v>
      </c>
      <c r="L29">
        <v>131</v>
      </c>
      <c r="M29">
        <v>27</v>
      </c>
      <c r="N29" s="143" t="e">
        <v>#DIV/0!</v>
      </c>
      <c r="O29" s="143" t="e">
        <v>#DIV/0!</v>
      </c>
      <c r="P29">
        <v>-30</v>
      </c>
    </row>
    <row r="30" spans="1:16">
      <c r="A30" t="s">
        <v>90</v>
      </c>
      <c r="B30">
        <v>46</v>
      </c>
      <c r="C30">
        <v>31</v>
      </c>
      <c r="D30">
        <v>143</v>
      </c>
      <c r="E30">
        <v>171</v>
      </c>
      <c r="F30">
        <v>160</v>
      </c>
      <c r="G30">
        <v>137</v>
      </c>
      <c r="H30">
        <v>305.39999999999998</v>
      </c>
      <c r="I30" s="14">
        <v>462.92308808932614</v>
      </c>
      <c r="J30">
        <v>81</v>
      </c>
      <c r="K30">
        <v>8</v>
      </c>
      <c r="L30">
        <v>132</v>
      </c>
      <c r="M30">
        <v>28</v>
      </c>
      <c r="N30" s="143" t="e">
        <v>#DIV/0!</v>
      </c>
      <c r="O30" s="143" t="e">
        <v>#DIV/0!</v>
      </c>
      <c r="P30">
        <v>-45</v>
      </c>
    </row>
    <row r="31" spans="1:16">
      <c r="A31" t="s">
        <v>130</v>
      </c>
      <c r="B31">
        <v>162</v>
      </c>
      <c r="C31">
        <v>69</v>
      </c>
      <c r="D31">
        <v>53</v>
      </c>
      <c r="E31">
        <v>147</v>
      </c>
      <c r="F31">
        <v>182</v>
      </c>
      <c r="G31">
        <v>133</v>
      </c>
      <c r="H31">
        <v>367.2</v>
      </c>
      <c r="I31" s="14">
        <v>470.69123847281793</v>
      </c>
      <c r="J31">
        <v>146</v>
      </c>
      <c r="K31">
        <v>34</v>
      </c>
      <c r="L31">
        <v>135</v>
      </c>
      <c r="M31">
        <v>29</v>
      </c>
      <c r="N31" s="143" t="e">
        <v>#DIV/0!</v>
      </c>
      <c r="O31" s="143" t="e">
        <v>#DIV/0!</v>
      </c>
      <c r="P31">
        <v>42</v>
      </c>
    </row>
    <row r="32" spans="1:16">
      <c r="A32" t="s">
        <v>175</v>
      </c>
      <c r="B32">
        <v>170</v>
      </c>
      <c r="C32">
        <v>17</v>
      </c>
      <c r="D32">
        <v>168</v>
      </c>
      <c r="E32">
        <v>120</v>
      </c>
      <c r="F32">
        <v>80</v>
      </c>
      <c r="G32">
        <v>124</v>
      </c>
      <c r="H32">
        <v>367.1</v>
      </c>
      <c r="I32" s="14">
        <v>475.78683750067802</v>
      </c>
      <c r="J32">
        <v>145</v>
      </c>
      <c r="K32">
        <v>33</v>
      </c>
      <c r="L32">
        <v>136</v>
      </c>
      <c r="M32">
        <v>30</v>
      </c>
      <c r="N32" s="143" t="e">
        <v>#DIV/0!</v>
      </c>
      <c r="O32" s="143" t="e">
        <v>#DIV/0!</v>
      </c>
      <c r="P32">
        <v>39</v>
      </c>
    </row>
    <row r="33" spans="1:16">
      <c r="A33" t="s">
        <v>373</v>
      </c>
      <c r="B33">
        <v>175</v>
      </c>
      <c r="C33">
        <v>111</v>
      </c>
      <c r="D33">
        <v>35</v>
      </c>
      <c r="E33">
        <v>134</v>
      </c>
      <c r="F33">
        <v>100</v>
      </c>
      <c r="G33">
        <v>173</v>
      </c>
      <c r="H33">
        <v>341.1</v>
      </c>
      <c r="I33" s="14">
        <v>477.80667269495962</v>
      </c>
      <c r="J33">
        <v>125</v>
      </c>
      <c r="K33">
        <v>22</v>
      </c>
      <c r="L33">
        <v>137</v>
      </c>
      <c r="M33">
        <v>31</v>
      </c>
      <c r="N33" s="143" t="e">
        <v>#DIV/0!</v>
      </c>
      <c r="O33" s="143" t="e">
        <v>#DIV/0!</v>
      </c>
      <c r="P33">
        <v>-16</v>
      </c>
    </row>
    <row r="34" spans="1:16">
      <c r="A34" t="s">
        <v>413</v>
      </c>
      <c r="B34">
        <v>121</v>
      </c>
      <c r="C34">
        <v>179</v>
      </c>
      <c r="D34">
        <v>91</v>
      </c>
      <c r="E34">
        <v>26</v>
      </c>
      <c r="F34">
        <v>199</v>
      </c>
      <c r="G34">
        <v>150</v>
      </c>
      <c r="H34">
        <v>372</v>
      </c>
      <c r="I34" s="14">
        <v>484.60061915247866</v>
      </c>
      <c r="J34">
        <v>154</v>
      </c>
      <c r="K34">
        <v>39</v>
      </c>
      <c r="L34">
        <v>139</v>
      </c>
      <c r="M34">
        <v>32</v>
      </c>
      <c r="N34" s="143" t="e">
        <v>#DIV/0!</v>
      </c>
      <c r="O34" s="143" t="e">
        <v>#DIV/0!</v>
      </c>
      <c r="P34">
        <v>2</v>
      </c>
    </row>
    <row r="35" spans="1:16">
      <c r="A35" t="s">
        <v>246</v>
      </c>
      <c r="B35">
        <v>174</v>
      </c>
      <c r="C35">
        <v>46</v>
      </c>
      <c r="D35">
        <v>125</v>
      </c>
      <c r="E35">
        <v>143</v>
      </c>
      <c r="F35">
        <v>89</v>
      </c>
      <c r="G35">
        <v>137</v>
      </c>
      <c r="H35">
        <v>368.8</v>
      </c>
      <c r="I35" s="14">
        <v>485.66370316873889</v>
      </c>
      <c r="J35">
        <v>149</v>
      </c>
      <c r="K35">
        <v>35</v>
      </c>
      <c r="L35">
        <v>140</v>
      </c>
      <c r="M35">
        <v>33</v>
      </c>
      <c r="N35" s="143" t="e">
        <v>#DIV/0!</v>
      </c>
      <c r="O35" s="143" t="e">
        <v>#DIV/0!</v>
      </c>
      <c r="P35">
        <v>45</v>
      </c>
    </row>
    <row r="36" spans="1:16">
      <c r="A36" t="s">
        <v>159</v>
      </c>
      <c r="B36">
        <v>162</v>
      </c>
      <c r="C36">
        <v>47</v>
      </c>
      <c r="D36">
        <v>207</v>
      </c>
      <c r="E36">
        <v>29</v>
      </c>
      <c r="F36">
        <v>50</v>
      </c>
      <c r="G36">
        <v>157</v>
      </c>
      <c r="H36">
        <v>350.8</v>
      </c>
      <c r="I36" s="14">
        <v>485.80060802917859</v>
      </c>
      <c r="J36">
        <v>133</v>
      </c>
      <c r="K36">
        <v>26</v>
      </c>
      <c r="L36">
        <v>141</v>
      </c>
      <c r="M36">
        <v>34</v>
      </c>
      <c r="N36" s="143" t="e">
        <v>#DIV/0!</v>
      </c>
      <c r="O36" s="143" t="e">
        <v>#DIV/0!</v>
      </c>
      <c r="P36">
        <v>-88</v>
      </c>
    </row>
    <row r="37" spans="1:16">
      <c r="A37" t="s">
        <v>54</v>
      </c>
      <c r="B37">
        <v>52</v>
      </c>
      <c r="C37">
        <v>208</v>
      </c>
      <c r="D37">
        <v>40</v>
      </c>
      <c r="E37">
        <v>194</v>
      </c>
      <c r="F37">
        <v>149</v>
      </c>
      <c r="G37">
        <v>162</v>
      </c>
      <c r="H37">
        <v>330.90000000000003</v>
      </c>
      <c r="I37" s="14">
        <v>493.70917774073314</v>
      </c>
      <c r="J37">
        <v>118</v>
      </c>
      <c r="K37">
        <v>18</v>
      </c>
      <c r="L37">
        <v>145</v>
      </c>
      <c r="M37">
        <v>35</v>
      </c>
      <c r="N37" s="143" t="e">
        <v>#DIV/0!</v>
      </c>
      <c r="O37" s="143" t="e">
        <v>#DIV/0!</v>
      </c>
      <c r="P37">
        <v>43</v>
      </c>
    </row>
    <row r="38" spans="1:16">
      <c r="A38" t="s">
        <v>153</v>
      </c>
      <c r="B38">
        <v>129</v>
      </c>
      <c r="C38">
        <v>157</v>
      </c>
      <c r="D38">
        <v>64</v>
      </c>
      <c r="E38">
        <v>196</v>
      </c>
      <c r="F38">
        <v>132</v>
      </c>
      <c r="G38">
        <v>125</v>
      </c>
      <c r="H38">
        <v>383.80000000000007</v>
      </c>
      <c r="I38" s="14">
        <v>494.22789868939748</v>
      </c>
      <c r="J38">
        <v>164</v>
      </c>
      <c r="K38">
        <v>46</v>
      </c>
      <c r="L38">
        <v>146</v>
      </c>
      <c r="M38">
        <v>36</v>
      </c>
      <c r="N38" s="143" t="e">
        <v>#DIV/0!</v>
      </c>
      <c r="O38" s="143" t="e">
        <v>#DIV/0!</v>
      </c>
      <c r="P38">
        <v>36</v>
      </c>
    </row>
    <row r="39" spans="1:16">
      <c r="A39" t="s">
        <v>24</v>
      </c>
      <c r="B39">
        <v>10</v>
      </c>
      <c r="C39">
        <v>184</v>
      </c>
      <c r="D39">
        <v>177</v>
      </c>
      <c r="E39">
        <v>126</v>
      </c>
      <c r="F39">
        <v>162</v>
      </c>
      <c r="G39">
        <v>122</v>
      </c>
      <c r="H39">
        <v>356.29999999999995</v>
      </c>
      <c r="I39" s="14">
        <v>498.24242663837958</v>
      </c>
      <c r="J39">
        <v>136</v>
      </c>
      <c r="K39">
        <v>29</v>
      </c>
      <c r="L39">
        <v>148</v>
      </c>
      <c r="M39">
        <v>37</v>
      </c>
      <c r="N39" s="143" t="e">
        <v>#DIV/0!</v>
      </c>
      <c r="O39" s="143" t="e">
        <v>#DIV/0!</v>
      </c>
      <c r="P39">
        <v>-43</v>
      </c>
    </row>
    <row r="40" spans="1:16">
      <c r="A40" t="s">
        <v>100</v>
      </c>
      <c r="B40">
        <v>156</v>
      </c>
      <c r="C40">
        <v>154</v>
      </c>
      <c r="D40">
        <v>94</v>
      </c>
      <c r="E40">
        <v>102</v>
      </c>
      <c r="F40">
        <v>147</v>
      </c>
      <c r="G40">
        <v>139</v>
      </c>
      <c r="H40">
        <v>397.5</v>
      </c>
      <c r="I40" s="14">
        <v>503.81613491605265</v>
      </c>
      <c r="J40">
        <v>177</v>
      </c>
      <c r="K40">
        <v>53</v>
      </c>
      <c r="L40">
        <v>150</v>
      </c>
      <c r="M40">
        <v>38</v>
      </c>
      <c r="N40" s="143" t="e">
        <v>#DIV/0!</v>
      </c>
      <c r="O40" s="143" t="e">
        <v>#DIV/0!</v>
      </c>
      <c r="P40">
        <v>-24</v>
      </c>
    </row>
    <row r="41" spans="1:16">
      <c r="A41" t="s">
        <v>169</v>
      </c>
      <c r="B41">
        <v>192</v>
      </c>
      <c r="C41">
        <v>57</v>
      </c>
      <c r="D41">
        <v>142</v>
      </c>
      <c r="E41">
        <v>125</v>
      </c>
      <c r="F41">
        <v>79</v>
      </c>
      <c r="G41">
        <v>142</v>
      </c>
      <c r="H41">
        <v>390.2</v>
      </c>
      <c r="I41" s="14">
        <v>506.14521900831272</v>
      </c>
      <c r="J41">
        <v>171</v>
      </c>
      <c r="K41">
        <v>50</v>
      </c>
      <c r="L41">
        <v>151</v>
      </c>
      <c r="M41">
        <v>39</v>
      </c>
      <c r="N41" s="143" t="e">
        <v>#DIV/0!</v>
      </c>
      <c r="O41" s="143" t="e">
        <v>#DIV/0!</v>
      </c>
      <c r="P41">
        <v>0</v>
      </c>
    </row>
    <row r="42" spans="1:16">
      <c r="A42" t="s">
        <v>243</v>
      </c>
      <c r="B42">
        <v>120</v>
      </c>
      <c r="C42">
        <v>146</v>
      </c>
      <c r="D42">
        <v>181</v>
      </c>
      <c r="E42">
        <v>24</v>
      </c>
      <c r="F42">
        <v>142</v>
      </c>
      <c r="G42">
        <v>141</v>
      </c>
      <c r="H42">
        <v>388.3</v>
      </c>
      <c r="I42" s="14">
        <v>506.52954977192883</v>
      </c>
      <c r="J42">
        <v>168</v>
      </c>
      <c r="K42">
        <v>48</v>
      </c>
      <c r="L42">
        <v>152</v>
      </c>
      <c r="M42">
        <v>40</v>
      </c>
      <c r="N42" s="143" t="e">
        <v>#DIV/0!</v>
      </c>
      <c r="O42" s="143" t="e">
        <v>#DIV/0!</v>
      </c>
      <c r="P42">
        <v>31</v>
      </c>
    </row>
    <row r="43" spans="1:16">
      <c r="A43" t="s">
        <v>401</v>
      </c>
      <c r="B43">
        <v>30</v>
      </c>
      <c r="C43">
        <v>148</v>
      </c>
      <c r="D43">
        <v>136</v>
      </c>
      <c r="E43">
        <v>191</v>
      </c>
      <c r="F43">
        <v>146</v>
      </c>
      <c r="G43">
        <v>143</v>
      </c>
      <c r="H43">
        <v>345.6</v>
      </c>
      <c r="I43" s="14">
        <v>509.94359472499985</v>
      </c>
      <c r="J43">
        <v>127</v>
      </c>
      <c r="K43">
        <v>23</v>
      </c>
      <c r="L43">
        <v>155</v>
      </c>
      <c r="M43">
        <v>41</v>
      </c>
      <c r="N43" s="143" t="e">
        <v>#DIV/0!</v>
      </c>
      <c r="O43" s="143" t="e">
        <v>#DIV/0!</v>
      </c>
      <c r="P43">
        <v>-58</v>
      </c>
    </row>
    <row r="44" spans="1:16">
      <c r="A44" t="s">
        <v>393</v>
      </c>
      <c r="B44">
        <v>135</v>
      </c>
      <c r="C44">
        <v>143</v>
      </c>
      <c r="D44">
        <v>141</v>
      </c>
      <c r="E44">
        <v>113</v>
      </c>
      <c r="F44">
        <v>126</v>
      </c>
      <c r="G44">
        <v>135</v>
      </c>
      <c r="H44">
        <v>399.9</v>
      </c>
      <c r="I44" s="14">
        <v>516.74384396462392</v>
      </c>
      <c r="J44">
        <v>180</v>
      </c>
      <c r="K44">
        <v>54</v>
      </c>
      <c r="L44">
        <v>160</v>
      </c>
      <c r="M44">
        <v>42</v>
      </c>
      <c r="N44" s="143" t="e">
        <v>#DIV/0!</v>
      </c>
      <c r="O44" s="143" t="e">
        <v>#DIV/0!</v>
      </c>
      <c r="P44">
        <v>-34</v>
      </c>
    </row>
    <row r="45" spans="1:16">
      <c r="A45" t="s">
        <v>385</v>
      </c>
      <c r="B45">
        <v>210</v>
      </c>
      <c r="C45">
        <v>40</v>
      </c>
      <c r="D45">
        <v>71</v>
      </c>
      <c r="E45">
        <v>199</v>
      </c>
      <c r="F45">
        <v>109</v>
      </c>
      <c r="G45">
        <v>167</v>
      </c>
      <c r="H45">
        <v>392.8</v>
      </c>
      <c r="I45" s="14">
        <v>530.6515894701223</v>
      </c>
      <c r="J45">
        <v>174</v>
      </c>
      <c r="K45">
        <v>52</v>
      </c>
      <c r="L45">
        <v>165</v>
      </c>
      <c r="M45">
        <v>43</v>
      </c>
      <c r="N45" s="143" t="e">
        <v>#DIV/0!</v>
      </c>
      <c r="O45" s="143" t="e">
        <v>#DIV/0!</v>
      </c>
      <c r="P45">
        <v>28</v>
      </c>
    </row>
    <row r="46" spans="1:16">
      <c r="A46" t="s">
        <v>174</v>
      </c>
      <c r="B46">
        <v>144</v>
      </c>
      <c r="C46">
        <v>95</v>
      </c>
      <c r="D46">
        <v>173</v>
      </c>
      <c r="E46">
        <v>153</v>
      </c>
      <c r="F46">
        <v>37</v>
      </c>
      <c r="G46">
        <v>160</v>
      </c>
      <c r="H46">
        <v>377.9</v>
      </c>
      <c r="I46" s="14">
        <v>532.78534562813627</v>
      </c>
      <c r="J46">
        <v>158</v>
      </c>
      <c r="K46">
        <v>43</v>
      </c>
      <c r="L46">
        <v>166</v>
      </c>
      <c r="M46">
        <v>44</v>
      </c>
      <c r="N46" s="143" t="e">
        <v>#DIV/0!</v>
      </c>
      <c r="O46" s="143" t="e">
        <v>#DIV/0!</v>
      </c>
      <c r="P46">
        <v>-31</v>
      </c>
    </row>
    <row r="47" spans="1:16">
      <c r="A47" t="s">
        <v>222</v>
      </c>
      <c r="B47">
        <v>161</v>
      </c>
      <c r="C47">
        <v>94</v>
      </c>
      <c r="D47">
        <v>114</v>
      </c>
      <c r="E47">
        <v>40</v>
      </c>
      <c r="F47">
        <v>208</v>
      </c>
      <c r="G47">
        <v>192</v>
      </c>
      <c r="H47">
        <v>391.7</v>
      </c>
      <c r="I47" s="14">
        <v>543.89604978755119</v>
      </c>
      <c r="J47">
        <v>173</v>
      </c>
      <c r="K47">
        <v>51</v>
      </c>
      <c r="L47">
        <v>169</v>
      </c>
      <c r="M47">
        <v>46</v>
      </c>
      <c r="N47" s="143" t="e">
        <v>#DIV/0!</v>
      </c>
      <c r="O47" s="143" t="e">
        <v>#DIV/0!</v>
      </c>
      <c r="P47">
        <v>-65</v>
      </c>
    </row>
    <row r="48" spans="1:16">
      <c r="A48" t="s">
        <v>56</v>
      </c>
      <c r="B48">
        <v>67</v>
      </c>
      <c r="C48">
        <v>205</v>
      </c>
      <c r="D48">
        <v>115</v>
      </c>
      <c r="E48">
        <v>208</v>
      </c>
      <c r="F48">
        <v>71</v>
      </c>
      <c r="G48">
        <v>174</v>
      </c>
      <c r="H48">
        <v>362</v>
      </c>
      <c r="I48" s="14">
        <v>546.60865057533101</v>
      </c>
      <c r="J48">
        <v>142</v>
      </c>
      <c r="K48">
        <v>31</v>
      </c>
      <c r="L48">
        <v>170</v>
      </c>
      <c r="M48">
        <v>47</v>
      </c>
      <c r="N48" s="143" t="e">
        <v>#DIV/0!</v>
      </c>
      <c r="O48" s="143" t="e">
        <v>#DIV/0!</v>
      </c>
      <c r="P48">
        <v>-29</v>
      </c>
    </row>
    <row r="49" spans="1:16">
      <c r="A49" t="s">
        <v>405</v>
      </c>
      <c r="B49">
        <v>50</v>
      </c>
      <c r="C49">
        <v>188</v>
      </c>
      <c r="D49">
        <v>186</v>
      </c>
      <c r="E49">
        <v>173</v>
      </c>
      <c r="F49">
        <v>77</v>
      </c>
      <c r="G49">
        <v>154</v>
      </c>
      <c r="H49">
        <v>376.9</v>
      </c>
      <c r="I49" s="14">
        <v>550.37755824207443</v>
      </c>
      <c r="J49">
        <v>156</v>
      </c>
      <c r="K49">
        <v>41</v>
      </c>
      <c r="L49">
        <v>172</v>
      </c>
      <c r="M49">
        <v>48</v>
      </c>
      <c r="N49" s="143" t="e">
        <v>#DIV/0!</v>
      </c>
      <c r="O49" s="143" t="e">
        <v>#DIV/0!</v>
      </c>
      <c r="P49">
        <v>32</v>
      </c>
    </row>
    <row r="50" spans="1:16">
      <c r="A50" t="s">
        <v>412</v>
      </c>
      <c r="B50">
        <v>104</v>
      </c>
      <c r="C50">
        <v>187</v>
      </c>
      <c r="D50">
        <v>123</v>
      </c>
      <c r="E50">
        <v>157</v>
      </c>
      <c r="F50">
        <v>108</v>
      </c>
      <c r="G50">
        <v>171</v>
      </c>
      <c r="H50">
        <v>390.00000000000006</v>
      </c>
      <c r="I50" s="14">
        <v>554.20364269241668</v>
      </c>
      <c r="J50">
        <v>170</v>
      </c>
      <c r="K50">
        <v>49</v>
      </c>
      <c r="L50">
        <v>174</v>
      </c>
      <c r="M50">
        <v>49</v>
      </c>
      <c r="N50" s="143" t="e">
        <v>#DIV/0!</v>
      </c>
      <c r="O50" s="143" t="e">
        <v>#DIV/0!</v>
      </c>
      <c r="P50">
        <v>-39</v>
      </c>
    </row>
    <row r="51" spans="1:16">
      <c r="A51" t="s">
        <v>70</v>
      </c>
      <c r="B51">
        <v>114</v>
      </c>
      <c r="C51">
        <v>202</v>
      </c>
      <c r="D51">
        <v>111</v>
      </c>
      <c r="E51">
        <v>128</v>
      </c>
      <c r="F51">
        <v>93</v>
      </c>
      <c r="G51">
        <v>198</v>
      </c>
      <c r="H51">
        <v>379</v>
      </c>
      <c r="I51" s="14">
        <v>561.5316957486458</v>
      </c>
      <c r="J51">
        <v>159</v>
      </c>
      <c r="K51">
        <v>44</v>
      </c>
      <c r="L51">
        <v>175</v>
      </c>
      <c r="M51">
        <v>50</v>
      </c>
      <c r="N51" s="143" t="e">
        <v>#DIV/0!</v>
      </c>
      <c r="O51" s="143" t="e">
        <v>#DIV/0!</v>
      </c>
      <c r="P51">
        <v>13</v>
      </c>
    </row>
    <row r="52" spans="1:16">
      <c r="A52" t="s">
        <v>83</v>
      </c>
      <c r="B52">
        <v>60</v>
      </c>
      <c r="C52">
        <v>204</v>
      </c>
      <c r="D52">
        <v>209</v>
      </c>
      <c r="E52">
        <v>145</v>
      </c>
      <c r="F52">
        <v>7</v>
      </c>
      <c r="G52">
        <v>185</v>
      </c>
      <c r="H52">
        <v>363.79999999999995</v>
      </c>
      <c r="I52" s="14">
        <v>565.96842902585558</v>
      </c>
      <c r="J52">
        <v>143</v>
      </c>
      <c r="K52">
        <v>32</v>
      </c>
      <c r="L52">
        <v>177</v>
      </c>
      <c r="M52">
        <v>51</v>
      </c>
      <c r="N52" s="143" t="e">
        <v>#DIV/0!</v>
      </c>
      <c r="O52" s="143" t="e">
        <v>#DIV/0!</v>
      </c>
      <c r="P52">
        <v>-6</v>
      </c>
    </row>
    <row r="53" spans="1:16">
      <c r="A53" t="s">
        <v>398</v>
      </c>
      <c r="B53">
        <v>13</v>
      </c>
      <c r="C53">
        <v>210</v>
      </c>
      <c r="D53">
        <v>195</v>
      </c>
      <c r="E53">
        <v>101</v>
      </c>
      <c r="F53">
        <v>155</v>
      </c>
      <c r="G53">
        <v>179</v>
      </c>
      <c r="H53">
        <v>371.1</v>
      </c>
      <c r="I53" s="14">
        <v>566.57582430348566</v>
      </c>
      <c r="J53">
        <v>152</v>
      </c>
      <c r="K53">
        <v>37</v>
      </c>
      <c r="L53">
        <v>178</v>
      </c>
      <c r="M53">
        <v>52</v>
      </c>
      <c r="N53" s="143" t="e">
        <v>#DIV/0!</v>
      </c>
      <c r="O53" s="143" t="e">
        <v>#DIV/0!</v>
      </c>
      <c r="P53">
        <v>-2</v>
      </c>
    </row>
    <row r="54" spans="1:16">
      <c r="A54" t="s">
        <v>407</v>
      </c>
      <c r="B54">
        <v>59</v>
      </c>
      <c r="C54">
        <v>115</v>
      </c>
      <c r="D54">
        <v>157</v>
      </c>
      <c r="E54">
        <v>212</v>
      </c>
      <c r="F54">
        <v>142</v>
      </c>
      <c r="G54">
        <v>171</v>
      </c>
      <c r="H54">
        <v>376.3</v>
      </c>
      <c r="I54" s="14">
        <v>567.83383545000561</v>
      </c>
      <c r="J54">
        <v>155</v>
      </c>
      <c r="K54">
        <v>40</v>
      </c>
      <c r="L54">
        <v>179</v>
      </c>
      <c r="M54">
        <v>53</v>
      </c>
      <c r="N54" s="143" t="e">
        <v>#DIV/0!</v>
      </c>
      <c r="O54" s="143" t="e">
        <v>#DIV/0!</v>
      </c>
      <c r="P54">
        <v>-17</v>
      </c>
    </row>
    <row r="55" spans="1:16">
      <c r="A55" t="s">
        <v>133</v>
      </c>
      <c r="B55">
        <v>186</v>
      </c>
      <c r="C55">
        <v>107</v>
      </c>
      <c r="D55">
        <v>111</v>
      </c>
      <c r="E55">
        <v>206</v>
      </c>
      <c r="F55">
        <v>76</v>
      </c>
      <c r="G55">
        <v>178</v>
      </c>
      <c r="H55">
        <v>419</v>
      </c>
      <c r="I55" s="14">
        <v>578.07376426037013</v>
      </c>
      <c r="J55">
        <v>192</v>
      </c>
      <c r="K55">
        <v>62</v>
      </c>
      <c r="L55">
        <v>180</v>
      </c>
      <c r="M55">
        <v>54</v>
      </c>
      <c r="N55" s="143" t="e">
        <v>#DIV/0!</v>
      </c>
      <c r="O55" s="143" t="e">
        <v>#DIV/0!</v>
      </c>
      <c r="P55">
        <v>26</v>
      </c>
    </row>
    <row r="56" spans="1:16">
      <c r="A56" t="s">
        <v>147</v>
      </c>
      <c r="B56">
        <v>152</v>
      </c>
      <c r="C56">
        <v>119</v>
      </c>
      <c r="D56">
        <v>51</v>
      </c>
      <c r="E56">
        <v>168</v>
      </c>
      <c r="F56">
        <v>206</v>
      </c>
      <c r="G56">
        <v>210</v>
      </c>
      <c r="H56">
        <v>402.2</v>
      </c>
      <c r="I56" s="14">
        <v>584.68731140574118</v>
      </c>
      <c r="J56">
        <v>184</v>
      </c>
      <c r="K56">
        <v>57</v>
      </c>
      <c r="L56">
        <v>183</v>
      </c>
      <c r="M56">
        <v>55</v>
      </c>
      <c r="N56" s="143" t="e">
        <v>#DIV/0!</v>
      </c>
      <c r="O56" s="143" t="e">
        <v>#DIV/0!</v>
      </c>
      <c r="P56">
        <v>6</v>
      </c>
    </row>
    <row r="57" spans="1:16">
      <c r="A57" t="s">
        <v>419</v>
      </c>
      <c r="B57">
        <v>191</v>
      </c>
      <c r="C57">
        <v>150</v>
      </c>
      <c r="D57">
        <v>101</v>
      </c>
      <c r="E57">
        <v>129</v>
      </c>
      <c r="F57">
        <v>133</v>
      </c>
      <c r="G57">
        <v>187</v>
      </c>
      <c r="H57">
        <v>435.70000000000005</v>
      </c>
      <c r="I57" s="14">
        <v>585.52787025269106</v>
      </c>
      <c r="J57">
        <v>199</v>
      </c>
      <c r="K57">
        <v>65</v>
      </c>
      <c r="L57">
        <v>184</v>
      </c>
      <c r="M57">
        <v>56</v>
      </c>
      <c r="N57" s="143" t="e">
        <v>#DIV/0!</v>
      </c>
      <c r="O57" s="143" t="e">
        <v>#DIV/0!</v>
      </c>
      <c r="P57">
        <v>-4</v>
      </c>
    </row>
    <row r="58" spans="1:16">
      <c r="A58" t="s">
        <v>36</v>
      </c>
      <c r="B58">
        <v>72</v>
      </c>
      <c r="C58">
        <v>155</v>
      </c>
      <c r="D58">
        <v>152</v>
      </c>
      <c r="E58">
        <v>203</v>
      </c>
      <c r="F58">
        <v>167</v>
      </c>
      <c r="G58">
        <v>164</v>
      </c>
      <c r="H58">
        <v>413.4</v>
      </c>
      <c r="I58" s="14">
        <v>589.20599288469327</v>
      </c>
      <c r="J58">
        <v>188</v>
      </c>
      <c r="K58">
        <v>59</v>
      </c>
      <c r="L58">
        <v>185</v>
      </c>
      <c r="M58">
        <v>57</v>
      </c>
      <c r="N58" s="143" t="e">
        <v>#DIV/0!</v>
      </c>
      <c r="O58" s="143" t="e">
        <v>#DIV/0!</v>
      </c>
      <c r="P58">
        <v>-26</v>
      </c>
    </row>
    <row r="59" spans="1:16">
      <c r="A59" t="s">
        <v>180</v>
      </c>
      <c r="B59">
        <v>198</v>
      </c>
      <c r="C59">
        <v>41</v>
      </c>
      <c r="D59">
        <v>200</v>
      </c>
      <c r="E59">
        <v>178</v>
      </c>
      <c r="F59">
        <v>12</v>
      </c>
      <c r="G59">
        <v>184</v>
      </c>
      <c r="H59">
        <v>415.90000000000003</v>
      </c>
      <c r="I59" s="14">
        <v>590.09564575135983</v>
      </c>
      <c r="J59">
        <v>189</v>
      </c>
      <c r="K59">
        <v>60</v>
      </c>
      <c r="L59">
        <v>188</v>
      </c>
      <c r="M59">
        <v>58</v>
      </c>
      <c r="N59" s="143" t="e">
        <v>#DIV/0!</v>
      </c>
      <c r="O59" s="143" t="e">
        <v>#DIV/0!</v>
      </c>
      <c r="P59">
        <v>-10</v>
      </c>
    </row>
    <row r="60" spans="1:16">
      <c r="A60" t="s">
        <v>223</v>
      </c>
      <c r="B60">
        <v>110</v>
      </c>
      <c r="C60">
        <v>199</v>
      </c>
      <c r="D60">
        <v>191</v>
      </c>
      <c r="E60">
        <v>169</v>
      </c>
      <c r="F60">
        <v>60</v>
      </c>
      <c r="G60">
        <v>163</v>
      </c>
      <c r="H60">
        <v>429.8</v>
      </c>
      <c r="I60" s="14">
        <v>595.27171564563275</v>
      </c>
      <c r="J60">
        <v>197</v>
      </c>
      <c r="K60">
        <v>63</v>
      </c>
      <c r="L60">
        <v>190</v>
      </c>
      <c r="M60">
        <v>59</v>
      </c>
      <c r="N60" s="143" t="e">
        <v>#DIV/0!</v>
      </c>
      <c r="O60" s="143" t="e">
        <v>#DIV/0!</v>
      </c>
      <c r="P60">
        <v>-8</v>
      </c>
    </row>
    <row r="61" spans="1:16">
      <c r="A61" t="s">
        <v>21</v>
      </c>
      <c r="B61">
        <v>26</v>
      </c>
      <c r="C61">
        <v>169</v>
      </c>
      <c r="D61">
        <v>126</v>
      </c>
      <c r="E61">
        <v>211</v>
      </c>
      <c r="F61">
        <v>204</v>
      </c>
      <c r="G61">
        <v>193</v>
      </c>
      <c r="H61">
        <v>382.5</v>
      </c>
      <c r="I61" s="14">
        <v>596.28985033109643</v>
      </c>
      <c r="J61">
        <v>162</v>
      </c>
      <c r="K61">
        <v>45</v>
      </c>
      <c r="L61">
        <v>191</v>
      </c>
      <c r="M61">
        <v>60</v>
      </c>
      <c r="N61" s="143" t="e">
        <v>#N/A</v>
      </c>
      <c r="O61" s="143" t="e">
        <v>#N/A</v>
      </c>
      <c r="P61">
        <v>19</v>
      </c>
    </row>
    <row r="62" spans="1:16">
      <c r="A62" t="s">
        <v>416</v>
      </c>
      <c r="B62">
        <v>135</v>
      </c>
      <c r="C62">
        <v>145</v>
      </c>
      <c r="D62">
        <v>184</v>
      </c>
      <c r="E62">
        <v>16</v>
      </c>
      <c r="F62">
        <v>210</v>
      </c>
      <c r="G62">
        <v>196</v>
      </c>
      <c r="H62">
        <v>434.19999999999993</v>
      </c>
      <c r="I62" s="14">
        <v>599.76812632624797</v>
      </c>
      <c r="J62">
        <v>198</v>
      </c>
      <c r="K62">
        <v>64</v>
      </c>
      <c r="L62">
        <v>192</v>
      </c>
      <c r="M62">
        <v>61</v>
      </c>
      <c r="N62" s="143" t="e">
        <v>#DIV/0!</v>
      </c>
      <c r="O62" s="143" t="e">
        <v>#DIV/0!</v>
      </c>
      <c r="P62">
        <v>10</v>
      </c>
    </row>
    <row r="63" spans="1:16">
      <c r="A63" t="s">
        <v>221</v>
      </c>
      <c r="B63">
        <v>169</v>
      </c>
      <c r="C63">
        <v>14</v>
      </c>
      <c r="D63">
        <v>110</v>
      </c>
      <c r="E63">
        <v>186</v>
      </c>
      <c r="F63">
        <v>212</v>
      </c>
      <c r="G63">
        <v>204</v>
      </c>
      <c r="H63">
        <v>416.5</v>
      </c>
      <c r="I63" s="14">
        <v>603.15941948243221</v>
      </c>
      <c r="J63">
        <v>190</v>
      </c>
      <c r="K63">
        <v>61</v>
      </c>
      <c r="L63">
        <v>194</v>
      </c>
      <c r="M63">
        <v>62</v>
      </c>
      <c r="N63" s="143" t="e">
        <v>#DIV/0!</v>
      </c>
      <c r="O63" s="143" t="e">
        <v>#DIV/0!</v>
      </c>
      <c r="P63">
        <v>-4</v>
      </c>
    </row>
    <row r="64" spans="1:16">
      <c r="A64" t="s">
        <v>422</v>
      </c>
      <c r="B64">
        <v>203</v>
      </c>
      <c r="C64">
        <v>77</v>
      </c>
      <c r="D64">
        <v>208</v>
      </c>
      <c r="E64">
        <v>165</v>
      </c>
      <c r="F64">
        <v>23</v>
      </c>
      <c r="G64">
        <v>181</v>
      </c>
      <c r="H64">
        <v>444.3</v>
      </c>
      <c r="I64" s="14">
        <v>610.76593603560605</v>
      </c>
      <c r="J64">
        <v>202</v>
      </c>
      <c r="K64">
        <v>68</v>
      </c>
      <c r="L64">
        <v>195</v>
      </c>
      <c r="M64">
        <v>63</v>
      </c>
      <c r="N64" s="143" t="e">
        <v>#DIV/0!</v>
      </c>
      <c r="O64" s="143" t="e">
        <v>#DIV/0!</v>
      </c>
      <c r="P64">
        <v>-1</v>
      </c>
    </row>
    <row r="65" spans="1:16">
      <c r="A65" t="s">
        <v>186</v>
      </c>
      <c r="B65">
        <v>202</v>
      </c>
      <c r="C65">
        <v>15</v>
      </c>
      <c r="D65">
        <v>204</v>
      </c>
      <c r="E65">
        <v>111</v>
      </c>
      <c r="F65">
        <v>121</v>
      </c>
      <c r="G65">
        <v>197</v>
      </c>
      <c r="H65">
        <v>437</v>
      </c>
      <c r="I65" s="14">
        <v>611.04184201078988</v>
      </c>
      <c r="J65">
        <v>200</v>
      </c>
      <c r="K65">
        <v>66</v>
      </c>
      <c r="L65">
        <v>196</v>
      </c>
      <c r="M65">
        <v>64</v>
      </c>
      <c r="N65" s="143" t="e">
        <v>#DIV/0!</v>
      </c>
      <c r="O65" s="143" t="e">
        <v>#DIV/0!</v>
      </c>
      <c r="P65">
        <v>-29</v>
      </c>
    </row>
    <row r="66" spans="1:16">
      <c r="A66" t="s">
        <v>111</v>
      </c>
      <c r="B66">
        <v>194</v>
      </c>
      <c r="C66">
        <v>129</v>
      </c>
      <c r="D66">
        <v>120</v>
      </c>
      <c r="E66">
        <v>161</v>
      </c>
      <c r="F66">
        <v>164</v>
      </c>
      <c r="G66">
        <v>180</v>
      </c>
      <c r="H66">
        <v>469.5</v>
      </c>
      <c r="I66" s="14">
        <v>618.25918552640292</v>
      </c>
      <c r="J66">
        <v>208</v>
      </c>
      <c r="K66">
        <v>71</v>
      </c>
      <c r="L66">
        <v>198</v>
      </c>
      <c r="M66">
        <v>65</v>
      </c>
      <c r="N66" s="143" t="e">
        <v>#DIV/0!</v>
      </c>
      <c r="O66" s="143" t="e">
        <v>#DIV/0!</v>
      </c>
      <c r="P66">
        <v>-29</v>
      </c>
    </row>
    <row r="67" spans="1:16">
      <c r="A67" t="s">
        <v>106</v>
      </c>
      <c r="B67">
        <v>74</v>
      </c>
      <c r="C67">
        <v>191</v>
      </c>
      <c r="D67">
        <v>197</v>
      </c>
      <c r="E67">
        <v>204</v>
      </c>
      <c r="F67">
        <v>41</v>
      </c>
      <c r="G67">
        <v>200</v>
      </c>
      <c r="H67">
        <v>402.1</v>
      </c>
      <c r="I67" s="14">
        <v>621.74727608833223</v>
      </c>
      <c r="J67">
        <v>183</v>
      </c>
      <c r="K67">
        <v>56</v>
      </c>
      <c r="L67">
        <v>200</v>
      </c>
      <c r="M67">
        <v>66</v>
      </c>
      <c r="N67" s="143" t="e">
        <v>#DIV/0!</v>
      </c>
      <c r="O67" s="143" t="e">
        <v>#DIV/0!</v>
      </c>
      <c r="P67">
        <v>-10</v>
      </c>
    </row>
    <row r="68" spans="1:16">
      <c r="A68" t="s">
        <v>84</v>
      </c>
      <c r="B68">
        <v>29</v>
      </c>
      <c r="C68">
        <v>211</v>
      </c>
      <c r="D68">
        <v>171</v>
      </c>
      <c r="E68">
        <v>162</v>
      </c>
      <c r="F68">
        <v>170</v>
      </c>
      <c r="G68">
        <v>205</v>
      </c>
      <c r="H68">
        <v>401.09999999999997</v>
      </c>
      <c r="I68" s="14">
        <v>623.33743512038427</v>
      </c>
      <c r="J68">
        <v>182</v>
      </c>
      <c r="K68">
        <v>55</v>
      </c>
      <c r="L68">
        <v>201</v>
      </c>
      <c r="M68">
        <v>67</v>
      </c>
      <c r="N68" s="143" t="e">
        <v>#DIV/0!</v>
      </c>
      <c r="O68" s="143" t="e">
        <v>#DIV/0!</v>
      </c>
      <c r="P68">
        <v>-2</v>
      </c>
    </row>
    <row r="69" spans="1:16">
      <c r="A69" t="s">
        <v>403</v>
      </c>
      <c r="B69">
        <v>38</v>
      </c>
      <c r="C69">
        <v>173</v>
      </c>
      <c r="D69">
        <v>183</v>
      </c>
      <c r="E69">
        <v>160</v>
      </c>
      <c r="F69">
        <v>193</v>
      </c>
      <c r="G69">
        <v>201</v>
      </c>
      <c r="H69">
        <v>409.3</v>
      </c>
      <c r="I69" s="14">
        <v>627.26628241852086</v>
      </c>
      <c r="J69">
        <v>186</v>
      </c>
      <c r="K69">
        <v>58</v>
      </c>
      <c r="L69">
        <v>202</v>
      </c>
      <c r="M69">
        <v>68</v>
      </c>
      <c r="N69" s="143" t="e">
        <v>#DIV/0!</v>
      </c>
      <c r="O69" s="143" t="e">
        <v>#DIV/0!</v>
      </c>
      <c r="P69">
        <v>-4</v>
      </c>
    </row>
    <row r="70" spans="1:16">
      <c r="A70" t="s">
        <v>415</v>
      </c>
      <c r="B70">
        <v>150</v>
      </c>
      <c r="C70">
        <v>148</v>
      </c>
      <c r="D70">
        <v>167</v>
      </c>
      <c r="E70">
        <v>155</v>
      </c>
      <c r="F70">
        <v>148</v>
      </c>
      <c r="G70">
        <v>190</v>
      </c>
      <c r="H70">
        <v>461.9</v>
      </c>
      <c r="I70" s="14">
        <v>637.46779152052795</v>
      </c>
      <c r="J70">
        <v>206</v>
      </c>
      <c r="K70">
        <v>69</v>
      </c>
      <c r="L70">
        <v>205</v>
      </c>
      <c r="M70">
        <v>69</v>
      </c>
      <c r="N70" s="143" t="e">
        <v>#DIV/0!</v>
      </c>
      <c r="O70" s="143" t="e">
        <v>#DIV/0!</v>
      </c>
      <c r="P70">
        <v>2</v>
      </c>
    </row>
    <row r="71" spans="1:16">
      <c r="A71" t="s">
        <v>61</v>
      </c>
      <c r="B71">
        <v>119</v>
      </c>
      <c r="C71">
        <v>147</v>
      </c>
      <c r="D71">
        <v>113</v>
      </c>
      <c r="E71">
        <v>205</v>
      </c>
      <c r="F71">
        <v>202</v>
      </c>
      <c r="G71">
        <v>208</v>
      </c>
      <c r="H71">
        <v>442.70000000000005</v>
      </c>
      <c r="I71" s="14">
        <v>643.8765304731005</v>
      </c>
      <c r="J71">
        <v>201</v>
      </c>
      <c r="K71">
        <v>67</v>
      </c>
      <c r="L71">
        <v>206</v>
      </c>
      <c r="M71">
        <v>70</v>
      </c>
      <c r="N71" s="143" t="e">
        <v>#DIV/0!</v>
      </c>
      <c r="O71" s="143" t="e">
        <v>#DIV/0!</v>
      </c>
      <c r="P71">
        <v>-12</v>
      </c>
    </row>
    <row r="72" spans="1:16">
      <c r="A72" t="s">
        <v>171</v>
      </c>
      <c r="B72">
        <v>184</v>
      </c>
      <c r="C72">
        <v>152</v>
      </c>
      <c r="D72">
        <v>153</v>
      </c>
      <c r="E72">
        <v>202</v>
      </c>
      <c r="F72">
        <v>131</v>
      </c>
      <c r="G72">
        <v>195</v>
      </c>
      <c r="H72">
        <v>495</v>
      </c>
      <c r="I72" s="14">
        <v>671.44984632769183</v>
      </c>
      <c r="J72">
        <v>210</v>
      </c>
      <c r="K72">
        <v>72</v>
      </c>
      <c r="L72">
        <v>209</v>
      </c>
      <c r="M72">
        <v>71</v>
      </c>
      <c r="N72" s="143" t="e">
        <v>#DIV/0!</v>
      </c>
      <c r="O72" s="143" t="e">
        <v>#DIV/0!</v>
      </c>
      <c r="P72">
        <v>-46</v>
      </c>
    </row>
    <row r="73" spans="1:16">
      <c r="A73" t="s">
        <v>410</v>
      </c>
      <c r="B73">
        <v>94</v>
      </c>
      <c r="C73">
        <v>178</v>
      </c>
      <c r="D73">
        <v>178</v>
      </c>
      <c r="E73">
        <v>187</v>
      </c>
      <c r="F73">
        <v>183</v>
      </c>
      <c r="G73">
        <v>209</v>
      </c>
      <c r="H73">
        <v>464.50000000000006</v>
      </c>
      <c r="I73" s="14">
        <v>677.9380269858525</v>
      </c>
      <c r="J73">
        <v>207</v>
      </c>
      <c r="K73">
        <v>70</v>
      </c>
      <c r="L73">
        <v>210</v>
      </c>
      <c r="M73">
        <v>72</v>
      </c>
      <c r="N73" s="143" t="e">
        <v>#DIV/0!</v>
      </c>
      <c r="O73" s="143" t="e">
        <v>#DIV/0!</v>
      </c>
      <c r="P73">
        <v>-11</v>
      </c>
    </row>
    <row r="74" spans="1:16">
      <c r="A74" t="s">
        <v>418</v>
      </c>
      <c r="B74">
        <v>189</v>
      </c>
      <c r="C74">
        <v>58</v>
      </c>
      <c r="D74">
        <v>198</v>
      </c>
      <c r="E74">
        <v>174</v>
      </c>
      <c r="F74">
        <v>192</v>
      </c>
      <c r="G74">
        <v>202</v>
      </c>
      <c r="H74">
        <v>503.3</v>
      </c>
      <c r="I74" s="14">
        <v>689.32213050756673</v>
      </c>
      <c r="J74">
        <v>212</v>
      </c>
      <c r="K74">
        <v>73</v>
      </c>
      <c r="L74">
        <v>211</v>
      </c>
      <c r="M74">
        <v>73</v>
      </c>
      <c r="N74" s="143" t="e">
        <v>#DIV/0!</v>
      </c>
      <c r="O74" s="143" t="e">
        <v>#DIV/0!</v>
      </c>
      <c r="P74">
        <v>12</v>
      </c>
    </row>
  </sheetData>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4E5D1-929E-48D3-AAD6-58A35A1860E3}">
  <sheetPr codeName="Sheet69">
    <tabColor rgb="FFFF0000"/>
  </sheetPr>
  <dimension ref="A1:V121"/>
  <sheetViews>
    <sheetView zoomScaleNormal="100" workbookViewId="0">
      <selection activeCell="A22" sqref="A22:G22"/>
    </sheetView>
  </sheetViews>
  <sheetFormatPr defaultRowHeight="15"/>
  <cols>
    <col min="1" max="1" width="23.140625" bestFit="1" customWidth="1"/>
    <col min="6" max="6" width="10" customWidth="1"/>
    <col min="7" max="7" width="8.28515625" customWidth="1"/>
    <col min="8" max="8" width="12.5703125" bestFit="1" customWidth="1"/>
    <col min="9" max="9" width="15.85546875" style="14" customWidth="1"/>
    <col min="10" max="10" width="16" customWidth="1"/>
    <col min="11" max="11" width="19.5703125" customWidth="1"/>
    <col min="12" max="12" width="19.140625" customWidth="1"/>
    <col min="13" max="13" width="23.42578125" bestFit="1" customWidth="1"/>
    <col min="14" max="14" width="9" style="120" customWidth="1"/>
    <col min="15" max="15" width="9.28515625" style="120" customWidth="1"/>
    <col min="16" max="17" width="11.28515625" bestFit="1" customWidth="1"/>
    <col min="18" max="18" width="11.5703125" bestFit="1" customWidth="1"/>
    <col min="19" max="19" width="11.5703125" customWidth="1"/>
    <col min="20" max="20" width="9.28515625" customWidth="1"/>
  </cols>
  <sheetData>
    <row r="1" spans="1:22" ht="15.75" thickBot="1">
      <c r="A1" s="47" t="s">
        <v>0</v>
      </c>
      <c r="B1" s="167" t="s">
        <v>195</v>
      </c>
      <c r="C1" s="167" t="s">
        <v>196</v>
      </c>
      <c r="D1" s="167" t="s">
        <v>197</v>
      </c>
      <c r="E1" s="167" t="s">
        <v>198</v>
      </c>
      <c r="F1" s="167" t="s">
        <v>199</v>
      </c>
      <c r="G1" s="168" t="s">
        <v>200</v>
      </c>
      <c r="H1" s="169" t="s">
        <v>201</v>
      </c>
      <c r="I1" s="170" t="s">
        <v>202</v>
      </c>
      <c r="J1" s="171" t="s">
        <v>203</v>
      </c>
      <c r="K1" s="171" t="s">
        <v>204</v>
      </c>
      <c r="L1" s="170" t="s">
        <v>205</v>
      </c>
      <c r="M1" s="170" t="s">
        <v>206</v>
      </c>
      <c r="N1" s="174" t="s">
        <v>207</v>
      </c>
      <c r="O1" s="174" t="s">
        <v>208</v>
      </c>
      <c r="P1" s="172" t="s">
        <v>209</v>
      </c>
      <c r="Q1" s="138" t="s">
        <v>210</v>
      </c>
      <c r="R1" s="138" t="s">
        <v>211</v>
      </c>
      <c r="S1" s="173" t="s">
        <v>212</v>
      </c>
      <c r="U1" t="s">
        <v>213</v>
      </c>
      <c r="V1" t="s">
        <v>214</v>
      </c>
    </row>
    <row r="2" spans="1:22">
      <c r="A2" s="20" t="s">
        <v>141</v>
      </c>
      <c r="B2">
        <v>143</v>
      </c>
      <c r="C2">
        <v>26</v>
      </c>
      <c r="D2">
        <v>26</v>
      </c>
      <c r="E2">
        <v>37</v>
      </c>
      <c r="F2">
        <v>38</v>
      </c>
      <c r="G2">
        <v>24</v>
      </c>
      <c r="H2">
        <v>149.30000000000001</v>
      </c>
      <c r="I2" s="14">
        <v>187.58521728711406</v>
      </c>
      <c r="J2">
        <v>12</v>
      </c>
      <c r="K2">
        <v>1</v>
      </c>
      <c r="L2">
        <v>11</v>
      </c>
      <c r="M2">
        <v>1</v>
      </c>
      <c r="N2" s="143" t="e">
        <v>#DIV/0!</v>
      </c>
      <c r="O2" s="143" t="e">
        <v>#DIV/0!</v>
      </c>
      <c r="P2">
        <v>7</v>
      </c>
    </row>
    <row r="3" spans="1:22">
      <c r="A3" s="20" t="s">
        <v>129</v>
      </c>
      <c r="B3">
        <v>34</v>
      </c>
      <c r="C3">
        <v>88</v>
      </c>
      <c r="D3">
        <v>11</v>
      </c>
      <c r="E3">
        <v>44</v>
      </c>
      <c r="F3">
        <v>150</v>
      </c>
      <c r="G3">
        <v>28</v>
      </c>
      <c r="H3">
        <v>151.5</v>
      </c>
      <c r="I3" s="14">
        <v>197.12747430896587</v>
      </c>
      <c r="J3">
        <v>13</v>
      </c>
      <c r="K3">
        <v>2</v>
      </c>
      <c r="L3">
        <v>13</v>
      </c>
      <c r="M3">
        <v>3</v>
      </c>
      <c r="N3" s="143" t="e">
        <v>#DIV/0!</v>
      </c>
      <c r="O3" s="143" t="e">
        <v>#DIV/0!</v>
      </c>
      <c r="P3">
        <v>-4</v>
      </c>
    </row>
    <row r="4" spans="1:22">
      <c r="A4" s="20" t="s">
        <v>132</v>
      </c>
      <c r="B4">
        <v>104</v>
      </c>
      <c r="C4">
        <v>47</v>
      </c>
      <c r="D4">
        <v>43</v>
      </c>
      <c r="E4">
        <v>17</v>
      </c>
      <c r="F4">
        <v>85</v>
      </c>
      <c r="G4">
        <v>16</v>
      </c>
      <c r="H4">
        <v>157.6</v>
      </c>
      <c r="I4" s="14">
        <v>190.88719398762359</v>
      </c>
      <c r="J4">
        <v>14</v>
      </c>
      <c r="K4">
        <v>3</v>
      </c>
      <c r="L4">
        <v>12</v>
      </c>
      <c r="M4">
        <v>2</v>
      </c>
      <c r="N4" s="143" t="e">
        <v>#DIV/0!</v>
      </c>
      <c r="O4" s="143" t="e">
        <v>#DIV/0!</v>
      </c>
      <c r="P4">
        <v>13</v>
      </c>
    </row>
    <row r="5" spans="1:22">
      <c r="A5" t="s">
        <v>17</v>
      </c>
      <c r="B5">
        <v>14</v>
      </c>
      <c r="C5">
        <v>199</v>
      </c>
      <c r="D5">
        <v>45</v>
      </c>
      <c r="E5">
        <v>81</v>
      </c>
      <c r="F5">
        <v>45</v>
      </c>
      <c r="G5">
        <v>36</v>
      </c>
      <c r="H5">
        <v>162.6</v>
      </c>
      <c r="I5" s="14">
        <v>244.61536291624867</v>
      </c>
      <c r="J5">
        <v>16</v>
      </c>
      <c r="K5">
        <v>4</v>
      </c>
      <c r="L5">
        <v>28</v>
      </c>
      <c r="M5">
        <v>6</v>
      </c>
      <c r="N5" s="143" t="e">
        <v>#DIV/0!</v>
      </c>
      <c r="O5" s="143" t="e">
        <v>#DIV/0!</v>
      </c>
      <c r="P5">
        <v>52</v>
      </c>
    </row>
    <row r="6" spans="1:22">
      <c r="A6" t="s">
        <v>23</v>
      </c>
      <c r="B6">
        <v>5</v>
      </c>
      <c r="C6">
        <v>174</v>
      </c>
      <c r="D6">
        <v>14</v>
      </c>
      <c r="E6">
        <v>17</v>
      </c>
      <c r="F6">
        <v>205</v>
      </c>
      <c r="G6">
        <v>33</v>
      </c>
      <c r="H6">
        <v>176</v>
      </c>
      <c r="I6" s="14">
        <v>238.42511740484781</v>
      </c>
      <c r="J6">
        <v>23</v>
      </c>
      <c r="K6">
        <v>5</v>
      </c>
      <c r="L6">
        <v>25</v>
      </c>
      <c r="M6">
        <v>5</v>
      </c>
      <c r="N6" s="143" t="e">
        <v>#DIV/0!</v>
      </c>
      <c r="O6" s="143" t="e">
        <v>#DIV/0!</v>
      </c>
      <c r="P6">
        <v>-14</v>
      </c>
    </row>
    <row r="7" spans="1:22">
      <c r="A7" t="s">
        <v>150</v>
      </c>
      <c r="B7">
        <v>174</v>
      </c>
      <c r="C7">
        <v>61</v>
      </c>
      <c r="D7">
        <v>49</v>
      </c>
      <c r="E7">
        <v>44</v>
      </c>
      <c r="F7">
        <v>16</v>
      </c>
      <c r="G7">
        <v>34</v>
      </c>
      <c r="H7">
        <v>187</v>
      </c>
      <c r="I7" s="14">
        <v>246.75863724518439</v>
      </c>
      <c r="J7">
        <v>30</v>
      </c>
      <c r="K7">
        <v>6</v>
      </c>
      <c r="L7">
        <v>29</v>
      </c>
      <c r="M7">
        <v>7</v>
      </c>
      <c r="N7" s="143" t="e">
        <v>#DIV/0!</v>
      </c>
      <c r="O7" s="143" t="e">
        <v>#DIV/0!</v>
      </c>
      <c r="P7">
        <v>1</v>
      </c>
    </row>
    <row r="8" spans="1:22">
      <c r="A8" t="s">
        <v>93</v>
      </c>
      <c r="B8">
        <v>79</v>
      </c>
      <c r="C8">
        <v>41</v>
      </c>
      <c r="D8">
        <v>46</v>
      </c>
      <c r="E8">
        <v>90</v>
      </c>
      <c r="F8">
        <v>104</v>
      </c>
      <c r="G8">
        <v>21</v>
      </c>
      <c r="H8">
        <v>188.89999999999998</v>
      </c>
      <c r="I8" s="14">
        <v>229.90769262239081</v>
      </c>
      <c r="J8">
        <v>31</v>
      </c>
      <c r="K8">
        <v>7</v>
      </c>
      <c r="L8">
        <v>23</v>
      </c>
      <c r="M8">
        <v>4</v>
      </c>
      <c r="N8" s="143" t="e">
        <v>#DIV/0!</v>
      </c>
      <c r="O8" s="143" t="e">
        <v>#DIV/0!</v>
      </c>
      <c r="P8">
        <v>2</v>
      </c>
    </row>
    <row r="9" spans="1:22">
      <c r="A9" t="s">
        <v>98</v>
      </c>
      <c r="B9">
        <v>52</v>
      </c>
      <c r="C9">
        <v>138</v>
      </c>
      <c r="D9">
        <v>65</v>
      </c>
      <c r="E9">
        <v>114</v>
      </c>
      <c r="F9">
        <v>29</v>
      </c>
      <c r="G9">
        <v>31</v>
      </c>
      <c r="H9">
        <v>189.6</v>
      </c>
      <c r="I9" s="14">
        <v>262.60786593916998</v>
      </c>
      <c r="J9">
        <v>32</v>
      </c>
      <c r="K9">
        <v>8</v>
      </c>
      <c r="L9">
        <v>34</v>
      </c>
      <c r="M9">
        <v>9</v>
      </c>
      <c r="N9" s="143" t="e">
        <v>#DIV/0!</v>
      </c>
      <c r="O9" s="143" t="e">
        <v>#DIV/0!</v>
      </c>
      <c r="P9">
        <v>-14</v>
      </c>
    </row>
    <row r="10" spans="1:22">
      <c r="A10" t="s">
        <v>58</v>
      </c>
      <c r="B10">
        <v>32</v>
      </c>
      <c r="C10">
        <v>130</v>
      </c>
      <c r="D10">
        <v>33</v>
      </c>
      <c r="E10">
        <v>70</v>
      </c>
      <c r="F10">
        <v>152</v>
      </c>
      <c r="G10">
        <v>34</v>
      </c>
      <c r="H10">
        <v>192.3</v>
      </c>
      <c r="I10" s="14">
        <v>256.14717405552847</v>
      </c>
      <c r="J10">
        <v>34.5</v>
      </c>
      <c r="K10">
        <v>9</v>
      </c>
      <c r="L10">
        <v>32</v>
      </c>
      <c r="M10">
        <v>8</v>
      </c>
      <c r="N10" s="143" t="e">
        <v>#DIV/0!</v>
      </c>
      <c r="O10" s="143" t="e">
        <v>#DIV/0!</v>
      </c>
      <c r="P10">
        <v>15</v>
      </c>
    </row>
    <row r="11" spans="1:22">
      <c r="A11" t="s">
        <v>161</v>
      </c>
      <c r="B11">
        <v>73</v>
      </c>
      <c r="C11">
        <v>28</v>
      </c>
      <c r="D11">
        <v>22</v>
      </c>
      <c r="E11">
        <v>60</v>
      </c>
      <c r="F11">
        <v>197</v>
      </c>
      <c r="G11">
        <v>57</v>
      </c>
      <c r="H11">
        <v>196.1</v>
      </c>
      <c r="I11" s="14">
        <v>263.20374024357841</v>
      </c>
      <c r="J11">
        <v>36</v>
      </c>
      <c r="K11">
        <v>10</v>
      </c>
      <c r="L11">
        <v>35</v>
      </c>
      <c r="M11">
        <v>10</v>
      </c>
      <c r="N11" s="143" t="e">
        <v>#DIV/0!</v>
      </c>
      <c r="O11" s="143" t="e">
        <v>#DIV/0!</v>
      </c>
      <c r="P11">
        <v>-27</v>
      </c>
    </row>
    <row r="12" spans="1:22">
      <c r="A12" t="s">
        <v>234</v>
      </c>
      <c r="B12">
        <v>69</v>
      </c>
      <c r="C12">
        <v>114</v>
      </c>
      <c r="D12">
        <v>12</v>
      </c>
      <c r="E12">
        <v>133</v>
      </c>
      <c r="F12">
        <v>103</v>
      </c>
      <c r="G12">
        <v>32</v>
      </c>
      <c r="H12">
        <v>202</v>
      </c>
      <c r="I12" s="14">
        <v>263.66677989551954</v>
      </c>
      <c r="J12">
        <v>41</v>
      </c>
      <c r="K12">
        <v>11</v>
      </c>
      <c r="L12">
        <v>36</v>
      </c>
      <c r="M12">
        <v>11</v>
      </c>
      <c r="N12" s="143" t="e">
        <v>#DIV/0!</v>
      </c>
      <c r="O12" s="143" t="e">
        <v>#DIV/0!</v>
      </c>
      <c r="P12">
        <v>-10</v>
      </c>
    </row>
    <row r="13" spans="1:22">
      <c r="A13" t="s">
        <v>241</v>
      </c>
      <c r="B13">
        <v>5</v>
      </c>
      <c r="C13">
        <v>122</v>
      </c>
      <c r="D13">
        <v>50</v>
      </c>
      <c r="E13">
        <v>184</v>
      </c>
      <c r="F13">
        <v>99</v>
      </c>
      <c r="G13">
        <v>46</v>
      </c>
      <c r="H13">
        <v>216.1</v>
      </c>
      <c r="I13" s="14">
        <v>300.39991111341669</v>
      </c>
      <c r="J13">
        <v>44</v>
      </c>
      <c r="K13">
        <v>12</v>
      </c>
      <c r="L13">
        <v>45</v>
      </c>
      <c r="M13">
        <v>13</v>
      </c>
      <c r="N13" s="143" t="e">
        <v>#DIV/0!</v>
      </c>
      <c r="O13" s="143" t="e">
        <v>#DIV/0!</v>
      </c>
      <c r="P13">
        <v>-7</v>
      </c>
    </row>
    <row r="14" spans="1:22">
      <c r="A14" t="s">
        <v>131</v>
      </c>
      <c r="B14">
        <v>115</v>
      </c>
      <c r="C14">
        <v>120</v>
      </c>
      <c r="D14">
        <v>74</v>
      </c>
      <c r="E14">
        <v>28</v>
      </c>
      <c r="F14">
        <v>105</v>
      </c>
      <c r="G14">
        <v>60</v>
      </c>
      <c r="H14">
        <v>223.3</v>
      </c>
      <c r="I14" s="14">
        <v>318.71403007000742</v>
      </c>
      <c r="J14">
        <v>47</v>
      </c>
      <c r="K14">
        <v>13</v>
      </c>
      <c r="L14">
        <v>51</v>
      </c>
      <c r="M14">
        <v>14</v>
      </c>
      <c r="N14" s="143" t="e">
        <v>#DIV/0!</v>
      </c>
      <c r="O14" s="143" t="e">
        <v>#DIV/0!</v>
      </c>
      <c r="P14">
        <v>53</v>
      </c>
    </row>
    <row r="15" spans="1:22">
      <c r="A15" t="s">
        <v>116</v>
      </c>
      <c r="B15">
        <v>146</v>
      </c>
      <c r="C15">
        <v>3</v>
      </c>
      <c r="D15">
        <v>75</v>
      </c>
      <c r="E15">
        <v>30</v>
      </c>
      <c r="F15">
        <v>145</v>
      </c>
      <c r="G15">
        <v>43</v>
      </c>
      <c r="H15">
        <v>228.5</v>
      </c>
      <c r="I15" s="14">
        <v>286.98298674321723</v>
      </c>
      <c r="J15">
        <v>51</v>
      </c>
      <c r="K15">
        <v>14</v>
      </c>
      <c r="L15">
        <v>41</v>
      </c>
      <c r="M15">
        <v>12</v>
      </c>
      <c r="N15" s="143" t="e">
        <v>#DIV/0!</v>
      </c>
      <c r="O15" s="143" t="e">
        <v>#DIV/0!</v>
      </c>
      <c r="P15">
        <v>8</v>
      </c>
    </row>
    <row r="16" spans="1:22">
      <c r="A16" t="s">
        <v>38</v>
      </c>
      <c r="B16">
        <v>40</v>
      </c>
      <c r="C16">
        <v>204</v>
      </c>
      <c r="D16">
        <v>119</v>
      </c>
      <c r="E16">
        <v>82</v>
      </c>
      <c r="F16">
        <v>50</v>
      </c>
      <c r="G16">
        <v>83</v>
      </c>
      <c r="H16">
        <v>234.5</v>
      </c>
      <c r="I16" s="14">
        <v>376.73235473641728</v>
      </c>
      <c r="J16">
        <v>53</v>
      </c>
      <c r="K16">
        <v>15</v>
      </c>
      <c r="L16">
        <v>74</v>
      </c>
      <c r="M16">
        <v>30</v>
      </c>
      <c r="N16" s="143" t="e">
        <v>#DIV/0!</v>
      </c>
      <c r="O16" s="143" t="e">
        <v>#DIV/0!</v>
      </c>
      <c r="P16">
        <v>-29</v>
      </c>
    </row>
    <row r="17" spans="1:16">
      <c r="A17" t="s">
        <v>44</v>
      </c>
      <c r="B17">
        <v>10</v>
      </c>
      <c r="C17">
        <v>139</v>
      </c>
      <c r="D17">
        <v>93</v>
      </c>
      <c r="E17">
        <v>55</v>
      </c>
      <c r="F17">
        <v>191</v>
      </c>
      <c r="G17">
        <v>98</v>
      </c>
      <c r="H17">
        <v>235.79999999999998</v>
      </c>
      <c r="I17" s="14">
        <v>372.28576963878504</v>
      </c>
      <c r="J17">
        <v>54</v>
      </c>
      <c r="K17">
        <v>16</v>
      </c>
      <c r="L17">
        <v>72</v>
      </c>
      <c r="M17">
        <v>28</v>
      </c>
      <c r="N17" s="143" t="e">
        <v>#DIV/0!</v>
      </c>
      <c r="O17" s="143" t="e">
        <v>#DIV/0!</v>
      </c>
      <c r="P17">
        <v>12</v>
      </c>
    </row>
    <row r="18" spans="1:16">
      <c r="A18" t="s">
        <v>59</v>
      </c>
      <c r="B18">
        <v>43</v>
      </c>
      <c r="C18">
        <v>209</v>
      </c>
      <c r="D18">
        <v>164</v>
      </c>
      <c r="E18">
        <v>59</v>
      </c>
      <c r="F18">
        <v>8</v>
      </c>
      <c r="G18">
        <v>59</v>
      </c>
      <c r="H18">
        <v>236.8</v>
      </c>
      <c r="I18" s="14">
        <v>362.51772779062253</v>
      </c>
      <c r="J18">
        <v>55</v>
      </c>
      <c r="K18">
        <v>17</v>
      </c>
      <c r="L18">
        <v>67</v>
      </c>
      <c r="M18">
        <v>24</v>
      </c>
      <c r="N18" s="143" t="e">
        <v>#DIV/0!</v>
      </c>
      <c r="O18" s="143" t="e">
        <v>#DIV/0!</v>
      </c>
      <c r="P18">
        <v>8</v>
      </c>
    </row>
    <row r="19" spans="1:16">
      <c r="A19" t="s">
        <v>55</v>
      </c>
      <c r="B19">
        <v>55</v>
      </c>
      <c r="C19">
        <v>51</v>
      </c>
      <c r="D19">
        <v>132</v>
      </c>
      <c r="E19">
        <v>122</v>
      </c>
      <c r="F19">
        <v>74</v>
      </c>
      <c r="G19">
        <v>73</v>
      </c>
      <c r="H19">
        <v>238.7</v>
      </c>
      <c r="I19" s="14">
        <v>348.7860530685158</v>
      </c>
      <c r="J19">
        <v>56</v>
      </c>
      <c r="K19">
        <v>18</v>
      </c>
      <c r="L19">
        <v>61</v>
      </c>
      <c r="M19">
        <v>19</v>
      </c>
      <c r="N19" s="143" t="e">
        <v>#DIV/0!</v>
      </c>
      <c r="O19" s="143" t="e">
        <v>#DIV/0!</v>
      </c>
      <c r="P19">
        <v>51</v>
      </c>
    </row>
    <row r="20" spans="1:16">
      <c r="A20" t="s">
        <v>404</v>
      </c>
      <c r="B20">
        <v>38</v>
      </c>
      <c r="C20">
        <v>182</v>
      </c>
      <c r="D20">
        <v>122</v>
      </c>
      <c r="E20">
        <v>4</v>
      </c>
      <c r="F20">
        <v>156</v>
      </c>
      <c r="G20">
        <v>65</v>
      </c>
      <c r="H20">
        <v>242.8</v>
      </c>
      <c r="I20" s="14">
        <v>356.75830373378307</v>
      </c>
      <c r="J20">
        <v>61</v>
      </c>
      <c r="K20">
        <v>19</v>
      </c>
      <c r="L20">
        <v>64</v>
      </c>
      <c r="M20">
        <v>22</v>
      </c>
      <c r="N20" s="143" t="e">
        <v>#DIV/0!</v>
      </c>
      <c r="O20" s="143" t="e">
        <v>#DIV/0!</v>
      </c>
      <c r="P20">
        <v>-17</v>
      </c>
    </row>
    <row r="21" spans="1:16">
      <c r="A21" t="s">
        <v>397</v>
      </c>
      <c r="B21">
        <v>70</v>
      </c>
      <c r="C21">
        <v>135</v>
      </c>
      <c r="D21">
        <v>128</v>
      </c>
      <c r="E21">
        <v>14</v>
      </c>
      <c r="F21">
        <v>130</v>
      </c>
      <c r="G21">
        <v>64</v>
      </c>
      <c r="H21">
        <v>244.1</v>
      </c>
      <c r="I21" s="14">
        <v>351.91746919657351</v>
      </c>
      <c r="J21">
        <v>62</v>
      </c>
      <c r="K21">
        <v>20</v>
      </c>
      <c r="L21">
        <v>62</v>
      </c>
      <c r="M21">
        <v>20</v>
      </c>
      <c r="N21" s="143" t="e">
        <v>#DIV/0!</v>
      </c>
      <c r="O21" s="143" t="e">
        <v>#DIV/0!</v>
      </c>
      <c r="P21">
        <v>-7</v>
      </c>
    </row>
    <row r="22" spans="1:16">
      <c r="A22" t="s">
        <v>144</v>
      </c>
      <c r="B22">
        <v>177</v>
      </c>
      <c r="C22">
        <v>39</v>
      </c>
      <c r="D22">
        <v>158</v>
      </c>
      <c r="E22">
        <v>2</v>
      </c>
      <c r="F22">
        <v>31</v>
      </c>
      <c r="G22">
        <v>48</v>
      </c>
      <c r="H22">
        <v>245</v>
      </c>
      <c r="I22" s="14">
        <v>329.30317760965551</v>
      </c>
      <c r="J22">
        <v>64</v>
      </c>
      <c r="K22">
        <v>21</v>
      </c>
      <c r="L22">
        <v>55</v>
      </c>
      <c r="M22">
        <v>16</v>
      </c>
      <c r="N22" s="143" t="e">
        <v>#DIV/0!</v>
      </c>
      <c r="O22" s="143" t="e">
        <v>#DIV/0!</v>
      </c>
      <c r="P22">
        <v>-2</v>
      </c>
    </row>
    <row r="23" spans="1:16">
      <c r="A23" t="s">
        <v>76</v>
      </c>
      <c r="B23">
        <v>23</v>
      </c>
      <c r="C23">
        <v>128</v>
      </c>
      <c r="D23">
        <v>95</v>
      </c>
      <c r="E23">
        <v>112</v>
      </c>
      <c r="F23">
        <v>142</v>
      </c>
      <c r="G23">
        <v>92</v>
      </c>
      <c r="H23">
        <v>245.7</v>
      </c>
      <c r="I23" s="14">
        <v>379.4145560498755</v>
      </c>
      <c r="J23">
        <v>65</v>
      </c>
      <c r="K23">
        <v>22</v>
      </c>
      <c r="L23">
        <v>77</v>
      </c>
      <c r="M23">
        <v>32</v>
      </c>
      <c r="N23" s="143" t="e">
        <v>#DIV/0!</v>
      </c>
      <c r="O23" s="143" t="e">
        <v>#DIV/0!</v>
      </c>
      <c r="P23">
        <v>-15</v>
      </c>
    </row>
    <row r="24" spans="1:16">
      <c r="A24" t="s">
        <v>123</v>
      </c>
      <c r="B24">
        <v>121</v>
      </c>
      <c r="C24">
        <v>4</v>
      </c>
      <c r="D24">
        <v>147</v>
      </c>
      <c r="E24">
        <v>56</v>
      </c>
      <c r="F24">
        <v>90</v>
      </c>
      <c r="G24">
        <v>55</v>
      </c>
      <c r="H24">
        <v>249.7</v>
      </c>
      <c r="I24" s="14">
        <v>333.61473215644958</v>
      </c>
      <c r="J24">
        <v>66</v>
      </c>
      <c r="K24">
        <v>23</v>
      </c>
      <c r="L24">
        <v>57</v>
      </c>
      <c r="M24">
        <v>17</v>
      </c>
      <c r="N24" s="143" t="e">
        <v>#DIV/0!</v>
      </c>
      <c r="O24" s="143" t="e">
        <v>#DIV/0!</v>
      </c>
      <c r="P24">
        <v>59</v>
      </c>
    </row>
    <row r="25" spans="1:16">
      <c r="A25" t="s">
        <v>64</v>
      </c>
      <c r="B25">
        <v>77</v>
      </c>
      <c r="C25">
        <v>180</v>
      </c>
      <c r="D25">
        <v>69</v>
      </c>
      <c r="E25">
        <v>63</v>
      </c>
      <c r="F25">
        <v>141</v>
      </c>
      <c r="G25">
        <v>69</v>
      </c>
      <c r="H25">
        <v>250.5</v>
      </c>
      <c r="I25" s="14">
        <v>364.81012299563747</v>
      </c>
      <c r="J25">
        <v>67</v>
      </c>
      <c r="K25">
        <v>24</v>
      </c>
      <c r="L25">
        <v>69</v>
      </c>
      <c r="M25">
        <v>25</v>
      </c>
      <c r="N25" s="143" t="e">
        <v>#DIV/0!</v>
      </c>
      <c r="O25" s="143" t="e">
        <v>#DIV/0!</v>
      </c>
      <c r="P25">
        <v>-17</v>
      </c>
    </row>
    <row r="26" spans="1:16">
      <c r="A26" t="s">
        <v>80</v>
      </c>
      <c r="B26">
        <v>82</v>
      </c>
      <c r="C26">
        <v>161</v>
      </c>
      <c r="D26">
        <v>62</v>
      </c>
      <c r="E26">
        <v>152</v>
      </c>
      <c r="F26">
        <v>68</v>
      </c>
      <c r="G26">
        <v>77</v>
      </c>
      <c r="H26">
        <v>250.9</v>
      </c>
      <c r="I26" s="14">
        <v>375.8221671452967</v>
      </c>
      <c r="J26">
        <v>68</v>
      </c>
      <c r="K26">
        <v>25</v>
      </c>
      <c r="L26">
        <v>73</v>
      </c>
      <c r="M26">
        <v>29</v>
      </c>
      <c r="N26" s="143" t="e">
        <v>#DIV/0!</v>
      </c>
      <c r="O26" s="143" t="e">
        <v>#DIV/0!</v>
      </c>
      <c r="P26">
        <v>-34</v>
      </c>
    </row>
    <row r="27" spans="1:16">
      <c r="A27" t="s">
        <v>140</v>
      </c>
      <c r="B27">
        <v>160</v>
      </c>
      <c r="C27">
        <v>36</v>
      </c>
      <c r="D27">
        <v>162</v>
      </c>
      <c r="E27">
        <v>48</v>
      </c>
      <c r="F27">
        <v>14</v>
      </c>
      <c r="G27">
        <v>49</v>
      </c>
      <c r="H27">
        <v>251.2</v>
      </c>
      <c r="I27" s="14">
        <v>339.23521568101592</v>
      </c>
      <c r="J27">
        <v>69</v>
      </c>
      <c r="K27">
        <v>26</v>
      </c>
      <c r="L27">
        <v>60</v>
      </c>
      <c r="M27">
        <v>18</v>
      </c>
      <c r="N27" s="143" t="e">
        <v>#DIV/0!</v>
      </c>
      <c r="O27" s="143" t="e">
        <v>#DIV/0!</v>
      </c>
      <c r="P27">
        <v>-15</v>
      </c>
    </row>
    <row r="28" spans="1:16">
      <c r="A28" t="s">
        <v>181</v>
      </c>
      <c r="B28">
        <v>140</v>
      </c>
      <c r="C28">
        <v>14</v>
      </c>
      <c r="D28">
        <v>17</v>
      </c>
      <c r="E28">
        <v>107</v>
      </c>
      <c r="F28">
        <v>196</v>
      </c>
      <c r="G28">
        <v>58</v>
      </c>
      <c r="H28">
        <v>251.6</v>
      </c>
      <c r="I28" s="14">
        <v>321.32794983660949</v>
      </c>
      <c r="J28">
        <v>70</v>
      </c>
      <c r="K28">
        <v>27</v>
      </c>
      <c r="L28">
        <v>52</v>
      </c>
      <c r="M28">
        <v>15</v>
      </c>
      <c r="N28" s="143" t="e">
        <v>#DIV/0!</v>
      </c>
      <c r="O28" s="143" t="e">
        <v>#DIV/0!</v>
      </c>
      <c r="P28">
        <v>28</v>
      </c>
    </row>
    <row r="29" spans="1:16">
      <c r="A29" t="s">
        <v>389</v>
      </c>
      <c r="B29">
        <v>30</v>
      </c>
      <c r="C29">
        <v>77</v>
      </c>
      <c r="D29">
        <v>57</v>
      </c>
      <c r="E29">
        <v>209</v>
      </c>
      <c r="F29">
        <v>133</v>
      </c>
      <c r="G29">
        <v>133</v>
      </c>
      <c r="H29">
        <v>252</v>
      </c>
      <c r="I29" s="14">
        <v>418.14680238232876</v>
      </c>
      <c r="J29">
        <v>71</v>
      </c>
      <c r="K29">
        <v>28</v>
      </c>
      <c r="L29">
        <v>100</v>
      </c>
      <c r="M29">
        <v>45</v>
      </c>
      <c r="N29" s="143" t="e">
        <v>#DIV/0!</v>
      </c>
      <c r="O29" s="143" t="e">
        <v>#DIV/0!</v>
      </c>
      <c r="P29">
        <v>-43</v>
      </c>
    </row>
    <row r="30" spans="1:16">
      <c r="A30" t="s">
        <v>390</v>
      </c>
      <c r="B30">
        <v>175</v>
      </c>
      <c r="C30">
        <v>40</v>
      </c>
      <c r="D30">
        <v>121</v>
      </c>
      <c r="E30">
        <v>19</v>
      </c>
      <c r="F30">
        <v>82</v>
      </c>
      <c r="G30">
        <v>70</v>
      </c>
      <c r="H30">
        <v>252.2</v>
      </c>
      <c r="I30" s="14">
        <v>352.80010910568171</v>
      </c>
      <c r="J30">
        <v>72</v>
      </c>
      <c r="K30">
        <v>29</v>
      </c>
      <c r="L30">
        <v>63</v>
      </c>
      <c r="M30">
        <v>21</v>
      </c>
      <c r="N30" s="143" t="e">
        <v>#DIV/0!</v>
      </c>
      <c r="O30" s="143" t="e">
        <v>#DIV/0!</v>
      </c>
      <c r="P30">
        <v>70</v>
      </c>
    </row>
    <row r="31" spans="1:16">
      <c r="A31" t="s">
        <v>238</v>
      </c>
      <c r="B31">
        <v>201</v>
      </c>
      <c r="C31">
        <v>113</v>
      </c>
      <c r="D31">
        <v>4</v>
      </c>
      <c r="E31">
        <v>68</v>
      </c>
      <c r="F31">
        <v>123</v>
      </c>
      <c r="G31">
        <v>89</v>
      </c>
      <c r="H31">
        <v>252.8</v>
      </c>
      <c r="I31" s="14">
        <v>369.59683911118674</v>
      </c>
      <c r="J31">
        <v>73</v>
      </c>
      <c r="K31">
        <v>30</v>
      </c>
      <c r="L31">
        <v>70</v>
      </c>
      <c r="M31">
        <v>26</v>
      </c>
      <c r="N31" s="143" t="e">
        <v>#DIV/0!</v>
      </c>
      <c r="O31" s="143" t="e">
        <v>#DIV/0!</v>
      </c>
      <c r="P31">
        <v>52</v>
      </c>
    </row>
    <row r="32" spans="1:16">
      <c r="A32" t="s">
        <v>119</v>
      </c>
      <c r="B32">
        <v>99</v>
      </c>
      <c r="C32">
        <v>82</v>
      </c>
      <c r="D32">
        <v>149</v>
      </c>
      <c r="E32">
        <v>75</v>
      </c>
      <c r="F32">
        <v>65</v>
      </c>
      <c r="G32">
        <v>102</v>
      </c>
      <c r="H32">
        <v>258.3</v>
      </c>
      <c r="I32" s="14">
        <v>404.07731973918987</v>
      </c>
      <c r="J32">
        <v>75</v>
      </c>
      <c r="K32">
        <v>31</v>
      </c>
      <c r="L32">
        <v>91</v>
      </c>
      <c r="M32">
        <v>40</v>
      </c>
      <c r="N32" s="143" t="e">
        <v>#DIV/0!</v>
      </c>
      <c r="O32" s="143" t="e">
        <v>#DIV/0!</v>
      </c>
      <c r="P32">
        <v>-39</v>
      </c>
    </row>
    <row r="33" spans="1:17">
      <c r="A33" t="s">
        <v>188</v>
      </c>
      <c r="B33">
        <v>210</v>
      </c>
      <c r="C33">
        <v>9</v>
      </c>
      <c r="D33">
        <v>149</v>
      </c>
      <c r="E33">
        <v>43</v>
      </c>
      <c r="F33">
        <v>10</v>
      </c>
      <c r="G33">
        <v>86</v>
      </c>
      <c r="H33">
        <v>259.5</v>
      </c>
      <c r="I33" s="14">
        <v>379.06056162387188</v>
      </c>
      <c r="J33">
        <v>76</v>
      </c>
      <c r="K33">
        <v>32</v>
      </c>
      <c r="L33">
        <v>76</v>
      </c>
      <c r="M33">
        <v>31</v>
      </c>
      <c r="N33" s="143" t="e">
        <v>#DIV/0!</v>
      </c>
      <c r="O33" s="143" t="e">
        <v>#DIV/0!</v>
      </c>
      <c r="P33">
        <v>-41</v>
      </c>
    </row>
    <row r="34" spans="1:17">
      <c r="A34" t="s">
        <v>402</v>
      </c>
      <c r="B34">
        <v>44</v>
      </c>
      <c r="C34">
        <v>207</v>
      </c>
      <c r="D34">
        <v>116</v>
      </c>
      <c r="E34">
        <v>57</v>
      </c>
      <c r="F34">
        <v>125</v>
      </c>
      <c r="G34">
        <v>115</v>
      </c>
      <c r="H34">
        <v>260.7</v>
      </c>
      <c r="I34" s="14">
        <v>432.06709538643793</v>
      </c>
      <c r="J34">
        <v>78</v>
      </c>
      <c r="K34">
        <v>33</v>
      </c>
      <c r="L34">
        <v>109</v>
      </c>
      <c r="M34">
        <v>50</v>
      </c>
      <c r="N34" s="143" t="e">
        <v>#DIV/0!</v>
      </c>
      <c r="O34" s="143" t="e">
        <v>#DIV/0!</v>
      </c>
      <c r="P34">
        <v>8</v>
      </c>
    </row>
    <row r="35" spans="1:17">
      <c r="A35" t="s">
        <v>99</v>
      </c>
      <c r="B35">
        <v>70</v>
      </c>
      <c r="C35">
        <v>67</v>
      </c>
      <c r="D35">
        <v>13</v>
      </c>
      <c r="E35">
        <v>194</v>
      </c>
      <c r="F35">
        <v>186</v>
      </c>
      <c r="G35">
        <v>74</v>
      </c>
      <c r="H35">
        <v>261.2</v>
      </c>
      <c r="I35" s="14">
        <v>358.89871103072403</v>
      </c>
      <c r="J35">
        <v>79</v>
      </c>
      <c r="K35">
        <v>34</v>
      </c>
      <c r="L35">
        <v>66</v>
      </c>
      <c r="M35">
        <v>23</v>
      </c>
      <c r="N35" s="143" t="e">
        <v>#DIV/0!</v>
      </c>
      <c r="O35" s="143" t="e">
        <v>#DIV/0!</v>
      </c>
      <c r="P35">
        <v>4</v>
      </c>
    </row>
    <row r="36" spans="1:17">
      <c r="A36" t="s">
        <v>122</v>
      </c>
      <c r="B36">
        <v>131</v>
      </c>
      <c r="C36">
        <v>58</v>
      </c>
      <c r="D36">
        <v>130</v>
      </c>
      <c r="E36">
        <v>109</v>
      </c>
      <c r="F36">
        <v>46</v>
      </c>
      <c r="G36">
        <v>79</v>
      </c>
      <c r="H36">
        <v>264.5</v>
      </c>
      <c r="I36" s="14">
        <v>383.51241346603769</v>
      </c>
      <c r="J36">
        <v>81</v>
      </c>
      <c r="K36">
        <v>35</v>
      </c>
      <c r="L36">
        <v>78</v>
      </c>
      <c r="M36">
        <v>33</v>
      </c>
      <c r="N36" s="143" t="e">
        <v>#DIV/0!</v>
      </c>
      <c r="O36" s="143" t="e">
        <v>#DIV/0!</v>
      </c>
      <c r="P36">
        <v>12</v>
      </c>
    </row>
    <row r="37" spans="1:17">
      <c r="A37" t="s">
        <v>77</v>
      </c>
      <c r="B37">
        <v>72</v>
      </c>
      <c r="C37">
        <v>201</v>
      </c>
      <c r="D37">
        <v>77</v>
      </c>
      <c r="E37">
        <v>79</v>
      </c>
      <c r="F37">
        <v>138</v>
      </c>
      <c r="G37">
        <v>118</v>
      </c>
      <c r="H37">
        <v>265.89999999999998</v>
      </c>
      <c r="I37" s="14">
        <v>434.99326579125869</v>
      </c>
      <c r="J37">
        <v>82</v>
      </c>
      <c r="K37">
        <v>36</v>
      </c>
      <c r="L37">
        <v>112</v>
      </c>
      <c r="M37">
        <v>52</v>
      </c>
      <c r="N37" s="143" t="e">
        <v>#DIV/0!</v>
      </c>
      <c r="O37" s="143" t="e">
        <v>#DIV/0!</v>
      </c>
      <c r="P37">
        <v>66</v>
      </c>
    </row>
    <row r="38" spans="1:17">
      <c r="A38" t="s">
        <v>118</v>
      </c>
      <c r="B38">
        <v>131</v>
      </c>
      <c r="C38">
        <v>102</v>
      </c>
      <c r="D38">
        <v>85</v>
      </c>
      <c r="E38">
        <v>144</v>
      </c>
      <c r="F38">
        <v>55</v>
      </c>
      <c r="G38">
        <v>95</v>
      </c>
      <c r="H38">
        <v>268.2</v>
      </c>
      <c r="I38" s="14">
        <v>405.71764226130108</v>
      </c>
      <c r="J38">
        <v>85</v>
      </c>
      <c r="K38">
        <v>37</v>
      </c>
      <c r="L38">
        <v>94</v>
      </c>
      <c r="M38">
        <v>42</v>
      </c>
      <c r="N38" s="143" t="e">
        <v>#DIV/0!</v>
      </c>
      <c r="O38" s="143" t="e">
        <v>#DIV/0!</v>
      </c>
      <c r="P38">
        <v>12</v>
      </c>
    </row>
    <row r="39" spans="1:17">
      <c r="A39" t="s">
        <v>183</v>
      </c>
      <c r="B39">
        <v>199</v>
      </c>
      <c r="C39">
        <v>90</v>
      </c>
      <c r="D39">
        <v>68</v>
      </c>
      <c r="E39">
        <v>86</v>
      </c>
      <c r="F39">
        <v>64</v>
      </c>
      <c r="G39">
        <v>93</v>
      </c>
      <c r="H39">
        <v>269</v>
      </c>
      <c r="I39" s="14">
        <v>398.08167037577988</v>
      </c>
      <c r="J39">
        <v>86</v>
      </c>
      <c r="K39">
        <v>38</v>
      </c>
      <c r="L39">
        <v>85</v>
      </c>
      <c r="M39">
        <v>36</v>
      </c>
      <c r="N39" s="143" t="e">
        <v>#DIV/0!</v>
      </c>
      <c r="O39" s="143" t="e">
        <v>#DIV/0!</v>
      </c>
      <c r="P39">
        <v>-46</v>
      </c>
    </row>
    <row r="40" spans="1:17">
      <c r="A40" t="s">
        <v>121</v>
      </c>
      <c r="B40">
        <v>136</v>
      </c>
      <c r="C40">
        <v>70</v>
      </c>
      <c r="D40">
        <v>39</v>
      </c>
      <c r="E40">
        <v>99</v>
      </c>
      <c r="F40">
        <v>180</v>
      </c>
      <c r="G40">
        <v>110</v>
      </c>
      <c r="H40">
        <v>269.39999999999998</v>
      </c>
      <c r="I40" s="14">
        <v>404.02830867417055</v>
      </c>
      <c r="J40">
        <v>87</v>
      </c>
      <c r="K40">
        <v>39</v>
      </c>
      <c r="L40">
        <v>90</v>
      </c>
      <c r="M40">
        <v>39</v>
      </c>
      <c r="N40" s="143" t="e">
        <v>#DIV/0!</v>
      </c>
      <c r="O40" s="143" t="e">
        <v>#DIV/0!</v>
      </c>
      <c r="P40">
        <v>-1</v>
      </c>
    </row>
    <row r="41" spans="1:17">
      <c r="A41" t="s">
        <v>156</v>
      </c>
      <c r="B41">
        <v>152</v>
      </c>
      <c r="C41">
        <v>79</v>
      </c>
      <c r="D41">
        <v>61</v>
      </c>
      <c r="E41">
        <v>137</v>
      </c>
      <c r="F41">
        <v>87</v>
      </c>
      <c r="G41">
        <v>66</v>
      </c>
      <c r="H41">
        <v>269.60000000000002</v>
      </c>
      <c r="I41" s="14">
        <v>369.90263095792727</v>
      </c>
      <c r="J41">
        <v>89</v>
      </c>
      <c r="K41">
        <v>41</v>
      </c>
      <c r="L41">
        <v>71</v>
      </c>
      <c r="M41">
        <v>27</v>
      </c>
      <c r="N41" s="143" t="e">
        <v>#DIV/0!</v>
      </c>
      <c r="O41" s="143" t="e">
        <v>#DIV/0!</v>
      </c>
      <c r="P41">
        <v>-41</v>
      </c>
    </row>
    <row r="42" spans="1:17">
      <c r="A42" t="s">
        <v>89</v>
      </c>
      <c r="B42">
        <v>95</v>
      </c>
      <c r="C42">
        <v>165</v>
      </c>
      <c r="D42">
        <v>153</v>
      </c>
      <c r="E42">
        <v>86</v>
      </c>
      <c r="F42">
        <v>26</v>
      </c>
      <c r="G42">
        <v>71</v>
      </c>
      <c r="H42">
        <v>269.60000000000002</v>
      </c>
      <c r="I42" s="14">
        <v>400.75361997426512</v>
      </c>
      <c r="J42">
        <v>89</v>
      </c>
      <c r="K42">
        <v>40</v>
      </c>
      <c r="L42">
        <v>87</v>
      </c>
      <c r="M42">
        <v>37</v>
      </c>
      <c r="N42" s="143" t="e">
        <v>#DIV/0!</v>
      </c>
      <c r="O42" s="143" t="e">
        <v>#DIV/0!</v>
      </c>
      <c r="P42">
        <v>-5</v>
      </c>
    </row>
    <row r="43" spans="1:17">
      <c r="A43" t="s">
        <v>92</v>
      </c>
      <c r="B43">
        <v>85</v>
      </c>
      <c r="C43">
        <v>71</v>
      </c>
      <c r="D43">
        <v>145</v>
      </c>
      <c r="E43">
        <v>89</v>
      </c>
      <c r="F43">
        <v>113</v>
      </c>
      <c r="G43">
        <v>76</v>
      </c>
      <c r="H43">
        <v>274.8</v>
      </c>
      <c r="I43" s="14">
        <v>391.49907421767892</v>
      </c>
      <c r="J43">
        <v>94</v>
      </c>
      <c r="K43">
        <v>42</v>
      </c>
      <c r="L43">
        <v>84</v>
      </c>
      <c r="M43">
        <v>35</v>
      </c>
      <c r="N43" s="143" t="e">
        <v>#DIV/0!</v>
      </c>
      <c r="O43" s="143" t="e">
        <v>#DIV/0!</v>
      </c>
      <c r="P43">
        <v>6</v>
      </c>
    </row>
    <row r="44" spans="1:17">
      <c r="A44" t="s">
        <v>391</v>
      </c>
      <c r="B44">
        <v>188</v>
      </c>
      <c r="C44">
        <v>129</v>
      </c>
      <c r="D44">
        <v>90</v>
      </c>
      <c r="E44">
        <v>51</v>
      </c>
      <c r="F44">
        <v>72</v>
      </c>
      <c r="G44">
        <v>85</v>
      </c>
      <c r="H44">
        <v>276</v>
      </c>
      <c r="I44" s="14">
        <v>404.70448028421805</v>
      </c>
      <c r="J44">
        <v>96.5</v>
      </c>
      <c r="K44">
        <v>43</v>
      </c>
      <c r="L44">
        <v>93</v>
      </c>
      <c r="M44">
        <v>41</v>
      </c>
      <c r="N44" s="143" t="e">
        <v>#DIV/0!</v>
      </c>
      <c r="O44" s="143" t="e">
        <v>#DIV/0!</v>
      </c>
      <c r="P44">
        <v>-9</v>
      </c>
    </row>
    <row r="45" spans="1:17">
      <c r="A45" t="s">
        <v>163</v>
      </c>
      <c r="B45">
        <v>149</v>
      </c>
      <c r="C45">
        <v>46</v>
      </c>
      <c r="D45">
        <v>83</v>
      </c>
      <c r="E45">
        <v>94</v>
      </c>
      <c r="F45">
        <v>136</v>
      </c>
      <c r="G45">
        <v>105</v>
      </c>
      <c r="H45">
        <v>276.29999999999995</v>
      </c>
      <c r="I45" s="14">
        <v>409.6460434962342</v>
      </c>
      <c r="J45">
        <v>99</v>
      </c>
      <c r="K45">
        <v>44</v>
      </c>
      <c r="L45">
        <v>96</v>
      </c>
      <c r="M45">
        <v>43</v>
      </c>
      <c r="N45" s="143" t="e">
        <v>#DIV/0!</v>
      </c>
      <c r="O45" s="143" t="e">
        <v>#DIV/0!</v>
      </c>
      <c r="P45">
        <v>-13</v>
      </c>
    </row>
    <row r="46" spans="1:17">
      <c r="A46" t="s">
        <v>68</v>
      </c>
      <c r="B46">
        <v>91</v>
      </c>
      <c r="C46">
        <v>112</v>
      </c>
      <c r="D46">
        <v>149</v>
      </c>
      <c r="E46">
        <v>98</v>
      </c>
      <c r="F46">
        <v>73</v>
      </c>
      <c r="G46">
        <v>131</v>
      </c>
      <c r="H46">
        <v>278</v>
      </c>
      <c r="I46" s="14">
        <v>458.97813139671058</v>
      </c>
      <c r="J46">
        <v>101</v>
      </c>
      <c r="K46">
        <v>45</v>
      </c>
      <c r="L46">
        <v>120</v>
      </c>
      <c r="M46">
        <v>58</v>
      </c>
      <c r="N46" s="143" t="e">
        <v>#DIV/0!</v>
      </c>
      <c r="O46" s="143" t="e">
        <v>#DIV/0!</v>
      </c>
      <c r="P46">
        <v>-3</v>
      </c>
    </row>
    <row r="47" spans="1:17">
      <c r="A47" t="s">
        <v>112</v>
      </c>
      <c r="B47">
        <v>154</v>
      </c>
      <c r="C47">
        <v>45</v>
      </c>
      <c r="D47">
        <v>98</v>
      </c>
      <c r="E47">
        <v>130</v>
      </c>
      <c r="F47">
        <v>84</v>
      </c>
      <c r="G47">
        <v>75</v>
      </c>
      <c r="H47">
        <v>281.5</v>
      </c>
      <c r="I47" s="14">
        <v>390.40756668422279</v>
      </c>
      <c r="J47">
        <v>105</v>
      </c>
      <c r="K47">
        <v>46</v>
      </c>
      <c r="L47">
        <v>83</v>
      </c>
      <c r="M47">
        <v>34</v>
      </c>
      <c r="N47" s="143" t="e">
        <v>#DIV/0!</v>
      </c>
      <c r="O47" s="143" t="e">
        <v>#DIV/0!</v>
      </c>
      <c r="P47">
        <v>-18</v>
      </c>
      <c r="Q47">
        <v>1</v>
      </c>
    </row>
    <row r="48" spans="1:17">
      <c r="A48" t="s">
        <v>49</v>
      </c>
      <c r="B48">
        <v>77</v>
      </c>
      <c r="C48">
        <v>64</v>
      </c>
      <c r="D48">
        <v>165</v>
      </c>
      <c r="E48">
        <v>85</v>
      </c>
      <c r="F48">
        <v>118</v>
      </c>
      <c r="G48">
        <v>108</v>
      </c>
      <c r="H48">
        <v>282.39999999999998</v>
      </c>
      <c r="I48" s="14">
        <v>432.44552810955986</v>
      </c>
      <c r="J48">
        <v>106</v>
      </c>
      <c r="K48">
        <v>47</v>
      </c>
      <c r="L48">
        <v>110</v>
      </c>
      <c r="M48">
        <v>51</v>
      </c>
      <c r="N48" s="143" t="e">
        <v>#DIV/0!</v>
      </c>
      <c r="O48" s="143" t="e">
        <v>#DIV/0!</v>
      </c>
      <c r="P48">
        <v>-46</v>
      </c>
    </row>
    <row r="49" spans="1:16">
      <c r="A49" t="s">
        <v>128</v>
      </c>
      <c r="B49">
        <v>49</v>
      </c>
      <c r="C49">
        <v>76</v>
      </c>
      <c r="D49">
        <v>137</v>
      </c>
      <c r="E49">
        <v>110</v>
      </c>
      <c r="F49">
        <v>159</v>
      </c>
      <c r="G49">
        <v>94</v>
      </c>
      <c r="H49">
        <v>282.60000000000002</v>
      </c>
      <c r="I49" s="14">
        <v>416.18486799768988</v>
      </c>
      <c r="J49">
        <v>107.5</v>
      </c>
      <c r="K49">
        <v>48</v>
      </c>
      <c r="L49">
        <v>99</v>
      </c>
      <c r="M49">
        <v>44</v>
      </c>
      <c r="N49" s="143" t="e">
        <v>#DIV/0!</v>
      </c>
      <c r="O49" s="143" t="e">
        <v>#DIV/0!</v>
      </c>
      <c r="P49">
        <v>-20</v>
      </c>
    </row>
    <row r="50" spans="1:16">
      <c r="A50" t="s">
        <v>152</v>
      </c>
      <c r="B50">
        <v>146</v>
      </c>
      <c r="C50">
        <v>21</v>
      </c>
      <c r="D50">
        <v>44</v>
      </c>
      <c r="E50">
        <v>142</v>
      </c>
      <c r="F50">
        <v>174</v>
      </c>
      <c r="G50">
        <v>100</v>
      </c>
      <c r="H50">
        <v>282.7</v>
      </c>
      <c r="I50" s="14">
        <v>402.62364781284128</v>
      </c>
      <c r="J50">
        <v>109.5</v>
      </c>
      <c r="K50">
        <v>50</v>
      </c>
      <c r="L50">
        <v>89</v>
      </c>
      <c r="M50">
        <v>38</v>
      </c>
      <c r="N50" s="143" t="e">
        <v>#DIV/0!</v>
      </c>
      <c r="O50" s="143" t="e">
        <v>#DIV/0!</v>
      </c>
      <c r="P50">
        <v>-40</v>
      </c>
    </row>
    <row r="51" spans="1:16">
      <c r="A51" t="s">
        <v>158</v>
      </c>
      <c r="B51">
        <v>119</v>
      </c>
      <c r="C51">
        <v>98</v>
      </c>
      <c r="D51">
        <v>107</v>
      </c>
      <c r="E51">
        <v>96</v>
      </c>
      <c r="F51">
        <v>118</v>
      </c>
      <c r="G51">
        <v>101</v>
      </c>
      <c r="H51">
        <v>282.7</v>
      </c>
      <c r="I51" s="14">
        <v>424.44386770731154</v>
      </c>
      <c r="J51">
        <v>109.5</v>
      </c>
      <c r="K51">
        <v>49</v>
      </c>
      <c r="L51">
        <v>104</v>
      </c>
      <c r="M51">
        <v>48</v>
      </c>
      <c r="N51" s="143" t="e">
        <v>#DIV/0!</v>
      </c>
      <c r="O51" s="143" t="e">
        <v>#DIV/0!</v>
      </c>
      <c r="P51">
        <v>15</v>
      </c>
    </row>
    <row r="52" spans="1:16">
      <c r="A52" t="s">
        <v>79</v>
      </c>
      <c r="B52">
        <v>52</v>
      </c>
      <c r="C52">
        <v>69</v>
      </c>
      <c r="D52">
        <v>135</v>
      </c>
      <c r="E52">
        <v>135</v>
      </c>
      <c r="F52">
        <v>140</v>
      </c>
      <c r="G52">
        <v>113</v>
      </c>
      <c r="H52">
        <v>283.89999999999998</v>
      </c>
      <c r="I52" s="14">
        <v>436.94114609191865</v>
      </c>
      <c r="J52">
        <v>111</v>
      </c>
      <c r="K52">
        <v>51</v>
      </c>
      <c r="L52">
        <v>113</v>
      </c>
      <c r="M52">
        <v>53</v>
      </c>
      <c r="N52" s="143" t="e">
        <v>#DIV/0!</v>
      </c>
      <c r="O52" s="143" t="e">
        <v>#DIV/0!</v>
      </c>
      <c r="P52">
        <v>-17</v>
      </c>
    </row>
    <row r="53" spans="1:16">
      <c r="A53" t="s">
        <v>117</v>
      </c>
      <c r="B53">
        <v>80</v>
      </c>
      <c r="C53">
        <v>66</v>
      </c>
      <c r="D53">
        <v>134</v>
      </c>
      <c r="E53">
        <v>38</v>
      </c>
      <c r="F53">
        <v>209</v>
      </c>
      <c r="G53">
        <v>151</v>
      </c>
      <c r="H53">
        <v>285.10000000000002</v>
      </c>
      <c r="I53" s="14">
        <v>469.02459510879225</v>
      </c>
      <c r="J53">
        <v>113</v>
      </c>
      <c r="K53">
        <v>52</v>
      </c>
      <c r="L53">
        <v>125</v>
      </c>
      <c r="M53">
        <v>63</v>
      </c>
      <c r="N53" s="143" t="e">
        <v>#DIV/0!</v>
      </c>
      <c r="O53" s="143" t="e">
        <v>#DIV/0!</v>
      </c>
      <c r="P53">
        <v>-49</v>
      </c>
    </row>
    <row r="54" spans="1:16">
      <c r="A54" t="s">
        <v>41</v>
      </c>
      <c r="B54">
        <v>20</v>
      </c>
      <c r="C54">
        <v>200</v>
      </c>
      <c r="D54">
        <v>206</v>
      </c>
      <c r="E54">
        <v>116</v>
      </c>
      <c r="F54">
        <v>22</v>
      </c>
      <c r="G54">
        <v>149</v>
      </c>
      <c r="H54">
        <v>285.2</v>
      </c>
      <c r="I54" s="14">
        <v>508.43563244550813</v>
      </c>
      <c r="J54">
        <v>114</v>
      </c>
      <c r="K54">
        <v>53</v>
      </c>
      <c r="L54">
        <v>145</v>
      </c>
      <c r="M54">
        <v>75</v>
      </c>
      <c r="N54" s="143" t="e">
        <v>#DIV/0!</v>
      </c>
      <c r="O54" s="143" t="e">
        <v>#DIV/0!</v>
      </c>
      <c r="P54">
        <v>-18</v>
      </c>
    </row>
    <row r="55" spans="1:16">
      <c r="A55" t="s">
        <v>18</v>
      </c>
      <c r="B55">
        <v>8</v>
      </c>
      <c r="C55">
        <v>189</v>
      </c>
      <c r="D55">
        <v>187</v>
      </c>
      <c r="E55">
        <v>158</v>
      </c>
      <c r="F55">
        <v>28</v>
      </c>
      <c r="G55">
        <v>107</v>
      </c>
      <c r="H55">
        <v>285.39999999999998</v>
      </c>
      <c r="I55" s="14">
        <v>463.80559145601654</v>
      </c>
      <c r="J55">
        <v>115</v>
      </c>
      <c r="K55">
        <v>54</v>
      </c>
      <c r="L55">
        <v>123</v>
      </c>
      <c r="M55">
        <v>61</v>
      </c>
      <c r="N55" s="143" t="e">
        <v>#DIV/0!</v>
      </c>
      <c r="O55" s="143" t="e">
        <v>#DIV/0!</v>
      </c>
      <c r="P55">
        <v>-27</v>
      </c>
    </row>
    <row r="56" spans="1:16">
      <c r="A56" t="s">
        <v>87</v>
      </c>
      <c r="B56">
        <v>41</v>
      </c>
      <c r="C56">
        <v>172</v>
      </c>
      <c r="D56">
        <v>88</v>
      </c>
      <c r="E56">
        <v>97</v>
      </c>
      <c r="F56">
        <v>201</v>
      </c>
      <c r="G56">
        <v>109</v>
      </c>
      <c r="H56">
        <v>286.8</v>
      </c>
      <c r="I56" s="14">
        <v>442.48169715701181</v>
      </c>
      <c r="J56">
        <v>116</v>
      </c>
      <c r="K56">
        <v>55</v>
      </c>
      <c r="L56">
        <v>116</v>
      </c>
      <c r="M56">
        <v>54</v>
      </c>
      <c r="N56" s="143" t="e">
        <v>#DIV/0!</v>
      </c>
      <c r="O56" s="143" t="e">
        <v>#DIV/0!</v>
      </c>
      <c r="P56">
        <v>-81</v>
      </c>
    </row>
    <row r="57" spans="1:16">
      <c r="A57" t="s">
        <v>120</v>
      </c>
      <c r="B57">
        <v>154</v>
      </c>
      <c r="C57">
        <v>74</v>
      </c>
      <c r="D57">
        <v>84</v>
      </c>
      <c r="E57">
        <v>172</v>
      </c>
      <c r="F57">
        <v>66</v>
      </c>
      <c r="G57">
        <v>130</v>
      </c>
      <c r="H57">
        <v>292.39999999999998</v>
      </c>
      <c r="I57" s="14">
        <v>462.04837404693524</v>
      </c>
      <c r="J57">
        <v>121</v>
      </c>
      <c r="K57">
        <v>56</v>
      </c>
      <c r="L57">
        <v>121</v>
      </c>
      <c r="M57">
        <v>59</v>
      </c>
      <c r="N57" s="143" t="e">
        <v>#DIV/0!</v>
      </c>
      <c r="O57" s="143" t="e">
        <v>#DIV/0!</v>
      </c>
      <c r="P57">
        <v>-30</v>
      </c>
    </row>
    <row r="58" spans="1:16">
      <c r="A58" t="s">
        <v>145</v>
      </c>
      <c r="B58">
        <v>119</v>
      </c>
      <c r="C58">
        <v>20</v>
      </c>
      <c r="D58">
        <v>32</v>
      </c>
      <c r="E58">
        <v>189</v>
      </c>
      <c r="F58">
        <v>198</v>
      </c>
      <c r="G58">
        <v>145</v>
      </c>
      <c r="H58">
        <v>293.29999999999995</v>
      </c>
      <c r="I58" s="14">
        <v>457.72364217716137</v>
      </c>
      <c r="J58">
        <v>122</v>
      </c>
      <c r="K58">
        <v>57</v>
      </c>
      <c r="L58">
        <v>119</v>
      </c>
      <c r="M58">
        <v>57</v>
      </c>
      <c r="N58" s="143" t="e">
        <v>#DIV/0!</v>
      </c>
      <c r="O58" s="143" t="e">
        <v>#DIV/0!</v>
      </c>
      <c r="P58">
        <v>-8</v>
      </c>
    </row>
    <row r="59" spans="1:16">
      <c r="A59" t="s">
        <v>191</v>
      </c>
      <c r="B59">
        <v>209</v>
      </c>
      <c r="C59">
        <v>2</v>
      </c>
      <c r="D59">
        <v>100</v>
      </c>
      <c r="E59">
        <v>47</v>
      </c>
      <c r="F59">
        <v>150</v>
      </c>
      <c r="G59">
        <v>127</v>
      </c>
      <c r="H59">
        <v>294.5</v>
      </c>
      <c r="I59" s="14">
        <v>443.52207569977838</v>
      </c>
      <c r="J59">
        <v>123.5</v>
      </c>
      <c r="K59">
        <v>58</v>
      </c>
      <c r="L59">
        <v>117</v>
      </c>
      <c r="M59">
        <v>55</v>
      </c>
      <c r="N59" s="143" t="e">
        <v>#DIV/0!</v>
      </c>
      <c r="O59" s="143" t="e">
        <v>#DIV/0!</v>
      </c>
      <c r="P59">
        <v>60</v>
      </c>
    </row>
    <row r="60" spans="1:16">
      <c r="A60" t="s">
        <v>127</v>
      </c>
      <c r="B60">
        <v>157</v>
      </c>
      <c r="C60">
        <v>49</v>
      </c>
      <c r="D60">
        <v>96</v>
      </c>
      <c r="E60">
        <v>177</v>
      </c>
      <c r="F60">
        <v>62</v>
      </c>
      <c r="G60">
        <v>87</v>
      </c>
      <c r="H60">
        <v>295.60000000000002</v>
      </c>
      <c r="I60" s="14">
        <v>420.26478901475105</v>
      </c>
      <c r="J60">
        <v>125.5</v>
      </c>
      <c r="K60">
        <v>60</v>
      </c>
      <c r="L60">
        <v>103</v>
      </c>
      <c r="M60">
        <v>47</v>
      </c>
      <c r="N60" s="143" t="e">
        <v>#DIV/0!</v>
      </c>
      <c r="O60" s="143" t="e">
        <v>#DIV/0!</v>
      </c>
      <c r="P60">
        <v>-16</v>
      </c>
    </row>
    <row r="61" spans="1:16">
      <c r="A61" t="s">
        <v>413</v>
      </c>
      <c r="B61">
        <v>124</v>
      </c>
      <c r="C61">
        <v>150</v>
      </c>
      <c r="D61">
        <v>91</v>
      </c>
      <c r="E61">
        <v>26</v>
      </c>
      <c r="F61">
        <v>199</v>
      </c>
      <c r="G61">
        <v>150</v>
      </c>
      <c r="H61">
        <v>295.60000000000002</v>
      </c>
      <c r="I61" s="14">
        <v>487.13055124589681</v>
      </c>
      <c r="J61">
        <v>125.5</v>
      </c>
      <c r="K61">
        <v>59</v>
      </c>
      <c r="L61">
        <v>137</v>
      </c>
      <c r="M61">
        <v>69</v>
      </c>
      <c r="N61" s="143" t="e">
        <v>#DIV/0!</v>
      </c>
      <c r="O61" s="143" t="e">
        <v>#DIV/0!</v>
      </c>
      <c r="P61">
        <v>2</v>
      </c>
    </row>
    <row r="62" spans="1:16">
      <c r="A62" t="s">
        <v>60</v>
      </c>
      <c r="B62">
        <v>102</v>
      </c>
      <c r="C62">
        <v>9</v>
      </c>
      <c r="D62">
        <v>72</v>
      </c>
      <c r="E62">
        <v>180</v>
      </c>
      <c r="F62">
        <v>185</v>
      </c>
      <c r="G62">
        <v>99</v>
      </c>
      <c r="H62">
        <v>296.8</v>
      </c>
      <c r="I62" s="14">
        <v>418.81391444032124</v>
      </c>
      <c r="J62">
        <v>127</v>
      </c>
      <c r="K62">
        <v>61</v>
      </c>
      <c r="L62">
        <v>102</v>
      </c>
      <c r="M62">
        <v>46</v>
      </c>
      <c r="N62" s="143" t="e">
        <v>#DIV/0!</v>
      </c>
      <c r="O62" s="143" t="e">
        <v>#DIV/0!</v>
      </c>
      <c r="P62">
        <v>-57</v>
      </c>
    </row>
    <row r="63" spans="1:16">
      <c r="A63" t="s">
        <v>167</v>
      </c>
      <c r="B63">
        <v>167</v>
      </c>
      <c r="C63">
        <v>60</v>
      </c>
      <c r="D63">
        <v>172</v>
      </c>
      <c r="E63">
        <v>106</v>
      </c>
      <c r="F63">
        <v>11</v>
      </c>
      <c r="G63">
        <v>81</v>
      </c>
      <c r="H63">
        <v>297.10000000000002</v>
      </c>
      <c r="I63" s="14">
        <v>426.64728681553709</v>
      </c>
      <c r="J63">
        <v>128</v>
      </c>
      <c r="K63">
        <v>62</v>
      </c>
      <c r="L63">
        <v>106</v>
      </c>
      <c r="M63">
        <v>49</v>
      </c>
      <c r="N63" s="143" t="e">
        <v>#DIV/0!</v>
      </c>
      <c r="O63" s="143" t="e">
        <v>#DIV/0!</v>
      </c>
      <c r="P63">
        <v>-20</v>
      </c>
    </row>
    <row r="64" spans="1:16">
      <c r="A64" t="s">
        <v>20</v>
      </c>
      <c r="B64">
        <v>4</v>
      </c>
      <c r="C64">
        <v>187</v>
      </c>
      <c r="D64">
        <v>59</v>
      </c>
      <c r="E64">
        <v>188</v>
      </c>
      <c r="F64">
        <v>207</v>
      </c>
      <c r="G64">
        <v>164</v>
      </c>
      <c r="H64">
        <v>297.3</v>
      </c>
      <c r="I64" s="14">
        <v>510.3201055189129</v>
      </c>
      <c r="J64">
        <v>129</v>
      </c>
      <c r="K64">
        <v>63</v>
      </c>
      <c r="L64">
        <v>146</v>
      </c>
      <c r="M64">
        <v>76</v>
      </c>
      <c r="N64" s="143" t="e">
        <v>#DIV/0!</v>
      </c>
      <c r="O64" s="143" t="e">
        <v>#DIV/0!</v>
      </c>
      <c r="P64">
        <v>6</v>
      </c>
    </row>
    <row r="65" spans="1:16">
      <c r="A65" t="s">
        <v>134</v>
      </c>
      <c r="B65">
        <v>146</v>
      </c>
      <c r="C65">
        <v>67</v>
      </c>
      <c r="D65">
        <v>82</v>
      </c>
      <c r="E65">
        <v>151</v>
      </c>
      <c r="F65">
        <v>114</v>
      </c>
      <c r="G65">
        <v>120</v>
      </c>
      <c r="H65">
        <v>297.60000000000002</v>
      </c>
      <c r="I65" s="14">
        <v>453.23934914737629</v>
      </c>
      <c r="J65">
        <v>130</v>
      </c>
      <c r="K65">
        <v>64</v>
      </c>
      <c r="L65">
        <v>118</v>
      </c>
      <c r="M65">
        <v>56</v>
      </c>
      <c r="N65" s="143" t="e">
        <v>#DIV/0!</v>
      </c>
      <c r="O65" s="143" t="e">
        <v>#DIV/0!</v>
      </c>
      <c r="P65">
        <v>-16</v>
      </c>
    </row>
    <row r="66" spans="1:16">
      <c r="A66" t="s">
        <v>146</v>
      </c>
      <c r="B66">
        <v>143</v>
      </c>
      <c r="C66">
        <v>133</v>
      </c>
      <c r="D66">
        <v>132</v>
      </c>
      <c r="E66">
        <v>100</v>
      </c>
      <c r="F66">
        <v>61</v>
      </c>
      <c r="G66">
        <v>112</v>
      </c>
      <c r="H66">
        <v>298.59999999999997</v>
      </c>
      <c r="I66" s="14">
        <v>463.45327961471236</v>
      </c>
      <c r="J66">
        <v>131</v>
      </c>
      <c r="K66">
        <v>65</v>
      </c>
      <c r="L66">
        <v>122</v>
      </c>
      <c r="M66">
        <v>60</v>
      </c>
      <c r="N66" s="143" t="e">
        <v>#DIV/0!</v>
      </c>
      <c r="O66" s="143" t="e">
        <v>#DIV/0!</v>
      </c>
      <c r="P66">
        <v>35</v>
      </c>
    </row>
    <row r="67" spans="1:16">
      <c r="A67" t="s">
        <v>142</v>
      </c>
      <c r="B67">
        <v>122</v>
      </c>
      <c r="C67">
        <v>197</v>
      </c>
      <c r="D67">
        <v>76</v>
      </c>
      <c r="E67">
        <v>119</v>
      </c>
      <c r="F67">
        <v>112</v>
      </c>
      <c r="G67">
        <v>126</v>
      </c>
      <c r="H67">
        <v>301</v>
      </c>
      <c r="I67" s="14">
        <v>481.66382800218696</v>
      </c>
      <c r="J67">
        <v>134</v>
      </c>
      <c r="K67">
        <v>66</v>
      </c>
      <c r="L67">
        <v>135</v>
      </c>
      <c r="M67">
        <v>67</v>
      </c>
      <c r="N67" s="143" t="e">
        <v>#DIV/0!</v>
      </c>
      <c r="O67" s="143" t="e">
        <v>#DIV/0!</v>
      </c>
      <c r="P67">
        <v>6</v>
      </c>
    </row>
    <row r="68" spans="1:16">
      <c r="A68" t="s">
        <v>69</v>
      </c>
      <c r="B68">
        <v>90</v>
      </c>
      <c r="C68">
        <v>195</v>
      </c>
      <c r="D68">
        <v>27</v>
      </c>
      <c r="E68">
        <v>146</v>
      </c>
      <c r="F68">
        <v>203</v>
      </c>
      <c r="G68">
        <v>118</v>
      </c>
      <c r="H68">
        <v>305.89999999999998</v>
      </c>
      <c r="I68" s="14">
        <v>469.36304140620928</v>
      </c>
      <c r="J68">
        <v>136</v>
      </c>
      <c r="K68">
        <v>67</v>
      </c>
      <c r="L68">
        <v>126</v>
      </c>
      <c r="M68">
        <v>64</v>
      </c>
      <c r="N68" s="143" t="e">
        <v>#DIV/0!</v>
      </c>
      <c r="O68" s="143" t="e">
        <v>#DIV/0!</v>
      </c>
      <c r="P68">
        <v>-6</v>
      </c>
    </row>
    <row r="69" spans="1:16">
      <c r="A69" t="s">
        <v>45</v>
      </c>
      <c r="B69">
        <v>140</v>
      </c>
      <c r="C69">
        <v>175</v>
      </c>
      <c r="D69">
        <v>79</v>
      </c>
      <c r="E69">
        <v>53</v>
      </c>
      <c r="F69">
        <v>177</v>
      </c>
      <c r="G69">
        <v>152</v>
      </c>
      <c r="H69">
        <v>306.8</v>
      </c>
      <c r="I69" s="14">
        <v>505.33739034720276</v>
      </c>
      <c r="J69">
        <v>137</v>
      </c>
      <c r="K69">
        <v>68</v>
      </c>
      <c r="L69">
        <v>144</v>
      </c>
      <c r="M69">
        <v>74</v>
      </c>
      <c r="N69" s="143" t="e">
        <v>#DIV/0!</v>
      </c>
      <c r="O69" s="143" t="e">
        <v>#DIV/0!</v>
      </c>
      <c r="P69">
        <v>-9</v>
      </c>
    </row>
    <row r="70" spans="1:16">
      <c r="A70" t="s">
        <v>52</v>
      </c>
      <c r="B70">
        <v>191</v>
      </c>
      <c r="C70">
        <v>167</v>
      </c>
      <c r="D70">
        <v>161</v>
      </c>
      <c r="E70">
        <v>7</v>
      </c>
      <c r="F70">
        <v>56</v>
      </c>
      <c r="G70">
        <v>161</v>
      </c>
      <c r="H70">
        <v>308.89999999999998</v>
      </c>
      <c r="I70" s="14">
        <v>529.1054062086514</v>
      </c>
      <c r="J70">
        <v>138</v>
      </c>
      <c r="K70">
        <v>69</v>
      </c>
      <c r="L70">
        <v>157</v>
      </c>
      <c r="M70">
        <v>83</v>
      </c>
      <c r="N70" s="143" t="e">
        <v>#DIV/0!</v>
      </c>
      <c r="O70" s="143" t="e">
        <v>#DIV/0!</v>
      </c>
      <c r="P70">
        <v>-5</v>
      </c>
    </row>
    <row r="71" spans="1:16">
      <c r="A71" t="s">
        <v>70</v>
      </c>
      <c r="B71">
        <v>109</v>
      </c>
      <c r="C71">
        <v>194</v>
      </c>
      <c r="D71">
        <v>111</v>
      </c>
      <c r="E71">
        <v>128</v>
      </c>
      <c r="F71">
        <v>93</v>
      </c>
      <c r="G71">
        <v>198</v>
      </c>
      <c r="H71">
        <v>311.79999999999995</v>
      </c>
      <c r="I71" s="14">
        <v>569.98594710885664</v>
      </c>
      <c r="J71">
        <v>140</v>
      </c>
      <c r="K71">
        <v>70</v>
      </c>
      <c r="L71">
        <v>172</v>
      </c>
      <c r="M71">
        <v>96</v>
      </c>
      <c r="N71" s="143" t="e">
        <v>#DIV/0!</v>
      </c>
      <c r="O71" s="143" t="e">
        <v>#DIV/0!</v>
      </c>
      <c r="P71">
        <v>13</v>
      </c>
    </row>
    <row r="72" spans="1:16">
      <c r="A72" t="s">
        <v>237</v>
      </c>
      <c r="B72">
        <v>25</v>
      </c>
      <c r="C72">
        <v>115</v>
      </c>
      <c r="D72">
        <v>124</v>
      </c>
      <c r="E72">
        <v>156</v>
      </c>
      <c r="F72">
        <v>195</v>
      </c>
      <c r="G72">
        <v>111</v>
      </c>
      <c r="H72">
        <v>311.8</v>
      </c>
      <c r="I72" s="14">
        <v>468.45702795313048</v>
      </c>
      <c r="J72">
        <v>141</v>
      </c>
      <c r="K72">
        <v>71</v>
      </c>
      <c r="L72">
        <v>124</v>
      </c>
      <c r="M72">
        <v>62</v>
      </c>
      <c r="N72" s="143" t="e">
        <v>#DIV/0!</v>
      </c>
      <c r="O72" s="143" t="e">
        <v>#DIV/0!</v>
      </c>
      <c r="P72">
        <v>28</v>
      </c>
    </row>
    <row r="73" spans="1:16">
      <c r="A73" t="s">
        <v>101</v>
      </c>
      <c r="B73">
        <v>112</v>
      </c>
      <c r="C73">
        <v>53</v>
      </c>
      <c r="D73">
        <v>146</v>
      </c>
      <c r="E73">
        <v>64</v>
      </c>
      <c r="F73">
        <v>190</v>
      </c>
      <c r="G73">
        <v>123</v>
      </c>
      <c r="H73">
        <v>312.29999999999995</v>
      </c>
      <c r="I73" s="14">
        <v>470.75451831366013</v>
      </c>
      <c r="J73">
        <v>142</v>
      </c>
      <c r="K73">
        <v>72</v>
      </c>
      <c r="L73">
        <v>127</v>
      </c>
      <c r="M73">
        <v>65</v>
      </c>
      <c r="N73" s="143" t="e">
        <v>#DIV/0!</v>
      </c>
      <c r="O73" s="143" t="e">
        <v>#DIV/0!</v>
      </c>
      <c r="P73">
        <v>-2</v>
      </c>
    </row>
    <row r="74" spans="1:16">
      <c r="A74" t="s">
        <v>246</v>
      </c>
      <c r="B74">
        <v>169</v>
      </c>
      <c r="C74">
        <v>25</v>
      </c>
      <c r="D74">
        <v>125</v>
      </c>
      <c r="E74">
        <v>143</v>
      </c>
      <c r="F74">
        <v>89</v>
      </c>
      <c r="G74">
        <v>137</v>
      </c>
      <c r="H74">
        <v>312.39999999999998</v>
      </c>
      <c r="I74" s="14">
        <v>485.20337160901352</v>
      </c>
      <c r="J74">
        <v>143</v>
      </c>
      <c r="K74">
        <v>73</v>
      </c>
      <c r="L74">
        <v>136</v>
      </c>
      <c r="M74">
        <v>68</v>
      </c>
      <c r="N74" s="143" t="e">
        <v>#DIV/0!</v>
      </c>
      <c r="O74" s="143" t="e">
        <v>#DIV/0!</v>
      </c>
      <c r="P74">
        <v>45</v>
      </c>
    </row>
    <row r="75" spans="1:16">
      <c r="A75" t="s">
        <v>177</v>
      </c>
      <c r="B75">
        <v>204</v>
      </c>
      <c r="C75">
        <v>7</v>
      </c>
      <c r="D75">
        <v>60</v>
      </c>
      <c r="E75">
        <v>104</v>
      </c>
      <c r="F75">
        <v>189</v>
      </c>
      <c r="G75">
        <v>158</v>
      </c>
      <c r="H75">
        <v>313</v>
      </c>
      <c r="I75" s="14">
        <v>490.11593827429397</v>
      </c>
      <c r="J75">
        <v>144</v>
      </c>
      <c r="K75">
        <v>74</v>
      </c>
      <c r="L75">
        <v>139</v>
      </c>
      <c r="M75">
        <v>71</v>
      </c>
      <c r="N75" s="143" t="e">
        <v>#DIV/0!</v>
      </c>
      <c r="O75" s="143" t="e">
        <v>#DIV/0!</v>
      </c>
      <c r="P75">
        <v>-23</v>
      </c>
    </row>
    <row r="76" spans="1:16">
      <c r="A76" t="s">
        <v>130</v>
      </c>
      <c r="B76">
        <v>158</v>
      </c>
      <c r="C76">
        <v>63</v>
      </c>
      <c r="D76">
        <v>53</v>
      </c>
      <c r="E76">
        <v>147</v>
      </c>
      <c r="F76">
        <v>182</v>
      </c>
      <c r="G76">
        <v>133</v>
      </c>
      <c r="H76">
        <v>315.29999999999995</v>
      </c>
      <c r="I76" s="14">
        <v>477.42325178285546</v>
      </c>
      <c r="J76">
        <v>146</v>
      </c>
      <c r="K76">
        <v>75</v>
      </c>
      <c r="L76">
        <v>134</v>
      </c>
      <c r="M76">
        <v>66</v>
      </c>
      <c r="N76" s="143" t="e">
        <v>#DIV/0!</v>
      </c>
      <c r="O76" s="143" t="e">
        <v>#DIV/0!</v>
      </c>
      <c r="P76">
        <v>42</v>
      </c>
    </row>
    <row r="77" spans="1:16">
      <c r="A77" t="s">
        <v>83</v>
      </c>
      <c r="B77">
        <v>61</v>
      </c>
      <c r="C77">
        <v>193</v>
      </c>
      <c r="D77">
        <v>209</v>
      </c>
      <c r="E77">
        <v>145</v>
      </c>
      <c r="F77">
        <v>7</v>
      </c>
      <c r="G77">
        <v>185</v>
      </c>
      <c r="H77">
        <v>316.79999999999995</v>
      </c>
      <c r="I77" s="14">
        <v>578.55964188831501</v>
      </c>
      <c r="J77">
        <v>147</v>
      </c>
      <c r="K77">
        <v>76</v>
      </c>
      <c r="L77">
        <v>175</v>
      </c>
      <c r="M77">
        <v>97</v>
      </c>
      <c r="N77" s="143" t="e">
        <v>#DIV/0!</v>
      </c>
      <c r="O77" s="143" t="e">
        <v>#DIV/0!</v>
      </c>
      <c r="P77">
        <v>-6</v>
      </c>
    </row>
    <row r="78" spans="1:16">
      <c r="A78" t="s">
        <v>56</v>
      </c>
      <c r="B78">
        <v>66</v>
      </c>
      <c r="C78">
        <v>192</v>
      </c>
      <c r="D78">
        <v>115</v>
      </c>
      <c r="E78">
        <v>208</v>
      </c>
      <c r="F78">
        <v>71</v>
      </c>
      <c r="G78">
        <v>174</v>
      </c>
      <c r="H78">
        <v>317.2</v>
      </c>
      <c r="I78" s="14">
        <v>555.68153558962831</v>
      </c>
      <c r="J78">
        <v>148</v>
      </c>
      <c r="K78">
        <v>77</v>
      </c>
      <c r="L78">
        <v>167</v>
      </c>
      <c r="M78">
        <v>91</v>
      </c>
      <c r="N78" s="143" t="e">
        <v>#DIV/0!</v>
      </c>
      <c r="O78" s="143" t="e">
        <v>#DIV/0!</v>
      </c>
      <c r="P78">
        <v>-29</v>
      </c>
    </row>
    <row r="79" spans="1:16">
      <c r="A79" t="s">
        <v>86</v>
      </c>
      <c r="B79">
        <v>94</v>
      </c>
      <c r="C79">
        <v>141</v>
      </c>
      <c r="D79">
        <v>192</v>
      </c>
      <c r="E79">
        <v>124</v>
      </c>
      <c r="F79">
        <v>49</v>
      </c>
      <c r="G79">
        <v>140</v>
      </c>
      <c r="H79">
        <v>319.59999999999997</v>
      </c>
      <c r="I79" s="14">
        <v>523.51405688717387</v>
      </c>
      <c r="J79">
        <v>150</v>
      </c>
      <c r="K79">
        <v>78</v>
      </c>
      <c r="L79">
        <v>152</v>
      </c>
      <c r="M79">
        <v>81</v>
      </c>
      <c r="N79" s="143" t="e">
        <v>#DIV/0!</v>
      </c>
      <c r="O79" s="143" t="e">
        <v>#DIV/0!</v>
      </c>
      <c r="P79">
        <v>-22</v>
      </c>
    </row>
    <row r="80" spans="1:16">
      <c r="A80" t="s">
        <v>24</v>
      </c>
      <c r="B80">
        <v>9</v>
      </c>
      <c r="C80">
        <v>157</v>
      </c>
      <c r="D80">
        <v>177</v>
      </c>
      <c r="E80">
        <v>126</v>
      </c>
      <c r="F80">
        <v>162</v>
      </c>
      <c r="G80">
        <v>122</v>
      </c>
      <c r="H80">
        <v>320.39999999999998</v>
      </c>
      <c r="I80" s="14">
        <v>502.05589227118634</v>
      </c>
      <c r="J80">
        <v>151</v>
      </c>
      <c r="K80">
        <v>79</v>
      </c>
      <c r="L80">
        <v>141</v>
      </c>
      <c r="M80">
        <v>72</v>
      </c>
      <c r="N80" s="143" t="e">
        <v>#DIV/0!</v>
      </c>
      <c r="O80" s="143" t="e">
        <v>#DIV/0!</v>
      </c>
      <c r="P80">
        <v>-43</v>
      </c>
    </row>
    <row r="81" spans="1:16">
      <c r="A81" t="s">
        <v>32</v>
      </c>
      <c r="B81">
        <v>85</v>
      </c>
      <c r="C81">
        <v>167</v>
      </c>
      <c r="D81">
        <v>99</v>
      </c>
      <c r="E81">
        <v>138</v>
      </c>
      <c r="F81">
        <v>165</v>
      </c>
      <c r="G81">
        <v>147</v>
      </c>
      <c r="H81">
        <v>321.89999999999998</v>
      </c>
      <c r="I81" s="14">
        <v>520.94955311016781</v>
      </c>
      <c r="J81">
        <v>152</v>
      </c>
      <c r="K81">
        <v>80</v>
      </c>
      <c r="L81">
        <v>150</v>
      </c>
      <c r="M81">
        <v>79</v>
      </c>
      <c r="N81" s="143" t="e">
        <v>#DIV/0!</v>
      </c>
      <c r="O81" s="143" t="e">
        <v>#DIV/0!</v>
      </c>
      <c r="P81">
        <v>-77</v>
      </c>
    </row>
    <row r="82" spans="1:16">
      <c r="A82" t="s">
        <v>175</v>
      </c>
      <c r="B82">
        <v>168</v>
      </c>
      <c r="C82">
        <v>18</v>
      </c>
      <c r="D82">
        <v>168</v>
      </c>
      <c r="E82">
        <v>120</v>
      </c>
      <c r="F82">
        <v>80</v>
      </c>
      <c r="G82">
        <v>124</v>
      </c>
      <c r="H82">
        <v>323.8</v>
      </c>
      <c r="I82" s="14">
        <v>487.90384800684143</v>
      </c>
      <c r="J82">
        <v>153</v>
      </c>
      <c r="K82">
        <v>81</v>
      </c>
      <c r="L82">
        <v>138</v>
      </c>
      <c r="M82">
        <v>70</v>
      </c>
      <c r="N82" s="143" t="e">
        <v>#DIV/0!</v>
      </c>
      <c r="O82" s="143" t="e">
        <v>#DIV/0!</v>
      </c>
      <c r="P82">
        <v>39</v>
      </c>
    </row>
    <row r="83" spans="1:16">
      <c r="A83" t="s">
        <v>222</v>
      </c>
      <c r="B83">
        <v>153</v>
      </c>
      <c r="C83">
        <v>99</v>
      </c>
      <c r="D83">
        <v>114</v>
      </c>
      <c r="E83">
        <v>40</v>
      </c>
      <c r="F83">
        <v>208</v>
      </c>
      <c r="G83">
        <v>192</v>
      </c>
      <c r="H83">
        <v>325.3</v>
      </c>
      <c r="I83" s="14">
        <v>555.10869076107542</v>
      </c>
      <c r="J83">
        <v>155</v>
      </c>
      <c r="K83">
        <v>82</v>
      </c>
      <c r="L83">
        <v>166</v>
      </c>
      <c r="M83">
        <v>90</v>
      </c>
      <c r="N83" s="143" t="e">
        <v>#DIV/0!</v>
      </c>
      <c r="O83" s="143" t="e">
        <v>#DIV/0!</v>
      </c>
      <c r="P83">
        <v>-65</v>
      </c>
    </row>
    <row r="84" spans="1:16">
      <c r="A84" t="s">
        <v>243</v>
      </c>
      <c r="B84">
        <v>122</v>
      </c>
      <c r="C84">
        <v>144</v>
      </c>
      <c r="D84">
        <v>181</v>
      </c>
      <c r="E84">
        <v>24</v>
      </c>
      <c r="F84">
        <v>142</v>
      </c>
      <c r="G84">
        <v>141</v>
      </c>
      <c r="H84">
        <v>326.10000000000002</v>
      </c>
      <c r="I84" s="14">
        <v>522.70038560614535</v>
      </c>
      <c r="J84">
        <v>157</v>
      </c>
      <c r="K84">
        <v>83</v>
      </c>
      <c r="L84">
        <v>151</v>
      </c>
      <c r="M84">
        <v>80</v>
      </c>
      <c r="N84" s="143" t="e">
        <v>#DIV/0!</v>
      </c>
      <c r="O84" s="143" t="e">
        <v>#DIV/0!</v>
      </c>
      <c r="P84">
        <v>31</v>
      </c>
    </row>
    <row r="85" spans="1:16">
      <c r="A85" t="s">
        <v>100</v>
      </c>
      <c r="B85">
        <v>154</v>
      </c>
      <c r="C85">
        <v>148</v>
      </c>
      <c r="D85">
        <v>94</v>
      </c>
      <c r="E85">
        <v>102</v>
      </c>
      <c r="F85">
        <v>147</v>
      </c>
      <c r="G85">
        <v>139</v>
      </c>
      <c r="H85">
        <v>327.09999999999997</v>
      </c>
      <c r="I85" s="14">
        <v>514.29051013839762</v>
      </c>
      <c r="J85">
        <v>159</v>
      </c>
      <c r="K85">
        <v>84</v>
      </c>
      <c r="L85">
        <v>148</v>
      </c>
      <c r="M85">
        <v>77</v>
      </c>
      <c r="N85" s="143" t="e">
        <v>#DIV/0!</v>
      </c>
      <c r="O85" s="143" t="e">
        <v>#DIV/0!</v>
      </c>
      <c r="P85">
        <v>-24</v>
      </c>
    </row>
    <row r="86" spans="1:16">
      <c r="A86" t="s">
        <v>174</v>
      </c>
      <c r="B86">
        <v>139</v>
      </c>
      <c r="C86">
        <v>93</v>
      </c>
      <c r="D86">
        <v>173</v>
      </c>
      <c r="E86">
        <v>153</v>
      </c>
      <c r="F86">
        <v>37</v>
      </c>
      <c r="G86">
        <v>160</v>
      </c>
      <c r="H86">
        <v>327.39999999999998</v>
      </c>
      <c r="I86" s="14">
        <v>543.32182815272654</v>
      </c>
      <c r="J86">
        <v>160</v>
      </c>
      <c r="K86">
        <v>85</v>
      </c>
      <c r="L86">
        <v>164</v>
      </c>
      <c r="M86">
        <v>89</v>
      </c>
      <c r="N86" s="143" t="e">
        <v>#DIV/0!</v>
      </c>
      <c r="O86" s="143" t="e">
        <v>#DIV/0!</v>
      </c>
      <c r="P86">
        <v>-31</v>
      </c>
    </row>
    <row r="87" spans="1:16">
      <c r="A87" t="s">
        <v>153</v>
      </c>
      <c r="B87">
        <v>128</v>
      </c>
      <c r="C87">
        <v>145</v>
      </c>
      <c r="D87">
        <v>64</v>
      </c>
      <c r="E87">
        <v>196</v>
      </c>
      <c r="F87">
        <v>132</v>
      </c>
      <c r="G87">
        <v>125</v>
      </c>
      <c r="H87">
        <v>329.1</v>
      </c>
      <c r="I87" s="14">
        <v>502.27887185810869</v>
      </c>
      <c r="J87">
        <v>162</v>
      </c>
      <c r="K87">
        <v>86</v>
      </c>
      <c r="L87">
        <v>142</v>
      </c>
      <c r="M87">
        <v>73</v>
      </c>
      <c r="N87" s="143" t="e">
        <v>#DIV/0!</v>
      </c>
      <c r="O87" s="143" t="e">
        <v>#DIV/0!</v>
      </c>
      <c r="P87">
        <v>36</v>
      </c>
    </row>
    <row r="88" spans="1:16">
      <c r="A88" t="s">
        <v>412</v>
      </c>
      <c r="B88">
        <v>92</v>
      </c>
      <c r="C88">
        <v>186</v>
      </c>
      <c r="D88">
        <v>123</v>
      </c>
      <c r="E88">
        <v>157</v>
      </c>
      <c r="F88">
        <v>108</v>
      </c>
      <c r="G88">
        <v>171</v>
      </c>
      <c r="H88">
        <v>329.6</v>
      </c>
      <c r="I88" s="14">
        <v>562.22933779390053</v>
      </c>
      <c r="J88">
        <v>163</v>
      </c>
      <c r="K88">
        <v>87</v>
      </c>
      <c r="L88">
        <v>170</v>
      </c>
      <c r="M88">
        <v>94</v>
      </c>
      <c r="N88" s="143" t="e">
        <v>#DIV/0!</v>
      </c>
      <c r="O88" s="143" t="e">
        <v>#DIV/0!</v>
      </c>
      <c r="P88">
        <v>-39</v>
      </c>
    </row>
    <row r="89" spans="1:16">
      <c r="A89" t="s">
        <v>405</v>
      </c>
      <c r="B89">
        <v>35</v>
      </c>
      <c r="C89">
        <v>185</v>
      </c>
      <c r="D89">
        <v>186</v>
      </c>
      <c r="E89">
        <v>173</v>
      </c>
      <c r="F89">
        <v>77</v>
      </c>
      <c r="G89">
        <v>154</v>
      </c>
      <c r="H89">
        <v>331.7</v>
      </c>
      <c r="I89" s="14">
        <v>556.96424532342849</v>
      </c>
      <c r="J89">
        <v>164</v>
      </c>
      <c r="K89">
        <v>88</v>
      </c>
      <c r="L89">
        <v>168</v>
      </c>
      <c r="M89">
        <v>92</v>
      </c>
      <c r="N89" s="143" t="e">
        <v>#DIV/0!</v>
      </c>
      <c r="O89" s="143" t="e">
        <v>#DIV/0!</v>
      </c>
      <c r="P89">
        <v>32</v>
      </c>
    </row>
    <row r="90" spans="1:16">
      <c r="A90" t="s">
        <v>169</v>
      </c>
      <c r="B90">
        <v>190</v>
      </c>
      <c r="C90">
        <v>57</v>
      </c>
      <c r="D90">
        <v>142</v>
      </c>
      <c r="E90">
        <v>125</v>
      </c>
      <c r="F90">
        <v>79</v>
      </c>
      <c r="G90">
        <v>142</v>
      </c>
      <c r="H90">
        <v>332.5</v>
      </c>
      <c r="I90" s="14">
        <v>518.26325871737549</v>
      </c>
      <c r="J90">
        <v>165</v>
      </c>
      <c r="K90">
        <v>89</v>
      </c>
      <c r="L90">
        <v>149</v>
      </c>
      <c r="M90">
        <v>78</v>
      </c>
      <c r="N90" s="143" t="e">
        <v>#DIV/0!</v>
      </c>
      <c r="O90" s="143" t="e">
        <v>#DIV/0!</v>
      </c>
      <c r="P90">
        <v>0</v>
      </c>
    </row>
    <row r="91" spans="1:16">
      <c r="A91" t="s">
        <v>398</v>
      </c>
      <c r="B91">
        <v>12</v>
      </c>
      <c r="C91">
        <v>208</v>
      </c>
      <c r="D91">
        <v>195</v>
      </c>
      <c r="E91">
        <v>101</v>
      </c>
      <c r="F91">
        <v>155</v>
      </c>
      <c r="G91">
        <v>179</v>
      </c>
      <c r="H91">
        <v>334.1</v>
      </c>
      <c r="I91" s="14">
        <v>583.15602870009354</v>
      </c>
      <c r="J91">
        <v>166</v>
      </c>
      <c r="K91">
        <v>90</v>
      </c>
      <c r="L91">
        <v>177</v>
      </c>
      <c r="M91">
        <v>99</v>
      </c>
      <c r="N91" s="143" t="e">
        <v>#DIV/0!</v>
      </c>
      <c r="O91" s="143" t="e">
        <v>#DIV/0!</v>
      </c>
      <c r="P91">
        <v>-2</v>
      </c>
    </row>
    <row r="92" spans="1:16">
      <c r="A92" t="s">
        <v>385</v>
      </c>
      <c r="B92">
        <v>202</v>
      </c>
      <c r="C92">
        <v>32</v>
      </c>
      <c r="D92">
        <v>71</v>
      </c>
      <c r="E92">
        <v>199</v>
      </c>
      <c r="F92">
        <v>109</v>
      </c>
      <c r="G92">
        <v>167</v>
      </c>
      <c r="H92">
        <v>334.5</v>
      </c>
      <c r="I92" s="14">
        <v>533.99222340945914</v>
      </c>
      <c r="J92">
        <v>167</v>
      </c>
      <c r="K92">
        <v>91</v>
      </c>
      <c r="L92">
        <v>159</v>
      </c>
      <c r="M92">
        <v>84</v>
      </c>
      <c r="N92" s="143" t="e">
        <v>#DIV/0!</v>
      </c>
      <c r="O92" s="143" t="e">
        <v>#DIV/0!</v>
      </c>
      <c r="P92">
        <v>28</v>
      </c>
    </row>
    <row r="93" spans="1:16">
      <c r="A93" t="s">
        <v>157</v>
      </c>
      <c r="B93">
        <v>164</v>
      </c>
      <c r="C93">
        <v>106</v>
      </c>
      <c r="D93">
        <v>70</v>
      </c>
      <c r="E93">
        <v>141</v>
      </c>
      <c r="F93">
        <v>170</v>
      </c>
      <c r="G93">
        <v>168</v>
      </c>
      <c r="H93">
        <v>334.7</v>
      </c>
      <c r="I93" s="14">
        <v>542.0163264503251</v>
      </c>
      <c r="J93">
        <v>168</v>
      </c>
      <c r="K93">
        <v>92</v>
      </c>
      <c r="L93">
        <v>163</v>
      </c>
      <c r="M93">
        <v>88</v>
      </c>
      <c r="N93" s="143" t="e">
        <v>#DIV/0!</v>
      </c>
      <c r="O93" s="143" t="e">
        <v>#DIV/0!</v>
      </c>
      <c r="P93">
        <v>-18</v>
      </c>
    </row>
    <row r="94" spans="1:16">
      <c r="A94" t="s">
        <v>50</v>
      </c>
      <c r="B94">
        <v>28</v>
      </c>
      <c r="C94">
        <v>210</v>
      </c>
      <c r="D94">
        <v>182</v>
      </c>
      <c r="E94">
        <v>76</v>
      </c>
      <c r="F94">
        <v>181</v>
      </c>
      <c r="G94">
        <v>191</v>
      </c>
      <c r="H94">
        <v>335.7</v>
      </c>
      <c r="I94" s="14">
        <v>593.49465180809966</v>
      </c>
      <c r="J94">
        <v>170</v>
      </c>
      <c r="K94">
        <v>93</v>
      </c>
      <c r="L94">
        <v>180</v>
      </c>
      <c r="M94">
        <v>101</v>
      </c>
      <c r="N94" s="143" t="e">
        <v>#DIV/0!</v>
      </c>
      <c r="O94" s="143" t="e">
        <v>#DIV/0!</v>
      </c>
      <c r="P94">
        <v>-30</v>
      </c>
    </row>
    <row r="95" spans="1:16">
      <c r="A95" t="s">
        <v>393</v>
      </c>
      <c r="B95">
        <v>131</v>
      </c>
      <c r="C95">
        <v>131</v>
      </c>
      <c r="D95">
        <v>141</v>
      </c>
      <c r="E95">
        <v>113</v>
      </c>
      <c r="F95">
        <v>126</v>
      </c>
      <c r="G95">
        <v>135</v>
      </c>
      <c r="H95">
        <v>336.09999999999997</v>
      </c>
      <c r="I95" s="14">
        <v>524.13308078022123</v>
      </c>
      <c r="J95">
        <v>171</v>
      </c>
      <c r="K95">
        <v>94</v>
      </c>
      <c r="L95">
        <v>154</v>
      </c>
      <c r="M95">
        <v>82</v>
      </c>
      <c r="N95" s="143" t="e">
        <v>#DIV/0!</v>
      </c>
      <c r="O95" s="143" t="e">
        <v>#DIV/0!</v>
      </c>
      <c r="P95">
        <v>-34</v>
      </c>
    </row>
    <row r="96" spans="1:16">
      <c r="A96" t="s">
        <v>148</v>
      </c>
      <c r="B96">
        <v>186</v>
      </c>
      <c r="C96">
        <v>34</v>
      </c>
      <c r="D96">
        <v>67</v>
      </c>
      <c r="E96">
        <v>178</v>
      </c>
      <c r="F96">
        <v>157</v>
      </c>
      <c r="G96">
        <v>175</v>
      </c>
      <c r="H96">
        <v>336.2</v>
      </c>
      <c r="I96" s="14">
        <v>540.69545655385002</v>
      </c>
      <c r="J96">
        <v>172</v>
      </c>
      <c r="K96">
        <v>95</v>
      </c>
      <c r="L96">
        <v>162</v>
      </c>
      <c r="M96">
        <v>87</v>
      </c>
      <c r="N96" s="143" t="e">
        <v>#DIV/0!</v>
      </c>
      <c r="O96" s="143" t="e">
        <v>#DIV/0!</v>
      </c>
      <c r="P96">
        <v>-72</v>
      </c>
    </row>
    <row r="97" spans="1:16">
      <c r="A97" t="s">
        <v>189</v>
      </c>
      <c r="B97">
        <v>193</v>
      </c>
      <c r="C97">
        <v>62</v>
      </c>
      <c r="D97">
        <v>158</v>
      </c>
      <c r="E97">
        <v>23</v>
      </c>
      <c r="F97">
        <v>168</v>
      </c>
      <c r="G97">
        <v>159</v>
      </c>
      <c r="H97">
        <v>340.5</v>
      </c>
      <c r="I97" s="14">
        <v>538.75966121547776</v>
      </c>
      <c r="J97">
        <v>173</v>
      </c>
      <c r="K97">
        <v>96</v>
      </c>
      <c r="L97">
        <v>161</v>
      </c>
      <c r="M97">
        <v>86</v>
      </c>
      <c r="N97" s="143" t="e">
        <v>#DIV/0!</v>
      </c>
      <c r="O97" s="143" t="e">
        <v>#DIV/0!</v>
      </c>
      <c r="P97">
        <v>1</v>
      </c>
    </row>
    <row r="98" spans="1:16">
      <c r="A98" t="s">
        <v>394</v>
      </c>
      <c r="B98">
        <v>130</v>
      </c>
      <c r="C98">
        <v>95</v>
      </c>
      <c r="D98">
        <v>202</v>
      </c>
      <c r="E98">
        <v>78</v>
      </c>
      <c r="F98">
        <v>116</v>
      </c>
      <c r="G98">
        <v>135</v>
      </c>
      <c r="H98">
        <v>344.9</v>
      </c>
      <c r="I98" s="14">
        <v>534.32047645306943</v>
      </c>
      <c r="J98">
        <v>175</v>
      </c>
      <c r="K98">
        <v>97</v>
      </c>
      <c r="L98">
        <v>160</v>
      </c>
      <c r="M98">
        <v>85</v>
      </c>
      <c r="N98" s="143" t="e">
        <v>#DIV/0!</v>
      </c>
      <c r="O98" s="143" t="e">
        <v>#DIV/0!</v>
      </c>
      <c r="P98">
        <v>36</v>
      </c>
    </row>
    <row r="99" spans="1:16">
      <c r="A99" t="s">
        <v>170</v>
      </c>
      <c r="B99">
        <v>206</v>
      </c>
      <c r="C99">
        <v>94</v>
      </c>
      <c r="D99">
        <v>189</v>
      </c>
      <c r="E99">
        <v>66</v>
      </c>
      <c r="F99">
        <v>63</v>
      </c>
      <c r="G99">
        <v>155</v>
      </c>
      <c r="H99">
        <v>348.59999999999997</v>
      </c>
      <c r="I99" s="14">
        <v>558.39782383439092</v>
      </c>
      <c r="J99">
        <v>176</v>
      </c>
      <c r="K99">
        <v>98</v>
      </c>
      <c r="L99">
        <v>169</v>
      </c>
      <c r="M99">
        <v>93</v>
      </c>
      <c r="N99" s="143" t="e">
        <v>#DIV/0!</v>
      </c>
      <c r="O99" s="143" t="e">
        <v>#DIV/0!</v>
      </c>
      <c r="P99">
        <v>-25</v>
      </c>
    </row>
    <row r="100" spans="1:16">
      <c r="A100" t="s">
        <v>147</v>
      </c>
      <c r="B100">
        <v>151</v>
      </c>
      <c r="C100">
        <v>119</v>
      </c>
      <c r="D100">
        <v>51</v>
      </c>
      <c r="E100">
        <v>168</v>
      </c>
      <c r="F100">
        <v>206</v>
      </c>
      <c r="G100">
        <v>210</v>
      </c>
      <c r="H100">
        <v>349</v>
      </c>
      <c r="I100" s="14">
        <v>598.10794194212303</v>
      </c>
      <c r="J100">
        <v>177</v>
      </c>
      <c r="K100">
        <v>99</v>
      </c>
      <c r="L100">
        <v>181</v>
      </c>
      <c r="M100">
        <v>102</v>
      </c>
      <c r="N100" s="143" t="e">
        <v>#DIV/0!</v>
      </c>
      <c r="O100" s="143" t="e">
        <v>#DIV/0!</v>
      </c>
      <c r="P100">
        <v>6</v>
      </c>
    </row>
    <row r="101" spans="1:16">
      <c r="A101" t="s">
        <v>419</v>
      </c>
      <c r="B101">
        <v>189</v>
      </c>
      <c r="C101">
        <v>124</v>
      </c>
      <c r="D101">
        <v>101</v>
      </c>
      <c r="E101">
        <v>129</v>
      </c>
      <c r="F101">
        <v>133</v>
      </c>
      <c r="G101">
        <v>187</v>
      </c>
      <c r="H101">
        <v>352.29999999999995</v>
      </c>
      <c r="I101" s="14">
        <v>587.37299642358289</v>
      </c>
      <c r="J101">
        <v>179</v>
      </c>
      <c r="K101">
        <v>100</v>
      </c>
      <c r="L101">
        <v>179</v>
      </c>
      <c r="M101">
        <v>100</v>
      </c>
      <c r="N101" s="143" t="e">
        <v>#DIV/0!</v>
      </c>
      <c r="O101" s="143" t="e">
        <v>#DIV/0!</v>
      </c>
      <c r="P101">
        <v>-4</v>
      </c>
    </row>
    <row r="102" spans="1:16">
      <c r="A102" t="s">
        <v>407</v>
      </c>
      <c r="B102">
        <v>57</v>
      </c>
      <c r="C102">
        <v>108</v>
      </c>
      <c r="D102">
        <v>157</v>
      </c>
      <c r="E102">
        <v>212</v>
      </c>
      <c r="F102">
        <v>142</v>
      </c>
      <c r="G102">
        <v>171</v>
      </c>
      <c r="H102">
        <v>353.5</v>
      </c>
      <c r="I102" s="14">
        <v>579.53061688342518</v>
      </c>
      <c r="J102">
        <v>180</v>
      </c>
      <c r="K102">
        <v>101</v>
      </c>
      <c r="L102">
        <v>176</v>
      </c>
      <c r="M102">
        <v>98</v>
      </c>
      <c r="N102" s="143" t="e">
        <v>#DIV/0!</v>
      </c>
      <c r="O102" s="143" t="e">
        <v>#DIV/0!</v>
      </c>
      <c r="P102">
        <v>-17</v>
      </c>
    </row>
    <row r="103" spans="1:16">
      <c r="A103" t="s">
        <v>126</v>
      </c>
      <c r="B103">
        <v>99</v>
      </c>
      <c r="C103">
        <v>109</v>
      </c>
      <c r="D103">
        <v>196</v>
      </c>
      <c r="E103">
        <v>82</v>
      </c>
      <c r="F103">
        <v>176</v>
      </c>
      <c r="G103">
        <v>153</v>
      </c>
      <c r="H103">
        <v>358.29999999999995</v>
      </c>
      <c r="I103" s="14">
        <v>565.31854150454467</v>
      </c>
      <c r="J103">
        <v>183</v>
      </c>
      <c r="K103">
        <v>102</v>
      </c>
      <c r="L103">
        <v>171</v>
      </c>
      <c r="M103">
        <v>95</v>
      </c>
      <c r="N103" s="143" t="e">
        <v>#DIV/0!</v>
      </c>
      <c r="O103" s="143" t="e">
        <v>#DIV/0!</v>
      </c>
      <c r="P103">
        <v>-7</v>
      </c>
    </row>
    <row r="104" spans="1:16">
      <c r="A104" t="s">
        <v>8</v>
      </c>
      <c r="B104">
        <v>1</v>
      </c>
      <c r="C104">
        <v>202</v>
      </c>
      <c r="D104">
        <v>188</v>
      </c>
      <c r="E104">
        <v>182</v>
      </c>
      <c r="F104">
        <v>153</v>
      </c>
      <c r="G104">
        <v>166</v>
      </c>
      <c r="H104">
        <v>360.29999999999995</v>
      </c>
      <c r="I104" s="14">
        <v>598.82889360393062</v>
      </c>
      <c r="J104">
        <v>185.5</v>
      </c>
      <c r="K104">
        <v>103</v>
      </c>
      <c r="L104">
        <v>183</v>
      </c>
      <c r="M104">
        <v>103</v>
      </c>
      <c r="N104" s="143" t="e">
        <v>#DIV/0!</v>
      </c>
      <c r="O104" s="143" t="e">
        <v>#DIV/0!</v>
      </c>
      <c r="P104">
        <v>-40</v>
      </c>
    </row>
    <row r="105" spans="1:16">
      <c r="A105" t="s">
        <v>106</v>
      </c>
      <c r="B105">
        <v>75</v>
      </c>
      <c r="C105">
        <v>183</v>
      </c>
      <c r="D105">
        <v>197</v>
      </c>
      <c r="E105">
        <v>204</v>
      </c>
      <c r="F105">
        <v>41</v>
      </c>
      <c r="G105">
        <v>200</v>
      </c>
      <c r="H105">
        <v>360.29999999999995</v>
      </c>
      <c r="I105" s="14">
        <v>636.73016657376888</v>
      </c>
      <c r="J105">
        <v>185.5</v>
      </c>
      <c r="K105">
        <v>104</v>
      </c>
      <c r="L105">
        <v>197</v>
      </c>
      <c r="M105">
        <v>111</v>
      </c>
      <c r="N105" s="143" t="e">
        <v>#DIV/0!</v>
      </c>
      <c r="O105" s="143" t="e">
        <v>#DIV/0!</v>
      </c>
      <c r="P105">
        <v>-10</v>
      </c>
    </row>
    <row r="106" spans="1:16">
      <c r="A106" t="s">
        <v>84</v>
      </c>
      <c r="B106">
        <v>27</v>
      </c>
      <c r="C106">
        <v>205</v>
      </c>
      <c r="D106">
        <v>171</v>
      </c>
      <c r="E106">
        <v>162</v>
      </c>
      <c r="F106">
        <v>170</v>
      </c>
      <c r="G106">
        <v>205</v>
      </c>
      <c r="H106">
        <v>363.4</v>
      </c>
      <c r="I106" s="14">
        <v>637.99297248072742</v>
      </c>
      <c r="J106">
        <v>188</v>
      </c>
      <c r="K106">
        <v>105</v>
      </c>
      <c r="L106">
        <v>198</v>
      </c>
      <c r="M106">
        <v>112</v>
      </c>
      <c r="N106" s="143" t="e">
        <v>#DIV/0!</v>
      </c>
      <c r="O106" s="143" t="e">
        <v>#DIV/0!</v>
      </c>
      <c r="P106">
        <v>-2</v>
      </c>
    </row>
    <row r="107" spans="1:16">
      <c r="A107" t="s">
        <v>223</v>
      </c>
      <c r="B107">
        <v>105</v>
      </c>
      <c r="C107">
        <v>196</v>
      </c>
      <c r="D107">
        <v>191</v>
      </c>
      <c r="E107">
        <v>169</v>
      </c>
      <c r="F107">
        <v>60</v>
      </c>
      <c r="G107">
        <v>163</v>
      </c>
      <c r="H107">
        <v>370</v>
      </c>
      <c r="I107" s="14">
        <v>609.12848577404407</v>
      </c>
      <c r="J107">
        <v>190</v>
      </c>
      <c r="K107">
        <v>106</v>
      </c>
      <c r="L107">
        <v>187</v>
      </c>
      <c r="M107">
        <v>106</v>
      </c>
      <c r="N107" s="143" t="e">
        <v>#DIV/0!</v>
      </c>
      <c r="O107" s="143" t="e">
        <v>#DIV/0!</v>
      </c>
      <c r="P107">
        <v>-8</v>
      </c>
    </row>
    <row r="108" spans="1:16">
      <c r="A108" t="s">
        <v>247</v>
      </c>
      <c r="B108">
        <v>177</v>
      </c>
      <c r="C108">
        <v>86</v>
      </c>
      <c r="D108">
        <v>169</v>
      </c>
      <c r="E108">
        <v>136</v>
      </c>
      <c r="F108">
        <v>106</v>
      </c>
      <c r="G108">
        <v>182</v>
      </c>
      <c r="H108">
        <v>371.3</v>
      </c>
      <c r="I108" s="14">
        <v>606.07244908458426</v>
      </c>
      <c r="J108">
        <v>191</v>
      </c>
      <c r="K108">
        <v>107</v>
      </c>
      <c r="L108">
        <v>185</v>
      </c>
      <c r="M108">
        <v>105</v>
      </c>
      <c r="N108" s="143" t="e">
        <v>#DIV/0!</v>
      </c>
      <c r="O108" s="143" t="e">
        <v>#DIV/0!</v>
      </c>
      <c r="P108">
        <v>-18</v>
      </c>
    </row>
    <row r="109" spans="1:16">
      <c r="A109" t="s">
        <v>82</v>
      </c>
      <c r="B109">
        <v>64</v>
      </c>
      <c r="C109">
        <v>154</v>
      </c>
      <c r="D109">
        <v>176</v>
      </c>
      <c r="E109">
        <v>159</v>
      </c>
      <c r="F109">
        <v>173</v>
      </c>
      <c r="G109">
        <v>211</v>
      </c>
      <c r="H109">
        <v>373.79999999999995</v>
      </c>
      <c r="I109" s="14">
        <v>647.1738896013926</v>
      </c>
      <c r="J109">
        <v>192</v>
      </c>
      <c r="K109">
        <v>108</v>
      </c>
      <c r="L109">
        <v>201</v>
      </c>
      <c r="M109">
        <v>115</v>
      </c>
      <c r="N109" s="143" t="e">
        <v>#DIV/0!</v>
      </c>
      <c r="O109" s="143" t="e">
        <v>#DIV/0!</v>
      </c>
      <c r="P109">
        <v>-23</v>
      </c>
    </row>
    <row r="110" spans="1:16">
      <c r="A110" t="s">
        <v>403</v>
      </c>
      <c r="B110">
        <v>35</v>
      </c>
      <c r="C110">
        <v>166</v>
      </c>
      <c r="D110">
        <v>183</v>
      </c>
      <c r="E110">
        <v>160</v>
      </c>
      <c r="F110">
        <v>193</v>
      </c>
      <c r="G110">
        <v>201</v>
      </c>
      <c r="H110">
        <v>375.4</v>
      </c>
      <c r="I110" s="14">
        <v>640.75545190830621</v>
      </c>
      <c r="J110">
        <v>193</v>
      </c>
      <c r="K110">
        <v>109</v>
      </c>
      <c r="L110">
        <v>199</v>
      </c>
      <c r="M110">
        <v>113</v>
      </c>
      <c r="N110" s="143" t="e">
        <v>#DIV/0!</v>
      </c>
      <c r="O110" s="143" t="e">
        <v>#DIV/0!</v>
      </c>
      <c r="P110">
        <v>-4</v>
      </c>
    </row>
    <row r="111" spans="1:16">
      <c r="A111" t="s">
        <v>36</v>
      </c>
      <c r="B111">
        <v>68</v>
      </c>
      <c r="C111">
        <v>151</v>
      </c>
      <c r="D111">
        <v>152</v>
      </c>
      <c r="E111">
        <v>203</v>
      </c>
      <c r="F111">
        <v>167</v>
      </c>
      <c r="G111">
        <v>164</v>
      </c>
      <c r="H111">
        <v>377.5</v>
      </c>
      <c r="I111" s="14">
        <v>602.48408600237099</v>
      </c>
      <c r="J111">
        <v>194</v>
      </c>
      <c r="K111">
        <v>110</v>
      </c>
      <c r="L111">
        <v>184</v>
      </c>
      <c r="M111">
        <v>104</v>
      </c>
      <c r="N111" s="143" t="e">
        <v>#DIV/0!</v>
      </c>
      <c r="O111" s="143" t="e">
        <v>#DIV/0!</v>
      </c>
      <c r="P111">
        <v>-26</v>
      </c>
    </row>
    <row r="112" spans="1:16">
      <c r="A112" t="s">
        <v>221</v>
      </c>
      <c r="B112">
        <v>165</v>
      </c>
      <c r="C112">
        <v>13</v>
      </c>
      <c r="D112">
        <v>110</v>
      </c>
      <c r="E112">
        <v>186</v>
      </c>
      <c r="F112">
        <v>212</v>
      </c>
      <c r="G112">
        <v>204</v>
      </c>
      <c r="H112">
        <v>378.9</v>
      </c>
      <c r="I112" s="14">
        <v>614.25144138900282</v>
      </c>
      <c r="J112">
        <v>195</v>
      </c>
      <c r="K112">
        <v>111</v>
      </c>
      <c r="L112">
        <v>190</v>
      </c>
      <c r="M112">
        <v>107</v>
      </c>
      <c r="N112" s="143" t="e">
        <v>#DIV/0!</v>
      </c>
      <c r="O112" s="143" t="e">
        <v>#DIV/0!</v>
      </c>
      <c r="P112">
        <v>-4</v>
      </c>
    </row>
    <row r="113" spans="1:16">
      <c r="A113" t="s">
        <v>186</v>
      </c>
      <c r="B113">
        <v>198</v>
      </c>
      <c r="C113">
        <v>8</v>
      </c>
      <c r="D113">
        <v>204</v>
      </c>
      <c r="E113">
        <v>111</v>
      </c>
      <c r="F113">
        <v>121</v>
      </c>
      <c r="G113">
        <v>197</v>
      </c>
      <c r="H113">
        <v>380</v>
      </c>
      <c r="I113" s="14">
        <v>620.53155361511597</v>
      </c>
      <c r="J113">
        <v>196</v>
      </c>
      <c r="K113">
        <v>112</v>
      </c>
      <c r="L113">
        <v>194</v>
      </c>
      <c r="M113">
        <v>109</v>
      </c>
      <c r="N113" s="143" t="e">
        <v>#DIV/0!</v>
      </c>
      <c r="O113" s="143" t="e">
        <v>#DIV/0!</v>
      </c>
      <c r="P113">
        <v>-29</v>
      </c>
    </row>
    <row r="114" spans="1:16">
      <c r="A114" t="s">
        <v>94</v>
      </c>
      <c r="B114">
        <v>163</v>
      </c>
      <c r="C114">
        <v>140</v>
      </c>
      <c r="D114">
        <v>174</v>
      </c>
      <c r="E114">
        <v>148</v>
      </c>
      <c r="F114">
        <v>98</v>
      </c>
      <c r="G114">
        <v>188</v>
      </c>
      <c r="H114">
        <v>384.6</v>
      </c>
      <c r="I114" s="14">
        <v>636.0075303705421</v>
      </c>
      <c r="J114">
        <v>198</v>
      </c>
      <c r="K114">
        <v>113</v>
      </c>
      <c r="L114">
        <v>196</v>
      </c>
      <c r="M114">
        <v>110</v>
      </c>
      <c r="N114" s="143" t="e">
        <v>#DIV/0!</v>
      </c>
      <c r="O114" s="143" t="e">
        <v>#DIV/0!</v>
      </c>
      <c r="P114">
        <v>19</v>
      </c>
    </row>
    <row r="115" spans="1:16">
      <c r="A115" t="s">
        <v>168</v>
      </c>
      <c r="B115">
        <v>170</v>
      </c>
      <c r="C115">
        <v>6</v>
      </c>
      <c r="D115">
        <v>155</v>
      </c>
      <c r="E115">
        <v>183</v>
      </c>
      <c r="F115">
        <v>175</v>
      </c>
      <c r="G115">
        <v>186</v>
      </c>
      <c r="H115">
        <v>391.3</v>
      </c>
      <c r="I115" s="14">
        <v>615.22047904090459</v>
      </c>
      <c r="J115">
        <v>200</v>
      </c>
      <c r="K115">
        <v>114</v>
      </c>
      <c r="L115">
        <v>191</v>
      </c>
      <c r="M115">
        <v>108</v>
      </c>
      <c r="N115" s="143" t="e">
        <v>#DIV/0!</v>
      </c>
      <c r="O115" s="143" t="e">
        <v>#DIV/0!</v>
      </c>
      <c r="P115">
        <v>-19</v>
      </c>
    </row>
    <row r="116" spans="1:16">
      <c r="A116" t="s">
        <v>415</v>
      </c>
      <c r="B116">
        <v>140</v>
      </c>
      <c r="C116">
        <v>137</v>
      </c>
      <c r="D116">
        <v>167</v>
      </c>
      <c r="E116">
        <v>155</v>
      </c>
      <c r="F116">
        <v>148</v>
      </c>
      <c r="G116">
        <v>190</v>
      </c>
      <c r="H116">
        <v>393.5</v>
      </c>
      <c r="I116" s="14">
        <v>644.01749352586626</v>
      </c>
      <c r="J116">
        <v>201</v>
      </c>
      <c r="K116">
        <v>115</v>
      </c>
      <c r="L116">
        <v>200</v>
      </c>
      <c r="M116">
        <v>114</v>
      </c>
      <c r="N116" s="143" t="e">
        <v>#DIV/0!</v>
      </c>
      <c r="O116" s="143" t="e">
        <v>#DIV/0!</v>
      </c>
      <c r="P116">
        <v>2</v>
      </c>
    </row>
    <row r="117" spans="1:16">
      <c r="A117" t="s">
        <v>61</v>
      </c>
      <c r="B117">
        <v>116</v>
      </c>
      <c r="C117">
        <v>153</v>
      </c>
      <c r="D117">
        <v>113</v>
      </c>
      <c r="E117">
        <v>205</v>
      </c>
      <c r="F117">
        <v>202</v>
      </c>
      <c r="G117">
        <v>208</v>
      </c>
      <c r="H117">
        <v>398.1</v>
      </c>
      <c r="I117" s="14">
        <v>662.13388973185761</v>
      </c>
      <c r="J117">
        <v>202</v>
      </c>
      <c r="K117">
        <v>116</v>
      </c>
      <c r="L117">
        <v>203</v>
      </c>
      <c r="M117">
        <v>117</v>
      </c>
      <c r="N117" s="143" t="e">
        <v>#DIV/0!</v>
      </c>
      <c r="O117" s="143" t="e">
        <v>#DIV/0!</v>
      </c>
      <c r="P117">
        <v>-12</v>
      </c>
    </row>
    <row r="118" spans="1:16">
      <c r="A118" t="s">
        <v>240</v>
      </c>
      <c r="B118">
        <v>110</v>
      </c>
      <c r="C118">
        <v>190</v>
      </c>
      <c r="D118">
        <v>138</v>
      </c>
      <c r="E118">
        <v>201</v>
      </c>
      <c r="F118">
        <v>160</v>
      </c>
      <c r="G118">
        <v>183</v>
      </c>
      <c r="H118">
        <v>400.1</v>
      </c>
      <c r="I118" s="14">
        <v>649.91697790143462</v>
      </c>
      <c r="J118">
        <v>203</v>
      </c>
      <c r="K118">
        <v>117</v>
      </c>
      <c r="L118">
        <v>202</v>
      </c>
      <c r="M118">
        <v>116</v>
      </c>
      <c r="N118" s="143" t="e">
        <v>#DIV/0!</v>
      </c>
      <c r="O118" s="143" t="e">
        <v>#DIV/0!</v>
      </c>
      <c r="P118">
        <v>32</v>
      </c>
    </row>
    <row r="119" spans="1:16">
      <c r="A119" t="s">
        <v>387</v>
      </c>
      <c r="B119">
        <v>173</v>
      </c>
      <c r="C119">
        <v>103</v>
      </c>
      <c r="D119">
        <v>203</v>
      </c>
      <c r="E119">
        <v>77</v>
      </c>
      <c r="F119">
        <v>200</v>
      </c>
      <c r="G119">
        <v>206</v>
      </c>
      <c r="H119">
        <v>415.29999999999995</v>
      </c>
      <c r="I119" s="14">
        <v>676.77146462428186</v>
      </c>
      <c r="J119">
        <v>206</v>
      </c>
      <c r="K119">
        <v>118</v>
      </c>
      <c r="L119">
        <v>206</v>
      </c>
      <c r="M119">
        <v>118</v>
      </c>
      <c r="N119" s="143" t="e">
        <v>#DIV/0!</v>
      </c>
      <c r="O119" s="143" t="e">
        <v>#DIV/0!</v>
      </c>
      <c r="P119">
        <v>2</v>
      </c>
    </row>
    <row r="120" spans="1:16">
      <c r="A120" t="s">
        <v>410</v>
      </c>
      <c r="B120">
        <v>95</v>
      </c>
      <c r="C120">
        <v>170</v>
      </c>
      <c r="D120">
        <v>178</v>
      </c>
      <c r="E120">
        <v>187</v>
      </c>
      <c r="F120">
        <v>183</v>
      </c>
      <c r="G120">
        <v>209</v>
      </c>
      <c r="H120">
        <v>417.6</v>
      </c>
      <c r="I120" s="14">
        <v>694.47122016368428</v>
      </c>
      <c r="J120">
        <v>207</v>
      </c>
      <c r="K120">
        <v>119</v>
      </c>
      <c r="L120">
        <v>207</v>
      </c>
      <c r="M120">
        <v>119</v>
      </c>
      <c r="N120" s="143" t="e">
        <v>#DIV/0!</v>
      </c>
      <c r="O120" s="143" t="e">
        <v>#DIV/0!</v>
      </c>
      <c r="P120">
        <v>-11</v>
      </c>
    </row>
    <row r="121" spans="1:16">
      <c r="A121" t="s">
        <v>371</v>
      </c>
      <c r="B121">
        <v>136</v>
      </c>
      <c r="C121">
        <v>171</v>
      </c>
      <c r="D121">
        <v>212</v>
      </c>
      <c r="E121">
        <v>166</v>
      </c>
      <c r="F121">
        <v>178</v>
      </c>
      <c r="G121">
        <v>212</v>
      </c>
      <c r="H121">
        <v>453.29999999999995</v>
      </c>
      <c r="I121" s="14">
        <v>738.72663465387927</v>
      </c>
      <c r="J121">
        <v>210</v>
      </c>
      <c r="K121">
        <v>120</v>
      </c>
      <c r="L121">
        <v>210</v>
      </c>
      <c r="M121">
        <v>120</v>
      </c>
      <c r="N121" s="143" t="e">
        <v>#DIV/0!</v>
      </c>
      <c r="O121" s="143" t="e">
        <v>#DIV/0!</v>
      </c>
      <c r="P121">
        <v>-3</v>
      </c>
    </row>
  </sheetData>
  <conditionalFormatting sqref="N2:O1048576">
    <cfRule type="cellIs" dxfId="6" priority="5" operator="greaterThanOrEqual">
      <formula>20%</formula>
    </cfRule>
    <cfRule type="cellIs" dxfId="5" priority="6" operator="between">
      <formula>10%</formula>
      <formula>20%</formula>
    </cfRule>
    <cfRule type="cellIs" dxfId="4" priority="7" operator="between">
      <formula>0.01%</formula>
      <formula>10%</formula>
    </cfRule>
  </conditionalFormatting>
  <conditionalFormatting sqref="B2:G1048576 J2:M1048576">
    <cfRule type="cellIs" dxfId="3" priority="8" operator="between">
      <formula>101</formula>
      <formula>250</formula>
    </cfRule>
    <cfRule type="cellIs" dxfId="2" priority="9" operator="between">
      <formula>51</formula>
      <formula>100.5</formula>
    </cfRule>
    <cfRule type="cellIs" dxfId="1" priority="10" operator="between">
      <formula>21</formula>
      <formula>50.5</formula>
    </cfRule>
    <cfRule type="cellIs" dxfId="0" priority="11" operator="lessThanOrEqual">
      <formula>20.5</formula>
    </cfRule>
  </conditionalFormatting>
  <pageMargins left="0.7" right="0.7" top="0.75" bottom="0.75" header="0.3" footer="0.3"/>
  <pageSetup paperSize="9" orientation="portrait" r:id="rId1"/>
  <headerFooter>
    <oddHeader>&amp;C&amp;G</oddHeader>
    <oddFooter>&amp;C&amp;1#&amp;"Calibri"&amp;10&amp;KA80000CONFIDENTIAL</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A8372E2-A562-48D5-B3B1-C9F8A0804AB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65</vt:i4>
      </vt:variant>
    </vt:vector>
  </HeadingPairs>
  <TitlesOfParts>
    <vt:vector size="65" baseType="lpstr">
      <vt:lpstr>FIELD</vt:lpstr>
      <vt:lpstr>DIST</vt:lpstr>
      <vt:lpstr>ACC</vt:lpstr>
      <vt:lpstr>APP</vt:lpstr>
      <vt:lpstr>ARG</vt:lpstr>
      <vt:lpstr>PUTT</vt:lpstr>
      <vt:lpstr>SG</vt:lpstr>
      <vt:lpstr>SGT-5</vt:lpstr>
      <vt:lpstr>FEDEX</vt:lpstr>
      <vt:lpstr>CORR Y-1</vt:lpstr>
      <vt:lpstr>CORR 2Y-1</vt:lpstr>
      <vt:lpstr>2023</vt:lpstr>
      <vt:lpstr>Raw Data</vt:lpstr>
      <vt:lpstr>Course Adjusted Result PGA</vt:lpstr>
      <vt:lpstr>Course Adjusted Result</vt:lpstr>
      <vt:lpstr>Odds Copy&amp;Paste</vt:lpstr>
      <vt:lpstr>OddsT5T10</vt:lpstr>
      <vt:lpstr>Picks</vt:lpstr>
      <vt:lpstr>P&amp;L</vt:lpstr>
      <vt:lpstr>Radar Model Fit</vt:lpstr>
      <vt:lpstr>WinnerKPIs</vt:lpstr>
      <vt:lpstr>T10KPIs</vt:lpstr>
      <vt:lpstr>Heritage</vt:lpstr>
      <vt:lpstr>Corales</vt:lpstr>
      <vt:lpstr>Texas</vt:lpstr>
      <vt:lpstr>Houston</vt:lpstr>
      <vt:lpstr>Valspar</vt:lpstr>
      <vt:lpstr>PLAYERS</vt:lpstr>
      <vt:lpstr>Puerto Rico</vt:lpstr>
      <vt:lpstr>Arnold Palmer</vt:lpstr>
      <vt:lpstr>Cognizant</vt:lpstr>
      <vt:lpstr>Mexico</vt:lpstr>
      <vt:lpstr>Genesis</vt:lpstr>
      <vt:lpstr>Pheonix</vt:lpstr>
      <vt:lpstr>Pebble</vt:lpstr>
      <vt:lpstr>Farmers</vt:lpstr>
      <vt:lpstr>AMEX</vt:lpstr>
      <vt:lpstr>Sony Open</vt:lpstr>
      <vt:lpstr>Sentry</vt:lpstr>
      <vt:lpstr>2023 Season</vt:lpstr>
      <vt:lpstr>2023 Sentry</vt:lpstr>
      <vt:lpstr>2023 Sony</vt:lpstr>
      <vt:lpstr>2023 AMEX</vt:lpstr>
      <vt:lpstr>2023 Farmers</vt:lpstr>
      <vt:lpstr>2023 Pebble</vt:lpstr>
      <vt:lpstr>2023 Pheonix</vt:lpstr>
      <vt:lpstr>2023 Genesis</vt:lpstr>
      <vt:lpstr>2023 Honda</vt:lpstr>
      <vt:lpstr>2023 Puerto Rico</vt:lpstr>
      <vt:lpstr>2023 Arnold Palmer</vt:lpstr>
      <vt:lpstr>2023 PLAYERS</vt:lpstr>
      <vt:lpstr>2023 Valspar</vt:lpstr>
      <vt:lpstr>2022 Sentry</vt:lpstr>
      <vt:lpstr>2022 Sony Open</vt:lpstr>
      <vt:lpstr>2022 RBC Heritage</vt:lpstr>
      <vt:lpstr>2022 Farmers</vt:lpstr>
      <vt:lpstr>2022 Pebble</vt:lpstr>
      <vt:lpstr>2022 Pheonix</vt:lpstr>
      <vt:lpstr>2022 Genesis</vt:lpstr>
      <vt:lpstr>2022 Honda</vt:lpstr>
      <vt:lpstr>2022 Arnold Palmer</vt:lpstr>
      <vt:lpstr>2022 PLAYERS</vt:lpstr>
      <vt:lpstr>2022 Valspar</vt:lpstr>
      <vt:lpstr>2022 Corales</vt:lpstr>
      <vt:lpstr>2022 Texas Open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Burnett</dc:creator>
  <cp:lastModifiedBy>Alex Burnett</cp:lastModifiedBy>
  <dcterms:created xsi:type="dcterms:W3CDTF">2023-12-21T13:49:11Z</dcterms:created>
  <dcterms:modified xsi:type="dcterms:W3CDTF">2024-04-22T22:09:36Z</dcterms:modified>
</cp:coreProperties>
</file>